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5.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6.xml" ContentType="application/vnd.openxmlformats-officedocument.spreadsheetml.comments+xml"/>
  <Override PartName="/xl/charts/chart11.xml" ContentType="application/vnd.openxmlformats-officedocument.drawingml.chart+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7.xml" ContentType="application/vnd.openxmlformats-officedocument.spreadsheetml.comments+xml"/>
  <Override PartName="/xl/charts/chart12.xml" ContentType="application/vnd.openxmlformats-officedocument.drawingml.chart+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8.xml" ContentType="application/vnd.openxmlformats-officedocument.spreadsheetml.comments+xml"/>
  <Override PartName="/xl/charts/chart13.xml" ContentType="application/vnd.openxmlformats-officedocument.drawingml.chart+xml"/>
  <Override PartName="/xl/drawings/drawing11.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9.xml" ContentType="application/vnd.openxmlformats-officedocument.spreadsheetml.comments+xml"/>
  <Override PartName="/xl/charts/chart14.xml" ContentType="application/vnd.openxmlformats-officedocument.drawingml.chart+xml"/>
  <Override PartName="/xl/drawings/drawing12.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10.xml" ContentType="application/vnd.openxmlformats-officedocument.spreadsheetml.comments+xml"/>
  <Override PartName="/xl/charts/chart15.xml" ContentType="application/vnd.openxmlformats-officedocument.drawingml.chart+xml"/>
  <Override PartName="/xl/drawings/drawing13.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1.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12.xml" ContentType="application/vnd.openxmlformats-officedocument.spreadsheetml.comments+xml"/>
  <Override PartName="/xl/charts/chart18.xml" ContentType="application/vnd.openxmlformats-officedocument.drawingml.chart+xml"/>
  <Override PartName="/xl/drawings/drawing15.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13.xml" ContentType="application/vnd.openxmlformats-officedocument.spreadsheetml.comments+xml"/>
  <Override PartName="/xl/charts/chart19.xml" ContentType="application/vnd.openxmlformats-officedocument.drawingml.chart+xml"/>
  <Override PartName="/xl/drawings/drawing1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14.xml" ContentType="application/vnd.openxmlformats-officedocument.spreadsheetml.comments+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universitytasmania-my.sharepoint.com/personal/karen_christie_utas_edu_au/Documents/Documents/My files/Towards carbon neutrality dairy industry/"/>
    </mc:Choice>
  </mc:AlternateContent>
  <xr:revisionPtr revIDLastSave="732" documentId="8_{D3C22133-6D14-4D0D-A933-C37DCC1003AB}" xr6:coauthVersionLast="47" xr6:coauthVersionMax="47" xr10:uidLastSave="{7C09F655-9FD1-4CBB-9469-F8068339CCB0}"/>
  <bookViews>
    <workbookView xWindow="28690" yWindow="-1940" windowWidth="29020" windowHeight="17620" xr2:uid="{00000000-000D-0000-FFFF-FFFF00000000}"/>
  </bookViews>
  <sheets>
    <sheet name="Introduction" sheetId="25" r:id="rId1"/>
    <sheet name="Emission factors" sheetId="35" state="hidden" r:id="rId2"/>
    <sheet name="Baseline farm" sheetId="19" r:id="rId3"/>
    <sheet name="Data for graphs" sheetId="24" state="hidden" r:id="rId4"/>
    <sheet name="Example baseline farm" sheetId="28" r:id="rId5"/>
    <sheet name="Abatement Schematic" sheetId="3" r:id="rId6"/>
    <sheet name="1990 methodology comparison" sheetId="34" r:id="rId7"/>
    <sheet name="2015 methodology comparison " sheetId="36" r:id="rId8"/>
    <sheet name="Strategy farm" sheetId="23" r:id="rId9"/>
    <sheet name="Reduce CH4 breeding_management" sheetId="2" r:id="rId10"/>
    <sheet name="Extended lactation" sheetId="20" r:id="rId11"/>
    <sheet name="Extended longevity" sheetId="22" r:id="rId12"/>
    <sheet name="Replacing Sup with dietary fats" sheetId="12" r:id="rId13"/>
    <sheet name="Supplementing with dietary fats" sheetId="7" r:id="rId14"/>
    <sheet name="Improved diet DMD by management" sheetId="8" r:id="rId15"/>
    <sheet name="Improved diet DMD by Supplement" sheetId="15" r:id="rId16"/>
    <sheet name="N fertiliser inhibitor coated" sheetId="30" r:id="rId17"/>
    <sheet name=" N inhibitor applied to feed" sheetId="11" r:id="rId18"/>
    <sheet name="Feed quality table" sheetId="31" r:id="rId19"/>
    <sheet name="Fertiliser rates" sheetId="32" r:id="rId20"/>
  </sheets>
  <externalReferences>
    <externalReference r:id="rId21"/>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CalfSalesLiveweight">'[1]Carbon Input'!$M$45</definedName>
    <definedName name="CalfWeanedSalesLiveweight">'[1]Carbon Input'!$O$45</definedName>
    <definedName name="CalfWeanedSalesNumber">'[1]Carbon Input'!$O$44</definedName>
    <definedName name="CooFarmInMeatkgPerKgLw">'[1]Carbon Report'!$D$16</definedName>
    <definedName name="CooFarmTotalKgPerStdKgFpcm">'[1]Carbon Report'!$D$10</definedName>
    <definedName name="CooOtherLivestockTotalTonnes">'[1]Carbon Report'!$I$34</definedName>
    <definedName name="CooTotalDirectNFertTonnes">'[1]Carbon Report'!$K$25</definedName>
    <definedName name="CooTotalElectrictyTonnes">'[1]Carbon Report'!$K$27</definedName>
    <definedName name="CooTotalFuelTonnes">'[1]Carbon Report'!$K$28</definedName>
    <definedName name="CooTotalIndirectNFertTonnes">'[1]Carbon Report'!$K$26</definedName>
    <definedName name="CooTotalPreFarmConcTonnes">'[1]Carbon Report'!$K$30</definedName>
    <definedName name="CooTotalPreFarmFertTonnes">'[1]Carbon Report'!$K$32</definedName>
    <definedName name="CooTotalPreFarmFodderTonnes">'[1]Carbon Report'!$K$31</definedName>
    <definedName name="CooTotalTreeSequesterTonnes">'[1]Carbon Report'!$K$33</definedName>
    <definedName name="CooTotalUreaLimeTonnes">'[1]Carbon Report'!$K$29</definedName>
    <definedName name="CowSalesLiveweight">'[1]Carbon Input'!$C$45</definedName>
    <definedName name="CowSalesNumber">'[1]Carbon Input'!$C$44</definedName>
    <definedName name="Dbcc_CalfSalesNumber">'[1]Carbon Input'!$M$44</definedName>
    <definedName name="Electricity" localSheetId="6">'1990 methodology comparison'!$B$575:$B$582</definedName>
    <definedName name="Electricity" localSheetId="7">'2015 methodology comparison '!$B$578:$B$585</definedName>
    <definedName name="Electricity" localSheetId="4">'Example baseline farm'!$B$549:$B$556</definedName>
    <definedName name="Electricity" localSheetId="8">'Strategy farm'!$B$608:$B$615</definedName>
    <definedName name="Electricity">'Baseline farm'!$B$576:$B$582</definedName>
    <definedName name="Fertiliser" localSheetId="6">'1990 methodology comparison'!$S$190:$S$191</definedName>
    <definedName name="Fertiliser" localSheetId="7">'2015 methodology comparison '!$T$191:$T$192</definedName>
    <definedName name="Fertiliser" localSheetId="4">'Example baseline farm'!$T$190:$T$191</definedName>
    <definedName name="Fertiliser" localSheetId="8">'Strategy farm'!$T$245:$T$246</definedName>
    <definedName name="Fertiliser">'Baseline farm'!$U$202:$U$203</definedName>
    <definedName name="Heifer_Feedpad_Waste" localSheetId="6">'1990 methodology comparison'!$AL$200:$AL$203</definedName>
    <definedName name="Heifer_Feedpad_Waste" localSheetId="7">'2015 methodology comparison '!$AM$201:$AM$204</definedName>
    <definedName name="Heifer_Feedpad_Waste" localSheetId="4">'Example baseline farm'!$AM$200:$AM$203</definedName>
    <definedName name="Heifer_Feedpad_Waste">'Baseline farm'!$AN$212:$AN$215</definedName>
    <definedName name="Heifers_Feedpad_Waste" localSheetId="8">'Strategy farm'!$AM$254:$AM$257</definedName>
    <definedName name="Milk.production" localSheetId="6">'1990 methodology comparison'!$S$201:$S$202</definedName>
    <definedName name="Milk.production" localSheetId="7">'2015 methodology comparison '!$T$202:$T$203</definedName>
    <definedName name="Milk.production" localSheetId="4">'Example baseline farm'!$T$202:$T$203</definedName>
    <definedName name="Milk.production">'Baseline farm'!$U$214:$U$215</definedName>
    <definedName name="Milker_Feedpad_Waste" localSheetId="6">'1990 methodology comparison'!$AG$200:$AG$203</definedName>
    <definedName name="Milker_Feedpad_Waste" localSheetId="7">'2015 methodology comparison '!$AH$201:$AH$204</definedName>
    <definedName name="Milker_Feedpad_Waste" localSheetId="4">'Example baseline farm'!$AH$200:$AH$203</definedName>
    <definedName name="Milker_Feedpad_Waste">'Baseline farm'!$AI$212:$AI$215</definedName>
    <definedName name="Milkers_Feedpad_Waste" localSheetId="8">'Strategy farm'!$AH$255:$AH$258</definedName>
    <definedName name="New.South.Wales" localSheetId="6">'1990 methodology comparison'!$E$191:$E$193</definedName>
    <definedName name="New.South.Wales" localSheetId="7">'2015 methodology comparison '!$E$192:$E$194</definedName>
    <definedName name="New.South.Wales" localSheetId="4">'Example baseline farm'!$E$191:$E$193</definedName>
    <definedName name="New.South.Wales" localSheetId="8">'Strategy farm'!$E$246:$E$248</definedName>
    <definedName name="New.South.Wales">'Baseline farm'!$E$193:$E$195</definedName>
    <definedName name="Northern.Territory" localSheetId="6">'1990 methodology comparison'!$J$190</definedName>
    <definedName name="Northern.Territory" localSheetId="7">'2015 methodology comparison '!$J$191</definedName>
    <definedName name="Northern.Territory" localSheetId="4">'Example baseline farm'!$J$190</definedName>
    <definedName name="Northern.Territory" localSheetId="8">'Strategy farm'!$J$245</definedName>
    <definedName name="Northern.Territory">'Baseline farm'!$J$192</definedName>
    <definedName name="OtherLivestockSalesLiveweight">'[1]Carbon Input'!$K$45</definedName>
    <definedName name="OtherLivestockSalesNumber">'[1]Carbon Input'!$K$44</definedName>
    <definedName name="Pal_Workbook_GUID" hidden="1">"WE5GRGLHHGZG77SJ2CRGGBUE"</definedName>
    <definedName name="Pre_treament" localSheetId="6">'1990 methodology comparison'!$Z$195:$Z$196</definedName>
    <definedName name="Pre_treament" localSheetId="7">'2015 methodology comparison '!$AA$196:$AA$197</definedName>
    <definedName name="Pre_treament" localSheetId="4">'Example baseline farm'!$AD$195:$AD$196</definedName>
    <definedName name="Pre_treament">'Baseline farm'!$AB$207:$AB$208</definedName>
    <definedName name="Pre_treat" localSheetId="8">'Strategy farm'!$AD$250:$AD$251</definedName>
    <definedName name="Queensland" localSheetId="6">'1990 methodology comparison'!$G$190</definedName>
    <definedName name="Queensland" localSheetId="7">'2015 methodology comparison '!$G$191</definedName>
    <definedName name="Queensland" localSheetId="4">'Example baseline farm'!$G$191:$G$192</definedName>
    <definedName name="Queensland" localSheetId="8">'Strategy farm'!$G$246:$G$247</definedName>
    <definedName name="Queensland">'Baseline farm'!$G$193:$G$194</definedName>
    <definedName name="Rainfall" localSheetId="6">'1990 methodology comparison'!$B$531:$B$533</definedName>
    <definedName name="Rainfall" localSheetId="7">'2015 methodology comparison '!$B$534:$B$536</definedName>
    <definedName name="Rainfall" localSheetId="4">'Example baseline farm'!#REF!</definedName>
    <definedName name="Rainfall" localSheetId="8">'Strategy farm'!#REF!</definedName>
    <definedName name="Rainfall">'Baseline farm'!$B$551:$B$553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th.Australia" localSheetId="6">'1990 methodology comparison'!$H$190</definedName>
    <definedName name="South.Australia" localSheetId="7">'2015 methodology comparison '!$H$191</definedName>
    <definedName name="South.Australia" localSheetId="4">'Example baseline farm'!$H$191:$H$192</definedName>
    <definedName name="South.Australia" localSheetId="8">'Strategy farm'!$H$246:$H$247</definedName>
    <definedName name="South.Australia">'Baseline farm'!$H$193:$H$194</definedName>
    <definedName name="State" localSheetId="6">'1990 methodology comparison'!$C$191:$C$197</definedName>
    <definedName name="State" localSheetId="7">'2015 methodology comparison '!$C$192:$C$198</definedName>
    <definedName name="State" localSheetId="4">'Example baseline farm'!$C$191:$C$197</definedName>
    <definedName name="State" localSheetId="8">'Strategy farm'!$C$246:$C$252</definedName>
    <definedName name="State">'Baseline farm'!$C$193:$C$199</definedName>
    <definedName name="Tasmania" localSheetId="6">'1990 methodology comparison'!$F$190</definedName>
    <definedName name="Tasmania" localSheetId="7">'2015 methodology comparison '!$F$191</definedName>
    <definedName name="Tasmania" localSheetId="4">'Example baseline farm'!$F$191:$F$194</definedName>
    <definedName name="Tasmania" localSheetId="8">'Strategy farm'!$F$246:$F$249</definedName>
    <definedName name="Tasmania">'Baseline farm'!$F$193:$F$196</definedName>
    <definedName name="Tree_Sequestration" localSheetId="6">'1990 methodology comparison'!$S$196:$S$197</definedName>
    <definedName name="Tree_Sequestration" localSheetId="7">'2015 methodology comparison '!$T$197:$T$199</definedName>
    <definedName name="Tree_Sequestration" localSheetId="4">'Example baseline farm'!$T$196:$T$198</definedName>
    <definedName name="Tree_Sequestration" localSheetId="8">'Strategy farm'!$T$251:$T$253</definedName>
    <definedName name="Tree_Sequestration">'Baseline farm'!$U$208:$U$210</definedName>
    <definedName name="Trees" localSheetId="6">'1990 methodology comparison'!$B$513:$B$527</definedName>
    <definedName name="Trees" localSheetId="7">'2015 methodology comparison '!$B$516:$B$530</definedName>
    <definedName name="Trees" localSheetId="4">'Example baseline farm'!#REF!</definedName>
    <definedName name="Trees" localSheetId="8">'Strategy farm'!#REF!</definedName>
    <definedName name="Trees">'Baseline farm'!$B$533:$B$547</definedName>
    <definedName name="Victoria" localSheetId="6">'1990 methodology comparison'!$D$191:$D$193</definedName>
    <definedName name="Victoria" localSheetId="7">'2015 methodology comparison '!$D$192:$D$194</definedName>
    <definedName name="Victoria" localSheetId="4">'Example baseline farm'!$D$191:$D$196</definedName>
    <definedName name="Victoria" localSheetId="8">'Strategy farm'!$D$246:$D$251</definedName>
    <definedName name="Victoria">'Baseline farm'!$D$193:$D$198</definedName>
    <definedName name="Waste.Management" localSheetId="6">'1990 methodology comparison'!$AC$190:$AC$191</definedName>
    <definedName name="Waste.Management" localSheetId="7">'2015 methodology comparison '!$AD$191:$AD$192</definedName>
    <definedName name="Waste.Management" localSheetId="4">'Example baseline farm'!$AD$190:$AD$191</definedName>
    <definedName name="Waste.Management" localSheetId="8">'Strategy farm'!$AD$245:$AD$246</definedName>
    <definedName name="Waste.Management">'Baseline farm'!$AE$202:$AE$203</definedName>
    <definedName name="Western.Australia" localSheetId="6">'1990 methodology comparison'!$I$190</definedName>
    <definedName name="Western.Australia" localSheetId="7">'2015 methodology comparison '!$I$191</definedName>
    <definedName name="Western.Australia" localSheetId="4">'Example baseline farm'!$I$191</definedName>
    <definedName name="Western.Australia" localSheetId="8">'Strategy farm'!$I$246</definedName>
    <definedName name="Western.Australia">'Baseline farm'!$I$193</definedName>
    <definedName name="Western.Australia.trees">'Strategy farm'!$H$667:$N$667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23" l="1"/>
  <c r="E254" i="23" l="1"/>
  <c r="E50" i="23"/>
  <c r="C254" i="23"/>
  <c r="G79" i="23" l="1"/>
  <c r="G62" i="23"/>
  <c r="C70" i="23"/>
  <c r="D31" i="23"/>
  <c r="H15" i="23"/>
  <c r="J534" i="19" l="1"/>
  <c r="F534" i="19"/>
  <c r="J25" i="23"/>
  <c r="F19" i="23"/>
  <c r="E19" i="23"/>
  <c r="D19" i="23"/>
  <c r="D11" i="23"/>
  <c r="D13" i="23"/>
  <c r="D21" i="23"/>
  <c r="C20" i="2"/>
  <c r="O574" i="23" l="1"/>
  <c r="K574" i="23"/>
  <c r="D574" i="23"/>
  <c r="J574" i="23" s="1"/>
  <c r="Q243" i="19"/>
  <c r="Q277" i="19" s="1"/>
  <c r="U22" i="24"/>
  <c r="U23" i="24" s="1"/>
  <c r="U24" i="24" s="1"/>
  <c r="U25" i="24" s="1"/>
  <c r="U26" i="24" s="1"/>
  <c r="U27" i="24" s="1"/>
  <c r="U28" i="24" s="1"/>
  <c r="U29" i="24" s="1"/>
  <c r="U30" i="24" s="1"/>
  <c r="U31" i="24" s="1"/>
  <c r="U32" i="24" s="1"/>
  <c r="U33" i="24" s="1"/>
  <c r="U34" i="24" s="1"/>
  <c r="U35" i="24" s="1"/>
  <c r="U36" i="24" s="1"/>
  <c r="E11" i="24" s="1"/>
  <c r="L254" i="23"/>
  <c r="K218" i="19"/>
  <c r="T22" i="24" s="1"/>
  <c r="T23" i="24" s="1"/>
  <c r="L205" i="28"/>
  <c r="K208" i="28"/>
  <c r="P230" i="28"/>
  <c r="Q238" i="28" s="1"/>
  <c r="P227" i="28"/>
  <c r="Q242" i="19"/>
  <c r="T250" i="19" s="1"/>
  <c r="Q239" i="19"/>
  <c r="R247" i="19" s="1"/>
  <c r="H19" i="23"/>
  <c r="G53" i="23"/>
  <c r="O517" i="28"/>
  <c r="J26" i="36"/>
  <c r="J24" i="36"/>
  <c r="J26" i="34"/>
  <c r="I26" i="34"/>
  <c r="H26" i="34"/>
  <c r="G26" i="34"/>
  <c r="F26" i="34"/>
  <c r="E26" i="34"/>
  <c r="D26" i="34"/>
  <c r="J24" i="34"/>
  <c r="I24" i="34"/>
  <c r="H24" i="34"/>
  <c r="G24" i="34"/>
  <c r="F24" i="34"/>
  <c r="D24" i="34"/>
  <c r="E24" i="34"/>
  <c r="J27" i="23"/>
  <c r="P231" i="28"/>
  <c r="P265" i="28" s="1"/>
  <c r="P261" i="28"/>
  <c r="I79" i="23"/>
  <c r="L258" i="23"/>
  <c r="H202" i="28"/>
  <c r="P229" i="28" s="1"/>
  <c r="Q237" i="28" s="1"/>
  <c r="H204" i="19"/>
  <c r="Q240" i="19" s="1"/>
  <c r="R248" i="19" s="1"/>
  <c r="D2" i="24" l="1"/>
  <c r="T24" i="24"/>
  <c r="E8" i="24"/>
  <c r="E9" i="24"/>
  <c r="E2" i="24"/>
  <c r="E3" i="24"/>
  <c r="E4" i="24"/>
  <c r="E10" i="24"/>
  <c r="E5" i="24"/>
  <c r="E6" i="24"/>
  <c r="E7" i="24"/>
  <c r="H202" i="34"/>
  <c r="H203" i="34" s="1"/>
  <c r="H203" i="36"/>
  <c r="H204" i="36" s="1"/>
  <c r="O226" i="34"/>
  <c r="O260" i="34" s="1"/>
  <c r="O229" i="34"/>
  <c r="P237" i="34" s="1"/>
  <c r="J28" i="34"/>
  <c r="O230" i="34"/>
  <c r="O264" i="34" s="1"/>
  <c r="Q235" i="28"/>
  <c r="T247" i="19"/>
  <c r="H203" i="28"/>
  <c r="H205" i="19"/>
  <c r="P283" i="23"/>
  <c r="Q291" i="23" s="1"/>
  <c r="R250" i="19"/>
  <c r="Q241" i="19"/>
  <c r="T249" i="19" s="1"/>
  <c r="P228" i="28"/>
  <c r="Q236" i="28" s="1"/>
  <c r="S239" i="28"/>
  <c r="L259" i="23"/>
  <c r="P284" i="23"/>
  <c r="S292" i="23" s="1"/>
  <c r="P263" i="28"/>
  <c r="S235" i="28"/>
  <c r="S237" i="28"/>
  <c r="S238" i="28"/>
  <c r="P264" i="28"/>
  <c r="T248" i="19"/>
  <c r="Q274" i="19"/>
  <c r="Q273" i="19"/>
  <c r="T251" i="19"/>
  <c r="Q276" i="19"/>
  <c r="P228" i="36" l="1"/>
  <c r="P262" i="36" s="1"/>
  <c r="P229" i="36"/>
  <c r="P263" i="36" s="1"/>
  <c r="T25" i="24"/>
  <c r="D3" i="24"/>
  <c r="E12" i="24"/>
  <c r="O227" i="34"/>
  <c r="O261" i="34" s="1"/>
  <c r="O228" i="34"/>
  <c r="O262" i="34" s="1"/>
  <c r="K16" i="34"/>
  <c r="K16" i="36"/>
  <c r="R237" i="34"/>
  <c r="O263" i="34"/>
  <c r="P234" i="34"/>
  <c r="R234" i="34"/>
  <c r="R238" i="34"/>
  <c r="Q244" i="19"/>
  <c r="Q278" i="19" s="1"/>
  <c r="R249" i="19"/>
  <c r="R252" i="19" s="1"/>
  <c r="Q275" i="19"/>
  <c r="S291" i="23"/>
  <c r="P317" i="23"/>
  <c r="P232" i="28"/>
  <c r="P266" i="28" s="1"/>
  <c r="S236" i="28"/>
  <c r="S240" i="28" s="1"/>
  <c r="T235" i="28" s="1"/>
  <c r="P262" i="28"/>
  <c r="P318" i="23"/>
  <c r="Q292" i="23"/>
  <c r="Q240" i="28"/>
  <c r="T252" i="19"/>
  <c r="S236" i="36" l="1"/>
  <c r="Q236" i="36"/>
  <c r="Q237" i="36"/>
  <c r="S237" i="36"/>
  <c r="R236" i="34"/>
  <c r="O231" i="34"/>
  <c r="O265" i="34" s="1"/>
  <c r="S251" i="19"/>
  <c r="S247" i="19"/>
  <c r="P236" i="34"/>
  <c r="T26" i="24"/>
  <c r="T27" i="24" s="1"/>
  <c r="P235" i="34"/>
  <c r="R235" i="34"/>
  <c r="S248" i="19"/>
  <c r="S250" i="19"/>
  <c r="S249" i="19"/>
  <c r="R238" i="28"/>
  <c r="R237" i="28"/>
  <c r="R236" i="28"/>
  <c r="R239" i="28"/>
  <c r="R235" i="28"/>
  <c r="T239" i="28"/>
  <c r="T238" i="28"/>
  <c r="T237" i="28"/>
  <c r="T236" i="28"/>
  <c r="U251" i="19"/>
  <c r="U250" i="19"/>
  <c r="U249" i="19"/>
  <c r="U248" i="19"/>
  <c r="U247" i="19"/>
  <c r="P239" i="34" l="1"/>
  <c r="Q235" i="34" s="1"/>
  <c r="R239" i="34"/>
  <c r="S238" i="34" s="1"/>
  <c r="D4" i="24"/>
  <c r="T28" i="24"/>
  <c r="D5" i="24"/>
  <c r="S252" i="19"/>
  <c r="T240" i="28"/>
  <c r="U252" i="19"/>
  <c r="S237" i="34" l="1"/>
  <c r="Q236" i="34"/>
  <c r="S234" i="34"/>
  <c r="Q237" i="34"/>
  <c r="Q238" i="34"/>
  <c r="Q234" i="34"/>
  <c r="S236" i="34"/>
  <c r="S235" i="34"/>
  <c r="S239" i="34" s="1"/>
  <c r="T29" i="24"/>
  <c r="D6" i="24"/>
  <c r="AJ228" i="19"/>
  <c r="AP228" i="19"/>
  <c r="Q239" i="34" l="1"/>
  <c r="T30" i="24"/>
  <c r="D7" i="24"/>
  <c r="J526" i="28"/>
  <c r="G63" i="23"/>
  <c r="J583" i="23" s="1"/>
  <c r="I59" i="23"/>
  <c r="I58" i="23"/>
  <c r="J58" i="23"/>
  <c r="J59" i="23"/>
  <c r="G58" i="23"/>
  <c r="G59" i="23"/>
  <c r="H59" i="23"/>
  <c r="H58" i="23"/>
  <c r="J27" i="28"/>
  <c r="J29" i="19"/>
  <c r="C570" i="19"/>
  <c r="E22" i="36"/>
  <c r="F22" i="36"/>
  <c r="C64" i="36"/>
  <c r="C66" i="36"/>
  <c r="H38" i="36"/>
  <c r="H37" i="36"/>
  <c r="H36" i="36"/>
  <c r="F38" i="36"/>
  <c r="U212" i="34"/>
  <c r="T212" i="34"/>
  <c r="H73" i="23"/>
  <c r="F27" i="23"/>
  <c r="V212" i="28"/>
  <c r="U212" i="28"/>
  <c r="Q212" i="28"/>
  <c r="R212" i="28"/>
  <c r="S212" i="28"/>
  <c r="T212" i="28"/>
  <c r="W224" i="19"/>
  <c r="V224" i="19"/>
  <c r="E152" i="8"/>
  <c r="E160" i="8" s="1"/>
  <c r="D208" i="15"/>
  <c r="D321" i="8"/>
  <c r="D244" i="7"/>
  <c r="D242" i="12"/>
  <c r="D122" i="2"/>
  <c r="I17" i="24"/>
  <c r="T31" i="24" l="1"/>
  <c r="T32" i="24" s="1"/>
  <c r="Q213" i="28"/>
  <c r="H14" i="34"/>
  <c r="H14" i="36"/>
  <c r="I277" i="36"/>
  <c r="I276" i="28"/>
  <c r="I26" i="36"/>
  <c r="H26" i="36"/>
  <c r="G26" i="36"/>
  <c r="F26" i="36"/>
  <c r="E26" i="36"/>
  <c r="D26" i="36"/>
  <c r="I24" i="36"/>
  <c r="H24" i="36"/>
  <c r="G24" i="36"/>
  <c r="F24" i="36"/>
  <c r="E24" i="36"/>
  <c r="D24" i="36"/>
  <c r="I18" i="36"/>
  <c r="I20" i="36"/>
  <c r="I22" i="36"/>
  <c r="I364" i="34"/>
  <c r="I264" i="34"/>
  <c r="I239" i="34"/>
  <c r="I111" i="19"/>
  <c r="H111" i="19"/>
  <c r="I18" i="34"/>
  <c r="I20" i="34"/>
  <c r="I22" i="34"/>
  <c r="I27" i="23"/>
  <c r="H27" i="23"/>
  <c r="G27" i="23"/>
  <c r="E27" i="23"/>
  <c r="D27" i="23"/>
  <c r="I25" i="23"/>
  <c r="H25" i="23"/>
  <c r="G25" i="23"/>
  <c r="F25" i="23"/>
  <c r="E25" i="23"/>
  <c r="D25" i="23"/>
  <c r="J29" i="23" s="1"/>
  <c r="I23" i="23"/>
  <c r="I21" i="23"/>
  <c r="I19" i="23"/>
  <c r="D8" i="24" l="1"/>
  <c r="T33" i="24"/>
  <c r="D9" i="24"/>
  <c r="P230" i="36"/>
  <c r="S238" i="36" s="1"/>
  <c r="P282" i="23"/>
  <c r="P285" i="23"/>
  <c r="P319" i="23" s="1"/>
  <c r="P227" i="36"/>
  <c r="S235" i="36" s="1"/>
  <c r="J28" i="36"/>
  <c r="P231" i="36"/>
  <c r="S239" i="36" s="1"/>
  <c r="P286" i="23"/>
  <c r="T213" i="36"/>
  <c r="V267" i="23"/>
  <c r="U213" i="36"/>
  <c r="V213" i="36"/>
  <c r="R267" i="23"/>
  <c r="S267" i="23"/>
  <c r="T267" i="23"/>
  <c r="U267" i="23"/>
  <c r="Q267" i="23"/>
  <c r="I278" i="36"/>
  <c r="I277" i="28"/>
  <c r="H276" i="28"/>
  <c r="H277" i="28" s="1"/>
  <c r="G276" i="28"/>
  <c r="G277" i="28" s="1"/>
  <c r="F276" i="28"/>
  <c r="F277" i="28" s="1"/>
  <c r="E276" i="28"/>
  <c r="E277" i="28" s="1"/>
  <c r="D276" i="28"/>
  <c r="D277" i="28" s="1"/>
  <c r="C276" i="28"/>
  <c r="I288" i="19"/>
  <c r="I289" i="19" s="1"/>
  <c r="H288" i="19"/>
  <c r="H289" i="19" s="1"/>
  <c r="G288" i="19"/>
  <c r="G289" i="19" s="1"/>
  <c r="F288" i="19"/>
  <c r="F289" i="19" s="1"/>
  <c r="E288" i="19"/>
  <c r="E289" i="19" s="1"/>
  <c r="D288" i="19"/>
  <c r="D289" i="19" s="1"/>
  <c r="C288" i="19"/>
  <c r="T34" i="24" l="1"/>
  <c r="T35" i="24" s="1"/>
  <c r="T36" i="24" s="1"/>
  <c r="D11" i="24" s="1"/>
  <c r="Q238" i="36"/>
  <c r="P264" i="36"/>
  <c r="P265" i="36"/>
  <c r="S293" i="23"/>
  <c r="Q293" i="23"/>
  <c r="P316" i="23"/>
  <c r="P287" i="23"/>
  <c r="P321" i="23" s="1"/>
  <c r="Q290" i="23"/>
  <c r="S290" i="23"/>
  <c r="P320" i="23"/>
  <c r="S294" i="23"/>
  <c r="Q268" i="23"/>
  <c r="K215" i="28"/>
  <c r="K211" i="28" s="1"/>
  <c r="I279" i="28" s="1"/>
  <c r="H71" i="36"/>
  <c r="H70" i="34"/>
  <c r="I77" i="36"/>
  <c r="G77" i="36"/>
  <c r="C77" i="36"/>
  <c r="C75" i="36"/>
  <c r="C73" i="36"/>
  <c r="C71" i="36"/>
  <c r="E200" i="34"/>
  <c r="E201" i="36"/>
  <c r="C638" i="23"/>
  <c r="D653" i="23" s="1"/>
  <c r="U255" i="23"/>
  <c r="I73" i="23" s="1"/>
  <c r="U200" i="28"/>
  <c r="T200" i="28"/>
  <c r="V212" i="19"/>
  <c r="D10" i="24" l="1"/>
  <c r="D12" i="24" s="1"/>
  <c r="F73" i="19"/>
  <c r="I73" i="19"/>
  <c r="F71" i="28"/>
  <c r="I71" i="28"/>
  <c r="F73" i="23"/>
  <c r="S295" i="23"/>
  <c r="T290" i="23" s="1"/>
  <c r="Q295" i="23"/>
  <c r="R290" i="23" s="1"/>
  <c r="K218" i="28"/>
  <c r="K224" i="28" s="1"/>
  <c r="I112" i="28" s="1"/>
  <c r="I281" i="28"/>
  <c r="K258" i="28"/>
  <c r="K236" i="28"/>
  <c r="T293" i="23" l="1"/>
  <c r="T294" i="23"/>
  <c r="T291" i="23"/>
  <c r="T292" i="23"/>
  <c r="R294" i="23"/>
  <c r="R293" i="23"/>
  <c r="R291" i="23"/>
  <c r="R292" i="23"/>
  <c r="K263" i="28"/>
  <c r="K288" i="28" s="1"/>
  <c r="U212" i="19"/>
  <c r="T295" i="23" l="1"/>
  <c r="R295" i="23"/>
  <c r="K284" i="28"/>
  <c r="K292" i="28" s="1"/>
  <c r="K296" i="28" s="1"/>
  <c r="E202" i="19"/>
  <c r="E200" i="28"/>
  <c r="C202" i="19"/>
  <c r="K242" i="19" l="1"/>
  <c r="K267" i="19" s="1"/>
  <c r="J242" i="19"/>
  <c r="J267" i="19" s="1"/>
  <c r="I242" i="19"/>
  <c r="I267" i="19" s="1"/>
  <c r="K227" i="19"/>
  <c r="K223" i="19" s="1"/>
  <c r="H227" i="19"/>
  <c r="G227" i="19"/>
  <c r="F227" i="19"/>
  <c r="E227" i="19"/>
  <c r="AX225" i="19"/>
  <c r="AY224" i="19"/>
  <c r="AY223" i="19"/>
  <c r="AY222" i="19"/>
  <c r="AY221" i="19"/>
  <c r="K270" i="19" l="1"/>
  <c r="K275" i="19" s="1"/>
  <c r="K300" i="19" s="1"/>
  <c r="I291" i="19"/>
  <c r="I293" i="19" s="1"/>
  <c r="K248" i="19"/>
  <c r="K231" i="19"/>
  <c r="K236" i="19" s="1"/>
  <c r="I113" i="19" s="1"/>
  <c r="K296" i="19" l="1"/>
  <c r="S213" i="36"/>
  <c r="R213" i="36"/>
  <c r="Q213" i="36"/>
  <c r="S212" i="34"/>
  <c r="R212" i="34"/>
  <c r="Q212" i="34"/>
  <c r="P212" i="34"/>
  <c r="U224" i="19"/>
  <c r="T224" i="19"/>
  <c r="S224" i="19"/>
  <c r="R224" i="19"/>
  <c r="P213" i="34" l="1"/>
  <c r="R225" i="19"/>
  <c r="Q214" i="36"/>
  <c r="I76" i="34"/>
  <c r="G76" i="34"/>
  <c r="C72" i="34"/>
  <c r="C76" i="34"/>
  <c r="C74" i="34"/>
  <c r="C70" i="34"/>
  <c r="I332" i="23"/>
  <c r="C594" i="19"/>
  <c r="C593" i="19"/>
  <c r="E609" i="19" l="1"/>
  <c r="G332" i="23"/>
  <c r="F332" i="23"/>
  <c r="E332" i="23"/>
  <c r="C332" i="23"/>
  <c r="D332" i="23"/>
  <c r="I333" i="23"/>
  <c r="H332" i="23"/>
  <c r="EZ849" i="23"/>
  <c r="EY849" i="23"/>
  <c r="EZ848" i="23"/>
  <c r="EY848" i="23"/>
  <c r="EZ847" i="23"/>
  <c r="EY847" i="23"/>
  <c r="EZ846" i="23"/>
  <c r="EY846" i="23"/>
  <c r="EZ845" i="23"/>
  <c r="EY845" i="23"/>
  <c r="EZ844" i="23"/>
  <c r="EY844" i="23"/>
  <c r="EZ843" i="23"/>
  <c r="EY843" i="23"/>
  <c r="EZ842" i="23"/>
  <c r="EY842" i="23"/>
  <c r="EZ841" i="23"/>
  <c r="EY841" i="23"/>
  <c r="EZ840" i="23"/>
  <c r="EY840" i="23"/>
  <c r="EZ839" i="23"/>
  <c r="EY839" i="23"/>
  <c r="EZ838" i="23"/>
  <c r="EY838" i="23"/>
  <c r="EZ837" i="23"/>
  <c r="EY837" i="23"/>
  <c r="EZ836" i="23"/>
  <c r="EY836" i="23"/>
  <c r="EZ835" i="23"/>
  <c r="EY835" i="23"/>
  <c r="EZ834" i="23"/>
  <c r="EY834" i="23"/>
  <c r="EZ833" i="23"/>
  <c r="EY833" i="23"/>
  <c r="EZ832" i="23"/>
  <c r="EY832" i="23"/>
  <c r="EZ831" i="23"/>
  <c r="EY831" i="23"/>
  <c r="EZ830" i="23"/>
  <c r="EY830" i="23"/>
  <c r="EZ829" i="23"/>
  <c r="EY829" i="23"/>
  <c r="EZ828" i="23"/>
  <c r="EY828" i="23"/>
  <c r="EZ827" i="23"/>
  <c r="EY827" i="23"/>
  <c r="EZ826" i="23"/>
  <c r="EY826" i="23"/>
  <c r="EZ825" i="23"/>
  <c r="EY825" i="23"/>
  <c r="EZ824" i="23"/>
  <c r="EY824" i="23"/>
  <c r="EZ823" i="23"/>
  <c r="EY823" i="23"/>
  <c r="EZ822" i="23"/>
  <c r="EY822" i="23"/>
  <c r="EZ821" i="23"/>
  <c r="EY821" i="23"/>
  <c r="EZ820" i="23"/>
  <c r="EY820" i="23"/>
  <c r="EZ819" i="23"/>
  <c r="EY819" i="23"/>
  <c r="EZ818" i="23"/>
  <c r="EY818" i="23"/>
  <c r="EZ817" i="23"/>
  <c r="EY817" i="23"/>
  <c r="EZ816" i="23"/>
  <c r="EY816" i="23"/>
  <c r="EZ815" i="23"/>
  <c r="EY815" i="23"/>
  <c r="EZ814" i="23"/>
  <c r="EY814" i="23"/>
  <c r="EZ813" i="23"/>
  <c r="EY813" i="23"/>
  <c r="EZ812" i="23"/>
  <c r="EY812" i="23"/>
  <c r="EZ811" i="23"/>
  <c r="EY811" i="23"/>
  <c r="EZ810" i="23"/>
  <c r="EY810" i="23"/>
  <c r="EZ809" i="23"/>
  <c r="EY809" i="23"/>
  <c r="EZ808" i="23"/>
  <c r="EY808" i="23"/>
  <c r="EZ807" i="23"/>
  <c r="EY807" i="23"/>
  <c r="EZ806" i="23"/>
  <c r="EY806" i="23"/>
  <c r="EZ805" i="23"/>
  <c r="EY805" i="23"/>
  <c r="EZ804" i="23"/>
  <c r="EY804" i="23"/>
  <c r="EZ803" i="23"/>
  <c r="EY803" i="23"/>
  <c r="EZ802" i="23"/>
  <c r="EY802" i="23"/>
  <c r="EZ801" i="23"/>
  <c r="EY801" i="23"/>
  <c r="EZ800" i="23"/>
  <c r="EY800" i="23"/>
  <c r="EZ799" i="23"/>
  <c r="EY799" i="23"/>
  <c r="EZ798" i="23"/>
  <c r="EY798" i="23"/>
  <c r="EZ797" i="23"/>
  <c r="EY797" i="23"/>
  <c r="EZ796" i="23"/>
  <c r="EY796" i="23"/>
  <c r="EZ795" i="23"/>
  <c r="EY795" i="23"/>
  <c r="EZ794" i="23"/>
  <c r="EY794" i="23"/>
  <c r="EZ793" i="23"/>
  <c r="EY793" i="23"/>
  <c r="EZ792" i="23"/>
  <c r="EY792" i="23"/>
  <c r="EZ791" i="23"/>
  <c r="EY791" i="23"/>
  <c r="EZ790" i="23"/>
  <c r="EY790" i="23"/>
  <c r="EZ789" i="23"/>
  <c r="EY789" i="23"/>
  <c r="EZ788" i="23"/>
  <c r="EY788" i="23"/>
  <c r="EZ787" i="23"/>
  <c r="EY787" i="23"/>
  <c r="EZ786" i="23"/>
  <c r="EY786" i="23"/>
  <c r="EZ785" i="23"/>
  <c r="EY785" i="23"/>
  <c r="EZ784" i="23"/>
  <c r="EY784" i="23"/>
  <c r="EZ783" i="23"/>
  <c r="EY783" i="23"/>
  <c r="EZ782" i="23"/>
  <c r="EY782" i="23"/>
  <c r="EZ781" i="23"/>
  <c r="EY781" i="23"/>
  <c r="EZ780" i="23"/>
  <c r="EY780" i="23"/>
  <c r="EZ779" i="23"/>
  <c r="EY779" i="23"/>
  <c r="EZ778" i="23"/>
  <c r="EY778" i="23"/>
  <c r="EZ777" i="23"/>
  <c r="EY777" i="23"/>
  <c r="EZ776" i="23"/>
  <c r="EY776" i="23"/>
  <c r="EZ775" i="23"/>
  <c r="EY775" i="23"/>
  <c r="EZ774" i="23"/>
  <c r="EY774" i="23"/>
  <c r="EZ773" i="23"/>
  <c r="EY773" i="23"/>
  <c r="EZ772" i="23"/>
  <c r="EY772" i="23"/>
  <c r="EZ771" i="23"/>
  <c r="EY771" i="23"/>
  <c r="EZ770" i="23"/>
  <c r="EY770" i="23"/>
  <c r="EZ769" i="23"/>
  <c r="EY769" i="23"/>
  <c r="EZ768" i="23"/>
  <c r="EY768" i="23"/>
  <c r="EZ767" i="23"/>
  <c r="EY767" i="23"/>
  <c r="EZ766" i="23"/>
  <c r="EY766" i="23"/>
  <c r="EZ765" i="23"/>
  <c r="EY765" i="23"/>
  <c r="EZ764" i="23"/>
  <c r="EY764" i="23"/>
  <c r="EZ763" i="23"/>
  <c r="EY763" i="23"/>
  <c r="EZ762" i="23"/>
  <c r="EY762" i="23"/>
  <c r="EZ761" i="23"/>
  <c r="EY761" i="23"/>
  <c r="EZ760" i="23"/>
  <c r="EY760" i="23"/>
  <c r="EZ759" i="23"/>
  <c r="EY759" i="23"/>
  <c r="EZ758" i="23"/>
  <c r="EY758" i="23"/>
  <c r="EZ757" i="23"/>
  <c r="EY757" i="23"/>
  <c r="EZ756" i="23"/>
  <c r="EY756" i="23"/>
  <c r="EZ755" i="23"/>
  <c r="EY755" i="23"/>
  <c r="EZ754" i="23"/>
  <c r="EY754" i="23"/>
  <c r="EZ753" i="23"/>
  <c r="EY753" i="23"/>
  <c r="EZ752" i="23"/>
  <c r="EY752" i="23"/>
  <c r="EZ751" i="23"/>
  <c r="EY751" i="23"/>
  <c r="EZ750" i="23"/>
  <c r="EY750" i="23"/>
  <c r="C641" i="23"/>
  <c r="D655" i="23" s="1"/>
  <c r="C644" i="23"/>
  <c r="E637" i="23" s="1"/>
  <c r="C643" i="23"/>
  <c r="T255" i="23"/>
  <c r="T205" i="28"/>
  <c r="U217" i="19"/>
  <c r="C640" i="23" l="1"/>
  <c r="R640" i="23" s="1"/>
  <c r="E659" i="23"/>
  <c r="R641" i="23"/>
  <c r="E641" i="23"/>
  <c r="U646" i="23" l="1"/>
  <c r="U654" i="23"/>
  <c r="U671" i="23"/>
  <c r="U679" i="23"/>
  <c r="U687" i="23"/>
  <c r="U695" i="23"/>
  <c r="U703" i="23"/>
  <c r="U711" i="23"/>
  <c r="U647" i="23"/>
  <c r="U655" i="23"/>
  <c r="U664" i="23"/>
  <c r="U672" i="23"/>
  <c r="U680" i="23"/>
  <c r="U688" i="23"/>
  <c r="U696" i="23"/>
  <c r="U704" i="23"/>
  <c r="U712" i="23"/>
  <c r="U666" i="23"/>
  <c r="U690" i="23"/>
  <c r="U706" i="23"/>
  <c r="U650" i="23"/>
  <c r="U667" i="23"/>
  <c r="U683" i="23"/>
  <c r="U707" i="23"/>
  <c r="U651" i="23"/>
  <c r="U660" i="23"/>
  <c r="U676" i="23"/>
  <c r="U684" i="23"/>
  <c r="U692" i="23"/>
  <c r="U700" i="23"/>
  <c r="U716" i="23"/>
  <c r="U652" i="23"/>
  <c r="U669" i="23"/>
  <c r="U685" i="23"/>
  <c r="U701" i="23"/>
  <c r="U643" i="23"/>
  <c r="U670" i="23"/>
  <c r="U678" i="23"/>
  <c r="U694" i="23"/>
  <c r="E660" i="23"/>
  <c r="U656" i="23"/>
  <c r="U665" i="23"/>
  <c r="U673" i="23"/>
  <c r="U681" i="23"/>
  <c r="U689" i="23"/>
  <c r="U697" i="23"/>
  <c r="U705" i="23"/>
  <c r="U713" i="23"/>
  <c r="U649" i="23"/>
  <c r="U657" i="23"/>
  <c r="U674" i="23"/>
  <c r="U682" i="23"/>
  <c r="U698" i="23"/>
  <c r="U714" i="23"/>
  <c r="U659" i="23"/>
  <c r="U675" i="23"/>
  <c r="U691" i="23"/>
  <c r="U699" i="23"/>
  <c r="U715" i="23"/>
  <c r="U708" i="23"/>
  <c r="U644" i="23"/>
  <c r="U661" i="23"/>
  <c r="U677" i="23"/>
  <c r="U693" i="23"/>
  <c r="U709" i="23"/>
  <c r="U645" i="23"/>
  <c r="U662" i="23"/>
  <c r="U686" i="23"/>
  <c r="U702" i="23"/>
  <c r="U710" i="23"/>
  <c r="D654" i="23"/>
  <c r="C589" i="28" l="1"/>
  <c r="E582" i="28" s="1"/>
  <c r="C586" i="28"/>
  <c r="D600" i="28" s="1"/>
  <c r="C588" i="28"/>
  <c r="E586" i="28" s="1"/>
  <c r="C585" i="28"/>
  <c r="D599" i="28" s="1"/>
  <c r="C583" i="28"/>
  <c r="D598" i="28" s="1"/>
  <c r="E598" i="28" s="1"/>
  <c r="C582" i="28"/>
  <c r="D597" i="28" s="1"/>
  <c r="EZ794" i="28"/>
  <c r="EY794" i="28"/>
  <c r="EZ793" i="28"/>
  <c r="EY793" i="28"/>
  <c r="EZ792" i="28"/>
  <c r="EY792" i="28"/>
  <c r="EZ791" i="28"/>
  <c r="EY791" i="28"/>
  <c r="EZ790" i="28"/>
  <c r="EY790" i="28"/>
  <c r="EZ789" i="28"/>
  <c r="EY789" i="28"/>
  <c r="EZ788" i="28"/>
  <c r="EY788" i="28"/>
  <c r="EZ787" i="28"/>
  <c r="EY787" i="28"/>
  <c r="EZ786" i="28"/>
  <c r="EY786" i="28"/>
  <c r="EZ785" i="28"/>
  <c r="EY785" i="28"/>
  <c r="EZ784" i="28"/>
  <c r="EY784" i="28"/>
  <c r="EZ783" i="28"/>
  <c r="EY783" i="28"/>
  <c r="EZ782" i="28"/>
  <c r="EY782" i="28"/>
  <c r="EZ781" i="28"/>
  <c r="EY781" i="28"/>
  <c r="EZ780" i="28"/>
  <c r="EY780" i="28"/>
  <c r="EZ779" i="28"/>
  <c r="EY779" i="28"/>
  <c r="EZ778" i="28"/>
  <c r="EY778" i="28"/>
  <c r="EZ777" i="28"/>
  <c r="EY777" i="28"/>
  <c r="EZ776" i="28"/>
  <c r="EY776" i="28"/>
  <c r="EZ775" i="28"/>
  <c r="EY775" i="28"/>
  <c r="EZ774" i="28"/>
  <c r="EY774" i="28"/>
  <c r="EZ773" i="28"/>
  <c r="EY773" i="28"/>
  <c r="EZ772" i="28"/>
  <c r="EY772" i="28"/>
  <c r="EZ771" i="28"/>
  <c r="EY771" i="28"/>
  <c r="EZ770" i="28"/>
  <c r="EY770" i="28"/>
  <c r="EZ769" i="28"/>
  <c r="EY769" i="28"/>
  <c r="EZ768" i="28"/>
  <c r="EY768" i="28"/>
  <c r="EZ767" i="28"/>
  <c r="EY767" i="28"/>
  <c r="EZ766" i="28"/>
  <c r="EY766" i="28"/>
  <c r="EZ765" i="28"/>
  <c r="EY765" i="28"/>
  <c r="EZ764" i="28"/>
  <c r="EY764" i="28"/>
  <c r="EZ763" i="28"/>
  <c r="EY763" i="28"/>
  <c r="EZ762" i="28"/>
  <c r="EY762" i="28"/>
  <c r="EZ761" i="28"/>
  <c r="EY761" i="28"/>
  <c r="EZ760" i="28"/>
  <c r="EY760" i="28"/>
  <c r="EZ759" i="28"/>
  <c r="EY759" i="28"/>
  <c r="EZ758" i="28"/>
  <c r="EY758" i="28"/>
  <c r="EZ757" i="28"/>
  <c r="EY757" i="28"/>
  <c r="EZ756" i="28"/>
  <c r="EY756" i="28"/>
  <c r="EZ755" i="28"/>
  <c r="EY755" i="28"/>
  <c r="EZ754" i="28"/>
  <c r="EY754" i="28"/>
  <c r="EZ753" i="28"/>
  <c r="EY753" i="28"/>
  <c r="EZ752" i="28"/>
  <c r="EY752" i="28"/>
  <c r="EZ751" i="28"/>
  <c r="EY751" i="28"/>
  <c r="EZ750" i="28"/>
  <c r="EY750" i="28"/>
  <c r="EZ749" i="28"/>
  <c r="EY749" i="28"/>
  <c r="EZ748" i="28"/>
  <c r="EY748" i="28"/>
  <c r="EZ747" i="28"/>
  <c r="EY747" i="28"/>
  <c r="EZ746" i="28"/>
  <c r="EY746" i="28"/>
  <c r="EZ745" i="28"/>
  <c r="EY745" i="28"/>
  <c r="EZ744" i="28"/>
  <c r="EY744" i="28"/>
  <c r="EZ743" i="28"/>
  <c r="EY743" i="28"/>
  <c r="EZ742" i="28"/>
  <c r="EY742" i="28"/>
  <c r="EZ741" i="28"/>
  <c r="EY741" i="28"/>
  <c r="EZ740" i="28"/>
  <c r="EY740" i="28"/>
  <c r="EZ739" i="28"/>
  <c r="EY739" i="28"/>
  <c r="EZ738" i="28"/>
  <c r="EY738" i="28"/>
  <c r="EZ737" i="28"/>
  <c r="EY737" i="28"/>
  <c r="EZ736" i="28"/>
  <c r="EY736" i="28"/>
  <c r="EZ735" i="28"/>
  <c r="EY735" i="28"/>
  <c r="EZ734" i="28"/>
  <c r="EY734" i="28"/>
  <c r="EZ733" i="28"/>
  <c r="EY733" i="28"/>
  <c r="EZ732" i="28"/>
  <c r="EY732" i="28"/>
  <c r="EZ731" i="28"/>
  <c r="EY731" i="28"/>
  <c r="EZ730" i="28"/>
  <c r="EY730" i="28"/>
  <c r="EZ729" i="28"/>
  <c r="EY729" i="28"/>
  <c r="EZ728" i="28"/>
  <c r="EY728" i="28"/>
  <c r="EZ727" i="28"/>
  <c r="EY727" i="28"/>
  <c r="EZ726" i="28"/>
  <c r="EY726" i="28"/>
  <c r="EZ725" i="28"/>
  <c r="EY725" i="28"/>
  <c r="EZ724" i="28"/>
  <c r="EY724" i="28"/>
  <c r="EZ723" i="28"/>
  <c r="EY723" i="28"/>
  <c r="EZ722" i="28"/>
  <c r="EY722" i="28"/>
  <c r="EZ721" i="28"/>
  <c r="EY721" i="28"/>
  <c r="EZ720" i="28"/>
  <c r="EY720" i="28"/>
  <c r="EZ719" i="28"/>
  <c r="EY719" i="28"/>
  <c r="EZ718" i="28"/>
  <c r="EY718" i="28"/>
  <c r="EZ717" i="28"/>
  <c r="EY717" i="28"/>
  <c r="EZ716" i="28"/>
  <c r="EY716" i="28"/>
  <c r="EZ715" i="28"/>
  <c r="EY715" i="28"/>
  <c r="EZ714" i="28"/>
  <c r="EY714" i="28"/>
  <c r="EZ713" i="28"/>
  <c r="EY713" i="28"/>
  <c r="EZ712" i="28"/>
  <c r="EY712" i="28"/>
  <c r="EZ711" i="28"/>
  <c r="EY711" i="28"/>
  <c r="EZ710" i="28"/>
  <c r="EY710" i="28"/>
  <c r="EZ709" i="28"/>
  <c r="EY709" i="28"/>
  <c r="EZ708" i="28"/>
  <c r="EY708" i="28"/>
  <c r="EZ707" i="28"/>
  <c r="EY707" i="28"/>
  <c r="EZ706" i="28"/>
  <c r="EY706" i="28"/>
  <c r="EZ705" i="28"/>
  <c r="EY705" i="28"/>
  <c r="EZ704" i="28"/>
  <c r="EY704" i="28"/>
  <c r="EZ703" i="28"/>
  <c r="EY703" i="28"/>
  <c r="EZ702" i="28"/>
  <c r="EY702" i="28"/>
  <c r="EZ701" i="28"/>
  <c r="EY701" i="28"/>
  <c r="EZ700" i="28"/>
  <c r="EY700" i="28"/>
  <c r="EZ699" i="28"/>
  <c r="EY699" i="28"/>
  <c r="EZ698" i="28"/>
  <c r="EY698" i="28"/>
  <c r="EZ697" i="28"/>
  <c r="EY697" i="28"/>
  <c r="EZ696" i="28"/>
  <c r="EY696" i="28"/>
  <c r="EZ695" i="28"/>
  <c r="EY695" i="28"/>
  <c r="E600" i="28" l="1"/>
  <c r="R585" i="28"/>
  <c r="R586" i="28"/>
  <c r="E604" i="28"/>
  <c r="E599" i="28"/>
  <c r="R584" i="28"/>
  <c r="E601" i="28" l="1"/>
  <c r="F604" i="28" s="1"/>
  <c r="U594" i="28"/>
  <c r="U612" i="28"/>
  <c r="U620" i="28"/>
  <c r="U597" i="28"/>
  <c r="U659" i="28"/>
  <c r="U619" i="28"/>
  <c r="U605" i="28"/>
  <c r="U589" i="28"/>
  <c r="U627" i="28"/>
  <c r="U613" i="28"/>
  <c r="U635" i="28"/>
  <c r="U628" i="28"/>
  <c r="U621" i="28"/>
  <c r="U606" i="28"/>
  <c r="U652" i="28"/>
  <c r="U643" i="28"/>
  <c r="U636" i="28"/>
  <c r="U629" i="28"/>
  <c r="U614" i="28"/>
  <c r="U645" i="28"/>
  <c r="U651" i="28"/>
  <c r="U644" i="28"/>
  <c r="U637" i="28"/>
  <c r="U638" i="28"/>
  <c r="U602" i="28"/>
  <c r="U595" i="28"/>
  <c r="U660" i="28"/>
  <c r="U653" i="28"/>
  <c r="U611" i="28"/>
  <c r="U604" i="28"/>
  <c r="U596" i="28"/>
  <c r="U661" i="28"/>
  <c r="U646" i="28"/>
  <c r="U654" i="28"/>
  <c r="U588" i="28"/>
  <c r="U622" i="28"/>
  <c r="U630" i="28"/>
  <c r="U607" i="28"/>
  <c r="U623" i="28"/>
  <c r="U626" i="28"/>
  <c r="U618" i="28"/>
  <c r="U591" i="28"/>
  <c r="U658" i="28"/>
  <c r="U624" i="28"/>
  <c r="U648" i="28"/>
  <c r="U639" i="28"/>
  <c r="U601" i="28"/>
  <c r="U656" i="28"/>
  <c r="U593" i="28"/>
  <c r="U600" i="28"/>
  <c r="U631" i="28"/>
  <c r="U599" i="28"/>
  <c r="U609" i="28"/>
  <c r="U642" i="28"/>
  <c r="U647" i="28"/>
  <c r="U632" i="28"/>
  <c r="U590" i="28"/>
  <c r="U655" i="28"/>
  <c r="U640" i="28"/>
  <c r="U625" i="28"/>
  <c r="U617" i="28"/>
  <c r="U633" i="28"/>
  <c r="U641" i="28"/>
  <c r="U608" i="28"/>
  <c r="U650" i="28"/>
  <c r="U649" i="28"/>
  <c r="U616" i="28"/>
  <c r="U592" i="28"/>
  <c r="U610" i="28"/>
  <c r="U634" i="28"/>
  <c r="E605" i="28"/>
  <c r="C591" i="19"/>
  <c r="D603" i="19"/>
  <c r="E603" i="19" s="1"/>
  <c r="C534" i="19"/>
  <c r="C529" i="19"/>
  <c r="D529" i="19" s="1"/>
  <c r="C558" i="19"/>
  <c r="E558" i="19" s="1"/>
  <c r="C557" i="19"/>
  <c r="C556" i="19"/>
  <c r="C555" i="19"/>
  <c r="C554" i="19"/>
  <c r="C553" i="19"/>
  <c r="E591" i="19"/>
  <c r="C590" i="19"/>
  <c r="R590" i="19" s="1"/>
  <c r="C588" i="19"/>
  <c r="C587" i="19"/>
  <c r="D602" i="19" s="1"/>
  <c r="EZ799" i="19"/>
  <c r="EY799" i="19"/>
  <c r="EZ798" i="19"/>
  <c r="EY798" i="19"/>
  <c r="EZ797" i="19"/>
  <c r="EY797" i="19"/>
  <c r="EZ796" i="19"/>
  <c r="EY796" i="19"/>
  <c r="EZ795" i="19"/>
  <c r="EY795" i="19"/>
  <c r="EZ794" i="19"/>
  <c r="EY794" i="19"/>
  <c r="EZ793" i="19"/>
  <c r="EY793" i="19"/>
  <c r="EZ792" i="19"/>
  <c r="EY792" i="19"/>
  <c r="EZ791" i="19"/>
  <c r="EY791" i="19"/>
  <c r="EZ790" i="19"/>
  <c r="EY790" i="19"/>
  <c r="EZ789" i="19"/>
  <c r="EY789" i="19"/>
  <c r="EZ788" i="19"/>
  <c r="EY788" i="19"/>
  <c r="EZ787" i="19"/>
  <c r="EY787" i="19"/>
  <c r="EZ786" i="19"/>
  <c r="EY786" i="19"/>
  <c r="EZ785" i="19"/>
  <c r="EY785" i="19"/>
  <c r="EZ784" i="19"/>
  <c r="EY784" i="19"/>
  <c r="EZ783" i="19"/>
  <c r="EY783" i="19"/>
  <c r="EZ782" i="19"/>
  <c r="EY782" i="19"/>
  <c r="EZ781" i="19"/>
  <c r="EY781" i="19"/>
  <c r="EZ780" i="19"/>
  <c r="EY780" i="19"/>
  <c r="EZ779" i="19"/>
  <c r="EY779" i="19"/>
  <c r="EZ778" i="19"/>
  <c r="EY778" i="19"/>
  <c r="EZ777" i="19"/>
  <c r="EY777" i="19"/>
  <c r="EZ776" i="19"/>
  <c r="EY776" i="19"/>
  <c r="EZ775" i="19"/>
  <c r="EY775" i="19"/>
  <c r="EZ774" i="19"/>
  <c r="EY774" i="19"/>
  <c r="EZ773" i="19"/>
  <c r="EY773" i="19"/>
  <c r="EZ772" i="19"/>
  <c r="EY772" i="19"/>
  <c r="EZ771" i="19"/>
  <c r="EY771" i="19"/>
  <c r="EZ770" i="19"/>
  <c r="EY770" i="19"/>
  <c r="EZ769" i="19"/>
  <c r="EY769" i="19"/>
  <c r="EZ768" i="19"/>
  <c r="EY768" i="19"/>
  <c r="EZ767" i="19"/>
  <c r="EY767" i="19"/>
  <c r="EZ766" i="19"/>
  <c r="EY766" i="19"/>
  <c r="EZ765" i="19"/>
  <c r="EY765" i="19"/>
  <c r="EZ764" i="19"/>
  <c r="EY764" i="19"/>
  <c r="EZ763" i="19"/>
  <c r="EY763" i="19"/>
  <c r="EZ762" i="19"/>
  <c r="EY762" i="19"/>
  <c r="EZ761" i="19"/>
  <c r="EY761" i="19"/>
  <c r="EZ760" i="19"/>
  <c r="EY760" i="19"/>
  <c r="EZ759" i="19"/>
  <c r="EY759" i="19"/>
  <c r="EZ758" i="19"/>
  <c r="EY758" i="19"/>
  <c r="EZ757" i="19"/>
  <c r="EY757" i="19"/>
  <c r="EZ756" i="19"/>
  <c r="EY756" i="19"/>
  <c r="EZ755" i="19"/>
  <c r="EY755" i="19"/>
  <c r="EZ754" i="19"/>
  <c r="EY754" i="19"/>
  <c r="EZ753" i="19"/>
  <c r="EY753" i="19"/>
  <c r="EZ752" i="19"/>
  <c r="EY752" i="19"/>
  <c r="EZ751" i="19"/>
  <c r="EY751" i="19"/>
  <c r="EZ750" i="19"/>
  <c r="EY750" i="19"/>
  <c r="EZ749" i="19"/>
  <c r="EY749" i="19"/>
  <c r="EZ748" i="19"/>
  <c r="EY748" i="19"/>
  <c r="EZ747" i="19"/>
  <c r="EY747" i="19"/>
  <c r="EZ746" i="19"/>
  <c r="EY746" i="19"/>
  <c r="EZ745" i="19"/>
  <c r="EY745" i="19"/>
  <c r="EZ744" i="19"/>
  <c r="EY744" i="19"/>
  <c r="EZ743" i="19"/>
  <c r="EY743" i="19"/>
  <c r="EZ742" i="19"/>
  <c r="EY742" i="19"/>
  <c r="EZ741" i="19"/>
  <c r="EY741" i="19"/>
  <c r="EZ740" i="19"/>
  <c r="EY740" i="19"/>
  <c r="EZ739" i="19"/>
  <c r="EY739" i="19"/>
  <c r="EZ738" i="19"/>
  <c r="EY738" i="19"/>
  <c r="EZ737" i="19"/>
  <c r="EY737" i="19"/>
  <c r="EZ736" i="19"/>
  <c r="EY736" i="19"/>
  <c r="EZ735" i="19"/>
  <c r="EY735" i="19"/>
  <c r="EZ734" i="19"/>
  <c r="EY734" i="19"/>
  <c r="EZ733" i="19"/>
  <c r="EY733" i="19"/>
  <c r="EZ732" i="19"/>
  <c r="EY732" i="19"/>
  <c r="EZ731" i="19"/>
  <c r="EY731" i="19"/>
  <c r="EZ730" i="19"/>
  <c r="EY730" i="19"/>
  <c r="EZ729" i="19"/>
  <c r="EY729" i="19"/>
  <c r="EZ728" i="19"/>
  <c r="EY728" i="19"/>
  <c r="EZ727" i="19"/>
  <c r="EY727" i="19"/>
  <c r="EZ726" i="19"/>
  <c r="EY726" i="19"/>
  <c r="EZ725" i="19"/>
  <c r="EY725" i="19"/>
  <c r="EZ724" i="19"/>
  <c r="EY724" i="19"/>
  <c r="EZ723" i="19"/>
  <c r="EY723" i="19"/>
  <c r="EZ722" i="19"/>
  <c r="EY722" i="19"/>
  <c r="EZ721" i="19"/>
  <c r="EY721" i="19"/>
  <c r="EZ720" i="19"/>
  <c r="EY720" i="19"/>
  <c r="EZ719" i="19"/>
  <c r="EY719" i="19"/>
  <c r="EZ718" i="19"/>
  <c r="EY718" i="19"/>
  <c r="EZ717" i="19"/>
  <c r="EY717" i="19"/>
  <c r="EZ716" i="19"/>
  <c r="EY716" i="19"/>
  <c r="EZ715" i="19"/>
  <c r="EY715" i="19"/>
  <c r="EZ714" i="19"/>
  <c r="EY714" i="19"/>
  <c r="EZ713" i="19"/>
  <c r="EY713" i="19"/>
  <c r="EZ712" i="19"/>
  <c r="EY712" i="19"/>
  <c r="EZ711" i="19"/>
  <c r="EY711" i="19"/>
  <c r="EZ710" i="19"/>
  <c r="EY710" i="19"/>
  <c r="EZ709" i="19"/>
  <c r="EY709" i="19"/>
  <c r="EZ708" i="19"/>
  <c r="EY708" i="19"/>
  <c r="EZ707" i="19"/>
  <c r="EY707" i="19"/>
  <c r="EZ706" i="19"/>
  <c r="EY706" i="19"/>
  <c r="EZ705" i="19"/>
  <c r="EY705" i="19"/>
  <c r="EZ704" i="19"/>
  <c r="EY704" i="19"/>
  <c r="EZ703" i="19"/>
  <c r="EY703" i="19"/>
  <c r="EZ702" i="19"/>
  <c r="EY702" i="19"/>
  <c r="EZ701" i="19"/>
  <c r="EY701" i="19"/>
  <c r="EZ700" i="19"/>
  <c r="EY700" i="19"/>
  <c r="D564" i="19"/>
  <c r="D547" i="19"/>
  <c r="J540" i="19" s="1"/>
  <c r="C547" i="19"/>
  <c r="J536" i="19" s="1"/>
  <c r="B547" i="19"/>
  <c r="O525" i="19"/>
  <c r="M525" i="19"/>
  <c r="L525" i="19"/>
  <c r="K525" i="19"/>
  <c r="D525" i="19"/>
  <c r="J525" i="19" s="1"/>
  <c r="E605" i="19" l="1"/>
  <c r="F605" i="28"/>
  <c r="F606" i="28" s="1"/>
  <c r="R622" i="28" s="1"/>
  <c r="G529" i="19"/>
  <c r="G530" i="19" s="1"/>
  <c r="E529" i="19"/>
  <c r="J529" i="19"/>
  <c r="J530" i="19" s="1"/>
  <c r="K123" i="19" s="1"/>
  <c r="F529" i="19"/>
  <c r="F530" i="19" s="1"/>
  <c r="E587" i="19"/>
  <c r="R591" i="19"/>
  <c r="D605" i="19"/>
  <c r="D604" i="19"/>
  <c r="E604" i="19" s="1"/>
  <c r="R589" i="19"/>
  <c r="E556" i="19"/>
  <c r="E555" i="19"/>
  <c r="E553" i="19"/>
  <c r="E554" i="19"/>
  <c r="E557" i="19"/>
  <c r="K125" i="19" s="1"/>
  <c r="J542" i="19"/>
  <c r="K121" i="19" s="1"/>
  <c r="J538" i="19"/>
  <c r="K120" i="19" s="1"/>
  <c r="E606" i="19" l="1"/>
  <c r="F609" i="19" s="1"/>
  <c r="K126" i="19"/>
  <c r="Q260" i="19" s="1"/>
  <c r="R668" i="28"/>
  <c r="R628" i="28"/>
  <c r="R641" i="28"/>
  <c r="R683" i="28"/>
  <c r="R685" i="28"/>
  <c r="R659" i="28"/>
  <c r="R624" i="28"/>
  <c r="R621" i="28"/>
  <c r="T622" i="28" s="1"/>
  <c r="R595" i="28"/>
  <c r="R647" i="28"/>
  <c r="R614" i="28"/>
  <c r="R658" i="28"/>
  <c r="R634" i="28"/>
  <c r="R594" i="28"/>
  <c r="R604" i="28"/>
  <c r="R688" i="28"/>
  <c r="R645" i="28"/>
  <c r="R619" i="28"/>
  <c r="R591" i="28"/>
  <c r="F582" i="28"/>
  <c r="F584" i="28" s="1"/>
  <c r="F586" i="28" s="1"/>
  <c r="K131" i="28" s="1"/>
  <c r="R637" i="28"/>
  <c r="R684" i="28"/>
  <c r="R620" i="28"/>
  <c r="R675" i="28"/>
  <c r="R611" i="28"/>
  <c r="R650" i="28"/>
  <c r="R638" i="28"/>
  <c r="R633" i="28"/>
  <c r="R680" i="28"/>
  <c r="R616" i="28"/>
  <c r="R598" i="28"/>
  <c r="U598" i="28" s="1"/>
  <c r="R639" i="28"/>
  <c r="R629" i="28"/>
  <c r="R676" i="28"/>
  <c r="R612" i="28"/>
  <c r="R667" i="28"/>
  <c r="R603" i="28"/>
  <c r="U603" i="28" s="1"/>
  <c r="R642" i="28"/>
  <c r="R589" i="28"/>
  <c r="R625" i="28"/>
  <c r="R672" i="28"/>
  <c r="R608" i="28"/>
  <c r="R590" i="28"/>
  <c r="T591" i="28" s="1"/>
  <c r="R631" i="28"/>
  <c r="R681" i="28"/>
  <c r="R617" i="28"/>
  <c r="R664" i="28"/>
  <c r="R687" i="28"/>
  <c r="R613" i="28"/>
  <c r="R660" i="28"/>
  <c r="R596" i="28"/>
  <c r="R651" i="28"/>
  <c r="R626" i="28"/>
  <c r="R673" i="28"/>
  <c r="R609" i="28"/>
  <c r="R656" i="28"/>
  <c r="R592" i="28"/>
  <c r="R679" i="28"/>
  <c r="R615" i="28"/>
  <c r="U615" i="28" s="1"/>
  <c r="R669" i="28"/>
  <c r="R605" i="28"/>
  <c r="R652" i="28"/>
  <c r="R686" i="28"/>
  <c r="R643" i="28"/>
  <c r="R682" i="28"/>
  <c r="R618" i="28"/>
  <c r="T619" i="28" s="1"/>
  <c r="R665" i="28"/>
  <c r="R601" i="28"/>
  <c r="R648" i="28"/>
  <c r="R678" i="28"/>
  <c r="R671" i="28"/>
  <c r="R607" i="28"/>
  <c r="R600" i="28"/>
  <c r="R677" i="28"/>
  <c r="R661" i="28"/>
  <c r="R597" i="28"/>
  <c r="R644" i="28"/>
  <c r="R654" i="28"/>
  <c r="R635" i="28"/>
  <c r="R674" i="28"/>
  <c r="R610" i="28"/>
  <c r="R657" i="28"/>
  <c r="R593" i="28"/>
  <c r="R640" i="28"/>
  <c r="R646" i="28"/>
  <c r="R663" i="28"/>
  <c r="R599" i="28"/>
  <c r="R623" i="28"/>
  <c r="R653" i="28"/>
  <c r="R670" i="28"/>
  <c r="R636" i="28"/>
  <c r="R606" i="28"/>
  <c r="R627" i="28"/>
  <c r="R666" i="28"/>
  <c r="R602" i="28"/>
  <c r="R649" i="28"/>
  <c r="R662" i="28"/>
  <c r="R632" i="28"/>
  <c r="R630" i="28"/>
  <c r="R655" i="28"/>
  <c r="U600" i="19"/>
  <c r="U616" i="19"/>
  <c r="U624" i="19"/>
  <c r="U632" i="19"/>
  <c r="U640" i="19"/>
  <c r="U648" i="19"/>
  <c r="U656" i="19"/>
  <c r="U664" i="19"/>
  <c r="U601" i="19"/>
  <c r="U609" i="19"/>
  <c r="U617" i="19"/>
  <c r="U625" i="19"/>
  <c r="U633" i="19"/>
  <c r="U641" i="19"/>
  <c r="U649" i="19"/>
  <c r="U657" i="19"/>
  <c r="U665" i="19"/>
  <c r="U602" i="19"/>
  <c r="U610" i="19"/>
  <c r="U626" i="19"/>
  <c r="U634" i="19"/>
  <c r="U642" i="19"/>
  <c r="U650" i="19"/>
  <c r="U658" i="19"/>
  <c r="U666" i="19"/>
  <c r="U611" i="19"/>
  <c r="U619" i="19"/>
  <c r="U627" i="19"/>
  <c r="U635" i="19"/>
  <c r="U643" i="19"/>
  <c r="U651" i="19"/>
  <c r="U659" i="19"/>
  <c r="U596" i="19"/>
  <c r="U604" i="19"/>
  <c r="U612" i="19"/>
  <c r="U620" i="19"/>
  <c r="U628" i="19"/>
  <c r="U636" i="19"/>
  <c r="U644" i="19"/>
  <c r="U652" i="19"/>
  <c r="U660" i="19"/>
  <c r="U597" i="19"/>
  <c r="U605" i="19"/>
  <c r="U621" i="19"/>
  <c r="U629" i="19"/>
  <c r="U637" i="19"/>
  <c r="U645" i="19"/>
  <c r="U653" i="19"/>
  <c r="U661" i="19"/>
  <c r="U606" i="19"/>
  <c r="U614" i="19"/>
  <c r="U622" i="19"/>
  <c r="U630" i="19"/>
  <c r="U638" i="19"/>
  <c r="U646" i="19"/>
  <c r="U654" i="19"/>
  <c r="U662" i="19"/>
  <c r="U599" i="19"/>
  <c r="U607" i="19"/>
  <c r="U615" i="19"/>
  <c r="U623" i="19"/>
  <c r="U631" i="19"/>
  <c r="U639" i="19"/>
  <c r="U647" i="19"/>
  <c r="U655" i="19"/>
  <c r="U663" i="19"/>
  <c r="U593" i="19"/>
  <c r="E610" i="19"/>
  <c r="E559" i="19"/>
  <c r="J544" i="19"/>
  <c r="H529" i="19"/>
  <c r="E530" i="19"/>
  <c r="T681" i="28" l="1"/>
  <c r="T684" i="28"/>
  <c r="T631" i="28"/>
  <c r="T651" i="28"/>
  <c r="T652" i="28"/>
  <c r="T669" i="28"/>
  <c r="T596" i="28"/>
  <c r="T646" i="28"/>
  <c r="T644" i="28"/>
  <c r="T595" i="28"/>
  <c r="T668" i="28"/>
  <c r="T612" i="28"/>
  <c r="T683" i="28"/>
  <c r="T614" i="28"/>
  <c r="T625" i="28"/>
  <c r="T605" i="28"/>
  <c r="T624" i="28"/>
  <c r="T628" i="28"/>
  <c r="T648" i="28"/>
  <c r="T642" i="28"/>
  <c r="T641" i="28"/>
  <c r="T597" i="28"/>
  <c r="T661" i="28"/>
  <c r="T615" i="28"/>
  <c r="T613" i="28"/>
  <c r="T629" i="28"/>
  <c r="T603" i="28"/>
  <c r="T639" i="28"/>
  <c r="T673" i="28"/>
  <c r="T607" i="28"/>
  <c r="T592" i="28"/>
  <c r="T632" i="28"/>
  <c r="T620" i="28"/>
  <c r="T618" i="28"/>
  <c r="T660" i="28"/>
  <c r="T636" i="28"/>
  <c r="T687" i="28"/>
  <c r="T676" i="28"/>
  <c r="T665" i="28"/>
  <c r="T594" i="28"/>
  <c r="T602" i="28"/>
  <c r="T688" i="28"/>
  <c r="T617" i="28"/>
  <c r="T671" i="28"/>
  <c r="T655" i="28"/>
  <c r="T649" i="28"/>
  <c r="T662" i="28"/>
  <c r="T659" i="28"/>
  <c r="T666" i="28"/>
  <c r="T643" i="28"/>
  <c r="T610" i="28"/>
  <c r="T601" i="28"/>
  <c r="T654" i="28"/>
  <c r="T657" i="28"/>
  <c r="U657" i="28"/>
  <c r="T621" i="28"/>
  <c r="T626" i="28"/>
  <c r="T590" i="28"/>
  <c r="T589" i="28" s="1"/>
  <c r="T606" i="28"/>
  <c r="T674" i="28"/>
  <c r="T638" i="28"/>
  <c r="T635" i="28"/>
  <c r="T686" i="28"/>
  <c r="T645" i="28"/>
  <c r="T682" i="28"/>
  <c r="T634" i="28"/>
  <c r="T630" i="28"/>
  <c r="T678" i="28"/>
  <c r="T623" i="28"/>
  <c r="T685" i="28"/>
  <c r="T604" i="28"/>
  <c r="T647" i="28"/>
  <c r="T679" i="28"/>
  <c r="T598" i="28"/>
  <c r="T677" i="28"/>
  <c r="T599" i="28"/>
  <c r="T658" i="28"/>
  <c r="G586" i="28"/>
  <c r="T640" i="28"/>
  <c r="T656" i="28"/>
  <c r="T667" i="28"/>
  <c r="T633" i="28"/>
  <c r="T670" i="28"/>
  <c r="T609" i="28"/>
  <c r="T664" i="28"/>
  <c r="T608" i="28"/>
  <c r="T650" i="28"/>
  <c r="T672" i="28"/>
  <c r="T611" i="28"/>
  <c r="T675" i="28"/>
  <c r="T627" i="28"/>
  <c r="T653" i="28"/>
  <c r="T637" i="28"/>
  <c r="T663" i="28"/>
  <c r="T593" i="28"/>
  <c r="T600" i="28"/>
  <c r="T616" i="28"/>
  <c r="T680" i="28"/>
  <c r="H530" i="19"/>
  <c r="K122" i="19" s="1"/>
  <c r="L529" i="19"/>
  <c r="L530" i="19" s="1"/>
  <c r="F607" i="28" l="1"/>
  <c r="F591" i="28" s="1"/>
  <c r="G591" i="28" s="1"/>
  <c r="G592" i="28" s="1"/>
  <c r="F592" i="28" l="1"/>
  <c r="B583" i="34"/>
  <c r="C562" i="28" l="1"/>
  <c r="C550" i="28"/>
  <c r="C548" i="28"/>
  <c r="C546" i="28"/>
  <c r="C549" i="28"/>
  <c r="C547" i="28"/>
  <c r="C545" i="28"/>
  <c r="G54" i="23" l="1"/>
  <c r="G55" i="23"/>
  <c r="C619" i="23" s="1"/>
  <c r="D539" i="28"/>
  <c r="C521" i="28"/>
  <c r="D521" i="28" s="1"/>
  <c r="M574" i="23"/>
  <c r="L574" i="23"/>
  <c r="M517" i="28"/>
  <c r="L517" i="28"/>
  <c r="K517" i="28"/>
  <c r="D517" i="28"/>
  <c r="C526" i="28"/>
  <c r="E550" i="28"/>
  <c r="E546" i="28"/>
  <c r="J521" i="28" l="1"/>
  <c r="E521" i="28"/>
  <c r="G521" i="28"/>
  <c r="C610" i="23"/>
  <c r="E610" i="23" s="1"/>
  <c r="J522" i="28"/>
  <c r="K122" i="28" s="1"/>
  <c r="F521" i="28"/>
  <c r="F522" i="28" s="1"/>
  <c r="G522" i="28"/>
  <c r="E547" i="28"/>
  <c r="E548" i="28"/>
  <c r="E545" i="28"/>
  <c r="F526" i="28"/>
  <c r="J532" i="28" s="1"/>
  <c r="B539" i="28"/>
  <c r="C539" i="28"/>
  <c r="J517" i="28"/>
  <c r="E549" i="28"/>
  <c r="K124" i="28" s="1"/>
  <c r="G53" i="36"/>
  <c r="G53" i="34"/>
  <c r="H521" i="28" l="1"/>
  <c r="L521" i="28" s="1"/>
  <c r="J528" i="28"/>
  <c r="J530" i="28" s="1"/>
  <c r="K119" i="28" s="1"/>
  <c r="J534" i="28"/>
  <c r="K120" i="28" s="1"/>
  <c r="K304" i="19"/>
  <c r="K308" i="19" s="1"/>
  <c r="C618" i="23"/>
  <c r="C620" i="23" s="1"/>
  <c r="C622" i="23" s="1"/>
  <c r="K125" i="28"/>
  <c r="E551" i="28"/>
  <c r="E522" i="28"/>
  <c r="P248" i="28" l="1"/>
  <c r="J536" i="28"/>
  <c r="H522" i="28"/>
  <c r="K121" i="28" s="1"/>
  <c r="L522" i="28"/>
  <c r="J304" i="19" l="1"/>
  <c r="I304" i="19"/>
  <c r="I300" i="19"/>
  <c r="J300" i="19"/>
  <c r="G94" i="36"/>
  <c r="H277" i="36"/>
  <c r="G277" i="36"/>
  <c r="F277" i="36"/>
  <c r="E277" i="36"/>
  <c r="D277" i="36"/>
  <c r="F106" i="36"/>
  <c r="AM205" i="36" s="1"/>
  <c r="AO220" i="36"/>
  <c r="E591" i="36"/>
  <c r="E590" i="36"/>
  <c r="E589" i="36"/>
  <c r="E588" i="36"/>
  <c r="E587" i="36"/>
  <c r="E586" i="36"/>
  <c r="E585" i="36"/>
  <c r="E584" i="36"/>
  <c r="H541" i="36"/>
  <c r="I536" i="36"/>
  <c r="H536" i="36"/>
  <c r="I535" i="36"/>
  <c r="H535" i="36"/>
  <c r="I534" i="36"/>
  <c r="H534" i="36"/>
  <c r="I533" i="36"/>
  <c r="H533" i="36"/>
  <c r="I532" i="36"/>
  <c r="H532" i="36"/>
  <c r="G531" i="36"/>
  <c r="F531" i="36"/>
  <c r="E531" i="36"/>
  <c r="D531" i="36"/>
  <c r="C531" i="36"/>
  <c r="I530" i="36"/>
  <c r="H530" i="36"/>
  <c r="I529" i="36"/>
  <c r="H529" i="36"/>
  <c r="I528" i="36"/>
  <c r="H528" i="36"/>
  <c r="I527" i="36"/>
  <c r="H527" i="36"/>
  <c r="I526" i="36"/>
  <c r="H526" i="36"/>
  <c r="G525" i="36"/>
  <c r="F525" i="36"/>
  <c r="E525" i="36"/>
  <c r="D525" i="36"/>
  <c r="C525" i="36"/>
  <c r="I524" i="36"/>
  <c r="H524" i="36"/>
  <c r="I523" i="36"/>
  <c r="H523" i="36"/>
  <c r="D512" i="36"/>
  <c r="E512" i="36" s="1"/>
  <c r="F512" i="36" s="1"/>
  <c r="G512" i="36" s="1"/>
  <c r="H512" i="36" s="1"/>
  <c r="I512" i="36" s="1"/>
  <c r="J512" i="36" s="1"/>
  <c r="K512" i="36" s="1"/>
  <c r="L512" i="36" s="1"/>
  <c r="M512" i="36" s="1"/>
  <c r="N512" i="36" s="1"/>
  <c r="O512" i="36" s="1"/>
  <c r="P512" i="36" s="1"/>
  <c r="Q512" i="36" s="1"/>
  <c r="R512" i="36" s="1"/>
  <c r="S512" i="36" s="1"/>
  <c r="T512" i="36" s="1"/>
  <c r="U512" i="36" s="1"/>
  <c r="V512" i="36" s="1"/>
  <c r="W512" i="36" s="1"/>
  <c r="X512" i="36" s="1"/>
  <c r="Y512" i="36" s="1"/>
  <c r="Z512" i="36" s="1"/>
  <c r="AA512" i="36" s="1"/>
  <c r="AB512" i="36" s="1"/>
  <c r="AC512" i="36" s="1"/>
  <c r="AD512" i="36" s="1"/>
  <c r="AE512" i="36" s="1"/>
  <c r="AF512" i="36" s="1"/>
  <c r="AG512" i="36" s="1"/>
  <c r="L231" i="36"/>
  <c r="L209" i="36"/>
  <c r="J308" i="19" l="1"/>
  <c r="I308" i="19"/>
  <c r="I525" i="36"/>
  <c r="AV194" i="36"/>
  <c r="AV202" i="36" s="1"/>
  <c r="H525" i="36"/>
  <c r="H531" i="36"/>
  <c r="I531" i="36"/>
  <c r="AJ221" i="36" l="1"/>
  <c r="H104" i="36" l="1"/>
  <c r="AN193" i="36" s="1"/>
  <c r="G104" i="36"/>
  <c r="AN192" i="36" s="1"/>
  <c r="F101" i="36"/>
  <c r="AH205" i="36" s="1"/>
  <c r="H99" i="36"/>
  <c r="AI198" i="36" s="1"/>
  <c r="G97" i="36"/>
  <c r="AA198" i="36" s="1"/>
  <c r="AI195" i="36"/>
  <c r="G93" i="36"/>
  <c r="AI194" i="36" s="1"/>
  <c r="H91" i="36"/>
  <c r="AI193" i="36" s="1"/>
  <c r="G91" i="36"/>
  <c r="AI192" i="36" s="1"/>
  <c r="F80" i="36"/>
  <c r="AD193" i="36" s="1"/>
  <c r="B543" i="36"/>
  <c r="G68" i="36"/>
  <c r="C603" i="36" s="1"/>
  <c r="E603" i="36" s="1"/>
  <c r="C68" i="36"/>
  <c r="C602" i="36" s="1"/>
  <c r="G66" i="36"/>
  <c r="C601" i="36" s="1"/>
  <c r="E601" i="36" s="1"/>
  <c r="C600" i="36"/>
  <c r="E600" i="36" s="1"/>
  <c r="G64" i="36"/>
  <c r="C599" i="36" s="1"/>
  <c r="E599" i="36" s="1"/>
  <c r="C598" i="36"/>
  <c r="C61" i="36"/>
  <c r="C549" i="36" s="1"/>
  <c r="C60" i="36"/>
  <c r="C553" i="36" s="1"/>
  <c r="H57" i="36"/>
  <c r="G57" i="36"/>
  <c r="F57" i="36"/>
  <c r="E57" i="36"/>
  <c r="C57" i="36"/>
  <c r="H56" i="36"/>
  <c r="G56" i="36"/>
  <c r="F56" i="36"/>
  <c r="E56" i="36"/>
  <c r="C56" i="36"/>
  <c r="G52" i="36"/>
  <c r="C52" i="36"/>
  <c r="G51" i="36"/>
  <c r="D346" i="36" s="1"/>
  <c r="C51" i="36"/>
  <c r="E48" i="36"/>
  <c r="T193" i="36" s="1"/>
  <c r="U193" i="36" s="1"/>
  <c r="D45" i="36"/>
  <c r="D44" i="36"/>
  <c r="K216" i="36" s="1"/>
  <c r="K212" i="36" s="1"/>
  <c r="I280" i="36" s="1"/>
  <c r="I282" i="36" s="1"/>
  <c r="H41" i="36"/>
  <c r="F41" i="36"/>
  <c r="D41" i="36"/>
  <c r="H40" i="36"/>
  <c r="F40" i="36"/>
  <c r="D40" i="36"/>
  <c r="H39" i="36"/>
  <c r="F39" i="36"/>
  <c r="D39" i="36"/>
  <c r="D38" i="36"/>
  <c r="F37" i="36"/>
  <c r="D37" i="36"/>
  <c r="F36" i="36"/>
  <c r="D36" i="36"/>
  <c r="D34" i="36"/>
  <c r="H32" i="36"/>
  <c r="D32" i="36"/>
  <c r="D30" i="36"/>
  <c r="T204" i="36" s="1"/>
  <c r="I30" i="36" s="1"/>
  <c r="H22" i="36"/>
  <c r="H20" i="36"/>
  <c r="G20" i="36"/>
  <c r="F20" i="36"/>
  <c r="E20" i="36"/>
  <c r="D20" i="36"/>
  <c r="D278" i="36" s="1"/>
  <c r="H18" i="36"/>
  <c r="G18" i="36"/>
  <c r="F18" i="36"/>
  <c r="E18" i="36"/>
  <c r="D18" i="36"/>
  <c r="D14" i="36"/>
  <c r="H12" i="36"/>
  <c r="D12" i="36"/>
  <c r="H10" i="36"/>
  <c r="D10" i="36"/>
  <c r="D35" i="23"/>
  <c r="P261" i="36" l="1"/>
  <c r="P232" i="36"/>
  <c r="P266" i="36" s="1"/>
  <c r="Q235" i="36"/>
  <c r="BA200" i="36"/>
  <c r="AZ200" i="36"/>
  <c r="BD200" i="36"/>
  <c r="BC200" i="36"/>
  <c r="BB200" i="36"/>
  <c r="D84" i="36"/>
  <c r="K220" i="36"/>
  <c r="K225" i="36" s="1"/>
  <c r="I112" i="36" s="1"/>
  <c r="K237" i="36"/>
  <c r="K259" i="36"/>
  <c r="AV193" i="36"/>
  <c r="AV200" i="36" s="1"/>
  <c r="AK221" i="36" s="1"/>
  <c r="AK222" i="36" s="1"/>
  <c r="B537" i="36"/>
  <c r="F537" i="36"/>
  <c r="I537" i="36"/>
  <c r="F540" i="36" s="1"/>
  <c r="C540" i="36" s="1"/>
  <c r="E537" i="36"/>
  <c r="H537" i="36"/>
  <c r="E540" i="36" s="1"/>
  <c r="D537" i="36"/>
  <c r="G537" i="36"/>
  <c r="C537" i="36"/>
  <c r="D347" i="36"/>
  <c r="G353" i="36" s="1"/>
  <c r="C609" i="36"/>
  <c r="E609" i="36" s="1"/>
  <c r="C608" i="36"/>
  <c r="E608" i="36" s="1"/>
  <c r="C607" i="36"/>
  <c r="E607" i="36" s="1"/>
  <c r="C610" i="36"/>
  <c r="E610" i="36" s="1"/>
  <c r="E592" i="36"/>
  <c r="C554" i="36" s="1"/>
  <c r="C578" i="36" s="1"/>
  <c r="K119" i="36" s="1"/>
  <c r="D592" i="36"/>
  <c r="C592" i="36"/>
  <c r="B592" i="36"/>
  <c r="F570" i="36"/>
  <c r="C572" i="36"/>
  <c r="E570" i="36"/>
  <c r="C563" i="36"/>
  <c r="H570" i="36"/>
  <c r="D570" i="36"/>
  <c r="G570" i="36"/>
  <c r="C570" i="36"/>
  <c r="G352" i="36"/>
  <c r="D483" i="36"/>
  <c r="D499" i="36" s="1"/>
  <c r="D447" i="36"/>
  <c r="D465" i="36" s="1"/>
  <c r="J293" i="36"/>
  <c r="J289" i="36"/>
  <c r="I293" i="36"/>
  <c r="I289" i="36"/>
  <c r="I225" i="36"/>
  <c r="J225" i="36"/>
  <c r="G278" i="36"/>
  <c r="H216" i="36"/>
  <c r="H212" i="36" s="1"/>
  <c r="H280" i="36" s="1"/>
  <c r="G216" i="36"/>
  <c r="G212" i="36" s="1"/>
  <c r="F216" i="36"/>
  <c r="F212" i="36" s="1"/>
  <c r="E216" i="36"/>
  <c r="E212" i="36" s="1"/>
  <c r="AS195" i="36"/>
  <c r="AS194" i="36"/>
  <c r="AS193" i="36"/>
  <c r="AV195" i="36"/>
  <c r="AG217" i="36"/>
  <c r="AH217" i="36" s="1"/>
  <c r="C277" i="36"/>
  <c r="E278" i="36"/>
  <c r="H278" i="36"/>
  <c r="F278" i="36"/>
  <c r="AS202" i="36"/>
  <c r="AS198" i="36"/>
  <c r="AS201" i="36"/>
  <c r="AS200" i="36"/>
  <c r="AS199" i="36"/>
  <c r="AV197" i="36"/>
  <c r="AV196" i="36"/>
  <c r="AV192" i="36"/>
  <c r="AV198" i="36"/>
  <c r="AJ222" i="36"/>
  <c r="T200" i="36"/>
  <c r="E598" i="36"/>
  <c r="C542" i="36"/>
  <c r="C541" i="36"/>
  <c r="AI196" i="36"/>
  <c r="AS196" i="36" s="1"/>
  <c r="Q195" i="36"/>
  <c r="Q196" i="36"/>
  <c r="E602" i="36"/>
  <c r="K121" i="36" s="1"/>
  <c r="H51" i="36"/>
  <c r="C201" i="36"/>
  <c r="AY200" i="36"/>
  <c r="D42" i="36"/>
  <c r="Q204" i="36" s="1"/>
  <c r="H42" i="36" s="1"/>
  <c r="Q240" i="36" l="1"/>
  <c r="S240" i="36"/>
  <c r="J297" i="36"/>
  <c r="K264" i="36"/>
  <c r="K289" i="36" s="1"/>
  <c r="E84" i="36"/>
  <c r="H259" i="36"/>
  <c r="H220" i="36"/>
  <c r="I71" i="36"/>
  <c r="F71" i="36"/>
  <c r="H539" i="36"/>
  <c r="G543" i="36" s="1"/>
  <c r="C364" i="36"/>
  <c r="C365" i="36" s="1"/>
  <c r="C366" i="36" s="1"/>
  <c r="J117" i="36" s="1"/>
  <c r="AS206" i="36"/>
  <c r="AI218" i="36" s="1"/>
  <c r="BD205" i="36"/>
  <c r="C606" i="36"/>
  <c r="E606" i="36" s="1"/>
  <c r="E611" i="36" s="1"/>
  <c r="K123" i="36" s="1"/>
  <c r="E604" i="36"/>
  <c r="K122" i="36" s="1"/>
  <c r="P248" i="36" s="1"/>
  <c r="I297" i="36"/>
  <c r="BB205" i="36"/>
  <c r="AS197" i="36"/>
  <c r="H282" i="36"/>
  <c r="H237" i="36"/>
  <c r="AS205" i="36"/>
  <c r="AK218" i="36" s="1"/>
  <c r="G220" i="36"/>
  <c r="G225" i="36" s="1"/>
  <c r="G237" i="36"/>
  <c r="G259" i="36"/>
  <c r="G280" i="36"/>
  <c r="G282" i="36" s="1"/>
  <c r="E220" i="36"/>
  <c r="E225" i="36" s="1"/>
  <c r="E280" i="36"/>
  <c r="E282" i="36" s="1"/>
  <c r="E237" i="36"/>
  <c r="E259" i="36"/>
  <c r="AK217" i="36"/>
  <c r="AJ217" i="36"/>
  <c r="AO217" i="36"/>
  <c r="AI217" i="36"/>
  <c r="AM217" i="36"/>
  <c r="AS207" i="36"/>
  <c r="AJ218" i="36" s="1"/>
  <c r="F237" i="36"/>
  <c r="F259" i="36"/>
  <c r="F280" i="36"/>
  <c r="F282" i="36" s="1"/>
  <c r="F220" i="36"/>
  <c r="F225" i="36" s="1"/>
  <c r="F112" i="36" s="1"/>
  <c r="BA205" i="36"/>
  <c r="AV201" i="36"/>
  <c r="AZ205" i="36" s="1"/>
  <c r="AI221" i="36"/>
  <c r="AV199" i="36"/>
  <c r="BC205" i="36" s="1"/>
  <c r="AH221" i="36"/>
  <c r="Q203" i="36"/>
  <c r="F42" i="36" s="1"/>
  <c r="D448" i="36"/>
  <c r="D466" i="36" s="1"/>
  <c r="D484" i="36"/>
  <c r="D500" i="36" s="1"/>
  <c r="I56" i="36"/>
  <c r="I57" i="36"/>
  <c r="H52" i="36"/>
  <c r="R238" i="36" l="1"/>
  <c r="R239" i="36"/>
  <c r="R235" i="36"/>
  <c r="R237" i="36"/>
  <c r="R236" i="36"/>
  <c r="T237" i="36"/>
  <c r="T238" i="36"/>
  <c r="T235" i="36"/>
  <c r="T236" i="36"/>
  <c r="T239" i="36"/>
  <c r="J380" i="36"/>
  <c r="E83" i="36"/>
  <c r="C83" i="36"/>
  <c r="D83" i="36"/>
  <c r="I380" i="36"/>
  <c r="K285" i="36"/>
  <c r="K293" i="36" s="1"/>
  <c r="K297" i="36" s="1"/>
  <c r="AH222" i="36"/>
  <c r="G84" i="36"/>
  <c r="J308" i="36" s="1"/>
  <c r="J324" i="36" s="1"/>
  <c r="AI222" i="36"/>
  <c r="C84" i="36"/>
  <c r="I376" i="36" s="1"/>
  <c r="AZ202" i="36"/>
  <c r="AK219" i="36"/>
  <c r="AI219" i="36"/>
  <c r="I304" i="36"/>
  <c r="I320" i="36" s="1"/>
  <c r="I378" i="36"/>
  <c r="I302" i="36"/>
  <c r="I318" i="36" s="1"/>
  <c r="J118" i="36"/>
  <c r="J125" i="36" s="1"/>
  <c r="J378" i="36"/>
  <c r="BA202" i="36"/>
  <c r="H264" i="36"/>
  <c r="H289" i="36" s="1"/>
  <c r="G264" i="36"/>
  <c r="F264" i="36"/>
  <c r="E264" i="36"/>
  <c r="BB202" i="36"/>
  <c r="BD206" i="36"/>
  <c r="AO221" i="36" s="1"/>
  <c r="AO222" i="36" s="1"/>
  <c r="I106" i="36" s="1"/>
  <c r="K245" i="36" s="1"/>
  <c r="K250" i="36" s="1"/>
  <c r="I113" i="36" s="1"/>
  <c r="AM221" i="36"/>
  <c r="AJ219" i="36"/>
  <c r="C571" i="36"/>
  <c r="K120" i="36" s="1"/>
  <c r="J304" i="36"/>
  <c r="J320" i="36" s="1"/>
  <c r="J302" i="36"/>
  <c r="J318" i="36" s="1"/>
  <c r="G112" i="36"/>
  <c r="E112" i="36"/>
  <c r="R240" i="36" l="1"/>
  <c r="T240" i="36"/>
  <c r="I427" i="36"/>
  <c r="I308" i="36"/>
  <c r="I324" i="36" s="1"/>
  <c r="J427" i="36"/>
  <c r="I423" i="36"/>
  <c r="K302" i="36"/>
  <c r="K318" i="36" s="1"/>
  <c r="K378" i="36"/>
  <c r="K304" i="36"/>
  <c r="K320" i="36" s="1"/>
  <c r="K380" i="36"/>
  <c r="J423" i="36"/>
  <c r="H285" i="36"/>
  <c r="H293" i="36" s="1"/>
  <c r="I300" i="36"/>
  <c r="I316" i="36" s="1"/>
  <c r="AM222" i="36"/>
  <c r="F84" i="36"/>
  <c r="K306" i="36" s="1"/>
  <c r="J300" i="36"/>
  <c r="J316" i="36" s="1"/>
  <c r="K300" i="36"/>
  <c r="K376" i="36"/>
  <c r="J376" i="36"/>
  <c r="K308" i="36"/>
  <c r="K324" i="36" s="1"/>
  <c r="K427" i="36"/>
  <c r="K423" i="36"/>
  <c r="C580" i="36"/>
  <c r="E289" i="36"/>
  <c r="E423" i="36" s="1"/>
  <c r="G289" i="36"/>
  <c r="G285" i="36"/>
  <c r="G293" i="36" s="1"/>
  <c r="G427" i="36" s="1"/>
  <c r="E285" i="36"/>
  <c r="E293" i="36" s="1"/>
  <c r="E427" i="36" s="1"/>
  <c r="F289" i="36"/>
  <c r="F423" i="36" s="1"/>
  <c r="F285" i="36"/>
  <c r="F293" i="36" s="1"/>
  <c r="F427" i="36" s="1"/>
  <c r="J245" i="36"/>
  <c r="J250" i="36" s="1"/>
  <c r="I245" i="36"/>
  <c r="I250" i="36" s="1"/>
  <c r="F245" i="36"/>
  <c r="F250" i="36" s="1"/>
  <c r="E245" i="36"/>
  <c r="E250" i="36" s="1"/>
  <c r="E113" i="36" s="1"/>
  <c r="H245" i="36"/>
  <c r="H250" i="36" s="1"/>
  <c r="G245" i="36"/>
  <c r="G250" i="36" s="1"/>
  <c r="G113" i="36" s="1"/>
  <c r="I433" i="36" l="1"/>
  <c r="I306" i="36"/>
  <c r="I322" i="36" s="1"/>
  <c r="I327" i="36" s="1"/>
  <c r="B134" i="36"/>
  <c r="J306" i="36"/>
  <c r="J322" i="36" s="1"/>
  <c r="J327" i="36" s="1"/>
  <c r="J433" i="36"/>
  <c r="K310" i="36"/>
  <c r="K312" i="36"/>
  <c r="K316" i="36"/>
  <c r="K322" i="36"/>
  <c r="K333" i="36"/>
  <c r="K433" i="36"/>
  <c r="I114" i="36" s="1"/>
  <c r="E297" i="36"/>
  <c r="E380" i="36" s="1"/>
  <c r="H113" i="36"/>
  <c r="F113" i="36"/>
  <c r="F297" i="36"/>
  <c r="F376" i="36" s="1"/>
  <c r="G297" i="36"/>
  <c r="G308" i="36" s="1"/>
  <c r="G324" i="36" s="1"/>
  <c r="F433" i="36"/>
  <c r="E433" i="36"/>
  <c r="E114" i="36" s="1"/>
  <c r="G423" i="36"/>
  <c r="I312" i="36"/>
  <c r="H225" i="36"/>
  <c r="H112" i="36" s="1"/>
  <c r="K117" i="36"/>
  <c r="I310" i="36" l="1"/>
  <c r="I333" i="36"/>
  <c r="I336" i="36" s="1"/>
  <c r="F114" i="36"/>
  <c r="J333" i="36"/>
  <c r="J336" i="36" s="1"/>
  <c r="J312" i="36"/>
  <c r="J310" i="36"/>
  <c r="B133" i="36"/>
  <c r="B132" i="36"/>
  <c r="K382" i="36"/>
  <c r="K384" i="36" s="1"/>
  <c r="K336" i="36"/>
  <c r="K327" i="36"/>
  <c r="E376" i="36"/>
  <c r="E308" i="36"/>
  <c r="E324" i="36" s="1"/>
  <c r="E300" i="36"/>
  <c r="E316" i="36" s="1"/>
  <c r="E306" i="36"/>
  <c r="F378" i="36"/>
  <c r="E302" i="36"/>
  <c r="E318" i="36" s="1"/>
  <c r="E378" i="36"/>
  <c r="E304" i="36"/>
  <c r="E320" i="36" s="1"/>
  <c r="F306" i="36"/>
  <c r="F304" i="36"/>
  <c r="F320" i="36" s="1"/>
  <c r="G300" i="36"/>
  <c r="G316" i="36" s="1"/>
  <c r="F308" i="36"/>
  <c r="F324" i="36" s="1"/>
  <c r="F380" i="36"/>
  <c r="G376" i="36"/>
  <c r="G304" i="36"/>
  <c r="G320" i="36" s="1"/>
  <c r="G378" i="36"/>
  <c r="F302" i="36"/>
  <c r="F318" i="36" s="1"/>
  <c r="G380" i="36"/>
  <c r="G302" i="36"/>
  <c r="G318" i="36" s="1"/>
  <c r="G306" i="36"/>
  <c r="F300" i="36"/>
  <c r="F316" i="36" s="1"/>
  <c r="G433" i="36"/>
  <c r="G114" i="36" s="1"/>
  <c r="I382" i="36" l="1"/>
  <c r="I384" i="36" s="1"/>
  <c r="I455" i="36" s="1"/>
  <c r="I470" i="36" s="1"/>
  <c r="J382" i="36"/>
  <c r="J384" i="36" s="1"/>
  <c r="J455" i="36" s="1"/>
  <c r="J470" i="36" s="1"/>
  <c r="K493" i="36"/>
  <c r="K504" i="36" s="1"/>
  <c r="K455" i="36"/>
  <c r="K470" i="36" s="1"/>
  <c r="K388" i="36"/>
  <c r="E333" i="36"/>
  <c r="E336" i="36" s="1"/>
  <c r="E322" i="36"/>
  <c r="E327" i="36" s="1"/>
  <c r="F333" i="36"/>
  <c r="F382" i="36" s="1"/>
  <c r="F384" i="36" s="1"/>
  <c r="F455" i="36" s="1"/>
  <c r="F470" i="36" s="1"/>
  <c r="F322" i="36"/>
  <c r="F327" i="36" s="1"/>
  <c r="G333" i="36"/>
  <c r="G382" i="36" s="1"/>
  <c r="G384" i="36" s="1"/>
  <c r="G493" i="36" s="1"/>
  <c r="G504" i="36" s="1"/>
  <c r="G322" i="36"/>
  <c r="G327" i="36" s="1"/>
  <c r="E310" i="36"/>
  <c r="E312" i="36"/>
  <c r="F312" i="36"/>
  <c r="G312" i="36"/>
  <c r="G310" i="36"/>
  <c r="F310" i="36"/>
  <c r="H427" i="36"/>
  <c r="H423" i="36"/>
  <c r="I493" i="36" l="1"/>
  <c r="I504" i="36" s="1"/>
  <c r="I388" i="36"/>
  <c r="J388" i="36"/>
  <c r="J493" i="36"/>
  <c r="J504" i="36" s="1"/>
  <c r="I116" i="36"/>
  <c r="K436" i="36"/>
  <c r="I115" i="36"/>
  <c r="E382" i="36"/>
  <c r="E384" i="36" s="1"/>
  <c r="E455" i="36" s="1"/>
  <c r="E470" i="36" s="1"/>
  <c r="F336" i="36"/>
  <c r="G336" i="36"/>
  <c r="G455" i="36"/>
  <c r="G470" i="36" s="1"/>
  <c r="F388" i="36"/>
  <c r="F493" i="36"/>
  <c r="F504" i="36" s="1"/>
  <c r="G388" i="36"/>
  <c r="G115" i="36" s="1"/>
  <c r="H433" i="36"/>
  <c r="H114" i="36" s="1"/>
  <c r="H297" i="36"/>
  <c r="F115" i="36" l="1"/>
  <c r="I125" i="36"/>
  <c r="F116" i="36"/>
  <c r="E388" i="36"/>
  <c r="E436" i="36" s="1"/>
  <c r="E493" i="36"/>
  <c r="E504" i="36" s="1"/>
  <c r="E116" i="36" s="1"/>
  <c r="G116" i="36"/>
  <c r="G125" i="36" s="1"/>
  <c r="H378" i="36"/>
  <c r="H380" i="36"/>
  <c r="H376" i="36"/>
  <c r="I436" i="36"/>
  <c r="H306" i="36"/>
  <c r="H304" i="36"/>
  <c r="H320" i="36" s="1"/>
  <c r="H308" i="36"/>
  <c r="H324" i="36" s="1"/>
  <c r="H300" i="36"/>
  <c r="H316" i="36" s="1"/>
  <c r="H302" i="36"/>
  <c r="H318" i="36" s="1"/>
  <c r="F125" i="36" l="1"/>
  <c r="E115" i="36"/>
  <c r="E125" i="36" s="1"/>
  <c r="H333" i="36"/>
  <c r="H382" i="36" s="1"/>
  <c r="H384" i="36" s="1"/>
  <c r="H322" i="36"/>
  <c r="H327" i="36" s="1"/>
  <c r="H312" i="36"/>
  <c r="F436" i="36"/>
  <c r="G436" i="36"/>
  <c r="J436" i="36"/>
  <c r="H310" i="36"/>
  <c r="H336" i="36" l="1"/>
  <c r="H493" i="36"/>
  <c r="H504" i="36" s="1"/>
  <c r="H455" i="36"/>
  <c r="H470" i="36" s="1"/>
  <c r="H388" i="36"/>
  <c r="H115" i="36" s="1"/>
  <c r="H116" i="36" l="1"/>
  <c r="H436" i="36"/>
  <c r="H125" i="36" l="1"/>
  <c r="P249" i="36" s="1"/>
  <c r="K118" i="36" l="1"/>
  <c r="I288" i="28" l="1"/>
  <c r="I224" i="28" l="1"/>
  <c r="I236" i="19" l="1"/>
  <c r="G67" i="34" l="1"/>
  <c r="G65" i="34"/>
  <c r="G63" i="34"/>
  <c r="H83" i="34" l="1"/>
  <c r="G83" i="34"/>
  <c r="H82" i="34"/>
  <c r="G82" i="34"/>
  <c r="F79" i="34"/>
  <c r="AC192" i="34" s="1"/>
  <c r="F105" i="34"/>
  <c r="AL204" i="34" s="1"/>
  <c r="H103" i="34"/>
  <c r="AM192" i="34" s="1"/>
  <c r="G103" i="34"/>
  <c r="AM191" i="34" s="1"/>
  <c r="F100" i="34"/>
  <c r="AG204" i="34" s="1"/>
  <c r="H98" i="34"/>
  <c r="AH197" i="34" s="1"/>
  <c r="G96" i="34"/>
  <c r="Z197" i="34" s="1"/>
  <c r="AU193" i="34" s="1"/>
  <c r="G93" i="34"/>
  <c r="AH194" i="34" s="1"/>
  <c r="G92" i="34"/>
  <c r="AH193" i="34" s="1"/>
  <c r="H90" i="34"/>
  <c r="AH192" i="34" s="1"/>
  <c r="G90" i="34"/>
  <c r="AH191" i="34" s="1"/>
  <c r="B534" i="34"/>
  <c r="B528" i="34"/>
  <c r="H532" i="34"/>
  <c r="S199" i="34"/>
  <c r="C67" i="34"/>
  <c r="C593" i="34" s="1"/>
  <c r="E593" i="34" s="1"/>
  <c r="K120" i="34" s="1"/>
  <c r="C65" i="34"/>
  <c r="C591" i="34" s="1"/>
  <c r="E591" i="34" s="1"/>
  <c r="C63" i="34"/>
  <c r="C589" i="34" s="1"/>
  <c r="E589" i="34" s="1"/>
  <c r="C61" i="34"/>
  <c r="C540" i="34" s="1"/>
  <c r="C561" i="34" s="1"/>
  <c r="C60" i="34"/>
  <c r="C544" i="34" s="1"/>
  <c r="H57" i="34"/>
  <c r="H56" i="34"/>
  <c r="G57" i="34"/>
  <c r="G56" i="34"/>
  <c r="F57" i="34"/>
  <c r="F56" i="34"/>
  <c r="E57" i="34"/>
  <c r="E56" i="34"/>
  <c r="C57" i="34"/>
  <c r="C56" i="34"/>
  <c r="G52" i="34"/>
  <c r="G51" i="34"/>
  <c r="C52" i="34"/>
  <c r="C51" i="34"/>
  <c r="E48" i="34"/>
  <c r="S192" i="34" s="1"/>
  <c r="T192" i="34" s="1"/>
  <c r="D45" i="34"/>
  <c r="F215" i="34" s="1"/>
  <c r="D44" i="34"/>
  <c r="H41" i="34"/>
  <c r="H40" i="34"/>
  <c r="H39" i="34"/>
  <c r="H38" i="34"/>
  <c r="H37" i="34"/>
  <c r="H36" i="34"/>
  <c r="F41" i="34"/>
  <c r="F40" i="34"/>
  <c r="F39" i="34"/>
  <c r="F38" i="34"/>
  <c r="F37" i="34"/>
  <c r="F36" i="34"/>
  <c r="D41" i="34"/>
  <c r="D40" i="34"/>
  <c r="D39" i="34"/>
  <c r="D38" i="34"/>
  <c r="D37" i="34"/>
  <c r="D36" i="34"/>
  <c r="D34" i="34"/>
  <c r="D32" i="34"/>
  <c r="P194" i="34" s="1"/>
  <c r="H32" i="34"/>
  <c r="P195" i="34" s="1"/>
  <c r="D30" i="34"/>
  <c r="S203" i="34" s="1"/>
  <c r="I30" i="34" s="1"/>
  <c r="H22" i="34"/>
  <c r="F22" i="34"/>
  <c r="E22" i="34"/>
  <c r="H20" i="34"/>
  <c r="G20" i="34"/>
  <c r="F20" i="34"/>
  <c r="E20" i="34"/>
  <c r="D20" i="34"/>
  <c r="E18" i="34"/>
  <c r="H18" i="34"/>
  <c r="G18" i="34"/>
  <c r="F18" i="34"/>
  <c r="D18" i="34"/>
  <c r="D14" i="34"/>
  <c r="C200" i="34" s="1"/>
  <c r="I285" i="34" s="1"/>
  <c r="H12" i="34"/>
  <c r="D12" i="34"/>
  <c r="H10" i="34"/>
  <c r="D10" i="34"/>
  <c r="C594" i="34"/>
  <c r="E594" i="34" s="1"/>
  <c r="C592" i="34"/>
  <c r="E592" i="34" s="1"/>
  <c r="C590" i="34"/>
  <c r="E590" i="34" s="1"/>
  <c r="E582" i="34"/>
  <c r="E581" i="34"/>
  <c r="E580" i="34"/>
  <c r="E579" i="34"/>
  <c r="E578" i="34"/>
  <c r="E577" i="34"/>
  <c r="E576" i="34"/>
  <c r="E575" i="34"/>
  <c r="I527" i="34"/>
  <c r="H527" i="34"/>
  <c r="I526" i="34"/>
  <c r="H526" i="34"/>
  <c r="I525" i="34"/>
  <c r="H525" i="34"/>
  <c r="I524" i="34"/>
  <c r="H524" i="34"/>
  <c r="I523" i="34"/>
  <c r="H523" i="34"/>
  <c r="G522" i="34"/>
  <c r="F522" i="34"/>
  <c r="E522" i="34"/>
  <c r="D522" i="34"/>
  <c r="C522" i="34"/>
  <c r="I521" i="34"/>
  <c r="H521" i="34"/>
  <c r="I520" i="34"/>
  <c r="H520" i="34"/>
  <c r="I519" i="34"/>
  <c r="H519" i="34"/>
  <c r="I518" i="34"/>
  <c r="H518" i="34"/>
  <c r="I517" i="34"/>
  <c r="H517" i="34"/>
  <c r="G516" i="34"/>
  <c r="F516" i="34"/>
  <c r="E516" i="34"/>
  <c r="D516" i="34"/>
  <c r="C516" i="34"/>
  <c r="I515" i="34"/>
  <c r="H515" i="34"/>
  <c r="I514" i="34"/>
  <c r="H514" i="34"/>
  <c r="D503" i="34"/>
  <c r="E503" i="34" s="1"/>
  <c r="F503" i="34" s="1"/>
  <c r="G503" i="34" s="1"/>
  <c r="H503" i="34" s="1"/>
  <c r="I503" i="34" s="1"/>
  <c r="J503" i="34" s="1"/>
  <c r="K503" i="34" s="1"/>
  <c r="L503" i="34" s="1"/>
  <c r="M503" i="34" s="1"/>
  <c r="N503" i="34" s="1"/>
  <c r="O503" i="34" s="1"/>
  <c r="P503" i="34" s="1"/>
  <c r="Q503" i="34" s="1"/>
  <c r="R503" i="34" s="1"/>
  <c r="S503" i="34" s="1"/>
  <c r="T503" i="34" s="1"/>
  <c r="U503" i="34" s="1"/>
  <c r="V503" i="34" s="1"/>
  <c r="W503" i="34" s="1"/>
  <c r="X503" i="34" s="1"/>
  <c r="Y503" i="34" s="1"/>
  <c r="Z503" i="34" s="1"/>
  <c r="AA503" i="34" s="1"/>
  <c r="AB503" i="34" s="1"/>
  <c r="AC503" i="34" s="1"/>
  <c r="AD503" i="34" s="1"/>
  <c r="AE503" i="34" s="1"/>
  <c r="AF503" i="34" s="1"/>
  <c r="AG503" i="34" s="1"/>
  <c r="H364" i="34"/>
  <c r="G364" i="34"/>
  <c r="F364" i="34"/>
  <c r="E364" i="34"/>
  <c r="D364" i="34"/>
  <c r="H264" i="34"/>
  <c r="G264" i="34"/>
  <c r="F264" i="34"/>
  <c r="E264" i="34"/>
  <c r="D264" i="34"/>
  <c r="H239" i="34"/>
  <c r="G239" i="34"/>
  <c r="F239" i="34"/>
  <c r="E239" i="34"/>
  <c r="D239" i="34"/>
  <c r="I208" i="34"/>
  <c r="H208" i="34"/>
  <c r="G208" i="34"/>
  <c r="F208" i="34"/>
  <c r="E208" i="34"/>
  <c r="D208" i="34"/>
  <c r="G109" i="34"/>
  <c r="F109" i="34"/>
  <c r="E109" i="34"/>
  <c r="D109" i="34"/>
  <c r="AK216" i="34" l="1"/>
  <c r="I286" i="34"/>
  <c r="H215" i="34"/>
  <c r="H211" i="34" s="1"/>
  <c r="H267" i="34" s="1"/>
  <c r="H272" i="34" s="1"/>
  <c r="H295" i="34" s="1"/>
  <c r="I215" i="34"/>
  <c r="I211" i="34" s="1"/>
  <c r="H530" i="34"/>
  <c r="F70" i="34"/>
  <c r="I70" i="34"/>
  <c r="AR200" i="34"/>
  <c r="F528" i="34"/>
  <c r="AU194" i="34"/>
  <c r="H516" i="34"/>
  <c r="I516" i="34"/>
  <c r="C583" i="34"/>
  <c r="D583" i="34"/>
  <c r="BC199" i="34"/>
  <c r="AX199" i="34"/>
  <c r="AO219" i="34"/>
  <c r="AU198" i="34"/>
  <c r="AI220" i="34" s="1"/>
  <c r="AI221" i="34" s="1"/>
  <c r="D83" i="34" s="1"/>
  <c r="AU195" i="34"/>
  <c r="C285" i="34"/>
  <c r="BB199" i="34"/>
  <c r="AH216" i="34"/>
  <c r="AJ216" i="34"/>
  <c r="AY199" i="34"/>
  <c r="BA199" i="34"/>
  <c r="AH220" i="34"/>
  <c r="AH221" i="34" s="1"/>
  <c r="C83" i="34" s="1"/>
  <c r="AR203" i="34"/>
  <c r="AI217" i="34" s="1"/>
  <c r="AR192" i="34"/>
  <c r="AH195" i="34"/>
  <c r="AR194" i="34" s="1"/>
  <c r="AU196" i="34"/>
  <c r="AI216" i="34"/>
  <c r="AU192" i="34"/>
  <c r="AM193" i="34"/>
  <c r="G528" i="34"/>
  <c r="AZ199" i="34"/>
  <c r="H522" i="34"/>
  <c r="H528" i="34" s="1"/>
  <c r="E531" i="34" s="1"/>
  <c r="AL216" i="34"/>
  <c r="I522" i="34"/>
  <c r="I528" i="34" s="1"/>
  <c r="F531" i="34" s="1"/>
  <c r="C531" i="34" s="1"/>
  <c r="E583" i="34"/>
  <c r="C545" i="34" s="1"/>
  <c r="C569" i="34" s="1"/>
  <c r="K118" i="34" s="1"/>
  <c r="C528" i="34"/>
  <c r="D528" i="34"/>
  <c r="AR197" i="34"/>
  <c r="AR198" i="34"/>
  <c r="AR196" i="34"/>
  <c r="AR199" i="34"/>
  <c r="E215" i="34"/>
  <c r="E211" i="34" s="1"/>
  <c r="E221" i="34" s="1"/>
  <c r="G215" i="34"/>
  <c r="G211" i="34" s="1"/>
  <c r="G267" i="34" s="1"/>
  <c r="AR193" i="34"/>
  <c r="E528" i="34"/>
  <c r="E595" i="34"/>
  <c r="K121" i="34" s="1"/>
  <c r="F211" i="34"/>
  <c r="F218" i="34" s="1"/>
  <c r="D42" i="34"/>
  <c r="P203" i="34" s="1"/>
  <c r="H42" i="34" s="1"/>
  <c r="G285" i="34"/>
  <c r="G286" i="34" s="1"/>
  <c r="AG216" i="34"/>
  <c r="AO216" i="34"/>
  <c r="C600" i="34"/>
  <c r="E600" i="34" s="1"/>
  <c r="C598" i="34"/>
  <c r="E598" i="34" s="1"/>
  <c r="D336" i="34"/>
  <c r="C601" i="34"/>
  <c r="E601" i="34" s="1"/>
  <c r="C599" i="34"/>
  <c r="E599" i="34" s="1"/>
  <c r="D337" i="34"/>
  <c r="H51" i="34"/>
  <c r="AU191" i="34"/>
  <c r="H561" i="34"/>
  <c r="D561" i="34"/>
  <c r="C563" i="34"/>
  <c r="F561" i="34"/>
  <c r="C554" i="34"/>
  <c r="G561" i="34"/>
  <c r="C533" i="34"/>
  <c r="C532" i="34"/>
  <c r="E561" i="34"/>
  <c r="F285" i="34"/>
  <c r="F286" i="34" s="1"/>
  <c r="H285" i="34"/>
  <c r="H286" i="34" s="1"/>
  <c r="D285" i="34"/>
  <c r="D286" i="34" s="1"/>
  <c r="E285" i="34"/>
  <c r="E286" i="34" s="1"/>
  <c r="O247" i="34" l="1"/>
  <c r="I245" i="34"/>
  <c r="I267" i="34"/>
  <c r="I218" i="34"/>
  <c r="I221" i="34"/>
  <c r="AY204" i="34"/>
  <c r="G534" i="34"/>
  <c r="AU197" i="34"/>
  <c r="BA204" i="34" s="1"/>
  <c r="BB204" i="34"/>
  <c r="G245" i="34"/>
  <c r="AR195" i="34"/>
  <c r="AR202" i="34" s="1"/>
  <c r="AK220" i="34"/>
  <c r="AK221" i="34" s="1"/>
  <c r="E83" i="34" s="1"/>
  <c r="AI218" i="34"/>
  <c r="D82" i="34" s="1"/>
  <c r="AL220" i="34"/>
  <c r="AL221" i="34" s="1"/>
  <c r="I83" i="34" s="1"/>
  <c r="H410" i="34" s="1"/>
  <c r="BC204" i="34"/>
  <c r="AZ204" i="34"/>
  <c r="AZ201" i="34"/>
  <c r="AR204" i="34"/>
  <c r="AH217" i="34" s="1"/>
  <c r="AH218" i="34" s="1"/>
  <c r="C82" i="34" s="1"/>
  <c r="G218" i="34"/>
  <c r="H218" i="34"/>
  <c r="AR205" i="34"/>
  <c r="G221" i="34"/>
  <c r="H245" i="34"/>
  <c r="P202" i="34"/>
  <c r="F42" i="34" s="1"/>
  <c r="F267" i="34"/>
  <c r="F272" i="34" s="1"/>
  <c r="F295" i="34" s="1"/>
  <c r="F245" i="34"/>
  <c r="F221" i="34"/>
  <c r="F288" i="34" s="1"/>
  <c r="E218" i="34"/>
  <c r="E245" i="34"/>
  <c r="H221" i="34"/>
  <c r="H224" i="34" s="1"/>
  <c r="E267" i="34"/>
  <c r="E272" i="34" s="1"/>
  <c r="E295" i="34" s="1"/>
  <c r="E224" i="34"/>
  <c r="E288" i="34"/>
  <c r="H52" i="34"/>
  <c r="I57" i="34"/>
  <c r="I56" i="34"/>
  <c r="G272" i="34"/>
  <c r="G295" i="34" s="1"/>
  <c r="D471" i="34"/>
  <c r="D487" i="34" s="1"/>
  <c r="G343" i="34"/>
  <c r="D435" i="34"/>
  <c r="D453" i="34" s="1"/>
  <c r="C562" i="34"/>
  <c r="D434" i="34"/>
  <c r="D452" i="34" s="1"/>
  <c r="C597" i="34"/>
  <c r="E597" i="34" s="1"/>
  <c r="G342" i="34"/>
  <c r="D470" i="34"/>
  <c r="D486" i="34" s="1"/>
  <c r="G224" i="34" l="1"/>
  <c r="G228" i="34" s="1"/>
  <c r="G233" i="34" s="1"/>
  <c r="G111" i="34" s="1"/>
  <c r="G288" i="34"/>
  <c r="G291" i="34" s="1"/>
  <c r="G299" i="34" s="1"/>
  <c r="G414" i="34" s="1"/>
  <c r="I224" i="34"/>
  <c r="I228" i="34" s="1"/>
  <c r="I233" i="34" s="1"/>
  <c r="I111" i="34" s="1"/>
  <c r="I288" i="34"/>
  <c r="I272" i="34"/>
  <c r="I295" i="34" s="1"/>
  <c r="I410" i="34" s="1"/>
  <c r="AJ220" i="34"/>
  <c r="AJ221" i="34" s="1"/>
  <c r="F83" i="34" s="1"/>
  <c r="BC205" i="34"/>
  <c r="AO220" i="34" s="1"/>
  <c r="AO221" i="34" s="1"/>
  <c r="AJ217" i="34"/>
  <c r="AJ218" i="34" s="1"/>
  <c r="F82" i="34" s="1"/>
  <c r="BA201" i="34"/>
  <c r="AK217" i="34"/>
  <c r="AK218" i="34" s="1"/>
  <c r="E82" i="34" s="1"/>
  <c r="BB201" i="34"/>
  <c r="AY201" i="34"/>
  <c r="H228" i="34"/>
  <c r="H233" i="34" s="1"/>
  <c r="H111" i="34" s="1"/>
  <c r="E228" i="34"/>
  <c r="E233" i="34" s="1"/>
  <c r="E111" i="34" s="1"/>
  <c r="F224" i="34"/>
  <c r="F228" i="34" s="1"/>
  <c r="F233" i="34" s="1"/>
  <c r="F111" i="34" s="1"/>
  <c r="H288" i="34"/>
  <c r="H291" i="34" s="1"/>
  <c r="H299" i="34" s="1"/>
  <c r="H414" i="34" s="1"/>
  <c r="H420" i="34" s="1"/>
  <c r="C354" i="34"/>
  <c r="C355" i="34" s="1"/>
  <c r="C356" i="34" s="1"/>
  <c r="J116" i="34" s="1"/>
  <c r="E602" i="34"/>
  <c r="K122" i="34" s="1"/>
  <c r="F291" i="34"/>
  <c r="F299" i="34" s="1"/>
  <c r="F414" i="34" s="1"/>
  <c r="E291" i="34"/>
  <c r="E299" i="34" s="1"/>
  <c r="E414" i="34" s="1"/>
  <c r="J117" i="34"/>
  <c r="K117" i="34" s="1"/>
  <c r="G410" i="34"/>
  <c r="E410" i="34"/>
  <c r="F410" i="34"/>
  <c r="C571" i="34"/>
  <c r="K119" i="34"/>
  <c r="H113" i="34" l="1"/>
  <c r="I291" i="34"/>
  <c r="I299" i="34" s="1"/>
  <c r="I414" i="34" s="1"/>
  <c r="I420" i="34" s="1"/>
  <c r="I113" i="34" s="1"/>
  <c r="F253" i="34"/>
  <c r="F258" i="34" s="1"/>
  <c r="F112" i="34" s="1"/>
  <c r="I253" i="34"/>
  <c r="I258" i="34" s="1"/>
  <c r="I112" i="34" s="1"/>
  <c r="K116" i="34"/>
  <c r="J124" i="34"/>
  <c r="E253" i="34"/>
  <c r="E258" i="34" s="1"/>
  <c r="E112" i="34" s="1"/>
  <c r="H253" i="34"/>
  <c r="H258" i="34" s="1"/>
  <c r="H112" i="34" s="1"/>
  <c r="I105" i="34"/>
  <c r="G253" i="34"/>
  <c r="G258" i="34" s="1"/>
  <c r="G112" i="34" s="1"/>
  <c r="H303" i="34"/>
  <c r="G303" i="34"/>
  <c r="T441" i="34" s="1"/>
  <c r="T453" i="34" s="1"/>
  <c r="G420" i="34"/>
  <c r="G113" i="34" s="1"/>
  <c r="F420" i="34"/>
  <c r="F113" i="34" s="1"/>
  <c r="F303" i="34"/>
  <c r="O439" i="34" s="1"/>
  <c r="O451" i="34" s="1"/>
  <c r="E303" i="34"/>
  <c r="E420" i="34"/>
  <c r="E113" i="34" s="1"/>
  <c r="I303" i="34" l="1"/>
  <c r="U445" i="34" s="1"/>
  <c r="U457" i="34" s="1"/>
  <c r="U443" i="34"/>
  <c r="U455" i="34" s="1"/>
  <c r="H310" i="34"/>
  <c r="S443" i="34"/>
  <c r="S455" i="34" s="1"/>
  <c r="P443" i="34"/>
  <c r="P455" i="34" s="1"/>
  <c r="G310" i="34"/>
  <c r="R443" i="34"/>
  <c r="R455" i="34" s="1"/>
  <c r="H318" i="34"/>
  <c r="P439" i="34"/>
  <c r="P451" i="34" s="1"/>
  <c r="H320" i="34"/>
  <c r="S441" i="34"/>
  <c r="S453" i="34" s="1"/>
  <c r="G316" i="34"/>
  <c r="U441" i="34"/>
  <c r="U453" i="34" s="1"/>
  <c r="G365" i="34"/>
  <c r="H314" i="34"/>
  <c r="G318" i="34"/>
  <c r="F316" i="34"/>
  <c r="F320" i="34"/>
  <c r="T443" i="34"/>
  <c r="T455" i="34" s="1"/>
  <c r="H365" i="34"/>
  <c r="H312" i="34"/>
  <c r="O443" i="34"/>
  <c r="O455" i="34" s="1"/>
  <c r="H316" i="34"/>
  <c r="Q443" i="34"/>
  <c r="Q455" i="34" s="1"/>
  <c r="G312" i="34"/>
  <c r="G320" i="34"/>
  <c r="G314" i="34"/>
  <c r="P441" i="34"/>
  <c r="P453" i="34" s="1"/>
  <c r="F365" i="34"/>
  <c r="O441" i="34"/>
  <c r="O453" i="34" s="1"/>
  <c r="Q441" i="34"/>
  <c r="Q453" i="34" s="1"/>
  <c r="R441" i="34"/>
  <c r="R453" i="34" s="1"/>
  <c r="F314" i="34"/>
  <c r="F312" i="34"/>
  <c r="F310" i="34"/>
  <c r="F318" i="34"/>
  <c r="Q439" i="34"/>
  <c r="Q451" i="34" s="1"/>
  <c r="T439" i="34"/>
  <c r="T451" i="34" s="1"/>
  <c r="R439" i="34"/>
  <c r="R451" i="34" s="1"/>
  <c r="U439" i="34"/>
  <c r="U451" i="34" s="1"/>
  <c r="S439" i="34"/>
  <c r="S451" i="34" s="1"/>
  <c r="R437" i="34"/>
  <c r="R449" i="34" s="1"/>
  <c r="E314" i="34"/>
  <c r="T437" i="34"/>
  <c r="T449" i="34" s="1"/>
  <c r="P437" i="34"/>
  <c r="P449" i="34" s="1"/>
  <c r="E318" i="34"/>
  <c r="E310" i="34"/>
  <c r="Q437" i="34"/>
  <c r="Q449" i="34" s="1"/>
  <c r="E312" i="34"/>
  <c r="O437" i="34"/>
  <c r="O449" i="34" s="1"/>
  <c r="E365" i="34"/>
  <c r="S437" i="34"/>
  <c r="S449" i="34" s="1"/>
  <c r="E316" i="34"/>
  <c r="U437" i="34"/>
  <c r="U449" i="34" s="1"/>
  <c r="E320" i="34"/>
  <c r="I318" i="34" l="1"/>
  <c r="I310" i="34"/>
  <c r="O445" i="34"/>
  <c r="O457" i="34" s="1"/>
  <c r="I365" i="34"/>
  <c r="Q445" i="34"/>
  <c r="Q457" i="34" s="1"/>
  <c r="P445" i="34"/>
  <c r="P457" i="34" s="1"/>
  <c r="I312" i="34"/>
  <c r="R445" i="34"/>
  <c r="R457" i="34" s="1"/>
  <c r="I316" i="34"/>
  <c r="S445" i="34"/>
  <c r="S457" i="34" s="1"/>
  <c r="H369" i="34"/>
  <c r="H442" i="34"/>
  <c r="H457" i="34" s="1"/>
  <c r="I320" i="34"/>
  <c r="T445" i="34"/>
  <c r="T457" i="34" s="1"/>
  <c r="I314" i="34"/>
  <c r="G442" i="34"/>
  <c r="G457" i="34" s="1"/>
  <c r="G322" i="34"/>
  <c r="G369" i="34"/>
  <c r="G324" i="34"/>
  <c r="G367" i="34" s="1"/>
  <c r="F369" i="34"/>
  <c r="H324" i="34"/>
  <c r="H367" i="34" s="1"/>
  <c r="H322" i="34"/>
  <c r="F324" i="34"/>
  <c r="F367" i="34" s="1"/>
  <c r="F442" i="34"/>
  <c r="F457" i="34" s="1"/>
  <c r="F322" i="34"/>
  <c r="E322" i="34"/>
  <c r="E324" i="34"/>
  <c r="E367" i="34" s="1"/>
  <c r="E369" i="34"/>
  <c r="E442" i="34"/>
  <c r="E457" i="34" s="1"/>
  <c r="H371" i="34" l="1"/>
  <c r="H480" i="34" s="1"/>
  <c r="H491" i="34" s="1"/>
  <c r="H115" i="34" s="1"/>
  <c r="I322" i="34"/>
  <c r="I324" i="34"/>
  <c r="I367" i="34" s="1"/>
  <c r="I369" i="34"/>
  <c r="I442" i="34"/>
  <c r="I457" i="34" s="1"/>
  <c r="G371" i="34"/>
  <c r="G375" i="34" s="1"/>
  <c r="G423" i="34" s="1"/>
  <c r="F371" i="34"/>
  <c r="F375" i="34" s="1"/>
  <c r="F423" i="34" s="1"/>
  <c r="E371" i="34"/>
  <c r="E375" i="34" s="1"/>
  <c r="E114" i="34" s="1"/>
  <c r="G114" i="34" l="1"/>
  <c r="F114" i="34"/>
  <c r="H375" i="34"/>
  <c r="I371" i="34"/>
  <c r="I375" i="34" s="1"/>
  <c r="I114" i="34" s="1"/>
  <c r="G480" i="34"/>
  <c r="G491" i="34" s="1"/>
  <c r="G115" i="34" s="1"/>
  <c r="F480" i="34"/>
  <c r="F491" i="34" s="1"/>
  <c r="F115" i="34" s="1"/>
  <c r="E480" i="34"/>
  <c r="E491" i="34" s="1"/>
  <c r="E115" i="34" s="1"/>
  <c r="E423" i="34"/>
  <c r="H114" i="34" l="1"/>
  <c r="H124" i="34" s="1"/>
  <c r="I480" i="34"/>
  <c r="I491" i="34" s="1"/>
  <c r="I115" i="34" s="1"/>
  <c r="I423" i="34"/>
  <c r="G124" i="34"/>
  <c r="E124" i="34"/>
  <c r="F124" i="34"/>
  <c r="H423" i="34"/>
  <c r="I124" i="34" l="1"/>
  <c r="O248" i="34" s="1"/>
  <c r="C413" i="12" l="1"/>
  <c r="C419" i="12" s="1"/>
  <c r="AJ216" i="28" l="1"/>
  <c r="G98" i="23" l="1"/>
  <c r="F102" i="23"/>
  <c r="F107" i="23"/>
  <c r="G94" i="23" l="1"/>
  <c r="AI247" i="23" s="1"/>
  <c r="G95" i="23"/>
  <c r="AI248" i="23" s="1"/>
  <c r="G92" i="23"/>
  <c r="G96" i="23" l="1"/>
  <c r="AI249" i="23" s="1"/>
  <c r="J292" i="28" l="1"/>
  <c r="I292" i="28"/>
  <c r="I296" i="28" s="1"/>
  <c r="J288" i="28"/>
  <c r="J296" i="28" l="1"/>
  <c r="AQ219" i="28"/>
  <c r="AI193" i="28"/>
  <c r="AI192" i="28"/>
  <c r="G95" i="28"/>
  <c r="AI194" i="28" s="1"/>
  <c r="J224" i="28"/>
  <c r="U205" i="19" l="1"/>
  <c r="V205" i="19" s="1"/>
  <c r="C565" i="19" s="1"/>
  <c r="C576" i="19" s="1"/>
  <c r="R206" i="19"/>
  <c r="R207" i="19"/>
  <c r="V217" i="19"/>
  <c r="C563" i="19" l="1"/>
  <c r="E563" i="19" s="1"/>
  <c r="C564" i="19"/>
  <c r="E564" i="19" s="1"/>
  <c r="C561" i="19"/>
  <c r="C562" i="19"/>
  <c r="E562" i="19" s="1"/>
  <c r="D357" i="19"/>
  <c r="R205" i="19"/>
  <c r="I31" i="19"/>
  <c r="D358" i="19"/>
  <c r="J236" i="19"/>
  <c r="AI191" i="28"/>
  <c r="AI228" i="19"/>
  <c r="AN228" i="19"/>
  <c r="AL228" i="19"/>
  <c r="AK228" i="19"/>
  <c r="AN216" i="19"/>
  <c r="AJ204" i="19"/>
  <c r="G96" i="19"/>
  <c r="G95" i="36" s="1"/>
  <c r="E565" i="19" l="1"/>
  <c r="E561" i="19"/>
  <c r="C569" i="19"/>
  <c r="C571" i="19" s="1"/>
  <c r="C573" i="19" s="1"/>
  <c r="C579" i="19"/>
  <c r="AJ206" i="19"/>
  <c r="G94" i="34"/>
  <c r="E566" i="19" l="1"/>
  <c r="K127" i="19" s="1"/>
  <c r="C580" i="19"/>
  <c r="K124" i="19" s="1"/>
  <c r="C37" i="22" l="1"/>
  <c r="C60" i="22" s="1"/>
  <c r="D38" i="23" l="1"/>
  <c r="H43" i="23"/>
  <c r="H42" i="23"/>
  <c r="H41" i="23"/>
  <c r="H40" i="23"/>
  <c r="H39" i="23"/>
  <c r="H38" i="23"/>
  <c r="F43" i="23"/>
  <c r="F42" i="23"/>
  <c r="F41" i="23"/>
  <c r="F40" i="23"/>
  <c r="F39" i="23"/>
  <c r="F38" i="23"/>
  <c r="D43" i="23"/>
  <c r="D42" i="23"/>
  <c r="D41" i="23"/>
  <c r="D40" i="23"/>
  <c r="D39" i="23"/>
  <c r="H50" i="32"/>
  <c r="H33" i="23" l="1"/>
  <c r="Q250" i="23" s="1"/>
  <c r="D33" i="23"/>
  <c r="Q249" i="23" s="1"/>
  <c r="Q195" i="28"/>
  <c r="Q194" i="28"/>
  <c r="C62" i="23" l="1"/>
  <c r="C583" i="23" s="1"/>
  <c r="I348" i="23" l="1"/>
  <c r="I344" i="23" l="1"/>
  <c r="I280" i="23"/>
  <c r="D333" i="23" l="1"/>
  <c r="I352" i="23"/>
  <c r="G19" i="23"/>
  <c r="H21" i="23"/>
  <c r="H333" i="23" s="1"/>
  <c r="G21" i="23"/>
  <c r="G333" i="23" s="1"/>
  <c r="F21" i="23"/>
  <c r="F333" i="23" s="1"/>
  <c r="E21" i="23"/>
  <c r="E333" i="23" s="1"/>
  <c r="J348" i="23" l="1"/>
  <c r="J344" i="23"/>
  <c r="J280" i="23"/>
  <c r="D50" i="32"/>
  <c r="G50" i="32"/>
  <c r="F50" i="32"/>
  <c r="E50" i="32"/>
  <c r="J352" i="23" l="1"/>
  <c r="O74" i="31"/>
  <c r="P74" i="31" s="1"/>
  <c r="O65" i="31"/>
  <c r="Q65" i="31" s="1"/>
  <c r="O56" i="31"/>
  <c r="P56" i="31" s="1"/>
  <c r="O47" i="31"/>
  <c r="P47" i="31" s="1"/>
  <c r="O37" i="31"/>
  <c r="P37" i="31" s="1"/>
  <c r="C637" i="23"/>
  <c r="D652" i="23" s="1"/>
  <c r="AD247" i="23"/>
  <c r="AE204" i="19"/>
  <c r="D596" i="23" l="1"/>
  <c r="C596" i="23"/>
  <c r="B596" i="23"/>
  <c r="P65" i="31"/>
  <c r="Q37" i="31"/>
  <c r="Q56" i="31"/>
  <c r="Q74" i="31"/>
  <c r="Q47" i="31"/>
  <c r="P10" i="32"/>
  <c r="O10" i="32"/>
  <c r="N10" i="32"/>
  <c r="M10" i="32"/>
  <c r="Q10" i="32"/>
  <c r="H92" i="23"/>
  <c r="AI246" i="23" s="1"/>
  <c r="AJ203" i="19" l="1"/>
  <c r="T261" i="23" l="1"/>
  <c r="C22" i="20" l="1"/>
  <c r="N14" i="31" l="1"/>
  <c r="C606" i="23"/>
  <c r="E606" i="23" s="1"/>
  <c r="K125" i="23" s="1"/>
  <c r="AD197" i="28"/>
  <c r="AB209" i="19"/>
  <c r="AW205" i="19" s="1"/>
  <c r="AD252" i="23" l="1"/>
  <c r="C38" i="30" l="1"/>
  <c r="C36" i="30"/>
  <c r="C34" i="30"/>
  <c r="C32" i="30"/>
  <c r="C30" i="30"/>
  <c r="C28" i="30"/>
  <c r="C26" i="30"/>
  <c r="C24" i="30"/>
  <c r="C22" i="30"/>
  <c r="C20" i="30"/>
  <c r="C18" i="30"/>
  <c r="C16" i="30"/>
  <c r="C13" i="30"/>
  <c r="C10" i="30"/>
  <c r="H374" i="28"/>
  <c r="G374" i="28"/>
  <c r="F374" i="28"/>
  <c r="E374" i="28"/>
  <c r="D374" i="28"/>
  <c r="L255" i="28"/>
  <c r="H255" i="28"/>
  <c r="G255" i="28"/>
  <c r="F255" i="28"/>
  <c r="E255" i="28"/>
  <c r="D255" i="28"/>
  <c r="L230" i="28"/>
  <c r="H230" i="28"/>
  <c r="G230" i="28"/>
  <c r="F230" i="28"/>
  <c r="E230" i="28"/>
  <c r="D230" i="28"/>
  <c r="H215" i="28"/>
  <c r="H211" i="28" s="1"/>
  <c r="G215" i="28"/>
  <c r="G211" i="28" s="1"/>
  <c r="F215" i="28"/>
  <c r="F211" i="28" s="1"/>
  <c r="F218" i="28" s="1"/>
  <c r="E215" i="28"/>
  <c r="E211" i="28" s="1"/>
  <c r="H208" i="28"/>
  <c r="G208" i="28"/>
  <c r="F208" i="28"/>
  <c r="E208" i="28"/>
  <c r="D208" i="28"/>
  <c r="AM204" i="28"/>
  <c r="AV194" i="28" s="1"/>
  <c r="AH204" i="28"/>
  <c r="U205" i="28"/>
  <c r="C200" i="28"/>
  <c r="AI216" i="28" s="1"/>
  <c r="BD199" i="28"/>
  <c r="BC199" i="28"/>
  <c r="BB199" i="28"/>
  <c r="BA199" i="28"/>
  <c r="AZ199" i="28"/>
  <c r="AY199" i="28"/>
  <c r="AI196" i="28"/>
  <c r="AI195" i="28"/>
  <c r="AN192" i="28"/>
  <c r="AD192" i="28"/>
  <c r="T193" i="28"/>
  <c r="AN191" i="28"/>
  <c r="AI190" i="28"/>
  <c r="D42" i="28"/>
  <c r="Q202" i="28" s="1"/>
  <c r="F42" i="28" s="1"/>
  <c r="D44" i="19"/>
  <c r="D111" i="19"/>
  <c r="E111" i="19"/>
  <c r="F111" i="19"/>
  <c r="G111" i="19"/>
  <c r="AH228" i="19"/>
  <c r="U193" i="28" l="1"/>
  <c r="C557" i="28" s="1"/>
  <c r="C568" i="28" s="1"/>
  <c r="H51" i="28"/>
  <c r="I29" i="28"/>
  <c r="C110" i="30"/>
  <c r="E236" i="28"/>
  <c r="E218" i="28"/>
  <c r="E224" i="28" s="1"/>
  <c r="E112" i="28" s="1"/>
  <c r="G236" i="28"/>
  <c r="G218" i="28"/>
  <c r="G224" i="28" s="1"/>
  <c r="H236" i="28"/>
  <c r="H218" i="28"/>
  <c r="H224" i="28" s="1"/>
  <c r="H112" i="28" s="1"/>
  <c r="F279" i="28"/>
  <c r="F281" i="28" s="1"/>
  <c r="F236" i="28"/>
  <c r="C106" i="30"/>
  <c r="G279" i="28"/>
  <c r="G281" i="28" s="1"/>
  <c r="H279" i="28"/>
  <c r="H281" i="28" s="1"/>
  <c r="E279" i="28"/>
  <c r="E281" i="28" s="1"/>
  <c r="AS192" i="28"/>
  <c r="AS195" i="28"/>
  <c r="AV195" i="28"/>
  <c r="AV200" i="28" s="1"/>
  <c r="AV197" i="28"/>
  <c r="AV193" i="28"/>
  <c r="AV201" i="28" s="1"/>
  <c r="AV196" i="28"/>
  <c r="AV192" i="28"/>
  <c r="AV199" i="28" s="1"/>
  <c r="AV191" i="28"/>
  <c r="AJ220" i="28" s="1"/>
  <c r="AS200" i="28"/>
  <c r="AS199" i="28"/>
  <c r="AS198" i="28"/>
  <c r="AS197" i="28"/>
  <c r="AS201" i="28"/>
  <c r="AS196" i="28"/>
  <c r="AS191" i="28"/>
  <c r="AS194" i="28"/>
  <c r="AS190" i="28"/>
  <c r="AJ217" i="28" s="1"/>
  <c r="AS193" i="28"/>
  <c r="F224" i="28"/>
  <c r="F112" i="28" s="1"/>
  <c r="AO216" i="28"/>
  <c r="AK216" i="28"/>
  <c r="AM216" i="28"/>
  <c r="AL216" i="28"/>
  <c r="AQ216" i="28"/>
  <c r="Q203" i="28"/>
  <c r="H42" i="28" s="1"/>
  <c r="R215" i="19"/>
  <c r="R214" i="19"/>
  <c r="Q193" i="28"/>
  <c r="Q192" i="28"/>
  <c r="F258" i="28"/>
  <c r="G258" i="28"/>
  <c r="E258" i="28"/>
  <c r="E263" i="28" s="1"/>
  <c r="H258" i="28"/>
  <c r="K56" i="28" l="1"/>
  <c r="K57" i="28"/>
  <c r="H52" i="28"/>
  <c r="Q197" i="28"/>
  <c r="Q200" i="28" s="1"/>
  <c r="Q196" i="28"/>
  <c r="G112" i="28"/>
  <c r="C107" i="30"/>
  <c r="C108" i="30" s="1"/>
  <c r="C43" i="30" s="1"/>
  <c r="AS205" i="28"/>
  <c r="BA201" i="28" s="1"/>
  <c r="AS203" i="28"/>
  <c r="BB201" i="28" s="1"/>
  <c r="G83" i="28"/>
  <c r="BD201" i="28"/>
  <c r="AV198" i="28"/>
  <c r="AO220" i="28" s="1"/>
  <c r="BB204" i="28"/>
  <c r="AM220" i="28"/>
  <c r="AL220" i="28"/>
  <c r="BA204" i="28"/>
  <c r="BD204" i="28"/>
  <c r="AK220" i="28"/>
  <c r="C84" i="28" s="1"/>
  <c r="AZ204" i="28"/>
  <c r="AJ221" i="28"/>
  <c r="G84" i="28"/>
  <c r="AS202" i="28"/>
  <c r="BC201" i="28" s="1"/>
  <c r="AS204" i="28"/>
  <c r="AZ201" i="28" s="1"/>
  <c r="H263" i="28"/>
  <c r="H288" i="28" s="1"/>
  <c r="F263" i="28"/>
  <c r="F288" i="28" s="1"/>
  <c r="G263" i="28"/>
  <c r="G288" i="28" s="1"/>
  <c r="E288" i="28"/>
  <c r="G188" i="23"/>
  <c r="G186" i="23"/>
  <c r="G184" i="23"/>
  <c r="F238" i="23" s="1"/>
  <c r="G182" i="23"/>
  <c r="F237" i="23" s="1"/>
  <c r="F239" i="23" l="1"/>
  <c r="G192" i="23" s="1"/>
  <c r="Q204" i="28"/>
  <c r="H33" i="28"/>
  <c r="D215" i="28"/>
  <c r="Q201" i="28"/>
  <c r="I426" i="28"/>
  <c r="K422" i="28"/>
  <c r="J422" i="28"/>
  <c r="K426" i="28"/>
  <c r="F284" i="28"/>
  <c r="F292" i="28" s="1"/>
  <c r="F422" i="28"/>
  <c r="Q198" i="28"/>
  <c r="J375" i="28"/>
  <c r="I375" i="28"/>
  <c r="G422" i="28"/>
  <c r="E422" i="28"/>
  <c r="H422" i="28"/>
  <c r="I300" i="28"/>
  <c r="J300" i="28"/>
  <c r="I422" i="28"/>
  <c r="J426" i="28"/>
  <c r="I308" i="28"/>
  <c r="I323" i="28" s="1"/>
  <c r="J308" i="28"/>
  <c r="J323" i="28" s="1"/>
  <c r="AJ218" i="28"/>
  <c r="AM217" i="28"/>
  <c r="BC204" i="28"/>
  <c r="BD205" i="28" s="1"/>
  <c r="E84" i="28"/>
  <c r="AM221" i="28"/>
  <c r="D84" i="28"/>
  <c r="AL221" i="28"/>
  <c r="AK221" i="28"/>
  <c r="AO221" i="28"/>
  <c r="F84" i="28"/>
  <c r="AK217" i="28"/>
  <c r="C83" i="28" s="1"/>
  <c r="AL217" i="28"/>
  <c r="D83" i="28" s="1"/>
  <c r="AO217" i="28"/>
  <c r="G284" i="28"/>
  <c r="G292" i="28" s="1"/>
  <c r="G426" i="28" s="1"/>
  <c r="H284" i="28"/>
  <c r="E284" i="28"/>
  <c r="E292" i="28" s="1"/>
  <c r="E426" i="28" s="1"/>
  <c r="C30" i="20"/>
  <c r="U4" i="24" l="1"/>
  <c r="Q210" i="28"/>
  <c r="Q242" i="28" s="1"/>
  <c r="S242" i="28" s="1"/>
  <c r="Q199" i="28"/>
  <c r="K432" i="28"/>
  <c r="I114" i="28" s="1"/>
  <c r="I432" i="28"/>
  <c r="I379" i="28"/>
  <c r="J379" i="28"/>
  <c r="J377" i="28"/>
  <c r="I377" i="28"/>
  <c r="J432" i="28"/>
  <c r="I306" i="28"/>
  <c r="J306" i="28"/>
  <c r="J332" i="28" s="1"/>
  <c r="J335" i="28" s="1"/>
  <c r="I302" i="28"/>
  <c r="I317" i="28" s="1"/>
  <c r="J302" i="28"/>
  <c r="J317" i="28" s="1"/>
  <c r="I315" i="28"/>
  <c r="I304" i="28"/>
  <c r="I319" i="28" s="1"/>
  <c r="J304" i="28"/>
  <c r="J319" i="28" s="1"/>
  <c r="J315" i="28"/>
  <c r="E432" i="28"/>
  <c r="E114" i="28" s="1"/>
  <c r="E296" i="28"/>
  <c r="E375" i="28" s="1"/>
  <c r="G432" i="28"/>
  <c r="G114" i="28" s="1"/>
  <c r="G296" i="28"/>
  <c r="G375" i="28" s="1"/>
  <c r="H292" i="28"/>
  <c r="E83" i="28"/>
  <c r="AM218" i="28"/>
  <c r="AK218" i="28"/>
  <c r="AL218" i="28"/>
  <c r="F83" i="28"/>
  <c r="AO218" i="28"/>
  <c r="AQ220" i="28"/>
  <c r="AQ221" i="28" s="1"/>
  <c r="I106" i="28" s="1"/>
  <c r="BD202" i="28"/>
  <c r="C59" i="23"/>
  <c r="C58" i="23"/>
  <c r="C54" i="23"/>
  <c r="C53" i="23"/>
  <c r="Q244" i="28" l="1"/>
  <c r="Q246" i="28" s="1"/>
  <c r="S244" i="28"/>
  <c r="S246" i="28" s="1"/>
  <c r="B39" i="28"/>
  <c r="D211" i="28"/>
  <c r="J244" i="28"/>
  <c r="J249" i="28" s="1"/>
  <c r="K244" i="28"/>
  <c r="K249" i="28" s="1"/>
  <c r="I113" i="28" s="1"/>
  <c r="K304" i="28"/>
  <c r="K319" i="28" s="1"/>
  <c r="K302" i="28"/>
  <c r="K317" i="28" s="1"/>
  <c r="K308" i="28"/>
  <c r="K323" i="28" s="1"/>
  <c r="K300" i="28"/>
  <c r="K379" i="28"/>
  <c r="K377" i="28"/>
  <c r="K375" i="28"/>
  <c r="K306" i="28"/>
  <c r="G377" i="28"/>
  <c r="E377" i="28"/>
  <c r="E379" i="28"/>
  <c r="E244" i="28"/>
  <c r="E249" i="28" s="1"/>
  <c r="E113" i="28" s="1"/>
  <c r="F244" i="28"/>
  <c r="F249" i="28" s="1"/>
  <c r="G379" i="28"/>
  <c r="I244" i="28"/>
  <c r="I249" i="28" s="1"/>
  <c r="G244" i="28"/>
  <c r="G249" i="28" s="1"/>
  <c r="G113" i="28" s="1"/>
  <c r="H244" i="28"/>
  <c r="H249" i="28" s="1"/>
  <c r="J321" i="28"/>
  <c r="J326" i="28" s="1"/>
  <c r="J312" i="28"/>
  <c r="I321" i="28"/>
  <c r="I326" i="28" s="1"/>
  <c r="I332" i="28"/>
  <c r="F296" i="28"/>
  <c r="F308" i="28" s="1"/>
  <c r="F323" i="28" s="1"/>
  <c r="F426" i="28"/>
  <c r="F432" i="28" s="1"/>
  <c r="F114" i="28" s="1"/>
  <c r="I310" i="28"/>
  <c r="H296" i="28"/>
  <c r="H426" i="28"/>
  <c r="H432" i="28" s="1"/>
  <c r="H114" i="28" s="1"/>
  <c r="J310" i="28"/>
  <c r="I312" i="28"/>
  <c r="G304" i="28"/>
  <c r="G319" i="28" s="1"/>
  <c r="G308" i="28"/>
  <c r="G323" i="28" s="1"/>
  <c r="G306" i="28"/>
  <c r="G300" i="28"/>
  <c r="G302" i="28"/>
  <c r="G317" i="28" s="1"/>
  <c r="E302" i="28"/>
  <c r="E317" i="28" s="1"/>
  <c r="E304" i="28"/>
  <c r="E319" i="28" s="1"/>
  <c r="E300" i="28"/>
  <c r="E315" i="28" s="1"/>
  <c r="E308" i="28"/>
  <c r="E323" i="28" s="1"/>
  <c r="E306" i="28"/>
  <c r="AQ217" i="28"/>
  <c r="AQ218" i="28" s="1"/>
  <c r="I101" i="28" s="1"/>
  <c r="F583" i="23"/>
  <c r="J585" i="23" l="1"/>
  <c r="J587" i="23" s="1"/>
  <c r="K120" i="23" s="1"/>
  <c r="J589" i="23"/>
  <c r="J591" i="23" s="1"/>
  <c r="K121" i="23" s="1"/>
  <c r="D279" i="28"/>
  <c r="D281" i="28" s="1"/>
  <c r="D258" i="28"/>
  <c r="H113" i="28"/>
  <c r="D218" i="28"/>
  <c r="D224" i="28" s="1"/>
  <c r="D236" i="28"/>
  <c r="I80" i="28" s="1"/>
  <c r="K312" i="28"/>
  <c r="K332" i="28"/>
  <c r="K321" i="28"/>
  <c r="K315" i="28"/>
  <c r="K310" i="28"/>
  <c r="F113" i="28"/>
  <c r="H375" i="28"/>
  <c r="H377" i="28"/>
  <c r="H379" i="28"/>
  <c r="F375" i="28"/>
  <c r="F377" i="28"/>
  <c r="F379" i="28"/>
  <c r="I335" i="28"/>
  <c r="I381" i="28"/>
  <c r="I383" i="28" s="1"/>
  <c r="J381" i="28"/>
  <c r="J383" i="28" s="1"/>
  <c r="J454" i="28" s="1"/>
  <c r="H304" i="28"/>
  <c r="H319" i="28" s="1"/>
  <c r="H306" i="28"/>
  <c r="H321" i="28" s="1"/>
  <c r="H308" i="28"/>
  <c r="H323" i="28" s="1"/>
  <c r="H300" i="28"/>
  <c r="H315" i="28" s="1"/>
  <c r="F302" i="28"/>
  <c r="F317" i="28" s="1"/>
  <c r="F304" i="28"/>
  <c r="F319" i="28" s="1"/>
  <c r="F306" i="28"/>
  <c r="F332" i="28" s="1"/>
  <c r="F381" i="28" s="1"/>
  <c r="F300" i="28"/>
  <c r="F315" i="28" s="1"/>
  <c r="H302" i="28"/>
  <c r="H317" i="28" s="1"/>
  <c r="G321" i="28"/>
  <c r="G332" i="28"/>
  <c r="G381" i="28" s="1"/>
  <c r="G383" i="28" s="1"/>
  <c r="E321" i="28"/>
  <c r="E326" i="28" s="1"/>
  <c r="E332" i="28"/>
  <c r="E381" i="28" s="1"/>
  <c r="E383" i="28" s="1"/>
  <c r="E312" i="28"/>
  <c r="E310" i="28"/>
  <c r="G315" i="28"/>
  <c r="G310" i="28"/>
  <c r="G312" i="28"/>
  <c r="C226" i="28" l="1"/>
  <c r="C227" i="28" s="1"/>
  <c r="C228" i="28" s="1"/>
  <c r="D112" i="28"/>
  <c r="K112" i="28" s="1"/>
  <c r="D263" i="28"/>
  <c r="D288" i="28" s="1"/>
  <c r="D422" i="28" s="1"/>
  <c r="D244" i="28"/>
  <c r="D249" i="28" s="1"/>
  <c r="D113" i="28" s="1"/>
  <c r="K113" i="28" s="1"/>
  <c r="K326" i="28"/>
  <c r="K335" i="28"/>
  <c r="K381" i="28"/>
  <c r="K383" i="28" s="1"/>
  <c r="J593" i="23"/>
  <c r="F321" i="28"/>
  <c r="F326" i="28" s="1"/>
  <c r="H332" i="28"/>
  <c r="H381" i="28" s="1"/>
  <c r="H383" i="28" s="1"/>
  <c r="F383" i="28"/>
  <c r="I454" i="28"/>
  <c r="I469" i="28" s="1"/>
  <c r="H310" i="28"/>
  <c r="G335" i="28"/>
  <c r="F335" i="28"/>
  <c r="E335" i="28"/>
  <c r="F312" i="28"/>
  <c r="H312" i="28"/>
  <c r="F310" i="28"/>
  <c r="I492" i="28"/>
  <c r="I503" i="28" s="1"/>
  <c r="I387" i="28"/>
  <c r="I435" i="28" s="1"/>
  <c r="G326" i="28"/>
  <c r="H326" i="28"/>
  <c r="J387" i="28"/>
  <c r="J435" i="28" s="1"/>
  <c r="J492" i="28"/>
  <c r="J503" i="28" s="1"/>
  <c r="J469" i="28"/>
  <c r="D284" i="28" l="1"/>
  <c r="D292" i="28" s="1"/>
  <c r="C251" i="28"/>
  <c r="C252" i="28" s="1"/>
  <c r="C253" i="28" s="1"/>
  <c r="K387" i="28"/>
  <c r="I115" i="28" s="1"/>
  <c r="K454" i="28"/>
  <c r="K469" i="28" s="1"/>
  <c r="K492" i="28"/>
  <c r="K503" i="28" s="1"/>
  <c r="H335" i="28"/>
  <c r="G492" i="28"/>
  <c r="G503" i="28" s="1"/>
  <c r="E387" i="28"/>
  <c r="E115" i="28" s="1"/>
  <c r="U261" i="23"/>
  <c r="I31" i="23" s="1"/>
  <c r="D426" i="28" l="1"/>
  <c r="D432" i="28" s="1"/>
  <c r="D114" i="28" s="1"/>
  <c r="K114" i="28" s="1"/>
  <c r="D296" i="28"/>
  <c r="D375" i="28" s="1"/>
  <c r="I116" i="28"/>
  <c r="I128" i="28" s="1"/>
  <c r="K435" i="28"/>
  <c r="H454" i="28"/>
  <c r="H469" i="28" s="1"/>
  <c r="G454" i="28"/>
  <c r="G469" i="28" s="1"/>
  <c r="G116" i="28" s="1"/>
  <c r="F454" i="28"/>
  <c r="F469" i="28" s="1"/>
  <c r="E492" i="28"/>
  <c r="E503" i="28" s="1"/>
  <c r="E454" i="28"/>
  <c r="E469" i="28" s="1"/>
  <c r="F492" i="28"/>
  <c r="F503" i="28" s="1"/>
  <c r="F387" i="28"/>
  <c r="F115" i="28" s="1"/>
  <c r="H492" i="28"/>
  <c r="H503" i="28" s="1"/>
  <c r="G387" i="28"/>
  <c r="G115" i="28" s="1"/>
  <c r="H387" i="28"/>
  <c r="H115" i="28" s="1"/>
  <c r="E435" i="28"/>
  <c r="H116" i="28" l="1"/>
  <c r="H128" i="28" s="1"/>
  <c r="P249" i="28" s="1"/>
  <c r="D304" i="28"/>
  <c r="D319" i="28" s="1"/>
  <c r="D308" i="28"/>
  <c r="D323" i="28" s="1"/>
  <c r="D379" i="28"/>
  <c r="D300" i="28"/>
  <c r="D315" i="28" s="1"/>
  <c r="D377" i="28"/>
  <c r="D306" i="28"/>
  <c r="D332" i="28" s="1"/>
  <c r="D381" i="28" s="1"/>
  <c r="D302" i="28"/>
  <c r="D317" i="28" s="1"/>
  <c r="G128" i="28"/>
  <c r="F116" i="28"/>
  <c r="F128" i="28" s="1"/>
  <c r="E116" i="28"/>
  <c r="E128" i="28" s="1"/>
  <c r="G435" i="28"/>
  <c r="F435" i="28"/>
  <c r="H435" i="28"/>
  <c r="D383" i="28" l="1"/>
  <c r="D387" i="28" s="1"/>
  <c r="D435" i="28" s="1"/>
  <c r="D312" i="28"/>
  <c r="D310" i="28"/>
  <c r="D321" i="28"/>
  <c r="D326" i="28" s="1"/>
  <c r="D328" i="28" s="1"/>
  <c r="D335" i="28"/>
  <c r="D337" i="28" s="1"/>
  <c r="D454" i="28" l="1"/>
  <c r="D469" i="28" s="1"/>
  <c r="D492" i="28"/>
  <c r="D503" i="28" s="1"/>
  <c r="C32" i="20"/>
  <c r="D116" i="28" l="1"/>
  <c r="K116" i="28" s="1"/>
  <c r="D115" i="28"/>
  <c r="K115" i="28" s="1"/>
  <c r="C437" i="28"/>
  <c r="D128" i="28" l="1"/>
  <c r="P250" i="28" s="1"/>
  <c r="C438" i="28"/>
  <c r="C439" i="28" s="1"/>
  <c r="G70" i="23"/>
  <c r="C607" i="23" s="1"/>
  <c r="E607" i="23" s="1"/>
  <c r="C63" i="23"/>
  <c r="C578" i="23" s="1"/>
  <c r="D578" i="23" s="1"/>
  <c r="D47" i="23"/>
  <c r="D46" i="23"/>
  <c r="K269" i="23" s="1"/>
  <c r="K265" i="23" s="1"/>
  <c r="I335" i="23" s="1"/>
  <c r="I337" i="23" s="1"/>
  <c r="E23" i="23"/>
  <c r="F23" i="23"/>
  <c r="H23" i="23"/>
  <c r="E578" i="23" l="1"/>
  <c r="F578" i="23"/>
  <c r="F579" i="23" s="1"/>
  <c r="K292" i="23"/>
  <c r="K314" i="23"/>
  <c r="K319" i="23" s="1"/>
  <c r="K344" i="23" s="1"/>
  <c r="K275" i="23"/>
  <c r="K280" i="23" s="1"/>
  <c r="I113" i="23" s="1"/>
  <c r="K272" i="23"/>
  <c r="J578" i="23"/>
  <c r="J579" i="23" s="1"/>
  <c r="K123" i="23" s="1"/>
  <c r="G578" i="23"/>
  <c r="G579" i="23" s="1"/>
  <c r="C9" i="22"/>
  <c r="C13" i="20"/>
  <c r="C10" i="11"/>
  <c r="C10" i="8"/>
  <c r="C11" i="15"/>
  <c r="K340" i="23" l="1"/>
  <c r="K348" i="23" s="1"/>
  <c r="K352" i="23" s="1"/>
  <c r="E579" i="23"/>
  <c r="H578" i="23"/>
  <c r="H53" i="19"/>
  <c r="K59" i="19" s="1"/>
  <c r="G364" i="19"/>
  <c r="G66" i="23"/>
  <c r="C603" i="23" s="1"/>
  <c r="E603" i="23" s="1"/>
  <c r="H579" i="23" l="1"/>
  <c r="K122" i="23" s="1"/>
  <c r="L578" i="23"/>
  <c r="L579" i="23" s="1"/>
  <c r="D494" i="19"/>
  <c r="D510" i="19" s="1"/>
  <c r="D458" i="19"/>
  <c r="D476" i="19" s="1"/>
  <c r="G363" i="19"/>
  <c r="C375" i="19" s="1"/>
  <c r="C376" i="19" s="1"/>
  <c r="D495" i="19"/>
  <c r="D511" i="19" s="1"/>
  <c r="D459" i="19"/>
  <c r="D477" i="19" s="1"/>
  <c r="C14" i="30"/>
  <c r="H54" i="19"/>
  <c r="K58" i="19"/>
  <c r="H53" i="23"/>
  <c r="H54" i="23" s="1"/>
  <c r="H105" i="23"/>
  <c r="G105" i="23"/>
  <c r="AM258" i="23"/>
  <c r="H100" i="23"/>
  <c r="AV247" i="23" l="1"/>
  <c r="AV248" i="23"/>
  <c r="J119" i="19"/>
  <c r="K119" i="19" s="1"/>
  <c r="C98" i="30"/>
  <c r="C49" i="30"/>
  <c r="C88" i="30" s="1"/>
  <c r="K59" i="23"/>
  <c r="K58" i="23"/>
  <c r="AH259" i="23"/>
  <c r="C100" i="30" l="1"/>
  <c r="C99" i="30"/>
  <c r="AS253" i="23"/>
  <c r="AS252" i="23"/>
  <c r="AW4" i="24"/>
  <c r="AI216" i="19"/>
  <c r="C101" i="30" l="1"/>
  <c r="C104" i="30" s="1"/>
  <c r="AT210" i="19"/>
  <c r="AT209" i="19"/>
  <c r="T248" i="23"/>
  <c r="U248" i="23" s="1"/>
  <c r="C46" i="30" l="1"/>
  <c r="C47" i="30" s="1"/>
  <c r="C114" i="30"/>
  <c r="D406" i="23"/>
  <c r="D405" i="23"/>
  <c r="G68" i="23"/>
  <c r="C605" i="23" s="1"/>
  <c r="E605" i="23" s="1"/>
  <c r="C68" i="23"/>
  <c r="C604" i="23" s="1"/>
  <c r="E604" i="23" s="1"/>
  <c r="C66" i="23"/>
  <c r="C602" i="23" s="1"/>
  <c r="E602" i="23" s="1"/>
  <c r="C612" i="23"/>
  <c r="E612" i="23" s="1"/>
  <c r="C611" i="23"/>
  <c r="E611" i="23" s="1"/>
  <c r="H13" i="23"/>
  <c r="C48" i="30" l="1"/>
  <c r="C50" i="30" s="1"/>
  <c r="C119" i="30"/>
  <c r="E608" i="23"/>
  <c r="C614" i="23"/>
  <c r="E614" i="23" s="1"/>
  <c r="C613" i="23"/>
  <c r="E613" i="23" s="1"/>
  <c r="K126" i="23"/>
  <c r="C102" i="30"/>
  <c r="G411" i="23"/>
  <c r="D542" i="23"/>
  <c r="D558" i="23" s="1"/>
  <c r="D506" i="23"/>
  <c r="D524" i="23" s="1"/>
  <c r="G412" i="23"/>
  <c r="D543" i="23"/>
  <c r="D559" i="23" s="1"/>
  <c r="D507" i="23"/>
  <c r="D525" i="23" s="1"/>
  <c r="H11" i="23"/>
  <c r="P303" i="23" l="1"/>
  <c r="C87" i="30"/>
  <c r="AW3" i="24" s="1"/>
  <c r="E615" i="23"/>
  <c r="C625" i="23"/>
  <c r="J119" i="23"/>
  <c r="H434" i="23"/>
  <c r="G434" i="23"/>
  <c r="F434" i="23"/>
  <c r="E434" i="23"/>
  <c r="D434" i="23"/>
  <c r="H311" i="23"/>
  <c r="G311" i="23"/>
  <c r="F311" i="23"/>
  <c r="E311" i="23"/>
  <c r="D311" i="23"/>
  <c r="K286" i="23"/>
  <c r="H286" i="23"/>
  <c r="G286" i="23"/>
  <c r="F286" i="23"/>
  <c r="E286" i="23"/>
  <c r="D286" i="23"/>
  <c r="H269" i="23"/>
  <c r="H265" i="23" s="1"/>
  <c r="G269" i="23"/>
  <c r="F269" i="23"/>
  <c r="E269" i="23"/>
  <c r="K262" i="23"/>
  <c r="H262" i="23"/>
  <c r="G262" i="23"/>
  <c r="F262" i="23"/>
  <c r="E262" i="23"/>
  <c r="D262" i="23"/>
  <c r="AG271" i="23"/>
  <c r="BD254" i="23"/>
  <c r="BC254" i="23"/>
  <c r="BB254" i="23"/>
  <c r="BA254" i="23"/>
  <c r="AZ254" i="23"/>
  <c r="AY254" i="23"/>
  <c r="AI251" i="23"/>
  <c r="AN246" i="23"/>
  <c r="AN245" i="23"/>
  <c r="AV250" i="23" s="1"/>
  <c r="AI245" i="23"/>
  <c r="AS247" i="23" s="1"/>
  <c r="AS260" i="23" s="1"/>
  <c r="AJ272" i="23" s="1"/>
  <c r="D44" i="23"/>
  <c r="Q257" i="23" s="1"/>
  <c r="F44" i="23" s="1"/>
  <c r="H275" i="23" l="1"/>
  <c r="H335" i="23"/>
  <c r="H337" i="23" s="1"/>
  <c r="AS254" i="23"/>
  <c r="AS255" i="23"/>
  <c r="K127" i="23"/>
  <c r="C628" i="23"/>
  <c r="C629" i="23" s="1"/>
  <c r="K124" i="23" s="1"/>
  <c r="AV251" i="23"/>
  <c r="AV246" i="23"/>
  <c r="AV253" i="23" s="1"/>
  <c r="AK275" i="23" s="1"/>
  <c r="AK276" i="23" s="1"/>
  <c r="E86" i="23" s="1"/>
  <c r="AV255" i="23"/>
  <c r="AJ275" i="23" s="1"/>
  <c r="AJ276" i="23" s="1"/>
  <c r="D86" i="23" s="1"/>
  <c r="AM271" i="23"/>
  <c r="AJ271" i="23"/>
  <c r="AJ273" i="23" s="1"/>
  <c r="D85" i="23" s="1"/>
  <c r="AO271" i="23"/>
  <c r="AI271" i="23"/>
  <c r="AH271" i="23"/>
  <c r="AK271" i="23"/>
  <c r="H280" i="23"/>
  <c r="H113" i="23" s="1"/>
  <c r="H292" i="23"/>
  <c r="BA256" i="23"/>
  <c r="AV249" i="23"/>
  <c r="AV254" i="23" s="1"/>
  <c r="AI275" i="23" s="1"/>
  <c r="AI276" i="23" s="1"/>
  <c r="C86" i="23" s="1"/>
  <c r="AS251" i="23"/>
  <c r="AS246" i="23"/>
  <c r="AS248" i="23"/>
  <c r="F265" i="23"/>
  <c r="F335" i="23" s="1"/>
  <c r="F337" i="23" s="1"/>
  <c r="G265" i="23"/>
  <c r="G335" i="23" s="1"/>
  <c r="G337" i="23" s="1"/>
  <c r="E265" i="23"/>
  <c r="AS250" i="23"/>
  <c r="AS249" i="23"/>
  <c r="AV245" i="23"/>
  <c r="AH275" i="23" s="1"/>
  <c r="AH276" i="23" s="1"/>
  <c r="G86" i="23" s="1"/>
  <c r="Q258" i="23"/>
  <c r="H44" i="23" s="1"/>
  <c r="H314" i="23"/>
  <c r="H272" i="23"/>
  <c r="AS259" i="23" l="1"/>
  <c r="AI272" i="23" s="1"/>
  <c r="E275" i="23"/>
  <c r="E335" i="23"/>
  <c r="E337" i="23" s="1"/>
  <c r="K482" i="23"/>
  <c r="K486" i="23"/>
  <c r="K367" i="23"/>
  <c r="K383" i="23" s="1"/>
  <c r="J437" i="23"/>
  <c r="I437" i="23"/>
  <c r="K437" i="23"/>
  <c r="K361" i="23"/>
  <c r="K377" i="23" s="1"/>
  <c r="I435" i="23"/>
  <c r="J359" i="23"/>
  <c r="J435" i="23"/>
  <c r="K435" i="23"/>
  <c r="K359" i="23"/>
  <c r="J439" i="23"/>
  <c r="I439" i="23"/>
  <c r="K363" i="23"/>
  <c r="K379" i="23" s="1"/>
  <c r="K439" i="23"/>
  <c r="G314" i="23"/>
  <c r="G319" i="23" s="1"/>
  <c r="G275" i="23"/>
  <c r="F292" i="23"/>
  <c r="F275" i="23"/>
  <c r="F280" i="23" s="1"/>
  <c r="F113" i="23" s="1"/>
  <c r="AV252" i="23"/>
  <c r="AM275" i="23" s="1"/>
  <c r="AM276" i="23" s="1"/>
  <c r="F86" i="23" s="1"/>
  <c r="BB259" i="23"/>
  <c r="I363" i="23"/>
  <c r="I379" i="23" s="1"/>
  <c r="AI273" i="23"/>
  <c r="C85" i="23" s="1"/>
  <c r="J363" i="23"/>
  <c r="J379" i="23" s="1"/>
  <c r="I486" i="23"/>
  <c r="I482" i="23"/>
  <c r="J482" i="23"/>
  <c r="J486" i="23"/>
  <c r="I367" i="23"/>
  <c r="I383" i="23" s="1"/>
  <c r="J367" i="23"/>
  <c r="J383" i="23" s="1"/>
  <c r="I361" i="23"/>
  <c r="I377" i="23" s="1"/>
  <c r="J361" i="23"/>
  <c r="J377" i="23" s="1"/>
  <c r="BA259" i="23"/>
  <c r="I359" i="23"/>
  <c r="E292" i="23"/>
  <c r="G292" i="23"/>
  <c r="F272" i="23"/>
  <c r="BD259" i="23"/>
  <c r="F314" i="23"/>
  <c r="F319" i="23" s="1"/>
  <c r="F344" i="23" s="1"/>
  <c r="F482" i="23" s="1"/>
  <c r="AZ259" i="23"/>
  <c r="AS258" i="23"/>
  <c r="AK272" i="23" s="1"/>
  <c r="AK273" i="23" s="1"/>
  <c r="E85" i="23" s="1"/>
  <c r="E272" i="23"/>
  <c r="E314" i="23"/>
  <c r="E319" i="23" s="1"/>
  <c r="E344" i="23" s="1"/>
  <c r="E482" i="23" s="1"/>
  <c r="G272" i="23"/>
  <c r="H319" i="23"/>
  <c r="H344" i="23" s="1"/>
  <c r="H482" i="23" s="1"/>
  <c r="AZ256" i="23" l="1"/>
  <c r="K492" i="23"/>
  <c r="I115" i="23" s="1"/>
  <c r="G344" i="23"/>
  <c r="G482" i="23" s="1"/>
  <c r="I365" i="23"/>
  <c r="K365" i="23"/>
  <c r="K369" i="23" s="1"/>
  <c r="I375" i="23"/>
  <c r="K375" i="23"/>
  <c r="J375" i="23"/>
  <c r="BC259" i="23"/>
  <c r="BD260" i="23" s="1"/>
  <c r="AO275" i="23" s="1"/>
  <c r="AO276" i="23" s="1"/>
  <c r="I107" i="23" s="1"/>
  <c r="K300" i="23" s="1"/>
  <c r="K305" i="23" s="1"/>
  <c r="I114" i="23" s="1"/>
  <c r="J365" i="23"/>
  <c r="I492" i="23"/>
  <c r="J492" i="23"/>
  <c r="G280" i="23"/>
  <c r="G113" i="23" s="1"/>
  <c r="G340" i="23"/>
  <c r="G348" i="23" s="1"/>
  <c r="E280" i="23"/>
  <c r="E113" i="23" s="1"/>
  <c r="BB256" i="23"/>
  <c r="H340" i="23"/>
  <c r="E340" i="23"/>
  <c r="F340" i="23"/>
  <c r="C423" i="23"/>
  <c r="C424" i="23" s="1"/>
  <c r="K119" i="23"/>
  <c r="BE211" i="19"/>
  <c r="BD211" i="19"/>
  <c r="BC211" i="19"/>
  <c r="BB211" i="19"/>
  <c r="BA211" i="19"/>
  <c r="AZ211" i="19"/>
  <c r="I392" i="23" l="1"/>
  <c r="I381" i="23"/>
  <c r="I386" i="23" s="1"/>
  <c r="K381" i="23"/>
  <c r="K386" i="23" s="1"/>
  <c r="K392" i="23"/>
  <c r="J392" i="23"/>
  <c r="J381" i="23"/>
  <c r="J386" i="23" s="1"/>
  <c r="J371" i="23"/>
  <c r="K371" i="23"/>
  <c r="I369" i="23"/>
  <c r="I371" i="23"/>
  <c r="G300" i="23"/>
  <c r="I300" i="23"/>
  <c r="I305" i="23" s="1"/>
  <c r="J300" i="23"/>
  <c r="J305" i="23" s="1"/>
  <c r="J369" i="23"/>
  <c r="G352" i="23"/>
  <c r="G486" i="23"/>
  <c r="G492" i="23" s="1"/>
  <c r="G115" i="23" s="1"/>
  <c r="C425" i="23"/>
  <c r="J118" i="23" s="1"/>
  <c r="J129" i="23" s="1"/>
  <c r="F348" i="23"/>
  <c r="H348" i="23"/>
  <c r="E348" i="23"/>
  <c r="F300" i="23"/>
  <c r="F305" i="23" s="1"/>
  <c r="H300" i="23"/>
  <c r="H305" i="23" s="1"/>
  <c r="E300" i="23"/>
  <c r="E305" i="23" s="1"/>
  <c r="E114" i="23" s="1"/>
  <c r="G435" i="23" l="1"/>
  <c r="G367" i="23"/>
  <c r="G383" i="23" s="1"/>
  <c r="G359" i="23"/>
  <c r="G375" i="23" s="1"/>
  <c r="G437" i="23"/>
  <c r="G439" i="23"/>
  <c r="J395" i="23"/>
  <c r="J441" i="23"/>
  <c r="J443" i="23" s="1"/>
  <c r="K395" i="23"/>
  <c r="K441" i="23"/>
  <c r="K443" i="23" s="1"/>
  <c r="I395" i="23"/>
  <c r="I441" i="23"/>
  <c r="I443" i="23" s="1"/>
  <c r="I447" i="23" s="1"/>
  <c r="I495" i="23" s="1"/>
  <c r="H114" i="23"/>
  <c r="F114" i="23"/>
  <c r="G363" i="23"/>
  <c r="G379" i="23" s="1"/>
  <c r="G361" i="23"/>
  <c r="G365" i="23"/>
  <c r="H352" i="23"/>
  <c r="H486" i="23"/>
  <c r="H492" i="23" s="1"/>
  <c r="H115" i="23" s="1"/>
  <c r="F352" i="23"/>
  <c r="F486" i="23"/>
  <c r="F492" i="23" s="1"/>
  <c r="F115" i="23" s="1"/>
  <c r="E352" i="23"/>
  <c r="E486" i="23"/>
  <c r="E492" i="23" s="1"/>
  <c r="E115" i="23" s="1"/>
  <c r="K118" i="23"/>
  <c r="H361" i="23" l="1"/>
  <c r="H377" i="23" s="1"/>
  <c r="H359" i="23"/>
  <c r="H375" i="23" s="1"/>
  <c r="H439" i="23"/>
  <c r="H437" i="23"/>
  <c r="H363" i="23"/>
  <c r="H379" i="23" s="1"/>
  <c r="H435" i="23"/>
  <c r="E359" i="23"/>
  <c r="E375" i="23" s="1"/>
  <c r="E439" i="23"/>
  <c r="E435" i="23"/>
  <c r="E437" i="23"/>
  <c r="F439" i="23"/>
  <c r="F437" i="23"/>
  <c r="F435" i="23"/>
  <c r="G377" i="23"/>
  <c r="G371" i="23"/>
  <c r="K447" i="23"/>
  <c r="K514" i="23"/>
  <c r="K529" i="23" s="1"/>
  <c r="K552" i="23"/>
  <c r="K563" i="23" s="1"/>
  <c r="I552" i="23"/>
  <c r="I563" i="23" s="1"/>
  <c r="I514" i="23"/>
  <c r="I529" i="23" s="1"/>
  <c r="J514" i="23"/>
  <c r="J529" i="23" s="1"/>
  <c r="G381" i="23"/>
  <c r="G392" i="23"/>
  <c r="J552" i="23"/>
  <c r="J563" i="23" s="1"/>
  <c r="J447" i="23"/>
  <c r="J495" i="23" s="1"/>
  <c r="F359" i="23"/>
  <c r="F365" i="23"/>
  <c r="G369" i="23"/>
  <c r="F361" i="23"/>
  <c r="F377" i="23" s="1"/>
  <c r="F367" i="23"/>
  <c r="F383" i="23" s="1"/>
  <c r="E367" i="23"/>
  <c r="E383" i="23" s="1"/>
  <c r="E365" i="23"/>
  <c r="H365" i="23"/>
  <c r="E361" i="23"/>
  <c r="E363" i="23"/>
  <c r="E379" i="23" s="1"/>
  <c r="F363" i="23"/>
  <c r="F379" i="23" s="1"/>
  <c r="H367" i="23"/>
  <c r="H383" i="23" s="1"/>
  <c r="G305" i="23"/>
  <c r="G114" i="23" s="1"/>
  <c r="K495" i="23" l="1"/>
  <c r="I116" i="23"/>
  <c r="E392" i="23"/>
  <c r="E381" i="23"/>
  <c r="F381" i="23"/>
  <c r="F392" i="23"/>
  <c r="G386" i="23"/>
  <c r="G395" i="23"/>
  <c r="G441" i="23"/>
  <c r="G443" i="23" s="1"/>
  <c r="E377" i="23"/>
  <c r="E371" i="23"/>
  <c r="F371" i="23"/>
  <c r="F375" i="23"/>
  <c r="H381" i="23"/>
  <c r="H386" i="23" s="1"/>
  <c r="H392" i="23"/>
  <c r="H371" i="23"/>
  <c r="I117" i="23"/>
  <c r="E369" i="23"/>
  <c r="F369" i="23"/>
  <c r="H369" i="23"/>
  <c r="AO204" i="19"/>
  <c r="AO203" i="19"/>
  <c r="AJ208" i="19"/>
  <c r="AJ205" i="19"/>
  <c r="AJ202" i="19"/>
  <c r="F386" i="23" l="1"/>
  <c r="F395" i="23"/>
  <c r="F441" i="23"/>
  <c r="F443" i="23" s="1"/>
  <c r="F514" i="23" s="1"/>
  <c r="F529" i="23" s="1"/>
  <c r="E386" i="23"/>
  <c r="E395" i="23"/>
  <c r="E441" i="23"/>
  <c r="E443" i="23" s="1"/>
  <c r="I129" i="23"/>
  <c r="G552" i="23"/>
  <c r="G563" i="23" s="1"/>
  <c r="G447" i="23"/>
  <c r="G116" i="23" s="1"/>
  <c r="H395" i="23"/>
  <c r="H441" i="23"/>
  <c r="H443" i="23" s="1"/>
  <c r="AT212" i="19"/>
  <c r="AT211" i="19"/>
  <c r="AW204" i="19"/>
  <c r="AW212" i="19" s="1"/>
  <c r="BB216" i="19" s="1"/>
  <c r="AW203" i="19"/>
  <c r="AW210" i="19" s="1"/>
  <c r="G514" i="23"/>
  <c r="G529" i="23" s="1"/>
  <c r="AW208" i="19"/>
  <c r="AT208" i="19"/>
  <c r="AW207" i="19"/>
  <c r="AW206" i="19"/>
  <c r="AW211" i="19" s="1"/>
  <c r="BA216" i="19" s="1"/>
  <c r="AT203" i="19"/>
  <c r="AT205" i="19"/>
  <c r="AT204" i="19"/>
  <c r="AT217" i="19" s="1"/>
  <c r="BB213" i="19" s="1"/>
  <c r="AW202" i="19"/>
  <c r="BE216" i="19" s="1"/>
  <c r="AT207" i="19"/>
  <c r="G117" i="23" l="1"/>
  <c r="G129" i="23" s="1"/>
  <c r="AT215" i="19"/>
  <c r="BC213" i="19" s="1"/>
  <c r="AL232" i="19"/>
  <c r="AL233" i="19" s="1"/>
  <c r="E86" i="19" s="1"/>
  <c r="BC216" i="19"/>
  <c r="G495" i="23"/>
  <c r="H514" i="23"/>
  <c r="H529" i="23" s="1"/>
  <c r="E552" i="23"/>
  <c r="E563" i="23" s="1"/>
  <c r="E447" i="23"/>
  <c r="E116" i="23" s="1"/>
  <c r="E514" i="23"/>
  <c r="E529" i="23" s="1"/>
  <c r="F447" i="23"/>
  <c r="F116" i="23" s="1"/>
  <c r="F552" i="23"/>
  <c r="F563" i="23" s="1"/>
  <c r="F117" i="23" s="1"/>
  <c r="AW209" i="19"/>
  <c r="BD216" i="19" s="1"/>
  <c r="H552" i="23"/>
  <c r="H563" i="23" s="1"/>
  <c r="AK232" i="19"/>
  <c r="AK233" i="19" s="1"/>
  <c r="D86" i="19" s="1"/>
  <c r="AJ232" i="19"/>
  <c r="AJ233" i="19" s="1"/>
  <c r="C86" i="19" s="1"/>
  <c r="AI232" i="19"/>
  <c r="AI233" i="19" s="1"/>
  <c r="G86" i="19" s="1"/>
  <c r="AK229" i="19"/>
  <c r="AK230" i="19" s="1"/>
  <c r="D85" i="19" s="1"/>
  <c r="AT206" i="19"/>
  <c r="AT216" i="19" s="1"/>
  <c r="BA213" i="19" s="1"/>
  <c r="K311" i="19" l="1"/>
  <c r="K387" i="19"/>
  <c r="K389" i="19"/>
  <c r="K313" i="19"/>
  <c r="K329" i="19" s="1"/>
  <c r="K391" i="19"/>
  <c r="K315" i="19"/>
  <c r="K331" i="19" s="1"/>
  <c r="K434" i="19"/>
  <c r="K438" i="19"/>
  <c r="K319" i="19"/>
  <c r="K335" i="19" s="1"/>
  <c r="J434" i="19"/>
  <c r="F129" i="23"/>
  <c r="H117" i="23"/>
  <c r="E117" i="23"/>
  <c r="E129" i="23" s="1"/>
  <c r="J438" i="19"/>
  <c r="BE217" i="19"/>
  <c r="AP232" i="19" s="1"/>
  <c r="AP233" i="19" s="1"/>
  <c r="I107" i="19" s="1"/>
  <c r="K256" i="19" s="1"/>
  <c r="K261" i="19" s="1"/>
  <c r="I114" i="19" s="1"/>
  <c r="AL229" i="19"/>
  <c r="AL230" i="19" s="1"/>
  <c r="E85" i="19" s="1"/>
  <c r="J391" i="19"/>
  <c r="I391" i="19"/>
  <c r="I315" i="19"/>
  <c r="I331" i="19" s="1"/>
  <c r="J315" i="19"/>
  <c r="J331" i="19" s="1"/>
  <c r="J387" i="19"/>
  <c r="I387" i="19"/>
  <c r="I389" i="19"/>
  <c r="J389" i="19"/>
  <c r="AN232" i="19"/>
  <c r="AN233" i="19" s="1"/>
  <c r="F86" i="19" s="1"/>
  <c r="H447" i="23"/>
  <c r="H116" i="23" s="1"/>
  <c r="F495" i="23"/>
  <c r="E495" i="23"/>
  <c r="I438" i="19"/>
  <c r="I434" i="19"/>
  <c r="J319" i="19"/>
  <c r="J335" i="19" s="1"/>
  <c r="I319" i="19"/>
  <c r="I335" i="19" s="1"/>
  <c r="J313" i="19"/>
  <c r="J329" i="19" s="1"/>
  <c r="I313" i="19"/>
  <c r="I329" i="19" s="1"/>
  <c r="I311" i="19"/>
  <c r="J311" i="19"/>
  <c r="AJ229" i="19"/>
  <c r="AJ230" i="19" s="1"/>
  <c r="C85" i="19" s="1"/>
  <c r="K327" i="19" l="1"/>
  <c r="H129" i="23"/>
  <c r="P304" i="23" s="1"/>
  <c r="K444" i="19"/>
  <c r="I115" i="19" s="1"/>
  <c r="J317" i="19"/>
  <c r="J323" i="19" s="1"/>
  <c r="K317" i="19"/>
  <c r="K321" i="19" s="1"/>
  <c r="J256" i="19"/>
  <c r="J261" i="19" s="1"/>
  <c r="I256" i="19"/>
  <c r="I261" i="19" s="1"/>
  <c r="J444" i="19"/>
  <c r="I444" i="19"/>
  <c r="I317" i="19"/>
  <c r="I323" i="19" s="1"/>
  <c r="H495" i="23"/>
  <c r="I327" i="19"/>
  <c r="J327" i="19"/>
  <c r="J321" i="19"/>
  <c r="J333" i="19" l="1"/>
  <c r="J338" i="19" s="1"/>
  <c r="J344" i="19"/>
  <c r="J347" i="19" s="1"/>
  <c r="K323" i="19"/>
  <c r="K344" i="19"/>
  <c r="K333" i="19"/>
  <c r="K338" i="19" s="1"/>
  <c r="I344" i="19"/>
  <c r="I393" i="19" s="1"/>
  <c r="I395" i="19" s="1"/>
  <c r="I466" i="19" s="1"/>
  <c r="I481" i="19" s="1"/>
  <c r="I321" i="19"/>
  <c r="I333" i="19"/>
  <c r="I338" i="19" s="1"/>
  <c r="J393" i="19" l="1"/>
  <c r="J395" i="19" s="1"/>
  <c r="J466" i="19" s="1"/>
  <c r="K393" i="19"/>
  <c r="K395" i="19" s="1"/>
  <c r="K347" i="19"/>
  <c r="I347" i="19"/>
  <c r="I504" i="19"/>
  <c r="I515" i="19" s="1"/>
  <c r="I399" i="19"/>
  <c r="I447" i="19" s="1"/>
  <c r="H223" i="19"/>
  <c r="G223" i="19"/>
  <c r="G291" i="19" s="1"/>
  <c r="G293" i="19" s="1"/>
  <c r="E223" i="19"/>
  <c r="F223" i="19"/>
  <c r="H44" i="19"/>
  <c r="H248" i="19" l="1"/>
  <c r="H256" i="19" s="1"/>
  <c r="H261" i="19" s="1"/>
  <c r="H114" i="19" s="1"/>
  <c r="H291" i="19"/>
  <c r="H293" i="19" s="1"/>
  <c r="E231" i="19"/>
  <c r="E291" i="19"/>
  <c r="E293" i="19" s="1"/>
  <c r="K399" i="19"/>
  <c r="K504" i="19"/>
  <c r="K515" i="19" s="1"/>
  <c r="K466" i="19"/>
  <c r="K481" i="19" s="1"/>
  <c r="H231" i="19"/>
  <c r="G231" i="19"/>
  <c r="G248" i="19"/>
  <c r="G256" i="19" s="1"/>
  <c r="F231" i="19"/>
  <c r="F248" i="19"/>
  <c r="F256" i="19" s="1"/>
  <c r="F261" i="19" s="1"/>
  <c r="E248" i="19"/>
  <c r="E256" i="19" s="1"/>
  <c r="J481" i="19"/>
  <c r="J504" i="19"/>
  <c r="J515" i="19" s="1"/>
  <c r="J399" i="19"/>
  <c r="J447" i="19" s="1"/>
  <c r="C16" i="11"/>
  <c r="C17" i="7"/>
  <c r="C16" i="8"/>
  <c r="C19" i="12"/>
  <c r="C17" i="15"/>
  <c r="F44" i="19"/>
  <c r="I117" i="19" l="1"/>
  <c r="K447" i="19"/>
  <c r="I116" i="19"/>
  <c r="C18" i="12"/>
  <c r="C16" i="15"/>
  <c r="C15" i="11"/>
  <c r="C16" i="7"/>
  <c r="C15" i="8"/>
  <c r="C16" i="2"/>
  <c r="I129" i="19" l="1"/>
  <c r="C115" i="11"/>
  <c r="D484" i="8" l="1"/>
  <c r="D477" i="8"/>
  <c r="D371" i="15"/>
  <c r="D364" i="15"/>
  <c r="D406" i="12"/>
  <c r="D399" i="12"/>
  <c r="D407" i="7"/>
  <c r="D400" i="7"/>
  <c r="D413" i="12" l="1"/>
  <c r="C13" i="22" l="1"/>
  <c r="C17" i="20"/>
  <c r="C14" i="11"/>
  <c r="C14" i="8"/>
  <c r="C15" i="15"/>
  <c r="C15" i="7"/>
  <c r="C17" i="12"/>
  <c r="C15" i="2"/>
  <c r="C41" i="30" l="1"/>
  <c r="C51" i="30" s="1"/>
  <c r="C89" i="30" s="1"/>
  <c r="C21" i="12"/>
  <c r="C111" i="12" s="1"/>
  <c r="C109" i="12" s="1"/>
  <c r="C31" i="12"/>
  <c r="C25" i="12"/>
  <c r="C144" i="12"/>
  <c r="C27" i="12"/>
  <c r="C29" i="12"/>
  <c r="C14" i="12"/>
  <c r="C11" i="11"/>
  <c r="C120" i="11" s="1"/>
  <c r="C35" i="12"/>
  <c r="C37" i="12"/>
  <c r="C39" i="12"/>
  <c r="C12" i="2"/>
  <c r="C43" i="12"/>
  <c r="D419" i="12" s="1"/>
  <c r="C13" i="12"/>
  <c r="C41" i="12"/>
  <c r="C33" i="12"/>
  <c r="C18" i="8"/>
  <c r="C213" i="8"/>
  <c r="C49" i="12"/>
  <c r="C18" i="11"/>
  <c r="C20" i="11"/>
  <c r="C22" i="11"/>
  <c r="C28" i="11"/>
  <c r="C26" i="11"/>
  <c r="C24" i="8"/>
  <c r="C44" i="8" s="1"/>
  <c r="C491" i="8"/>
  <c r="C378" i="15"/>
  <c r="C414" i="7"/>
  <c r="C162" i="22"/>
  <c r="D81" i="22"/>
  <c r="D102" i="22" s="1"/>
  <c r="D136" i="22" s="1"/>
  <c r="C81" i="22"/>
  <c r="C102" i="22" s="1"/>
  <c r="C19" i="22"/>
  <c r="C21" i="22"/>
  <c r="C23" i="22"/>
  <c r="C17" i="22"/>
  <c r="C15" i="22"/>
  <c r="C27" i="22" s="1"/>
  <c r="C11" i="22"/>
  <c r="C10" i="22"/>
  <c r="C151" i="20"/>
  <c r="C153" i="20" s="1"/>
  <c r="D91" i="20"/>
  <c r="C26" i="20"/>
  <c r="D95" i="20"/>
  <c r="C24" i="20"/>
  <c r="D93" i="20" s="1"/>
  <c r="C86" i="20"/>
  <c r="D86" i="20" s="1"/>
  <c r="C28" i="20"/>
  <c r="D90" i="20" s="1"/>
  <c r="Q89" i="20"/>
  <c r="Q90" i="20"/>
  <c r="Q91" i="20"/>
  <c r="Q92" i="20"/>
  <c r="C95" i="20"/>
  <c r="K89" i="20"/>
  <c r="K90" i="20" s="1"/>
  <c r="K91" i="20" s="1"/>
  <c r="K92" i="20" s="1"/>
  <c r="K93" i="20" s="1"/>
  <c r="K94" i="20" s="1"/>
  <c r="K95" i="20" s="1"/>
  <c r="K96" i="20" s="1"/>
  <c r="K97" i="20" s="1"/>
  <c r="K98" i="20" s="1"/>
  <c r="K99" i="20" s="1"/>
  <c r="K100" i="20" s="1"/>
  <c r="K101" i="20" s="1"/>
  <c r="K102" i="20" s="1"/>
  <c r="C93" i="20"/>
  <c r="C91" i="20"/>
  <c r="C36" i="20"/>
  <c r="D143" i="20" s="1"/>
  <c r="C34" i="20"/>
  <c r="C89" i="20"/>
  <c r="C14" i="20"/>
  <c r="C88" i="20" s="1"/>
  <c r="D88" i="20" s="1"/>
  <c r="C117" i="20"/>
  <c r="D117" i="20" s="1"/>
  <c r="C24" i="11"/>
  <c r="I300" i="8"/>
  <c r="F210" i="8"/>
  <c r="E156" i="8"/>
  <c r="F156" i="8"/>
  <c r="F155" i="8"/>
  <c r="E155" i="8"/>
  <c r="C22" i="8"/>
  <c r="C30" i="8"/>
  <c r="C28" i="8"/>
  <c r="C26" i="8"/>
  <c r="C20" i="8"/>
  <c r="C11" i="8"/>
  <c r="I187" i="15"/>
  <c r="C27" i="15"/>
  <c r="C35" i="15"/>
  <c r="C33" i="15"/>
  <c r="C31" i="15"/>
  <c r="C29" i="15"/>
  <c r="C25" i="15"/>
  <c r="C131" i="15" s="1"/>
  <c r="C23" i="15"/>
  <c r="C21" i="15"/>
  <c r="C19" i="15"/>
  <c r="C132" i="15"/>
  <c r="C12" i="15"/>
  <c r="C29" i="7"/>
  <c r="C33" i="7"/>
  <c r="C163" i="7" s="1"/>
  <c r="C23" i="7"/>
  <c r="C27" i="7"/>
  <c r="C21" i="7"/>
  <c r="C39" i="7"/>
  <c r="C37" i="7"/>
  <c r="C35" i="7"/>
  <c r="C31" i="7"/>
  <c r="C25" i="7"/>
  <c r="C19" i="7"/>
  <c r="C175" i="7" s="1"/>
  <c r="C138" i="7"/>
  <c r="C12" i="7"/>
  <c r="C11" i="7"/>
  <c r="I221" i="12"/>
  <c r="C47" i="12"/>
  <c r="C45" i="12"/>
  <c r="C23" i="12"/>
  <c r="C24" i="2"/>
  <c r="C28" i="2"/>
  <c r="C26" i="2"/>
  <c r="C22" i="2"/>
  <c r="C18" i="2"/>
  <c r="C11" i="2"/>
  <c r="H386" i="19"/>
  <c r="G386" i="19"/>
  <c r="F386" i="19"/>
  <c r="E386" i="19"/>
  <c r="D386" i="19"/>
  <c r="H220" i="19"/>
  <c r="H242" i="19" s="1"/>
  <c r="H267" i="19" s="1"/>
  <c r="G220" i="19"/>
  <c r="G242" i="19" s="1"/>
  <c r="G267" i="19" s="1"/>
  <c r="F220" i="19"/>
  <c r="F242" i="19" s="1"/>
  <c r="F267" i="19" s="1"/>
  <c r="E220" i="19"/>
  <c r="E242" i="19" s="1"/>
  <c r="E267" i="19" s="1"/>
  <c r="D220" i="19"/>
  <c r="D242" i="19" s="1"/>
  <c r="D267" i="19" s="1"/>
  <c r="C160" i="7" l="1"/>
  <c r="C26" i="22"/>
  <c r="C59" i="22"/>
  <c r="C214" i="8"/>
  <c r="C39" i="11"/>
  <c r="C70" i="11"/>
  <c r="C41" i="11"/>
  <c r="C71" i="11" s="1"/>
  <c r="C136" i="22"/>
  <c r="C48" i="20"/>
  <c r="C75" i="20" s="1"/>
  <c r="F291" i="19"/>
  <c r="F293" i="19" s="1"/>
  <c r="F114" i="19"/>
  <c r="H236" i="19"/>
  <c r="H113" i="19" s="1"/>
  <c r="F236" i="19"/>
  <c r="F113" i="19" s="1"/>
  <c r="C52" i="30"/>
  <c r="C90" i="30" s="1"/>
  <c r="AW6" i="24" s="1"/>
  <c r="AW5" i="24"/>
  <c r="F160" i="8"/>
  <c r="F172" i="8"/>
  <c r="E181" i="8"/>
  <c r="E163" i="8"/>
  <c r="E183" i="8"/>
  <c r="E165" i="8"/>
  <c r="F176" i="8"/>
  <c r="F197" i="8"/>
  <c r="F174" i="8"/>
  <c r="E167" i="8"/>
  <c r="E179" i="8"/>
  <c r="E202" i="8"/>
  <c r="C161" i="7"/>
  <c r="C162" i="7" s="1"/>
  <c r="D89" i="20"/>
  <c r="D94" i="20" s="1"/>
  <c r="D104" i="20" s="1"/>
  <c r="E151" i="20"/>
  <c r="E152" i="20" s="1"/>
  <c r="C162" i="12"/>
  <c r="C163" i="12" s="1"/>
  <c r="D69" i="22"/>
  <c r="D70" i="22"/>
  <c r="E161" i="8"/>
  <c r="E170" i="8"/>
  <c r="E177" i="8"/>
  <c r="F188" i="8"/>
  <c r="C51" i="7"/>
  <c r="C39" i="2"/>
  <c r="C63" i="2" s="1"/>
  <c r="F270" i="19"/>
  <c r="F275" i="19" s="1"/>
  <c r="F300" i="19" s="1"/>
  <c r="E270" i="19"/>
  <c r="G270" i="19"/>
  <c r="H270" i="19"/>
  <c r="C94" i="20"/>
  <c r="C104" i="20" s="1"/>
  <c r="D68" i="22"/>
  <c r="C90" i="22"/>
  <c r="C111" i="22" s="1"/>
  <c r="C144" i="22" s="1"/>
  <c r="D90" i="22"/>
  <c r="D111" i="22" s="1"/>
  <c r="D144" i="22" s="1"/>
  <c r="C161" i="12"/>
  <c r="C61" i="12"/>
  <c r="Q93" i="20"/>
  <c r="C105" i="20" s="1"/>
  <c r="D414" i="7"/>
  <c r="C48" i="7" s="1"/>
  <c r="C58" i="12"/>
  <c r="D491" i="8"/>
  <c r="C41" i="8" s="1"/>
  <c r="D378" i="15"/>
  <c r="C44" i="15" s="1"/>
  <c r="F192" i="8"/>
  <c r="E186" i="8"/>
  <c r="F190" i="8"/>
  <c r="F194" i="8"/>
  <c r="E199" i="8"/>
  <c r="F207" i="8"/>
  <c r="F162" i="8"/>
  <c r="F167" i="8"/>
  <c r="F171" i="8"/>
  <c r="E174" i="8"/>
  <c r="F178" i="8"/>
  <c r="F183" i="8"/>
  <c r="F187" i="8"/>
  <c r="E190" i="8"/>
  <c r="E195" i="8"/>
  <c r="E200" i="8"/>
  <c r="E210" i="8"/>
  <c r="G210" i="8" s="1"/>
  <c r="H210" i="8" s="1"/>
  <c r="F165" i="8"/>
  <c r="F169" i="8"/>
  <c r="E172" i="8"/>
  <c r="E176" i="8"/>
  <c r="F181" i="8"/>
  <c r="F185" i="8"/>
  <c r="E188" i="8"/>
  <c r="E192" i="8"/>
  <c r="F199" i="8"/>
  <c r="F203" i="8"/>
  <c r="F205" i="8"/>
  <c r="E193" i="8"/>
  <c r="E197" i="8"/>
  <c r="F201" i="8"/>
  <c r="E206" i="8"/>
  <c r="E204" i="8"/>
  <c r="E208" i="8"/>
  <c r="E162" i="8"/>
  <c r="F164" i="8"/>
  <c r="F166" i="8"/>
  <c r="F168" i="8"/>
  <c r="E169" i="8"/>
  <c r="E171" i="8"/>
  <c r="F173" i="8"/>
  <c r="F175" i="8"/>
  <c r="E178" i="8"/>
  <c r="F180" i="8"/>
  <c r="F182" i="8"/>
  <c r="F184" i="8"/>
  <c r="E185" i="8"/>
  <c r="E187" i="8"/>
  <c r="G187" i="8" s="1"/>
  <c r="H187" i="8" s="1"/>
  <c r="F189" i="8"/>
  <c r="F191" i="8"/>
  <c r="E194" i="8"/>
  <c r="F196" i="8"/>
  <c r="F198" i="8"/>
  <c r="E201" i="8"/>
  <c r="E203" i="8"/>
  <c r="E205" i="8"/>
  <c r="E207" i="8"/>
  <c r="E209" i="8"/>
  <c r="F209" i="8"/>
  <c r="F161" i="8"/>
  <c r="F163" i="8"/>
  <c r="E164" i="8"/>
  <c r="E166" i="8"/>
  <c r="E168" i="8"/>
  <c r="F170" i="8"/>
  <c r="E173" i="8"/>
  <c r="E175" i="8"/>
  <c r="F177" i="8"/>
  <c r="F179" i="8"/>
  <c r="E180" i="8"/>
  <c r="E182" i="8"/>
  <c r="E184" i="8"/>
  <c r="F186" i="8"/>
  <c r="E189" i="8"/>
  <c r="E191" i="8"/>
  <c r="F193" i="8"/>
  <c r="F195" i="8"/>
  <c r="E196" i="8"/>
  <c r="E198" i="8"/>
  <c r="F200" i="8"/>
  <c r="F202" i="8"/>
  <c r="F204" i="8"/>
  <c r="F206" i="8"/>
  <c r="F208" i="8"/>
  <c r="C104" i="8"/>
  <c r="C105" i="8" s="1"/>
  <c r="G155" i="8"/>
  <c r="G156" i="8"/>
  <c r="C47" i="15"/>
  <c r="C123" i="15"/>
  <c r="C92" i="15"/>
  <c r="C187" i="7"/>
  <c r="C115" i="12"/>
  <c r="C90" i="8"/>
  <c r="D245" i="7"/>
  <c r="D209" i="15"/>
  <c r="D322" i="8"/>
  <c r="D243" i="12"/>
  <c r="C92" i="20"/>
  <c r="C154" i="20"/>
  <c r="C90" i="20"/>
  <c r="C97" i="20" s="1"/>
  <c r="C118" i="20" s="1"/>
  <c r="C277" i="8"/>
  <c r="C135" i="8"/>
  <c r="C96" i="7"/>
  <c r="C152" i="20"/>
  <c r="F151" i="20" s="1"/>
  <c r="D13" i="11"/>
  <c r="C97" i="2"/>
  <c r="C128" i="2"/>
  <c r="C158" i="7"/>
  <c r="C151" i="15"/>
  <c r="C163" i="15"/>
  <c r="C127" i="7"/>
  <c r="C199" i="7"/>
  <c r="G88" i="20"/>
  <c r="D87" i="20"/>
  <c r="G87" i="20" s="1"/>
  <c r="D98" i="20" s="1"/>
  <c r="F88" i="20"/>
  <c r="C87" i="20"/>
  <c r="C265" i="8"/>
  <c r="C81" i="20"/>
  <c r="C197" i="12"/>
  <c r="C136" i="12"/>
  <c r="C185" i="12"/>
  <c r="C159" i="12"/>
  <c r="D92" i="20" l="1"/>
  <c r="G205" i="8"/>
  <c r="H205" i="8" s="1"/>
  <c r="D213" i="8" s="1"/>
  <c r="BE4" i="24"/>
  <c r="C35" i="22"/>
  <c r="G171" i="8"/>
  <c r="H171" i="8" s="1"/>
  <c r="G275" i="19"/>
  <c r="G296" i="19" s="1"/>
  <c r="E275" i="19"/>
  <c r="E296" i="19" s="1"/>
  <c r="E304" i="19" s="1"/>
  <c r="E438" i="19" s="1"/>
  <c r="H275" i="19"/>
  <c r="H300" i="19" s="1"/>
  <c r="H434" i="19" s="1"/>
  <c r="C96" i="20"/>
  <c r="C124" i="20" s="1"/>
  <c r="G183" i="8"/>
  <c r="H183" i="8" s="1"/>
  <c r="G197" i="8"/>
  <c r="H197" i="8" s="1"/>
  <c r="G177" i="8"/>
  <c r="H177" i="8" s="1"/>
  <c r="G200" i="8"/>
  <c r="H200" i="8" s="1"/>
  <c r="G172" i="8"/>
  <c r="H172" i="8" s="1"/>
  <c r="F296" i="19"/>
  <c r="F434" i="19"/>
  <c r="D72" i="22"/>
  <c r="D71" i="22"/>
  <c r="G179" i="8"/>
  <c r="H179" i="8" s="1"/>
  <c r="G192" i="8"/>
  <c r="H192" i="8" s="1"/>
  <c r="G176" i="8"/>
  <c r="H176" i="8" s="1"/>
  <c r="G160" i="8"/>
  <c r="H160" i="8" s="1"/>
  <c r="G174" i="8"/>
  <c r="H174" i="8" s="1"/>
  <c r="G165" i="8"/>
  <c r="H165" i="8" s="1"/>
  <c r="G178" i="8"/>
  <c r="H178" i="8" s="1"/>
  <c r="C101" i="20"/>
  <c r="G202" i="8"/>
  <c r="H202" i="8" s="1"/>
  <c r="G163" i="8"/>
  <c r="H163" i="8" s="1"/>
  <c r="G193" i="8"/>
  <c r="H193" i="8" s="1"/>
  <c r="G161" i="8"/>
  <c r="H161" i="8" s="1"/>
  <c r="G170" i="8"/>
  <c r="H170" i="8" s="1"/>
  <c r="G181" i="8"/>
  <c r="H181" i="8" s="1"/>
  <c r="G184" i="8"/>
  <c r="H184" i="8" s="1"/>
  <c r="G168" i="8"/>
  <c r="H168" i="8" s="1"/>
  <c r="G190" i="8"/>
  <c r="H190" i="8" s="1"/>
  <c r="G199" i="8"/>
  <c r="H199" i="8" s="1"/>
  <c r="G188" i="8"/>
  <c r="H188" i="8" s="1"/>
  <c r="G167" i="8"/>
  <c r="H167" i="8" s="1"/>
  <c r="D99" i="20"/>
  <c r="D97" i="20"/>
  <c r="D125" i="20" s="1"/>
  <c r="D96" i="20"/>
  <c r="BA4" i="24"/>
  <c r="AS4" i="24"/>
  <c r="Y4" i="24"/>
  <c r="C157" i="20"/>
  <c r="D105" i="20"/>
  <c r="C77" i="8"/>
  <c r="G186" i="8"/>
  <c r="H186" i="8" s="1"/>
  <c r="G203" i="8"/>
  <c r="H203" i="8" s="1"/>
  <c r="G194" i="8"/>
  <c r="H194" i="8" s="1"/>
  <c r="G185" i="8"/>
  <c r="H185" i="8" s="1"/>
  <c r="G169" i="8"/>
  <c r="H169" i="8" s="1"/>
  <c r="G207" i="8"/>
  <c r="H207" i="8" s="1"/>
  <c r="G195" i="8"/>
  <c r="H195" i="8" s="1"/>
  <c r="G162" i="8"/>
  <c r="H162" i="8" s="1"/>
  <c r="G206" i="8"/>
  <c r="H206" i="8" s="1"/>
  <c r="G201" i="8"/>
  <c r="H201" i="8" s="1"/>
  <c r="H155" i="8"/>
  <c r="G204" i="8"/>
  <c r="H204" i="8" s="1"/>
  <c r="D214" i="8" s="1"/>
  <c r="G208" i="8"/>
  <c r="H208" i="8" s="1"/>
  <c r="G191" i="8"/>
  <c r="H191" i="8" s="1"/>
  <c r="G175" i="8"/>
  <c r="H175" i="8" s="1"/>
  <c r="G198" i="8"/>
  <c r="H198" i="8" s="1"/>
  <c r="G182" i="8"/>
  <c r="H182" i="8" s="1"/>
  <c r="G166" i="8"/>
  <c r="H166" i="8" s="1"/>
  <c r="G196" i="8"/>
  <c r="H196" i="8" s="1"/>
  <c r="G189" i="8"/>
  <c r="H189" i="8" s="1"/>
  <c r="G180" i="8"/>
  <c r="H180" i="8" s="1"/>
  <c r="G173" i="8"/>
  <c r="H173" i="8" s="1"/>
  <c r="G164" i="8"/>
  <c r="H164" i="8" s="1"/>
  <c r="G209" i="8"/>
  <c r="H209" i="8" s="1"/>
  <c r="E261" i="19"/>
  <c r="D100" i="22"/>
  <c r="G261" i="19"/>
  <c r="G114" i="19" s="1"/>
  <c r="G151" i="20"/>
  <c r="C155" i="20"/>
  <c r="C156" i="20" s="1"/>
  <c r="C83" i="7"/>
  <c r="C125" i="20"/>
  <c r="C102" i="20"/>
  <c r="C103" i="20" s="1"/>
  <c r="G236" i="19"/>
  <c r="G113" i="19" s="1"/>
  <c r="F87" i="20"/>
  <c r="C98" i="20" s="1"/>
  <c r="C99" i="20" s="1"/>
  <c r="C100" i="20"/>
  <c r="E153" i="20"/>
  <c r="C78" i="15"/>
  <c r="D100" i="20"/>
  <c r="G300" i="19" l="1"/>
  <c r="G434" i="19" s="1"/>
  <c r="E300" i="19"/>
  <c r="E434" i="19" s="1"/>
  <c r="H296" i="19"/>
  <c r="H304" i="19" s="1"/>
  <c r="E114" i="19"/>
  <c r="F304" i="19"/>
  <c r="F438" i="19" s="1"/>
  <c r="F444" i="19" s="1"/>
  <c r="F115" i="19" s="1"/>
  <c r="D124" i="20"/>
  <c r="D126" i="20" s="1"/>
  <c r="D127" i="20" s="1"/>
  <c r="D138" i="20" s="1"/>
  <c r="D73" i="22"/>
  <c r="D215" i="8"/>
  <c r="D101" i="20"/>
  <c r="D102" i="20"/>
  <c r="D103" i="20" s="1"/>
  <c r="D118" i="20"/>
  <c r="AS5" i="24"/>
  <c r="AO4" i="24"/>
  <c r="AK4" i="24"/>
  <c r="AG4" i="24"/>
  <c r="C100" i="22"/>
  <c r="C109" i="22" s="1"/>
  <c r="C112" i="22" s="1"/>
  <c r="C126" i="20"/>
  <c r="C127" i="20" s="1"/>
  <c r="H151" i="20"/>
  <c r="F152" i="20"/>
  <c r="E154" i="20"/>
  <c r="C79" i="22"/>
  <c r="E236" i="19"/>
  <c r="D109" i="22"/>
  <c r="D112" i="22" s="1"/>
  <c r="D103" i="22"/>
  <c r="D79" i="22"/>
  <c r="E444" i="19" l="1"/>
  <c r="E115" i="19" s="1"/>
  <c r="E113" i="19"/>
  <c r="D122" i="22"/>
  <c r="D123" i="22" s="1"/>
  <c r="C113" i="22"/>
  <c r="C160" i="22" s="1"/>
  <c r="G304" i="19"/>
  <c r="G438" i="19" s="1"/>
  <c r="G444" i="19" s="1"/>
  <c r="G115" i="19" s="1"/>
  <c r="E308" i="19"/>
  <c r="E391" i="19" s="1"/>
  <c r="F308" i="19"/>
  <c r="H308" i="19"/>
  <c r="C39" i="20"/>
  <c r="C103" i="22"/>
  <c r="C104" i="22" s="1"/>
  <c r="C32" i="8"/>
  <c r="D128" i="20"/>
  <c r="G152" i="20"/>
  <c r="H152" i="20" s="1"/>
  <c r="F153" i="20"/>
  <c r="D88" i="22"/>
  <c r="D91" i="22" s="1"/>
  <c r="D82" i="22"/>
  <c r="E155" i="20"/>
  <c r="C88" i="22"/>
  <c r="C91" i="22" s="1"/>
  <c r="C82" i="22"/>
  <c r="H387" i="19" l="1"/>
  <c r="H311" i="19"/>
  <c r="C152" i="22"/>
  <c r="C122" i="22"/>
  <c r="C123" i="22" s="1"/>
  <c r="F610" i="19"/>
  <c r="C92" i="22"/>
  <c r="C159" i="22" s="1"/>
  <c r="C83" i="22"/>
  <c r="G308" i="19"/>
  <c r="G389" i="19" s="1"/>
  <c r="H391" i="19"/>
  <c r="H389" i="19"/>
  <c r="F391" i="19"/>
  <c r="F387" i="19"/>
  <c r="F389" i="19"/>
  <c r="E319" i="19"/>
  <c r="E335" i="19" s="1"/>
  <c r="E389" i="19"/>
  <c r="E387" i="19"/>
  <c r="E317" i="19"/>
  <c r="E344" i="19" s="1"/>
  <c r="E347" i="19" s="1"/>
  <c r="E311" i="19"/>
  <c r="E327" i="19" s="1"/>
  <c r="E315" i="19"/>
  <c r="E331" i="19" s="1"/>
  <c r="E313" i="19"/>
  <c r="E329" i="19" s="1"/>
  <c r="H317" i="19"/>
  <c r="H319" i="19"/>
  <c r="H335" i="19" s="1"/>
  <c r="H313" i="19"/>
  <c r="H329" i="19" s="1"/>
  <c r="H315" i="19"/>
  <c r="H331" i="19" s="1"/>
  <c r="F313" i="19"/>
  <c r="F329" i="19" s="1"/>
  <c r="F319" i="19"/>
  <c r="F335" i="19" s="1"/>
  <c r="F311" i="19"/>
  <c r="F317" i="19"/>
  <c r="F315" i="19"/>
  <c r="F331" i="19" s="1"/>
  <c r="H438" i="19"/>
  <c r="C153" i="22"/>
  <c r="C40" i="20"/>
  <c r="C50" i="20" s="1"/>
  <c r="F154" i="20"/>
  <c r="G153" i="20"/>
  <c r="H153" i="20" s="1"/>
  <c r="E156" i="20"/>
  <c r="C116" i="22"/>
  <c r="C167" i="22" l="1"/>
  <c r="C30" i="22" s="1"/>
  <c r="G317" i="19"/>
  <c r="G333" i="19" s="1"/>
  <c r="G315" i="19"/>
  <c r="G331" i="19" s="1"/>
  <c r="G391" i="19"/>
  <c r="E333" i="19"/>
  <c r="E338" i="19" s="1"/>
  <c r="G313" i="19"/>
  <c r="G329" i="19" s="1"/>
  <c r="G387" i="19"/>
  <c r="G311" i="19"/>
  <c r="G319" i="19"/>
  <c r="G335" i="19" s="1"/>
  <c r="E393" i="19"/>
  <c r="E395" i="19" s="1"/>
  <c r="E323" i="19"/>
  <c r="E321" i="19"/>
  <c r="H323" i="19"/>
  <c r="F323" i="19"/>
  <c r="F327" i="19"/>
  <c r="F321" i="19"/>
  <c r="F333" i="19"/>
  <c r="F344" i="19"/>
  <c r="F393" i="19" s="1"/>
  <c r="F395" i="19" s="1"/>
  <c r="F399" i="19" s="1"/>
  <c r="F447" i="19" s="1"/>
  <c r="H327" i="19"/>
  <c r="H321" i="19"/>
  <c r="H333" i="19"/>
  <c r="H344" i="19"/>
  <c r="H393" i="19" s="1"/>
  <c r="H395" i="19" s="1"/>
  <c r="H444" i="19"/>
  <c r="H115" i="19" s="1"/>
  <c r="C76" i="20"/>
  <c r="F155" i="20"/>
  <c r="G154" i="20"/>
  <c r="H154" i="20" s="1"/>
  <c r="C95" i="22"/>
  <c r="E157" i="20"/>
  <c r="C166" i="22"/>
  <c r="G344" i="19" l="1"/>
  <c r="G393" i="19" s="1"/>
  <c r="G395" i="19" s="1"/>
  <c r="G321" i="19"/>
  <c r="G323" i="19"/>
  <c r="G327" i="19"/>
  <c r="G338" i="19" s="1"/>
  <c r="H347" i="19"/>
  <c r="F347" i="19"/>
  <c r="E466" i="19"/>
  <c r="E481" i="19" s="1"/>
  <c r="H338" i="19"/>
  <c r="F338" i="19"/>
  <c r="BA5" i="24"/>
  <c r="F156" i="20"/>
  <c r="G155" i="20"/>
  <c r="H155" i="20" s="1"/>
  <c r="C29" i="22"/>
  <c r="E158" i="20"/>
  <c r="G347" i="19" l="1"/>
  <c r="E399" i="19"/>
  <c r="E447" i="19" s="1"/>
  <c r="E504" i="19"/>
  <c r="E515" i="19" s="1"/>
  <c r="E117" i="19" s="1"/>
  <c r="G466" i="19"/>
  <c r="F466" i="19"/>
  <c r="H466" i="19"/>
  <c r="F157" i="20"/>
  <c r="G156" i="20"/>
  <c r="H156" i="20" s="1"/>
  <c r="E159" i="20"/>
  <c r="C130" i="22" l="1"/>
  <c r="C131" i="22" s="1"/>
  <c r="E116" i="19"/>
  <c r="G481" i="19"/>
  <c r="G399" i="19"/>
  <c r="G116" i="19" s="1"/>
  <c r="G504" i="19"/>
  <c r="G515" i="19" s="1"/>
  <c r="H481" i="19"/>
  <c r="H504" i="19"/>
  <c r="H515" i="19" s="1"/>
  <c r="H399" i="19"/>
  <c r="H116" i="19" s="1"/>
  <c r="F481" i="19"/>
  <c r="F504" i="19"/>
  <c r="F515" i="19" s="1"/>
  <c r="F116" i="19"/>
  <c r="G157" i="20"/>
  <c r="H157" i="20" s="1"/>
  <c r="F158" i="20"/>
  <c r="E160" i="20"/>
  <c r="H117" i="19" l="1"/>
  <c r="H129" i="19" s="1"/>
  <c r="Q261" i="19" s="1"/>
  <c r="E129" i="19"/>
  <c r="C126" i="22"/>
  <c r="C127" i="22" s="1"/>
  <c r="C134" i="22" s="1"/>
  <c r="D126" i="22"/>
  <c r="D127" i="22" s="1"/>
  <c r="F117" i="19"/>
  <c r="D130" i="22" s="1"/>
  <c r="G117" i="19"/>
  <c r="G129" i="19" s="1"/>
  <c r="H447" i="19"/>
  <c r="G447" i="19"/>
  <c r="F159" i="20"/>
  <c r="G158" i="20"/>
  <c r="H158" i="20" s="1"/>
  <c r="E161" i="20"/>
  <c r="F129" i="19" l="1"/>
  <c r="C137" i="22"/>
  <c r="C142" i="22"/>
  <c r="C145" i="22" s="1"/>
  <c r="C155" i="22"/>
  <c r="C169" i="22" s="1"/>
  <c r="C32" i="22" s="1"/>
  <c r="D131" i="22"/>
  <c r="D134" i="22" s="1"/>
  <c r="C154" i="22"/>
  <c r="G159" i="20"/>
  <c r="H159" i="20" s="1"/>
  <c r="F160" i="20"/>
  <c r="E162" i="20"/>
  <c r="C156" i="22" l="1"/>
  <c r="D142" i="22"/>
  <c r="D145" i="22" s="1"/>
  <c r="C146" i="22" s="1"/>
  <c r="D137" i="22"/>
  <c r="C138" i="22" s="1"/>
  <c r="G160" i="20"/>
  <c r="H160" i="20" s="1"/>
  <c r="F161" i="20"/>
  <c r="E163" i="20"/>
  <c r="C161" i="22" l="1"/>
  <c r="G161" i="20"/>
  <c r="H161" i="20" s="1"/>
  <c r="F162" i="20"/>
  <c r="E164" i="20"/>
  <c r="C163" i="22" l="1"/>
  <c r="C149" i="22"/>
  <c r="C168" i="22"/>
  <c r="C31" i="22" s="1"/>
  <c r="C33" i="22" s="1"/>
  <c r="C34" i="22" s="1"/>
  <c r="C36" i="22" s="1"/>
  <c r="F163" i="20"/>
  <c r="G162" i="20"/>
  <c r="H162" i="20" s="1"/>
  <c r="E165" i="20"/>
  <c r="C170" i="22" l="1"/>
  <c r="C38" i="22"/>
  <c r="C61" i="22" s="1"/>
  <c r="C58" i="22"/>
  <c r="BE3" i="24" s="1"/>
  <c r="F164" i="20"/>
  <c r="G163" i="20"/>
  <c r="H163" i="20" s="1"/>
  <c r="E166" i="20"/>
  <c r="BE6" i="24" l="1"/>
  <c r="G164" i="20"/>
  <c r="H164" i="20" s="1"/>
  <c r="F165" i="20"/>
  <c r="E167" i="20"/>
  <c r="F166" i="20" l="1"/>
  <c r="G165" i="20"/>
  <c r="H165" i="20" s="1"/>
  <c r="E168" i="20"/>
  <c r="G166" i="20" l="1"/>
  <c r="H166" i="20" s="1"/>
  <c r="F167" i="20"/>
  <c r="E169" i="20"/>
  <c r="G167" i="20" l="1"/>
  <c r="H167" i="20" s="1"/>
  <c r="F168" i="20"/>
  <c r="E170" i="20"/>
  <c r="G168" i="20" l="1"/>
  <c r="H168" i="20" s="1"/>
  <c r="F169" i="20"/>
  <c r="E171" i="20"/>
  <c r="F170" i="20" l="1"/>
  <c r="G169" i="20"/>
  <c r="H169" i="20" s="1"/>
  <c r="E172" i="20"/>
  <c r="F171" i="20" l="1"/>
  <c r="G170" i="20"/>
  <c r="H170" i="20" s="1"/>
  <c r="E173" i="20"/>
  <c r="F172" i="20" l="1"/>
  <c r="G171" i="20"/>
  <c r="H171" i="20" s="1"/>
  <c r="E174" i="20"/>
  <c r="F173" i="20" l="1"/>
  <c r="G172" i="20"/>
  <c r="H172" i="20" s="1"/>
  <c r="E175" i="20"/>
  <c r="G173" i="20" l="1"/>
  <c r="H173" i="20" s="1"/>
  <c r="F174" i="20"/>
  <c r="E176" i="20"/>
  <c r="G174" i="20" l="1"/>
  <c r="H174" i="20" s="1"/>
  <c r="F175" i="20"/>
  <c r="E177" i="20"/>
  <c r="F176" i="20" l="1"/>
  <c r="G175" i="20"/>
  <c r="H175" i="20" s="1"/>
  <c r="E178" i="20"/>
  <c r="F177" i="20" l="1"/>
  <c r="G176" i="20"/>
  <c r="H176" i="20" s="1"/>
  <c r="E179" i="20"/>
  <c r="G177" i="20" l="1"/>
  <c r="H177" i="20" s="1"/>
  <c r="F178" i="20"/>
  <c r="E180" i="20"/>
  <c r="G178" i="20" l="1"/>
  <c r="H178" i="20" s="1"/>
  <c r="F179" i="20"/>
  <c r="E181" i="20"/>
  <c r="F180" i="20" l="1"/>
  <c r="G179" i="20"/>
  <c r="H179" i="20" s="1"/>
  <c r="E182" i="20"/>
  <c r="F181" i="20" l="1"/>
  <c r="G180" i="20"/>
  <c r="H180" i="20" s="1"/>
  <c r="E183" i="20"/>
  <c r="G181" i="20" l="1"/>
  <c r="H181" i="20" s="1"/>
  <c r="F182" i="20"/>
  <c r="E184" i="20"/>
  <c r="G182" i="20" l="1"/>
  <c r="H182" i="20" s="1"/>
  <c r="F183" i="20"/>
  <c r="E185" i="20"/>
  <c r="F184" i="20" l="1"/>
  <c r="G183" i="20"/>
  <c r="H183" i="20" s="1"/>
  <c r="E186" i="20"/>
  <c r="F185" i="20" l="1"/>
  <c r="G184" i="20"/>
  <c r="H184" i="20" s="1"/>
  <c r="E187" i="20"/>
  <c r="G185" i="20" l="1"/>
  <c r="H185" i="20" s="1"/>
  <c r="F186" i="20"/>
  <c r="E188" i="20"/>
  <c r="F187" i="20" l="1"/>
  <c r="G186" i="20"/>
  <c r="H186" i="20" s="1"/>
  <c r="E189" i="20"/>
  <c r="G187" i="20" l="1"/>
  <c r="H187" i="20" s="1"/>
  <c r="F188" i="20"/>
  <c r="E190" i="20"/>
  <c r="F189" i="20" l="1"/>
  <c r="G188" i="20"/>
  <c r="H188" i="20" s="1"/>
  <c r="E191" i="20"/>
  <c r="G189" i="20" l="1"/>
  <c r="H189" i="20" s="1"/>
  <c r="F190" i="20"/>
  <c r="E192" i="20"/>
  <c r="F191" i="20" l="1"/>
  <c r="G190" i="20"/>
  <c r="H190" i="20" s="1"/>
  <c r="E193" i="20"/>
  <c r="G191" i="20" l="1"/>
  <c r="H191" i="20" s="1"/>
  <c r="F192" i="20"/>
  <c r="E194" i="20"/>
  <c r="F193" i="20" l="1"/>
  <c r="G192" i="20"/>
  <c r="H192" i="20" s="1"/>
  <c r="E195" i="20"/>
  <c r="G193" i="20" l="1"/>
  <c r="H193" i="20" s="1"/>
  <c r="F194" i="20"/>
  <c r="E196" i="20"/>
  <c r="F195" i="20" l="1"/>
  <c r="G194" i="20"/>
  <c r="H194" i="20" s="1"/>
  <c r="E197" i="20"/>
  <c r="F196" i="20" l="1"/>
  <c r="G195" i="20"/>
  <c r="H195" i="20" s="1"/>
  <c r="E198" i="20"/>
  <c r="F197" i="20" l="1"/>
  <c r="G196" i="20"/>
  <c r="H196" i="20" s="1"/>
  <c r="E199" i="20"/>
  <c r="G197" i="20" l="1"/>
  <c r="H197" i="20" s="1"/>
  <c r="F198" i="20"/>
  <c r="E200" i="20"/>
  <c r="F199" i="20" l="1"/>
  <c r="G198" i="20"/>
  <c r="H198" i="20" s="1"/>
  <c r="E201" i="20"/>
  <c r="F200" i="20" l="1"/>
  <c r="G199" i="20"/>
  <c r="H199" i="20" s="1"/>
  <c r="E202" i="20"/>
  <c r="F201" i="20" l="1"/>
  <c r="G200" i="20"/>
  <c r="H200" i="20" s="1"/>
  <c r="E203" i="20"/>
  <c r="F202" i="20" l="1"/>
  <c r="G201" i="20"/>
  <c r="H201" i="20" s="1"/>
  <c r="E204" i="20"/>
  <c r="F203" i="20" l="1"/>
  <c r="G202" i="20"/>
  <c r="H202" i="20" s="1"/>
  <c r="E205" i="20"/>
  <c r="F204" i="20" l="1"/>
  <c r="G203" i="20"/>
  <c r="H203" i="20" s="1"/>
  <c r="E206" i="20"/>
  <c r="F205" i="20" l="1"/>
  <c r="G204" i="20"/>
  <c r="H204" i="20" s="1"/>
  <c r="E207" i="20"/>
  <c r="F206" i="20" l="1"/>
  <c r="G205" i="20"/>
  <c r="H205" i="20" s="1"/>
  <c r="E208" i="20"/>
  <c r="F207" i="20" l="1"/>
  <c r="G206" i="20"/>
  <c r="H206" i="20" s="1"/>
  <c r="E209" i="20"/>
  <c r="F208" i="20" l="1"/>
  <c r="G207" i="20"/>
  <c r="H207" i="20" s="1"/>
  <c r="E210" i="20"/>
  <c r="F209" i="20" l="1"/>
  <c r="G208" i="20"/>
  <c r="H208" i="20" s="1"/>
  <c r="E211" i="20"/>
  <c r="F210" i="20" l="1"/>
  <c r="G209" i="20"/>
  <c r="H209" i="20" s="1"/>
  <c r="E212" i="20"/>
  <c r="F211" i="20" l="1"/>
  <c r="G210" i="20"/>
  <c r="H210" i="20" s="1"/>
  <c r="E213" i="20"/>
  <c r="F212" i="20" l="1"/>
  <c r="G211" i="20"/>
  <c r="H211" i="20" s="1"/>
  <c r="E214" i="20"/>
  <c r="F213" i="20" l="1"/>
  <c r="G212" i="20"/>
  <c r="H212" i="20" s="1"/>
  <c r="E215" i="20"/>
  <c r="F214" i="20" l="1"/>
  <c r="G213" i="20"/>
  <c r="H213" i="20" s="1"/>
  <c r="E216" i="20"/>
  <c r="G214" i="20" l="1"/>
  <c r="H214" i="20" s="1"/>
  <c r="F215" i="20"/>
  <c r="E217" i="20"/>
  <c r="F216" i="20" l="1"/>
  <c r="G215" i="20"/>
  <c r="H215" i="20" s="1"/>
  <c r="E218" i="20"/>
  <c r="G216" i="20" l="1"/>
  <c r="H216" i="20" s="1"/>
  <c r="F217" i="20"/>
  <c r="E219" i="20"/>
  <c r="F218" i="20" l="1"/>
  <c r="G217" i="20"/>
  <c r="H217" i="20" s="1"/>
  <c r="E220" i="20"/>
  <c r="F219" i="20" l="1"/>
  <c r="G218" i="20"/>
  <c r="H218" i="20" s="1"/>
  <c r="E221" i="20"/>
  <c r="F220" i="20" l="1"/>
  <c r="G219" i="20"/>
  <c r="H219" i="20" s="1"/>
  <c r="E222" i="20"/>
  <c r="G220" i="20" l="1"/>
  <c r="H220" i="20" s="1"/>
  <c r="F221" i="20"/>
  <c r="E223" i="20"/>
  <c r="F222" i="20" l="1"/>
  <c r="G221" i="20"/>
  <c r="H221" i="20" s="1"/>
  <c r="E224" i="20"/>
  <c r="F223" i="20" l="1"/>
  <c r="G222" i="20"/>
  <c r="H222" i="20" s="1"/>
  <c r="E225" i="20"/>
  <c r="F224" i="20" l="1"/>
  <c r="G223" i="20"/>
  <c r="H223" i="20" s="1"/>
  <c r="E226" i="20"/>
  <c r="F225" i="20" l="1"/>
  <c r="G224" i="20"/>
  <c r="H224" i="20" s="1"/>
  <c r="E227" i="20"/>
  <c r="F226" i="20" l="1"/>
  <c r="G225" i="20"/>
  <c r="H225" i="20" s="1"/>
  <c r="E228" i="20"/>
  <c r="F227" i="20" l="1"/>
  <c r="G226" i="20"/>
  <c r="H226" i="20" s="1"/>
  <c r="E229" i="20"/>
  <c r="F228" i="20" l="1"/>
  <c r="G227" i="20"/>
  <c r="H227" i="20" s="1"/>
  <c r="E230" i="20"/>
  <c r="F229" i="20" l="1"/>
  <c r="G228" i="20"/>
  <c r="H228" i="20" s="1"/>
  <c r="E231" i="20"/>
  <c r="G229" i="20" l="1"/>
  <c r="H229" i="20" s="1"/>
  <c r="F230" i="20"/>
  <c r="E232" i="20"/>
  <c r="F231" i="20" l="1"/>
  <c r="G230" i="20"/>
  <c r="H230" i="20" s="1"/>
  <c r="E233" i="20"/>
  <c r="G231" i="20" l="1"/>
  <c r="H231" i="20" s="1"/>
  <c r="F232" i="20"/>
  <c r="E234" i="20"/>
  <c r="G232" i="20" l="1"/>
  <c r="H232" i="20" s="1"/>
  <c r="F233" i="20"/>
  <c r="E235" i="20"/>
  <c r="F234" i="20" l="1"/>
  <c r="G233" i="20"/>
  <c r="H233" i="20" s="1"/>
  <c r="E236" i="20"/>
  <c r="F235" i="20" l="1"/>
  <c r="G234" i="20"/>
  <c r="H234" i="20" s="1"/>
  <c r="E237" i="20"/>
  <c r="G235" i="20" l="1"/>
  <c r="H235" i="20" s="1"/>
  <c r="F236" i="20"/>
  <c r="E238" i="20"/>
  <c r="F237" i="20" l="1"/>
  <c r="G236" i="20"/>
  <c r="H236" i="20" s="1"/>
  <c r="E239" i="20"/>
  <c r="G237" i="20" l="1"/>
  <c r="H237" i="20" s="1"/>
  <c r="F238" i="20"/>
  <c r="E240" i="20"/>
  <c r="F239" i="20" l="1"/>
  <c r="G238" i="20"/>
  <c r="H238" i="20" s="1"/>
  <c r="E241" i="20"/>
  <c r="F240" i="20" l="1"/>
  <c r="G239" i="20"/>
  <c r="H239" i="20" s="1"/>
  <c r="E242" i="20"/>
  <c r="G240" i="20" l="1"/>
  <c r="H240" i="20" s="1"/>
  <c r="F241" i="20"/>
  <c r="E243" i="20"/>
  <c r="F242" i="20" l="1"/>
  <c r="G241" i="20"/>
  <c r="H241" i="20" s="1"/>
  <c r="E244" i="20"/>
  <c r="G242" i="20" l="1"/>
  <c r="H242" i="20" s="1"/>
  <c r="F243" i="20"/>
  <c r="E245" i="20"/>
  <c r="F244" i="20" l="1"/>
  <c r="G243" i="20"/>
  <c r="H243" i="20" s="1"/>
  <c r="E246" i="20"/>
  <c r="F245" i="20" l="1"/>
  <c r="G244" i="20"/>
  <c r="H244" i="20" s="1"/>
  <c r="E247" i="20"/>
  <c r="F246" i="20" l="1"/>
  <c r="G245" i="20"/>
  <c r="H245" i="20" s="1"/>
  <c r="E248" i="20"/>
  <c r="F247" i="20" l="1"/>
  <c r="G246" i="20"/>
  <c r="H246" i="20" s="1"/>
  <c r="E249" i="20"/>
  <c r="F248" i="20" l="1"/>
  <c r="G247" i="20"/>
  <c r="H247" i="20" s="1"/>
  <c r="E250" i="20"/>
  <c r="F249" i="20" l="1"/>
  <c r="G248" i="20"/>
  <c r="H248" i="20" s="1"/>
  <c r="E251" i="20"/>
  <c r="F250" i="20" l="1"/>
  <c r="G249" i="20"/>
  <c r="H249" i="20" s="1"/>
  <c r="E252" i="20"/>
  <c r="G250" i="20" l="1"/>
  <c r="H250" i="20" s="1"/>
  <c r="F251" i="20"/>
  <c r="E253" i="20"/>
  <c r="F252" i="20" l="1"/>
  <c r="G251" i="20"/>
  <c r="H251" i="20" s="1"/>
  <c r="E254" i="20"/>
  <c r="F253" i="20" l="1"/>
  <c r="G252" i="20"/>
  <c r="H252" i="20" s="1"/>
  <c r="E255" i="20"/>
  <c r="F254" i="20" l="1"/>
  <c r="G253" i="20"/>
  <c r="H253" i="20" s="1"/>
  <c r="E256" i="20"/>
  <c r="F255" i="20" l="1"/>
  <c r="G254" i="20"/>
  <c r="H254" i="20" s="1"/>
  <c r="E257" i="20"/>
  <c r="F256" i="20" l="1"/>
  <c r="G255" i="20"/>
  <c r="H255" i="20" s="1"/>
  <c r="E258" i="20"/>
  <c r="G256" i="20" l="1"/>
  <c r="H256" i="20" s="1"/>
  <c r="F257" i="20"/>
  <c r="E259" i="20"/>
  <c r="F258" i="20" l="1"/>
  <c r="G257" i="20"/>
  <c r="H257" i="20" s="1"/>
  <c r="E260" i="20"/>
  <c r="G258" i="20" l="1"/>
  <c r="H258" i="20" s="1"/>
  <c r="F259" i="20"/>
  <c r="E261" i="20"/>
  <c r="F260" i="20" l="1"/>
  <c r="G259" i="20"/>
  <c r="H259" i="20" s="1"/>
  <c r="E262" i="20"/>
  <c r="F261" i="20" l="1"/>
  <c r="G260" i="20"/>
  <c r="H260" i="20" s="1"/>
  <c r="E263" i="20"/>
  <c r="F262" i="20" l="1"/>
  <c r="G261" i="20"/>
  <c r="H261" i="20" s="1"/>
  <c r="E264" i="20"/>
  <c r="F263" i="20" l="1"/>
  <c r="G262" i="20"/>
  <c r="H262" i="20" s="1"/>
  <c r="E265" i="20"/>
  <c r="F264" i="20" l="1"/>
  <c r="G263" i="20"/>
  <c r="H263" i="20" s="1"/>
  <c r="E266" i="20"/>
  <c r="G264" i="20" l="1"/>
  <c r="H264" i="20" s="1"/>
  <c r="F265" i="20"/>
  <c r="E267" i="20"/>
  <c r="F266" i="20" l="1"/>
  <c r="G265" i="20"/>
  <c r="H265" i="20" s="1"/>
  <c r="E268" i="20"/>
  <c r="G266" i="20" l="1"/>
  <c r="H266" i="20" s="1"/>
  <c r="F267" i="20"/>
  <c r="E269" i="20"/>
  <c r="F268" i="20" l="1"/>
  <c r="G267" i="20"/>
  <c r="H267" i="20" s="1"/>
  <c r="E270" i="20"/>
  <c r="F269" i="20" l="1"/>
  <c r="G268" i="20"/>
  <c r="H268" i="20" s="1"/>
  <c r="E271" i="20"/>
  <c r="F270" i="20" l="1"/>
  <c r="G269" i="20"/>
  <c r="H269" i="20" s="1"/>
  <c r="E272" i="20"/>
  <c r="F271" i="20" l="1"/>
  <c r="G270" i="20"/>
  <c r="H270" i="20" s="1"/>
  <c r="E273" i="20"/>
  <c r="F272" i="20" l="1"/>
  <c r="G271" i="20"/>
  <c r="H271" i="20" s="1"/>
  <c r="E274" i="20"/>
  <c r="F273" i="20" l="1"/>
  <c r="G272" i="20"/>
  <c r="H272" i="20" s="1"/>
  <c r="E275" i="20"/>
  <c r="F274" i="20" l="1"/>
  <c r="G273" i="20"/>
  <c r="H273" i="20" s="1"/>
  <c r="E276" i="20"/>
  <c r="G274" i="20" l="1"/>
  <c r="H274" i="20" s="1"/>
  <c r="F275" i="20"/>
  <c r="E277" i="20"/>
  <c r="G275" i="20" l="1"/>
  <c r="H275" i="20" s="1"/>
  <c r="F276" i="20"/>
  <c r="E278" i="20"/>
  <c r="G276" i="20" l="1"/>
  <c r="H276" i="20" s="1"/>
  <c r="F277" i="20"/>
  <c r="E279" i="20"/>
  <c r="G277" i="20" l="1"/>
  <c r="H277" i="20" s="1"/>
  <c r="F278" i="20"/>
  <c r="E280" i="20"/>
  <c r="G278" i="20" l="1"/>
  <c r="H278" i="20" s="1"/>
  <c r="F279" i="20"/>
  <c r="E281" i="20"/>
  <c r="F280" i="20" l="1"/>
  <c r="G279" i="20"/>
  <c r="H279" i="20" s="1"/>
  <c r="E282" i="20"/>
  <c r="G280" i="20" l="1"/>
  <c r="H280" i="20" s="1"/>
  <c r="F281" i="20"/>
  <c r="E283" i="20"/>
  <c r="F282" i="20" l="1"/>
  <c r="G281" i="20"/>
  <c r="H281" i="20" s="1"/>
  <c r="E284" i="20"/>
  <c r="G282" i="20" l="1"/>
  <c r="H282" i="20" s="1"/>
  <c r="F283" i="20"/>
  <c r="E285" i="20"/>
  <c r="F284" i="20" l="1"/>
  <c r="G283" i="20"/>
  <c r="H283" i="20" s="1"/>
  <c r="E286" i="20"/>
  <c r="F285" i="20" l="1"/>
  <c r="G284" i="20"/>
  <c r="H284" i="20" s="1"/>
  <c r="E287" i="20"/>
  <c r="F286" i="20" l="1"/>
  <c r="G285" i="20"/>
  <c r="H285" i="20" s="1"/>
  <c r="E288" i="20"/>
  <c r="G286" i="20" l="1"/>
  <c r="H286" i="20" s="1"/>
  <c r="F287" i="20"/>
  <c r="E289" i="20"/>
  <c r="F288" i="20" l="1"/>
  <c r="G287" i="20"/>
  <c r="H287" i="20" s="1"/>
  <c r="E290" i="20"/>
  <c r="F289" i="20" l="1"/>
  <c r="G288" i="20"/>
  <c r="H288" i="20" s="1"/>
  <c r="E291" i="20"/>
  <c r="F290" i="20" l="1"/>
  <c r="G289" i="20"/>
  <c r="H289" i="20" s="1"/>
  <c r="E292" i="20"/>
  <c r="F291" i="20" l="1"/>
  <c r="G290" i="20"/>
  <c r="H290" i="20" s="1"/>
  <c r="E293" i="20"/>
  <c r="F292" i="20" l="1"/>
  <c r="G291" i="20"/>
  <c r="H291" i="20" s="1"/>
  <c r="E294" i="20"/>
  <c r="G292" i="20" l="1"/>
  <c r="H292" i="20" s="1"/>
  <c r="F293" i="20"/>
  <c r="E295" i="20"/>
  <c r="F294" i="20" l="1"/>
  <c r="G293" i="20"/>
  <c r="H293" i="20" s="1"/>
  <c r="E296" i="20"/>
  <c r="F295" i="20" l="1"/>
  <c r="G294" i="20"/>
  <c r="H294" i="20" s="1"/>
  <c r="E297" i="20"/>
  <c r="F296" i="20" l="1"/>
  <c r="G295" i="20"/>
  <c r="H295" i="20" s="1"/>
  <c r="E298" i="20"/>
  <c r="F297" i="20" l="1"/>
  <c r="G296" i="20"/>
  <c r="H296" i="20" s="1"/>
  <c r="E299" i="20"/>
  <c r="F298" i="20" l="1"/>
  <c r="G297" i="20"/>
  <c r="H297" i="20" s="1"/>
  <c r="E300" i="20"/>
  <c r="F299" i="20" l="1"/>
  <c r="G298" i="20"/>
  <c r="H298" i="20" s="1"/>
  <c r="E301" i="20"/>
  <c r="F300" i="20" l="1"/>
  <c r="G299" i="20"/>
  <c r="H299" i="20" s="1"/>
  <c r="E302" i="20"/>
  <c r="F301" i="20" l="1"/>
  <c r="G300" i="20"/>
  <c r="H300" i="20" s="1"/>
  <c r="E303" i="20"/>
  <c r="F302" i="20" l="1"/>
  <c r="G301" i="20"/>
  <c r="H301" i="20" s="1"/>
  <c r="E304" i="20"/>
  <c r="F303" i="20" l="1"/>
  <c r="G302" i="20"/>
  <c r="H302" i="20" s="1"/>
  <c r="E305" i="20"/>
  <c r="F304" i="20" l="1"/>
  <c r="G303" i="20"/>
  <c r="H303" i="20" s="1"/>
  <c r="E306" i="20"/>
  <c r="F305" i="20" l="1"/>
  <c r="G304" i="20"/>
  <c r="H304" i="20" s="1"/>
  <c r="E307" i="20"/>
  <c r="F306" i="20" l="1"/>
  <c r="G305" i="20"/>
  <c r="H305" i="20" s="1"/>
  <c r="E308" i="20"/>
  <c r="F307" i="20" l="1"/>
  <c r="G306" i="20"/>
  <c r="H306" i="20" s="1"/>
  <c r="E309" i="20"/>
  <c r="F308" i="20" l="1"/>
  <c r="G307" i="20"/>
  <c r="H307" i="20" s="1"/>
  <c r="E310" i="20"/>
  <c r="F309" i="20" l="1"/>
  <c r="G308" i="20"/>
  <c r="H308" i="20" s="1"/>
  <c r="E311" i="20"/>
  <c r="F310" i="20" l="1"/>
  <c r="G309" i="20"/>
  <c r="H309" i="20" s="1"/>
  <c r="E312" i="20"/>
  <c r="F311" i="20" l="1"/>
  <c r="G310" i="20"/>
  <c r="H310" i="20" s="1"/>
  <c r="E313" i="20"/>
  <c r="F312" i="20" l="1"/>
  <c r="G311" i="20"/>
  <c r="H311" i="20" s="1"/>
  <c r="E314" i="20"/>
  <c r="F313" i="20" l="1"/>
  <c r="G312" i="20"/>
  <c r="H312" i="20" s="1"/>
  <c r="E315" i="20"/>
  <c r="F314" i="20" l="1"/>
  <c r="G313" i="20"/>
  <c r="H313" i="20" s="1"/>
  <c r="E316" i="20"/>
  <c r="F315" i="20" l="1"/>
  <c r="G314" i="20"/>
  <c r="H314" i="20" s="1"/>
  <c r="E317" i="20"/>
  <c r="F316" i="20" l="1"/>
  <c r="G315" i="20"/>
  <c r="H315" i="20" s="1"/>
  <c r="E318" i="20"/>
  <c r="F317" i="20" l="1"/>
  <c r="G316" i="20"/>
  <c r="H316" i="20" s="1"/>
  <c r="E319" i="20"/>
  <c r="F318" i="20" l="1"/>
  <c r="G317" i="20"/>
  <c r="H317" i="20" s="1"/>
  <c r="E320" i="20"/>
  <c r="G318" i="20" l="1"/>
  <c r="H318" i="20" s="1"/>
  <c r="F319" i="20"/>
  <c r="E321" i="20"/>
  <c r="F320" i="20" l="1"/>
  <c r="G319" i="20"/>
  <c r="H319" i="20" s="1"/>
  <c r="E322" i="20"/>
  <c r="F321" i="20" l="1"/>
  <c r="G320" i="20"/>
  <c r="H320" i="20" s="1"/>
  <c r="E323" i="20"/>
  <c r="F322" i="20" l="1"/>
  <c r="G321" i="20"/>
  <c r="H321" i="20" s="1"/>
  <c r="E324" i="20"/>
  <c r="F323" i="20" l="1"/>
  <c r="G322" i="20"/>
  <c r="H322" i="20" s="1"/>
  <c r="E325" i="20"/>
  <c r="F324" i="20" l="1"/>
  <c r="G323" i="20"/>
  <c r="H323" i="20" s="1"/>
  <c r="E326" i="20"/>
  <c r="F325" i="20" l="1"/>
  <c r="G324" i="20"/>
  <c r="H324" i="20" s="1"/>
  <c r="E327" i="20"/>
  <c r="F326" i="20" l="1"/>
  <c r="G325" i="20"/>
  <c r="H325" i="20" s="1"/>
  <c r="E328" i="20"/>
  <c r="G326" i="20" l="1"/>
  <c r="H326" i="20" s="1"/>
  <c r="F327" i="20"/>
  <c r="E329" i="20"/>
  <c r="F328" i="20" l="1"/>
  <c r="G327" i="20"/>
  <c r="H327" i="20" s="1"/>
  <c r="E330" i="20"/>
  <c r="G328" i="20" l="1"/>
  <c r="H328" i="20" s="1"/>
  <c r="F329" i="20"/>
  <c r="E331" i="20"/>
  <c r="F330" i="20" l="1"/>
  <c r="G329" i="20"/>
  <c r="H329" i="20" s="1"/>
  <c r="E332" i="20"/>
  <c r="F331" i="20" l="1"/>
  <c r="G330" i="20"/>
  <c r="H330" i="20" s="1"/>
  <c r="E333" i="20"/>
  <c r="F332" i="20" l="1"/>
  <c r="G331" i="20"/>
  <c r="H331" i="20" s="1"/>
  <c r="E334" i="20"/>
  <c r="F333" i="20" l="1"/>
  <c r="G332" i="20"/>
  <c r="H332" i="20" s="1"/>
  <c r="E335" i="20"/>
  <c r="F334" i="20" l="1"/>
  <c r="G333" i="20"/>
  <c r="H333" i="20" s="1"/>
  <c r="E336" i="20"/>
  <c r="F335" i="20" l="1"/>
  <c r="G334" i="20"/>
  <c r="H334" i="20" s="1"/>
  <c r="E337" i="20"/>
  <c r="G335" i="20" l="1"/>
  <c r="H335" i="20" s="1"/>
  <c r="F336" i="20"/>
  <c r="E338" i="20"/>
  <c r="F337" i="20" l="1"/>
  <c r="G336" i="20"/>
  <c r="H336" i="20" s="1"/>
  <c r="E339" i="20"/>
  <c r="F338" i="20" l="1"/>
  <c r="G337" i="20"/>
  <c r="H337" i="20" s="1"/>
  <c r="E340" i="20"/>
  <c r="G338" i="20" l="1"/>
  <c r="H338" i="20" s="1"/>
  <c r="F339" i="20"/>
  <c r="E341" i="20"/>
  <c r="F340" i="20" l="1"/>
  <c r="G339" i="20"/>
  <c r="H339" i="20" s="1"/>
  <c r="E342" i="20"/>
  <c r="F341" i="20" l="1"/>
  <c r="G340" i="20"/>
  <c r="H340" i="20" s="1"/>
  <c r="E343" i="20"/>
  <c r="F342" i="20" l="1"/>
  <c r="G341" i="20"/>
  <c r="H341" i="20" s="1"/>
  <c r="E344" i="20"/>
  <c r="F343" i="20" l="1"/>
  <c r="G342" i="20"/>
  <c r="H342" i="20" s="1"/>
  <c r="E345" i="20"/>
  <c r="F344" i="20" l="1"/>
  <c r="G343" i="20"/>
  <c r="H343" i="20" s="1"/>
  <c r="E346" i="20"/>
  <c r="F345" i="20" l="1"/>
  <c r="G344" i="20"/>
  <c r="H344" i="20" s="1"/>
  <c r="E347" i="20"/>
  <c r="F346" i="20" l="1"/>
  <c r="G345" i="20"/>
  <c r="H345" i="20" s="1"/>
  <c r="E348" i="20"/>
  <c r="F347" i="20" l="1"/>
  <c r="G346" i="20"/>
  <c r="H346" i="20" s="1"/>
  <c r="E349" i="20"/>
  <c r="F348" i="20" l="1"/>
  <c r="G347" i="20"/>
  <c r="H347" i="20" s="1"/>
  <c r="E350" i="20"/>
  <c r="F349" i="20" l="1"/>
  <c r="G348" i="20"/>
  <c r="H348" i="20" s="1"/>
  <c r="E351" i="20"/>
  <c r="F350" i="20" l="1"/>
  <c r="G349" i="20"/>
  <c r="H349" i="20" s="1"/>
  <c r="E352" i="20"/>
  <c r="F351" i="20" l="1"/>
  <c r="G350" i="20"/>
  <c r="H350" i="20" s="1"/>
  <c r="E353" i="20"/>
  <c r="F352" i="20" l="1"/>
  <c r="G351" i="20"/>
  <c r="H351" i="20" s="1"/>
  <c r="E354" i="20"/>
  <c r="F353" i="20" l="1"/>
  <c r="G352" i="20"/>
  <c r="H352" i="20" s="1"/>
  <c r="E355" i="20"/>
  <c r="F354" i="20" l="1"/>
  <c r="G353" i="20"/>
  <c r="H353" i="20" s="1"/>
  <c r="E356" i="20"/>
  <c r="F355" i="20" l="1"/>
  <c r="G354" i="20"/>
  <c r="H354" i="20" s="1"/>
  <c r="E357" i="20"/>
  <c r="F356" i="20" l="1"/>
  <c r="G355" i="20"/>
  <c r="H355" i="20" s="1"/>
  <c r="E358" i="20"/>
  <c r="F357" i="20" l="1"/>
  <c r="G356" i="20"/>
  <c r="H356" i="20" s="1"/>
  <c r="E359" i="20"/>
  <c r="F358" i="20" l="1"/>
  <c r="G357" i="20"/>
  <c r="H357" i="20" s="1"/>
  <c r="E360" i="20"/>
  <c r="F359" i="20" l="1"/>
  <c r="G358" i="20"/>
  <c r="H358" i="20" s="1"/>
  <c r="E361" i="20"/>
  <c r="G359" i="20" l="1"/>
  <c r="H359" i="20" s="1"/>
  <c r="F360" i="20"/>
  <c r="E362" i="20"/>
  <c r="G360" i="20" l="1"/>
  <c r="H360" i="20" s="1"/>
  <c r="F361" i="20"/>
  <c r="E363" i="20"/>
  <c r="F362" i="20" l="1"/>
  <c r="G361" i="20"/>
  <c r="H361" i="20" s="1"/>
  <c r="E364" i="20"/>
  <c r="F363" i="20" l="1"/>
  <c r="G362" i="20"/>
  <c r="H362" i="20" s="1"/>
  <c r="E365" i="20"/>
  <c r="F364" i="20" l="1"/>
  <c r="G363" i="20"/>
  <c r="H363" i="20" s="1"/>
  <c r="E366" i="20"/>
  <c r="G364" i="20" l="1"/>
  <c r="H364" i="20" s="1"/>
  <c r="F365" i="20"/>
  <c r="E367" i="20"/>
  <c r="F366" i="20" l="1"/>
  <c r="G365" i="20"/>
  <c r="H365" i="20" s="1"/>
  <c r="E368" i="20"/>
  <c r="G366" i="20" l="1"/>
  <c r="H366" i="20" s="1"/>
  <c r="F367" i="20"/>
  <c r="E369" i="20"/>
  <c r="F368" i="20" l="1"/>
  <c r="G367" i="20"/>
  <c r="H367" i="20" s="1"/>
  <c r="E370" i="20"/>
  <c r="F369" i="20" l="1"/>
  <c r="G368" i="20"/>
  <c r="H368" i="20" s="1"/>
  <c r="E371" i="20"/>
  <c r="G369" i="20" l="1"/>
  <c r="H369" i="20" s="1"/>
  <c r="F370" i="20"/>
  <c r="E372" i="20"/>
  <c r="F371" i="20" l="1"/>
  <c r="G370" i="20"/>
  <c r="H370" i="20" s="1"/>
  <c r="E373" i="20"/>
  <c r="F372" i="20" l="1"/>
  <c r="G371" i="20"/>
  <c r="H371" i="20" s="1"/>
  <c r="E374" i="20"/>
  <c r="F373" i="20" l="1"/>
  <c r="G372" i="20"/>
  <c r="H372" i="20" s="1"/>
  <c r="E375" i="20"/>
  <c r="G373" i="20" l="1"/>
  <c r="H373" i="20" s="1"/>
  <c r="F374" i="20"/>
  <c r="E376" i="20"/>
  <c r="F375" i="20" l="1"/>
  <c r="G374" i="20"/>
  <c r="H374" i="20" s="1"/>
  <c r="E377" i="20"/>
  <c r="F376" i="20" l="1"/>
  <c r="G375" i="20"/>
  <c r="H375" i="20" s="1"/>
  <c r="E378" i="20"/>
  <c r="F377" i="20" l="1"/>
  <c r="G376" i="20"/>
  <c r="H376" i="20" s="1"/>
  <c r="E379" i="20"/>
  <c r="G377" i="20" l="1"/>
  <c r="H377" i="20" s="1"/>
  <c r="F378" i="20"/>
  <c r="E380" i="20"/>
  <c r="F379" i="20" l="1"/>
  <c r="G378" i="20"/>
  <c r="H378" i="20" s="1"/>
  <c r="E381" i="20"/>
  <c r="F380" i="20" l="1"/>
  <c r="G379" i="20"/>
  <c r="H379" i="20" s="1"/>
  <c r="E382" i="20"/>
  <c r="F381" i="20" l="1"/>
  <c r="G380" i="20"/>
  <c r="H380" i="20" s="1"/>
  <c r="E383" i="20"/>
  <c r="G381" i="20" l="1"/>
  <c r="H381" i="20" s="1"/>
  <c r="F382" i="20"/>
  <c r="E384" i="20"/>
  <c r="F383" i="20" l="1"/>
  <c r="G382" i="20"/>
  <c r="H382" i="20" s="1"/>
  <c r="E385" i="20"/>
  <c r="F384" i="20" l="1"/>
  <c r="G383" i="20"/>
  <c r="H383" i="20" s="1"/>
  <c r="E386" i="20"/>
  <c r="F385" i="20" l="1"/>
  <c r="G384" i="20"/>
  <c r="H384" i="20" s="1"/>
  <c r="E387" i="20"/>
  <c r="G385" i="20" l="1"/>
  <c r="H385" i="20" s="1"/>
  <c r="F386" i="20"/>
  <c r="E388" i="20"/>
  <c r="F387" i="20" l="1"/>
  <c r="G386" i="20"/>
  <c r="H386" i="20" s="1"/>
  <c r="E389" i="20"/>
  <c r="F388" i="20" l="1"/>
  <c r="G387" i="20"/>
  <c r="H387" i="20" s="1"/>
  <c r="E390" i="20"/>
  <c r="F389" i="20" l="1"/>
  <c r="G388" i="20"/>
  <c r="H388" i="20" s="1"/>
  <c r="E391" i="20"/>
  <c r="G389" i="20" l="1"/>
  <c r="H389" i="20" s="1"/>
  <c r="F390" i="20"/>
  <c r="E392" i="20"/>
  <c r="F391" i="20" l="1"/>
  <c r="G390" i="20"/>
  <c r="H390" i="20" s="1"/>
  <c r="E393" i="20"/>
  <c r="F392" i="20" l="1"/>
  <c r="G391" i="20"/>
  <c r="H391" i="20" s="1"/>
  <c r="E394" i="20"/>
  <c r="F393" i="20" l="1"/>
  <c r="G392" i="20"/>
  <c r="H392" i="20" s="1"/>
  <c r="E395" i="20"/>
  <c r="G393" i="20" l="1"/>
  <c r="H393" i="20" s="1"/>
  <c r="F394" i="20"/>
  <c r="E396" i="20"/>
  <c r="F395" i="20" l="1"/>
  <c r="G394" i="20"/>
  <c r="H394" i="20" s="1"/>
  <c r="E397" i="20"/>
  <c r="F396" i="20" l="1"/>
  <c r="G395" i="20"/>
  <c r="H395" i="20" s="1"/>
  <c r="E398" i="20"/>
  <c r="F397" i="20" l="1"/>
  <c r="G396" i="20"/>
  <c r="H396" i="20" s="1"/>
  <c r="E399" i="20"/>
  <c r="G397" i="20" l="1"/>
  <c r="H397" i="20" s="1"/>
  <c r="F398" i="20"/>
  <c r="E400" i="20"/>
  <c r="F399" i="20" l="1"/>
  <c r="G398" i="20"/>
  <c r="H398" i="20" s="1"/>
  <c r="E401" i="20"/>
  <c r="F400" i="20" l="1"/>
  <c r="G399" i="20"/>
  <c r="H399" i="20" s="1"/>
  <c r="E402" i="20"/>
  <c r="F401" i="20" l="1"/>
  <c r="G400" i="20"/>
  <c r="H400" i="20" s="1"/>
  <c r="E403" i="20"/>
  <c r="F402" i="20" l="1"/>
  <c r="G401" i="20"/>
  <c r="H401" i="20" s="1"/>
  <c r="E404" i="20"/>
  <c r="F403" i="20" l="1"/>
  <c r="G402" i="20"/>
  <c r="H402" i="20" s="1"/>
  <c r="E405" i="20"/>
  <c r="F404" i="20" l="1"/>
  <c r="G403" i="20"/>
  <c r="H403" i="20" s="1"/>
  <c r="E406" i="20"/>
  <c r="G404" i="20" l="1"/>
  <c r="H404" i="20" s="1"/>
  <c r="F405" i="20"/>
  <c r="E407" i="20"/>
  <c r="F406" i="20" l="1"/>
  <c r="G405" i="20"/>
  <c r="H405" i="20" s="1"/>
  <c r="E408" i="20"/>
  <c r="F407" i="20" l="1"/>
  <c r="G406" i="20"/>
  <c r="H406" i="20" s="1"/>
  <c r="E409" i="20"/>
  <c r="F408" i="20" l="1"/>
  <c r="G407" i="20"/>
  <c r="H407" i="20" s="1"/>
  <c r="E410" i="20"/>
  <c r="G408" i="20" l="1"/>
  <c r="H408" i="20" s="1"/>
  <c r="F409" i="20"/>
  <c r="E411" i="20"/>
  <c r="F410" i="20" l="1"/>
  <c r="G409" i="20"/>
  <c r="H409" i="20" s="1"/>
  <c r="E412" i="20"/>
  <c r="F411" i="20" l="1"/>
  <c r="G410" i="20"/>
  <c r="H410" i="20" s="1"/>
  <c r="E413" i="20"/>
  <c r="G411" i="20" l="1"/>
  <c r="H411" i="20" s="1"/>
  <c r="F412" i="20"/>
  <c r="E414" i="20"/>
  <c r="F413" i="20" l="1"/>
  <c r="G412" i="20"/>
  <c r="H412" i="20" s="1"/>
  <c r="E415" i="20"/>
  <c r="F414" i="20" l="1"/>
  <c r="G413" i="20"/>
  <c r="H413" i="20" s="1"/>
  <c r="E416" i="20"/>
  <c r="F415" i="20" l="1"/>
  <c r="G414" i="20"/>
  <c r="H414" i="20" s="1"/>
  <c r="E417" i="20"/>
  <c r="F416" i="20" l="1"/>
  <c r="G415" i="20"/>
  <c r="H415" i="20" s="1"/>
  <c r="E418" i="20"/>
  <c r="G416" i="20" l="1"/>
  <c r="H416" i="20" s="1"/>
  <c r="F417" i="20"/>
  <c r="E419" i="20"/>
  <c r="F418" i="20" l="1"/>
  <c r="G417" i="20"/>
  <c r="H417" i="20" s="1"/>
  <c r="E420" i="20"/>
  <c r="F419" i="20" l="1"/>
  <c r="G418" i="20"/>
  <c r="H418" i="20" s="1"/>
  <c r="E421" i="20"/>
  <c r="F420" i="20" l="1"/>
  <c r="G419" i="20"/>
  <c r="H419" i="20" s="1"/>
  <c r="E422" i="20"/>
  <c r="F421" i="20" l="1"/>
  <c r="G420" i="20"/>
  <c r="H420" i="20" s="1"/>
  <c r="E423" i="20"/>
  <c r="F422" i="20" l="1"/>
  <c r="G421" i="20"/>
  <c r="H421" i="20" s="1"/>
  <c r="E424" i="20"/>
  <c r="F423" i="20" l="1"/>
  <c r="G422" i="20"/>
  <c r="H422" i="20" s="1"/>
  <c r="E425" i="20"/>
  <c r="F424" i="20" l="1"/>
  <c r="G423" i="20"/>
  <c r="H423" i="20" s="1"/>
  <c r="E426" i="20"/>
  <c r="F425" i="20" l="1"/>
  <c r="G424" i="20"/>
  <c r="H424" i="20" s="1"/>
  <c r="E427" i="20"/>
  <c r="F426" i="20" l="1"/>
  <c r="G425" i="20"/>
  <c r="H425" i="20" s="1"/>
  <c r="E428" i="20"/>
  <c r="G426" i="20" l="1"/>
  <c r="H426" i="20" s="1"/>
  <c r="F427" i="20"/>
  <c r="E429" i="20"/>
  <c r="F428" i="20" l="1"/>
  <c r="G427" i="20"/>
  <c r="H427" i="20" s="1"/>
  <c r="E430" i="20"/>
  <c r="G428" i="20" l="1"/>
  <c r="H428" i="20" s="1"/>
  <c r="F429" i="20"/>
  <c r="E431" i="20"/>
  <c r="F430" i="20" l="1"/>
  <c r="G429" i="20"/>
  <c r="H429" i="20" s="1"/>
  <c r="E432" i="20"/>
  <c r="G430" i="20" l="1"/>
  <c r="H430" i="20" s="1"/>
  <c r="F431" i="20"/>
  <c r="E433" i="20"/>
  <c r="F432" i="20" l="1"/>
  <c r="G431" i="20"/>
  <c r="H431" i="20" s="1"/>
  <c r="E434" i="20"/>
  <c r="G432" i="20" l="1"/>
  <c r="H432" i="20" s="1"/>
  <c r="F433" i="20"/>
  <c r="E435" i="20"/>
  <c r="F434" i="20" l="1"/>
  <c r="G433" i="20"/>
  <c r="H433" i="20" s="1"/>
  <c r="E436" i="20"/>
  <c r="F435" i="20" l="1"/>
  <c r="G434" i="20"/>
  <c r="H434" i="20" s="1"/>
  <c r="E437" i="20"/>
  <c r="F436" i="20" l="1"/>
  <c r="G435" i="20"/>
  <c r="H435" i="20" s="1"/>
  <c r="E438" i="20"/>
  <c r="F437" i="20" l="1"/>
  <c r="G436" i="20"/>
  <c r="H436" i="20" s="1"/>
  <c r="E439" i="20"/>
  <c r="F438" i="20" l="1"/>
  <c r="G437" i="20"/>
  <c r="H437" i="20" s="1"/>
  <c r="E440" i="20"/>
  <c r="F439" i="20" l="1"/>
  <c r="G438" i="20"/>
  <c r="H438" i="20" s="1"/>
  <c r="E441" i="20"/>
  <c r="F440" i="20" l="1"/>
  <c r="G439" i="20"/>
  <c r="H439" i="20" s="1"/>
  <c r="E442" i="20"/>
  <c r="F441" i="20" l="1"/>
  <c r="G440" i="20"/>
  <c r="H440" i="20" s="1"/>
  <c r="E443" i="20"/>
  <c r="F442" i="20" l="1"/>
  <c r="G441" i="20"/>
  <c r="H441" i="20" s="1"/>
  <c r="E444" i="20"/>
  <c r="F443" i="20" l="1"/>
  <c r="G442" i="20"/>
  <c r="H442" i="20" s="1"/>
  <c r="E445" i="20"/>
  <c r="F444" i="20" l="1"/>
  <c r="G443" i="20"/>
  <c r="H443" i="20" s="1"/>
  <c r="E446" i="20"/>
  <c r="F445" i="20" l="1"/>
  <c r="G444" i="20"/>
  <c r="H444" i="20" s="1"/>
  <c r="E447" i="20"/>
  <c r="F446" i="20" l="1"/>
  <c r="G445" i="20"/>
  <c r="H445" i="20" s="1"/>
  <c r="E448" i="20"/>
  <c r="F447" i="20" l="1"/>
  <c r="G446" i="20"/>
  <c r="H446" i="20" s="1"/>
  <c r="E449" i="20"/>
  <c r="F448" i="20" l="1"/>
  <c r="G447" i="20"/>
  <c r="H447" i="20" s="1"/>
  <c r="E450" i="20"/>
  <c r="F449" i="20" l="1"/>
  <c r="G448" i="20"/>
  <c r="H448" i="20" s="1"/>
  <c r="E451" i="20"/>
  <c r="F450" i="20" l="1"/>
  <c r="G449" i="20"/>
  <c r="H449" i="20" s="1"/>
  <c r="E452" i="20"/>
  <c r="F451" i="20" l="1"/>
  <c r="G450" i="20"/>
  <c r="H450" i="20" s="1"/>
  <c r="E453" i="20"/>
  <c r="F452" i="20" l="1"/>
  <c r="G451" i="20"/>
  <c r="H451" i="20" s="1"/>
  <c r="E454" i="20"/>
  <c r="F453" i="20" l="1"/>
  <c r="G452" i="20"/>
  <c r="H452" i="20" s="1"/>
  <c r="E455" i="20"/>
  <c r="F454" i="20" l="1"/>
  <c r="G453" i="20"/>
  <c r="H453" i="20" s="1"/>
  <c r="E456" i="20"/>
  <c r="F455" i="20" l="1"/>
  <c r="G454" i="20"/>
  <c r="H454" i="20" s="1"/>
  <c r="E457" i="20"/>
  <c r="F456" i="20" l="1"/>
  <c r="G455" i="20"/>
  <c r="H455" i="20" s="1"/>
  <c r="E458" i="20"/>
  <c r="F457" i="20" l="1"/>
  <c r="G456" i="20"/>
  <c r="H456" i="20" s="1"/>
  <c r="E459" i="20"/>
  <c r="F458" i="20" l="1"/>
  <c r="G457" i="20"/>
  <c r="H457" i="20" s="1"/>
  <c r="E460" i="20"/>
  <c r="F459" i="20" l="1"/>
  <c r="G458" i="20"/>
  <c r="H458" i="20" s="1"/>
  <c r="E461" i="20"/>
  <c r="F460" i="20" l="1"/>
  <c r="G459" i="20"/>
  <c r="H459" i="20" s="1"/>
  <c r="E462" i="20"/>
  <c r="F461" i="20" l="1"/>
  <c r="G460" i="20"/>
  <c r="H460" i="20" s="1"/>
  <c r="E463" i="20"/>
  <c r="F462" i="20" l="1"/>
  <c r="G461" i="20"/>
  <c r="H461" i="20" s="1"/>
  <c r="E464" i="20"/>
  <c r="F463" i="20" l="1"/>
  <c r="G462" i="20"/>
  <c r="H462" i="20" s="1"/>
  <c r="E465" i="20"/>
  <c r="F464" i="20" l="1"/>
  <c r="G463" i="20"/>
  <c r="H463" i="20" s="1"/>
  <c r="E466" i="20"/>
  <c r="F465" i="20" l="1"/>
  <c r="G464" i="20"/>
  <c r="H464" i="20" s="1"/>
  <c r="E467" i="20"/>
  <c r="F466" i="20" l="1"/>
  <c r="G465" i="20"/>
  <c r="H465" i="20" s="1"/>
  <c r="E468" i="20"/>
  <c r="F467" i="20" l="1"/>
  <c r="G466" i="20"/>
  <c r="H466" i="20" s="1"/>
  <c r="E469" i="20"/>
  <c r="F468" i="20" l="1"/>
  <c r="G467" i="20"/>
  <c r="H467" i="20" s="1"/>
  <c r="E470" i="20"/>
  <c r="G468" i="20" l="1"/>
  <c r="H468" i="20" s="1"/>
  <c r="F469" i="20"/>
  <c r="E471" i="20"/>
  <c r="F470" i="20" l="1"/>
  <c r="G469" i="20"/>
  <c r="H469" i="20" s="1"/>
  <c r="E472" i="20"/>
  <c r="G470" i="20" l="1"/>
  <c r="H470" i="20" s="1"/>
  <c r="F471" i="20"/>
  <c r="E473" i="20"/>
  <c r="F472" i="20" l="1"/>
  <c r="G471" i="20"/>
  <c r="H471" i="20" s="1"/>
  <c r="E474" i="20"/>
  <c r="F473" i="20" l="1"/>
  <c r="G472" i="20"/>
  <c r="H472" i="20" s="1"/>
  <c r="E475" i="20"/>
  <c r="F474" i="20" l="1"/>
  <c r="G473" i="20"/>
  <c r="H473" i="20" s="1"/>
  <c r="E476" i="20"/>
  <c r="F475" i="20" l="1"/>
  <c r="G474" i="20"/>
  <c r="H474" i="20" s="1"/>
  <c r="E477" i="20"/>
  <c r="F476" i="20" l="1"/>
  <c r="G475" i="20"/>
  <c r="H475" i="20" s="1"/>
  <c r="E478" i="20"/>
  <c r="F477" i="20" l="1"/>
  <c r="G476" i="20"/>
  <c r="H476" i="20" s="1"/>
  <c r="E479" i="20"/>
  <c r="F478" i="20" l="1"/>
  <c r="G477" i="20"/>
  <c r="H477" i="20" s="1"/>
  <c r="E480" i="20"/>
  <c r="F479" i="20" l="1"/>
  <c r="G478" i="20"/>
  <c r="H478" i="20" s="1"/>
  <c r="E481" i="20"/>
  <c r="F480" i="20" l="1"/>
  <c r="G479" i="20"/>
  <c r="H479" i="20" s="1"/>
  <c r="E482" i="20"/>
  <c r="F481" i="20" l="1"/>
  <c r="G480" i="20"/>
  <c r="H480" i="20" s="1"/>
  <c r="E483" i="20"/>
  <c r="F482" i="20" l="1"/>
  <c r="G481" i="20"/>
  <c r="H481" i="20" s="1"/>
  <c r="E484" i="20"/>
  <c r="F483" i="20" l="1"/>
  <c r="G482" i="20"/>
  <c r="H482" i="20" s="1"/>
  <c r="E485" i="20"/>
  <c r="G483" i="20" l="1"/>
  <c r="H483" i="20" s="1"/>
  <c r="F484" i="20"/>
  <c r="E486" i="20"/>
  <c r="F485" i="20" l="1"/>
  <c r="G484" i="20"/>
  <c r="H484" i="20" s="1"/>
  <c r="E487" i="20"/>
  <c r="F486" i="20" l="1"/>
  <c r="G485" i="20"/>
  <c r="H485" i="20" s="1"/>
  <c r="E488" i="20"/>
  <c r="F487" i="20" l="1"/>
  <c r="G486" i="20"/>
  <c r="H486" i="20" s="1"/>
  <c r="E489" i="20"/>
  <c r="G487" i="20" l="1"/>
  <c r="H487" i="20" s="1"/>
  <c r="F488" i="20"/>
  <c r="E490" i="20"/>
  <c r="F489" i="20" l="1"/>
  <c r="G488" i="20"/>
  <c r="H488" i="20" s="1"/>
  <c r="E491" i="20"/>
  <c r="G489" i="20" l="1"/>
  <c r="H489" i="20" s="1"/>
  <c r="F490" i="20"/>
  <c r="E492" i="20"/>
  <c r="G490" i="20" l="1"/>
  <c r="H490" i="20" s="1"/>
  <c r="F491" i="20"/>
  <c r="E493" i="20"/>
  <c r="F492" i="20" l="1"/>
  <c r="G491" i="20"/>
  <c r="H491" i="20" s="1"/>
  <c r="E494" i="20"/>
  <c r="F493" i="20" l="1"/>
  <c r="G492" i="20"/>
  <c r="H492" i="20" s="1"/>
  <c r="E495" i="20"/>
  <c r="F494" i="20" l="1"/>
  <c r="G493" i="20"/>
  <c r="H493" i="20" s="1"/>
  <c r="E496" i="20"/>
  <c r="F495" i="20" l="1"/>
  <c r="G494" i="20"/>
  <c r="H494" i="20" s="1"/>
  <c r="E497" i="20"/>
  <c r="F496" i="20" l="1"/>
  <c r="G495" i="20"/>
  <c r="H495" i="20" s="1"/>
  <c r="E498" i="20"/>
  <c r="F497" i="20" l="1"/>
  <c r="G496" i="20"/>
  <c r="H496" i="20" s="1"/>
  <c r="E499" i="20"/>
  <c r="F498" i="20" l="1"/>
  <c r="G497" i="20"/>
  <c r="H497" i="20" s="1"/>
  <c r="E500" i="20"/>
  <c r="F499" i="20" l="1"/>
  <c r="G498" i="20"/>
  <c r="H498" i="20" s="1"/>
  <c r="E501" i="20"/>
  <c r="G499" i="20" l="1"/>
  <c r="H499" i="20" s="1"/>
  <c r="F500" i="20"/>
  <c r="E502" i="20"/>
  <c r="F501" i="20" l="1"/>
  <c r="G500" i="20"/>
  <c r="H500" i="20" s="1"/>
  <c r="E503" i="20"/>
  <c r="F502" i="20" l="1"/>
  <c r="G501" i="20"/>
  <c r="H501" i="20" s="1"/>
  <c r="E504" i="20"/>
  <c r="F503" i="20" l="1"/>
  <c r="G502" i="20"/>
  <c r="H502" i="20" s="1"/>
  <c r="E505" i="20"/>
  <c r="F504" i="20" l="1"/>
  <c r="G503" i="20"/>
  <c r="H503" i="20" s="1"/>
  <c r="E506" i="20"/>
  <c r="F505" i="20" l="1"/>
  <c r="G504" i="20"/>
  <c r="H504" i="20" s="1"/>
  <c r="E507" i="20"/>
  <c r="F506" i="20" l="1"/>
  <c r="G505" i="20"/>
  <c r="H505" i="20" s="1"/>
  <c r="E508" i="20"/>
  <c r="F507" i="20" l="1"/>
  <c r="G506" i="20"/>
  <c r="H506" i="20" s="1"/>
  <c r="E509" i="20"/>
  <c r="F508" i="20" l="1"/>
  <c r="G507" i="20"/>
  <c r="H507" i="20" s="1"/>
  <c r="E510" i="20"/>
  <c r="F509" i="20" l="1"/>
  <c r="G508" i="20"/>
  <c r="H508" i="20" s="1"/>
  <c r="E511" i="20"/>
  <c r="F510" i="20" l="1"/>
  <c r="G509" i="20"/>
  <c r="H509" i="20" s="1"/>
  <c r="E512" i="20"/>
  <c r="F511" i="20" l="1"/>
  <c r="G510" i="20"/>
  <c r="H510" i="20" s="1"/>
  <c r="E513" i="20"/>
  <c r="F512" i="20" l="1"/>
  <c r="G511" i="20"/>
  <c r="H511" i="20" s="1"/>
  <c r="E514" i="20"/>
  <c r="F513" i="20" l="1"/>
  <c r="G512" i="20"/>
  <c r="H512" i="20" s="1"/>
  <c r="E515" i="20"/>
  <c r="F514" i="20" l="1"/>
  <c r="G513" i="20"/>
  <c r="H513" i="20" s="1"/>
  <c r="E516" i="20"/>
  <c r="G514" i="20" l="1"/>
  <c r="H514" i="20" s="1"/>
  <c r="F515" i="20"/>
  <c r="E517" i="20"/>
  <c r="F516" i="20" l="1"/>
  <c r="G515" i="20"/>
  <c r="H515" i="20" s="1"/>
  <c r="E518" i="20"/>
  <c r="F517" i="20" l="1"/>
  <c r="G516" i="20"/>
  <c r="H516" i="20" s="1"/>
  <c r="E519" i="20"/>
  <c r="G517" i="20" l="1"/>
  <c r="H517" i="20" s="1"/>
  <c r="F518" i="20"/>
  <c r="E520" i="20"/>
  <c r="F519" i="20" l="1"/>
  <c r="G518" i="20"/>
  <c r="H518" i="20" s="1"/>
  <c r="E521" i="20"/>
  <c r="F520" i="20" l="1"/>
  <c r="G519" i="20"/>
  <c r="H519" i="20" s="1"/>
  <c r="E522" i="20"/>
  <c r="G520" i="20" l="1"/>
  <c r="H520" i="20" s="1"/>
  <c r="F521" i="20"/>
  <c r="E523" i="20"/>
  <c r="F522" i="20" l="1"/>
  <c r="G521" i="20"/>
  <c r="H521" i="20" s="1"/>
  <c r="E524" i="20"/>
  <c r="G522" i="20" l="1"/>
  <c r="H522" i="20" s="1"/>
  <c r="F523" i="20"/>
  <c r="E525" i="20"/>
  <c r="F524" i="20" l="1"/>
  <c r="G523" i="20"/>
  <c r="H523" i="20" s="1"/>
  <c r="E526" i="20"/>
  <c r="F525" i="20" l="1"/>
  <c r="G524" i="20"/>
  <c r="H524" i="20" s="1"/>
  <c r="E527" i="20"/>
  <c r="F526" i="20" l="1"/>
  <c r="G525" i="20"/>
  <c r="H525" i="20" s="1"/>
  <c r="E528" i="20"/>
  <c r="F527" i="20" l="1"/>
  <c r="G526" i="20"/>
  <c r="H526" i="20" s="1"/>
  <c r="E529" i="20"/>
  <c r="G527" i="20" l="1"/>
  <c r="H527" i="20" s="1"/>
  <c r="F528" i="20"/>
  <c r="E530" i="20"/>
  <c r="G528" i="20" l="1"/>
  <c r="H528" i="20" s="1"/>
  <c r="F529" i="20"/>
  <c r="E531" i="20"/>
  <c r="F530" i="20" l="1"/>
  <c r="G529" i="20"/>
  <c r="H529" i="20" s="1"/>
  <c r="E532" i="20"/>
  <c r="F531" i="20" l="1"/>
  <c r="G530" i="20"/>
  <c r="H530" i="20" s="1"/>
  <c r="E533" i="20"/>
  <c r="F532" i="20" l="1"/>
  <c r="G531" i="20"/>
  <c r="H531" i="20" s="1"/>
  <c r="E534" i="20"/>
  <c r="F533" i="20" l="1"/>
  <c r="G532" i="20"/>
  <c r="H532" i="20" s="1"/>
  <c r="E535" i="20"/>
  <c r="F534" i="20" l="1"/>
  <c r="G533" i="20"/>
  <c r="H533" i="20" s="1"/>
  <c r="E536" i="20"/>
  <c r="F535" i="20" l="1"/>
  <c r="G534" i="20"/>
  <c r="H534" i="20" s="1"/>
  <c r="E537" i="20"/>
  <c r="F536" i="20" l="1"/>
  <c r="G535" i="20"/>
  <c r="H535" i="20" s="1"/>
  <c r="E538" i="20"/>
  <c r="F537" i="20" l="1"/>
  <c r="G536" i="20"/>
  <c r="H536" i="20" s="1"/>
  <c r="E539" i="20"/>
  <c r="G537" i="20" l="1"/>
  <c r="H537" i="20" s="1"/>
  <c r="F538" i="20"/>
  <c r="E540" i="20"/>
  <c r="F539" i="20" l="1"/>
  <c r="G538" i="20"/>
  <c r="H538" i="20" s="1"/>
  <c r="E541" i="20"/>
  <c r="F540" i="20" l="1"/>
  <c r="G539" i="20"/>
  <c r="H539" i="20" s="1"/>
  <c r="E542" i="20"/>
  <c r="F541" i="20" l="1"/>
  <c r="G540" i="20"/>
  <c r="H540" i="20" s="1"/>
  <c r="E543" i="20"/>
  <c r="G541" i="20" l="1"/>
  <c r="H541" i="20" s="1"/>
  <c r="F542" i="20"/>
  <c r="E544" i="20"/>
  <c r="F543" i="20" l="1"/>
  <c r="G542" i="20"/>
  <c r="H542" i="20" s="1"/>
  <c r="E545" i="20"/>
  <c r="F544" i="20" l="1"/>
  <c r="G543" i="20"/>
  <c r="H543" i="20" s="1"/>
  <c r="E546" i="20"/>
  <c r="G544" i="20" l="1"/>
  <c r="H544" i="20" s="1"/>
  <c r="F545" i="20"/>
  <c r="E547" i="20"/>
  <c r="F546" i="20" l="1"/>
  <c r="G545" i="20"/>
  <c r="H545" i="20" s="1"/>
  <c r="E548" i="20"/>
  <c r="F547" i="20" l="1"/>
  <c r="G546" i="20"/>
  <c r="H546" i="20" s="1"/>
  <c r="E549" i="20"/>
  <c r="F548" i="20" l="1"/>
  <c r="G547" i="20"/>
  <c r="H547" i="20" s="1"/>
  <c r="E550" i="20"/>
  <c r="F549" i="20" l="1"/>
  <c r="G548" i="20"/>
  <c r="H548" i="20" s="1"/>
  <c r="E551" i="20"/>
  <c r="F550" i="20" l="1"/>
  <c r="G549" i="20"/>
  <c r="H549" i="20" s="1"/>
  <c r="E552" i="20"/>
  <c r="F551" i="20" l="1"/>
  <c r="G550" i="20"/>
  <c r="H550" i="20" s="1"/>
  <c r="E553" i="20"/>
  <c r="F552" i="20" l="1"/>
  <c r="G551" i="20"/>
  <c r="H551" i="20" s="1"/>
  <c r="E554" i="20"/>
  <c r="F553" i="20" l="1"/>
  <c r="G552" i="20"/>
  <c r="H552" i="20" s="1"/>
  <c r="E555" i="20"/>
  <c r="G553" i="20" l="1"/>
  <c r="H553" i="20" s="1"/>
  <c r="F554" i="20"/>
  <c r="E556" i="20"/>
  <c r="G554" i="20" l="1"/>
  <c r="H554" i="20" s="1"/>
  <c r="F555" i="20"/>
  <c r="E557" i="20"/>
  <c r="F556" i="20" l="1"/>
  <c r="G555" i="20"/>
  <c r="H555" i="20" s="1"/>
  <c r="E558" i="20"/>
  <c r="G556" i="20" l="1"/>
  <c r="H556" i="20" s="1"/>
  <c r="F557" i="20"/>
  <c r="E559" i="20"/>
  <c r="F558" i="20" l="1"/>
  <c r="G557" i="20"/>
  <c r="H557" i="20" s="1"/>
  <c r="E560" i="20"/>
  <c r="F559" i="20" l="1"/>
  <c r="G558" i="20"/>
  <c r="H558" i="20" s="1"/>
  <c r="E561" i="20"/>
  <c r="F560" i="20" l="1"/>
  <c r="G559" i="20"/>
  <c r="H559" i="20" s="1"/>
  <c r="E562" i="20"/>
  <c r="F561" i="20" l="1"/>
  <c r="G560" i="20"/>
  <c r="H560" i="20" s="1"/>
  <c r="E563" i="20"/>
  <c r="F562" i="20" l="1"/>
  <c r="G561" i="20"/>
  <c r="H561" i="20" s="1"/>
  <c r="E564" i="20"/>
  <c r="F563" i="20" l="1"/>
  <c r="G562" i="20"/>
  <c r="H562" i="20" s="1"/>
  <c r="E565" i="20"/>
  <c r="F564" i="20" l="1"/>
  <c r="G563" i="20"/>
  <c r="H563" i="20" s="1"/>
  <c r="E566" i="20"/>
  <c r="G564" i="20" l="1"/>
  <c r="H564" i="20" s="1"/>
  <c r="F565" i="20"/>
  <c r="E567" i="20"/>
  <c r="F566" i="20" l="1"/>
  <c r="G565" i="20"/>
  <c r="H565" i="20" s="1"/>
  <c r="E568" i="20"/>
  <c r="F567" i="20" l="1"/>
  <c r="G566" i="20"/>
  <c r="H566" i="20" s="1"/>
  <c r="E569" i="20"/>
  <c r="F568" i="20" l="1"/>
  <c r="G567" i="20"/>
  <c r="H567" i="20" s="1"/>
  <c r="E570" i="20"/>
  <c r="F569" i="20" l="1"/>
  <c r="G568" i="20"/>
  <c r="H568" i="20" s="1"/>
  <c r="E571" i="20"/>
  <c r="G569" i="20" l="1"/>
  <c r="H569" i="20" s="1"/>
  <c r="F570" i="20"/>
  <c r="E572" i="20"/>
  <c r="G570" i="20" l="1"/>
  <c r="H570" i="20" s="1"/>
  <c r="F571" i="20"/>
  <c r="E573" i="20"/>
  <c r="F572" i="20" l="1"/>
  <c r="G571" i="20"/>
  <c r="H571" i="20" s="1"/>
  <c r="E574" i="20"/>
  <c r="F573" i="20" l="1"/>
  <c r="G572" i="20"/>
  <c r="H572" i="20" s="1"/>
  <c r="E575" i="20"/>
  <c r="G573" i="20" l="1"/>
  <c r="H573" i="20" s="1"/>
  <c r="F574" i="20"/>
  <c r="E576" i="20"/>
  <c r="F575" i="20" l="1"/>
  <c r="G574" i="20"/>
  <c r="H574" i="20" s="1"/>
  <c r="E577" i="20"/>
  <c r="F576" i="20" l="1"/>
  <c r="G575" i="20"/>
  <c r="H575" i="20" s="1"/>
  <c r="E578" i="20"/>
  <c r="F577" i="20" l="1"/>
  <c r="G576" i="20"/>
  <c r="H576" i="20" s="1"/>
  <c r="E579" i="20"/>
  <c r="F578" i="20" l="1"/>
  <c r="G577" i="20"/>
  <c r="H577" i="20" s="1"/>
  <c r="E580" i="20"/>
  <c r="F579" i="20" l="1"/>
  <c r="G578" i="20"/>
  <c r="H578" i="20" s="1"/>
  <c r="E581" i="20"/>
  <c r="F580" i="20" l="1"/>
  <c r="G579" i="20"/>
  <c r="H579" i="20" s="1"/>
  <c r="E582" i="20"/>
  <c r="F581" i="20" l="1"/>
  <c r="G580" i="20"/>
  <c r="H580" i="20" s="1"/>
  <c r="E583" i="20"/>
  <c r="F582" i="20" l="1"/>
  <c r="G581" i="20"/>
  <c r="H581" i="20" s="1"/>
  <c r="E584" i="20"/>
  <c r="G582" i="20" l="1"/>
  <c r="H582" i="20" s="1"/>
  <c r="F583" i="20"/>
  <c r="E585" i="20"/>
  <c r="F584" i="20" l="1"/>
  <c r="G583" i="20"/>
  <c r="H583" i="20" s="1"/>
  <c r="E586" i="20"/>
  <c r="G584" i="20" l="1"/>
  <c r="H584" i="20" s="1"/>
  <c r="F585" i="20"/>
  <c r="E587" i="20"/>
  <c r="F586" i="20" l="1"/>
  <c r="G585" i="20"/>
  <c r="H585" i="20" s="1"/>
  <c r="E588" i="20"/>
  <c r="F587" i="20" l="1"/>
  <c r="G586" i="20"/>
  <c r="H586" i="20" s="1"/>
  <c r="E589" i="20"/>
  <c r="F588" i="20" l="1"/>
  <c r="G587" i="20"/>
  <c r="H587" i="20" s="1"/>
  <c r="E590" i="20"/>
  <c r="F589" i="20" l="1"/>
  <c r="G588" i="20"/>
  <c r="H588" i="20" s="1"/>
  <c r="E591" i="20"/>
  <c r="F590" i="20" l="1"/>
  <c r="G589" i="20"/>
  <c r="H589" i="20" s="1"/>
  <c r="E592" i="20"/>
  <c r="F591" i="20" l="1"/>
  <c r="G590" i="20"/>
  <c r="H590" i="20" s="1"/>
  <c r="E593" i="20"/>
  <c r="F592" i="20" l="1"/>
  <c r="G591" i="20"/>
  <c r="H591" i="20" s="1"/>
  <c r="E594" i="20"/>
  <c r="F593" i="20" l="1"/>
  <c r="G592" i="20"/>
  <c r="H592" i="20" s="1"/>
  <c r="E595" i="20"/>
  <c r="F594" i="20" l="1"/>
  <c r="G593" i="20"/>
  <c r="H593" i="20" s="1"/>
  <c r="E596" i="20"/>
  <c r="F595" i="20" l="1"/>
  <c r="G594" i="20"/>
  <c r="H594" i="20" s="1"/>
  <c r="E597" i="20"/>
  <c r="G595" i="20" l="1"/>
  <c r="H595" i="20" s="1"/>
  <c r="F596" i="20"/>
  <c r="E598" i="20"/>
  <c r="F597" i="20" l="1"/>
  <c r="G596" i="20"/>
  <c r="H596" i="20" s="1"/>
  <c r="E599" i="20"/>
  <c r="F598" i="20" l="1"/>
  <c r="G597" i="20"/>
  <c r="H597" i="20" s="1"/>
  <c r="E600" i="20"/>
  <c r="F599" i="20" l="1"/>
  <c r="G598" i="20"/>
  <c r="H598" i="20" s="1"/>
  <c r="E601" i="20"/>
  <c r="F600" i="20" l="1"/>
  <c r="G599" i="20"/>
  <c r="H599" i="20" s="1"/>
  <c r="E602" i="20"/>
  <c r="F601" i="20" l="1"/>
  <c r="G600" i="20"/>
  <c r="H600" i="20" s="1"/>
  <c r="E603" i="20"/>
  <c r="F602" i="20" l="1"/>
  <c r="G601" i="20"/>
  <c r="H601" i="20" s="1"/>
  <c r="E604" i="20"/>
  <c r="F603" i="20" l="1"/>
  <c r="G602" i="20"/>
  <c r="H602" i="20" s="1"/>
  <c r="E605" i="20"/>
  <c r="F604" i="20" l="1"/>
  <c r="G603" i="20"/>
  <c r="H603" i="20" s="1"/>
  <c r="E606" i="20"/>
  <c r="F605" i="20" l="1"/>
  <c r="G604" i="20"/>
  <c r="H604" i="20" s="1"/>
  <c r="E607" i="20"/>
  <c r="F606" i="20" l="1"/>
  <c r="G605" i="20"/>
  <c r="H605" i="20" s="1"/>
  <c r="E608" i="20"/>
  <c r="F607" i="20" l="1"/>
  <c r="G606" i="20"/>
  <c r="H606" i="20" s="1"/>
  <c r="E609" i="20"/>
  <c r="F608" i="20" l="1"/>
  <c r="G607" i="20"/>
  <c r="H607" i="20" s="1"/>
  <c r="E610" i="20"/>
  <c r="F609" i="20" l="1"/>
  <c r="G608" i="20"/>
  <c r="H608" i="20" s="1"/>
  <c r="E611" i="20"/>
  <c r="F610" i="20" l="1"/>
  <c r="G609" i="20"/>
  <c r="H609" i="20" s="1"/>
  <c r="E612" i="20"/>
  <c r="G610" i="20" l="1"/>
  <c r="H610" i="20" s="1"/>
  <c r="F611" i="20"/>
  <c r="E613" i="20"/>
  <c r="F612" i="20" l="1"/>
  <c r="G611" i="20"/>
  <c r="H611" i="20" s="1"/>
  <c r="E614" i="20"/>
  <c r="F613" i="20" l="1"/>
  <c r="G612" i="20"/>
  <c r="H612" i="20" s="1"/>
  <c r="E615" i="20"/>
  <c r="F614" i="20" l="1"/>
  <c r="G613" i="20"/>
  <c r="H613" i="20" s="1"/>
  <c r="E616" i="20"/>
  <c r="G614" i="20" l="1"/>
  <c r="H614" i="20" s="1"/>
  <c r="F615" i="20"/>
  <c r="E617" i="20"/>
  <c r="F616" i="20" l="1"/>
  <c r="G615" i="20"/>
  <c r="H615" i="20" s="1"/>
  <c r="E618" i="20"/>
  <c r="G616" i="20" l="1"/>
  <c r="H616" i="20" s="1"/>
  <c r="F617" i="20"/>
  <c r="E619" i="20"/>
  <c r="F618" i="20" l="1"/>
  <c r="G617" i="20"/>
  <c r="H617" i="20" s="1"/>
  <c r="E620" i="20"/>
  <c r="G618" i="20" l="1"/>
  <c r="H618" i="20" s="1"/>
  <c r="F619" i="20"/>
  <c r="E621" i="20"/>
  <c r="F620" i="20" l="1"/>
  <c r="G619" i="20"/>
  <c r="H619" i="20" s="1"/>
  <c r="E622" i="20"/>
  <c r="F621" i="20" l="1"/>
  <c r="G620" i="20"/>
  <c r="H620" i="20" s="1"/>
  <c r="E623" i="20"/>
  <c r="F622" i="20" l="1"/>
  <c r="G621" i="20"/>
  <c r="H621" i="20" s="1"/>
  <c r="E624" i="20"/>
  <c r="G622" i="20" l="1"/>
  <c r="H622" i="20" s="1"/>
  <c r="F623" i="20"/>
  <c r="E625" i="20"/>
  <c r="F624" i="20" l="1"/>
  <c r="G623" i="20"/>
  <c r="H623" i="20" s="1"/>
  <c r="E626" i="20"/>
  <c r="F625" i="20" l="1"/>
  <c r="G624" i="20"/>
  <c r="H624" i="20" s="1"/>
  <c r="E627" i="20"/>
  <c r="F626" i="20" l="1"/>
  <c r="G625" i="20"/>
  <c r="H625" i="20" s="1"/>
  <c r="E628" i="20"/>
  <c r="F627" i="20" l="1"/>
  <c r="G626" i="20"/>
  <c r="H626" i="20" s="1"/>
  <c r="E629" i="20"/>
  <c r="F628" i="20" l="1"/>
  <c r="G627" i="20"/>
  <c r="H627" i="20" s="1"/>
  <c r="E630" i="20"/>
  <c r="F629" i="20" l="1"/>
  <c r="G628" i="20"/>
  <c r="H628" i="20" s="1"/>
  <c r="E631" i="20"/>
  <c r="F630" i="20" l="1"/>
  <c r="G629" i="20"/>
  <c r="H629" i="20" s="1"/>
  <c r="E632" i="20"/>
  <c r="F631" i="20" l="1"/>
  <c r="G630" i="20"/>
  <c r="H630" i="20" s="1"/>
  <c r="E633" i="20"/>
  <c r="F632" i="20" l="1"/>
  <c r="G631" i="20"/>
  <c r="H631" i="20" s="1"/>
  <c r="E634" i="20"/>
  <c r="G632" i="20" l="1"/>
  <c r="H632" i="20" s="1"/>
  <c r="F633" i="20"/>
  <c r="E635" i="20"/>
  <c r="F634" i="20" l="1"/>
  <c r="G633" i="20"/>
  <c r="H633" i="20" s="1"/>
  <c r="E636" i="20"/>
  <c r="G634" i="20" l="1"/>
  <c r="H634" i="20" s="1"/>
  <c r="F635" i="20"/>
  <c r="E637" i="20"/>
  <c r="F636" i="20" l="1"/>
  <c r="G635" i="20"/>
  <c r="H635" i="20" s="1"/>
  <c r="E638" i="20"/>
  <c r="F637" i="20" l="1"/>
  <c r="G636" i="20"/>
  <c r="H636" i="20" s="1"/>
  <c r="E639" i="20"/>
  <c r="F638" i="20" l="1"/>
  <c r="G637" i="20"/>
  <c r="H637" i="20" s="1"/>
  <c r="E640" i="20"/>
  <c r="G638" i="20" l="1"/>
  <c r="H638" i="20" s="1"/>
  <c r="F639" i="20"/>
  <c r="E641" i="20"/>
  <c r="F640" i="20" l="1"/>
  <c r="G639" i="20"/>
  <c r="H639" i="20" s="1"/>
  <c r="E642" i="20"/>
  <c r="F641" i="20" l="1"/>
  <c r="G640" i="20"/>
  <c r="H640" i="20" s="1"/>
  <c r="E643" i="20"/>
  <c r="G641" i="20" l="1"/>
  <c r="H641" i="20" s="1"/>
  <c r="F642" i="20"/>
  <c r="E644" i="20"/>
  <c r="F643" i="20" l="1"/>
  <c r="G642" i="20"/>
  <c r="H642" i="20" s="1"/>
  <c r="E645" i="20"/>
  <c r="G643" i="20" l="1"/>
  <c r="H643" i="20" s="1"/>
  <c r="F644" i="20"/>
  <c r="E646" i="20"/>
  <c r="F645" i="20" l="1"/>
  <c r="G644" i="20"/>
  <c r="H644" i="20" s="1"/>
  <c r="E647" i="20"/>
  <c r="F646" i="20" l="1"/>
  <c r="G645" i="20"/>
  <c r="H645" i="20" s="1"/>
  <c r="E648" i="20"/>
  <c r="F647" i="20" l="1"/>
  <c r="G646" i="20"/>
  <c r="H646" i="20" s="1"/>
  <c r="E649" i="20"/>
  <c r="F648" i="20" l="1"/>
  <c r="G647" i="20"/>
  <c r="H647" i="20" s="1"/>
  <c r="E650" i="20"/>
  <c r="F649" i="20" l="1"/>
  <c r="G648" i="20"/>
  <c r="H648" i="20" s="1"/>
  <c r="E651" i="20"/>
  <c r="F650" i="20" l="1"/>
  <c r="G649" i="20"/>
  <c r="H649" i="20" s="1"/>
  <c r="E652" i="20"/>
  <c r="F651" i="20" l="1"/>
  <c r="G650" i="20"/>
  <c r="H650" i="20" s="1"/>
  <c r="E653" i="20"/>
  <c r="F652" i="20" l="1"/>
  <c r="G651" i="20"/>
  <c r="H651" i="20" s="1"/>
  <c r="E654" i="20"/>
  <c r="F653" i="20" l="1"/>
  <c r="G652" i="20"/>
  <c r="H652" i="20" s="1"/>
  <c r="E655" i="20"/>
  <c r="F654" i="20" l="1"/>
  <c r="G653" i="20"/>
  <c r="H653" i="20" s="1"/>
  <c r="E656" i="20"/>
  <c r="G654" i="20" l="1"/>
  <c r="H654" i="20" s="1"/>
  <c r="F655" i="20"/>
  <c r="E657" i="20"/>
  <c r="F656" i="20" l="1"/>
  <c r="G655" i="20"/>
  <c r="H655" i="20" s="1"/>
  <c r="E658" i="20"/>
  <c r="G656" i="20" l="1"/>
  <c r="H656" i="20" s="1"/>
  <c r="F657" i="20"/>
  <c r="E659" i="20"/>
  <c r="G657" i="20" l="1"/>
  <c r="H657" i="20" s="1"/>
  <c r="F658" i="20"/>
  <c r="E660" i="20"/>
  <c r="G658" i="20" l="1"/>
  <c r="H658" i="20" s="1"/>
  <c r="F659" i="20"/>
  <c r="E661" i="20"/>
  <c r="F660" i="20" l="1"/>
  <c r="G659" i="20"/>
  <c r="H659" i="20" s="1"/>
  <c r="E662" i="20"/>
  <c r="F661" i="20" l="1"/>
  <c r="G660" i="20"/>
  <c r="H660" i="20" s="1"/>
  <c r="E663" i="20"/>
  <c r="F662" i="20" l="1"/>
  <c r="G661" i="20"/>
  <c r="H661" i="20" s="1"/>
  <c r="E664" i="20"/>
  <c r="G662" i="20" l="1"/>
  <c r="H662" i="20" s="1"/>
  <c r="F663" i="20"/>
  <c r="E665" i="20"/>
  <c r="G663" i="20" l="1"/>
  <c r="H663" i="20" s="1"/>
  <c r="F664" i="20"/>
  <c r="E666" i="20"/>
  <c r="F665" i="20" l="1"/>
  <c r="G664" i="20"/>
  <c r="H664" i="20" s="1"/>
  <c r="E667" i="20"/>
  <c r="F666" i="20" l="1"/>
  <c r="G665" i="20"/>
  <c r="H665" i="20" s="1"/>
  <c r="E668" i="20"/>
  <c r="F667" i="20" l="1"/>
  <c r="G666" i="20"/>
  <c r="H666" i="20" s="1"/>
  <c r="E669" i="20"/>
  <c r="F668" i="20" l="1"/>
  <c r="G667" i="20"/>
  <c r="H667" i="20" s="1"/>
  <c r="E670" i="20"/>
  <c r="G668" i="20" l="1"/>
  <c r="H668" i="20" s="1"/>
  <c r="F669" i="20"/>
  <c r="E671" i="20"/>
  <c r="F670" i="20" l="1"/>
  <c r="G669" i="20"/>
  <c r="H669" i="20" s="1"/>
  <c r="E672" i="20"/>
  <c r="F671" i="20" l="1"/>
  <c r="G670" i="20"/>
  <c r="H670" i="20" s="1"/>
  <c r="E673" i="20"/>
  <c r="F672" i="20" l="1"/>
  <c r="G671" i="20"/>
  <c r="H671" i="20" s="1"/>
  <c r="E674" i="20"/>
  <c r="G672" i="20" l="1"/>
  <c r="H672" i="20" s="1"/>
  <c r="F673" i="20"/>
  <c r="E675" i="20"/>
  <c r="G673" i="20" l="1"/>
  <c r="H673" i="20" s="1"/>
  <c r="F674" i="20"/>
  <c r="E676" i="20"/>
  <c r="F675" i="20" l="1"/>
  <c r="G674" i="20"/>
  <c r="H674" i="20" s="1"/>
  <c r="E677" i="20"/>
  <c r="F676" i="20" l="1"/>
  <c r="G675" i="20"/>
  <c r="H675" i="20" s="1"/>
  <c r="E678" i="20"/>
  <c r="F677" i="20" l="1"/>
  <c r="G676" i="20"/>
  <c r="H676" i="20" s="1"/>
  <c r="E679" i="20"/>
  <c r="F678" i="20" l="1"/>
  <c r="G677" i="20"/>
  <c r="H677" i="20" s="1"/>
  <c r="E680" i="20"/>
  <c r="G678" i="20" l="1"/>
  <c r="H678" i="20" s="1"/>
  <c r="F679" i="20"/>
  <c r="E681" i="20"/>
  <c r="F680" i="20" l="1"/>
  <c r="G679" i="20"/>
  <c r="H679" i="20" s="1"/>
  <c r="E682" i="20"/>
  <c r="G680" i="20" l="1"/>
  <c r="H680" i="20" s="1"/>
  <c r="F681" i="20"/>
  <c r="E683" i="20"/>
  <c r="F682" i="20" l="1"/>
  <c r="G681" i="20"/>
  <c r="H681" i="20" s="1"/>
  <c r="E684" i="20"/>
  <c r="G682" i="20" l="1"/>
  <c r="H682" i="20" s="1"/>
  <c r="F683" i="20"/>
  <c r="E685" i="20"/>
  <c r="F684" i="20" l="1"/>
  <c r="G683" i="20"/>
  <c r="H683" i="20" s="1"/>
  <c r="E686" i="20"/>
  <c r="G684" i="20" l="1"/>
  <c r="H684" i="20" s="1"/>
  <c r="F685" i="20"/>
  <c r="E687" i="20"/>
  <c r="F686" i="20" l="1"/>
  <c r="G685" i="20"/>
  <c r="H685" i="20" s="1"/>
  <c r="E688" i="20"/>
  <c r="F687" i="20" l="1"/>
  <c r="G686" i="20"/>
  <c r="H686" i="20" s="1"/>
  <c r="E689" i="20"/>
  <c r="F688" i="20" l="1"/>
  <c r="G687" i="20"/>
  <c r="H687" i="20" s="1"/>
  <c r="E690" i="20"/>
  <c r="F689" i="20" l="1"/>
  <c r="G688" i="20"/>
  <c r="H688" i="20" s="1"/>
  <c r="E691" i="20"/>
  <c r="F690" i="20" l="1"/>
  <c r="G689" i="20"/>
  <c r="H689" i="20" s="1"/>
  <c r="E692" i="20"/>
  <c r="F691" i="20" l="1"/>
  <c r="G690" i="20"/>
  <c r="H690" i="20" s="1"/>
  <c r="E693" i="20"/>
  <c r="F692" i="20" l="1"/>
  <c r="G691" i="20"/>
  <c r="H691" i="20" s="1"/>
  <c r="E694" i="20"/>
  <c r="F693" i="20" l="1"/>
  <c r="G692" i="20"/>
  <c r="H692" i="20" s="1"/>
  <c r="E695" i="20"/>
  <c r="F694" i="20" l="1"/>
  <c r="G693" i="20"/>
  <c r="H693" i="20" s="1"/>
  <c r="E696" i="20"/>
  <c r="G694" i="20" l="1"/>
  <c r="H694" i="20" s="1"/>
  <c r="F695" i="20"/>
  <c r="E697" i="20"/>
  <c r="F696" i="20" l="1"/>
  <c r="G695" i="20"/>
  <c r="H695" i="20" s="1"/>
  <c r="E698" i="20"/>
  <c r="G696" i="20" l="1"/>
  <c r="H696" i="20" s="1"/>
  <c r="F697" i="20"/>
  <c r="E699" i="20"/>
  <c r="F698" i="20" l="1"/>
  <c r="G697" i="20"/>
  <c r="H697" i="20" s="1"/>
  <c r="E700" i="20"/>
  <c r="F699" i="20" l="1"/>
  <c r="G698" i="20"/>
  <c r="H698" i="20" s="1"/>
  <c r="E701" i="20"/>
  <c r="G699" i="20" l="1"/>
  <c r="H699" i="20" s="1"/>
  <c r="F700" i="20"/>
  <c r="E702" i="20"/>
  <c r="F701" i="20" l="1"/>
  <c r="G700" i="20"/>
  <c r="H700" i="20" s="1"/>
  <c r="E703" i="20"/>
  <c r="F702" i="20" l="1"/>
  <c r="G701" i="20"/>
  <c r="H701" i="20" s="1"/>
  <c r="E704" i="20"/>
  <c r="F703" i="20" l="1"/>
  <c r="G702" i="20"/>
  <c r="H702" i="20" s="1"/>
  <c r="E705" i="20"/>
  <c r="F704" i="20" l="1"/>
  <c r="G703" i="20"/>
  <c r="H703" i="20" s="1"/>
  <c r="E706" i="20"/>
  <c r="F705" i="20" l="1"/>
  <c r="G704" i="20"/>
  <c r="H704" i="20" s="1"/>
  <c r="E707" i="20"/>
  <c r="F706" i="20" l="1"/>
  <c r="G705" i="20"/>
  <c r="H705" i="20" s="1"/>
  <c r="E708" i="20"/>
  <c r="G706" i="20" l="1"/>
  <c r="H706" i="20" s="1"/>
  <c r="F707" i="20"/>
  <c r="E709" i="20"/>
  <c r="F708" i="20" l="1"/>
  <c r="G707" i="20"/>
  <c r="H707" i="20" s="1"/>
  <c r="E710" i="20"/>
  <c r="F709" i="20" l="1"/>
  <c r="G708" i="20"/>
  <c r="H708" i="20" s="1"/>
  <c r="E711" i="20"/>
  <c r="F710" i="20" l="1"/>
  <c r="G709" i="20"/>
  <c r="H709" i="20" s="1"/>
  <c r="E712" i="20"/>
  <c r="F711" i="20" l="1"/>
  <c r="G710" i="20"/>
  <c r="H710" i="20" s="1"/>
  <c r="E713" i="20"/>
  <c r="F712" i="20" l="1"/>
  <c r="G711" i="20"/>
  <c r="H711" i="20" s="1"/>
  <c r="E714" i="20"/>
  <c r="F713" i="20" l="1"/>
  <c r="G712" i="20"/>
  <c r="H712" i="20" s="1"/>
  <c r="E715" i="20"/>
  <c r="F714" i="20" l="1"/>
  <c r="G713" i="20"/>
  <c r="H713" i="20" s="1"/>
  <c r="E716" i="20"/>
  <c r="F715" i="20" l="1"/>
  <c r="G714" i="20"/>
  <c r="H714" i="20" s="1"/>
  <c r="E717" i="20"/>
  <c r="F716" i="20" l="1"/>
  <c r="G715" i="20"/>
  <c r="H715" i="20" s="1"/>
  <c r="E718" i="20"/>
  <c r="F717" i="20" l="1"/>
  <c r="G716" i="20"/>
  <c r="H716" i="20" s="1"/>
  <c r="E719" i="20"/>
  <c r="F718" i="20" l="1"/>
  <c r="G717" i="20"/>
  <c r="H717" i="20" s="1"/>
  <c r="E720" i="20"/>
  <c r="F719" i="20" l="1"/>
  <c r="G718" i="20"/>
  <c r="H718" i="20" s="1"/>
  <c r="E721" i="20"/>
  <c r="F720" i="20" l="1"/>
  <c r="G719" i="20"/>
  <c r="H719" i="20" s="1"/>
  <c r="E722" i="20"/>
  <c r="F721" i="20" l="1"/>
  <c r="G720" i="20"/>
  <c r="H720" i="20" s="1"/>
  <c r="E723" i="20"/>
  <c r="F722" i="20" l="1"/>
  <c r="G721" i="20"/>
  <c r="H721" i="20" s="1"/>
  <c r="E724" i="20"/>
  <c r="F723" i="20" l="1"/>
  <c r="G722" i="20"/>
  <c r="H722" i="20" s="1"/>
  <c r="E725" i="20"/>
  <c r="F724" i="20" l="1"/>
  <c r="G723" i="20"/>
  <c r="H723" i="20" s="1"/>
  <c r="E726" i="20"/>
  <c r="F725" i="20" l="1"/>
  <c r="G724" i="20"/>
  <c r="H724" i="20" s="1"/>
  <c r="E727" i="20"/>
  <c r="F726" i="20" l="1"/>
  <c r="G725" i="20"/>
  <c r="H725" i="20" s="1"/>
  <c r="E728" i="20"/>
  <c r="F727" i="20" l="1"/>
  <c r="G726" i="20"/>
  <c r="H726" i="20" s="1"/>
  <c r="E729" i="20"/>
  <c r="G727" i="20" l="1"/>
  <c r="H727" i="20" s="1"/>
  <c r="F728" i="20"/>
  <c r="E730" i="20"/>
  <c r="G728" i="20" l="1"/>
  <c r="H728" i="20" s="1"/>
  <c r="F729" i="20"/>
  <c r="E731" i="20"/>
  <c r="F730" i="20" l="1"/>
  <c r="G729" i="20"/>
  <c r="H729" i="20" s="1"/>
  <c r="E732" i="20"/>
  <c r="F731" i="20" l="1"/>
  <c r="G730" i="20"/>
  <c r="H730" i="20" s="1"/>
  <c r="E733" i="20"/>
  <c r="F732" i="20" l="1"/>
  <c r="G731" i="20"/>
  <c r="H731" i="20" s="1"/>
  <c r="E734" i="20"/>
  <c r="F733" i="20" l="1"/>
  <c r="G732" i="20"/>
  <c r="H732" i="20" s="1"/>
  <c r="E735" i="20"/>
  <c r="F734" i="20" l="1"/>
  <c r="G733" i="20"/>
  <c r="H733" i="20" s="1"/>
  <c r="E736" i="20"/>
  <c r="F735" i="20" l="1"/>
  <c r="G734" i="20"/>
  <c r="H734" i="20" s="1"/>
  <c r="E737" i="20"/>
  <c r="F736" i="20" l="1"/>
  <c r="G735" i="20"/>
  <c r="H735" i="20" s="1"/>
  <c r="E738" i="20"/>
  <c r="G736" i="20" l="1"/>
  <c r="H736" i="20" s="1"/>
  <c r="F737" i="20"/>
  <c r="E739" i="20"/>
  <c r="G737" i="20" l="1"/>
  <c r="H737" i="20" s="1"/>
  <c r="F738" i="20"/>
  <c r="E740" i="20"/>
  <c r="G738" i="20" l="1"/>
  <c r="H738" i="20" s="1"/>
  <c r="F739" i="20"/>
  <c r="E741" i="20"/>
  <c r="G739" i="20" l="1"/>
  <c r="H739" i="20" s="1"/>
  <c r="F740" i="20"/>
  <c r="E742" i="20"/>
  <c r="F741" i="20" l="1"/>
  <c r="G740" i="20"/>
  <c r="H740" i="20" s="1"/>
  <c r="E743" i="20"/>
  <c r="G741" i="20" l="1"/>
  <c r="H741" i="20" s="1"/>
  <c r="F742" i="20"/>
  <c r="E744" i="20"/>
  <c r="G742" i="20" l="1"/>
  <c r="H742" i="20" s="1"/>
  <c r="F743" i="20"/>
  <c r="E745" i="20"/>
  <c r="F744" i="20" l="1"/>
  <c r="G743" i="20"/>
  <c r="H743" i="20" s="1"/>
  <c r="E746" i="20"/>
  <c r="F745" i="20" l="1"/>
  <c r="G744" i="20"/>
  <c r="H744" i="20" s="1"/>
  <c r="E747" i="20"/>
  <c r="F746" i="20" l="1"/>
  <c r="G745" i="20"/>
  <c r="H745" i="20" s="1"/>
  <c r="E748" i="20"/>
  <c r="F747" i="20" l="1"/>
  <c r="G746" i="20"/>
  <c r="H746" i="20" s="1"/>
  <c r="E749" i="20"/>
  <c r="F748" i="20" l="1"/>
  <c r="G747" i="20"/>
  <c r="H747" i="20" s="1"/>
  <c r="E750" i="20"/>
  <c r="F749" i="20" l="1"/>
  <c r="G748" i="20"/>
  <c r="H748" i="20" s="1"/>
  <c r="E751" i="20"/>
  <c r="F750" i="20" l="1"/>
  <c r="G749" i="20"/>
  <c r="H749" i="20" s="1"/>
  <c r="E752" i="20"/>
  <c r="F751" i="20" l="1"/>
  <c r="G750" i="20"/>
  <c r="H750" i="20" s="1"/>
  <c r="E753" i="20"/>
  <c r="F752" i="20" l="1"/>
  <c r="G751" i="20"/>
  <c r="H751" i="20" s="1"/>
  <c r="E754" i="20"/>
  <c r="G752" i="20" l="1"/>
  <c r="H752" i="20" s="1"/>
  <c r="F753" i="20"/>
  <c r="E755" i="20"/>
  <c r="F754" i="20" l="1"/>
  <c r="G753" i="20"/>
  <c r="H753" i="20" s="1"/>
  <c r="E756" i="20"/>
  <c r="G754" i="20" l="1"/>
  <c r="H754" i="20" s="1"/>
  <c r="F755" i="20"/>
  <c r="E757" i="20"/>
  <c r="F756" i="20" l="1"/>
  <c r="G755" i="20"/>
  <c r="H755" i="20" s="1"/>
  <c r="E758" i="20"/>
  <c r="G756" i="20" l="1"/>
  <c r="H756" i="20" s="1"/>
  <c r="F757" i="20"/>
  <c r="E759" i="20"/>
  <c r="F758" i="20" l="1"/>
  <c r="G757" i="20"/>
  <c r="H757" i="20" s="1"/>
  <c r="E760" i="20"/>
  <c r="G758" i="20" l="1"/>
  <c r="H758" i="20" s="1"/>
  <c r="F759" i="20"/>
  <c r="E761" i="20"/>
  <c r="F760" i="20" l="1"/>
  <c r="G759" i="20"/>
  <c r="H759" i="20" s="1"/>
  <c r="E762" i="20"/>
  <c r="G760" i="20" l="1"/>
  <c r="H760" i="20" s="1"/>
  <c r="F761" i="20"/>
  <c r="E763" i="20"/>
  <c r="F762" i="20" l="1"/>
  <c r="G761" i="20"/>
  <c r="H761" i="20" s="1"/>
  <c r="E764" i="20"/>
  <c r="G762" i="20" l="1"/>
  <c r="H762" i="20" s="1"/>
  <c r="F763" i="20"/>
  <c r="E765" i="20"/>
  <c r="F764" i="20" l="1"/>
  <c r="G763" i="20"/>
  <c r="H763" i="20" s="1"/>
  <c r="E766" i="20"/>
  <c r="F765" i="20" l="1"/>
  <c r="G764" i="20"/>
  <c r="H764" i="20" s="1"/>
  <c r="E767" i="20"/>
  <c r="F766" i="20" l="1"/>
  <c r="G765" i="20"/>
  <c r="H765" i="20" s="1"/>
  <c r="E768" i="20"/>
  <c r="F767" i="20" l="1"/>
  <c r="G766" i="20"/>
  <c r="H766" i="20" s="1"/>
  <c r="E769" i="20"/>
  <c r="G767" i="20" l="1"/>
  <c r="H767" i="20" s="1"/>
  <c r="F768" i="20"/>
  <c r="E770" i="20"/>
  <c r="F769" i="20" l="1"/>
  <c r="G768" i="20"/>
  <c r="H768" i="20" s="1"/>
  <c r="E771" i="20"/>
  <c r="F770" i="20" l="1"/>
  <c r="G769" i="20"/>
  <c r="H769" i="20" s="1"/>
  <c r="E772" i="20"/>
  <c r="F771" i="20" l="1"/>
  <c r="G770" i="20"/>
  <c r="H770" i="20" s="1"/>
  <c r="E773" i="20"/>
  <c r="F772" i="20" l="1"/>
  <c r="G771" i="20"/>
  <c r="H771" i="20" s="1"/>
  <c r="E774" i="20"/>
  <c r="F773" i="20" l="1"/>
  <c r="G772" i="20"/>
  <c r="H772" i="20" s="1"/>
  <c r="E775" i="20"/>
  <c r="F774" i="20" l="1"/>
  <c r="G773" i="20"/>
  <c r="H773" i="20" s="1"/>
  <c r="E776" i="20"/>
  <c r="F775" i="20" l="1"/>
  <c r="G774" i="20"/>
  <c r="H774" i="20" s="1"/>
  <c r="E777" i="20"/>
  <c r="F776" i="20" l="1"/>
  <c r="G775" i="20"/>
  <c r="H775" i="20" s="1"/>
  <c r="E778" i="20"/>
  <c r="F777" i="20" l="1"/>
  <c r="G776" i="20"/>
  <c r="H776" i="20" s="1"/>
  <c r="E779" i="20"/>
  <c r="F778" i="20" l="1"/>
  <c r="G777" i="20"/>
  <c r="H777" i="20" s="1"/>
  <c r="E780" i="20"/>
  <c r="F779" i="20" l="1"/>
  <c r="G778" i="20"/>
  <c r="H778" i="20" s="1"/>
  <c r="E781" i="20"/>
  <c r="F780" i="20" l="1"/>
  <c r="G779" i="20"/>
  <c r="H779" i="20" s="1"/>
  <c r="E782" i="20"/>
  <c r="F781" i="20" l="1"/>
  <c r="G780" i="20"/>
  <c r="H780" i="20" s="1"/>
  <c r="E783" i="20"/>
  <c r="F782" i="20" l="1"/>
  <c r="G781" i="20"/>
  <c r="H781" i="20" s="1"/>
  <c r="E784" i="20"/>
  <c r="G782" i="20" l="1"/>
  <c r="H782" i="20" s="1"/>
  <c r="F783" i="20"/>
  <c r="E785" i="20"/>
  <c r="F784" i="20" l="1"/>
  <c r="G783" i="20"/>
  <c r="H783" i="20" s="1"/>
  <c r="E786" i="20"/>
  <c r="F785" i="20" l="1"/>
  <c r="G784" i="20"/>
  <c r="H784" i="20" s="1"/>
  <c r="E787" i="20"/>
  <c r="G785" i="20" l="1"/>
  <c r="H785" i="20" s="1"/>
  <c r="F786" i="20"/>
  <c r="E788" i="20"/>
  <c r="F787" i="20" l="1"/>
  <c r="G786" i="20"/>
  <c r="H786" i="20" s="1"/>
  <c r="E789" i="20"/>
  <c r="F788" i="20" l="1"/>
  <c r="G787" i="20"/>
  <c r="H787" i="20" s="1"/>
  <c r="E790" i="20"/>
  <c r="G788" i="20" l="1"/>
  <c r="H788" i="20" s="1"/>
  <c r="F789" i="20"/>
  <c r="E791" i="20"/>
  <c r="F790" i="20" l="1"/>
  <c r="G789" i="20"/>
  <c r="H789" i="20" s="1"/>
  <c r="E792" i="20"/>
  <c r="F791" i="20" l="1"/>
  <c r="G790" i="20"/>
  <c r="H790" i="20" s="1"/>
  <c r="E793" i="20"/>
  <c r="F792" i="20" l="1"/>
  <c r="G791" i="20"/>
  <c r="H791" i="20" s="1"/>
  <c r="E794" i="20"/>
  <c r="F793" i="20" l="1"/>
  <c r="G792" i="20"/>
  <c r="H792" i="20" s="1"/>
  <c r="E795" i="20"/>
  <c r="F794" i="20" l="1"/>
  <c r="G793" i="20"/>
  <c r="H793" i="20" s="1"/>
  <c r="E796" i="20"/>
  <c r="F795" i="20" l="1"/>
  <c r="G794" i="20"/>
  <c r="H794" i="20" s="1"/>
  <c r="E797" i="20"/>
  <c r="F796" i="20" l="1"/>
  <c r="G795" i="20"/>
  <c r="H795" i="20" s="1"/>
  <c r="E798" i="20"/>
  <c r="F797" i="20" l="1"/>
  <c r="G796" i="20"/>
  <c r="H796" i="20" s="1"/>
  <c r="E799" i="20"/>
  <c r="F798" i="20" l="1"/>
  <c r="G797" i="20"/>
  <c r="H797" i="20" s="1"/>
  <c r="E800" i="20"/>
  <c r="F799" i="20" l="1"/>
  <c r="G798" i="20"/>
  <c r="H798" i="20" s="1"/>
  <c r="E801" i="20"/>
  <c r="F800" i="20" l="1"/>
  <c r="G799" i="20"/>
  <c r="H799" i="20" s="1"/>
  <c r="E802" i="20"/>
  <c r="F801" i="20" l="1"/>
  <c r="G800" i="20"/>
  <c r="H800" i="20" s="1"/>
  <c r="E803" i="20"/>
  <c r="F802" i="20" l="1"/>
  <c r="G801" i="20"/>
  <c r="H801" i="20" s="1"/>
  <c r="E804" i="20"/>
  <c r="F803" i="20" l="1"/>
  <c r="G802" i="20"/>
  <c r="H802" i="20" s="1"/>
  <c r="E805" i="20"/>
  <c r="F804" i="20" l="1"/>
  <c r="G803" i="20"/>
  <c r="H803" i="20" s="1"/>
  <c r="E806" i="20"/>
  <c r="G804" i="20" l="1"/>
  <c r="H804" i="20" s="1"/>
  <c r="F805" i="20"/>
  <c r="E807" i="20"/>
  <c r="F806" i="20" l="1"/>
  <c r="G805" i="20"/>
  <c r="H805" i="20" s="1"/>
  <c r="E808" i="20"/>
  <c r="G806" i="20" l="1"/>
  <c r="H806" i="20" s="1"/>
  <c r="F807" i="20"/>
  <c r="E809" i="20"/>
  <c r="F808" i="20" l="1"/>
  <c r="G807" i="20"/>
  <c r="H807" i="20" s="1"/>
  <c r="E810" i="20"/>
  <c r="F809" i="20" l="1"/>
  <c r="G808" i="20"/>
  <c r="H808" i="20" s="1"/>
  <c r="E811" i="20"/>
  <c r="F810" i="20" l="1"/>
  <c r="G809" i="20"/>
  <c r="H809" i="20" s="1"/>
  <c r="E812" i="20"/>
  <c r="F811" i="20" l="1"/>
  <c r="G810" i="20"/>
  <c r="H810" i="20" s="1"/>
  <c r="E813" i="20"/>
  <c r="F812" i="20" l="1"/>
  <c r="G811" i="20"/>
  <c r="H811" i="20" s="1"/>
  <c r="E814" i="20"/>
  <c r="F813" i="20" l="1"/>
  <c r="G812" i="20"/>
  <c r="H812" i="20" s="1"/>
  <c r="E815" i="20"/>
  <c r="F814" i="20" l="1"/>
  <c r="G813" i="20"/>
  <c r="H813" i="20" s="1"/>
  <c r="E816" i="20"/>
  <c r="F815" i="20" l="1"/>
  <c r="G814" i="20"/>
  <c r="H814" i="20" s="1"/>
  <c r="E817" i="20"/>
  <c r="F816" i="20" l="1"/>
  <c r="G815" i="20"/>
  <c r="H815" i="20" s="1"/>
  <c r="E818" i="20"/>
  <c r="F817" i="20" l="1"/>
  <c r="G816" i="20"/>
  <c r="H816" i="20" s="1"/>
  <c r="E819" i="20"/>
  <c r="F818" i="20" l="1"/>
  <c r="G817" i="20"/>
  <c r="H817" i="20" s="1"/>
  <c r="E820" i="20"/>
  <c r="F819" i="20" l="1"/>
  <c r="G818" i="20"/>
  <c r="H818" i="20" s="1"/>
  <c r="E821" i="20"/>
  <c r="F820" i="20" l="1"/>
  <c r="G819" i="20"/>
  <c r="H819" i="20" s="1"/>
  <c r="E822" i="20"/>
  <c r="G820" i="20" l="1"/>
  <c r="H820" i="20" s="1"/>
  <c r="F821" i="20"/>
  <c r="E823" i="20"/>
  <c r="F822" i="20" l="1"/>
  <c r="G821" i="20"/>
  <c r="H821" i="20" s="1"/>
  <c r="E824" i="20"/>
  <c r="G822" i="20" l="1"/>
  <c r="H822" i="20" s="1"/>
  <c r="F823" i="20"/>
  <c r="E825" i="20"/>
  <c r="F824" i="20" l="1"/>
  <c r="G823" i="20"/>
  <c r="H823" i="20" s="1"/>
  <c r="E826" i="20"/>
  <c r="F825" i="20" l="1"/>
  <c r="G824" i="20"/>
  <c r="H824" i="20" s="1"/>
  <c r="E827" i="20"/>
  <c r="F826" i="20" l="1"/>
  <c r="G825" i="20"/>
  <c r="H825" i="20" s="1"/>
  <c r="E828" i="20"/>
  <c r="F827" i="20" l="1"/>
  <c r="G826" i="20"/>
  <c r="H826" i="20" s="1"/>
  <c r="E829" i="20"/>
  <c r="F828" i="20" l="1"/>
  <c r="G827" i="20"/>
  <c r="H827" i="20" s="1"/>
  <c r="E830" i="20"/>
  <c r="F829" i="20" l="1"/>
  <c r="G828" i="20"/>
  <c r="H828" i="20" s="1"/>
  <c r="E831" i="20"/>
  <c r="F830" i="20" l="1"/>
  <c r="G829" i="20"/>
  <c r="H829" i="20" s="1"/>
  <c r="E832" i="20"/>
  <c r="F831" i="20" l="1"/>
  <c r="G830" i="20"/>
  <c r="H830" i="20" s="1"/>
  <c r="E833" i="20"/>
  <c r="F832" i="20" l="1"/>
  <c r="G831" i="20"/>
  <c r="H831" i="20" s="1"/>
  <c r="E834" i="20"/>
  <c r="F833" i="20" l="1"/>
  <c r="G832" i="20"/>
  <c r="H832" i="20" s="1"/>
  <c r="E835" i="20"/>
  <c r="F834" i="20" l="1"/>
  <c r="G833" i="20"/>
  <c r="H833" i="20" s="1"/>
  <c r="E836" i="20"/>
  <c r="F835" i="20" l="1"/>
  <c r="G834" i="20"/>
  <c r="H834" i="20" s="1"/>
  <c r="E837" i="20"/>
  <c r="F836" i="20" l="1"/>
  <c r="G835" i="20"/>
  <c r="H835" i="20" s="1"/>
  <c r="E838" i="20"/>
  <c r="F837" i="20" l="1"/>
  <c r="G836" i="20"/>
  <c r="H836" i="20" s="1"/>
  <c r="E839" i="20"/>
  <c r="F838" i="20" l="1"/>
  <c r="G837" i="20"/>
  <c r="H837" i="20" s="1"/>
  <c r="E840" i="20"/>
  <c r="F839" i="20" l="1"/>
  <c r="G838" i="20"/>
  <c r="H838" i="20" s="1"/>
  <c r="E841" i="20"/>
  <c r="F840" i="20" l="1"/>
  <c r="G839" i="20"/>
  <c r="H839" i="20" s="1"/>
  <c r="E842" i="20"/>
  <c r="F841" i="20" l="1"/>
  <c r="G840" i="20"/>
  <c r="H840" i="20" s="1"/>
  <c r="E843" i="20"/>
  <c r="G841" i="20" l="1"/>
  <c r="H841" i="20" s="1"/>
  <c r="F842" i="20"/>
  <c r="E844" i="20"/>
  <c r="F843" i="20" l="1"/>
  <c r="G842" i="20"/>
  <c r="H842" i="20" s="1"/>
  <c r="E845" i="20"/>
  <c r="G843" i="20" l="1"/>
  <c r="H843" i="20" s="1"/>
  <c r="F844" i="20"/>
  <c r="E846" i="20"/>
  <c r="F845" i="20" l="1"/>
  <c r="G844" i="20"/>
  <c r="H844" i="20" s="1"/>
  <c r="E847" i="20"/>
  <c r="F846" i="20" l="1"/>
  <c r="G845" i="20"/>
  <c r="H845" i="20" s="1"/>
  <c r="E848" i="20"/>
  <c r="G846" i="20" l="1"/>
  <c r="H846" i="20" s="1"/>
  <c r="F847" i="20"/>
  <c r="E849" i="20"/>
  <c r="F848" i="20" l="1"/>
  <c r="G847" i="20"/>
  <c r="H847" i="20" s="1"/>
  <c r="E850" i="20"/>
  <c r="F849" i="20" l="1"/>
  <c r="G848" i="20"/>
  <c r="H848" i="20" s="1"/>
  <c r="E851" i="20"/>
  <c r="F850" i="20" l="1"/>
  <c r="G849" i="20"/>
  <c r="H849" i="20" s="1"/>
  <c r="E852" i="20"/>
  <c r="F851" i="20" l="1"/>
  <c r="G850" i="20"/>
  <c r="H850" i="20" s="1"/>
  <c r="E853" i="20"/>
  <c r="F852" i="20" l="1"/>
  <c r="G851" i="20"/>
  <c r="H851" i="20" s="1"/>
  <c r="E854" i="20"/>
  <c r="F853" i="20" l="1"/>
  <c r="G852" i="20"/>
  <c r="H852" i="20" s="1"/>
  <c r="E855" i="20"/>
  <c r="F854" i="20" l="1"/>
  <c r="G853" i="20"/>
  <c r="H853" i="20" s="1"/>
  <c r="E856" i="20"/>
  <c r="F855" i="20" l="1"/>
  <c r="G854" i="20"/>
  <c r="H854" i="20" s="1"/>
  <c r="E857" i="20"/>
  <c r="F856" i="20" l="1"/>
  <c r="G855" i="20"/>
  <c r="H855" i="20" s="1"/>
  <c r="E858" i="20"/>
  <c r="F857" i="20" l="1"/>
  <c r="G856" i="20"/>
  <c r="H856" i="20" s="1"/>
  <c r="E859" i="20"/>
  <c r="F858" i="20" l="1"/>
  <c r="G857" i="20"/>
  <c r="H857" i="20" s="1"/>
  <c r="E860" i="20"/>
  <c r="F859" i="20" l="1"/>
  <c r="G858" i="20"/>
  <c r="H858" i="20" s="1"/>
  <c r="E861" i="20"/>
  <c r="F860" i="20" l="1"/>
  <c r="G859" i="20"/>
  <c r="H859" i="20" s="1"/>
  <c r="E862" i="20"/>
  <c r="F861" i="20" l="1"/>
  <c r="G860" i="20"/>
  <c r="H860" i="20" s="1"/>
  <c r="E863" i="20"/>
  <c r="F862" i="20" l="1"/>
  <c r="G861" i="20"/>
  <c r="H861" i="20" s="1"/>
  <c r="E864" i="20"/>
  <c r="F863" i="20" l="1"/>
  <c r="G862" i="20"/>
  <c r="H862" i="20" s="1"/>
  <c r="E865" i="20"/>
  <c r="F864" i="20" l="1"/>
  <c r="G863" i="20"/>
  <c r="H863" i="20" s="1"/>
  <c r="E866" i="20"/>
  <c r="F865" i="20" l="1"/>
  <c r="G864" i="20"/>
  <c r="H864" i="20" s="1"/>
  <c r="E867" i="20"/>
  <c r="F866" i="20" l="1"/>
  <c r="G865" i="20"/>
  <c r="H865" i="20" s="1"/>
  <c r="E868" i="20"/>
  <c r="F867" i="20" l="1"/>
  <c r="G866" i="20"/>
  <c r="H866" i="20" s="1"/>
  <c r="E869" i="20"/>
  <c r="F868" i="20" l="1"/>
  <c r="G867" i="20"/>
  <c r="H867" i="20" s="1"/>
  <c r="E870" i="20"/>
  <c r="F869" i="20" l="1"/>
  <c r="G868" i="20"/>
  <c r="H868" i="20" s="1"/>
  <c r="E871" i="20"/>
  <c r="G869" i="20" l="1"/>
  <c r="H869" i="20" s="1"/>
  <c r="F870" i="20"/>
  <c r="E872" i="20"/>
  <c r="F871" i="20" l="1"/>
  <c r="G870" i="20"/>
  <c r="H870" i="20" s="1"/>
  <c r="E873" i="20"/>
  <c r="G871" i="20" l="1"/>
  <c r="H871" i="20" s="1"/>
  <c r="F872" i="20"/>
  <c r="E874" i="20"/>
  <c r="F873" i="20" l="1"/>
  <c r="G872" i="20"/>
  <c r="H872" i="20" s="1"/>
  <c r="E875" i="20"/>
  <c r="G873" i="20" l="1"/>
  <c r="H873" i="20" s="1"/>
  <c r="F874" i="20"/>
  <c r="E876" i="20"/>
  <c r="F875" i="20" l="1"/>
  <c r="G874" i="20"/>
  <c r="H874" i="20" s="1"/>
  <c r="E877" i="20"/>
  <c r="G875" i="20" l="1"/>
  <c r="H875" i="20" s="1"/>
  <c r="F876" i="20"/>
  <c r="E878" i="20"/>
  <c r="F877" i="20" l="1"/>
  <c r="G876" i="20"/>
  <c r="H876" i="20" s="1"/>
  <c r="E879" i="20"/>
  <c r="F878" i="20" l="1"/>
  <c r="G877" i="20"/>
  <c r="H877" i="20" s="1"/>
  <c r="E880" i="20"/>
  <c r="F879" i="20" l="1"/>
  <c r="G878" i="20"/>
  <c r="H878" i="20" s="1"/>
  <c r="E881" i="20"/>
  <c r="G879" i="20" l="1"/>
  <c r="H879" i="20" s="1"/>
  <c r="F880" i="20"/>
  <c r="E882" i="20"/>
  <c r="F881" i="20" l="1"/>
  <c r="G880" i="20"/>
  <c r="H880" i="20" s="1"/>
  <c r="E883" i="20"/>
  <c r="F882" i="20" l="1"/>
  <c r="G881" i="20"/>
  <c r="H881" i="20" s="1"/>
  <c r="E884" i="20"/>
  <c r="F883" i="20" l="1"/>
  <c r="H882" i="20"/>
  <c r="G882" i="20"/>
  <c r="E885" i="20"/>
  <c r="H883" i="20" l="1"/>
  <c r="F884" i="20"/>
  <c r="G883" i="20"/>
  <c r="E886" i="20"/>
  <c r="G884" i="20" l="1"/>
  <c r="F885" i="20"/>
  <c r="H884" i="20"/>
  <c r="E887" i="20"/>
  <c r="H885" i="20" l="1"/>
  <c r="G885" i="20"/>
  <c r="F886" i="20"/>
  <c r="E888" i="20"/>
  <c r="F887" i="20" l="1"/>
  <c r="H886" i="20"/>
  <c r="G886" i="20"/>
  <c r="E889" i="20"/>
  <c r="H887" i="20" l="1"/>
  <c r="G887" i="20"/>
  <c r="F888" i="20"/>
  <c r="E890" i="20"/>
  <c r="G888" i="20" l="1"/>
  <c r="H888" i="20"/>
  <c r="F889" i="20"/>
  <c r="E891" i="20"/>
  <c r="H889" i="20" l="1"/>
  <c r="F890" i="20"/>
  <c r="G889" i="20"/>
  <c r="E892" i="20"/>
  <c r="H890" i="20" l="1"/>
  <c r="G890" i="20"/>
  <c r="F891" i="20"/>
  <c r="E893" i="20"/>
  <c r="H891" i="20" l="1"/>
  <c r="F892" i="20"/>
  <c r="G891" i="20"/>
  <c r="E894" i="20"/>
  <c r="F893" i="20" l="1"/>
  <c r="H892" i="20"/>
  <c r="G892" i="20"/>
  <c r="E895" i="20"/>
  <c r="H893" i="20" l="1"/>
  <c r="F894" i="20"/>
  <c r="G893" i="20"/>
  <c r="E896" i="20"/>
  <c r="G894" i="20" l="1"/>
  <c r="H894" i="20"/>
  <c r="F895" i="20"/>
  <c r="E897" i="20"/>
  <c r="H895" i="20" l="1"/>
  <c r="F896" i="20"/>
  <c r="G895" i="20"/>
  <c r="E898" i="20"/>
  <c r="G896" i="20" l="1"/>
  <c r="H896" i="20"/>
  <c r="F897" i="20"/>
  <c r="E899" i="20"/>
  <c r="H897" i="20" l="1"/>
  <c r="G897" i="20"/>
  <c r="F898" i="20"/>
  <c r="E900" i="20"/>
  <c r="G898" i="20" l="1"/>
  <c r="F899" i="20"/>
  <c r="H898" i="20"/>
  <c r="E901" i="20"/>
  <c r="H899" i="20" l="1"/>
  <c r="F900" i="20"/>
  <c r="G899" i="20"/>
  <c r="E902" i="20"/>
  <c r="F901" i="20" l="1"/>
  <c r="H900" i="20"/>
  <c r="G900" i="20"/>
  <c r="E903" i="20"/>
  <c r="H901" i="20" l="1"/>
  <c r="F902" i="20"/>
  <c r="G901" i="20"/>
  <c r="E904" i="20"/>
  <c r="G902" i="20" l="1"/>
  <c r="H902" i="20"/>
  <c r="F903" i="20"/>
  <c r="E905" i="20"/>
  <c r="H903" i="20" l="1"/>
  <c r="G903" i="20"/>
  <c r="F904" i="20"/>
  <c r="E906" i="20"/>
  <c r="F905" i="20" l="1"/>
  <c r="H904" i="20"/>
  <c r="G904" i="20"/>
  <c r="E907" i="20"/>
  <c r="F906" i="20" l="1"/>
  <c r="G905" i="20"/>
  <c r="H905" i="20"/>
  <c r="E908" i="20"/>
  <c r="H906" i="20" l="1"/>
  <c r="G906" i="20"/>
  <c r="F907" i="20"/>
  <c r="E909" i="20"/>
  <c r="G907" i="20" l="1"/>
  <c r="H907" i="20"/>
  <c r="F908" i="20"/>
  <c r="E910" i="20"/>
  <c r="H908" i="20" l="1"/>
  <c r="G908" i="20"/>
  <c r="F909" i="20"/>
  <c r="E911" i="20"/>
  <c r="G909" i="20" l="1"/>
  <c r="H909" i="20"/>
  <c r="F910" i="20"/>
  <c r="E912" i="20"/>
  <c r="F911" i="20" l="1"/>
  <c r="H910" i="20"/>
  <c r="G910" i="20"/>
  <c r="E913" i="20"/>
  <c r="H911" i="20" l="1"/>
  <c r="G911" i="20"/>
  <c r="F912" i="20"/>
  <c r="E914" i="20"/>
  <c r="G912" i="20" l="1"/>
  <c r="F913" i="20"/>
  <c r="H912" i="20"/>
  <c r="E915" i="20"/>
  <c r="H913" i="20" l="1"/>
  <c r="G913" i="20"/>
  <c r="F914" i="20"/>
  <c r="E916" i="20"/>
  <c r="F915" i="20" l="1"/>
  <c r="H914" i="20"/>
  <c r="G914" i="20"/>
  <c r="E917" i="20"/>
  <c r="H915" i="20" l="1"/>
  <c r="G915" i="20"/>
  <c r="F916" i="20"/>
  <c r="E918" i="20"/>
  <c r="F917" i="20" l="1"/>
  <c r="H916" i="20"/>
  <c r="G916" i="20"/>
  <c r="E919" i="20"/>
  <c r="H917" i="20" l="1"/>
  <c r="F918" i="20"/>
  <c r="G917" i="20"/>
  <c r="E920" i="20"/>
  <c r="G918" i="20" l="1"/>
  <c r="H918" i="20"/>
  <c r="F919" i="20"/>
  <c r="E921" i="20"/>
  <c r="H919" i="20" l="1"/>
  <c r="F920" i="20"/>
  <c r="G919" i="20"/>
  <c r="E922" i="20"/>
  <c r="G920" i="20" l="1"/>
  <c r="H920" i="20"/>
  <c r="F921" i="20"/>
  <c r="E923" i="20"/>
  <c r="H921" i="20" l="1"/>
  <c r="G921" i="20"/>
  <c r="F922" i="20"/>
  <c r="E924" i="20"/>
  <c r="G922" i="20" l="1"/>
  <c r="F923" i="20"/>
  <c r="H922" i="20"/>
  <c r="E925" i="20"/>
  <c r="H923" i="20" l="1"/>
  <c r="G923" i="20"/>
  <c r="F924" i="20"/>
  <c r="E926" i="20"/>
  <c r="G924" i="20" l="1"/>
  <c r="F925" i="20"/>
  <c r="H924" i="20"/>
  <c r="E927" i="20"/>
  <c r="F926" i="20" l="1"/>
  <c r="G925" i="20"/>
  <c r="H925" i="20"/>
  <c r="E928" i="20"/>
  <c r="H926" i="20" l="1"/>
  <c r="G926" i="20"/>
  <c r="F927" i="20"/>
  <c r="E929" i="20"/>
  <c r="F928" i="20" l="1"/>
  <c r="G927" i="20"/>
  <c r="H927" i="20"/>
  <c r="E930" i="20"/>
  <c r="H928" i="20" l="1"/>
  <c r="G928" i="20"/>
  <c r="F929" i="20"/>
  <c r="E931" i="20"/>
  <c r="H929" i="20" l="1"/>
  <c r="F930" i="20"/>
  <c r="G929" i="20"/>
  <c r="E932" i="20"/>
  <c r="G930" i="20" l="1"/>
  <c r="H930" i="20"/>
  <c r="F931" i="20"/>
  <c r="E933" i="20"/>
  <c r="H931" i="20" l="1"/>
  <c r="F932" i="20"/>
  <c r="G931" i="20"/>
  <c r="E934" i="20"/>
  <c r="G932" i="20" l="1"/>
  <c r="F933" i="20"/>
  <c r="H932" i="20"/>
  <c r="E935" i="20"/>
  <c r="H933" i="20" l="1"/>
  <c r="F934" i="20"/>
  <c r="G933" i="20"/>
  <c r="E936" i="20"/>
  <c r="G934" i="20" l="1"/>
  <c r="F935" i="20"/>
  <c r="H934" i="20"/>
  <c r="E937" i="20"/>
  <c r="H935" i="20" l="1"/>
  <c r="G935" i="20"/>
  <c r="F936" i="20"/>
  <c r="E938" i="20"/>
  <c r="F937" i="20" l="1"/>
  <c r="H936" i="20"/>
  <c r="G936" i="20"/>
  <c r="E939" i="20"/>
  <c r="H937" i="20" l="1"/>
  <c r="G937" i="20"/>
  <c r="F938" i="20"/>
  <c r="E940" i="20"/>
  <c r="G938" i="20" l="1"/>
  <c r="H938" i="20"/>
  <c r="F939" i="20"/>
  <c r="E941" i="20"/>
  <c r="H939" i="20" l="1"/>
  <c r="G939" i="20"/>
  <c r="F940" i="20"/>
  <c r="E942" i="20"/>
  <c r="F941" i="20" l="1"/>
  <c r="H940" i="20"/>
  <c r="G940" i="20"/>
  <c r="E943" i="20"/>
  <c r="H941" i="20" l="1"/>
  <c r="G941" i="20"/>
  <c r="F942" i="20"/>
  <c r="E944" i="20"/>
  <c r="G942" i="20" l="1"/>
  <c r="H942" i="20"/>
  <c r="F943" i="20"/>
  <c r="E945" i="20"/>
  <c r="H943" i="20" l="1"/>
  <c r="G943" i="20"/>
  <c r="F944" i="20"/>
  <c r="E946" i="20"/>
  <c r="F945" i="20" l="1"/>
  <c r="H944" i="20"/>
  <c r="G944" i="20"/>
  <c r="E947" i="20"/>
  <c r="H945" i="20" l="1"/>
  <c r="G945" i="20"/>
  <c r="F946" i="20"/>
  <c r="E948" i="20"/>
  <c r="G946" i="20" l="1"/>
  <c r="H946" i="20"/>
  <c r="F947" i="20"/>
  <c r="E949" i="20"/>
  <c r="H947" i="20" l="1"/>
  <c r="F948" i="20"/>
  <c r="G947" i="20"/>
  <c r="E950" i="20"/>
  <c r="G948" i="20" l="1"/>
  <c r="H948" i="20"/>
  <c r="F949" i="20"/>
  <c r="E951" i="20"/>
  <c r="H949" i="20" l="1"/>
  <c r="G949" i="20"/>
  <c r="F950" i="20"/>
  <c r="E952" i="20"/>
  <c r="H950" i="20" l="1"/>
  <c r="G950" i="20"/>
  <c r="F951" i="20"/>
  <c r="E953" i="20"/>
  <c r="H951" i="20" l="1"/>
  <c r="F952" i="20"/>
  <c r="G951" i="20"/>
  <c r="E954" i="20"/>
  <c r="G952" i="20" l="1"/>
  <c r="H952" i="20"/>
  <c r="F953" i="20"/>
  <c r="E955" i="20"/>
  <c r="H953" i="20" l="1"/>
  <c r="G953" i="20"/>
  <c r="F954" i="20"/>
  <c r="E956" i="20"/>
  <c r="G954" i="20" l="1"/>
  <c r="F955" i="20"/>
  <c r="H954" i="20"/>
  <c r="E957" i="20"/>
  <c r="H955" i="20" l="1"/>
  <c r="F956" i="20"/>
  <c r="G955" i="20"/>
  <c r="E958" i="20"/>
  <c r="H956" i="20" l="1"/>
  <c r="G956" i="20"/>
  <c r="F957" i="20"/>
  <c r="E959" i="20"/>
  <c r="G957" i="20" l="1"/>
  <c r="F958" i="20"/>
  <c r="H957" i="20"/>
  <c r="E960" i="20"/>
  <c r="G958" i="20" l="1"/>
  <c r="F959" i="20"/>
  <c r="H958" i="20"/>
  <c r="E961" i="20"/>
  <c r="F960" i="20" l="1"/>
  <c r="G959" i="20"/>
  <c r="H959" i="20"/>
  <c r="E962" i="20"/>
  <c r="F961" i="20" l="1"/>
  <c r="H960" i="20"/>
  <c r="G960" i="20"/>
  <c r="E963" i="20"/>
  <c r="G961" i="20" l="1"/>
  <c r="H961" i="20"/>
  <c r="F962" i="20"/>
  <c r="E964" i="20"/>
  <c r="H962" i="20" l="1"/>
  <c r="G962" i="20"/>
  <c r="F963" i="20"/>
  <c r="E965" i="20"/>
  <c r="F964" i="20" l="1"/>
  <c r="G963" i="20"/>
  <c r="H963" i="20"/>
  <c r="E966" i="20"/>
  <c r="G964" i="20" l="1"/>
  <c r="F965" i="20"/>
  <c r="H964" i="20"/>
  <c r="E967" i="20"/>
  <c r="H965" i="20" l="1"/>
  <c r="G965" i="20"/>
  <c r="F966" i="20"/>
  <c r="E968" i="20"/>
  <c r="G966" i="20" l="1"/>
  <c r="F967" i="20"/>
  <c r="H966" i="20"/>
  <c r="E969" i="20"/>
  <c r="H967" i="20" l="1"/>
  <c r="G967" i="20"/>
  <c r="F968" i="20"/>
  <c r="E970" i="20"/>
  <c r="G968" i="20" l="1"/>
  <c r="F969" i="20"/>
  <c r="H968" i="20"/>
  <c r="E971" i="20"/>
  <c r="H969" i="20" l="1"/>
  <c r="G969" i="20"/>
  <c r="F970" i="20"/>
  <c r="E972" i="20"/>
  <c r="F971" i="20" l="1"/>
  <c r="H970" i="20"/>
  <c r="G970" i="20"/>
  <c r="E973" i="20"/>
  <c r="H971" i="20" l="1"/>
  <c r="G971" i="20"/>
  <c r="F972" i="20"/>
  <c r="E974" i="20"/>
  <c r="H972" i="20" l="1"/>
  <c r="F973" i="20"/>
  <c r="G972" i="20"/>
  <c r="E975" i="20"/>
  <c r="G973" i="20" l="1"/>
  <c r="F974" i="20"/>
  <c r="H973" i="20"/>
  <c r="E976" i="20"/>
  <c r="G974" i="20" l="1"/>
  <c r="F975" i="20"/>
  <c r="H974" i="20"/>
  <c r="E977" i="20"/>
  <c r="H975" i="20" l="1"/>
  <c r="F976" i="20"/>
  <c r="G975" i="20"/>
  <c r="E978" i="20"/>
  <c r="G976" i="20" l="1"/>
  <c r="F977" i="20"/>
  <c r="H976" i="20"/>
  <c r="E979" i="20"/>
  <c r="G977" i="20" l="1"/>
  <c r="F978" i="20"/>
  <c r="H977" i="20"/>
  <c r="E980" i="20"/>
  <c r="G978" i="20" l="1"/>
  <c r="F979" i="20"/>
  <c r="H978" i="20"/>
  <c r="E981" i="20"/>
  <c r="H979" i="20" l="1"/>
  <c r="F980" i="20"/>
  <c r="G979" i="20"/>
  <c r="E982" i="20"/>
  <c r="G980" i="20" l="1"/>
  <c r="F981" i="20"/>
  <c r="H980" i="20"/>
  <c r="E983" i="20"/>
  <c r="H981" i="20" l="1"/>
  <c r="F982" i="20"/>
  <c r="G981" i="20"/>
  <c r="E984" i="20"/>
  <c r="G982" i="20" l="1"/>
  <c r="F983" i="20"/>
  <c r="H982" i="20"/>
  <c r="E985" i="20"/>
  <c r="H983" i="20" l="1"/>
  <c r="F984" i="20"/>
  <c r="G983" i="20"/>
  <c r="E986" i="20"/>
  <c r="G984" i="20" l="1"/>
  <c r="F985" i="20"/>
  <c r="H984" i="20"/>
  <c r="E987" i="20"/>
  <c r="G985" i="20" l="1"/>
  <c r="F986" i="20"/>
  <c r="H985" i="20"/>
  <c r="E988" i="20"/>
  <c r="G986" i="20" l="1"/>
  <c r="F987" i="20"/>
  <c r="H986" i="20"/>
  <c r="E989" i="20"/>
  <c r="H987" i="20" l="1"/>
  <c r="F988" i="20"/>
  <c r="G987" i="20"/>
  <c r="E990" i="20"/>
  <c r="H988" i="20" l="1"/>
  <c r="F989" i="20"/>
  <c r="G988" i="20"/>
  <c r="E991" i="20"/>
  <c r="G989" i="20" l="1"/>
  <c r="F990" i="20"/>
  <c r="H989" i="20"/>
  <c r="E992" i="20"/>
  <c r="G990" i="20" l="1"/>
  <c r="F991" i="20"/>
  <c r="H990" i="20"/>
  <c r="E993" i="20"/>
  <c r="H991" i="20" l="1"/>
  <c r="F992" i="20"/>
  <c r="G991" i="20"/>
  <c r="E994" i="20"/>
  <c r="G992" i="20" l="1"/>
  <c r="F993" i="20"/>
  <c r="H992" i="20"/>
  <c r="E995" i="20"/>
  <c r="G993" i="20" l="1"/>
  <c r="F994" i="20"/>
  <c r="H993" i="20"/>
  <c r="E996" i="20"/>
  <c r="G994" i="20" l="1"/>
  <c r="F995" i="20"/>
  <c r="H994" i="20"/>
  <c r="E997" i="20"/>
  <c r="H995" i="20" l="1"/>
  <c r="F996" i="20"/>
  <c r="G995" i="20"/>
  <c r="E998" i="20"/>
  <c r="G996" i="20" l="1"/>
  <c r="F997" i="20"/>
  <c r="H996" i="20"/>
  <c r="E999" i="20"/>
  <c r="H997" i="20" l="1"/>
  <c r="F998" i="20"/>
  <c r="G997" i="20"/>
  <c r="E1000" i="20"/>
  <c r="G998" i="20" l="1"/>
  <c r="F999" i="20"/>
  <c r="H998" i="20"/>
  <c r="E1001" i="20"/>
  <c r="H999" i="20" l="1"/>
  <c r="F1000" i="20"/>
  <c r="G999" i="20"/>
  <c r="E1002" i="20"/>
  <c r="G1000" i="20" l="1"/>
  <c r="F1001" i="20"/>
  <c r="H1000" i="20"/>
  <c r="E1003" i="20"/>
  <c r="G1001" i="20" l="1"/>
  <c r="F1002" i="20"/>
  <c r="H1001" i="20"/>
  <c r="E1004" i="20"/>
  <c r="G1002" i="20" l="1"/>
  <c r="F1003" i="20"/>
  <c r="H1002" i="20"/>
  <c r="E1005" i="20"/>
  <c r="H1003" i="20" l="1"/>
  <c r="F1004" i="20"/>
  <c r="G1003" i="20"/>
  <c r="E1006" i="20"/>
  <c r="H1004" i="20" l="1"/>
  <c r="F1005" i="20"/>
  <c r="G1004" i="20"/>
  <c r="E1007" i="20"/>
  <c r="G1005" i="20" l="1"/>
  <c r="F1006" i="20"/>
  <c r="H1005" i="20"/>
  <c r="E1008" i="20"/>
  <c r="G1006" i="20" l="1"/>
  <c r="F1007" i="20"/>
  <c r="H1006" i="20"/>
  <c r="E1009" i="20"/>
  <c r="H1007" i="20" l="1"/>
  <c r="F1008" i="20"/>
  <c r="G1007" i="20"/>
  <c r="E1010" i="20"/>
  <c r="G1008" i="20" l="1"/>
  <c r="F1009" i="20"/>
  <c r="H1008" i="20"/>
  <c r="E1011" i="20"/>
  <c r="G1009" i="20" l="1"/>
  <c r="F1010" i="20"/>
  <c r="H1009" i="20"/>
  <c r="E1012" i="20"/>
  <c r="G1010" i="20" l="1"/>
  <c r="F1011" i="20"/>
  <c r="H1010" i="20"/>
  <c r="E1013" i="20"/>
  <c r="H1011" i="20" l="1"/>
  <c r="F1012" i="20"/>
  <c r="G1011" i="20"/>
  <c r="E1014" i="20"/>
  <c r="G1012" i="20" l="1"/>
  <c r="F1013" i="20"/>
  <c r="H1012" i="20"/>
  <c r="E1015" i="20"/>
  <c r="G1013" i="20" l="1"/>
  <c r="F1014" i="20"/>
  <c r="H1013" i="20"/>
  <c r="E1016" i="20"/>
  <c r="G1014" i="20" l="1"/>
  <c r="F1015" i="20"/>
  <c r="H1014" i="20"/>
  <c r="E1017" i="20"/>
  <c r="H1015" i="20" l="1"/>
  <c r="F1016" i="20"/>
  <c r="G1015" i="20"/>
  <c r="E1018" i="20"/>
  <c r="G1016" i="20" l="1"/>
  <c r="F1017" i="20"/>
  <c r="H1016" i="20"/>
  <c r="E1019" i="20"/>
  <c r="G1017" i="20" l="1"/>
  <c r="F1018" i="20"/>
  <c r="H1017" i="20"/>
  <c r="E1020" i="20"/>
  <c r="G1018" i="20" l="1"/>
  <c r="F1019" i="20"/>
  <c r="H1018" i="20"/>
  <c r="E1021" i="20"/>
  <c r="H1019" i="20" l="1"/>
  <c r="F1020" i="20"/>
  <c r="G1019" i="20"/>
  <c r="E1022" i="20"/>
  <c r="G1020" i="20" l="1"/>
  <c r="F1021" i="20"/>
  <c r="H1020" i="20"/>
  <c r="E1023" i="20"/>
  <c r="G1021" i="20" l="1"/>
  <c r="F1022" i="20"/>
  <c r="H1021" i="20"/>
  <c r="E1024" i="20"/>
  <c r="G1022" i="20" l="1"/>
  <c r="H1022" i="20"/>
  <c r="F1023" i="20"/>
  <c r="E1025" i="20"/>
  <c r="H1023" i="20" l="1"/>
  <c r="F1024" i="20"/>
  <c r="G1023" i="20"/>
  <c r="E1026" i="20"/>
  <c r="F1025" i="20" l="1"/>
  <c r="H1024" i="20"/>
  <c r="G1024" i="20"/>
  <c r="E1027" i="20"/>
  <c r="H1025" i="20" l="1"/>
  <c r="G1025" i="20"/>
  <c r="F1026" i="20"/>
  <c r="E1028" i="20"/>
  <c r="H1026" i="20" l="1"/>
  <c r="G1026" i="20"/>
  <c r="F1027" i="20"/>
  <c r="E1029" i="20"/>
  <c r="F1028" i="20" l="1"/>
  <c r="G1027" i="20"/>
  <c r="H1027" i="20"/>
  <c r="E1030" i="20"/>
  <c r="H1028" i="20" l="1"/>
  <c r="G1028" i="20"/>
  <c r="F1029" i="20"/>
  <c r="E1031" i="20"/>
  <c r="H1029" i="20" l="1"/>
  <c r="G1029" i="20"/>
  <c r="F1030" i="20"/>
  <c r="E1032" i="20"/>
  <c r="H1030" i="20" l="1"/>
  <c r="G1030" i="20"/>
  <c r="F1031" i="20"/>
  <c r="E1033" i="20"/>
  <c r="G1031" i="20" l="1"/>
  <c r="H1031" i="20"/>
  <c r="F1032" i="20"/>
  <c r="E1034" i="20"/>
  <c r="F1033" i="20" l="1"/>
  <c r="H1032" i="20"/>
  <c r="G1032" i="20"/>
  <c r="E1035" i="20"/>
  <c r="G1033" i="20" l="1"/>
  <c r="F1034" i="20"/>
  <c r="H1033" i="20"/>
  <c r="E1036" i="20"/>
  <c r="G1034" i="20" l="1"/>
  <c r="H1034" i="20"/>
  <c r="F1035" i="20"/>
  <c r="E1037" i="20"/>
  <c r="F1036" i="20" l="1"/>
  <c r="G1035" i="20"/>
  <c r="H1035" i="20"/>
  <c r="E1038" i="20"/>
  <c r="G1036" i="20" l="1"/>
  <c r="F1037" i="20"/>
  <c r="H1036" i="20"/>
  <c r="E1039" i="20"/>
  <c r="F1038" i="20" l="1"/>
  <c r="H1037" i="20"/>
  <c r="G1037" i="20"/>
  <c r="E1040" i="20"/>
  <c r="H1038" i="20" l="1"/>
  <c r="G1038" i="20"/>
  <c r="F1039" i="20"/>
  <c r="E1041" i="20"/>
  <c r="G1039" i="20" l="1"/>
  <c r="H1039" i="20"/>
  <c r="F1040" i="20"/>
  <c r="E1042" i="20"/>
  <c r="H1040" i="20" l="1"/>
  <c r="G1040" i="20"/>
  <c r="F1041" i="20"/>
  <c r="E1043" i="20"/>
  <c r="H1041" i="20" l="1"/>
  <c r="G1041" i="20"/>
  <c r="F1042" i="20"/>
  <c r="E1044" i="20"/>
  <c r="H1042" i="20" l="1"/>
  <c r="G1042" i="20"/>
  <c r="F1043" i="20"/>
  <c r="E1045" i="20"/>
  <c r="H1043" i="20" l="1"/>
  <c r="F1044" i="20"/>
  <c r="G1043" i="20"/>
  <c r="E1046" i="20"/>
  <c r="G1044" i="20" l="1"/>
  <c r="H1044" i="20"/>
  <c r="F1045" i="20"/>
  <c r="E1047" i="20"/>
  <c r="G1045" i="20" l="1"/>
  <c r="F1046" i="20"/>
  <c r="H1045" i="20"/>
  <c r="E1048" i="20"/>
  <c r="F1047" i="20" l="1"/>
  <c r="H1046" i="20"/>
  <c r="G1046" i="20"/>
  <c r="E1049" i="20"/>
  <c r="F1048" i="20" l="1"/>
  <c r="G1047" i="20"/>
  <c r="H1047" i="20"/>
  <c r="E1050" i="20"/>
  <c r="G1048" i="20" l="1"/>
  <c r="H1048" i="20"/>
  <c r="F1049" i="20"/>
  <c r="E1051" i="20"/>
  <c r="G1049" i="20" l="1"/>
  <c r="F1050" i="20"/>
  <c r="H1049" i="20"/>
  <c r="E1052" i="20"/>
  <c r="H1050" i="20" l="1"/>
  <c r="G1050" i="20"/>
  <c r="F1051" i="20"/>
  <c r="E1053" i="20"/>
  <c r="G1051" i="20" l="1"/>
  <c r="H1051" i="20"/>
  <c r="F1052" i="20"/>
  <c r="E1054" i="20"/>
  <c r="F1053" i="20" l="1"/>
  <c r="H1052" i="20"/>
  <c r="G1052" i="20"/>
  <c r="E1055" i="20"/>
  <c r="F1054" i="20" l="1"/>
  <c r="H1053" i="20"/>
  <c r="G1053" i="20"/>
  <c r="E1056" i="20"/>
  <c r="G1054" i="20" l="1"/>
  <c r="F1055" i="20"/>
  <c r="H1054" i="20"/>
  <c r="E1057" i="20"/>
  <c r="H1055" i="20" l="1"/>
  <c r="G1055" i="20"/>
  <c r="F1056" i="20"/>
  <c r="E1058" i="20"/>
  <c r="F1057" i="20" l="1"/>
  <c r="H1056" i="20"/>
  <c r="G1056" i="20"/>
  <c r="E1059" i="20"/>
  <c r="F1058" i="20" l="1"/>
  <c r="H1057" i="20"/>
  <c r="G1057" i="20"/>
  <c r="E1060" i="20"/>
  <c r="H1058" i="20" l="1"/>
  <c r="G1058" i="20"/>
  <c r="F1059" i="20"/>
  <c r="E1061" i="20"/>
  <c r="G1059" i="20" l="1"/>
  <c r="H1059" i="20"/>
  <c r="F1060" i="20"/>
  <c r="E1062" i="20"/>
  <c r="G1060" i="20" l="1"/>
  <c r="H1060" i="20"/>
  <c r="F1061" i="20"/>
  <c r="E1063" i="20"/>
  <c r="G1061" i="20" l="1"/>
  <c r="F1062" i="20"/>
  <c r="H1061" i="20"/>
  <c r="E1064" i="20"/>
  <c r="G1062" i="20" l="1"/>
  <c r="F1063" i="20"/>
  <c r="H1062" i="20"/>
  <c r="E1065" i="20"/>
  <c r="H1063" i="20" l="1"/>
  <c r="F1064" i="20"/>
  <c r="G1063" i="20"/>
  <c r="E1066" i="20"/>
  <c r="F1065" i="20" l="1"/>
  <c r="H1064" i="20"/>
  <c r="G1064" i="20"/>
  <c r="E1067" i="20"/>
  <c r="G1065" i="20" l="1"/>
  <c r="H1065" i="20"/>
  <c r="F1066" i="20"/>
  <c r="E1068" i="20"/>
  <c r="G1066" i="20" l="1"/>
  <c r="H1066" i="20"/>
  <c r="F1067" i="20"/>
  <c r="E1069" i="20"/>
  <c r="F1068" i="20" l="1"/>
  <c r="G1067" i="20"/>
  <c r="H1067" i="20"/>
  <c r="E1070" i="20"/>
  <c r="F1069" i="20" l="1"/>
  <c r="H1068" i="20"/>
  <c r="G1068" i="20"/>
  <c r="E1071" i="20"/>
  <c r="G1069" i="20" l="1"/>
  <c r="H1069" i="20"/>
  <c r="F1070" i="20"/>
  <c r="E1072" i="20"/>
  <c r="G1070" i="20" l="1"/>
  <c r="H1070" i="20"/>
  <c r="F1071" i="20"/>
  <c r="E1073" i="20"/>
  <c r="F1072" i="20" l="1"/>
  <c r="G1071" i="20"/>
  <c r="H1071" i="20"/>
  <c r="E1074" i="20"/>
  <c r="F1073" i="20" l="1"/>
  <c r="H1072" i="20"/>
  <c r="G1072" i="20"/>
  <c r="E1075" i="20"/>
  <c r="G1073" i="20" l="1"/>
  <c r="F1074" i="20"/>
  <c r="H1073" i="20"/>
  <c r="E1076" i="20"/>
  <c r="H1074" i="20" l="1"/>
  <c r="G1074" i="20"/>
  <c r="F1075" i="20"/>
  <c r="E1077" i="20"/>
  <c r="H1075" i="20" l="1"/>
  <c r="F1076" i="20"/>
  <c r="G1075" i="20"/>
  <c r="E1078" i="20"/>
  <c r="G1076" i="20" l="1"/>
  <c r="F1077" i="20"/>
  <c r="H1076" i="20"/>
  <c r="E1079" i="20"/>
  <c r="G1077" i="20" l="1"/>
  <c r="H1077" i="20"/>
  <c r="F1078" i="20"/>
  <c r="E1080" i="20"/>
  <c r="F1079" i="20" l="1"/>
  <c r="H1078" i="20"/>
  <c r="G1078" i="20"/>
  <c r="E1081" i="20"/>
  <c r="H1079" i="20" l="1"/>
  <c r="F1080" i="20"/>
  <c r="G1079" i="20"/>
  <c r="E1082" i="20"/>
  <c r="G1080" i="20" l="1"/>
  <c r="F1081" i="20"/>
  <c r="H1080" i="20"/>
  <c r="E1083" i="20"/>
  <c r="G1081" i="20" l="1"/>
  <c r="F1082" i="20"/>
  <c r="H1081" i="20"/>
  <c r="E1084" i="20"/>
  <c r="G1082" i="20" l="1"/>
  <c r="F1083" i="20"/>
  <c r="H1082" i="20"/>
  <c r="E1085" i="20"/>
  <c r="H1083" i="20" l="1"/>
  <c r="F1084" i="20"/>
  <c r="G1083" i="20"/>
  <c r="E1086" i="20"/>
  <c r="F1085" i="20" l="1"/>
  <c r="H1084" i="20"/>
  <c r="G1084" i="20"/>
  <c r="E1087" i="20"/>
  <c r="F1086" i="20" l="1"/>
  <c r="H1085" i="20"/>
  <c r="G1085" i="20"/>
  <c r="E1088" i="20"/>
  <c r="H1086" i="20" l="1"/>
  <c r="G1086" i="20"/>
  <c r="F1087" i="20"/>
  <c r="E1089" i="20"/>
  <c r="G1087" i="20" l="1"/>
  <c r="H1087" i="20"/>
  <c r="F1088" i="20"/>
  <c r="E1090" i="20"/>
  <c r="F1089" i="20" l="1"/>
  <c r="H1088" i="20"/>
  <c r="G1088" i="20"/>
  <c r="E1091" i="20"/>
  <c r="H1089" i="20" l="1"/>
  <c r="G1089" i="20"/>
  <c r="F1090" i="20"/>
  <c r="E1092" i="20"/>
  <c r="F1091" i="20" l="1"/>
  <c r="H1090" i="20"/>
  <c r="G1090" i="20"/>
  <c r="E1093" i="20"/>
  <c r="G1091" i="20" l="1"/>
  <c r="H1091" i="20"/>
  <c r="F1092" i="20"/>
  <c r="E1094" i="20"/>
  <c r="F1093" i="20" l="1"/>
  <c r="H1092" i="20"/>
  <c r="G1092" i="20"/>
  <c r="E1095" i="20"/>
  <c r="H1093" i="20" l="1"/>
  <c r="G1093" i="20"/>
  <c r="F1094" i="20"/>
  <c r="E1096" i="20"/>
  <c r="F1095" i="20" l="1"/>
  <c r="H1094" i="20"/>
  <c r="G1094" i="20"/>
  <c r="E1097" i="20"/>
  <c r="H1095" i="20" l="1"/>
  <c r="F1096" i="20"/>
  <c r="G1095" i="20"/>
  <c r="E1098" i="20"/>
  <c r="G1096" i="20" l="1"/>
  <c r="F1097" i="20"/>
  <c r="H1096" i="20"/>
  <c r="E1099" i="20"/>
  <c r="G1097" i="20" l="1"/>
  <c r="F1098" i="20"/>
  <c r="H1097" i="20"/>
  <c r="E1100" i="20"/>
  <c r="G1098" i="20" l="1"/>
  <c r="F1099" i="20"/>
  <c r="H1098" i="20"/>
  <c r="E1101" i="20"/>
  <c r="H1099" i="20" l="1"/>
  <c r="F1100" i="20"/>
  <c r="G1099" i="20"/>
  <c r="E1102" i="20"/>
  <c r="F1101" i="20" l="1"/>
  <c r="H1100" i="20"/>
  <c r="G1100" i="20"/>
  <c r="E1103" i="20"/>
  <c r="F1102" i="20" l="1"/>
  <c r="H1101" i="20"/>
  <c r="G1101" i="20"/>
  <c r="E1104" i="20"/>
  <c r="G1102" i="20" l="1"/>
  <c r="F1103" i="20"/>
  <c r="H1102" i="20"/>
  <c r="E1105" i="20"/>
  <c r="H1103" i="20" l="1"/>
  <c r="G1103" i="20"/>
  <c r="F1104" i="20"/>
  <c r="E1106" i="20"/>
  <c r="G1104" i="20" l="1"/>
  <c r="F1105" i="20"/>
  <c r="H1104" i="20"/>
  <c r="E1107" i="20"/>
  <c r="G1105" i="20" l="1"/>
  <c r="H1105" i="20"/>
  <c r="F1106" i="20"/>
  <c r="E1108" i="20"/>
  <c r="G1106" i="20" l="1"/>
  <c r="F1107" i="20"/>
  <c r="H1106" i="20"/>
  <c r="E1109" i="20"/>
  <c r="G1107" i="20" l="1"/>
  <c r="H1107" i="20"/>
  <c r="F1108" i="20"/>
  <c r="E1110" i="20"/>
  <c r="G1108" i="20" l="1"/>
  <c r="F1109" i="20"/>
  <c r="H1108" i="20"/>
  <c r="E1111" i="20"/>
  <c r="G1109" i="20" l="1"/>
  <c r="F1110" i="20"/>
  <c r="H1109" i="20"/>
  <c r="E1112" i="20"/>
  <c r="G1110" i="20" l="1"/>
  <c r="F1111" i="20"/>
  <c r="H1110" i="20"/>
  <c r="E1113" i="20"/>
  <c r="H1111" i="20" l="1"/>
  <c r="F1112" i="20"/>
  <c r="G1111" i="20"/>
  <c r="E1114" i="20"/>
  <c r="G1112" i="20" l="1"/>
  <c r="F1113" i="20"/>
  <c r="H1112" i="20"/>
  <c r="E1115" i="20"/>
  <c r="G1113" i="20" l="1"/>
  <c r="H1113" i="20"/>
  <c r="F1114" i="20"/>
  <c r="E1116" i="20"/>
  <c r="G1114" i="20" l="1"/>
  <c r="F1115" i="20"/>
  <c r="H1114" i="20"/>
  <c r="E1117" i="20"/>
  <c r="H1115" i="20" l="1"/>
  <c r="G1115" i="20"/>
  <c r="F1116" i="20"/>
  <c r="E1118" i="20"/>
  <c r="F1117" i="20" l="1"/>
  <c r="H1116" i="20"/>
  <c r="G1116" i="20"/>
  <c r="E1119" i="20"/>
  <c r="G1117" i="20" l="1"/>
  <c r="H1117" i="20"/>
  <c r="F1118" i="20"/>
  <c r="E1120" i="20"/>
  <c r="G1118" i="20" l="1"/>
  <c r="F1119" i="20"/>
  <c r="H1118" i="20"/>
  <c r="E1121" i="20"/>
  <c r="F1120" i="20" l="1"/>
  <c r="G1119" i="20"/>
  <c r="H1119" i="20"/>
  <c r="E1122" i="20"/>
  <c r="F1121" i="20" l="1"/>
  <c r="H1120" i="20"/>
  <c r="G1120" i="20"/>
  <c r="E1123" i="20"/>
  <c r="G1121" i="20" l="1"/>
  <c r="F1122" i="20"/>
  <c r="H1121" i="20"/>
  <c r="E1124" i="20"/>
  <c r="H1122" i="20" l="1"/>
  <c r="G1122" i="20"/>
  <c r="F1123" i="20"/>
  <c r="E1125" i="20"/>
  <c r="H1123" i="20" l="1"/>
  <c r="G1123" i="20"/>
  <c r="F1124" i="20"/>
  <c r="E1126" i="20"/>
  <c r="G1124" i="20" l="1"/>
  <c r="F1125" i="20"/>
  <c r="H1124" i="20"/>
  <c r="E1127" i="20"/>
  <c r="G1125" i="20" l="1"/>
  <c r="F1126" i="20"/>
  <c r="H1125" i="20"/>
  <c r="E1128" i="20"/>
  <c r="F1127" i="20" l="1"/>
  <c r="H1126" i="20"/>
  <c r="G1126" i="20"/>
  <c r="E1129" i="20"/>
  <c r="H1127" i="20" l="1"/>
  <c r="G1127" i="20"/>
  <c r="F1128" i="20"/>
  <c r="E1130" i="20"/>
  <c r="H1128" i="20" l="1"/>
  <c r="G1128" i="20"/>
  <c r="F1129" i="20"/>
  <c r="E1131" i="20"/>
  <c r="F1130" i="20" l="1"/>
  <c r="H1129" i="20"/>
  <c r="G1129" i="20"/>
  <c r="E1132" i="20"/>
  <c r="G1130" i="20" l="1"/>
  <c r="F1131" i="20"/>
  <c r="H1130" i="20"/>
  <c r="E1133" i="20"/>
  <c r="G1131" i="20" l="1"/>
  <c r="H1131" i="20"/>
  <c r="F1132" i="20"/>
  <c r="E1134" i="20"/>
  <c r="G1132" i="20" l="1"/>
  <c r="F1133" i="20"/>
  <c r="H1132" i="20"/>
  <c r="E1135" i="20"/>
  <c r="G1133" i="20" l="1"/>
  <c r="F1134" i="20"/>
  <c r="H1133" i="20"/>
  <c r="E1136" i="20"/>
  <c r="H1134" i="20" l="1"/>
  <c r="G1134" i="20"/>
  <c r="F1135" i="20"/>
  <c r="E1137" i="20"/>
  <c r="G1135" i="20" l="1"/>
  <c r="H1135" i="20"/>
  <c r="F1136" i="20"/>
  <c r="E1138" i="20"/>
  <c r="H1136" i="20" l="1"/>
  <c r="G1136" i="20"/>
  <c r="F1137" i="20"/>
  <c r="E1139" i="20"/>
  <c r="H1137" i="20" l="1"/>
  <c r="G1137" i="20"/>
  <c r="F1138" i="20"/>
  <c r="E1140" i="20"/>
  <c r="H1138" i="20" l="1"/>
  <c r="G1138" i="20"/>
  <c r="F1139" i="20"/>
  <c r="E1141" i="20"/>
  <c r="G1139" i="20" l="1"/>
  <c r="H1139" i="20"/>
  <c r="F1140" i="20"/>
  <c r="E1142" i="20"/>
  <c r="H1140" i="20" l="1"/>
  <c r="G1140" i="20"/>
  <c r="F1141" i="20"/>
  <c r="E1143" i="20"/>
  <c r="H1141" i="20" l="1"/>
  <c r="G1141" i="20"/>
  <c r="F1142" i="20"/>
  <c r="E1144" i="20"/>
  <c r="H1142" i="20" l="1"/>
  <c r="G1142" i="20"/>
  <c r="F1143" i="20"/>
  <c r="E1145" i="20"/>
  <c r="G1143" i="20" l="1"/>
  <c r="H1143" i="20"/>
  <c r="F1144" i="20"/>
  <c r="E1146" i="20"/>
  <c r="H1144" i="20" l="1"/>
  <c r="G1144" i="20"/>
  <c r="F1145" i="20"/>
  <c r="E1147" i="20"/>
  <c r="H1145" i="20" l="1"/>
  <c r="G1145" i="20"/>
  <c r="F1146" i="20"/>
  <c r="E1148" i="20"/>
  <c r="F1147" i="20" l="1"/>
  <c r="H1146" i="20"/>
  <c r="G1146" i="20"/>
  <c r="E1149" i="20"/>
  <c r="H1147" i="20" l="1"/>
  <c r="F1148" i="20"/>
  <c r="G1147" i="20"/>
  <c r="E1150" i="20"/>
  <c r="G1148" i="20" l="1"/>
  <c r="H1148" i="20"/>
  <c r="F1149" i="20"/>
  <c r="E1151" i="20"/>
  <c r="G1149" i="20" l="1"/>
  <c r="F1150" i="20"/>
  <c r="H1149" i="20"/>
  <c r="E1152" i="20"/>
  <c r="F1151" i="20" l="1"/>
  <c r="H1150" i="20"/>
  <c r="G1150" i="20"/>
  <c r="E1153" i="20"/>
  <c r="F1152" i="20" l="1"/>
  <c r="G1151" i="20"/>
  <c r="H1151" i="20"/>
  <c r="E1154" i="20"/>
  <c r="G1152" i="20" l="1"/>
  <c r="F1153" i="20"/>
  <c r="H1152" i="20"/>
  <c r="E1155" i="20"/>
  <c r="G1153" i="20" l="1"/>
  <c r="H1153" i="20"/>
  <c r="F1154" i="20"/>
  <c r="E1156" i="20"/>
  <c r="F1155" i="20" l="1"/>
  <c r="H1154" i="20"/>
  <c r="G1154" i="20"/>
  <c r="E1157" i="20"/>
  <c r="H1155" i="20" l="1"/>
  <c r="F1156" i="20"/>
  <c r="G1155" i="20"/>
  <c r="E1158" i="20"/>
  <c r="G1156" i="20" l="1"/>
  <c r="H1156" i="20"/>
  <c r="F1157" i="20"/>
  <c r="E1159" i="20"/>
  <c r="H1157" i="20" l="1"/>
  <c r="G1157" i="20"/>
  <c r="F1158" i="20"/>
  <c r="E1160" i="20"/>
  <c r="F1159" i="20" l="1"/>
  <c r="H1158" i="20"/>
  <c r="G1158" i="20"/>
  <c r="E1161" i="20"/>
  <c r="H1159" i="20" l="1"/>
  <c r="G1159" i="20"/>
  <c r="F1160" i="20"/>
  <c r="E1162" i="20"/>
  <c r="G1160" i="20" l="1"/>
  <c r="F1161" i="20"/>
  <c r="H1160" i="20"/>
  <c r="E1163" i="20"/>
  <c r="G1161" i="20" l="1"/>
  <c r="H1161" i="20"/>
  <c r="F1162" i="20"/>
  <c r="E1164" i="20"/>
  <c r="G1162" i="20" l="1"/>
  <c r="F1163" i="20"/>
  <c r="H1162" i="20"/>
  <c r="E1165" i="20"/>
  <c r="G1163" i="20" l="1"/>
  <c r="H1163" i="20"/>
  <c r="F1164" i="20"/>
  <c r="E1166" i="20"/>
  <c r="F1165" i="20" l="1"/>
  <c r="H1164" i="20"/>
  <c r="G1164" i="20"/>
  <c r="E1167" i="20"/>
  <c r="G1165" i="20" l="1"/>
  <c r="F1166" i="20"/>
  <c r="H1165" i="20"/>
  <c r="E1168" i="20"/>
  <c r="G1166" i="20" l="1"/>
  <c r="F1167" i="20"/>
  <c r="H1166" i="20"/>
  <c r="E1169" i="20"/>
  <c r="H1167" i="20" l="1"/>
  <c r="F1168" i="20"/>
  <c r="G1167" i="20"/>
  <c r="E1170" i="20"/>
  <c r="F1169" i="20" l="1"/>
  <c r="H1168" i="20"/>
  <c r="G1168" i="20"/>
  <c r="E1171" i="20"/>
  <c r="G1169" i="20" l="1"/>
  <c r="H1169" i="20"/>
  <c r="F1170" i="20"/>
  <c r="E1172" i="20"/>
  <c r="G1170" i="20" l="1"/>
  <c r="H1170" i="20"/>
  <c r="F1171" i="20"/>
  <c r="E1173" i="20"/>
  <c r="F1172" i="20" l="1"/>
  <c r="G1171" i="20"/>
  <c r="H1171" i="20"/>
  <c r="E1174" i="20"/>
  <c r="F1173" i="20" l="1"/>
  <c r="H1172" i="20"/>
  <c r="G1172" i="20"/>
  <c r="E1175" i="20"/>
  <c r="F1174" i="20" l="1"/>
  <c r="H1173" i="20"/>
  <c r="G1173" i="20"/>
  <c r="E1176" i="20"/>
  <c r="F1175" i="20" l="1"/>
  <c r="H1174" i="20"/>
  <c r="G1174" i="20"/>
  <c r="E1177" i="20"/>
  <c r="F1176" i="20" l="1"/>
  <c r="G1175" i="20"/>
  <c r="H1175" i="20"/>
  <c r="E1178" i="20"/>
  <c r="F1177" i="20" l="1"/>
  <c r="H1176" i="20"/>
  <c r="G1176" i="20"/>
  <c r="E1179" i="20"/>
  <c r="H1177" i="20" l="1"/>
  <c r="G1177" i="20"/>
  <c r="F1178" i="20"/>
  <c r="E1180" i="20"/>
  <c r="G1178" i="20" l="1"/>
  <c r="F1179" i="20"/>
  <c r="H1178" i="20"/>
  <c r="E1181" i="20"/>
  <c r="F1180" i="20" l="1"/>
  <c r="G1179" i="20"/>
  <c r="H1179" i="20"/>
  <c r="E1182" i="20"/>
  <c r="F1181" i="20" l="1"/>
  <c r="H1180" i="20"/>
  <c r="G1180" i="20"/>
  <c r="E1183" i="20"/>
  <c r="F1182" i="20" l="1"/>
  <c r="H1181" i="20"/>
  <c r="G1181" i="20"/>
  <c r="E1184" i="20"/>
  <c r="F1183" i="20" l="1"/>
  <c r="G1182" i="20"/>
  <c r="H1182" i="20"/>
  <c r="E1185" i="20"/>
  <c r="F1184" i="20" l="1"/>
  <c r="G1183" i="20"/>
  <c r="H1183" i="20"/>
  <c r="E1186" i="20"/>
  <c r="F1185" i="20" l="1"/>
  <c r="H1184" i="20"/>
  <c r="G1184" i="20"/>
  <c r="E1187" i="20"/>
  <c r="G1185" i="20" l="1"/>
  <c r="F1186" i="20"/>
  <c r="H1185" i="20"/>
  <c r="E1188" i="20"/>
  <c r="F1187" i="20" l="1"/>
  <c r="G1186" i="20"/>
  <c r="H1186" i="20"/>
  <c r="E1189" i="20"/>
  <c r="F1188" i="20" l="1"/>
  <c r="H1187" i="20"/>
  <c r="G1187" i="20"/>
  <c r="E1190" i="20"/>
  <c r="F1189" i="20" l="1"/>
  <c r="H1188" i="20"/>
  <c r="G1188" i="20"/>
  <c r="E1191" i="20"/>
  <c r="H1189" i="20" l="1"/>
  <c r="G1189" i="20"/>
  <c r="F1190" i="20"/>
  <c r="E1192" i="20"/>
  <c r="F1191" i="20" l="1"/>
  <c r="H1190" i="20"/>
  <c r="G1190" i="20"/>
  <c r="E1193" i="20"/>
  <c r="F1192" i="20" l="1"/>
  <c r="G1191" i="20"/>
  <c r="H1191" i="20"/>
  <c r="E1194" i="20"/>
  <c r="F1193" i="20" l="1"/>
  <c r="G1192" i="20"/>
  <c r="H1192" i="20"/>
  <c r="E1195" i="20"/>
  <c r="H1193" i="20" l="1"/>
  <c r="G1193" i="20"/>
  <c r="F1194" i="20"/>
  <c r="E1196" i="20"/>
  <c r="F1195" i="20" l="1"/>
  <c r="G1194" i="20"/>
  <c r="H1194" i="20"/>
  <c r="E1197" i="20"/>
  <c r="F1196" i="20" l="1"/>
  <c r="G1195" i="20"/>
  <c r="H1195" i="20"/>
  <c r="E1198" i="20"/>
  <c r="F1197" i="20" l="1"/>
  <c r="H1196" i="20"/>
  <c r="G1196" i="20"/>
  <c r="E1199" i="20"/>
  <c r="F1198" i="20" l="1"/>
  <c r="H1197" i="20"/>
  <c r="G1197" i="20"/>
  <c r="E1200" i="20"/>
  <c r="H1198" i="20" l="1"/>
  <c r="G1198" i="20"/>
  <c r="F1199" i="20"/>
  <c r="E1201" i="20"/>
  <c r="F1200" i="20" l="1"/>
  <c r="H1199" i="20"/>
  <c r="G1199" i="20"/>
  <c r="E1202" i="20"/>
  <c r="F1201" i="20" l="1"/>
  <c r="H1200" i="20"/>
  <c r="G1200" i="20"/>
  <c r="E1203" i="20"/>
  <c r="H1201" i="20" l="1"/>
  <c r="G1201" i="20"/>
  <c r="F1202" i="20"/>
  <c r="E1204" i="20"/>
  <c r="F1203" i="20" l="1"/>
  <c r="H1202" i="20"/>
  <c r="G1202" i="20"/>
  <c r="E1205" i="20"/>
  <c r="F1204" i="20" l="1"/>
  <c r="G1203" i="20"/>
  <c r="H1203" i="20"/>
  <c r="E1206" i="20"/>
  <c r="G1204" i="20" l="1"/>
  <c r="F1205" i="20"/>
  <c r="H1204" i="20"/>
  <c r="E1207" i="20"/>
  <c r="H1205" i="20" l="1"/>
  <c r="F1206" i="20"/>
  <c r="G1205" i="20"/>
  <c r="E1208" i="20"/>
  <c r="F1207" i="20" l="1"/>
  <c r="H1206" i="20"/>
  <c r="G1206" i="20"/>
  <c r="E1209" i="20"/>
  <c r="F1208" i="20" l="1"/>
  <c r="H1207" i="20"/>
  <c r="G1207" i="20"/>
  <c r="E1210" i="20"/>
  <c r="G1208" i="20" l="1"/>
  <c r="F1209" i="20"/>
  <c r="H1208" i="20"/>
  <c r="E1211" i="20"/>
  <c r="F1210" i="20" l="1"/>
  <c r="G1209" i="20"/>
  <c r="H1209" i="20"/>
  <c r="E1212" i="20"/>
  <c r="F1211" i="20" l="1"/>
  <c r="H1210" i="20"/>
  <c r="G1210" i="20"/>
  <c r="E1213" i="20"/>
  <c r="H1211" i="20" l="1"/>
  <c r="F1212" i="20"/>
  <c r="G1211" i="20"/>
  <c r="E1214" i="20"/>
  <c r="H1212" i="20" l="1"/>
  <c r="G1212" i="20"/>
  <c r="F1213" i="20"/>
  <c r="E1215" i="20"/>
  <c r="G1213" i="20" l="1"/>
  <c r="F1214" i="20"/>
  <c r="H1213" i="20"/>
  <c r="E1216" i="20"/>
  <c r="G1214" i="20" l="1"/>
  <c r="H1214" i="20"/>
  <c r="F1215" i="20"/>
  <c r="E1217" i="20"/>
  <c r="H1215" i="20" l="1"/>
  <c r="G1215" i="20"/>
  <c r="F1216" i="20"/>
  <c r="E1218" i="20"/>
  <c r="G1216" i="20" l="1"/>
  <c r="F1217" i="20"/>
  <c r="H1216" i="20"/>
  <c r="E1219" i="20"/>
  <c r="H1217" i="20" l="1"/>
  <c r="G1217" i="20"/>
  <c r="F1218" i="20"/>
  <c r="E1220" i="20"/>
  <c r="H1218" i="20" l="1"/>
  <c r="G1218" i="20"/>
  <c r="F1219" i="20"/>
  <c r="E1221" i="20"/>
  <c r="G1219" i="20" l="1"/>
  <c r="H1219" i="20"/>
  <c r="F1220" i="20"/>
  <c r="E1222" i="20"/>
  <c r="H1220" i="20" l="1"/>
  <c r="G1220" i="20"/>
  <c r="F1221" i="20"/>
  <c r="E1223" i="20"/>
  <c r="G1221" i="20" l="1"/>
  <c r="F1222" i="20"/>
  <c r="H1221" i="20"/>
  <c r="E1224" i="20"/>
  <c r="G1222" i="20" l="1"/>
  <c r="F1223" i="20"/>
  <c r="H1222" i="20"/>
  <c r="E1225" i="20"/>
  <c r="H1223" i="20" l="1"/>
  <c r="F1224" i="20"/>
  <c r="G1223" i="20"/>
  <c r="E1226" i="20"/>
  <c r="H1224" i="20" l="1"/>
  <c r="F1225" i="20"/>
  <c r="G1224" i="20"/>
  <c r="E1227" i="20"/>
  <c r="F1226" i="20" l="1"/>
  <c r="G1225" i="20"/>
  <c r="H1225" i="20"/>
  <c r="E1228" i="20"/>
  <c r="H1226" i="20" l="1"/>
  <c r="G1226" i="20"/>
  <c r="F1227" i="20"/>
  <c r="E1229" i="20"/>
  <c r="F1228" i="20" l="1"/>
  <c r="G1227" i="20"/>
  <c r="H1227" i="20"/>
  <c r="E1230" i="20"/>
  <c r="H1228" i="20" l="1"/>
  <c r="G1228" i="20"/>
  <c r="F1229" i="20"/>
  <c r="E1231" i="20"/>
  <c r="G1229" i="20" l="1"/>
  <c r="H1229" i="20"/>
  <c r="F1230" i="20"/>
  <c r="E1232" i="20"/>
  <c r="G1230" i="20" l="1"/>
  <c r="H1230" i="20"/>
  <c r="F1231" i="20"/>
  <c r="E1233" i="20"/>
  <c r="F1232" i="20" l="1"/>
  <c r="G1231" i="20"/>
  <c r="H1231" i="20"/>
  <c r="E1234" i="20"/>
  <c r="F1233" i="20" l="1"/>
  <c r="G1232" i="20"/>
  <c r="H1232" i="20"/>
  <c r="E1235" i="20"/>
  <c r="H1233" i="20" l="1"/>
  <c r="G1233" i="20"/>
  <c r="F1234" i="20"/>
  <c r="E1236" i="20"/>
  <c r="G1234" i="20" l="1"/>
  <c r="F1235" i="20"/>
  <c r="H1234" i="20"/>
  <c r="E1237" i="20"/>
  <c r="F1236" i="20" l="1"/>
  <c r="G1235" i="20"/>
  <c r="H1235" i="20"/>
  <c r="E1238" i="20"/>
  <c r="G1236" i="20" l="1"/>
  <c r="F1237" i="20"/>
  <c r="H1236" i="20"/>
  <c r="E1239" i="20"/>
  <c r="G1237" i="20" l="1"/>
  <c r="F1238" i="20"/>
  <c r="H1237" i="20"/>
  <c r="E1240" i="20"/>
  <c r="F1239" i="20" l="1"/>
  <c r="H1238" i="20"/>
  <c r="G1238" i="20"/>
  <c r="E1241" i="20"/>
  <c r="F1240" i="20" l="1"/>
  <c r="G1239" i="20"/>
  <c r="H1239" i="20"/>
  <c r="E1242" i="20"/>
  <c r="H1240" i="20" l="1"/>
  <c r="F1241" i="20"/>
  <c r="G1240" i="20"/>
  <c r="E1243" i="20"/>
  <c r="H1241" i="20" l="1"/>
  <c r="F1242" i="20"/>
  <c r="G1241" i="20"/>
  <c r="E1244" i="20"/>
  <c r="F1243" i="20" l="1"/>
  <c r="H1242" i="20"/>
  <c r="G1242" i="20"/>
  <c r="E1245" i="20"/>
  <c r="H1243" i="20" l="1"/>
  <c r="G1243" i="20"/>
  <c r="F1244" i="20"/>
  <c r="E1246" i="20"/>
  <c r="F1245" i="20" l="1"/>
  <c r="H1244" i="20"/>
  <c r="G1244" i="20"/>
  <c r="E1247" i="20"/>
  <c r="H1245" i="20" l="1"/>
  <c r="G1245" i="20"/>
  <c r="F1246" i="20"/>
  <c r="E1248" i="20"/>
  <c r="G1246" i="20" l="1"/>
  <c r="F1247" i="20"/>
  <c r="H1246" i="20"/>
  <c r="E1249" i="20"/>
  <c r="F1248" i="20" l="1"/>
  <c r="G1247" i="20"/>
  <c r="H1247" i="20"/>
  <c r="E1250" i="20"/>
  <c r="H1248" i="20" l="1"/>
  <c r="F1249" i="20"/>
  <c r="G1248" i="20"/>
  <c r="E1251" i="20"/>
  <c r="H1249" i="20" l="1"/>
  <c r="G1249" i="20"/>
  <c r="F1250" i="20"/>
  <c r="E1252" i="20"/>
  <c r="G1250" i="20" l="1"/>
  <c r="H1250" i="20"/>
  <c r="F1251" i="20"/>
  <c r="E1253" i="20"/>
  <c r="H1251" i="20" l="1"/>
  <c r="G1251" i="20"/>
  <c r="F1252" i="20"/>
  <c r="E1254" i="20"/>
  <c r="H1252" i="20" l="1"/>
  <c r="G1252" i="20"/>
  <c r="F1253" i="20"/>
  <c r="E1255" i="20"/>
  <c r="G1253" i="20" l="1"/>
  <c r="F1254" i="20"/>
  <c r="H1253" i="20"/>
  <c r="E1256" i="20"/>
  <c r="G1254" i="20" l="1"/>
  <c r="H1254" i="20"/>
  <c r="F1255" i="20"/>
  <c r="E1257" i="20"/>
  <c r="H1255" i="20" l="1"/>
  <c r="F1256" i="20"/>
  <c r="G1255" i="20"/>
  <c r="E1258" i="20"/>
  <c r="H1256" i="20" l="1"/>
  <c r="F1257" i="20"/>
  <c r="G1256" i="20"/>
  <c r="E1259" i="20"/>
  <c r="F1258" i="20" l="1"/>
  <c r="G1257" i="20"/>
  <c r="H1257" i="20"/>
  <c r="E1260" i="20"/>
  <c r="H1258" i="20" l="1"/>
  <c r="G1258" i="20"/>
  <c r="F1259" i="20"/>
  <c r="E1261" i="20"/>
  <c r="F1260" i="20" l="1"/>
  <c r="G1259" i="20"/>
  <c r="H1259" i="20"/>
  <c r="E1262" i="20"/>
  <c r="H1260" i="20" l="1"/>
  <c r="G1260" i="20"/>
  <c r="F1261" i="20"/>
  <c r="E1263" i="20"/>
  <c r="G1261" i="20" l="1"/>
  <c r="H1261" i="20"/>
  <c r="F1262" i="20"/>
  <c r="E1264" i="20"/>
  <c r="F1263" i="20" l="1"/>
  <c r="H1262" i="20"/>
  <c r="G1262" i="20"/>
  <c r="E1265" i="20"/>
  <c r="F1264" i="20" l="1"/>
  <c r="G1263" i="20"/>
  <c r="H1263" i="20"/>
  <c r="E1266" i="20"/>
  <c r="H1264" i="20" l="1"/>
  <c r="G1264" i="20"/>
  <c r="F1265" i="20"/>
  <c r="E1267" i="20"/>
  <c r="H1265" i="20" l="1"/>
  <c r="G1265" i="20"/>
  <c r="F1266" i="20"/>
  <c r="E1268" i="20"/>
  <c r="G1266" i="20" l="1"/>
  <c r="H1266" i="20"/>
  <c r="F1267" i="20"/>
  <c r="E1269" i="20"/>
  <c r="H1267" i="20" l="1"/>
  <c r="G1267" i="20"/>
  <c r="F1268" i="20"/>
  <c r="E1270" i="20"/>
  <c r="H1268" i="20" l="1"/>
  <c r="G1268" i="20"/>
  <c r="F1269" i="20"/>
  <c r="E1271" i="20"/>
  <c r="F1270" i="20" l="1"/>
  <c r="H1269" i="20"/>
  <c r="G1269" i="20"/>
  <c r="E1272" i="20"/>
  <c r="G1270" i="20" l="1"/>
  <c r="H1270" i="20"/>
  <c r="F1271" i="20"/>
  <c r="E1273" i="20"/>
  <c r="H1271" i="20" l="1"/>
  <c r="F1272" i="20"/>
  <c r="G1271" i="20"/>
  <c r="E1274" i="20"/>
  <c r="F1273" i="20" l="1"/>
  <c r="G1272" i="20"/>
  <c r="H1272" i="20"/>
  <c r="E1275" i="20"/>
  <c r="H1273" i="20" l="1"/>
  <c r="F1274" i="20"/>
  <c r="G1273" i="20"/>
  <c r="E1276" i="20"/>
  <c r="G1274" i="20" l="1"/>
  <c r="F1275" i="20"/>
  <c r="H1274" i="20"/>
  <c r="E1277" i="20"/>
  <c r="H1275" i="20" l="1"/>
  <c r="F1276" i="20"/>
  <c r="G1275" i="20"/>
  <c r="E1278" i="20"/>
  <c r="G1276" i="20" l="1"/>
  <c r="F1277" i="20"/>
  <c r="H1276" i="20"/>
  <c r="E1279" i="20"/>
  <c r="E1280" i="20" s="1"/>
  <c r="G1277" i="20" l="1"/>
  <c r="F1278" i="20"/>
  <c r="H1277" i="20"/>
  <c r="F1279" i="20" l="1"/>
  <c r="H1278" i="20"/>
  <c r="G1278" i="20"/>
  <c r="H1280" i="20" l="1"/>
  <c r="H1279" i="20"/>
  <c r="G1279" i="20"/>
  <c r="H1281" i="20" l="1"/>
  <c r="C158" i="20" s="1"/>
  <c r="D119" i="20" s="1"/>
  <c r="D120" i="20" s="1"/>
  <c r="D121" i="20" s="1"/>
  <c r="D106" i="20" s="1"/>
  <c r="D108" i="20" s="1"/>
  <c r="D109" i="20" s="1"/>
  <c r="D110" i="20" s="1"/>
  <c r="D111" i="20" s="1"/>
  <c r="D112" i="20" l="1"/>
  <c r="D130" i="20" s="1"/>
  <c r="D131" i="20" s="1"/>
  <c r="D132" i="20" s="1"/>
  <c r="D133" i="20" s="1"/>
  <c r="C119" i="20"/>
  <c r="C120" i="20" s="1"/>
  <c r="C121" i="20" s="1"/>
  <c r="C106" i="20" s="1"/>
  <c r="C108" i="20" s="1"/>
  <c r="D107" i="20"/>
  <c r="C109" i="20" l="1"/>
  <c r="C110" i="20" s="1"/>
  <c r="C111" i="20" s="1"/>
  <c r="C107" i="20"/>
  <c r="C112" i="20" l="1"/>
  <c r="D137" i="20" l="1"/>
  <c r="D139" i="20" s="1"/>
  <c r="D140" i="20" s="1"/>
  <c r="D142" i="20" s="1"/>
  <c r="C130" i="20"/>
  <c r="C131" i="20" s="1"/>
  <c r="C132" i="20" s="1"/>
  <c r="C133" i="20" s="1"/>
  <c r="D134" i="20" s="1"/>
  <c r="D135" i="20" s="1"/>
  <c r="C42" i="20" s="1"/>
  <c r="C47" i="20" l="1"/>
  <c r="C49" i="20" s="1"/>
  <c r="C46" i="20"/>
  <c r="C51" i="20" l="1"/>
  <c r="C77" i="20" s="1"/>
  <c r="C74" i="20"/>
  <c r="BA3" i="24" s="1"/>
  <c r="C80" i="20" l="1"/>
  <c r="C52" i="20" s="1"/>
  <c r="BA6" i="24"/>
  <c r="C377" i="19" l="1"/>
  <c r="J118" i="19" s="1"/>
  <c r="J129" i="19" l="1"/>
  <c r="K118" i="19"/>
  <c r="F611" i="19" l="1"/>
  <c r="R594" i="19" s="1"/>
  <c r="R692" i="19" l="1"/>
  <c r="R693" i="19"/>
  <c r="R674" i="19"/>
  <c r="R682" i="19"/>
  <c r="R690" i="19"/>
  <c r="R685" i="19"/>
  <c r="R667" i="19"/>
  <c r="R675" i="19"/>
  <c r="R683" i="19"/>
  <c r="R691" i="19"/>
  <c r="R677" i="19"/>
  <c r="R668" i="19"/>
  <c r="R676" i="19"/>
  <c r="R684" i="19"/>
  <c r="R669" i="19"/>
  <c r="R670" i="19"/>
  <c r="R678" i="19"/>
  <c r="R686" i="19"/>
  <c r="R671" i="19"/>
  <c r="R679" i="19"/>
  <c r="R687" i="19"/>
  <c r="R672" i="19"/>
  <c r="R680" i="19"/>
  <c r="R688" i="19"/>
  <c r="R673" i="19"/>
  <c r="R681" i="19"/>
  <c r="R689" i="19"/>
  <c r="R619" i="19"/>
  <c r="R600" i="19"/>
  <c r="R608" i="19"/>
  <c r="R616" i="19"/>
  <c r="R625" i="19"/>
  <c r="R633" i="19"/>
  <c r="R641" i="19"/>
  <c r="R649" i="19"/>
  <c r="R657" i="19"/>
  <c r="R665" i="19"/>
  <c r="R602" i="19"/>
  <c r="R618" i="19"/>
  <c r="R635" i="19"/>
  <c r="R651" i="19"/>
  <c r="U594" i="19"/>
  <c r="R630" i="19"/>
  <c r="R601" i="19"/>
  <c r="R609" i="19"/>
  <c r="R617" i="19"/>
  <c r="R626" i="19"/>
  <c r="R634" i="19"/>
  <c r="R642" i="19"/>
  <c r="R650" i="19"/>
  <c r="R658" i="19"/>
  <c r="R666" i="19"/>
  <c r="R610" i="19"/>
  <c r="R627" i="19"/>
  <c r="R643" i="19"/>
  <c r="R659" i="19"/>
  <c r="R654" i="19"/>
  <c r="R595" i="19"/>
  <c r="R603" i="19"/>
  <c r="R611" i="19"/>
  <c r="R620" i="19"/>
  <c r="R628" i="19"/>
  <c r="R636" i="19"/>
  <c r="R644" i="19"/>
  <c r="R652" i="19"/>
  <c r="T652" i="19" s="1"/>
  <c r="R660" i="19"/>
  <c r="R596" i="19"/>
  <c r="R604" i="19"/>
  <c r="R612" i="19"/>
  <c r="R621" i="19"/>
  <c r="R629" i="19"/>
  <c r="R637" i="19"/>
  <c r="R645" i="19"/>
  <c r="R661" i="19"/>
  <c r="R597" i="19"/>
  <c r="R613" i="19"/>
  <c r="R638" i="19"/>
  <c r="R662" i="19"/>
  <c r="R653" i="19"/>
  <c r="R598" i="19"/>
  <c r="R606" i="19"/>
  <c r="R614" i="19"/>
  <c r="R623" i="19"/>
  <c r="R631" i="19"/>
  <c r="R639" i="19"/>
  <c r="R647" i="19"/>
  <c r="R655" i="19"/>
  <c r="R663" i="19"/>
  <c r="R599" i="19"/>
  <c r="R607" i="19"/>
  <c r="R615" i="19"/>
  <c r="R624" i="19"/>
  <c r="R632" i="19"/>
  <c r="R640" i="19"/>
  <c r="R648" i="19"/>
  <c r="R656" i="19"/>
  <c r="R664" i="19"/>
  <c r="R605" i="19"/>
  <c r="R622" i="19"/>
  <c r="R646" i="19"/>
  <c r="F587" i="19"/>
  <c r="U613" i="19" l="1"/>
  <c r="U603" i="19"/>
  <c r="T610" i="19"/>
  <c r="T620" i="19"/>
  <c r="T632" i="19"/>
  <c r="T612" i="19"/>
  <c r="F589" i="19"/>
  <c r="F591" i="19" s="1"/>
  <c r="K132" i="19" s="1"/>
  <c r="T693" i="19"/>
  <c r="T642" i="19"/>
  <c r="T639" i="19"/>
  <c r="T596" i="19"/>
  <c r="T628" i="19"/>
  <c r="U598" i="19"/>
  <c r="T595" i="19"/>
  <c r="T594" i="19" s="1"/>
  <c r="U595" i="19"/>
  <c r="U618" i="19"/>
  <c r="T680" i="19"/>
  <c r="T675" i="19"/>
  <c r="T672" i="19"/>
  <c r="T684" i="19"/>
  <c r="T679" i="19"/>
  <c r="T669" i="19"/>
  <c r="T687" i="19"/>
  <c r="U608" i="19"/>
  <c r="T676" i="19"/>
  <c r="T638" i="19"/>
  <c r="T661" i="19"/>
  <c r="T688" i="19"/>
  <c r="T648" i="19"/>
  <c r="T629" i="19"/>
  <c r="T667" i="19"/>
  <c r="T666" i="19"/>
  <c r="T601" i="19"/>
  <c r="T689" i="19"/>
  <c r="T671" i="19"/>
  <c r="T677" i="19"/>
  <c r="T691" i="19"/>
  <c r="T609" i="19"/>
  <c r="T690" i="19"/>
  <c r="T668" i="19"/>
  <c r="T682" i="19"/>
  <c r="T627" i="19"/>
  <c r="T685" i="19"/>
  <c r="T603" i="19"/>
  <c r="T674" i="19"/>
  <c r="T622" i="19"/>
  <c r="T681" i="19"/>
  <c r="T686" i="19"/>
  <c r="T617" i="19"/>
  <c r="T664" i="19"/>
  <c r="T599" i="19"/>
  <c r="T645" i="19"/>
  <c r="T673" i="19"/>
  <c r="T678" i="19"/>
  <c r="T683" i="19"/>
  <c r="T656" i="19"/>
  <c r="T663" i="19"/>
  <c r="T637" i="19"/>
  <c r="T644" i="19"/>
  <c r="T670" i="19"/>
  <c r="T692" i="19"/>
  <c r="T613" i="19"/>
  <c r="T611" i="19"/>
  <c r="T615" i="19"/>
  <c r="T658" i="19"/>
  <c r="T646" i="19"/>
  <c r="T605" i="19"/>
  <c r="T607" i="19"/>
  <c r="T614" i="19"/>
  <c r="T660" i="19"/>
  <c r="T655" i="19"/>
  <c r="T636" i="19"/>
  <c r="T626" i="19"/>
  <c r="T640" i="19"/>
  <c r="T621" i="19"/>
  <c r="T597" i="19"/>
  <c r="T631" i="19"/>
  <c r="T650" i="19"/>
  <c r="T598" i="19"/>
  <c r="T659" i="19"/>
  <c r="T634" i="19"/>
  <c r="T653" i="19"/>
  <c r="T643" i="19"/>
  <c r="T662" i="19"/>
  <c r="T624" i="19"/>
  <c r="T604" i="19"/>
  <c r="T623" i="19"/>
  <c r="T630" i="19"/>
  <c r="T649" i="19"/>
  <c r="T641" i="19"/>
  <c r="T606" i="19"/>
  <c r="T654" i="19"/>
  <c r="T651" i="19"/>
  <c r="T633" i="19"/>
  <c r="T635" i="19"/>
  <c r="T625" i="19"/>
  <c r="T618" i="19"/>
  <c r="T616" i="19"/>
  <c r="T647" i="19"/>
  <c r="T602" i="19"/>
  <c r="T608" i="19"/>
  <c r="T665" i="19"/>
  <c r="T600" i="19"/>
  <c r="T657" i="19"/>
  <c r="T619" i="19"/>
  <c r="Q263" i="19" l="1"/>
  <c r="G591" i="19"/>
  <c r="F612" i="19"/>
  <c r="F596" i="19" s="1"/>
  <c r="K127" i="34" l="1"/>
  <c r="O250" i="34" s="1"/>
  <c r="K128" i="36"/>
  <c r="P251" i="36" s="1"/>
  <c r="G596" i="19"/>
  <c r="G597" i="19" s="1"/>
  <c r="F597" i="19"/>
  <c r="R639" i="23" l="1"/>
  <c r="E653" i="23"/>
  <c r="E655" i="23" l="1"/>
  <c r="E654" i="23"/>
  <c r="E656" i="23" l="1"/>
  <c r="F660" i="23" s="1"/>
  <c r="F659" i="23" l="1"/>
  <c r="F661" i="23" s="1"/>
  <c r="R676" i="23" s="1"/>
  <c r="R655" i="23" l="1"/>
  <c r="R677" i="23"/>
  <c r="T677" i="23" s="1"/>
  <c r="R650" i="23"/>
  <c r="R673" i="23"/>
  <c r="R716" i="23"/>
  <c r="R667" i="23"/>
  <c r="R672" i="23"/>
  <c r="R654" i="23"/>
  <c r="T655" i="23" s="1"/>
  <c r="R691" i="23"/>
  <c r="R704" i="23"/>
  <c r="R735" i="23"/>
  <c r="R722" i="23"/>
  <c r="R733" i="23"/>
  <c r="R649" i="23"/>
  <c r="R645" i="23"/>
  <c r="R742" i="23"/>
  <c r="R729" i="23"/>
  <c r="R700" i="23"/>
  <c r="R656" i="23"/>
  <c r="T656" i="23" s="1"/>
  <c r="R713" i="23"/>
  <c r="R684" i="23"/>
  <c r="R743" i="23"/>
  <c r="R693" i="23"/>
  <c r="R652" i="23"/>
  <c r="R661" i="23"/>
  <c r="R685" i="23"/>
  <c r="R663" i="23"/>
  <c r="U663" i="23" s="1"/>
  <c r="R658" i="23"/>
  <c r="R724" i="23"/>
  <c r="R680" i="23"/>
  <c r="R675" i="23"/>
  <c r="T676" i="23" s="1"/>
  <c r="R678" i="23"/>
  <c r="R703" i="23"/>
  <c r="F637" i="23"/>
  <c r="F639" i="23" s="1"/>
  <c r="F641" i="23" s="1"/>
  <c r="K132" i="23" s="1"/>
  <c r="P306" i="23" s="1"/>
  <c r="R687" i="23"/>
  <c r="R669" i="23"/>
  <c r="R723" i="23"/>
  <c r="T723" i="23" s="1"/>
  <c r="R671" i="23"/>
  <c r="R651" i="23"/>
  <c r="R696" i="23"/>
  <c r="R698" i="23"/>
  <c r="R707" i="23"/>
  <c r="R702" i="23"/>
  <c r="R681" i="23"/>
  <c r="R660" i="23"/>
  <c r="R719" i="23"/>
  <c r="R706" i="23"/>
  <c r="R717" i="23"/>
  <c r="R728" i="23"/>
  <c r="R731" i="23"/>
  <c r="R726" i="23"/>
  <c r="R712" i="23"/>
  <c r="R715" i="23"/>
  <c r="R710" i="23"/>
  <c r="R657" i="23"/>
  <c r="R709" i="23"/>
  <c r="R730" i="23"/>
  <c r="T730" i="23" s="1"/>
  <c r="R741" i="23"/>
  <c r="R665" i="23"/>
  <c r="R653" i="23"/>
  <c r="U653" i="23" s="1"/>
  <c r="R647" i="23"/>
  <c r="R737" i="23"/>
  <c r="R708" i="23"/>
  <c r="R664" i="23"/>
  <c r="R659" i="23"/>
  <c r="R662" i="23"/>
  <c r="T662" i="23" s="1"/>
  <c r="R648" i="23"/>
  <c r="U648" i="23" s="1"/>
  <c r="R738" i="23"/>
  <c r="R646" i="23"/>
  <c r="R689" i="23"/>
  <c r="R694" i="23"/>
  <c r="R720" i="23"/>
  <c r="R666" i="23"/>
  <c r="R732" i="23"/>
  <c r="R688" i="23"/>
  <c r="T688" i="23" s="1"/>
  <c r="R683" i="23"/>
  <c r="R686" i="23"/>
  <c r="R736" i="23"/>
  <c r="R699" i="23"/>
  <c r="R644" i="23"/>
  <c r="R690" i="23"/>
  <c r="R701" i="23"/>
  <c r="T701" i="23" s="1"/>
  <c r="R679" i="23"/>
  <c r="R674" i="23"/>
  <c r="T674" i="23" s="1"/>
  <c r="R740" i="23"/>
  <c r="R670" i="23"/>
  <c r="T670" i="23" s="1"/>
  <c r="R711" i="23"/>
  <c r="R682" i="23"/>
  <c r="R697" i="23"/>
  <c r="R668" i="23"/>
  <c r="U668" i="23" s="1"/>
  <c r="R727" i="23"/>
  <c r="R714" i="23"/>
  <c r="T714" i="23" s="1"/>
  <c r="R725" i="23"/>
  <c r="T725" i="23" s="1"/>
  <c r="R695" i="23"/>
  <c r="R739" i="23"/>
  <c r="R734" i="23"/>
  <c r="R721" i="23"/>
  <c r="R692" i="23"/>
  <c r="T692" i="23" s="1"/>
  <c r="R718" i="23"/>
  <c r="R705" i="23"/>
  <c r="U658" i="23"/>
  <c r="T659" i="23" l="1"/>
  <c r="T732" i="23"/>
  <c r="T699" i="23"/>
  <c r="T734" i="23"/>
  <c r="T678" i="23"/>
  <c r="T704" i="23"/>
  <c r="T686" i="23"/>
  <c r="T705" i="23"/>
  <c r="G641" i="23"/>
  <c r="T708" i="23"/>
  <c r="T651" i="23"/>
  <c r="T727" i="23"/>
  <c r="T736" i="23"/>
  <c r="T666" i="23"/>
  <c r="T664" i="23"/>
  <c r="T657" i="23"/>
  <c r="T720" i="23"/>
  <c r="T740" i="23"/>
  <c r="T743" i="23"/>
  <c r="T658" i="23"/>
  <c r="T648" i="23"/>
  <c r="T695" i="23"/>
  <c r="T690" i="23"/>
  <c r="T653" i="23"/>
  <c r="T685" i="23"/>
  <c r="T687" i="23"/>
  <c r="T652" i="23"/>
  <c r="T679" i="23"/>
  <c r="T711" i="23"/>
  <c r="T646" i="23"/>
  <c r="T673" i="23"/>
  <c r="T671" i="23"/>
  <c r="T668" i="23"/>
  <c r="T667" i="23"/>
  <c r="T682" i="23"/>
  <c r="T717" i="23"/>
  <c r="T694" i="23"/>
  <c r="T718" i="23"/>
  <c r="T683" i="23"/>
  <c r="T738" i="23"/>
  <c r="T721" i="23"/>
  <c r="T697" i="23"/>
  <c r="T665" i="23"/>
  <c r="T684" i="23"/>
  <c r="T669" i="23"/>
  <c r="T712" i="23"/>
  <c r="T715" i="23"/>
  <c r="T660" i="23"/>
  <c r="T649" i="23"/>
  <c r="T724" i="23"/>
  <c r="T733" i="23"/>
  <c r="T739" i="23"/>
  <c r="T741" i="23"/>
  <c r="T726" i="23"/>
  <c r="T702" i="23"/>
  <c r="T713" i="23"/>
  <c r="T722" i="23"/>
  <c r="T654" i="23"/>
  <c r="T731" i="23"/>
  <c r="T707" i="23"/>
  <c r="T663" i="23"/>
  <c r="T735" i="23"/>
  <c r="T689" i="23"/>
  <c r="T709" i="23"/>
  <c r="T728" i="23"/>
  <c r="T698" i="23"/>
  <c r="T700" i="23"/>
  <c r="T680" i="23"/>
  <c r="T696" i="23"/>
  <c r="T703" i="23"/>
  <c r="T729" i="23"/>
  <c r="T691" i="23"/>
  <c r="T650" i="23"/>
  <c r="T716" i="23"/>
  <c r="T737" i="23"/>
  <c r="T706" i="23"/>
  <c r="T742" i="23"/>
  <c r="T681" i="23"/>
  <c r="T661" i="23"/>
  <c r="T647" i="23"/>
  <c r="T710" i="23"/>
  <c r="T719" i="23"/>
  <c r="T675" i="23"/>
  <c r="T693" i="23"/>
  <c r="T645" i="23"/>
  <c r="T644" i="23" s="1"/>
  <c r="T672" i="23"/>
  <c r="F662" i="23" l="1"/>
  <c r="F646" i="23" s="1"/>
  <c r="F647" i="23" s="1"/>
  <c r="G646" i="23" l="1"/>
  <c r="G647" i="23" s="1"/>
  <c r="E136" i="36" l="1"/>
  <c r="E135" i="34"/>
  <c r="F136" i="36"/>
  <c r="F135" i="34"/>
  <c r="G135" i="34"/>
  <c r="G136" i="36"/>
  <c r="H136" i="36"/>
  <c r="H135" i="34"/>
  <c r="J136" i="36"/>
  <c r="J135" i="34"/>
  <c r="AY220" i="19" l="1"/>
  <c r="AY225" i="19" l="1"/>
  <c r="AZ220" i="19" s="1"/>
  <c r="AZ224" i="19" l="1"/>
  <c r="AZ223" i="19"/>
  <c r="AZ221" i="19"/>
  <c r="AZ222" i="19"/>
  <c r="AJ207" i="19" l="1"/>
  <c r="AT202" i="19" s="1"/>
  <c r="G100" i="23"/>
  <c r="AI250" i="23" s="1"/>
  <c r="AS245" i="23" s="1"/>
  <c r="G98" i="34"/>
  <c r="AH196" i="34" s="1"/>
  <c r="G99" i="36"/>
  <c r="AI197" i="36" s="1"/>
  <c r="AT213" i="19" l="1"/>
  <c r="AT214" i="19" s="1"/>
  <c r="AN229" i="19" s="1"/>
  <c r="AN230" i="19" s="1"/>
  <c r="F85" i="19" s="1"/>
  <c r="AR201" i="34"/>
  <c r="AR191" i="34"/>
  <c r="AS192" i="36"/>
  <c r="AS203" i="36"/>
  <c r="AS204" i="36" s="1"/>
  <c r="AI229" i="19"/>
  <c r="AI230" i="19" s="1"/>
  <c r="G85" i="19" s="1"/>
  <c r="BE213" i="19"/>
  <c r="BD256" i="23"/>
  <c r="AH272" i="23"/>
  <c r="AH273" i="23" s="1"/>
  <c r="G85" i="23" s="1"/>
  <c r="AS256" i="23"/>
  <c r="AS257" i="23" s="1"/>
  <c r="BD213" i="19" l="1"/>
  <c r="AM218" i="36"/>
  <c r="BC202" i="36"/>
  <c r="BE214" i="19"/>
  <c r="AP229" i="19" s="1"/>
  <c r="AP230" i="19" s="1"/>
  <c r="I102" i="19" s="1"/>
  <c r="BD202" i="36"/>
  <c r="AH218" i="36"/>
  <c r="BC201" i="34"/>
  <c r="BC202" i="34" s="1"/>
  <c r="AO217" i="34" s="1"/>
  <c r="AO218" i="34" s="1"/>
  <c r="AL217" i="34"/>
  <c r="AL218" i="34" s="1"/>
  <c r="I82" i="34" s="1"/>
  <c r="AM272" i="23"/>
  <c r="AM273" i="23" s="1"/>
  <c r="F85" i="23" s="1"/>
  <c r="BC256" i="23"/>
  <c r="BD257" i="23" s="1"/>
  <c r="AO272" i="23" s="1"/>
  <c r="AO273" i="23" s="1"/>
  <c r="I102" i="23" s="1"/>
  <c r="BD203" i="36" l="1"/>
  <c r="AO218" i="36" s="1"/>
  <c r="AO219" i="36" s="1"/>
  <c r="I101" i="36" s="1"/>
  <c r="AM219" i="36"/>
  <c r="F83" i="36"/>
  <c r="I100" i="34"/>
  <c r="AH219" i="36"/>
  <c r="G83" i="36"/>
  <c r="K133" i="34" l="1"/>
  <c r="K132" i="34" l="1"/>
  <c r="K131" i="34"/>
  <c r="K132" i="36" l="1"/>
  <c r="K133" i="36"/>
  <c r="R240" i="28" l="1"/>
  <c r="C554" i="28" l="1"/>
  <c r="D345" i="28"/>
  <c r="D446" i="28" s="1"/>
  <c r="D464" i="28" s="1"/>
  <c r="E557" i="28"/>
  <c r="D346" i="28"/>
  <c r="D447" i="28" s="1"/>
  <c r="D465" i="28" s="1"/>
  <c r="C553" i="28"/>
  <c r="C555" i="28"/>
  <c r="E555" i="28" s="1"/>
  <c r="C556" i="28"/>
  <c r="E556" i="28" s="1"/>
  <c r="E553" i="28" l="1"/>
  <c r="C561" i="28"/>
  <c r="D471" i="28"/>
  <c r="C473" i="28" s="1"/>
  <c r="C474" i="28" s="1"/>
  <c r="D483" i="28"/>
  <c r="D499" i="28" s="1"/>
  <c r="E554" i="28"/>
  <c r="E558" i="28" s="1"/>
  <c r="K126" i="28" s="1"/>
  <c r="G351" i="28"/>
  <c r="C563" i="28"/>
  <c r="C565" i="28" s="1"/>
  <c r="C571" i="28"/>
  <c r="C572" i="28" s="1"/>
  <c r="G352" i="28"/>
  <c r="D482" i="28"/>
  <c r="D498" i="28" s="1"/>
  <c r="D505" i="28" s="1"/>
  <c r="C506" i="28" s="1"/>
  <c r="C507" i="28" s="1"/>
  <c r="K123" i="28" l="1"/>
  <c r="C363" i="28"/>
  <c r="C364" i="28" s="1"/>
  <c r="C365" i="28" s="1"/>
  <c r="J117" i="28" s="1"/>
  <c r="J118" i="28"/>
  <c r="K118" i="28" s="1"/>
  <c r="K117" i="28" l="1"/>
  <c r="J128" i="28"/>
  <c r="J129" i="28" s="1"/>
  <c r="E129" i="28" l="1"/>
  <c r="K128" i="28"/>
  <c r="D129" i="28"/>
  <c r="P251" i="28"/>
  <c r="F129" i="28"/>
  <c r="I129" i="28"/>
  <c r="G129" i="28"/>
  <c r="H129" i="28"/>
  <c r="K133" i="28" l="1"/>
  <c r="Q206" i="28" s="1"/>
  <c r="L116" i="28"/>
  <c r="C5" i="24" s="1"/>
  <c r="L113" i="28"/>
  <c r="C3" i="24" s="1"/>
  <c r="L121" i="28"/>
  <c r="L120" i="28"/>
  <c r="L115" i="28"/>
  <c r="L112" i="28"/>
  <c r="C2" i="24" s="1"/>
  <c r="C11" i="24"/>
  <c r="L124" i="28"/>
  <c r="L114" i="28"/>
  <c r="L122" i="28"/>
  <c r="L119" i="28"/>
  <c r="L125" i="28"/>
  <c r="L126" i="28"/>
  <c r="L123" i="28"/>
  <c r="C9" i="24" s="1"/>
  <c r="L118" i="28"/>
  <c r="C7" i="24" s="1"/>
  <c r="R264" i="28"/>
  <c r="R262" i="28"/>
  <c r="P254" i="28"/>
  <c r="R265" i="28"/>
  <c r="R263" i="28"/>
  <c r="P255" i="28"/>
  <c r="P252" i="28"/>
  <c r="R261" i="28"/>
  <c r="L117" i="28"/>
  <c r="C6" i="24" s="1"/>
  <c r="C8" i="24" l="1"/>
  <c r="R256" i="28"/>
  <c r="K137" i="28" s="1"/>
  <c r="P258" i="28"/>
  <c r="B137" i="28" s="1"/>
  <c r="U263" i="28"/>
  <c r="U265" i="28"/>
  <c r="R255" i="28"/>
  <c r="K136" i="28" s="1"/>
  <c r="P257" i="28"/>
  <c r="R254" i="28"/>
  <c r="K135" i="28" s="1"/>
  <c r="U262" i="28"/>
  <c r="C4" i="24"/>
  <c r="R266" i="28"/>
  <c r="U266" i="28" s="1"/>
  <c r="U261" i="28"/>
  <c r="U264" i="28"/>
  <c r="C10" i="24"/>
  <c r="Q207" i="28"/>
  <c r="Q208" i="28"/>
  <c r="S261" i="28" l="1"/>
  <c r="T261" i="28" s="1"/>
  <c r="C12" i="24"/>
  <c r="S265" i="28"/>
  <c r="T265" i="28" s="1"/>
  <c r="S262" i="28"/>
  <c r="T262" i="28" s="1"/>
  <c r="S263" i="28"/>
  <c r="T263" i="28" s="1"/>
  <c r="S264" i="28"/>
  <c r="T264" i="28" s="1"/>
  <c r="B136" i="28"/>
  <c r="B135" i="28"/>
  <c r="S266" i="28" l="1"/>
  <c r="T266" i="28"/>
  <c r="K134" i="36" l="1"/>
  <c r="H31" i="23"/>
  <c r="H30" i="34"/>
  <c r="H30" i="36"/>
  <c r="R204" i="19"/>
  <c r="Q247" i="23" l="1"/>
  <c r="Q248" i="23"/>
  <c r="Q193" i="36"/>
  <c r="Q197" i="36" s="1"/>
  <c r="Q194" i="36"/>
  <c r="P192" i="34"/>
  <c r="P193" i="34"/>
  <c r="R208" i="19"/>
  <c r="R209" i="19"/>
  <c r="R212" i="19" s="1"/>
  <c r="Q252" i="23" l="1"/>
  <c r="P196" i="34"/>
  <c r="Q251" i="23"/>
  <c r="Q198" i="36"/>
  <c r="Q201" i="36" s="1"/>
  <c r="P197" i="34"/>
  <c r="P200" i="34" s="1"/>
  <c r="R210" i="19"/>
  <c r="Q255" i="23"/>
  <c r="Q253" i="23"/>
  <c r="Q199" i="36" l="1"/>
  <c r="P198" i="34"/>
  <c r="P241" i="34" s="1"/>
  <c r="Q211" i="36"/>
  <c r="Q242" i="36"/>
  <c r="Q200" i="36"/>
  <c r="P210" i="34"/>
  <c r="H35" i="23"/>
  <c r="D269" i="23"/>
  <c r="D265" i="23" s="1"/>
  <c r="D215" i="34"/>
  <c r="D211" i="34" s="1"/>
  <c r="H34" i="34"/>
  <c r="D227" i="19"/>
  <c r="R216" i="19"/>
  <c r="B41" i="19" s="1"/>
  <c r="R213" i="19"/>
  <c r="H35" i="19"/>
  <c r="H34" i="36"/>
  <c r="D216" i="36"/>
  <c r="D212" i="36" s="1"/>
  <c r="Q265" i="23"/>
  <c r="Q297" i="23" s="1"/>
  <c r="F243" i="23"/>
  <c r="F241" i="23"/>
  <c r="Q254" i="23"/>
  <c r="C113" i="30"/>
  <c r="R211" i="19"/>
  <c r="R222" i="19"/>
  <c r="R254" i="19" s="1"/>
  <c r="P199" i="34" l="1"/>
  <c r="D237" i="36"/>
  <c r="D220" i="36"/>
  <c r="D225" i="36" s="1"/>
  <c r="D259" i="36"/>
  <c r="D280" i="36"/>
  <c r="D282" i="36" s="1"/>
  <c r="D292" i="23"/>
  <c r="D335" i="23"/>
  <c r="D337" i="23" s="1"/>
  <c r="D275" i="23"/>
  <c r="D280" i="23" s="1"/>
  <c r="D314" i="23"/>
  <c r="D272" i="23"/>
  <c r="Q205" i="36"/>
  <c r="B39" i="36" s="1"/>
  <c r="Q259" i="23"/>
  <c r="B41" i="23" s="1"/>
  <c r="R256" i="19"/>
  <c r="R258" i="19" s="1"/>
  <c r="T254" i="19"/>
  <c r="C12" i="22"/>
  <c r="C65" i="22" s="1"/>
  <c r="C64" i="22" s="1"/>
  <c r="C39" i="22" s="1"/>
  <c r="C16" i="12"/>
  <c r="C14" i="2"/>
  <c r="C67" i="2" s="1"/>
  <c r="C69" i="2" s="1"/>
  <c r="C13" i="11"/>
  <c r="C13" i="8"/>
  <c r="C82" i="8" s="1"/>
  <c r="C12" i="30"/>
  <c r="C93" i="30" s="1"/>
  <c r="C94" i="30" s="1"/>
  <c r="C53" i="30" s="1"/>
  <c r="C14" i="15"/>
  <c r="C83" i="15" s="1"/>
  <c r="C14" i="7"/>
  <c r="C88" i="7" s="1"/>
  <c r="C115" i="30"/>
  <c r="C118" i="30"/>
  <c r="C120" i="30" s="1"/>
  <c r="R241" i="34"/>
  <c r="P243" i="34"/>
  <c r="P245" i="34" s="1"/>
  <c r="P204" i="34"/>
  <c r="B39" i="34" s="1"/>
  <c r="Q244" i="36"/>
  <c r="Q246" i="36" s="1"/>
  <c r="S242" i="36"/>
  <c r="U5" i="24"/>
  <c r="G196" i="23"/>
  <c r="C105" i="12"/>
  <c r="D223" i="19"/>
  <c r="Q299" i="23"/>
  <c r="Q301" i="23" s="1"/>
  <c r="S297" i="23"/>
  <c r="D221" i="34"/>
  <c r="D224" i="34" s="1"/>
  <c r="D218" i="34"/>
  <c r="D267" i="34"/>
  <c r="D245" i="34"/>
  <c r="D228" i="34" l="1"/>
  <c r="D233" i="34" s="1"/>
  <c r="C122" i="30"/>
  <c r="T256" i="19"/>
  <c r="T258" i="19" s="1"/>
  <c r="S277" i="19" s="1"/>
  <c r="D319" i="23"/>
  <c r="D344" i="23" s="1"/>
  <c r="S299" i="23"/>
  <c r="S301" i="23" s="1"/>
  <c r="R320" i="23" s="1"/>
  <c r="C78" i="2"/>
  <c r="D253" i="34"/>
  <c r="D258" i="34" s="1"/>
  <c r="I79" i="34"/>
  <c r="D113" i="23"/>
  <c r="C282" i="23"/>
  <c r="C283" i="23" s="1"/>
  <c r="C284" i="23" s="1"/>
  <c r="C106" i="7"/>
  <c r="D270" i="19"/>
  <c r="C133" i="15"/>
  <c r="C99" i="8"/>
  <c r="D231" i="19"/>
  <c r="C139" i="7"/>
  <c r="C153" i="12"/>
  <c r="C154" i="12" s="1"/>
  <c r="C103" i="12"/>
  <c r="C157" i="7"/>
  <c r="C164" i="7" s="1"/>
  <c r="C165" i="7" s="1"/>
  <c r="C166" i="7" s="1"/>
  <c r="C175" i="12"/>
  <c r="C176" i="12" s="1"/>
  <c r="C136" i="15"/>
  <c r="C159" i="7"/>
  <c r="C112" i="8"/>
  <c r="C155" i="12"/>
  <c r="C146" i="12"/>
  <c r="C147" i="12" s="1"/>
  <c r="C148" i="12" s="1"/>
  <c r="C149" i="12" s="1"/>
  <c r="D248" i="19"/>
  <c r="C142" i="7"/>
  <c r="D291" i="19"/>
  <c r="D293" i="19" s="1"/>
  <c r="C145" i="12"/>
  <c r="D272" i="34"/>
  <c r="D295" i="34" s="1"/>
  <c r="D300" i="23"/>
  <c r="D305" i="23" s="1"/>
  <c r="I82" i="23"/>
  <c r="D111" i="34"/>
  <c r="C235" i="34"/>
  <c r="C236" i="34" s="1"/>
  <c r="C237" i="34" s="1"/>
  <c r="S244" i="36"/>
  <c r="S246" i="36" s="1"/>
  <c r="R265" i="36" s="1"/>
  <c r="C88" i="11"/>
  <c r="C84" i="11" s="1"/>
  <c r="C75" i="11"/>
  <c r="D264" i="36"/>
  <c r="D289" i="36" s="1"/>
  <c r="C98" i="12"/>
  <c r="D112" i="36"/>
  <c r="C227" i="36"/>
  <c r="C228" i="36" s="1"/>
  <c r="C229" i="36" s="1"/>
  <c r="R243" i="34"/>
  <c r="R245" i="34" s="1"/>
  <c r="Q264" i="34" s="1"/>
  <c r="D288" i="34"/>
  <c r="D245" i="36"/>
  <c r="D250" i="36" s="1"/>
  <c r="I80" i="36"/>
  <c r="C167" i="7" l="1"/>
  <c r="C168" i="7" s="1"/>
  <c r="D291" i="34"/>
  <c r="D299" i="34" s="1"/>
  <c r="D414" i="34" s="1"/>
  <c r="C150" i="12"/>
  <c r="C151" i="12" s="1"/>
  <c r="C152" i="12" s="1"/>
  <c r="D285" i="36"/>
  <c r="D293" i="36" s="1"/>
  <c r="D427" i="36" s="1"/>
  <c r="U320" i="23"/>
  <c r="D245" i="12"/>
  <c r="C126" i="12"/>
  <c r="T264" i="34"/>
  <c r="V277" i="19"/>
  <c r="D423" i="36"/>
  <c r="K111" i="34"/>
  <c r="D256" i="19"/>
  <c r="I82" i="19"/>
  <c r="C169" i="7"/>
  <c r="C170" i="7"/>
  <c r="C171" i="7" s="1"/>
  <c r="C172" i="7" s="1"/>
  <c r="C74" i="2"/>
  <c r="C109" i="2"/>
  <c r="C107" i="12"/>
  <c r="C124" i="12"/>
  <c r="K113" i="23"/>
  <c r="C273" i="8"/>
  <c r="C275" i="8" s="1"/>
  <c r="C278" i="8" s="1"/>
  <c r="C279" i="8" s="1"/>
  <c r="C482" i="8" s="1"/>
  <c r="D482" i="8" s="1"/>
  <c r="D303" i="8"/>
  <c r="C100" i="8"/>
  <c r="C131" i="8"/>
  <c r="C136" i="8" s="1"/>
  <c r="C137" i="8" s="1"/>
  <c r="C481" i="8" s="1"/>
  <c r="C123" i="8"/>
  <c r="C127" i="8" s="1"/>
  <c r="C120" i="8"/>
  <c r="D114" i="23"/>
  <c r="K114" i="23" s="1"/>
  <c r="C307" i="23"/>
  <c r="C308" i="23" s="1"/>
  <c r="C309" i="23" s="1"/>
  <c r="C193" i="12"/>
  <c r="C195" i="12" s="1"/>
  <c r="C198" i="12" s="1"/>
  <c r="C199" i="12" s="1"/>
  <c r="C404" i="12" s="1"/>
  <c r="D404" i="12" s="1"/>
  <c r="D224" i="12"/>
  <c r="K112" i="36"/>
  <c r="D410" i="34"/>
  <c r="C94" i="7"/>
  <c r="C97" i="7" s="1"/>
  <c r="C98" i="7" s="1"/>
  <c r="C88" i="8"/>
  <c r="C91" i="8" s="1"/>
  <c r="C92" i="8" s="1"/>
  <c r="D236" i="19"/>
  <c r="C90" i="15"/>
  <c r="C93" i="15" s="1"/>
  <c r="C94" i="15" s="1"/>
  <c r="C361" i="15" s="1"/>
  <c r="D482" i="23"/>
  <c r="C92" i="11"/>
  <c r="C95" i="11"/>
  <c r="C103" i="11"/>
  <c r="C109" i="11"/>
  <c r="D340" i="23"/>
  <c r="D348" i="23" s="1"/>
  <c r="D486" i="23" s="1"/>
  <c r="U265" i="36"/>
  <c r="C134" i="15"/>
  <c r="C135" i="15"/>
  <c r="D113" i="36"/>
  <c r="K113" i="36" s="1"/>
  <c r="C252" i="36"/>
  <c r="C253" i="36" s="1"/>
  <c r="C254" i="36" s="1"/>
  <c r="C140" i="7"/>
  <c r="C176" i="7"/>
  <c r="C141" i="7"/>
  <c r="D226" i="7" s="1"/>
  <c r="C132" i="12"/>
  <c r="C130" i="12" s="1"/>
  <c r="C52" i="12"/>
  <c r="C177" i="12"/>
  <c r="D275" i="19"/>
  <c r="D300" i="19" s="1"/>
  <c r="D112" i="34"/>
  <c r="K112" i="34" s="1"/>
  <c r="C260" i="34"/>
  <c r="C261" i="34" s="1"/>
  <c r="C262" i="34" s="1"/>
  <c r="D303" i="34" l="1"/>
  <c r="D420" i="34"/>
  <c r="D113" i="34" s="1"/>
  <c r="K113" i="34" s="1"/>
  <c r="C128" i="12"/>
  <c r="C134" i="12" s="1"/>
  <c r="C137" i="12" s="1"/>
  <c r="C138" i="12" s="1"/>
  <c r="C403" i="12" s="1"/>
  <c r="D403" i="12" s="1"/>
  <c r="D297" i="36"/>
  <c r="D492" i="23"/>
  <c r="D115" i="23" s="1"/>
  <c r="K115" i="23" s="1"/>
  <c r="D434" i="19"/>
  <c r="C112" i="11"/>
  <c r="C474" i="8"/>
  <c r="C139" i="8"/>
  <c r="C92" i="12"/>
  <c r="AC4" i="24" s="1"/>
  <c r="C397" i="7"/>
  <c r="C99" i="11"/>
  <c r="C118" i="11"/>
  <c r="D365" i="34"/>
  <c r="O435" i="34"/>
  <c r="O447" i="34" s="1"/>
  <c r="P435" i="34"/>
  <c r="P447" i="34" s="1"/>
  <c r="T435" i="34"/>
  <c r="T447" i="34" s="1"/>
  <c r="S435" i="34"/>
  <c r="S447" i="34" s="1"/>
  <c r="D312" i="34"/>
  <c r="U435" i="34"/>
  <c r="U447" i="34" s="1"/>
  <c r="D316" i="34"/>
  <c r="D320" i="34"/>
  <c r="D314" i="34"/>
  <c r="D310" i="34"/>
  <c r="D318" i="34"/>
  <c r="R435" i="34"/>
  <c r="R447" i="34" s="1"/>
  <c r="Q435" i="34"/>
  <c r="Q447" i="34" s="1"/>
  <c r="C158" i="12"/>
  <c r="C113" i="12"/>
  <c r="C116" i="12" s="1"/>
  <c r="C117" i="12" s="1"/>
  <c r="C185" i="7"/>
  <c r="C188" i="7" s="1"/>
  <c r="C189" i="7" s="1"/>
  <c r="C183" i="12"/>
  <c r="C186" i="12" s="1"/>
  <c r="C187" i="12" s="1"/>
  <c r="C149" i="15"/>
  <c r="C152" i="15" s="1"/>
  <c r="C153" i="15" s="1"/>
  <c r="D261" i="19"/>
  <c r="C263" i="8"/>
  <c r="C266" i="8" s="1"/>
  <c r="C267" i="8" s="1"/>
  <c r="C137" i="15"/>
  <c r="C138" i="15" s="1"/>
  <c r="C139" i="15" s="1"/>
  <c r="C42" i="7"/>
  <c r="C43" i="7" s="1"/>
  <c r="C53" i="7" s="1"/>
  <c r="C84" i="7" s="1"/>
  <c r="AG5" i="24" s="1"/>
  <c r="C177" i="7"/>
  <c r="D352" i="23"/>
  <c r="D481" i="8"/>
  <c r="C143" i="7"/>
  <c r="C144" i="7" s="1"/>
  <c r="C145" i="7" s="1"/>
  <c r="C146" i="7" s="1"/>
  <c r="C147" i="7" s="1"/>
  <c r="C35" i="8"/>
  <c r="C101" i="8"/>
  <c r="C102" i="8" s="1"/>
  <c r="C93" i="2"/>
  <c r="C98" i="2" s="1"/>
  <c r="C99" i="2" s="1"/>
  <c r="C105" i="2"/>
  <c r="C124" i="2" s="1"/>
  <c r="C129" i="2" s="1"/>
  <c r="C85" i="2"/>
  <c r="C82" i="2"/>
  <c r="C113" i="2" s="1"/>
  <c r="D296" i="19"/>
  <c r="D304" i="19" s="1"/>
  <c r="D438" i="19" s="1"/>
  <c r="D361" i="15"/>
  <c r="D229" i="12"/>
  <c r="D252" i="12" s="1"/>
  <c r="D308" i="8"/>
  <c r="D331" i="8" s="1"/>
  <c r="D376" i="36"/>
  <c r="D306" i="36"/>
  <c r="D300" i="36"/>
  <c r="D308" i="36"/>
  <c r="D324" i="36" s="1"/>
  <c r="D304" i="36"/>
  <c r="D320" i="36" s="1"/>
  <c r="D378" i="36"/>
  <c r="D302" i="36"/>
  <c r="D318" i="36" s="1"/>
  <c r="D380" i="36"/>
  <c r="D113" i="19"/>
  <c r="C238" i="19"/>
  <c r="C239" i="19" s="1"/>
  <c r="C240" i="19" s="1"/>
  <c r="D433" i="36"/>
  <c r="D114" i="36" s="1"/>
  <c r="K114" i="36" s="1"/>
  <c r="C124" i="11" l="1"/>
  <c r="C128" i="11" s="1"/>
  <c r="C129" i="11" s="1"/>
  <c r="C475" i="8"/>
  <c r="C281" i="8"/>
  <c r="C488" i="8"/>
  <c r="D474" i="8"/>
  <c r="C103" i="8"/>
  <c r="C36" i="8"/>
  <c r="C46" i="8" s="1"/>
  <c r="C78" i="8" s="1"/>
  <c r="AO5" i="24" s="1"/>
  <c r="C106" i="8"/>
  <c r="C107" i="8" s="1"/>
  <c r="C108" i="8" s="1"/>
  <c r="D114" i="19"/>
  <c r="K114" i="19" s="1"/>
  <c r="C263" i="19"/>
  <c r="C264" i="19" s="1"/>
  <c r="C265" i="19" s="1"/>
  <c r="D312" i="36"/>
  <c r="D316" i="36"/>
  <c r="D310" i="36"/>
  <c r="K113" i="19"/>
  <c r="D322" i="36"/>
  <c r="D333" i="36"/>
  <c r="C362" i="15"/>
  <c r="D435" i="23"/>
  <c r="D363" i="23"/>
  <c r="D379" i="23" s="1"/>
  <c r="D359" i="23"/>
  <c r="D439" i="23"/>
  <c r="D361" i="23"/>
  <c r="D377" i="23" s="1"/>
  <c r="D365" i="23"/>
  <c r="D367" i="23"/>
  <c r="D383" i="23" s="1"/>
  <c r="D437" i="23"/>
  <c r="C397" i="12"/>
  <c r="C411" i="12" s="1"/>
  <c r="C201" i="12"/>
  <c r="D411" i="8"/>
  <c r="C398" i="7"/>
  <c r="D444" i="19"/>
  <c r="D115" i="19" s="1"/>
  <c r="C141" i="12"/>
  <c r="C396" i="12"/>
  <c r="C410" i="12" s="1"/>
  <c r="C416" i="12" s="1"/>
  <c r="D416" i="12" s="1"/>
  <c r="D322" i="34"/>
  <c r="D324" i="34"/>
  <c r="D367" i="34" s="1"/>
  <c r="D308" i="19"/>
  <c r="D248" i="12"/>
  <c r="D256" i="12" s="1"/>
  <c r="D337" i="12" s="1"/>
  <c r="C89" i="2"/>
  <c r="C116" i="2"/>
  <c r="C149" i="7"/>
  <c r="C150" i="7" s="1"/>
  <c r="C151" i="7" s="1"/>
  <c r="C148" i="7"/>
  <c r="C38" i="15"/>
  <c r="C140" i="15"/>
  <c r="C160" i="12"/>
  <c r="C164" i="12"/>
  <c r="C165" i="12" s="1"/>
  <c r="C166" i="12" s="1"/>
  <c r="D369" i="34"/>
  <c r="D442" i="34"/>
  <c r="D457" i="34" s="1"/>
  <c r="D231" i="7"/>
  <c r="D254" i="7" s="1"/>
  <c r="D333" i="12"/>
  <c r="C130" i="2"/>
  <c r="C33" i="2" s="1"/>
  <c r="C37" i="2" s="1"/>
  <c r="C38" i="2" s="1"/>
  <c r="D397" i="7"/>
  <c r="C135" i="11" l="1"/>
  <c r="D371" i="34"/>
  <c r="D480" i="34" s="1"/>
  <c r="D491" i="34" s="1"/>
  <c r="C62" i="2"/>
  <c r="Y3" i="24" s="1"/>
  <c r="C40" i="2"/>
  <c r="C167" i="12"/>
  <c r="C168" i="12" s="1"/>
  <c r="C120" i="2"/>
  <c r="C134" i="2" s="1"/>
  <c r="C136" i="2" s="1"/>
  <c r="D397" i="12"/>
  <c r="C489" i="8"/>
  <c r="D489" i="8" s="1"/>
  <c r="C39" i="8" s="1"/>
  <c r="D475" i="8"/>
  <c r="C39" i="15"/>
  <c r="C49" i="15" s="1"/>
  <c r="C79" i="15" s="1"/>
  <c r="AK5" i="24" s="1"/>
  <c r="C141" i="15"/>
  <c r="C142" i="15"/>
  <c r="C143" i="15" s="1"/>
  <c r="C144" i="15" s="1"/>
  <c r="D398" i="7"/>
  <c r="D260" i="12"/>
  <c r="D387" i="19"/>
  <c r="D313" i="19"/>
  <c r="D329" i="19" s="1"/>
  <c r="D317" i="19"/>
  <c r="D319" i="19"/>
  <c r="D335" i="19" s="1"/>
  <c r="D389" i="19"/>
  <c r="D391" i="19"/>
  <c r="D311" i="19"/>
  <c r="D315" i="19"/>
  <c r="D331" i="19" s="1"/>
  <c r="D392" i="23"/>
  <c r="D381" i="23"/>
  <c r="D324" i="8"/>
  <c r="D327" i="8" s="1"/>
  <c r="D335" i="8" s="1"/>
  <c r="C116" i="8"/>
  <c r="C285" i="8"/>
  <c r="K115" i="19"/>
  <c r="C207" i="7"/>
  <c r="C205" i="12"/>
  <c r="C171" i="15"/>
  <c r="D343" i="12"/>
  <c r="C379" i="12" s="1"/>
  <c r="D327" i="36"/>
  <c r="D334" i="7"/>
  <c r="C108" i="7"/>
  <c r="C110" i="7" s="1"/>
  <c r="C326" i="34"/>
  <c r="C327" i="34" s="1"/>
  <c r="C328" i="34" s="1"/>
  <c r="D488" i="8"/>
  <c r="C38" i="8" s="1"/>
  <c r="C136" i="11"/>
  <c r="C137" i="11" s="1"/>
  <c r="C138" i="11" s="1"/>
  <c r="D396" i="12"/>
  <c r="D362" i="15"/>
  <c r="C130" i="11"/>
  <c r="C142" i="11"/>
  <c r="D459" i="34"/>
  <c r="C461" i="34" s="1"/>
  <c r="C462" i="34" s="1"/>
  <c r="D371" i="23"/>
  <c r="D375" i="23"/>
  <c r="D386" i="23" s="1"/>
  <c r="D369" i="23"/>
  <c r="D336" i="36"/>
  <c r="D338" i="36" s="1"/>
  <c r="D382" i="36"/>
  <c r="D384" i="36" s="1"/>
  <c r="C143" i="11" l="1"/>
  <c r="C144" i="11" s="1"/>
  <c r="C145" i="11" s="1"/>
  <c r="D493" i="34"/>
  <c r="C494" i="34" s="1"/>
  <c r="C495" i="34" s="1"/>
  <c r="C498" i="34" s="1"/>
  <c r="C499" i="34" s="1"/>
  <c r="D115" i="34"/>
  <c r="K115" i="34" s="1"/>
  <c r="D375" i="34"/>
  <c r="D114" i="34" s="1"/>
  <c r="C131" i="11"/>
  <c r="C132" i="11" s="1"/>
  <c r="C140" i="11" s="1"/>
  <c r="C35" i="11" s="1"/>
  <c r="C37" i="11" s="1"/>
  <c r="C137" i="2"/>
  <c r="C41" i="2"/>
  <c r="C31" i="2"/>
  <c r="D410" i="12"/>
  <c r="D395" i="23"/>
  <c r="D397" i="23" s="1"/>
  <c r="D441" i="23"/>
  <c r="D443" i="23" s="1"/>
  <c r="K114" i="34"/>
  <c r="C170" i="12"/>
  <c r="C169" i="12"/>
  <c r="D388" i="23"/>
  <c r="C117" i="7"/>
  <c r="C195" i="7"/>
  <c r="C197" i="7" s="1"/>
  <c r="C200" i="7" s="1"/>
  <c r="C201" i="7" s="1"/>
  <c r="C125" i="7"/>
  <c r="C128" i="7" s="1"/>
  <c r="C129" i="7" s="1"/>
  <c r="C114" i="7"/>
  <c r="D323" i="19"/>
  <c r="D327" i="19"/>
  <c r="D321" i="19"/>
  <c r="D317" i="12"/>
  <c r="D275" i="12"/>
  <c r="D291" i="12" s="1"/>
  <c r="D269" i="12"/>
  <c r="D285" i="12" s="1"/>
  <c r="D319" i="12"/>
  <c r="D271" i="12"/>
  <c r="D287" i="12" s="1"/>
  <c r="D267" i="12"/>
  <c r="D321" i="12"/>
  <c r="D273" i="12"/>
  <c r="D423" i="34"/>
  <c r="C425" i="34" s="1"/>
  <c r="C426" i="34" s="1"/>
  <c r="C427" i="34" s="1"/>
  <c r="D329" i="36"/>
  <c r="D415" i="8"/>
  <c r="D421" i="8" s="1"/>
  <c r="C457" i="8" s="1"/>
  <c r="D339" i="8"/>
  <c r="C106" i="15"/>
  <c r="C102" i="15" s="1"/>
  <c r="D411" i="12"/>
  <c r="C417" i="12"/>
  <c r="D417" i="12" s="1"/>
  <c r="C56" i="12" s="1"/>
  <c r="D388" i="36"/>
  <c r="D493" i="36"/>
  <c r="D504" i="36" s="1"/>
  <c r="D506" i="36" s="1"/>
  <c r="C507" i="36" s="1"/>
  <c r="C508" i="36" s="1"/>
  <c r="D455" i="36"/>
  <c r="D470" i="36" s="1"/>
  <c r="D472" i="36" s="1"/>
  <c r="C474" i="36" s="1"/>
  <c r="C475" i="36" s="1"/>
  <c r="D344" i="19"/>
  <c r="D333" i="19"/>
  <c r="D116" i="36" l="1"/>
  <c r="D279" i="12"/>
  <c r="D283" i="12"/>
  <c r="D277" i="12"/>
  <c r="D190" i="15"/>
  <c r="C159" i="15"/>
  <c r="C161" i="15" s="1"/>
  <c r="C164" i="15" s="1"/>
  <c r="C165" i="15" s="1"/>
  <c r="C113" i="15"/>
  <c r="C121" i="15"/>
  <c r="C124" i="15" s="1"/>
  <c r="C125" i="15" s="1"/>
  <c r="C368" i="15" s="1"/>
  <c r="C110" i="15"/>
  <c r="D347" i="19"/>
  <c r="D349" i="19" s="1"/>
  <c r="D393" i="19"/>
  <c r="D395" i="19" s="1"/>
  <c r="C38" i="11"/>
  <c r="C69" i="11"/>
  <c r="AS3" i="24" s="1"/>
  <c r="C171" i="12"/>
  <c r="C172" i="12" s="1"/>
  <c r="C53" i="12"/>
  <c r="C63" i="12" s="1"/>
  <c r="C93" i="12" s="1"/>
  <c r="AC5" i="24" s="1"/>
  <c r="C132" i="7"/>
  <c r="C133" i="7" s="1"/>
  <c r="C405" i="7"/>
  <c r="C203" i="7"/>
  <c r="D289" i="12"/>
  <c r="D300" i="12"/>
  <c r="C121" i="7"/>
  <c r="D247" i="7"/>
  <c r="D250" i="7" s="1"/>
  <c r="D258" i="7" s="1"/>
  <c r="D124" i="34"/>
  <c r="D436" i="36"/>
  <c r="C438" i="36" s="1"/>
  <c r="C439" i="36" s="1"/>
  <c r="C440" i="36" s="1"/>
  <c r="D115" i="36"/>
  <c r="K116" i="36"/>
  <c r="K124" i="34"/>
  <c r="L114" i="34" s="1"/>
  <c r="H125" i="34"/>
  <c r="E125" i="34"/>
  <c r="G125" i="34"/>
  <c r="F125" i="34"/>
  <c r="J125" i="34"/>
  <c r="I125" i="34"/>
  <c r="C64" i="2"/>
  <c r="Y5" i="24" s="1"/>
  <c r="C42" i="2"/>
  <c r="C65" i="2" s="1"/>
  <c r="D350" i="8"/>
  <c r="D366" i="8" s="1"/>
  <c r="D395" i="8"/>
  <c r="D346" i="8"/>
  <c r="D352" i="8"/>
  <c r="D348" i="8"/>
  <c r="D364" i="8" s="1"/>
  <c r="D354" i="8"/>
  <c r="D370" i="8" s="1"/>
  <c r="D397" i="8"/>
  <c r="D399" i="8"/>
  <c r="D338" i="19"/>
  <c r="D552" i="23"/>
  <c r="D563" i="23" s="1"/>
  <c r="D565" i="23" s="1"/>
  <c r="C566" i="23" s="1"/>
  <c r="C567" i="23" s="1"/>
  <c r="D447" i="23"/>
  <c r="D514" i="23"/>
  <c r="D529" i="23" s="1"/>
  <c r="C404" i="7" l="1"/>
  <c r="C134" i="7"/>
  <c r="D405" i="7"/>
  <c r="C412" i="7"/>
  <c r="D412" i="7" s="1"/>
  <c r="C46" i="7" s="1"/>
  <c r="C55" i="12"/>
  <c r="D368" i="15"/>
  <c r="C375" i="15"/>
  <c r="C68" i="2"/>
  <c r="C43" i="2" s="1"/>
  <c r="Y6" i="24"/>
  <c r="C117" i="15"/>
  <c r="D211" i="15"/>
  <c r="D303" i="12"/>
  <c r="D305" i="12" s="1"/>
  <c r="D323" i="12"/>
  <c r="D325" i="12" s="1"/>
  <c r="C369" i="15"/>
  <c r="C167" i="15"/>
  <c r="D195" i="15"/>
  <c r="D218" i="15" s="1"/>
  <c r="D298" i="15" s="1"/>
  <c r="D531" i="23"/>
  <c r="C533" i="23" s="1"/>
  <c r="C534" i="23" s="1"/>
  <c r="D117" i="23"/>
  <c r="K117" i="23" s="1"/>
  <c r="K115" i="36"/>
  <c r="D125" i="36"/>
  <c r="C42" i="11"/>
  <c r="C40" i="11"/>
  <c r="K129" i="34"/>
  <c r="P206" i="34" s="1"/>
  <c r="L117" i="34"/>
  <c r="L121" i="34"/>
  <c r="L118" i="34"/>
  <c r="L122" i="34"/>
  <c r="L116" i="34"/>
  <c r="L120" i="34"/>
  <c r="L119" i="34"/>
  <c r="L113" i="34"/>
  <c r="L112" i="34"/>
  <c r="L111" i="34"/>
  <c r="L115" i="34"/>
  <c r="D495" i="23"/>
  <c r="C497" i="23" s="1"/>
  <c r="C498" i="23" s="1"/>
  <c r="C499" i="23" s="1"/>
  <c r="D116" i="23"/>
  <c r="D368" i="8"/>
  <c r="D379" i="8"/>
  <c r="D504" i="19"/>
  <c r="D515" i="19" s="1"/>
  <c r="D517" i="19" s="1"/>
  <c r="C518" i="19" s="1"/>
  <c r="C519" i="19" s="1"/>
  <c r="D399" i="19"/>
  <c r="D466" i="19"/>
  <c r="D481" i="19" s="1"/>
  <c r="D483" i="19" s="1"/>
  <c r="C485" i="19" s="1"/>
  <c r="C486" i="19" s="1"/>
  <c r="D362" i="8"/>
  <c r="D356" i="8"/>
  <c r="D358" i="8"/>
  <c r="D125" i="34"/>
  <c r="O249" i="34"/>
  <c r="D294" i="12"/>
  <c r="D340" i="19"/>
  <c r="D338" i="7"/>
  <c r="D344" i="7" s="1"/>
  <c r="C380" i="7" s="1"/>
  <c r="D262" i="7"/>
  <c r="D214" i="15" l="1"/>
  <c r="D222" i="15" s="1"/>
  <c r="D302" i="15" s="1"/>
  <c r="D308" i="15" s="1"/>
  <c r="C344" i="15" s="1"/>
  <c r="N2" i="24"/>
  <c r="V191" i="34"/>
  <c r="V197" i="34"/>
  <c r="N8" i="24"/>
  <c r="F126" i="36"/>
  <c r="K125" i="36"/>
  <c r="L115" i="36" s="1"/>
  <c r="G126" i="36"/>
  <c r="H126" i="36"/>
  <c r="E126" i="36"/>
  <c r="J126" i="36"/>
  <c r="I126" i="36"/>
  <c r="D329" i="12"/>
  <c r="D352" i="12"/>
  <c r="D358" i="12" s="1"/>
  <c r="D359" i="12" s="1"/>
  <c r="D366" i="12"/>
  <c r="D372" i="12" s="1"/>
  <c r="C374" i="12" s="1"/>
  <c r="V192" i="34"/>
  <c r="N3" i="24"/>
  <c r="D296" i="12"/>
  <c r="N4" i="24"/>
  <c r="V193" i="34"/>
  <c r="Q262" i="34"/>
  <c r="O251" i="34"/>
  <c r="Q260" i="34"/>
  <c r="O254" i="34"/>
  <c r="Q261" i="34"/>
  <c r="Q263" i="34"/>
  <c r="O253" i="34"/>
  <c r="D382" i="8"/>
  <c r="D384" i="8" s="1"/>
  <c r="D401" i="8"/>
  <c r="D403" i="8" s="1"/>
  <c r="V196" i="34"/>
  <c r="N7" i="24"/>
  <c r="P208" i="34"/>
  <c r="P207" i="34"/>
  <c r="D117" i="19"/>
  <c r="N9" i="24"/>
  <c r="V198" i="34"/>
  <c r="D273" i="7"/>
  <c r="D289" i="7" s="1"/>
  <c r="D271" i="7"/>
  <c r="D287" i="7" s="1"/>
  <c r="D320" i="7"/>
  <c r="D318" i="7"/>
  <c r="D269" i="7"/>
  <c r="D277" i="7"/>
  <c r="D293" i="7" s="1"/>
  <c r="D275" i="7"/>
  <c r="D322" i="7"/>
  <c r="K116" i="23"/>
  <c r="D129" i="23"/>
  <c r="D447" i="19"/>
  <c r="C449" i="19" s="1"/>
  <c r="C450" i="19" s="1"/>
  <c r="C451" i="19" s="1"/>
  <c r="D116" i="19"/>
  <c r="N5" i="24"/>
  <c r="V194" i="34"/>
  <c r="C43" i="11"/>
  <c r="C72" i="11"/>
  <c r="D373" i="8"/>
  <c r="N6" i="24"/>
  <c r="V195" i="34"/>
  <c r="D126" i="36"/>
  <c r="P250" i="36"/>
  <c r="D369" i="15"/>
  <c r="C376" i="15"/>
  <c r="D376" i="15" s="1"/>
  <c r="C42" i="15" s="1"/>
  <c r="D375" i="15"/>
  <c r="C41" i="15" s="1"/>
  <c r="D404" i="7"/>
  <c r="C411" i="7"/>
  <c r="D226" i="15" l="1"/>
  <c r="K117" i="19"/>
  <c r="C177" i="15"/>
  <c r="C211" i="12"/>
  <c r="C291" i="8"/>
  <c r="C213" i="7"/>
  <c r="Q254" i="34"/>
  <c r="O256" i="34"/>
  <c r="Q253" i="34"/>
  <c r="T263" i="34"/>
  <c r="C385" i="12"/>
  <c r="D346" i="12"/>
  <c r="C382" i="12"/>
  <c r="C388" i="12" s="1"/>
  <c r="C390" i="12" s="1"/>
  <c r="C405" i="12" s="1"/>
  <c r="T261" i="34"/>
  <c r="D411" i="7"/>
  <c r="C45" i="7" s="1"/>
  <c r="P305" i="23"/>
  <c r="D130" i="23"/>
  <c r="O257" i="34"/>
  <c r="B133" i="34" s="1"/>
  <c r="Q255" i="34"/>
  <c r="K116" i="19"/>
  <c r="C288" i="8"/>
  <c r="C294" i="8" s="1"/>
  <c r="C296" i="8" s="1"/>
  <c r="C210" i="7"/>
  <c r="C216" i="7" s="1"/>
  <c r="C218" i="7" s="1"/>
  <c r="C174" i="15"/>
  <c r="C180" i="15" s="1"/>
  <c r="C182" i="15" s="1"/>
  <c r="C208" i="12"/>
  <c r="C214" i="12" s="1"/>
  <c r="C216" i="12" s="1"/>
  <c r="D129" i="19"/>
  <c r="D375" i="8"/>
  <c r="K129" i="23"/>
  <c r="L116" i="23" s="1"/>
  <c r="J130" i="23"/>
  <c r="G130" i="23"/>
  <c r="F130" i="23"/>
  <c r="I130" i="23"/>
  <c r="E130" i="23"/>
  <c r="H130" i="23"/>
  <c r="Q265" i="34"/>
  <c r="R263" i="34" s="1"/>
  <c r="S263" i="34" s="1"/>
  <c r="T260" i="34"/>
  <c r="N10" i="24"/>
  <c r="AS6" i="24"/>
  <c r="C76" i="11"/>
  <c r="D291" i="7"/>
  <c r="D302" i="7"/>
  <c r="D407" i="8"/>
  <c r="D430" i="8"/>
  <c r="D436" i="8" s="1"/>
  <c r="D437" i="8" s="1"/>
  <c r="D444" i="8"/>
  <c r="D450" i="8" s="1"/>
  <c r="C452" i="8" s="1"/>
  <c r="T262" i="34"/>
  <c r="D233" i="15"/>
  <c r="D241" i="15"/>
  <c r="D257" i="15" s="1"/>
  <c r="D286" i="15"/>
  <c r="D284" i="15"/>
  <c r="D282" i="15"/>
  <c r="D239" i="15"/>
  <c r="D237" i="15"/>
  <c r="D253" i="15" s="1"/>
  <c r="D235" i="15"/>
  <c r="D251" i="15" s="1"/>
  <c r="D285" i="7"/>
  <c r="D279" i="7"/>
  <c r="D281" i="7"/>
  <c r="P254" i="36"/>
  <c r="R261" i="36"/>
  <c r="R262" i="36"/>
  <c r="P255" i="36"/>
  <c r="R263" i="36"/>
  <c r="R264" i="36"/>
  <c r="P252" i="36"/>
  <c r="L120" i="36"/>
  <c r="L117" i="36"/>
  <c r="L122" i="36"/>
  <c r="L121" i="36"/>
  <c r="L118" i="36"/>
  <c r="L119" i="36"/>
  <c r="L123" i="36"/>
  <c r="K130" i="36"/>
  <c r="Q207" i="36" s="1"/>
  <c r="L113" i="36"/>
  <c r="L112" i="36"/>
  <c r="L114" i="36"/>
  <c r="L116" i="36"/>
  <c r="D296" i="7" l="1"/>
  <c r="D298" i="7" s="1"/>
  <c r="R262" i="34"/>
  <c r="S262" i="34" s="1"/>
  <c r="R260" i="34"/>
  <c r="R3" i="24"/>
  <c r="W193" i="36"/>
  <c r="R8" i="24"/>
  <c r="W198" i="36"/>
  <c r="D305" i="7"/>
  <c r="D307" i="7" s="1"/>
  <c r="D324" i="7"/>
  <c r="D326" i="7" s="1"/>
  <c r="I130" i="19"/>
  <c r="G130" i="19"/>
  <c r="E130" i="19"/>
  <c r="F130" i="19"/>
  <c r="H130" i="19"/>
  <c r="J130" i="19"/>
  <c r="K129" i="19"/>
  <c r="B4" i="24" s="1"/>
  <c r="R261" i="34"/>
  <c r="S261" i="34" s="1"/>
  <c r="U264" i="36"/>
  <c r="D245" i="15"/>
  <c r="D249" i="15"/>
  <c r="D243" i="15"/>
  <c r="C463" i="8"/>
  <c r="B131" i="34"/>
  <c r="B132" i="34"/>
  <c r="D405" i="12"/>
  <c r="C407" i="12"/>
  <c r="D407" i="12" s="1"/>
  <c r="W196" i="36"/>
  <c r="R6" i="24"/>
  <c r="W194" i="36"/>
  <c r="R4" i="24"/>
  <c r="W199" i="36"/>
  <c r="R9" i="24"/>
  <c r="P258" i="36"/>
  <c r="R256" i="36"/>
  <c r="D136" i="36"/>
  <c r="D135" i="34"/>
  <c r="Q262" i="19"/>
  <c r="D130" i="19"/>
  <c r="W192" i="36"/>
  <c r="R2" i="24"/>
  <c r="U262" i="36"/>
  <c r="D255" i="15"/>
  <c r="D266" i="15"/>
  <c r="C392" i="12"/>
  <c r="C398" i="12"/>
  <c r="C412" i="12" s="1"/>
  <c r="C414" i="12" s="1"/>
  <c r="R318" i="23"/>
  <c r="P307" i="23"/>
  <c r="R319" i="23"/>
  <c r="R316" i="23"/>
  <c r="R317" i="23"/>
  <c r="P309" i="23"/>
  <c r="P310" i="23"/>
  <c r="W197" i="36"/>
  <c r="R7" i="24"/>
  <c r="R266" i="36"/>
  <c r="U261" i="36"/>
  <c r="C363" i="15"/>
  <c r="Q209" i="36"/>
  <c r="Q208" i="36"/>
  <c r="R255" i="36"/>
  <c r="R254" i="36"/>
  <c r="P257" i="36"/>
  <c r="S260" i="34"/>
  <c r="L119" i="23"/>
  <c r="L120" i="23"/>
  <c r="L121" i="23"/>
  <c r="L123" i="23"/>
  <c r="L125" i="23"/>
  <c r="L122" i="23"/>
  <c r="K134" i="23"/>
  <c r="Q261" i="23" s="1"/>
  <c r="L126" i="23"/>
  <c r="L127" i="23"/>
  <c r="L118" i="23"/>
  <c r="L124" i="23"/>
  <c r="L114" i="23"/>
  <c r="L115" i="23"/>
  <c r="L113" i="23"/>
  <c r="L117" i="23"/>
  <c r="C399" i="7"/>
  <c r="U263" i="36"/>
  <c r="W195" i="36"/>
  <c r="R5" i="24"/>
  <c r="C460" i="8"/>
  <c r="D424" i="8"/>
  <c r="T265" i="34"/>
  <c r="R264" i="34"/>
  <c r="S264" i="34" s="1"/>
  <c r="C476" i="8"/>
  <c r="C466" i="8" l="1"/>
  <c r="C468" i="8" s="1"/>
  <c r="C483" i="8" s="1"/>
  <c r="S273" i="19"/>
  <c r="V273" i="19" s="1"/>
  <c r="S275" i="19"/>
  <c r="S274" i="19"/>
  <c r="L117" i="19"/>
  <c r="M6" i="24" s="1"/>
  <c r="Q6" i="24" s="1"/>
  <c r="B5" i="24"/>
  <c r="R265" i="34"/>
  <c r="R10" i="24"/>
  <c r="S265" i="34"/>
  <c r="D476" i="8"/>
  <c r="C490" i="8"/>
  <c r="C478" i="8"/>
  <c r="D478" i="8" s="1"/>
  <c r="D363" i="15"/>
  <c r="C365" i="15"/>
  <c r="D365" i="15" s="1"/>
  <c r="P313" i="23"/>
  <c r="B141" i="23" s="1"/>
  <c r="R311" i="23"/>
  <c r="K141" i="23" s="1"/>
  <c r="Q266" i="19"/>
  <c r="Q267" i="19"/>
  <c r="S268" i="19" s="1"/>
  <c r="S276" i="19"/>
  <c r="Q264" i="19"/>
  <c r="D399" i="7"/>
  <c r="C401" i="7"/>
  <c r="D401" i="7" s="1"/>
  <c r="R310" i="23"/>
  <c r="K140" i="23" s="1"/>
  <c r="P312" i="23"/>
  <c r="R309" i="23"/>
  <c r="K139" i="23" s="1"/>
  <c r="D269" i="15"/>
  <c r="D271" i="15" s="1"/>
  <c r="D288" i="15"/>
  <c r="D290" i="15" s="1"/>
  <c r="D260" i="15"/>
  <c r="L120" i="19"/>
  <c r="K135" i="34"/>
  <c r="B8" i="24"/>
  <c r="L118" i="19"/>
  <c r="L124" i="19"/>
  <c r="B9" i="24"/>
  <c r="B10" i="24"/>
  <c r="L123" i="19"/>
  <c r="L121" i="19"/>
  <c r="L122" i="19"/>
  <c r="L126" i="19"/>
  <c r="K136" i="36"/>
  <c r="L119" i="19"/>
  <c r="B7" i="24"/>
  <c r="L127" i="19"/>
  <c r="K134" i="19"/>
  <c r="L125" i="19"/>
  <c r="B11" i="24"/>
  <c r="B6" i="24"/>
  <c r="B2" i="24"/>
  <c r="B3" i="24"/>
  <c r="L114" i="19"/>
  <c r="L113" i="19"/>
  <c r="L115" i="19"/>
  <c r="L116" i="19"/>
  <c r="U266" i="36"/>
  <c r="S265" i="36"/>
  <c r="T265" i="36" s="1"/>
  <c r="U317" i="23"/>
  <c r="D330" i="7"/>
  <c r="D353" i="7"/>
  <c r="D359" i="7" s="1"/>
  <c r="D367" i="7"/>
  <c r="D373" i="7" s="1"/>
  <c r="C375" i="7" s="1"/>
  <c r="Q263" i="23"/>
  <c r="Q262" i="23"/>
  <c r="S261" i="36"/>
  <c r="U316" i="23"/>
  <c r="R321" i="23"/>
  <c r="S316" i="23" s="1"/>
  <c r="D483" i="8"/>
  <c r="C485" i="8"/>
  <c r="D485" i="8" s="1"/>
  <c r="U319" i="23"/>
  <c r="S262" i="36"/>
  <c r="T262" i="36" s="1"/>
  <c r="S264" i="36"/>
  <c r="T264" i="36" s="1"/>
  <c r="S263" i="36"/>
  <c r="T263" i="36" s="1"/>
  <c r="U318" i="23"/>
  <c r="D398" i="12"/>
  <c r="C400" i="12"/>
  <c r="D400" i="12" s="1"/>
  <c r="X207" i="19" l="1"/>
  <c r="C470" i="8"/>
  <c r="S266" i="19"/>
  <c r="Q269" i="19"/>
  <c r="M2" i="24"/>
  <c r="X203" i="19"/>
  <c r="D360" i="7"/>
  <c r="C386" i="7"/>
  <c r="X205" i="19"/>
  <c r="M4" i="24"/>
  <c r="Q4" i="24" s="1"/>
  <c r="K137" i="23"/>
  <c r="K136" i="23"/>
  <c r="F236" i="23" s="1"/>
  <c r="F240" i="23" s="1"/>
  <c r="R218" i="19"/>
  <c r="D262" i="15"/>
  <c r="T316" i="23"/>
  <c r="X204" i="19"/>
  <c r="M3" i="24"/>
  <c r="Q3" i="24" s="1"/>
  <c r="V274" i="19"/>
  <c r="M7" i="24"/>
  <c r="Q7" i="24" s="1"/>
  <c r="X208" i="19"/>
  <c r="V275" i="19"/>
  <c r="S278" i="19"/>
  <c r="T275" i="19" s="1"/>
  <c r="U321" i="23"/>
  <c r="S320" i="23"/>
  <c r="T320" i="23" s="1"/>
  <c r="S317" i="23"/>
  <c r="T317" i="23" s="1"/>
  <c r="S319" i="23"/>
  <c r="T319" i="23" s="1"/>
  <c r="T261" i="36"/>
  <c r="T266" i="36" s="1"/>
  <c r="S266" i="36"/>
  <c r="B12" i="24"/>
  <c r="K139" i="36"/>
  <c r="K138" i="36"/>
  <c r="M5" i="24"/>
  <c r="Q5" i="24" s="1"/>
  <c r="X206" i="19"/>
  <c r="B139" i="23"/>
  <c r="J14" i="24"/>
  <c r="J9" i="24"/>
  <c r="J11" i="24"/>
  <c r="B140" i="23"/>
  <c r="J7" i="24"/>
  <c r="J12" i="24"/>
  <c r="J8" i="24"/>
  <c r="J15" i="24"/>
  <c r="J13" i="24"/>
  <c r="J10" i="24"/>
  <c r="J3" i="24"/>
  <c r="J2" i="24"/>
  <c r="J4" i="24"/>
  <c r="J6" i="24"/>
  <c r="J5" i="24"/>
  <c r="V276" i="19"/>
  <c r="D347" i="7"/>
  <c r="C383" i="7"/>
  <c r="C418" i="12"/>
  <c r="D412" i="12"/>
  <c r="D414" i="12"/>
  <c r="K138" i="34"/>
  <c r="K137" i="34"/>
  <c r="K138" i="19"/>
  <c r="K145" i="23" s="1"/>
  <c r="Q270" i="19"/>
  <c r="B138" i="19" s="1"/>
  <c r="D490" i="8"/>
  <c r="C40" i="8" s="1"/>
  <c r="C492" i="8"/>
  <c r="D492" i="8" s="1"/>
  <c r="C42" i="8" s="1"/>
  <c r="C43" i="8" s="1"/>
  <c r="D294" i="15"/>
  <c r="D317" i="15"/>
  <c r="D323" i="15" s="1"/>
  <c r="D324" i="15" s="1"/>
  <c r="D331" i="15"/>
  <c r="D337" i="15" s="1"/>
  <c r="C339" i="15" s="1"/>
  <c r="S318" i="23"/>
  <c r="T318" i="23" s="1"/>
  <c r="X210" i="19"/>
  <c r="M9" i="24"/>
  <c r="Q9" i="24" s="1"/>
  <c r="X209" i="19"/>
  <c r="M8" i="24"/>
  <c r="Q8" i="24" s="1"/>
  <c r="S267" i="19"/>
  <c r="K137" i="19" s="1"/>
  <c r="K144" i="23" s="1"/>
  <c r="K136" i="19"/>
  <c r="K143" i="23" s="1"/>
  <c r="C389" i="7" l="1"/>
  <c r="C391" i="7" s="1"/>
  <c r="T274" i="19"/>
  <c r="T276" i="19"/>
  <c r="G194" i="23"/>
  <c r="F242" i="23"/>
  <c r="U6" i="24" s="1"/>
  <c r="T273" i="19"/>
  <c r="U273" i="19" s="1"/>
  <c r="U276" i="19"/>
  <c r="U274" i="19"/>
  <c r="U3" i="24"/>
  <c r="G190" i="23"/>
  <c r="C45" i="8"/>
  <c r="C47" i="8"/>
  <c r="C79" i="8" s="1"/>
  <c r="C76" i="8"/>
  <c r="AO3" i="24" s="1"/>
  <c r="V278" i="19"/>
  <c r="T277" i="19"/>
  <c r="U277" i="19" s="1"/>
  <c r="U275" i="19"/>
  <c r="S321" i="23"/>
  <c r="T321" i="23"/>
  <c r="D418" i="12"/>
  <c r="C421" i="12"/>
  <c r="I8" i="24"/>
  <c r="I7" i="24"/>
  <c r="I9" i="24"/>
  <c r="B136" i="19"/>
  <c r="I12" i="24"/>
  <c r="I11" i="24"/>
  <c r="B137" i="19"/>
  <c r="I13" i="24"/>
  <c r="I10" i="24"/>
  <c r="I15" i="24"/>
  <c r="I14" i="24"/>
  <c r="I2" i="24"/>
  <c r="I3" i="24"/>
  <c r="I4" i="24"/>
  <c r="I6" i="24"/>
  <c r="I5" i="24"/>
  <c r="C350" i="15"/>
  <c r="D386" i="7" s="1"/>
  <c r="C406" i="7"/>
  <c r="C393" i="7"/>
  <c r="D311" i="15"/>
  <c r="C347" i="15"/>
  <c r="R220" i="19"/>
  <c r="R219" i="19"/>
  <c r="Q2" i="24"/>
  <c r="Q10" i="24" s="1"/>
  <c r="M10" i="24"/>
  <c r="C353" i="15" l="1"/>
  <c r="C355" i="15" s="1"/>
  <c r="C83" i="8"/>
  <c r="C48" i="8" s="1"/>
  <c r="AO6" i="24"/>
  <c r="G198" i="23"/>
  <c r="C370" i="15"/>
  <c r="C357" i="15"/>
  <c r="D406" i="7"/>
  <c r="C408" i="7"/>
  <c r="D408" i="7" s="1"/>
  <c r="C413" i="7"/>
  <c r="T278" i="19"/>
  <c r="C57" i="12"/>
  <c r="D421" i="12"/>
  <c r="C59" i="12" s="1"/>
  <c r="C60" i="12" s="1"/>
  <c r="U278" i="19"/>
  <c r="C62" i="12" l="1"/>
  <c r="C64" i="12"/>
  <c r="C94" i="12" s="1"/>
  <c r="C91" i="12"/>
  <c r="AC3" i="24" s="1"/>
  <c r="D370" i="15"/>
  <c r="C372" i="15"/>
  <c r="D372" i="15" s="1"/>
  <c r="C377" i="15"/>
  <c r="D413" i="7"/>
  <c r="C47" i="7" s="1"/>
  <c r="C49" i="7" s="1"/>
  <c r="C50" i="7" s="1"/>
  <c r="C415" i="7"/>
  <c r="D415" i="7" s="1"/>
  <c r="C54" i="7" l="1"/>
  <c r="C85" i="7" s="1"/>
  <c r="C82" i="7"/>
  <c r="AG3" i="24" s="1"/>
  <c r="C52" i="7"/>
  <c r="D377" i="15"/>
  <c r="C43" i="15" s="1"/>
  <c r="C379" i="15"/>
  <c r="D379" i="15" s="1"/>
  <c r="C45" i="15" s="1"/>
  <c r="C46" i="15" s="1"/>
  <c r="C97" i="12"/>
  <c r="C65" i="12" s="1"/>
  <c r="AC6" i="24"/>
  <c r="C77" i="15" l="1"/>
  <c r="AK3" i="24" s="1"/>
  <c r="C50" i="15"/>
  <c r="C80" i="15" s="1"/>
  <c r="C48" i="15"/>
  <c r="AG6" i="24"/>
  <c r="C89" i="7"/>
  <c r="C55" i="7" s="1"/>
  <c r="C84" i="15" l="1"/>
  <c r="C51" i="15" s="1"/>
  <c r="AK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11" authorId="0" shapeId="0" xr:uid="{00000000-0006-0000-01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1" authorId="0" shapeId="0" xr:uid="{00000000-0006-0000-0100-000002000000}">
      <text>
        <r>
          <rPr>
            <sz val="11"/>
            <color indexed="81"/>
            <rFont val="Tahoma"/>
            <family val="2"/>
          </rPr>
          <t>This is the unique supplier number that farmers have with their milk company.</t>
        </r>
        <r>
          <rPr>
            <sz val="9"/>
            <color indexed="81"/>
            <rFont val="Tahoma"/>
            <family val="2"/>
          </rPr>
          <t xml:space="preserve">
</t>
        </r>
      </text>
    </comment>
    <comment ref="G13" authorId="0" shapeId="0" xr:uid="{00000000-0006-0000-0100-000003000000}">
      <text>
        <r>
          <rPr>
            <sz val="11"/>
            <color indexed="81"/>
            <rFont val="Tahoma"/>
            <family val="2"/>
          </rPr>
          <t xml:space="preserve">Enter the financial year that this GHG assessment is for using the format 2021/22.  </t>
        </r>
      </text>
    </comment>
    <comment ref="C15" authorId="0" shapeId="0" xr:uid="{00000000-0006-0000-0100-000004000000}">
      <text>
        <r>
          <rPr>
            <sz val="11"/>
            <color indexed="81"/>
            <rFont val="Tahoma"/>
            <family val="2"/>
          </rPr>
          <t xml:space="preserve">When you go to the white cell to the right of this heading, a drop down arrow will appear to the right hand side and if you click on this, a list of all the states of Australia will appear.  </t>
        </r>
        <r>
          <rPr>
            <sz val="9"/>
            <color indexed="81"/>
            <rFont val="Tahoma"/>
            <family val="2"/>
          </rPr>
          <t xml:space="preserve">
</t>
        </r>
      </text>
    </comment>
    <comment ref="F15" authorId="0" shapeId="0" xr:uid="{B5F86DA5-C52F-4F77-AA9E-2DC059A171B4}">
      <text>
        <r>
          <rPr>
            <sz val="11"/>
            <color indexed="81"/>
            <rFont val="Tahoma"/>
            <family val="2"/>
          </rPr>
          <t xml:space="preserve">Select your option here to populate the Typical Industry Average graph below. The averages are based on data from the Dairy Farm Monitor Project (DFMP) and the Queensland Dairy Accounting Scheme (QDAS) as found in DairyBase (2015-16 to 2020-21). Select which region/state you which to compare your results to. Alternatively, we have provided an Australia-wide average. 
In addition, we have analysed the DFMP and QDAS datasets to generate averages for three classes of grain/concentrate feeding to represent farm systems. These are low (&lt; 1 t DM/cow.annum), medium (1-2 t DM/cow.annum) or high (&gt; 2 t DM/cow.annum). You need to determine how much grain/concentrate you feed your milking herd to be able to select the most appropriate comparison. Selecting a grain/concentrate option will not limit the results to just your region/state.
</t>
        </r>
      </text>
    </comment>
    <comment ref="D17" authorId="0" shapeId="0" xr:uid="{21A54B36-F375-4801-9E15-42688ABC58D5}">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7" authorId="0" shapeId="0" xr:uid="{DD67975F-6393-4D8D-936C-C98C79ED9A76}">
      <text>
        <r>
          <rPr>
            <sz val="11"/>
            <color indexed="81"/>
            <rFont val="Tahoma"/>
            <family val="2"/>
          </rPr>
          <t xml:space="preserve">This category is for your replacement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
If you raise non-replacement heifers, you need to add them to the Other stock &gt; 1 yr age category.
</t>
        </r>
        <r>
          <rPr>
            <sz val="8"/>
            <color indexed="81"/>
            <rFont val="Tahoma"/>
            <family val="2"/>
          </rPr>
          <t xml:space="preserve">
</t>
        </r>
      </text>
    </comment>
    <comment ref="F17" authorId="0" shapeId="0" xr:uid="{3F3603DF-42D1-48F5-8F54-133217CB63AE}">
      <text>
        <r>
          <rPr>
            <sz val="11"/>
            <color indexed="81"/>
            <rFont val="Tahoma"/>
            <family val="2"/>
          </rPr>
          <t xml:space="preserve">This category is for your replacement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
If you sell the non-replacement heifers as young calves (as week old calves or post-weaning), you don't need to add the number of them into the Livestock number cell, but enter the number sold further down the sheet.
If you raise the non-replacement heifers beyond weaning, add their number in with the Other stock &lt; 1 yr of age category. For example, you raise them to 9 months of age before selling, then you need to determine the annual average number present along with steers and bulls. See the help message for Other stock &lt; 1 yr age.
</t>
        </r>
        <r>
          <rPr>
            <sz val="12"/>
            <color indexed="81"/>
            <rFont val="Tahoma"/>
            <family val="2"/>
          </rPr>
          <t xml:space="preserve">
</t>
        </r>
      </text>
    </comment>
    <comment ref="G17" authorId="0" shapeId="0" xr:uid="{269D49F1-BDD5-4477-A6DB-439AD76000DE}">
      <text>
        <r>
          <rPr>
            <sz val="11"/>
            <color indexed="81"/>
            <rFont val="Tahoma"/>
            <family val="2"/>
          </rPr>
          <t>Mature bulls are no longer growing.  They  will be 10 to 20% heavier than the milking cow.  For example, if the milking cow weighs 600kg, the bulls are likely to be 660 to 720 kg.  As they are fully grown there is no liveweight gain.
In this example baseline farm we sold 5 bulls at 650 kg each for the year of assessment.</t>
        </r>
      </text>
    </comment>
    <comment ref="H17" authorId="0" shapeId="0" xr:uid="{E2F2783B-E92B-4CFE-B596-21310052F82F}">
      <text>
        <r>
          <rPr>
            <sz val="11"/>
            <color indexed="81"/>
            <rFont val="Tahoma"/>
            <family val="2"/>
          </rPr>
          <t xml:space="preserve">This category is for young bulls, steers and non-replacement heifers that are 0-1 years of age and can be either replacement bulls for breeding or steers and heifers to be sold off farm. </t>
        </r>
        <r>
          <rPr>
            <b/>
            <sz val="11"/>
            <color indexed="81"/>
            <rFont val="Tahoma"/>
            <family val="2"/>
          </rPr>
          <t>NOTE</t>
        </r>
        <r>
          <rPr>
            <sz val="11"/>
            <color indexed="81"/>
            <rFont val="Tahoma"/>
            <family val="2"/>
          </rPr>
          <t xml:space="preserve">: If you sell your surplus heifers and bull calves at 5 to 10 days of age, do not enter any data for them here, their data needs to go into the Calves category.
If you retain the bulls/steers/heifers for the full 12 months, use their liveweight at 6 months of age and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Conversely, if you sell the steers and heifers prior to reaching 1 year of age, determine the stocking rate if they were retained for the full year. For example, you have 75 steers and heifers and sell them at 9 months of age, thus 75 head x 9 months retained  / 12 months in the year = equivalent to 56 head per annum. 
If you sell most animals but retain some as bulls for replacements, it may be easiest to sum the number of bulls/steers/heifers present each month and divide by 12. For example, raised 5 bulls, as well as 70 steers and heifers and sold all 70 steers and heifers at 10 months of age and retained the 5 bulls as replacements. The sum of 70 steers/heifers for 10 months (700 equivalents) + 5 bulls for 12 months (60 equivalents) = 760 head equivalents / 12 months = 63 head per annum. 
You then need to determine their average liveweight and liveweight gain over the period they were present on farm, similar to if they were present for the full 12 months. For example, the non-replacement heifers and bulls were sold at  approx. 270 kg so their mid-point liveweight would be 135 kg liveweight. 
</t>
        </r>
      </text>
    </comment>
    <comment ref="I17" authorId="0" shapeId="0" xr:uid="{41A2A4E4-C15E-4C12-8537-ECC67FBE5178}">
      <text>
        <r>
          <rPr>
            <sz val="11"/>
            <color indexed="81"/>
            <rFont val="Tahoma"/>
            <family val="2"/>
          </rPr>
          <t xml:space="preserve">This category is for replacement bulls, and for steers and non-replacement heifers that are 1-2 years of age and sold off farm as opposed to your replacement heifers which should be reported in the Heifers &gt; 1 yr age category.
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21 months of age, thus 75 head x 9 months retained when greater than 1 year of age /  12 months in the year = equivalent to 56 head per annum.    </t>
        </r>
        <r>
          <rPr>
            <sz val="8"/>
            <color indexed="81"/>
            <rFont val="Tahoma"/>
            <family val="2"/>
          </rPr>
          <t xml:space="preserve">
</t>
        </r>
        <r>
          <rPr>
            <sz val="11"/>
            <color indexed="81"/>
            <rFont val="Tahoma"/>
            <family val="2"/>
          </rPr>
          <t xml:space="preserve">
Use their age mid-point for liveweight. So if they are 350 kg at 12 months of age and sold at 600 kg then the midpoint is 475kg. During that 12 month period they gained 250 kg liveweight, equivalent to 0.68 kg LW/day.    
  </t>
        </r>
        <r>
          <rPr>
            <sz val="8"/>
            <color indexed="81"/>
            <rFont val="Tahoma"/>
            <family val="2"/>
          </rPr>
          <t xml:space="preserve">
</t>
        </r>
      </text>
    </comment>
    <comment ref="J17" authorId="0" shapeId="0" xr:uid="{92395334-FFDC-4F6A-AB5D-D84895D5CDD7}">
      <text>
        <r>
          <rPr>
            <sz val="11"/>
            <color indexed="81"/>
            <rFont val="Tahoma"/>
            <family val="2"/>
          </rPr>
          <t xml:space="preserve">This category is for non-replacement calves sold soon after birth (i.e. 5 to 10 days of age) or post-weaning at around 100 kg or 80-100 days. This is not where you include your replacement heifer calves, or if you breed bulls for breeding, or you fatten up non-replacement heifers and steers for the beef market. 
These animals (calves up to weaning age) emit very little GHG emissions and so we have decided they will not alter net farm GHG emissions. However, they do contribute to total meat sales and thus the emissions intensity of milk and meat production. Therefore, non-relevant cells have been blanked out. Enter the number sold and their average liveweight in the white cells. 
However, if you retain non-replacement heifers and bull/steer calves beyond weaning and fatten them on farm before selling, they need to be reported in the Other stock &lt; 1 yr age category as they will be emitting GHG emissions for the duration on farm until sold.  
Make sure you select if these non-replacement animals are sold soon after birth (i.e. 5-7 days) or if sold post-weaning (i.e. at approx. 100 kg or around 80-100 days of age (essentially retained longer on farm than up to a couple of weeks)) from the drop-down list to the right of this Calves heading. if you sell some at a few days of age (e.g. bull calves) but retain your non-replacement heifer calves until post-weaning), select the option which is the largest number of animals (most likely soon after birth as more bull calves sold than non-replacement heifer calves). 
</t>
        </r>
        <r>
          <rPr>
            <sz val="9"/>
            <color indexed="81"/>
            <rFont val="Tahoma"/>
            <family val="2"/>
          </rPr>
          <t xml:space="preserve">
</t>
        </r>
      </text>
    </comment>
    <comment ref="C19" authorId="1" shapeId="0" xr:uid="{00000000-0006-0000-0100-00000B000000}">
      <text>
        <r>
          <rPr>
            <sz val="12"/>
            <color indexed="81"/>
            <rFont val="Tahoma"/>
            <family val="2"/>
          </rPr>
          <t>Insert the number of animals in each category.</t>
        </r>
      </text>
    </comment>
    <comment ref="C21" authorId="1" shapeId="0" xr:uid="{00000000-0006-0000-0100-00000C000000}">
      <text>
        <r>
          <rPr>
            <sz val="11"/>
            <color indexed="81"/>
            <rFont val="Tahoma"/>
            <family val="2"/>
          </rPr>
          <t>Specify the average liveweight of your herd for each category.</t>
        </r>
      </text>
    </comment>
    <comment ref="E21" authorId="0" shapeId="0" xr:uid="{F9FCA423-83E7-470C-B167-B4973AE69341}">
      <text>
        <r>
          <rPr>
            <sz val="12"/>
            <color indexed="81"/>
            <rFont val="Tahoma"/>
            <family val="2"/>
          </rPr>
          <t>This is the live weight at the mid point of their age group, so for Heifers &gt; 1, this would be at 18 months of age for heifers calving at 2 yrs of age.  If accurate figures are not available, we suggest using 70% of the milking cow liveweight.  For example, if the milkers weigh 600kg, the heifers would weigh 420kg.</t>
        </r>
        <r>
          <rPr>
            <sz val="8"/>
            <color indexed="81"/>
            <rFont val="Tahoma"/>
            <family val="2"/>
          </rPr>
          <t xml:space="preserve">
</t>
        </r>
      </text>
    </comment>
    <comment ref="F21" authorId="0" shapeId="0" xr:uid="{EA75A314-2CE3-41C3-8F3C-6D8C6D71DF2C}">
      <text>
        <r>
          <rPr>
            <sz val="11"/>
            <color indexed="81"/>
            <rFont val="Tahoma"/>
            <family val="2"/>
          </rPr>
          <t>This is the live weight at the mid point of their age group, so for Heifers &lt; 1, this would be at 6 months of age for heifers calving at 2 yrs of age.  If accurate figures are not available, we suggest using 30% of the milking cow liveweight. For example, if the milkers weigh 600kg, the heifers would weigh 180kg.</t>
        </r>
      </text>
    </comment>
    <comment ref="H21" authorId="0" shapeId="0" xr:uid="{B820AD1A-ADE0-4C18-B588-B6D3AE65AFDD}">
      <text>
        <r>
          <rPr>
            <sz val="11"/>
            <color indexed="81"/>
            <rFont val="Tahoma"/>
            <family val="2"/>
          </rPr>
          <t xml:space="preserve">If you retain the bulls/steers/heifers for the full 12 months, use their liveweight at 6 months of age.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t>
        </r>
      </text>
    </comment>
    <comment ref="I21" authorId="0" shapeId="0" xr:uid="{8A5B75D7-477F-43C0-AC9E-7980B8A1186C}">
      <text>
        <r>
          <rPr>
            <sz val="11"/>
            <color indexed="81"/>
            <rFont val="Tahoma"/>
            <family val="2"/>
          </rPr>
          <t xml:space="preserve">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21 months of age, thus 75 head x 9 months retained when greater than 1 year of age /  12 months in the year = equivalent to 56 head per annum.    
Use their age mid-point for liveweight. So if they are 350 kg at 12 months of age and sold at 600 kg then the midpoint is 475kg. During that 12 month period they gained 250 kg liveweight, equivalent to 0.68 kg LW/day. </t>
        </r>
        <r>
          <rPr>
            <sz val="9"/>
            <color indexed="81"/>
            <rFont val="Tahoma"/>
            <family val="2"/>
          </rPr>
          <t xml:space="preserve">   
</t>
        </r>
      </text>
    </comment>
    <comment ref="C23" authorId="1" shapeId="0" xr:uid="{00000000-0006-0000-0100-00000F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E23" authorId="0" shapeId="0" xr:uid="{3A945B3E-D1A4-442F-B388-408AC406C346}">
      <text>
        <r>
          <rPr>
            <sz val="12"/>
            <color indexed="81"/>
            <rFont val="Tahoma"/>
            <family val="2"/>
          </rPr>
          <t xml:space="preserve">Typical live weight gain is between 0.6 and 0.75 kg per day depending on the breed, with Jerseys at the lower end and large-framed Holstein Friesians (&gt;600 kg) at the upper range
</t>
        </r>
      </text>
    </comment>
    <comment ref="F23" authorId="0" shapeId="0" xr:uid="{C333FEA4-D90E-4DB2-8D5F-49BF94B2E11F}">
      <text>
        <r>
          <rPr>
            <sz val="12"/>
            <color indexed="81"/>
            <rFont val="Tahoma"/>
            <family val="2"/>
          </rPr>
          <t>Typical live weight gain is between 0.6 and 0.75 kg per day depending on the breed, with Jerseys at the lower end and large-framed Holstein Friesians (&gt;600 kg) at the upper range</t>
        </r>
        <r>
          <rPr>
            <sz val="8"/>
            <color indexed="81"/>
            <rFont val="Tahoma"/>
            <family val="2"/>
          </rPr>
          <t xml:space="preserve">
</t>
        </r>
      </text>
    </comment>
    <comment ref="C25" authorId="0" shapeId="0" xr:uid="{08026770-FB98-4C0A-89A8-023E8DC04AAB}">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C27" authorId="0" shapeId="0" xr:uid="{0FC93CA6-6CB0-4A11-9CA7-09EE5597C0F2}">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B30" authorId="2" shapeId="0" xr:uid="{00000000-0006-0000-0100-000013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35" authorId="0" shapeId="0" xr:uid="{00000000-0006-0000-0100-000014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corrected milk, and therefore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7" authorId="0" shapeId="0" xr:uid="{00000000-0006-0000-0100-000015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 lines etc).</t>
        </r>
        <r>
          <rPr>
            <sz val="9"/>
            <color indexed="81"/>
            <rFont val="Tahoma"/>
            <family val="2"/>
          </rPr>
          <t xml:space="preserve"> 
</t>
        </r>
      </text>
    </comment>
    <comment ref="B39" authorId="0" shapeId="0" xr:uid="{00000000-0006-0000-0100-000016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46" authorId="3" shapeId="0" xr:uid="{00000000-0006-0000-0100-000017000000}">
      <text>
        <r>
          <rPr>
            <sz val="11"/>
            <color indexed="81"/>
            <rFont val="Tahoma"/>
            <family val="2"/>
          </rPr>
          <t xml:space="preserve">Enter the DMD in the feed eaten, not on offer.  Suggest the NGGI default of 75% in the absence of known figures.
</t>
        </r>
      </text>
    </comment>
    <comment ref="B47" authorId="2" shapeId="0" xr:uid="{00000000-0006-0000-0100-000018000000}">
      <text>
        <r>
          <rPr>
            <sz val="11"/>
            <color indexed="81"/>
            <rFont val="Tahoma"/>
            <family val="2"/>
          </rPr>
          <t>Enter the CP in the feed eaten, not on offer.  Suggest the NGGI default of 20% in the absence of known figures.</t>
        </r>
      </text>
    </comment>
    <comment ref="C50" authorId="0" shapeId="0" xr:uid="{00000000-0006-0000-0100-000019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52" authorId="0" shapeId="0" xr:uid="{00000000-0006-0000-0100-00001A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52" authorId="0" shapeId="0" xr:uid="{00000000-0006-0000-0100-00001B000000}">
      <text>
        <r>
          <rPr>
            <sz val="11"/>
            <color indexed="81"/>
            <rFont val="Tahoma"/>
            <family val="2"/>
          </rPr>
          <t xml:space="preserve">Amount of Nitrogen fertiliser applied to pastures. Remember that urea is 46%N and DAP is 18% N etc. i.e. 10 tonnes of urea = 4.6 tonnes N.
For the percentage of N fertiliser applied to pastures and crops is urea, enter whole numbers. For example, if all N fertiliser is urea, then enter 100. 
Note this is not the weight of fertiliser, but of N. For example 1 t urea and 1 t DAP is equivalent to 460 kg N from urea and 180 kg N from DAP, so 640 kg N with 72% from urea (i.e. 460 / (460 + 180)). This percentage is used to estimate the amount of CO2 produced when urea N is applied to pastures. Other forms of N do not release CO2 when applied to pastures. If no percentage is entered into the "Percentage of N fertiliser that is urea", the calculator will assume this is 100%, given urea is the most common form of N fertiliser applied to pastures and crops.
 </t>
        </r>
        <r>
          <rPr>
            <sz val="9"/>
            <color indexed="81"/>
            <rFont val="Tahoma"/>
            <family val="2"/>
          </rPr>
          <t xml:space="preserve">
</t>
        </r>
      </text>
    </comment>
    <comment ref="B53" authorId="1" shapeId="0" xr:uid="{00000000-0006-0000-0100-00001C000000}">
      <text>
        <r>
          <rPr>
            <sz val="11"/>
            <color indexed="81"/>
            <rFont val="Tahoma"/>
            <family val="2"/>
          </rPr>
          <t xml:space="preserve">Total area of pastures that received N fertiliser.  This includes runoff/ out blocks and also leased land as this is still part of the farm business.
</t>
        </r>
      </text>
    </comment>
    <comment ref="B54" authorId="1" shapeId="0" xr:uid="{00000000-0006-0000-0100-00001D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E55" authorId="0" shapeId="0" xr:uid="{3719E82E-03EC-41A7-9D81-B0C12D318D30}">
      <text>
        <r>
          <rPr>
            <sz val="11"/>
            <color indexed="81"/>
            <rFont val="Tahoma"/>
            <family val="2"/>
          </rPr>
          <t xml:space="preserve">We need to know what percentage of total N fertiliser is urea versus other N fertilisers such as DAP. When urea is manufactured, the process removes carbon dioxide from the atmosphere. When the urea fertiliser is then spread onto pastures and crops, the carbon dioxide is released to the atmosphere. We need to account for this release of carbon dioxide with the farm GHG assessment.
If you applied 10 t of N as urea and 5 t N as DAP, then 10 t urea N / 15 t total N = 67% urea N. </t>
        </r>
        <r>
          <rPr>
            <sz val="9"/>
            <color indexed="81"/>
            <rFont val="Tahoma"/>
            <family val="2"/>
          </rPr>
          <t xml:space="preserve">
</t>
        </r>
      </text>
    </comment>
    <comment ref="B58" authorId="2" shapeId="0" xr:uid="{00000000-0006-0000-0100-00001E000000}">
      <text>
        <r>
          <rPr>
            <sz val="11"/>
            <color indexed="81"/>
            <rFont val="Tahoma"/>
            <family val="2"/>
          </rPr>
          <t xml:space="preserve">Area of farmland applied with P, K, S and Lime/dolomite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9" authorId="2" shapeId="0" xr:uid="{00000000-0006-0000-0100-00001F000000}">
      <text>
        <r>
          <rPr>
            <sz val="11"/>
            <color indexed="81"/>
            <rFont val="Tahoma"/>
            <family val="2"/>
          </rPr>
          <t xml:space="preserve">Area of farmland applied with P, K, S and Lime/dolomite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62" authorId="1" shapeId="0" xr:uid="{00000000-0006-0000-0100-000020000000}">
      <text>
        <r>
          <rPr>
            <sz val="11"/>
            <color indexed="81"/>
            <rFont val="Tahoma"/>
            <family val="2"/>
          </rPr>
          <t xml:space="preserve">What was your total annual electricity consumption for the year in kWh?
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text>
    </comment>
    <comment ref="E62" authorId="0" shapeId="0" xr:uid="{00000000-0006-0000-0100-000021000000}">
      <text>
        <r>
          <rPr>
            <sz val="11"/>
            <color indexed="81"/>
            <rFont val="Tahoma"/>
            <family val="2"/>
          </rPr>
          <t xml:space="preserve">The State Grid option matches current sources of electricity (i.e. coal, hydro, wind) for your state. For example, most of Tasmania's energy is generated via hydro and wind, but there is a very small proportion generated via gas or comes via Bass Link from the mainland. The emission factor for Tasmania takes this into consideration, with a considerably lower factor than Victoria, for example. 
Only select 100% renewable if all your electricity consumption is supplied via clean energy forms (i.e. hydro, solar, wind).
</t>
        </r>
        <r>
          <rPr>
            <sz val="9"/>
            <color indexed="81"/>
            <rFont val="Tahoma"/>
            <family val="2"/>
          </rPr>
          <t xml:space="preserve">
</t>
        </r>
      </text>
    </comment>
    <comment ref="B63" authorId="1" shapeId="0" xr:uid="{00000000-0006-0000-0100-000022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raking- 3 litres/ha
Sowing/ mowing/ wrapping silage- 9 litres/ha
Baling/ harvesting/ discing- 16 litres/ha
Ploughing/ tillage- 22 litres/ha
So if you were making silage from a 1ha paddock, with the grass cut, tedded and raked before baling and wrapping, it is likely that 40 litres per hectare may have been consumed (i.e. 9 litres/ha for cutting, 3 litres/ha for tedding, 3 litres/ha for raking, 16 litres/ha for baling and 9 litres/ha for wrapping).</t>
        </r>
      </text>
    </comment>
    <comment ref="E63" authorId="0" shapeId="0" xr:uid="{7A30BFB3-1E6D-4143-B2EA-C2DA7854D24C}">
      <text>
        <r>
          <rPr>
            <sz val="11"/>
            <color indexed="81"/>
            <rFont val="Tahoma"/>
            <family val="2"/>
          </rPr>
          <t xml:space="preserve">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r>
          <rPr>
            <sz val="9"/>
            <color indexed="81"/>
            <rFont val="Tahoma"/>
            <family val="2"/>
          </rPr>
          <t xml:space="preserve">
</t>
        </r>
      </text>
    </comment>
    <comment ref="B65" authorId="0" shapeId="0" xr:uid="{00000000-0006-0000-0100-000023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 0.2 tonnes of CO2e in the production of the grain.  We don't include the CO2 emitted with the transportation of these feeds to the farm as it is difficult to ascertain how far they may travel between farms.  
Feed grown on a run-off block or leased area is part of your farm business and therefore is not considered purchased feed.  However, the inputs into growing this feed, such as fertiliser, needs to be considered as part of the farm business and included where applicable.</t>
        </r>
        <r>
          <rPr>
            <sz val="9"/>
            <color indexed="81"/>
            <rFont val="Tahoma"/>
            <family val="2"/>
          </rPr>
          <t xml:space="preserve">
</t>
        </r>
      </text>
    </comment>
    <comment ref="B73" authorId="0" shapeId="0" xr:uid="{6AF7B0F9-520B-46E5-90DD-CA80279BDC07}">
      <text>
        <r>
          <rPr>
            <sz val="11"/>
            <color indexed="81"/>
            <rFont val="Tahoma"/>
            <family val="2"/>
          </rPr>
          <t xml:space="preserve">You have three options to select how to estimate carbon sequestration in trees.  
1. If you have no trees present on farm, select "No estimation of carbon sequestration" from the drop-down list.
2. If you wish to use the combination of trees and soils built into ADCC to determine the amount of carbon sequestered in trees, select "Based on data entered here". If you select this option, you need to select from the drop-down list in the order they are present here. moving down the sheet by selecting your region first, then type of trees and then soil type before entering the area and age of the trees. If you do not select in this order, excel may mis-calculate your results.
3. If you wish to use some other tool or calculator to estimate (e.g. FullCAM or LOOC-C", select "Carbon sequestered using other tools". When this option is selected, text and a box will appear to the right where you need to enter the amount of carbon sequestered/ha from the other tool, along with the area of trees, for excel to calculate the total amount of carbon for the farm . Remember we are asking for the tonnes of carbon dioxide/ha, so if your result from another tool is reported as t C/ha, multiply that amount of C by 3.67 to convert to t CO2/ha. For example, 7 t C/ha equates to 25.7 t CO2e/ha. You are also needing to enter the amount sequestered for only one year from the other tools, not the total over 25 or 100 years.   </t>
        </r>
        <r>
          <rPr>
            <sz val="9"/>
            <color indexed="81"/>
            <rFont val="Tahoma"/>
            <family val="2"/>
          </rPr>
          <t xml:space="preserve">
</t>
        </r>
      </text>
    </comment>
    <comment ref="B75" authorId="0" shapeId="0" xr:uid="{2DE873D2-D3D0-45AD-BB15-6F506CDCE201}">
      <text>
        <r>
          <rPr>
            <sz val="11"/>
            <color indexed="81"/>
            <rFont val="Tahoma"/>
            <family val="2"/>
          </rPr>
          <t xml:space="preserve">If you click on the white cell to the right of this heading, a drop down arrow should appear along with a list of the regions specific to your state.  Most states have two or more regions to select from. These selections will only influence the amount of carbon sequestered in tree plantings
Victoria: North East VIC refers to farms around Wangaratta and Benalla. Northern VIC refers to farms around Cobram, Shepparton and Echuca. Mallee refers to farms around Kerang. If you are unsure which region your farm is located, in terms of these three northern Victoria regions, compare results between regions to ascertain if there is a substantial difference in terms of the carbon sequestration potential.      </t>
        </r>
        <r>
          <rPr>
            <sz val="9"/>
            <color indexed="81"/>
            <rFont val="Tahoma"/>
            <family val="2"/>
          </rPr>
          <t xml:space="preserve">  
</t>
        </r>
      </text>
    </comment>
    <comment ref="B77" authorId="2" shapeId="0" xr:uid="{8F78327F-5462-47EF-9F14-B5BA3B1517E3}">
      <text>
        <r>
          <rPr>
            <sz val="11"/>
            <color indexed="81"/>
            <rFont val="Tahoma"/>
            <family val="2"/>
          </rPr>
          <t xml:space="preserve">The tree species will firstly match that of the baseline farm system. However, users can explore the effect of selecting another species relevant for the region selected. 
If a tree species you wish to explore is not present, select the closest species, or select Environmental plantings as a blend of native trees, shrubs and understorey that is endemic to your region.
</t>
        </r>
      </text>
    </comment>
    <comment ref="B79" authorId="0" shapeId="0" xr:uid="{0C2985A5-53DE-43AD-932E-546A7FB825C4}">
      <text>
        <r>
          <rPr>
            <sz val="11"/>
            <color indexed="81"/>
            <rFont val="Tahoma"/>
            <family val="2"/>
          </rPr>
          <t>Two soil types are available for most regions. However, the results are generally the same for both soil types. Select the most common for your region.</t>
        </r>
      </text>
    </comment>
    <comment ref="H79" authorId="0" shapeId="0" xr:uid="{3C3E6C68-2281-494B-840E-5B5C14B57A34}">
      <text>
        <r>
          <rPr>
            <b/>
            <sz val="9"/>
            <color indexed="81"/>
            <rFont val="Tahoma"/>
            <family val="2"/>
          </rPr>
          <t>Karen Christie:</t>
        </r>
        <r>
          <rPr>
            <sz val="9"/>
            <color indexed="81"/>
            <rFont val="Tahoma"/>
            <family val="2"/>
          </rPr>
          <t xml:space="preserve">
Age of trees is this year of analysis and can vary between 1 and 100</t>
        </r>
      </text>
    </comment>
    <comment ref="C82" authorId="0" shapeId="0" xr:uid="{00000000-0006-0000-0100-000029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82" authorId="0" shapeId="0" xr:uid="{00000000-0006-0000-0100-00002A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92" authorId="0" shapeId="0" xr:uid="{00000000-0006-0000-0100-00002B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 ration farm where they are retained on concrete during their dry period also, it will be 365 days per annum.</t>
        </r>
        <r>
          <rPr>
            <sz val="9"/>
            <color indexed="81"/>
            <rFont val="Tahoma"/>
            <family val="2"/>
          </rPr>
          <t xml:space="preserve">
</t>
        </r>
      </text>
    </comment>
    <comment ref="B98" authorId="0" shapeId="0" xr:uid="{00000000-0006-0000-0100-00002C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102" authorId="0" shapeId="0" xr:uid="{00000000-0006-0000-0100-00002D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102" authorId="0" shapeId="0" xr:uid="{00000000-0006-0000-0100-00002E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5" authorId="0" shapeId="0" xr:uid="{00000000-0006-0000-0100-00002F000000}">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
The calculations assume both age groups, as opposed to just the rising 1 year olds or the rising 2 year olds.</t>
        </r>
      </text>
    </comment>
    <comment ref="B107" authorId="0" shapeId="0" xr:uid="{00000000-0006-0000-0100-000030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107" authorId="0" shapeId="0" xr:uid="{00000000-0006-0000-0100-000031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3" authorId="0" shapeId="0" xr:uid="{7280B9BA-A347-437E-A7B8-3424E724C4FF}">
      <text>
        <r>
          <rPr>
            <sz val="11"/>
            <color indexed="81"/>
            <rFont val="Tahoma"/>
            <family val="2"/>
          </rPr>
          <t xml:space="preserve">Scope 1 emissions are those that occur on farm and the farmer has control over. For example, they can choose how many cows to milk, replacement animals to retain etc
</t>
        </r>
        <r>
          <rPr>
            <sz val="9"/>
            <color indexed="81"/>
            <rFont val="Tahoma"/>
            <family val="2"/>
          </rPr>
          <t xml:space="preserve">
</t>
        </r>
      </text>
    </comment>
    <comment ref="C113" authorId="0" shapeId="0" xr:uid="{64E8A839-FF1A-4B2B-BEC4-28DF8D8A3B83}">
      <text>
        <r>
          <rPr>
            <sz val="11"/>
            <color indexed="81"/>
            <rFont val="Tahoma"/>
            <family val="2"/>
          </rPr>
          <t xml:space="preserve">Methane is lost as part of the digestive process as a pathway of removing excess hydrogen from the rumen. Cattle emit approx. 6.5% of their gross energy intake as methane, with this number reducing as the quality of the diet improves. Most of the methane is emitted through the mouth, although a small amount is also emitted through the rear-end too. </t>
        </r>
      </text>
    </comment>
    <comment ref="C114" authorId="0" shapeId="0" xr:uid="{F2112EF3-15BD-4C27-95F3-9619EBDD4820}">
      <text>
        <r>
          <rPr>
            <sz val="11"/>
            <color indexed="81"/>
            <rFont val="Tahoma"/>
            <family val="2"/>
          </rPr>
          <t>Methane is produced during the decomposition of manure when deposited onto pastures and collected in pond/lagoon systems under anaerobic conditions. Note that this value is not the amount of methane emitted from a storage system (e.g. lagoons/ponds), but from all manure deposited by the herd, with the majority of manure(&gt; 75%) deposited onto pastures during grazing.</t>
        </r>
      </text>
    </comment>
    <comment ref="B115" authorId="0" shapeId="0" xr:uid="{703E79EF-EF33-4238-85F7-48B6C1130CE6}">
      <text>
        <r>
          <rPr>
            <sz val="11"/>
            <color indexed="81"/>
            <rFont val="Tahoma"/>
            <family val="2"/>
          </rPr>
          <t xml:space="preserve">Scope 1 emissions are those that occur on farm and the farmer has control over. For example, they can choose how many cows to milk, how much N fertiliser to apply etc
</t>
        </r>
      </text>
    </comment>
    <comment ref="C115" authorId="0" shapeId="0" xr:uid="{5F4C55E6-DC84-45C0-BA10-1B8F8856B6D2}">
      <text>
        <r>
          <rPr>
            <sz val="11"/>
            <color indexed="81"/>
            <rFont val="Tahoma"/>
            <family val="2"/>
          </rPr>
          <t>As cattle graze pastures and deposit urine and dung, a proportion of the N in these is converted to nitrous oxide and lost to the environment.
A national survey determined the proportion of total manure that is deposited on pastures during grazing. This varies between states, and between 79 and 85% for milking cows and 100% for all other stock. 
If your stock spend substantially longer on non-paddock areas (e.g. feedlotting), we suggest you may wish to enter your own data in the manure management section to ascertain a more realistic value for nitrous oxide losses.</t>
        </r>
      </text>
    </comment>
    <comment ref="C116" authorId="0" shapeId="0" xr:uid="{36124027-124F-4BFD-953A-0130639B7EA7}">
      <text>
        <r>
          <rPr>
            <sz val="11"/>
            <color indexed="81"/>
            <rFont val="Tahoma"/>
            <family val="2"/>
          </rPr>
          <t>A proportion of cattle urine and dung (manure) is captured on hard surfaces, such as at the dairy and generally are either collected in a pond/lagoon system or spread  daily through an irrigation system. The calculator uses a state-based average to determine what proportion of manure is captured and how it is handled (i.e. pond/lagoon, spread daily etc), based on national survey data.  
During storage, the manure (dung and urine) goes through a process of nitrification and denitrification, releasing a proportion of N to the environment in the form of nitrous oxide.  Likewise, after the manure is applied to pastures, a proportion of the N will be lost as nitrous oxide. 
If your stock spend substantially longer on non-paddock areas (e.g. feedlotting), we suggest you may wish to enter your own data in the manure management section to ascertain a more realistic value for nitrous oxide losses.</t>
        </r>
      </text>
    </comment>
    <comment ref="C117" authorId="0" shapeId="0" xr:uid="{BA783352-D75B-4439-B72D-BC2F155CE2AF}">
      <text>
        <r>
          <rPr>
            <sz val="11"/>
            <color indexed="81"/>
            <rFont val="Tahoma"/>
            <family val="2"/>
          </rPr>
          <t>A proportion of the manure N deposited onto paddocks or in storage is assumed to be lost to the environment through volatilisation and/or leaching/runoff. 
Once this volatilised or leached/runoff N is lost to the environment, it is assumed that a proportion of the N will then be redeposited onto pastures, go through the processes of nitrification and denitrification and converted into nitrous oxide.
If your stock spend substantially longer on non-paddock areas (e.g. feedlotting), we suggest you may wish to enter your own data in the manure management section to ascertain a more realistic value for nitrous oxide losses.</t>
        </r>
      </text>
    </comment>
    <comment ref="C118" authorId="0" shapeId="0" xr:uid="{076C8DC4-C37D-4A6D-BB4B-37C51D45E906}">
      <text>
        <r>
          <rPr>
            <sz val="11"/>
            <color indexed="81"/>
            <rFont val="Tahoma"/>
            <family val="2"/>
          </rPr>
          <t xml:space="preserve">A proportion of the N applied in fertilisers (organic and inorganic) goes through the processes of nitrification and denitrification, with a percentage of this N lost to the environment as nitrous oxide. </t>
        </r>
      </text>
    </comment>
    <comment ref="C119" authorId="0" shapeId="0" xr:uid="{D07D293D-AAF6-418B-99F5-D1DC03D60414}">
      <text>
        <r>
          <rPr>
            <sz val="11"/>
            <color indexed="81"/>
            <rFont val="Tahoma"/>
            <family val="2"/>
          </rPr>
          <t xml:space="preserve">A proportion of the N fertiliser (organic and inorganic) applied to pastures is lost to the environment through volatilisation and leaching/runoff. Once this N is deposited back onto pastures, a proportion of this N will go through the processes of nitrification and denitrification, with a percentage of the N lost as nitrous oxide to the environment. </t>
        </r>
      </text>
    </comment>
    <comment ref="B120" authorId="0" shapeId="0" xr:uid="{7C2CAE94-0FF3-46E3-B8FC-C8F065145C29}">
      <text>
        <r>
          <rPr>
            <sz val="11"/>
            <color indexed="81"/>
            <rFont val="Tahoma"/>
            <family val="2"/>
          </rPr>
          <t xml:space="preserve">Scope 1 emissions are those that occur on farm and the farmer has control over. For example, they can choose how much urea N fertiliser or lime to apply, or how much diesel to consume on farm.
Scope 2 emissions are also those that occur on farm and the farmer has control over. For example, they can elect to generate renewable electricity farm to reduce reliance on grid power.
Scope 3 emissions are those that the farmer has no control over but are part of the farm business. There are emissions associated with the production and transmission of electricity to the farm, and in the refining/production of fuel. </t>
        </r>
      </text>
    </comment>
    <comment ref="C120" authorId="0" shapeId="0" xr:uid="{44757BBE-2B5E-4C79-B05F-5649E7615B43}">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1" authorId="0" shapeId="0" xr:uid="{AF32AEDC-D5B9-4199-9213-3BC3D7A5B531}">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2" authorId="0" shapeId="0" xr:uid="{14507733-258B-452C-AAC3-AC5DC282D45F}">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3" authorId="0" shapeId="0" xr:uid="{2E6CF321-7D79-4D7E-A6A1-2658654025DC}">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4" authorId="0" shapeId="0" xr:uid="{D1FFAE3E-43D9-40D9-973E-DBF515D625FE}">
      <text>
        <r>
          <rPr>
            <sz val="11"/>
            <color indexed="81"/>
            <rFont val="Tahoma"/>
            <family val="2"/>
          </rPr>
          <t xml:space="preserve">Adding urea fertiliser to soils leads to a loss of carbon dioxide that was fixed during the manufacturing process. The bicarbonate in urea is broken down into water and carbon dioxide. Other forms of N fertiliser, such as DAP and SoA are not bicarbonates and therefore do not break down into carbon dioxide.
Lime and dolomite are added to soils to reduce soi acidity, improve soil structure and improve plant growth. The breakdown of these in the soil results in the production of water and carbon dioxide.
As both urea and lime/dolomite break down into carbon dioxide, this release of carbon dioxide needs to be accounted for when estimating the GHG emissions of the dairy farm. </t>
        </r>
      </text>
    </comment>
    <comment ref="B125" authorId="0" shapeId="0" xr:uid="{3C7D6E21-56BD-499A-B3AE-0DC21963EE86}">
      <text>
        <r>
          <rPr>
            <sz val="11"/>
            <color indexed="81"/>
            <rFont val="Tahoma"/>
            <family val="2"/>
          </rPr>
          <t xml:space="preserve">These are the emissions pre-farm gate from the production and/or manufacturing of feeds and fertilisers.
They are considered Scope 3 as the farmer has no control over the emissions associated with the production of these feeds and fertilisers. </t>
        </r>
      </text>
    </comment>
    <comment ref="C125" authorId="0" shapeId="0" xr:uid="{671895C5-AAED-4195-A032-17244C3D4B31}">
      <text>
        <r>
          <rPr>
            <sz val="9"/>
            <color indexed="81"/>
            <rFont val="Tahoma"/>
            <family val="2"/>
          </rPr>
          <t xml:space="preserve">
</t>
        </r>
        <r>
          <rPr>
            <sz val="11"/>
            <color indexed="81"/>
            <rFont val="Tahoma"/>
            <family val="2"/>
          </rPr>
          <t>It is important to understand the GHG emissions associated with key farm inputs, such as purchased feed and fertiliser.  These results are a calculation of the CO</t>
        </r>
        <r>
          <rPr>
            <vertAlign val="subscript"/>
            <sz val="11"/>
            <color indexed="81"/>
            <rFont val="Tahoma"/>
            <family val="2"/>
          </rPr>
          <t>2</t>
        </r>
        <r>
          <rPr>
            <sz val="11"/>
            <color indexed="81"/>
            <rFont val="Tahoma"/>
            <family val="2"/>
          </rPr>
          <t>e emitted in the production/ manufacturing of grain/concentrates, forages and fertilisers. 
It does not include the CO</t>
        </r>
        <r>
          <rPr>
            <vertAlign val="subscript"/>
            <sz val="11"/>
            <color indexed="81"/>
            <rFont val="Tahoma"/>
            <family val="2"/>
          </rPr>
          <t>2</t>
        </r>
        <r>
          <rPr>
            <sz val="11"/>
            <color indexed="81"/>
            <rFont val="Tahoma"/>
            <family val="2"/>
          </rPr>
          <t>e</t>
        </r>
        <r>
          <rPr>
            <vertAlign val="subscript"/>
            <sz val="11"/>
            <color indexed="81"/>
            <rFont val="Tahoma"/>
            <family val="2"/>
          </rPr>
          <t xml:space="preserve"> </t>
        </r>
        <r>
          <rPr>
            <sz val="11"/>
            <color indexed="81"/>
            <rFont val="Tahoma"/>
            <family val="2"/>
          </rPr>
          <t xml:space="preserve">emitted with transport from source (i.e. grain farm, fertiliser manufacturer) to the dairy farm as this can vary widely, depending on source (i.e. hay from a farm next door or urea manufactured in China).   </t>
        </r>
      </text>
    </comment>
    <comment ref="C126" authorId="0" shapeId="0" xr:uid="{65E4C6B6-F788-41AF-9045-5DAC4E18F4A1}">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r>
          <rPr>
            <b/>
            <sz val="11"/>
            <color indexed="81"/>
            <rFont val="Tahoma"/>
            <family val="2"/>
          </rPr>
          <t xml:space="preserve">  </t>
        </r>
      </text>
    </comment>
    <comment ref="C127" authorId="0" shapeId="0" xr:uid="{B970A8B6-A340-448C-B7D3-3F753BAB0F91}">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text>
    </comment>
    <comment ref="B134" authorId="0" shapeId="0" xr:uid="{F9375B41-672D-47DF-86B8-5BBCBB0FA911}">
      <text>
        <r>
          <rPr>
            <sz val="11"/>
            <color indexed="81"/>
            <rFont val="Tahoma"/>
            <family val="2"/>
          </rPr>
          <t>Net emissions will only be lower than Total emissions if there are trees present on farm and that the estimation of carbon sequestered in these trees have been estimated here, using options 2 or 3 from the tree carbon sequestration listing.</t>
        </r>
      </text>
    </comment>
    <comment ref="B136" authorId="0" shapeId="0" xr:uid="{165BAF23-7E61-4965-967A-0835086CBBC1}">
      <text>
        <r>
          <rPr>
            <sz val="11"/>
            <color indexed="81"/>
            <rFont val="Tahoma"/>
            <family val="2"/>
          </rPr>
          <t xml:space="preserve">A kg of fat and protein corrected milk (FPCM) is used to report emissions intensity and is based on converting your components to 4% fat and 3.3% protein. For many farms, a kg of FPCM is similar to a litre of milk. For farms with higher fat and protein than these standards, the kgs of FPCM will be greater than the litres of milk. For example, 1 million litres of 4.5% fat and 3.6% protein is equivalent to approx. 1.12 million kgs of FPCM. Conversely 1 million litres of 3.9% fat and 3.0% protein is equivalent to approx. 0.99 million kgs of FPCM.   
We know that milk is the primary product on dairy farms, but they also produce meat, through cull cows, non-replacement heifers, bull calves and dairy-beef. The International Dairy Federation (IDF)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FPCM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37" authorId="0" shapeId="0" xr:uid="{F851684E-99D2-4F53-A0B8-F133DB9B2DFD}">
      <text>
        <r>
          <rPr>
            <sz val="11"/>
            <color indexed="81"/>
            <rFont val="Tahoma"/>
            <family val="2"/>
          </rPr>
          <t xml:space="preserve">Emissions intensity results here divides your net GHG emissions by the kg of milksolids your farm has produced. It does not convert your milk to a standard fat or protein percentage, unlike emissions intensity based on fat and protein corrected milk (FPCM).  </t>
        </r>
        <r>
          <rPr>
            <sz val="9"/>
            <color indexed="81"/>
            <rFont val="Tahoma"/>
            <family val="2"/>
          </rPr>
          <t xml:space="preserve">
</t>
        </r>
        <r>
          <rPr>
            <sz val="11"/>
            <color indexed="81"/>
            <rFont val="Tahoma"/>
            <family val="2"/>
          </rPr>
          <t xml:space="preserve">We know that milk is the primary product on dairy farms, but they also produce meat, through cull cows, non-replacement heifers, bull calves and dairy-beef. The International Dairy Federation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milksolids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text>
    </comment>
    <comment ref="B138" authorId="0" shapeId="0" xr:uid="{0A16DD0C-E5BF-475D-AEE1-AB14E0CBCEC3}">
      <text>
        <r>
          <rPr>
            <sz val="11"/>
            <color indexed="81"/>
            <rFont val="Tahoma"/>
            <family val="2"/>
          </rPr>
          <t xml:space="preserve">The method of allocating net emissions to milk and meat follows the most current International Dairy Federation (2022) methods, with the energy requirements to produce milk and meat used to allocation the appropriate amount of emissions to each product.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here)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meat then divided by the kg of meat produced to determine the emissions intensity of meat production. The number in this caption will indicate what proportion of emissions are allocated to meat production, with the balance allocated to milk production. If the proportion amount is 0%, this means you have not indicated how many stock are sold to estimate meat production.     
For example, your farm produced 1000 t CO2e/annum but based on the energy requirements to produce milk and meat, ADCC allocated 85% of these emissions to milk. Therefore, the meat component of the farm system is allocated the residual 15%, or 150 t CO2e. If the farm produced 30 t of liveweight from cull cows, bulls and young stock, the emissions intensity for meat production would be 5 kg CO2e/kg liveweight. 
 </t>
        </r>
      </text>
    </comment>
    <comment ref="M355" authorId="2" shapeId="0" xr:uid="{00000000-0006-0000-0100-000033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386" authorId="2" shapeId="0" xr:uid="{00000000-0006-0000-0100-000034000000}">
      <text>
        <r>
          <rPr>
            <sz val="8"/>
            <color indexed="81"/>
            <rFont val="Tahoma"/>
            <family val="2"/>
          </rPr>
          <t>MMS = the fraction of AE that is managed in the different manure management systems (except for pasture range and paddock)</t>
        </r>
      </text>
    </comment>
    <comment ref="B389" authorId="2" shapeId="0" xr:uid="{00000000-0006-0000-0100-000035000000}">
      <text>
        <r>
          <rPr>
            <sz val="8"/>
            <color indexed="81"/>
            <rFont val="Tahoma"/>
            <family val="2"/>
          </rPr>
          <t>E = total emissions of nitrous oxide from the different manure management systems (except for pasture range and paddock)</t>
        </r>
      </text>
    </comment>
    <comment ref="B391" authorId="2" shapeId="0" xr:uid="{00000000-0006-0000-0100-000036000000}">
      <text>
        <r>
          <rPr>
            <sz val="8"/>
            <color indexed="81"/>
            <rFont val="Tahoma"/>
            <family val="2"/>
          </rPr>
          <t>Except for pasture range and paddock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3" authorId="0" shapeId="0" xr:uid="{00000000-0006-0000-0D00-000001000000}">
      <text>
        <r>
          <rPr>
            <sz val="8"/>
            <color indexed="81"/>
            <rFont val="Tahoma"/>
            <family val="2"/>
          </rPr>
          <t>Enter the likely average daily liveweight gain (kg/day) for each class of animal in the herd.</t>
        </r>
      </text>
    </comment>
    <comment ref="C13" authorId="1" shapeId="0" xr:uid="{00000000-0006-0000-0D00-000002000000}">
      <text>
        <r>
          <rPr>
            <sz val="8"/>
            <color indexed="81"/>
            <rFont val="Tahoma"/>
            <family val="2"/>
          </rPr>
          <t xml:space="preserve">Can be referenced back to DGAS
</t>
        </r>
      </text>
    </comment>
    <comment ref="B19" authorId="2" shapeId="0" xr:uid="{00000000-0006-0000-0D00-000003000000}">
      <text>
        <r>
          <rPr>
            <sz val="11"/>
            <color indexed="81"/>
            <rFont val="Tahoma"/>
            <family val="2"/>
          </rPr>
          <t xml:space="preserve">Dryland summer/autumn pasture-based diets are generally 2-3% so can safely feed an additional 3-4% </t>
        </r>
      </text>
    </comment>
    <comment ref="B21" authorId="3" shapeId="0" xr:uid="{00000000-0006-0000-0D00-000004000000}">
      <text>
        <r>
          <rPr>
            <sz val="11"/>
            <color indexed="81"/>
            <rFont val="Tahoma"/>
            <family val="2"/>
          </rPr>
          <t>This strategy assumes that the high fat supplement does not reduce intake of the other components of the diet.  This would suggest that the milkers were underfed previously.  For example, the baseline diet has the cows consuming 17 kg DM per day but now with feeding 3 kg DM/day of high fat supplement, the cows are now consuming 20 kg DM/day.</t>
        </r>
        <r>
          <rPr>
            <sz val="9"/>
            <color indexed="81"/>
            <rFont val="Tahoma"/>
            <family val="2"/>
          </rPr>
          <t xml:space="preserve">
</t>
        </r>
      </text>
    </comment>
    <comment ref="B31" authorId="3" shapeId="0" xr:uid="{00000000-0006-0000-0D00-000005000000}">
      <text>
        <r>
          <rPr>
            <sz val="11"/>
            <color indexed="81"/>
            <rFont val="Tahoma"/>
            <family val="2"/>
          </rPr>
          <t xml:space="preserve">When entering the price of the new high dietary fat supplement, consider if there are any additional costs associated with feeding out the supplement.  For example, some supplements may be better fed using a feedpad area so is there more machinery and labour associated with delivery of the high fat supplement to the milkers?  Or is it just delivered through the dairy and so no additional electricity or machinery or labour?  </t>
        </r>
        <r>
          <rPr>
            <sz val="9"/>
            <color indexed="81"/>
            <rFont val="Tahoma"/>
            <family val="2"/>
          </rPr>
          <t xml:space="preserve">
</t>
        </r>
      </text>
    </comment>
    <comment ref="B33" authorId="2" shapeId="0" xr:uid="{00000000-0006-0000-0D00-000006000000}">
      <text>
        <r>
          <rPr>
            <sz val="11"/>
            <color indexed="81"/>
            <rFont val="Tahoma"/>
            <family val="2"/>
          </rPr>
          <t xml:space="preserve">Substitution rate (SR) is the rate that one feed reduces the intake of another feed.  In this model, a SR of 0.0 means that there is no substitution.  A SR of 1.0 means that for every 1 kg DM of supplement fed, the baseline diet intake will be reduced by 1 kg DM.  Therefore if the SR is 0.5, the baseline diet is 15 kg pastures and 4 kg of high dietary fat supplement is then fed, then the die consists of 13kg pasture and 4kg fat, resulting in 17kg DMI.  If the SR was 0.0, then 19kg DMI would be consumed, if the SR was 1.0, then 15kg DMI was be consumed   </t>
        </r>
      </text>
    </comment>
    <comment ref="B35" authorId="1" shapeId="0" xr:uid="{00000000-0006-0000-0D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37" authorId="2" shapeId="0" xr:uid="{00000000-0006-0000-0D00-000008000000}">
      <text>
        <r>
          <rPr>
            <sz val="11"/>
            <color indexed="81"/>
            <rFont val="Tahoma"/>
            <family val="2"/>
          </rPr>
          <t xml:space="preserve">High fat supplements generally fed when milk price is higher than the annual average milk price (e.g. 40c/litre year round but 42.5 c/litre over summer).  Enter via the up/down arrows 0.40 in the previous cell and 0.425 in this cell 
</t>
        </r>
      </text>
    </comment>
    <comment ref="B39" authorId="1" shapeId="0" xr:uid="{8C089C14-048D-4D84-AE1C-AE48D2337C21}">
      <text>
        <r>
          <rPr>
            <sz val="11"/>
            <color indexed="81"/>
            <rFont val="Tahoma"/>
            <family val="2"/>
          </rPr>
          <t xml:space="preserve">Enter the farm price received from the ERF/CSF for a tonne of CO2-e.  </t>
        </r>
        <r>
          <rPr>
            <sz val="8"/>
            <color indexed="81"/>
            <rFont val="Tahoma"/>
            <family val="2"/>
          </rPr>
          <t xml:space="preserve">
</t>
        </r>
      </text>
    </comment>
    <comment ref="B42" authorId="2" shapeId="0" xr:uid="{00000000-0006-0000-0D00-00000A000000}">
      <text>
        <r>
          <rPr>
            <sz val="11"/>
            <color indexed="81"/>
            <rFont val="Tahoma"/>
            <family val="2"/>
          </rPr>
          <t>Any diet with a dietary fat % of greater than 7% will adversely affect milk production.  If a message "TOO HIGH" appears, either the amount of supplement fed needs reducing or the fat content of the new supplement needs reducing or a combination of these options.</t>
        </r>
      </text>
    </comment>
    <comment ref="B45" authorId="2" shapeId="0" xr:uid="{00000000-0006-0000-0D00-00000B000000}">
      <text>
        <r>
          <rPr>
            <sz val="11"/>
            <color indexed="81"/>
            <rFont val="Tahoma"/>
            <family val="2"/>
          </rPr>
          <t xml:space="preserve">Negative number indicates that enteric methane emissions have increased </t>
        </r>
      </text>
    </comment>
    <comment ref="B46" authorId="3" shapeId="0" xr:uid="{00000000-0006-0000-0D00-00000C000000}">
      <text>
        <r>
          <rPr>
            <sz val="11"/>
            <color indexed="81"/>
            <rFont val="Tahoma"/>
            <family val="2"/>
          </rPr>
          <t>Negative numbers indicate waste methane has increased</t>
        </r>
        <r>
          <rPr>
            <sz val="9"/>
            <color indexed="81"/>
            <rFont val="Tahoma"/>
            <family val="2"/>
          </rPr>
          <t xml:space="preserve">
</t>
        </r>
      </text>
    </comment>
    <comment ref="B47" authorId="3" shapeId="0" xr:uid="{00000000-0006-0000-0D00-00000D000000}">
      <text>
        <r>
          <rPr>
            <sz val="11"/>
            <color indexed="81"/>
            <rFont val="Tahoma"/>
            <family val="2"/>
          </rPr>
          <t>Negative numbers indicate waste nitrous oxide emissions have  increased</t>
        </r>
        <r>
          <rPr>
            <sz val="9"/>
            <color indexed="81"/>
            <rFont val="Tahoma"/>
            <family val="2"/>
          </rPr>
          <t xml:space="preserve">
</t>
        </r>
      </text>
    </comment>
    <comment ref="B48" authorId="3" shapeId="0" xr:uid="{00000000-0006-0000-0D00-00000E000000}">
      <text>
        <r>
          <rPr>
            <sz val="11"/>
            <color indexed="81"/>
            <rFont val="Tahoma"/>
            <family val="2"/>
          </rPr>
          <t xml:space="preserve">Negative numbers indicate N fertiliser nitrous oxide emissions have  increased
</t>
        </r>
      </text>
    </comment>
    <comment ref="B49" authorId="3" shapeId="0" xr:uid="{00000000-0006-0000-0D00-00000F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50" authorId="3" shapeId="0" xr:uid="{00000000-0006-0000-0D00-000010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51" authorId="3" shapeId="0" xr:uid="{00000000-0006-0000-0D00-000011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52" authorId="3" shapeId="0" xr:uid="{00000000-0006-0000-0D00-000012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3" authorId="3" shapeId="0" xr:uid="{00000000-0006-0000-0D00-000013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4" authorId="3" shapeId="0" xr:uid="{00000000-0006-0000-0D00-000014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5" authorId="3" shapeId="0" xr:uid="{41E72FB0-185E-4941-88D2-41A0FE07DABE}">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8" authorId="2" shapeId="0" xr:uid="{00000000-0006-0000-0D00-000019000000}">
      <text>
        <r>
          <rPr>
            <b/>
            <sz val="8"/>
            <color indexed="81"/>
            <rFont val="Tahoma"/>
            <family val="2"/>
          </rPr>
          <t>karenc1:</t>
        </r>
        <r>
          <rPr>
            <sz val="8"/>
            <color indexed="81"/>
            <rFont val="Tahoma"/>
            <family val="2"/>
          </rPr>
          <t xml:space="preserve">
Dryland summer/autumn pasture-based diets are generally 2-3% so can safely feed an additional 3-4% </t>
        </r>
      </text>
    </comment>
    <comment ref="B72" authorId="2" shapeId="0" xr:uid="{00000000-0006-0000-0D00-00001A000000}">
      <text/>
    </comment>
    <comment ref="B75" authorId="2" shapeId="0" xr:uid="{00000000-0006-0000-0D00-00001B000000}">
      <text>
        <r>
          <rPr>
            <b/>
            <sz val="8"/>
            <color indexed="81"/>
            <rFont val="Tahoma"/>
            <family val="2"/>
          </rPr>
          <t>karenc1:</t>
        </r>
        <r>
          <rPr>
            <sz val="8"/>
            <color indexed="81"/>
            <rFont val="Tahoma"/>
            <family val="2"/>
          </rPr>
          <t xml:space="preserve">
Substitution rate (SR) is the rate that one feed reduces the intake of another feed.  In this model, a SR of 0.0 means that there is no substitution.  A SR of 1.0 means that for every 1 kg DM of supplement fed, the baseline diet intake will be reduced by 1 kg DM.  Therefore if the SR is 0.5, the baseline diet is 15 kg pastures and 4 kg of high dietary fat supplement is then fed, then the die consists of 13kg pasture and 4kg fat, resulting in 17kg DMI.  If the SR was 0.0, then 19kg DMI would be consumed, if the SR was 1.0, then 15kg DMI was be consumed   </t>
        </r>
      </text>
    </comment>
    <comment ref="B76" authorId="1" shapeId="0" xr:uid="{00000000-0006-0000-0D00-00001C000000}">
      <text>
        <r>
          <rPr>
            <sz val="8"/>
            <color indexed="81"/>
            <rFont val="Tahoma"/>
            <family val="2"/>
          </rPr>
          <t xml:space="preserve">Enter you average milk price for season in $ per litre. 
</t>
        </r>
      </text>
    </comment>
    <comment ref="B78" authorId="1" shapeId="0" xr:uid="{00000000-0006-0000-0D00-00001D000000}">
      <text>
        <r>
          <rPr>
            <sz val="8"/>
            <color indexed="81"/>
            <rFont val="Tahoma"/>
            <family val="2"/>
          </rPr>
          <t xml:space="preserve">Enter the farm price received from the CFI for a tonne of CO2-e.  (Provide some more detail here)
</t>
        </r>
      </text>
    </comment>
    <comment ref="B317" authorId="4" shapeId="0" xr:uid="{00000000-0006-0000-0D00-00001E000000}">
      <text>
        <r>
          <rPr>
            <sz val="8"/>
            <color indexed="81"/>
            <rFont val="Tahoma"/>
            <family val="2"/>
          </rPr>
          <t>MMS = the fraction of AE that is managed in the different manure management systems (except for pasture range and paddock)</t>
        </r>
      </text>
    </comment>
    <comment ref="B320" authorId="4" shapeId="0" xr:uid="{00000000-0006-0000-0D00-00001F000000}">
      <text>
        <r>
          <rPr>
            <sz val="8"/>
            <color indexed="81"/>
            <rFont val="Tahoma"/>
            <family val="2"/>
          </rPr>
          <t>E = total emissions of nitrous oxide from the different manure management systems (except for pasture range and paddock)</t>
        </r>
      </text>
    </comment>
    <comment ref="B322" authorId="4" shapeId="0" xr:uid="{00000000-0006-0000-0D00-000020000000}">
      <text>
        <r>
          <rPr>
            <sz val="8"/>
            <color indexed="81"/>
            <rFont val="Tahoma"/>
            <family val="2"/>
          </rPr>
          <t>Except for pasture range and paddock</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2" authorId="0" shapeId="0" xr:uid="{00000000-0006-0000-0F00-000001000000}">
      <text>
        <r>
          <rPr>
            <sz val="8"/>
            <color indexed="81"/>
            <rFont val="Tahoma"/>
            <family val="2"/>
          </rPr>
          <t>Enter the likely average daily liveweight gain (kg/day) for each class of animal in the herd.</t>
        </r>
      </text>
    </comment>
    <comment ref="C12" authorId="1" shapeId="0" xr:uid="{00000000-0006-0000-0F00-000002000000}">
      <text>
        <r>
          <rPr>
            <sz val="8"/>
            <color indexed="81"/>
            <rFont val="Tahoma"/>
            <family val="2"/>
          </rPr>
          <t xml:space="preserve">Can be referenced back to DGAS
</t>
        </r>
      </text>
    </comment>
    <comment ref="B26" authorId="1" shapeId="0" xr:uid="{00000000-0006-0000-0F00-000003000000}">
      <text>
        <r>
          <rPr>
            <sz val="11"/>
            <color indexed="81"/>
            <rFont val="Tahoma"/>
            <family val="2"/>
          </rPr>
          <t xml:space="preserve">Enter you average milk price over the whole year based on $ per litre. </t>
        </r>
        <r>
          <rPr>
            <sz val="8"/>
            <color indexed="81"/>
            <rFont val="Tahoma"/>
            <family val="2"/>
          </rPr>
          <t xml:space="preserve">
</t>
        </r>
      </text>
    </comment>
    <comment ref="B28" authorId="2" shapeId="0" xr:uid="{00000000-0006-0000-0F00-000004000000}">
      <text>
        <r>
          <rPr>
            <sz val="11"/>
            <color indexed="81"/>
            <rFont val="Tahoma"/>
            <family val="2"/>
          </rPr>
          <t>The milk price for when the management practice is implemented to increase diet DMD might be different to the mean annual milk price.</t>
        </r>
      </text>
    </comment>
    <comment ref="B30" authorId="1" shapeId="0" xr:uid="{77D8EC0C-A9C9-4E17-8185-0680CDA1F781}">
      <text>
        <r>
          <rPr>
            <sz val="11"/>
            <color indexed="81"/>
            <rFont val="Tahoma"/>
            <family val="2"/>
          </rPr>
          <t xml:space="preserve">Enter the farm price received from the ERF/CSF for a tonne of CO2-e.  </t>
        </r>
        <r>
          <rPr>
            <sz val="8"/>
            <color indexed="81"/>
            <rFont val="Tahoma"/>
            <family val="2"/>
          </rPr>
          <t xml:space="preserve">
</t>
        </r>
      </text>
    </comment>
    <comment ref="B32" authorId="2" shapeId="0" xr:uid="{00000000-0006-0000-0F00-000006000000}">
      <text>
        <r>
          <rPr>
            <b/>
            <sz val="8"/>
            <color indexed="81"/>
            <rFont val="Tahoma"/>
            <family val="2"/>
          </rPr>
          <t>karenc1:</t>
        </r>
        <r>
          <rPr>
            <sz val="8"/>
            <color indexed="81"/>
            <rFont val="Tahoma"/>
            <family val="2"/>
          </rPr>
          <t xml:space="preserve">
Does the daily intake of the cow change as well as the digestibility?  If the diet increases by 2kg DM/day, enter 2.0 in this cell.  If it remains the same (only the quality of the diet changes, not the quantity), enter 0.0 in this cell.  If it is reduced by 2kg/day, enter -2.0 in this cell.
</t>
        </r>
      </text>
    </comment>
    <comment ref="B38" authorId="2" shapeId="0" xr:uid="{00000000-0006-0000-0F00-000007000000}">
      <text>
        <r>
          <rPr>
            <sz val="11"/>
            <color indexed="81"/>
            <rFont val="Tahoma"/>
            <family val="2"/>
          </rPr>
          <t xml:space="preserve">Negative number indicates that enteric methane emissions have increased </t>
        </r>
      </text>
    </comment>
    <comment ref="B39" authorId="3" shapeId="0" xr:uid="{00000000-0006-0000-0F00-000008000000}">
      <text>
        <r>
          <rPr>
            <sz val="11"/>
            <color indexed="81"/>
            <rFont val="Tahoma"/>
            <family val="2"/>
          </rPr>
          <t>Negative numbers indicate waste methane has increased</t>
        </r>
        <r>
          <rPr>
            <sz val="9"/>
            <color indexed="81"/>
            <rFont val="Tahoma"/>
            <family val="2"/>
          </rPr>
          <t xml:space="preserve">
</t>
        </r>
      </text>
    </comment>
    <comment ref="B40" authorId="3" shapeId="0" xr:uid="{00000000-0006-0000-0F00-000009000000}">
      <text>
        <r>
          <rPr>
            <sz val="11"/>
            <color indexed="81"/>
            <rFont val="Tahoma"/>
            <family val="2"/>
          </rPr>
          <t>Negative numbers indicate waste nitrous oxide emissions have  increased</t>
        </r>
        <r>
          <rPr>
            <sz val="9"/>
            <color indexed="81"/>
            <rFont val="Tahoma"/>
            <family val="2"/>
          </rPr>
          <t xml:space="preserve">
</t>
        </r>
      </text>
    </comment>
    <comment ref="B41" authorId="3" shapeId="0" xr:uid="{00000000-0006-0000-0F00-00000A000000}">
      <text>
        <r>
          <rPr>
            <sz val="11"/>
            <color indexed="81"/>
            <rFont val="Tahoma"/>
            <family val="2"/>
          </rPr>
          <t xml:space="preserve">Negative numbers indicate N fertiliser nitrous oxide emissions have  increased
</t>
        </r>
      </text>
    </comment>
    <comment ref="B42" authorId="3" shapeId="0" xr:uid="{00000000-0006-0000-0F00-00000B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3" authorId="3" shapeId="0" xr:uid="{00000000-0006-0000-0F00-00000C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4" authorId="3" shapeId="0" xr:uid="{00000000-0006-0000-0F00-00000D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5" authorId="3" shapeId="0" xr:uid="{00000000-0006-0000-0F00-00000E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6" authorId="3" shapeId="0" xr:uid="{00000000-0006-0000-0F00-00000F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7" authorId="3" shapeId="0" xr:uid="{00000000-0006-0000-0F00-000010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8" authorId="3" shapeId="0" xr:uid="{D992E60D-6D2F-477A-ADC8-C0E6B8B256DE}">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9" authorId="1" shapeId="0" xr:uid="{00000000-0006-0000-0F00-000015000000}">
      <text>
        <r>
          <rPr>
            <sz val="8"/>
            <color indexed="81"/>
            <rFont val="Tahoma"/>
            <family val="2"/>
          </rPr>
          <t xml:space="preserve">Enter you average milk price for season in $ per litre. 
</t>
        </r>
      </text>
    </comment>
    <comment ref="B71" authorId="1" shapeId="0" xr:uid="{00000000-0006-0000-0F00-000016000000}">
      <text>
        <r>
          <rPr>
            <sz val="8"/>
            <color indexed="81"/>
            <rFont val="Tahoma"/>
            <family val="2"/>
          </rPr>
          <t xml:space="preserve">Enter the farm price received from the CFI for a tonne of CO2-e.  (Provide some more detail here)
</t>
        </r>
      </text>
    </comment>
    <comment ref="B394" authorId="4" shapeId="0" xr:uid="{00000000-0006-0000-0F00-000017000000}">
      <text>
        <r>
          <rPr>
            <sz val="8"/>
            <color indexed="81"/>
            <rFont val="Tahoma"/>
            <family val="2"/>
          </rPr>
          <t>MMS = the fraction of AE that is managed in the different manure management systems (except for pasture range and paddock)</t>
        </r>
      </text>
    </comment>
    <comment ref="B397" authorId="4" shapeId="0" xr:uid="{00000000-0006-0000-0F00-000018000000}">
      <text>
        <r>
          <rPr>
            <sz val="8"/>
            <color indexed="81"/>
            <rFont val="Tahoma"/>
            <family val="2"/>
          </rPr>
          <t>E = total emissions of nitrous oxide from the different manure management systems (except for pasture range and paddock)</t>
        </r>
      </text>
    </comment>
    <comment ref="B399" authorId="4" shapeId="0" xr:uid="{00000000-0006-0000-0F00-000019000000}">
      <text>
        <r>
          <rPr>
            <sz val="8"/>
            <color indexed="81"/>
            <rFont val="Tahoma"/>
            <family val="2"/>
          </rPr>
          <t>Except for pasture range and paddock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3" authorId="0" shapeId="0" xr:uid="{00000000-0006-0000-0E00-000001000000}">
      <text>
        <r>
          <rPr>
            <sz val="8"/>
            <color indexed="81"/>
            <rFont val="Tahoma"/>
            <family val="2"/>
          </rPr>
          <t>Enter the likely average daily liveweight gain (kg/day) for each class of animal in the herd.</t>
        </r>
      </text>
    </comment>
    <comment ref="C13" authorId="1" shapeId="0" xr:uid="{00000000-0006-0000-0E00-000002000000}">
      <text>
        <r>
          <rPr>
            <sz val="8"/>
            <color indexed="81"/>
            <rFont val="Tahoma"/>
            <family val="2"/>
          </rPr>
          <t xml:space="preserve">Can be referenced back to DGAS
</t>
        </r>
      </text>
    </comment>
    <comment ref="B25" authorId="2" shapeId="0" xr:uid="{00000000-0006-0000-0E00-000003000000}">
      <text>
        <r>
          <rPr>
            <sz val="11"/>
            <color indexed="81"/>
            <rFont val="Tahoma"/>
            <family val="2"/>
          </rPr>
          <t xml:space="preserve">Substitution rate (SR) is the rate that one feed reduces the intake of another feed.  In this model, a SR of 0.0 means that there is no substitution, only an increase in intake.  A SR of 1.0 means that for every 1 kg DM of supplement fed, the baseline diet intake will be reduced by 1 kg DM.  Therefore if the SR is 0.5, the baseline diet is 15 kg pastures and 4 kg of grain supplement is then fed, then the die consists of 13kg pasture and 4kg grain, resulting in 17kg DMI.  If the SR was 0.0, then 19kg DMI would be consumed (15kg pasture and 4kg grain), if the SR was 1.0, then 15kg DMI was be consumed (11 kg pasture and 4kg grain). </t>
        </r>
        <r>
          <rPr>
            <sz val="8"/>
            <color indexed="81"/>
            <rFont val="Tahoma"/>
            <family val="2"/>
          </rPr>
          <t xml:space="preserve"> </t>
        </r>
      </text>
    </comment>
    <comment ref="B29" authorId="3" shapeId="0" xr:uid="{00000000-0006-0000-0E00-000004000000}">
      <text>
        <r>
          <rPr>
            <sz val="9"/>
            <color indexed="81"/>
            <rFont val="Tahoma"/>
            <family val="2"/>
          </rPr>
          <t xml:space="preserve">Make sure you also consider if there is any additional machinery or electricity or labour required with this strategy. 
</t>
        </r>
      </text>
    </comment>
    <comment ref="B31" authorId="1" shapeId="0" xr:uid="{00000000-0006-0000-0E00-000005000000}">
      <text>
        <r>
          <rPr>
            <sz val="11"/>
            <color indexed="81"/>
            <rFont val="Tahoma"/>
            <family val="2"/>
          </rPr>
          <t xml:space="preserve">Enter you average milk price over the whole year based on $ per litre. </t>
        </r>
        <r>
          <rPr>
            <sz val="8"/>
            <color indexed="81"/>
            <rFont val="Tahoma"/>
            <family val="2"/>
          </rPr>
          <t xml:space="preserve">
</t>
        </r>
      </text>
    </comment>
    <comment ref="B33" authorId="2" shapeId="0" xr:uid="{00000000-0006-0000-0E00-000006000000}">
      <text>
        <r>
          <rPr>
            <sz val="11"/>
            <color indexed="81"/>
            <rFont val="Tahoma"/>
            <family val="2"/>
          </rPr>
          <t>The milk price for when the increased DMD supplement is fed might be higher than the annual average milk price.</t>
        </r>
      </text>
    </comment>
    <comment ref="B35" authorId="1" shapeId="0" xr:uid="{593B25F2-6152-42FB-BB66-DAA029563218}">
      <text>
        <r>
          <rPr>
            <sz val="11"/>
            <color indexed="81"/>
            <rFont val="Tahoma"/>
            <family val="2"/>
          </rPr>
          <t xml:space="preserve">Enter the farm price received from the ERF/CSF for a tonne of CO2-e.  </t>
        </r>
        <r>
          <rPr>
            <sz val="8"/>
            <color indexed="81"/>
            <rFont val="Tahoma"/>
            <family val="2"/>
          </rPr>
          <t xml:space="preserve">
</t>
        </r>
      </text>
    </comment>
    <comment ref="B41" authorId="2" shapeId="0" xr:uid="{00000000-0006-0000-0E00-000008000000}">
      <text>
        <r>
          <rPr>
            <sz val="11"/>
            <color indexed="81"/>
            <rFont val="Tahoma"/>
            <family val="2"/>
          </rPr>
          <t xml:space="preserve">Negative number indicates that enteric methane emissions have increased </t>
        </r>
      </text>
    </comment>
    <comment ref="B42" authorId="3" shapeId="0" xr:uid="{00000000-0006-0000-0E00-000009000000}">
      <text>
        <r>
          <rPr>
            <sz val="11"/>
            <color indexed="81"/>
            <rFont val="Tahoma"/>
            <family val="2"/>
          </rPr>
          <t>Negative numbers indicate waste methane has increased</t>
        </r>
        <r>
          <rPr>
            <sz val="9"/>
            <color indexed="81"/>
            <rFont val="Tahoma"/>
            <family val="2"/>
          </rPr>
          <t xml:space="preserve">
</t>
        </r>
      </text>
    </comment>
    <comment ref="B43" authorId="3" shapeId="0" xr:uid="{00000000-0006-0000-0E00-00000A000000}">
      <text>
        <r>
          <rPr>
            <sz val="11"/>
            <color indexed="81"/>
            <rFont val="Tahoma"/>
            <family val="2"/>
          </rPr>
          <t>Negative numbers indicate waste nitrous oxide emissions have  increased</t>
        </r>
        <r>
          <rPr>
            <sz val="9"/>
            <color indexed="81"/>
            <rFont val="Tahoma"/>
            <family val="2"/>
          </rPr>
          <t xml:space="preserve">
</t>
        </r>
      </text>
    </comment>
    <comment ref="B44" authorId="3" shapeId="0" xr:uid="{00000000-0006-0000-0E00-00000B000000}">
      <text>
        <r>
          <rPr>
            <sz val="11"/>
            <color indexed="81"/>
            <rFont val="Tahoma"/>
            <family val="2"/>
          </rPr>
          <t xml:space="preserve">Negative numbers indicate N fertiliser nitrous oxide emissions have  increased
</t>
        </r>
      </text>
    </comment>
    <comment ref="B45" authorId="3" shapeId="0" xr:uid="{00000000-0006-0000-0E00-00000C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6" authorId="3" shapeId="0" xr:uid="{00000000-0006-0000-0E00-00000D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7" authorId="3" shapeId="0" xr:uid="{00000000-0006-0000-0E00-00000E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8" authorId="3" shapeId="0" xr:uid="{00000000-0006-0000-0E00-00000F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9" authorId="3" shapeId="0" xr:uid="{00000000-0006-0000-0E00-000010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0" authorId="3" shapeId="0" xr:uid="{00000000-0006-0000-0E00-000011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1" authorId="3" shapeId="0" xr:uid="{4E647F3F-4E13-4DE2-BF75-1A7230199CD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8" authorId="2" shapeId="0" xr:uid="{00000000-0006-0000-0E00-000016000000}">
      <text>
        <r>
          <rPr>
            <b/>
            <sz val="8"/>
            <color indexed="81"/>
            <rFont val="Tahoma"/>
            <family val="2"/>
          </rPr>
          <t>karenc1:</t>
        </r>
        <r>
          <rPr>
            <sz val="8"/>
            <color indexed="81"/>
            <rFont val="Tahoma"/>
            <family val="2"/>
          </rPr>
          <t xml:space="preserve">
Substitution rate (SR) is the rate that one feed reduces the intake of another feed.  In this model, a SR of 0.0 means that there is no substitution, only an increase in intake.  A SR of 1.0 means that for every 1 kg DM of supplement fed, the baseline diet intake will be reduced by 1 kg DM.  Therefore if the SR is 0.5, the baseline diet is 15 kg pastures and 4 kg of grain supplement is then fed, then the die consists of 13kg pasture and 4kg grain, resulting in 17kg DMI.  If the SR was 0.0, then 19kg DMI would be consumed (15kg pasture and 4kg grain), if the SR was 1.0, then 15kg DMI was be consumed (11 kg pasture and 4kg grain)  </t>
        </r>
      </text>
    </comment>
    <comment ref="B71" authorId="1" shapeId="0" xr:uid="{00000000-0006-0000-0E00-000017000000}">
      <text>
        <r>
          <rPr>
            <sz val="8"/>
            <color indexed="81"/>
            <rFont val="Tahoma"/>
            <family val="2"/>
          </rPr>
          <t xml:space="preserve">Enter you average milk price for season in $ per litre. 
</t>
        </r>
      </text>
    </comment>
    <comment ref="B73" authorId="1" shapeId="0" xr:uid="{00000000-0006-0000-0E00-000018000000}">
      <text>
        <r>
          <rPr>
            <sz val="8"/>
            <color indexed="81"/>
            <rFont val="Tahoma"/>
            <family val="2"/>
          </rPr>
          <t xml:space="preserve">Enter the farm price received from the CFI for a tonne of CO2-e.  (Provide some more detail here)
</t>
        </r>
      </text>
    </comment>
    <comment ref="B281" authorId="4" shapeId="0" xr:uid="{00000000-0006-0000-0E00-000019000000}">
      <text>
        <r>
          <rPr>
            <sz val="8"/>
            <color indexed="81"/>
            <rFont val="Tahoma"/>
            <family val="2"/>
          </rPr>
          <t>MMS = the fraction of AE that is managed in the different manure management systems (except for pasture range and paddock)</t>
        </r>
      </text>
    </comment>
    <comment ref="B284" authorId="4" shapeId="0" xr:uid="{00000000-0006-0000-0E00-00001A000000}">
      <text>
        <r>
          <rPr>
            <sz val="8"/>
            <color indexed="81"/>
            <rFont val="Tahoma"/>
            <family val="2"/>
          </rPr>
          <t>E = total emissions of nitrous oxide from the different manure management systems (except for pasture range and paddock)</t>
        </r>
      </text>
    </comment>
    <comment ref="B286" authorId="4" shapeId="0" xr:uid="{00000000-0006-0000-0E00-00001B000000}">
      <text>
        <r>
          <rPr>
            <sz val="8"/>
            <color indexed="81"/>
            <rFont val="Tahoma"/>
            <family val="2"/>
          </rPr>
          <t>Except for pasture range and paddock</t>
        </r>
      </text>
    </comment>
    <comment ref="J325" authorId="4" shapeId="0" xr:uid="{00000000-0006-0000-0E00-00001C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1" authorId="0" shapeId="0" xr:uid="{00000000-0006-0000-1100-000001000000}">
      <text>
        <r>
          <rPr>
            <sz val="8"/>
            <color indexed="81"/>
            <rFont val="Tahoma"/>
            <family val="2"/>
          </rPr>
          <t>Enter the likely average daily liveweight gain (kg/day) for each class of animal in the herd.</t>
        </r>
      </text>
    </comment>
    <comment ref="C11" authorId="1" shapeId="0" xr:uid="{00000000-0006-0000-1100-000002000000}">
      <text>
        <r>
          <rPr>
            <sz val="8"/>
            <color indexed="81"/>
            <rFont val="Tahoma"/>
            <family val="2"/>
          </rPr>
          <t xml:space="preserve">Can be referenced back to DGAS
</t>
        </r>
      </text>
    </comment>
    <comment ref="B16" authorId="2" shapeId="0" xr:uid="{00000000-0006-0000-1100-000003000000}">
      <text>
        <r>
          <rPr>
            <sz val="11"/>
            <color indexed="81"/>
            <rFont val="Tahoma"/>
            <family val="2"/>
          </rPr>
          <t>What % of the annual N fertiliser applied to pastures is coated with the inhibitor and applied during periods of the year when losses of N through leaching are high (e.g. autumn to spring for dryland pastures, year-round for irrigated pastures).</t>
        </r>
        <r>
          <rPr>
            <sz val="8"/>
            <color indexed="81"/>
            <rFont val="Tahoma"/>
            <family val="2"/>
          </rPr>
          <t xml:space="preserve">
</t>
        </r>
      </text>
    </comment>
    <comment ref="B18" authorId="1" shapeId="0" xr:uid="{00000000-0006-0000-1100-000004000000}">
      <text>
        <r>
          <rPr>
            <sz val="11"/>
            <color indexed="81"/>
            <rFont val="Tahoma"/>
            <family val="2"/>
          </rPr>
          <t xml:space="preserve">This is percentage of effectiveness for the coated fertiliser during the period it is applied.  For example, 50% of the total N fertiliser is coated and applied during periods of the year when N2O emissions are high (i.e. late autumn through to spring).  This question is asking what proportion of the proportion of coated N fertiliser is applied during this period of high risk.
For example, the farmer buys 1 t N of which 100% is coated.  Not all this fertiliser will be applied during times of the year when N2O emissions can be reduced.  If 75% of this is applied when conditions are conducive to N2O losses, then in essence, 750kg of the N fertiliser is effective in reducing N2O emissions and at a rate specified by the user in the % reduction in N2O emissions (next question below).
However, if the farmer purchases 80% of the total N fertiliser coated with the inhibitor (i.e. 800kg N/annum) and this is all applied during the periods of the year when it is effective, then the figure in this cell should be 100% to reflect that all 800kg N is effective in reducing N2O emissions and at a rate specified by the user in the % reduction in N2O emissions (next question below).          </t>
        </r>
      </text>
    </comment>
    <comment ref="B20" authorId="2" shapeId="0" xr:uid="{00000000-0006-0000-1100-000005000000}">
      <text>
        <r>
          <rPr>
            <sz val="11"/>
            <color indexed="81"/>
            <rFont val="Tahoma"/>
            <family val="2"/>
          </rPr>
          <t xml:space="preserve">What reduction potential does the nitrification inhibitor have on reducing N2O emissions.  We suggest 40% efficacy of the inhibitor over the duration that it is effective in reducing nitrous oxide emissions
</t>
        </r>
      </text>
    </comment>
    <comment ref="B22" authorId="2" shapeId="0" xr:uid="{00000000-0006-0000-1100-000006000000}">
      <text>
        <r>
          <rPr>
            <sz val="11"/>
            <color indexed="81"/>
            <rFont val="Tahoma"/>
            <family val="2"/>
          </rPr>
          <t>What is the cost of uncoated N fertiliser?</t>
        </r>
      </text>
    </comment>
    <comment ref="B24" authorId="3" shapeId="0" xr:uid="{00000000-0006-0000-1100-000007000000}">
      <text>
        <r>
          <rPr>
            <sz val="11"/>
            <color indexed="81"/>
            <rFont val="Tahoma"/>
            <family val="2"/>
          </rPr>
          <t>What is the cost of the N fertiliser coated with the inhibitor?  This is likely to be more expensive than the uncoated and the difference between the two multiplied by the amount of N applied to the pastures will reflect the implementation cost.  For example, if uncoated N fertiliser cost $500 per tonne and  the coated cost $750 per tonne, the net increase is $250 per tonne.</t>
        </r>
        <r>
          <rPr>
            <b/>
            <sz val="11"/>
            <color indexed="81"/>
            <rFont val="Tahoma"/>
            <family val="2"/>
          </rPr>
          <t xml:space="preserve">
</t>
        </r>
      </text>
    </comment>
    <comment ref="B26" authorId="2" shapeId="0" xr:uid="{00000000-0006-0000-1100-000008000000}">
      <text>
        <r>
          <rPr>
            <sz val="11"/>
            <color indexed="81"/>
            <rFont val="Tahoma"/>
            <family val="2"/>
          </rPr>
          <t>We suggest using zero to start with as it is unlikely that applying an N fertiliser coated with the nitrification inhibitor will result in any additional pasture growth (unless the soil was already limited in N).</t>
        </r>
      </text>
    </comment>
    <comment ref="B30" authorId="3" shapeId="0" xr:uid="{00000000-0006-0000-1100-000009000000}">
      <text>
        <r>
          <rPr>
            <sz val="11"/>
            <color indexed="81"/>
            <rFont val="Tahoma"/>
            <family val="2"/>
          </rPr>
          <t>The equation to convert DMD to ME is:
ME = (DMD x 0.1604) - 1.037.  For example, if the DMD is 75% then ME = (75 x 0.1604)  - 1.037 = 11.0 MJ</t>
        </r>
      </text>
    </comment>
    <comment ref="B34" authorId="1" shapeId="0" xr:uid="{00000000-0006-0000-1100-00000A000000}">
      <text>
        <r>
          <rPr>
            <sz val="11"/>
            <color indexed="81"/>
            <rFont val="Tahoma"/>
            <family val="2"/>
          </rPr>
          <t xml:space="preserve">Enter you average milk price over the whole year based on $ per litre. </t>
        </r>
        <r>
          <rPr>
            <sz val="8"/>
            <color indexed="81"/>
            <rFont val="Tahoma"/>
            <family val="2"/>
          </rPr>
          <t xml:space="preserve">
</t>
        </r>
      </text>
    </comment>
    <comment ref="B36" authorId="2" shapeId="0" xr:uid="{00000000-0006-0000-1100-00000B000000}">
      <text>
        <r>
          <rPr>
            <sz val="11"/>
            <color indexed="81"/>
            <rFont val="Tahoma"/>
            <family val="2"/>
          </rPr>
          <t>The milk price for when the  inhibitor coated N fertiliser is applied might be different to the mean annual milk price.</t>
        </r>
      </text>
    </comment>
    <comment ref="B38" authorId="1" shapeId="0" xr:uid="{D36DB25F-03B8-4E5C-851A-2598BE561B49}">
      <text>
        <r>
          <rPr>
            <sz val="11"/>
            <color indexed="81"/>
            <rFont val="Tahoma"/>
            <family val="2"/>
          </rPr>
          <t xml:space="preserve">Enter the farm price received from the ERF/CSF for a tonne of CO2-e.  </t>
        </r>
        <r>
          <rPr>
            <sz val="8"/>
            <color indexed="81"/>
            <rFont val="Tahoma"/>
            <family val="2"/>
          </rPr>
          <t xml:space="preserve">
</t>
        </r>
      </text>
    </comment>
    <comment ref="B43" authorId="2" shapeId="0" xr:uid="{00000000-0006-0000-1100-00000D000000}">
      <text>
        <r>
          <rPr>
            <sz val="11"/>
            <color indexed="81"/>
            <rFont val="Tahoma"/>
            <family val="2"/>
          </rPr>
          <t xml:space="preserve">Negative number indicates that enteric methane emissions have increased </t>
        </r>
      </text>
    </comment>
    <comment ref="B44" authorId="3" shapeId="0" xr:uid="{00000000-0006-0000-1100-00000E000000}">
      <text>
        <r>
          <rPr>
            <sz val="11"/>
            <color indexed="81"/>
            <rFont val="Tahoma"/>
            <family val="2"/>
          </rPr>
          <t>Negative numbers indicate waste methane has increased</t>
        </r>
        <r>
          <rPr>
            <sz val="9"/>
            <color indexed="81"/>
            <rFont val="Tahoma"/>
            <family val="2"/>
          </rPr>
          <t xml:space="preserve">
</t>
        </r>
      </text>
    </comment>
    <comment ref="B45" authorId="3" shapeId="0" xr:uid="{00000000-0006-0000-1100-00000F000000}">
      <text>
        <r>
          <rPr>
            <sz val="11"/>
            <color indexed="81"/>
            <rFont val="Tahoma"/>
            <family val="2"/>
          </rPr>
          <t>Negative numbers indicate waste nitrous oxide emissions have  increased</t>
        </r>
        <r>
          <rPr>
            <sz val="9"/>
            <color indexed="81"/>
            <rFont val="Tahoma"/>
            <family val="2"/>
          </rPr>
          <t xml:space="preserve">
</t>
        </r>
      </text>
    </comment>
    <comment ref="B46" authorId="3" shapeId="0" xr:uid="{00000000-0006-0000-1100-000010000000}">
      <text>
        <r>
          <rPr>
            <sz val="11"/>
            <color indexed="81"/>
            <rFont val="Tahoma"/>
            <family val="2"/>
          </rPr>
          <t xml:space="preserve">Negative numbers indicate N fertiliser nitrous oxide emissions have  increased
</t>
        </r>
      </text>
    </comment>
    <comment ref="B47" authorId="3" shapeId="0" xr:uid="{00000000-0006-0000-1100-000011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8" authorId="3" shapeId="0" xr:uid="{00000000-0006-0000-1100-000012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9" authorId="3" shapeId="0" xr:uid="{00000000-0006-0000-1100-000013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50" authorId="3" shapeId="0" xr:uid="{00000000-0006-0000-1100-000014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1" authorId="3" shapeId="0" xr:uid="{00000000-0006-0000-1100-000015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2" authorId="3" shapeId="0" xr:uid="{00000000-0006-0000-1100-000016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3" authorId="3" shapeId="0" xr:uid="{095463BB-C553-448E-AE61-7EAEEF322C83}">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9" authorId="2" shapeId="0" xr:uid="{00000000-0006-0000-1100-00001B000000}">
      <text>
        <r>
          <rPr>
            <b/>
            <sz val="8"/>
            <color indexed="81"/>
            <rFont val="Tahoma"/>
            <family val="2"/>
          </rPr>
          <t>karenc1:</t>
        </r>
        <r>
          <rPr>
            <sz val="8"/>
            <color indexed="81"/>
            <rFont val="Tahoma"/>
            <family val="2"/>
          </rPr>
          <t xml:space="preserve">
What % of the annual N fertiliser applied to pastures is coated with the inhibitor and applied during periods of the year when losses of N through leaching are high (e.g. autumn to spring for dryland pastures, year-round for irrigated pastures)
</t>
        </r>
      </text>
    </comment>
    <comment ref="B72" authorId="2" shapeId="0" xr:uid="{00000000-0006-0000-1100-00001C000000}">
      <text>
        <r>
          <rPr>
            <b/>
            <sz val="8"/>
            <color indexed="81"/>
            <rFont val="Tahoma"/>
            <family val="2"/>
          </rPr>
          <t>karenc1:</t>
        </r>
        <r>
          <rPr>
            <sz val="8"/>
            <color indexed="81"/>
            <rFont val="Tahoma"/>
            <family val="2"/>
          </rPr>
          <t xml:space="preserve">
What reduction potential does the nitrification inhibitor have on reducing N2O emissions.  Suggest 40%
</t>
        </r>
      </text>
    </comment>
    <comment ref="B81" authorId="1" shapeId="0" xr:uid="{00000000-0006-0000-1100-00001D000000}">
      <text>
        <r>
          <rPr>
            <sz val="8"/>
            <color indexed="81"/>
            <rFont val="Tahoma"/>
            <family val="2"/>
          </rPr>
          <t xml:space="preserve">Enter the farm price received from the CFI for a tonne of CO2-e.  (Provide some more detail here)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2" authorId="0" shapeId="0" xr:uid="{00000000-0006-0000-1000-000001000000}">
      <text>
        <r>
          <rPr>
            <sz val="8"/>
            <color indexed="81"/>
            <rFont val="Tahoma"/>
            <family val="2"/>
          </rPr>
          <t>Enter the likely average daily liveweight gain (kg/day) for each class of animal in the herd.</t>
        </r>
      </text>
    </comment>
    <comment ref="C12" authorId="1" shapeId="0" xr:uid="{00000000-0006-0000-1000-000002000000}">
      <text>
        <r>
          <rPr>
            <sz val="8"/>
            <color indexed="81"/>
            <rFont val="Tahoma"/>
            <family val="2"/>
          </rPr>
          <t xml:space="preserve">Can be referenced back to DGAS
</t>
        </r>
      </text>
    </comment>
    <comment ref="B24" authorId="2" shapeId="0" xr:uid="{00000000-0006-0000-1000-000003000000}">
      <text>
        <r>
          <rPr>
            <sz val="11"/>
            <color indexed="81"/>
            <rFont val="Tahoma"/>
            <family val="2"/>
          </rPr>
          <t xml:space="preserve">What is the cost to implement this strategy on a per cow basis?  For example, if the inhibitor cost $1 per cow per  day and the strategy was implemented for 90 days, this would reflect a cost of $90 per cow. </t>
        </r>
      </text>
    </comment>
    <comment ref="B26" authorId="1" shapeId="0" xr:uid="{00000000-0006-0000-1000-000004000000}">
      <text>
        <r>
          <rPr>
            <sz val="11"/>
            <color indexed="81"/>
            <rFont val="Tahoma"/>
            <family val="2"/>
          </rPr>
          <t xml:space="preserve">Enter you average milk price over the whole year based on $ per litre. </t>
        </r>
        <r>
          <rPr>
            <sz val="8"/>
            <color indexed="81"/>
            <rFont val="Tahoma"/>
            <family val="2"/>
          </rPr>
          <t xml:space="preserve">
</t>
        </r>
      </text>
    </comment>
    <comment ref="B28" authorId="1" shapeId="0" xr:uid="{1ACC77B3-8F22-49FF-90FE-FC5FDA48CC81}">
      <text>
        <r>
          <rPr>
            <sz val="11"/>
            <color indexed="81"/>
            <rFont val="Tahoma"/>
            <family val="2"/>
          </rPr>
          <t xml:space="preserve">Enter the farm price received from the ERF/CSF for a tonne of CO2-e.  </t>
        </r>
        <r>
          <rPr>
            <sz val="8"/>
            <color indexed="81"/>
            <rFont val="Tahoma"/>
            <family val="2"/>
          </rPr>
          <t xml:space="preserve">
</t>
        </r>
      </text>
    </comment>
    <comment ref="B31" authorId="3" shapeId="0" xr:uid="{00000000-0006-0000-1000-000006000000}">
      <text>
        <r>
          <rPr>
            <sz val="11"/>
            <color indexed="81"/>
            <rFont val="Tahoma"/>
            <family val="2"/>
          </rPr>
          <t>As urine patches are already in excess of N (i.e. around 1000 kg N/ha, there is no likelihood of any additional pasture production as a consequence of feeding the cows the N inhibitor.  Therefore there is unlikely to be any additional milk production achieved.  Therefore this figure is currently zero.  If future research confirms that there could be an increase in milk production, this will be incorporated into the calculator.</t>
        </r>
        <r>
          <rPr>
            <sz val="9"/>
            <color indexed="81"/>
            <rFont val="Tahoma"/>
            <family val="2"/>
          </rPr>
          <t xml:space="preserve">
</t>
        </r>
      </text>
    </comment>
    <comment ref="B33" authorId="2" shapeId="0" xr:uid="{00000000-0006-0000-1000-000007000000}">
      <text>
        <r>
          <rPr>
            <sz val="11"/>
            <color indexed="81"/>
            <rFont val="Tahoma"/>
            <family val="2"/>
          </rPr>
          <t xml:space="preserve">Negative number indicates that enteric methane emissions have increased </t>
        </r>
      </text>
    </comment>
    <comment ref="B34" authorId="3" shapeId="0" xr:uid="{00000000-0006-0000-1000-000008000000}">
      <text>
        <r>
          <rPr>
            <sz val="11"/>
            <color indexed="81"/>
            <rFont val="Tahoma"/>
            <family val="2"/>
          </rPr>
          <t>Negative numbers indicate waste methane has increased</t>
        </r>
        <r>
          <rPr>
            <sz val="9"/>
            <color indexed="81"/>
            <rFont val="Tahoma"/>
            <family val="2"/>
          </rPr>
          <t xml:space="preserve">
</t>
        </r>
      </text>
    </comment>
    <comment ref="B35" authorId="3" shapeId="0" xr:uid="{00000000-0006-0000-1000-000009000000}">
      <text>
        <r>
          <rPr>
            <sz val="11"/>
            <color indexed="81"/>
            <rFont val="Tahoma"/>
            <family val="2"/>
          </rPr>
          <t>Negative numbers indicate waste nitrous oxide emissions have  increased</t>
        </r>
        <r>
          <rPr>
            <sz val="9"/>
            <color indexed="81"/>
            <rFont val="Tahoma"/>
            <family val="2"/>
          </rPr>
          <t xml:space="preserve">
</t>
        </r>
      </text>
    </comment>
    <comment ref="B36" authorId="3" shapeId="0" xr:uid="{00000000-0006-0000-1000-00000A000000}">
      <text>
        <r>
          <rPr>
            <sz val="11"/>
            <color indexed="81"/>
            <rFont val="Tahoma"/>
            <family val="2"/>
          </rPr>
          <t xml:space="preserve">Negative numbers indicate N fertiliser nitrous oxide emissions have  increased
</t>
        </r>
      </text>
    </comment>
    <comment ref="B37" authorId="3" shapeId="0" xr:uid="{00000000-0006-0000-1000-00000B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8" authorId="3" shapeId="0" xr:uid="{00000000-0006-0000-1000-00000C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39" authorId="3" shapeId="0" xr:uid="{00000000-0006-0000-1000-00000D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0" authorId="3" shapeId="0" xr:uid="{00000000-0006-0000-1000-00000E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1" authorId="3" shapeId="0" xr:uid="{00000000-0006-0000-1000-00000F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2" authorId="3" shapeId="0" xr:uid="{00000000-0006-0000-1000-000010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3" authorId="3" shapeId="0" xr:uid="{6C59BE01-5BF2-4E27-83EA-BA9C80F73067}">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3" authorId="2" shapeId="0" xr:uid="{00000000-0006-0000-1000-000015000000}">
      <text>
        <r>
          <rPr>
            <b/>
            <sz val="8"/>
            <color indexed="81"/>
            <rFont val="Tahoma"/>
            <family val="2"/>
          </rPr>
          <t>karenc1:</t>
        </r>
        <r>
          <rPr>
            <sz val="8"/>
            <color indexed="81"/>
            <rFont val="Tahoma"/>
            <family val="2"/>
          </rPr>
          <t xml:space="preserve">
What is the difference in price of coated versus uncoated N fertiliser with the nitrification inhibitor?  The spreadsheet calculates the % of fertiliser coated from previous data entry to calculate the additional fertiliser cost associated with the inhibitor.  For example if urea costs $500/tonne to purchase and spread and DCD coated fertiliser costs $600/tonne to purchase and spread, the additional cost is $100/tonne.  </t>
        </r>
      </text>
    </comment>
    <comment ref="B64" authorId="1" shapeId="0" xr:uid="{00000000-0006-0000-1000-000016000000}">
      <text>
        <r>
          <rPr>
            <sz val="8"/>
            <color indexed="81"/>
            <rFont val="Tahoma"/>
            <family val="2"/>
          </rPr>
          <t xml:space="preserve">Enter you average milk price for season in $ per litre. 
</t>
        </r>
      </text>
    </comment>
    <comment ref="B65" authorId="1" shapeId="0" xr:uid="{00000000-0006-0000-1000-000017000000}">
      <text>
        <r>
          <rPr>
            <sz val="8"/>
            <color indexed="81"/>
            <rFont val="Tahoma"/>
            <family val="2"/>
          </rPr>
          <t xml:space="preserve">Enter the farm price received from the CFI for a tonne of CO2-e.  (Provide some more detail here)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9" authorId="0" shapeId="0" xr:uid="{00000000-0006-0000-03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9" authorId="0" shapeId="0" xr:uid="{00000000-0006-0000-0300-000002000000}">
      <text>
        <r>
          <rPr>
            <sz val="11"/>
            <color indexed="81"/>
            <rFont val="Tahoma"/>
            <family val="2"/>
          </rPr>
          <t>This is the unique supplier number that farmers have with their milk company.</t>
        </r>
        <r>
          <rPr>
            <sz val="9"/>
            <color indexed="81"/>
            <rFont val="Tahoma"/>
            <family val="2"/>
          </rPr>
          <t xml:space="preserve">
</t>
        </r>
      </text>
    </comment>
    <comment ref="G11" authorId="0" shapeId="0" xr:uid="{00000000-0006-0000-0300-000003000000}">
      <text>
        <r>
          <rPr>
            <sz val="11"/>
            <color indexed="81"/>
            <rFont val="Tahoma"/>
            <family val="2"/>
          </rPr>
          <t xml:space="preserve">Enter the financial year that this GHG assessment is for using the format 2012/13.  </t>
        </r>
      </text>
    </comment>
    <comment ref="C13" authorId="0" shapeId="0" xr:uid="{00000000-0006-0000-0300-000004000000}">
      <text>
        <r>
          <rPr>
            <sz val="11"/>
            <color indexed="81"/>
            <rFont val="Tahoma"/>
            <family val="2"/>
          </rPr>
          <t xml:space="preserve">When you go to the white cell to the right of this heading, a drop down arrow will appear to the right hand side and if you click on this, a list of all the states of Australia will appear.  </t>
        </r>
        <r>
          <rPr>
            <sz val="9"/>
            <color indexed="81"/>
            <rFont val="Tahoma"/>
            <family val="2"/>
          </rPr>
          <t xml:space="preserve">
</t>
        </r>
      </text>
    </comment>
    <comment ref="F13" authorId="0" shapeId="0" xr:uid="{765247E3-D842-47AB-9762-DFABFAF3B6AE}">
      <text>
        <r>
          <rPr>
            <sz val="11"/>
            <color indexed="81"/>
            <rFont val="Tahoma"/>
            <family val="2"/>
          </rPr>
          <t xml:space="preserve">Select your option here to populate the Typical Industry Average graph below. The averages are based on data from the Dairy Farm Monitor Project (DFMP) and the Queensland Dairy Accounting Scheme (QDAS) as found in DairyBase (2015-16 to 2020-21). Select which region/state you which to compare your results to. Alternatively, we have provided an Australia-wide average. 
In addition, we have analysed the DFMP and QDAS datasets to generate averages for three classes of grain/concentrate feeding to represent farm systems. These are low (&lt; 1 t DM/cow.annum), medium (1-2 t DM/cow.annum) or high (&gt; 2 t DM/cow.annum). You need to determine how much grain/concentrate you feed your milking herd to be able to select the most appropriate comparison. Selecting a grain/concentrate option will not limit the results to just your region/state.
</t>
        </r>
      </text>
    </comment>
    <comment ref="D15" authorId="0" shapeId="0" xr:uid="{13037D8A-3D14-4B3D-B34E-452E7BA9C4D2}">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5" authorId="0" shapeId="0" xr:uid="{25DF8448-F1E7-443B-9759-B9167825E549}">
      <text>
        <r>
          <rPr>
            <sz val="11"/>
            <color indexed="81"/>
            <rFont val="Tahoma"/>
            <family val="2"/>
          </rPr>
          <t xml:space="preserve">This category is for your replacement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
If you raise non-replacement heifers, you need to add them to the Other stock &gt; 1 yr age category.
In this example baseline farm, 5 heifers were sold at 18 months of age (post-preg testing and empty) at 425 kg each. </t>
        </r>
        <r>
          <rPr>
            <sz val="8"/>
            <color indexed="81"/>
            <rFont val="Tahoma"/>
            <family val="2"/>
          </rPr>
          <t xml:space="preserve">
</t>
        </r>
      </text>
    </comment>
    <comment ref="F15" authorId="0" shapeId="0" xr:uid="{FC469768-3BE0-49E2-BFA0-E24989D5B6A9}">
      <text>
        <r>
          <rPr>
            <sz val="11"/>
            <color indexed="81"/>
            <rFont val="Tahoma"/>
            <family val="2"/>
          </rPr>
          <t xml:space="preserve">This category is for your replacement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
If you sell the non-replacement heifers as young calves (as week old calves or post-weaning), you don't need to add the number of them into the Livestock number cell, but enter the number sold further down the sheet.
If you raise the non-replacement heifers beyond weaning, add their number in with the Other stock &lt; 1 yr of age category. For example, you raise them to 9 months of age before selling, then you need to determine the annual average number present along with steers and bulls. See the help message for Other stock &lt; 1 yr age.
</t>
        </r>
        <r>
          <rPr>
            <sz val="12"/>
            <color indexed="81"/>
            <rFont val="Tahoma"/>
            <family val="2"/>
          </rPr>
          <t xml:space="preserve">
</t>
        </r>
        <r>
          <rPr>
            <sz val="11"/>
            <color indexed="81"/>
            <rFont val="Tahoma"/>
            <family val="2"/>
          </rPr>
          <t>In this example baseline farm, we raised all 220 heifers, retaining 75 as replacements and then selling 145 non-replacement heifers post-weaning at 100kg liveweight. As their emissions pre-weaning are relatively small, we do not need to include them in the livestock numbers, just the number of stock sold each year and their liveweight at point of sale.</t>
        </r>
      </text>
    </comment>
    <comment ref="G15" authorId="0" shapeId="0" xr:uid="{D9CE6FF1-D290-4524-9C3A-9D48A38978FF}">
      <text>
        <r>
          <rPr>
            <sz val="11"/>
            <color indexed="81"/>
            <rFont val="Tahoma"/>
            <family val="2"/>
          </rPr>
          <t>Mature bulls are no longer growing.  They  will be 10 to 20% heavier than the milking cow.  For example, if the milking cow weighs 600kg, the bulls are likely to be 660 to 720 kg.  As they are fully grown there is no liveweight gain.
In this example baseline farm we sold 5 bulls at 650 kg each for the year of assessment.</t>
        </r>
      </text>
    </comment>
    <comment ref="H15" authorId="0" shapeId="0" xr:uid="{2136C936-CF6B-4C6B-BF34-09B85DC81587}">
      <text>
        <r>
          <rPr>
            <sz val="11"/>
            <color indexed="81"/>
            <rFont val="Tahoma"/>
            <family val="2"/>
          </rPr>
          <t xml:space="preserve">This category is for young bulls, steers and non-replacement heifers that are 0-1 years of age and can be either replacement bulls for breeding or steers and heifers to be sold off farm. </t>
        </r>
        <r>
          <rPr>
            <b/>
            <sz val="11"/>
            <color indexed="81"/>
            <rFont val="Tahoma"/>
            <family val="2"/>
          </rPr>
          <t>NOTE</t>
        </r>
        <r>
          <rPr>
            <sz val="11"/>
            <color indexed="81"/>
            <rFont val="Tahoma"/>
            <family val="2"/>
          </rPr>
          <t xml:space="preserve">: If you sell your surplus heifers and bull calves at 5 to 10 days of age, do not enter any data for them here, their data needs to go into the Calves category.
If you retain the bulls/steers/heifers for the full 12 months, use their liveweight at 6 months of age and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Conversely, if you sell the steers and heifers prior to reaching 1 year of age, determine the stocking rate if they were retained for the full year. For example, you have 75 steers and heifers and sell them at 9 months of age, thus 75 head x 9 months retained  / 12 months in the year = equivalent to 56 head per annum. 
If you sell most animals but retain some as bulls for replacements, it may be easiest to sum the number of bulls/steers/heifers present each month and divide by 12. For example, raised 5 bulls, as well as 70 steers and heifers and sold all 70 steers and heifers at 10 months of age and retained the 5 bulls as replacements. The sum of 70 steers/heifers for 10 months (700 equivalents) + 5 bulls for 12 months (60 equivalents) = 760 head equivalents / 12 months = 63 head per annum. 
You then need to determine their average liveweight and liveweight gain over the period they were present on farm, similar to if they were present for the full 12 months. For example, the non-replacement heifers and bulls were sold at  approx. 270 kg so their mid-point liveweight would be 135 kg liveweight. 
</t>
        </r>
      </text>
    </comment>
    <comment ref="I15" authorId="0" shapeId="0" xr:uid="{8D43D3C1-4373-48BA-9A12-1F7CF90526EE}">
      <text>
        <r>
          <rPr>
            <sz val="11"/>
            <color indexed="81"/>
            <rFont val="Tahoma"/>
            <family val="2"/>
          </rPr>
          <t xml:space="preserve">This category is for replacement bulls, and for steers and non-replacement heifers that are 1-2 years of age and sold off farm as opposed to retaining.
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18 months of age, thus 75 head x 6 months retained when greater than 1 year of age /  12 months in the year = equivalent to 38 head per annum.    </t>
        </r>
        <r>
          <rPr>
            <sz val="8"/>
            <color indexed="81"/>
            <rFont val="Tahoma"/>
            <family val="2"/>
          </rPr>
          <t xml:space="preserve">
</t>
        </r>
        <r>
          <rPr>
            <sz val="11"/>
            <color indexed="81"/>
            <rFont val="Tahoma"/>
            <family val="2"/>
          </rPr>
          <t xml:space="preserve">
Use their age mid-point for liveweight. So if they are 350 kg at 12 months of age and sold at 600 kg then the midpoint is 475kg.   
  </t>
        </r>
        <r>
          <rPr>
            <sz val="8"/>
            <color indexed="81"/>
            <rFont val="Tahoma"/>
            <family val="2"/>
          </rPr>
          <t xml:space="preserve">
</t>
        </r>
      </text>
    </comment>
    <comment ref="J15" authorId="0" shapeId="0" xr:uid="{265D2B16-B0BB-434D-B59C-D61892DEBBC7}">
      <text>
        <r>
          <rPr>
            <sz val="11"/>
            <color indexed="81"/>
            <rFont val="Tahoma"/>
            <family val="2"/>
          </rPr>
          <t xml:space="preserve">This category is for non-replacement calves sold soon after birth (i.e. 5 to 10 days of age) or post-weaning at around 100 kg or 80-100 days. This is not where you include your replacement heifer calves, or if you breed bulls for breeding, or you fatten up non-replacement heifers and steers for the beef market. 
These animals (calves up to weaning age) emit very little GHG emissions and so we have decided they will not alter net farm GHG emissions. However, they do contribute to total meat sales and thus the emissions intensity of milk and meat production. Therefore, non-relevant cells have been blanked out. Enter the number sold and their average liveweight in the white cells. 
However, if you retain non-replacement heifers and bull/steer calves beyond weaning and fatten them on farm before selling, they need to be reported in the Other stock &lt; 1 yr age category as they will be emitting GHG emissions for the duration on farm until sold.  
Make sure you select if these non-replacement animals are sold soon after birth (i.e. 5-7 days) or if sold post-weaning (i.e. at approx. 100 kg or around 80-100 days of age (essentially retained longer on farm than up to a couple of weeks)) from the drop-down list to the right of this Calves heading. if you sell some at a few days of age (e.g. bull calves) but retain your non-replacement heifer calves until post-weaning), select the option which is the largest number of animals (most likely soon after birth as more bull calves sold than non-replacement heifer calves). 
</t>
        </r>
        <r>
          <rPr>
            <sz val="9"/>
            <color indexed="81"/>
            <rFont val="Tahoma"/>
            <family val="2"/>
          </rPr>
          <t xml:space="preserve">
</t>
        </r>
      </text>
    </comment>
    <comment ref="C17" authorId="1" shapeId="0" xr:uid="{38926C72-961A-4E4B-A906-E55F7C62DE44}">
      <text>
        <r>
          <rPr>
            <sz val="12"/>
            <color indexed="81"/>
            <rFont val="Tahoma"/>
            <family val="2"/>
          </rPr>
          <t>Insert the number of animals in each category.</t>
        </r>
      </text>
    </comment>
    <comment ref="B19" authorId="1" shapeId="0" xr:uid="{00000000-0006-0000-0300-00000C000000}">
      <text>
        <r>
          <rPr>
            <sz val="11"/>
            <color indexed="81"/>
            <rFont val="Tahoma"/>
            <family val="2"/>
          </rPr>
          <t>Specify the average liveweight of your herd for each category.</t>
        </r>
      </text>
    </comment>
    <comment ref="C19" authorId="1" shapeId="0" xr:uid="{5703DFE9-E2D2-47F0-B6CD-23A37B3B1C42}">
      <text>
        <r>
          <rPr>
            <sz val="11"/>
            <color indexed="81"/>
            <rFont val="Tahoma"/>
            <family val="2"/>
          </rPr>
          <t>Specify the average liveweight of your herd for each category.</t>
        </r>
      </text>
    </comment>
    <comment ref="E19" authorId="0" shapeId="0" xr:uid="{B2E02CAE-34CD-4FED-8764-242279840A25}">
      <text>
        <r>
          <rPr>
            <sz val="12"/>
            <color indexed="81"/>
            <rFont val="Tahoma"/>
            <family val="2"/>
          </rPr>
          <t>This is the live weight at the mid point of their age group, so for Heifers &gt; 1, this would be at 18 months of age for heifers calving at 2 yrs of age.  If accurate figures are not available, we suggest using 70% of the milking cow liveweight.  For example, if the milkers weigh 600kg, the heifers would weigh 420kg.</t>
        </r>
        <r>
          <rPr>
            <sz val="8"/>
            <color indexed="81"/>
            <rFont val="Tahoma"/>
            <family val="2"/>
          </rPr>
          <t xml:space="preserve">
</t>
        </r>
      </text>
    </comment>
    <comment ref="F19" authorId="0" shapeId="0" xr:uid="{9A11A4BA-3779-46D3-AA8A-A44B640627FE}">
      <text>
        <r>
          <rPr>
            <sz val="11"/>
            <color indexed="81"/>
            <rFont val="Tahoma"/>
            <family val="2"/>
          </rPr>
          <t>This is the live weight at the mid point of their age group, so for Heifers &lt; 1, this would be at 6 months of age for heifers calving at 2 yrs of age.  If accurate figures are not available, we suggest using 30% of the milking cow liveweight. For example, if the milkers weigh 600kg, the heifers would weigh 180kg.</t>
        </r>
      </text>
    </comment>
    <comment ref="H19" authorId="0" shapeId="0" xr:uid="{B4D35C64-8369-4000-8CF4-3C0F5B5A81FC}">
      <text>
        <r>
          <rPr>
            <sz val="11"/>
            <color indexed="81"/>
            <rFont val="Tahoma"/>
            <family val="2"/>
          </rPr>
          <t xml:space="preserve">If you retain the bulls/steers/heifers for the full 12 months, use their liveweight at 6 months of age.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t>
        </r>
      </text>
    </comment>
    <comment ref="I19" authorId="0" shapeId="0" xr:uid="{ED5D6403-056E-4D4D-8B38-FF7E6A021AB0}">
      <text>
        <r>
          <rPr>
            <sz val="11"/>
            <color indexed="81"/>
            <rFont val="Tahoma"/>
            <family val="2"/>
          </rPr>
          <t xml:space="preserve">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21 months of age, thus 75 head x 9 months retained when greater than 1 year of age /  12 months in the year = equivalent to 56 head per annum.    
Use their age mid-point for liveweight. So if they are 350 kg at 12 months of age and sold at 600 kg then the midpoint is 475kg. During that 12 month period they gained 250 kg liveweight, equivalent to 0.68 kg LW/day. </t>
        </r>
        <r>
          <rPr>
            <sz val="9"/>
            <color indexed="81"/>
            <rFont val="Tahoma"/>
            <family val="2"/>
          </rPr>
          <t xml:space="preserve">   
</t>
        </r>
      </text>
    </comment>
    <comment ref="B21" authorId="1" shapeId="0" xr:uid="{00000000-0006-0000-0300-00000F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C21" authorId="1" shapeId="0" xr:uid="{6D430DB0-54FD-4586-8DD3-9669C28E21FB}">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1" authorId="0" shapeId="0" xr:uid="{00000000-0006-0000-0300-000010000000}">
      <text>
        <r>
          <rPr>
            <sz val="12"/>
            <color indexed="81"/>
            <rFont val="Tahoma"/>
            <family val="2"/>
          </rPr>
          <t>While milking cows lose weight in early lactation, this weight is regained during late lactation and during the non-lactating phase.  Therefore over a 12 month period there is generally no change in live weight and therefore no live weight gain</t>
        </r>
        <r>
          <rPr>
            <sz val="8"/>
            <color indexed="81"/>
            <rFont val="Tahoma"/>
            <family val="2"/>
          </rPr>
          <t xml:space="preserve">
</t>
        </r>
      </text>
    </comment>
    <comment ref="E21" authorId="0" shapeId="0" xr:uid="{00000000-0006-0000-0300-000011000000}">
      <text>
        <r>
          <rPr>
            <sz val="12"/>
            <color indexed="81"/>
            <rFont val="Tahoma"/>
            <family val="2"/>
          </rPr>
          <t xml:space="preserve">Typical live weight gain is between 0.6 and 0.75 kg per day depending on the breed, with Jerseys at the lower end and large-framed Holstein Friesians (&gt;600 kg) at the upper range
</t>
        </r>
      </text>
    </comment>
    <comment ref="F21" authorId="0" shapeId="0" xr:uid="{00000000-0006-0000-0300-000012000000}">
      <text>
        <r>
          <rPr>
            <sz val="12"/>
            <color indexed="81"/>
            <rFont val="Tahoma"/>
            <family val="2"/>
          </rPr>
          <t>Typical live weight gain is between 0.6 and 0.75 kg per day depending on the breed, with Jerseys at the lower end and large-framed Holstein Friesians (&gt;600 kg) at the upper range</t>
        </r>
        <r>
          <rPr>
            <sz val="8"/>
            <color indexed="81"/>
            <rFont val="Tahoma"/>
            <family val="2"/>
          </rPr>
          <t xml:space="preserve">
</t>
        </r>
      </text>
    </comment>
    <comment ref="B23" authorId="0" shapeId="0" xr:uid="{02CD545D-8556-4700-8263-98DDA14A4407}">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C23" authorId="0" shapeId="0" xr:uid="{204A2DE3-540A-4BD6-9621-03F92CBAA38C}">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B25" authorId="0" shapeId="0" xr:uid="{6700EB91-AA48-426B-984A-CC81B5A23110}">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C25" authorId="0" shapeId="0" xr:uid="{7BE4E453-7FFE-4F8B-9E31-D75B28CF875E}">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B28" authorId="2" shapeId="0" xr:uid="{00000000-0006-0000-0300-000013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33" authorId="0" shapeId="0" xr:uid="{00000000-0006-0000-0300-000014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connected milk, and therefore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5" authorId="0" shapeId="0" xr:uid="{00000000-0006-0000-0300-000015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 lines etc).</t>
        </r>
        <r>
          <rPr>
            <sz val="9"/>
            <color indexed="81"/>
            <rFont val="Tahoma"/>
            <family val="2"/>
          </rPr>
          <t xml:space="preserve"> 
</t>
        </r>
      </text>
    </comment>
    <comment ref="B37" authorId="0" shapeId="0" xr:uid="{00000000-0006-0000-0300-000016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44" authorId="3" shapeId="0" xr:uid="{00000000-0006-0000-0300-000017000000}">
      <text>
        <r>
          <rPr>
            <sz val="11"/>
            <color indexed="81"/>
            <rFont val="Tahoma"/>
            <family val="2"/>
          </rPr>
          <t>Enter the DMD in the feed eaten, not on offer.  Suggest the NGGI default of 75% in the absence of known figures.</t>
        </r>
      </text>
    </comment>
    <comment ref="B45" authorId="2" shapeId="0" xr:uid="{00000000-0006-0000-0300-000018000000}">
      <text>
        <r>
          <rPr>
            <sz val="11"/>
            <color indexed="81"/>
            <rFont val="Tahoma"/>
            <family val="2"/>
          </rPr>
          <t>Enter the CP in the feed eaten, not on offer.  Suggest the NGGI default of 20% in the absence of known figures.</t>
        </r>
      </text>
    </comment>
    <comment ref="C48" authorId="0" shapeId="0" xr:uid="{C3C399FB-F4D5-4847-80DF-FA6CD41BBEF9}">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50" authorId="0" shapeId="0" xr:uid="{DB4ED99B-9B3D-4D5A-BFF5-DE1C7854D45F}">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50" authorId="0" shapeId="0" xr:uid="{11B942D6-AAF5-40DF-A931-8B8E525E07E3}">
      <text>
        <r>
          <rPr>
            <sz val="11"/>
            <color indexed="81"/>
            <rFont val="Tahoma"/>
            <family val="2"/>
          </rPr>
          <t xml:space="preserve">Amount of Nitrogen fertiliser applied to pastures. Remember that urea is 46%N and DAP is 18% N etc. i.e. 10 tonnes of urea = 4.6 tonnes N.
For the percentage of N fertiliser applied to pastures and crops is urea, enter whole numbers. For example, if all N fertiliser is urea, then enter 100. 
Note this is not the weight of fertiliser, but of N. For example 1 t urea and 1 t DAP is equivalent to 460 kg N from urea and 180 kg N from DAP, so 640 kg N with 72% from urea (i.e. 460 / (460 + 180)). This percentage is used to estimate the amount of CO2 produced when urea N is applied to pastures. Other forms of N do not release CO2 when applied to pastures. If no percentage is entered into the "Percentage of N fertiliser that is urea", the calculator will assume this is 100%, given urea is the most common form of N fertiliser applied to pastures and crops.
 </t>
        </r>
        <r>
          <rPr>
            <sz val="9"/>
            <color indexed="81"/>
            <rFont val="Tahoma"/>
            <family val="2"/>
          </rPr>
          <t xml:space="preserve">
</t>
        </r>
      </text>
    </comment>
    <comment ref="B51" authorId="1" shapeId="0" xr:uid="{1E624DC3-6F8B-4FD0-AC14-673B5F40ACBA}">
      <text>
        <r>
          <rPr>
            <sz val="11"/>
            <color indexed="81"/>
            <rFont val="Tahoma"/>
            <family val="2"/>
          </rPr>
          <t xml:space="preserve">Total area of pastures that received N fertiliser.  This includes runoff/ out blocks and also leased land as this is still part of the farm business.
</t>
        </r>
      </text>
    </comment>
    <comment ref="B52" authorId="1" shapeId="0" xr:uid="{8E835C14-4B8E-488F-81AA-DECE5F4032C2}">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E53" authorId="0" shapeId="0" xr:uid="{43613976-E7AA-4D45-AC69-731DBD76ABEF}">
      <text>
        <r>
          <rPr>
            <sz val="11"/>
            <color indexed="81"/>
            <rFont val="Tahoma"/>
            <family val="2"/>
          </rPr>
          <t xml:space="preserve">We need to know what percentage of total N fertiliser is urea versus other N fertilisers such as DAP. When urea is manufactured, the process removes carbon dioxide from the atmosphere. When the urea fertiliser is then spread onto pastures and crops, the carbon dioxide is released to the atmosphere. We need to account for this release of carbon dioxide with the farm GHG assessment.
If you applied 10 t of N as urea and 5 t N as DAP, then 10 t urea N / 15 t total N = 67% urea N. </t>
        </r>
        <r>
          <rPr>
            <sz val="9"/>
            <color indexed="81"/>
            <rFont val="Tahoma"/>
            <family val="2"/>
          </rPr>
          <t xml:space="preserve">
</t>
        </r>
      </text>
    </comment>
    <comment ref="B56" authorId="2" shapeId="0" xr:uid="{DDDF377C-B131-4580-B25C-A988528D2F2B}">
      <text>
        <r>
          <rPr>
            <sz val="11"/>
            <color indexed="81"/>
            <rFont val="Tahoma"/>
            <family val="2"/>
          </rPr>
          <t xml:space="preserve">Area of farmland applied with P, K, S and Lime/dolomite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7" authorId="2" shapeId="0" xr:uid="{5EDB62D3-3DD3-425D-9BE2-D8E42077BECE}">
      <text>
        <r>
          <rPr>
            <sz val="11"/>
            <color indexed="81"/>
            <rFont val="Tahoma"/>
            <family val="2"/>
          </rPr>
          <t xml:space="preserve">Area of farmland applied with P, K, S and Lime/dolomite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60" authorId="1" shapeId="0" xr:uid="{C8F9545A-D56D-465D-8A97-B3431C910E20}">
      <text>
        <r>
          <rPr>
            <sz val="11"/>
            <color indexed="81"/>
            <rFont val="Tahoma"/>
            <family val="2"/>
          </rPr>
          <t xml:space="preserve">What was your total annual electricity consumption for the year in kWh?
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text>
    </comment>
    <comment ref="E60" authorId="0" shapeId="0" xr:uid="{34D6C079-B728-4556-BB99-78AE33A9841D}">
      <text>
        <r>
          <rPr>
            <sz val="11"/>
            <color indexed="81"/>
            <rFont val="Tahoma"/>
            <family val="2"/>
          </rPr>
          <t xml:space="preserve">The State Grid option matches current sources of electricity (i.e. coal, hydro, wind) for your state. For example, most of Tasmania's energy is generated via hydro and wind, but there is a very small proportion generated via gas or comes via Bass Link from the mainland. The emission factor for Tasmania takes this into consideration, with a considerably lower factor than Victoria, for example. 
Only select 100% renewable if all your electricity consumption is supplied via clean energy forms (i.e. hydro, solar, wind).
</t>
        </r>
        <r>
          <rPr>
            <sz val="9"/>
            <color indexed="81"/>
            <rFont val="Tahoma"/>
            <family val="2"/>
          </rPr>
          <t xml:space="preserve">
</t>
        </r>
      </text>
    </comment>
    <comment ref="B61" authorId="1" shapeId="0" xr:uid="{9F96E297-0E26-4093-A66A-415D80C1C351}">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raking- 3 litres/ha
Sowing/ mowing/ wrapping silage- 9 litres/ha
Baling/ harvesting/ discing- 16 litres/ha
Ploughing/ tillage- 22 litres/ha
So if you were making silage from a 1ha paddock, with the grass cut, tedded and raked before baling and wrapping, it is likely that 40 litres per hectare may have been consumed (i.e. 9 litres/ha for cutting, 3 litres/ha for tedding, 3 litres/ha for raking, 16 litres/ha for baling and 9 litres/ha for wrapping).</t>
        </r>
      </text>
    </comment>
    <comment ref="E61" authorId="0" shapeId="0" xr:uid="{F0B11D4B-C6DE-465B-BB17-D1A3826CF105}">
      <text>
        <r>
          <rPr>
            <sz val="11"/>
            <color indexed="81"/>
            <rFont val="Tahoma"/>
            <family val="2"/>
          </rPr>
          <t xml:space="preserve">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r>
          <rPr>
            <sz val="9"/>
            <color indexed="81"/>
            <rFont val="Tahoma"/>
            <family val="2"/>
          </rPr>
          <t xml:space="preserve">
</t>
        </r>
      </text>
    </comment>
    <comment ref="B63" authorId="0" shapeId="0" xr:uid="{00000000-0006-0000-0300-000023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fuel needs to be considered as part of the farm business and included where applicable.</t>
        </r>
        <r>
          <rPr>
            <sz val="9"/>
            <color indexed="81"/>
            <rFont val="Tahoma"/>
            <family val="2"/>
          </rPr>
          <t xml:space="preserve">
</t>
        </r>
      </text>
    </comment>
    <comment ref="B71" authorId="0" shapeId="0" xr:uid="{D04FF2AE-E31B-4377-B7DB-06B5789B26A9}">
      <text>
        <r>
          <rPr>
            <sz val="11"/>
            <color indexed="81"/>
            <rFont val="Tahoma"/>
            <family val="2"/>
          </rPr>
          <t xml:space="preserve">You have three options to select how to estimate carbon sequestration in trees.  
1. If you have no trees present on farm, select "No estimation of carbon sequestration" from the drop-down list.
2. If you wish to use the combination of trees and soils built into ADCC to determine the amount of carbon sequestered in trees, select "Based on data entered here". If you select this option, you need to select from the drop-down list in the order they are present here. moving down the sheet by selecting your region first, then type of trees and then soil type before entering the area and age of the trees. If you do not select in this order, excel may mis-calculate your results.
3. If you wish to use some other tool or calculator to estimate (e.g. FullCAM or LOOC-C", select "Carbon sequestered using other tools". When this option is selected, text and a box will appear to the right where you need to enter the amount of carbon sequestered/ha from the other tool, along with the area of trees, for excel to calculate the total amount of carbon for the farm . Remember we are asking for the tonnes of carbon dioxide/ha, so if your result from another tool is reported as t C/ha, multiply that amount of C by 3.67 to convert to t CO2/ha. For example, 7 t C/ha equates to 25.7 t CO2e/ha. You are also needing to enter the amount sequestered for only one year from the other tools, not the total over 25 or 100 years.   </t>
        </r>
        <r>
          <rPr>
            <sz val="9"/>
            <color indexed="81"/>
            <rFont val="Tahoma"/>
            <family val="2"/>
          </rPr>
          <t xml:space="preserve">
</t>
        </r>
      </text>
    </comment>
    <comment ref="B73" authorId="0" shapeId="0" xr:uid="{D5665790-E9E1-4EB1-A534-A8162375724F}">
      <text>
        <r>
          <rPr>
            <sz val="11"/>
            <color indexed="81"/>
            <rFont val="Tahoma"/>
            <family val="2"/>
          </rPr>
          <t xml:space="preserve">If you click on the white cell to the right of this heading, a drop down arrow should appear along with a list of the regions specific to your state.  Most states have two or more regions to select from. These selections will only influence the amount of carbon sequestered in tree plantings
Victoria: North East VIC refers to farms around Wangaratta and Benalla. Northern VIC refers to farms around Cobram, Shepparton and Echuca. Mallee refers to farms around Kerang. If you are unsure which region your farm is located, in terms of these three northern Victoria regions, compare results between regions to ascertain if there is a substantial difference in terms of the carbon sequestration potential.        </t>
        </r>
        <r>
          <rPr>
            <sz val="9"/>
            <color indexed="81"/>
            <rFont val="Tahoma"/>
            <family val="2"/>
          </rPr>
          <t xml:space="preserve">
</t>
        </r>
      </text>
    </comment>
    <comment ref="B75" authorId="2" shapeId="0" xr:uid="{C8789B46-3BEC-48AC-8BBD-AFA01E854015}">
      <text>
        <r>
          <rPr>
            <sz val="11"/>
            <color indexed="81"/>
            <rFont val="Tahoma"/>
            <family val="2"/>
          </rPr>
          <t xml:space="preserve">The tree species will firstly match that of the baseline farm system. However, users can explore the effect of selecting another species relevant for the region selected. 
If a tree species you wish to explore is not present, select the closest species, or select Environmental plantings as a blend of native trees, shrubs and understorey that is endemic to your region.
</t>
        </r>
      </text>
    </comment>
    <comment ref="B77" authorId="0" shapeId="0" xr:uid="{A704DB84-D442-468D-9920-48A42EDAC0CA}">
      <text>
        <r>
          <rPr>
            <sz val="11"/>
            <color indexed="81"/>
            <rFont val="Tahoma"/>
            <family val="2"/>
          </rPr>
          <t>Two soil types are available for most regions. However, the results are generally the same for both soil types. Select the most common for your region.</t>
        </r>
      </text>
    </comment>
    <comment ref="H77" authorId="0" shapeId="0" xr:uid="{AC771631-C5AA-429A-8959-EE8AFEF5E82F}">
      <text>
        <r>
          <rPr>
            <b/>
            <sz val="9"/>
            <color indexed="81"/>
            <rFont val="Tahoma"/>
            <family val="2"/>
          </rPr>
          <t>Karen Christie:</t>
        </r>
        <r>
          <rPr>
            <sz val="9"/>
            <color indexed="81"/>
            <rFont val="Tahoma"/>
            <family val="2"/>
          </rPr>
          <t xml:space="preserve">
Age of trees is this year of analysis and can vary between 1 and 100</t>
        </r>
      </text>
    </comment>
    <comment ref="C80" authorId="0" shapeId="0" xr:uid="{00000000-0006-0000-0300-000029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80" authorId="0" shapeId="0" xr:uid="{00000000-0006-0000-0300-00002A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91" authorId="0" shapeId="0" xr:uid="{00000000-0006-0000-0300-00002B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 ration farm where they are retained on concrete during their dry period also, it will be 365 days per annum.</t>
        </r>
        <r>
          <rPr>
            <sz val="9"/>
            <color indexed="81"/>
            <rFont val="Tahoma"/>
            <family val="2"/>
          </rPr>
          <t xml:space="preserve">
</t>
        </r>
      </text>
    </comment>
    <comment ref="B93" authorId="0" shapeId="0" xr:uid="{00000000-0006-0000-0300-00002C000000}">
      <text>
        <r>
          <rPr>
            <sz val="11"/>
            <color indexed="81"/>
            <rFont val="Tahoma"/>
            <family val="2"/>
          </rPr>
          <t xml:space="preserve">This question is not asking how frequently you spread waste from a pond/lagoon system.  It is making the distinction between if the waste from the daily is spread daily through either an irrigation system or slurry cart or if it is flushed with additional water and goes into a pond/ lagoon system.     </t>
        </r>
        <r>
          <rPr>
            <sz val="9"/>
            <color indexed="81"/>
            <rFont val="Tahoma"/>
            <family val="2"/>
          </rPr>
          <t xml:space="preserve">
</t>
        </r>
      </text>
    </comment>
    <comment ref="B97" authorId="0" shapeId="0" xr:uid="{00000000-0006-0000-0300-00002D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101" authorId="0" shapeId="0" xr:uid="{00000000-0006-0000-0300-00002E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101" authorId="0" shapeId="0" xr:uid="{00000000-0006-0000-0300-00002F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4" authorId="0" shapeId="0" xr:uid="{020ADB80-CB66-4145-AB79-0CC647AC03CC}">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
The calculations assume both age groups, as opposed to just the rising 1 year olds or the rising 2 year olds.</t>
        </r>
      </text>
    </comment>
    <comment ref="B106" authorId="0" shapeId="0" xr:uid="{00000000-0006-0000-0300-000031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106" authorId="0" shapeId="0" xr:uid="{00000000-0006-0000-0300-000032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2" authorId="0" shapeId="0" xr:uid="{1BE90B73-4371-4E49-86F0-F003B57444FC}">
      <text>
        <r>
          <rPr>
            <sz val="11"/>
            <color indexed="81"/>
            <rFont val="Tahoma"/>
            <family val="2"/>
          </rPr>
          <t xml:space="preserve">Scope 1 emissions are those that occur on farm and the farmer has control over. For example, they can choose how many cows to milk, replacement animals to retain etc
</t>
        </r>
        <r>
          <rPr>
            <sz val="9"/>
            <color indexed="81"/>
            <rFont val="Tahoma"/>
            <family val="2"/>
          </rPr>
          <t xml:space="preserve">
</t>
        </r>
      </text>
    </comment>
    <comment ref="C112" authorId="0" shapeId="0" xr:uid="{3BED7861-A957-4F59-89DE-ACFCDE47A3B2}">
      <text>
        <r>
          <rPr>
            <sz val="11"/>
            <color indexed="81"/>
            <rFont val="Tahoma"/>
            <family val="2"/>
          </rPr>
          <t xml:space="preserve">Methane is lost as part of the digestive process as a pathway of removing excess hydrogen from the rumen. Cattle emit approx. 6.5% of their gross energy intake as methane, with this number reducing as the quality of the diet improves. Most of the methane is emitted through the mouth, although a small amount is also emitted through the rear-end too. </t>
        </r>
      </text>
    </comment>
    <comment ref="C113" authorId="0" shapeId="0" xr:uid="{3DF71F2F-A462-49EB-B3E1-92ABEA2F7C72}">
      <text>
        <r>
          <rPr>
            <sz val="11"/>
            <color indexed="81"/>
            <rFont val="Tahoma"/>
            <family val="2"/>
          </rPr>
          <t>Methane is produced during the decomposition of manure when deposited onto pastures and collected in pond/lagoon systems under anaerobic conditions. Note that this value is not the amount of methane emitted from a storage system (e.g. lagoons/ponds), but from all manure deposited by the herd, with the majority of manure(&gt; 75%) deposited onto pastures during grazing.</t>
        </r>
      </text>
    </comment>
    <comment ref="B114" authorId="0" shapeId="0" xr:uid="{7A259208-373B-4A22-A720-DC1C7BA3EA1D}">
      <text>
        <r>
          <rPr>
            <sz val="11"/>
            <color indexed="81"/>
            <rFont val="Tahoma"/>
            <family val="2"/>
          </rPr>
          <t xml:space="preserve">Scope 1 emissions are those that occur on farm and the farmer has control over. For example, they can choose how many cows to milk, how much N fertiliser to apply etc
</t>
        </r>
      </text>
    </comment>
    <comment ref="C114" authorId="0" shapeId="0" xr:uid="{E8AF51B7-D638-42B7-A596-2860E1DD2DDE}">
      <text>
        <r>
          <rPr>
            <sz val="11"/>
            <color indexed="81"/>
            <rFont val="Tahoma"/>
            <family val="2"/>
          </rPr>
          <t>As cattle graze pastures and deposit urine and dung, a proportion of the N in these is converted to nitrous oxide and lost to the environment.
A national survey determined the proportion of total manure that is deposited on pastures during grazing. This varies between states, and between 79 and 85% for milking cows and 100% for all other stock. 
If your stock spend substantially longer on non-paddock areas (e.g. feed lotting), we suggest you may wish to enter your own data in the manure management section to ascertain a more realistic value for nitrous oxide losses.</t>
        </r>
      </text>
    </comment>
    <comment ref="C115" authorId="0" shapeId="0" xr:uid="{5FDC14A9-9CA4-4D11-8FFA-0E147BC4BEFB}">
      <text>
        <r>
          <rPr>
            <sz val="11"/>
            <color indexed="81"/>
            <rFont val="Tahoma"/>
            <family val="2"/>
          </rPr>
          <t>A proportion of cattle urine and dung (manure) is captured on hard surfaces, such as at the dairy and generally are either collected in a pond/lagoon system or spread  daily through an irrigation system. The calculator uses a state-based average to determine what proportion of manure is captured and how it is handled (i.e. pond/lagoon, spread daily etc), based on national survey data.  
During storage, the manure (dung and urine) goes through a process of nitrification and denitrification, releasing a proportion of N to the environment in the form of nitrous oxide.  Likewise, after the manure is applied to pastures, a proportion of the N will be lost as nitrous oxide. 
If your stock spend substantially longer on non-paddock areas (e.g. feed lotting), we suggest you may wish to enter your own data in the manure management section to ascertain a more realistic value for nitrous oxide losses.</t>
        </r>
      </text>
    </comment>
    <comment ref="C116" authorId="0" shapeId="0" xr:uid="{E100B4A0-DD45-4023-97DE-B21EF0D009DF}">
      <text>
        <r>
          <rPr>
            <sz val="11"/>
            <color indexed="81"/>
            <rFont val="Tahoma"/>
            <family val="2"/>
          </rPr>
          <t>A proportion of the manure N deposited onto paddocks or in storage is assumed to be lost to the environment through volatilisation and/or leaching/runoff. 
Once this volatilised or leached/runoff N is lost to the environment, it is assumed that a proportion of the N will then be redeposited onto pastures, go through the processes of nitrification and denitrification and converted into nitrous oxide.
If your stock spend substantially longer on non-paddock areas (e.g. feedlotting), we suggest you may wish to enter your own data in the manure management section to ascertain a more realistic value for nitrous oxide losses.</t>
        </r>
      </text>
    </comment>
    <comment ref="C117" authorId="0" shapeId="0" xr:uid="{34E6851C-73A4-46DD-9389-BE4FECAA74F0}">
      <text>
        <r>
          <rPr>
            <sz val="11"/>
            <color indexed="81"/>
            <rFont val="Tahoma"/>
            <family val="2"/>
          </rPr>
          <t xml:space="preserve">A proportion of the N applied in fertilisers (organic and inorganic) goes through the processes of nitrification and denitrification, with a percentage of this N lost to the environment as nitrous oxide. </t>
        </r>
      </text>
    </comment>
    <comment ref="C118" authorId="0" shapeId="0" xr:uid="{8F53B09C-7D66-4775-8D66-A6E4B5B20CB7}">
      <text>
        <r>
          <rPr>
            <sz val="11"/>
            <color indexed="81"/>
            <rFont val="Tahoma"/>
            <family val="2"/>
          </rPr>
          <t xml:space="preserve">A proportion of the N fertiliser (organic and inorganic) applied to pastures is lost to the environment through volatilisation and leaching/runoff. Once this N is deposited back onto pastures, a proportion of this N will go through the processes of nitrification and denitrification, with a percentage of the N lost as nitrous oxide to the environment. </t>
        </r>
      </text>
    </comment>
    <comment ref="B119" authorId="0" shapeId="0" xr:uid="{6F1A402D-0376-43F5-91D0-521C2645FE9F}">
      <text>
        <r>
          <rPr>
            <sz val="11"/>
            <color indexed="81"/>
            <rFont val="Tahoma"/>
            <family val="2"/>
          </rPr>
          <t xml:space="preserve">Scope 1 emissions are those that occur on farm and the farmer has control over. For example, they can choose how much urea N fertiliser or lime to apply, or how much diesel to consume on farm.
Scope 2 emissions are also those that occur on farm and the farmer has control over. For example, they can elect to generate renewable electricity farm to reduce reliance on grid power.
Scope 3 emissions are those that the farmer has no control over but are part of the farm business. There are emissions associated with the production and transmission of electricity to the farm, and in the refining/production of fuel. </t>
        </r>
      </text>
    </comment>
    <comment ref="C119" authorId="0" shapeId="0" xr:uid="{0A447F87-F3E4-4CDC-91A2-F69CA726BB91}">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0" authorId="0" shapeId="0" xr:uid="{A2886B15-9D40-4807-B783-03E1B2D7AD57}">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1" authorId="0" shapeId="0" xr:uid="{872589F4-4641-413C-973B-7628906D977C}">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2" authorId="0" shapeId="0" xr:uid="{60A1591F-8BF9-435A-96E1-ECE57360BE4B}">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3" authorId="0" shapeId="0" xr:uid="{7640B2BB-3BA9-441C-8246-5A9A44474E08}">
      <text>
        <r>
          <rPr>
            <sz val="11"/>
            <color indexed="81"/>
            <rFont val="Tahoma"/>
            <family val="2"/>
          </rPr>
          <t xml:space="preserve">Adding urea fertiliser to soils leads to a loss of carbon dioxide that was fixed during the manufacturing process. The bicarbonate in urea is broken down into water and carbon dioxide. Other forms of N fertiliser, such as DAP and SoA are not bicarbonates and therefore do not break down into carbon dioxide.
Lime and dolomite are added to soils to reduce soi acidity, improve soil structure and improve plant growth. The breakdown of these in the soil results in the production of water and carbon dioxide.
As both urea and lime/dolomite break down into carbon dioxide, this release of carbon dioxide needs to be accounted for when estimating the GHG emissions of the dairy farm. </t>
        </r>
      </text>
    </comment>
    <comment ref="B124" authorId="0" shapeId="0" xr:uid="{6F587979-3371-4490-91B6-B0DD3C049BA8}">
      <text>
        <r>
          <rPr>
            <sz val="11"/>
            <color indexed="81"/>
            <rFont val="Tahoma"/>
            <family val="2"/>
          </rPr>
          <t xml:space="preserve">These are the emissions pre-farm gate from the production and/or manufacturing of feeds and fertilisers.
They are considered Scope 3 as the farmer has no control over the emissions associated with the production of these feeds and fertilisers. </t>
        </r>
      </text>
    </comment>
    <comment ref="C124" authorId="0" shapeId="0" xr:uid="{F77C0B20-81AC-40B5-800B-056A8865A9F7}">
      <text>
        <r>
          <rPr>
            <sz val="9"/>
            <color indexed="81"/>
            <rFont val="Tahoma"/>
            <family val="2"/>
          </rPr>
          <t xml:space="preserve">
</t>
        </r>
        <r>
          <rPr>
            <sz val="11"/>
            <color indexed="81"/>
            <rFont val="Tahoma"/>
            <family val="2"/>
          </rPr>
          <t>It is important to understand the GHG emissions associated with key farm inputs, such as purchased feed and fertiliser.  These results are a calculation of the CO</t>
        </r>
        <r>
          <rPr>
            <vertAlign val="subscript"/>
            <sz val="11"/>
            <color indexed="81"/>
            <rFont val="Tahoma"/>
            <family val="2"/>
          </rPr>
          <t>2</t>
        </r>
        <r>
          <rPr>
            <sz val="11"/>
            <color indexed="81"/>
            <rFont val="Tahoma"/>
            <family val="2"/>
          </rPr>
          <t>e emitted in the production/ manufacturing of grain/concentrates, forages and fertilisers. 
It does not include the CO</t>
        </r>
        <r>
          <rPr>
            <vertAlign val="subscript"/>
            <sz val="11"/>
            <color indexed="81"/>
            <rFont val="Tahoma"/>
            <family val="2"/>
          </rPr>
          <t>2</t>
        </r>
        <r>
          <rPr>
            <sz val="11"/>
            <color indexed="81"/>
            <rFont val="Tahoma"/>
            <family val="2"/>
          </rPr>
          <t>e</t>
        </r>
        <r>
          <rPr>
            <vertAlign val="subscript"/>
            <sz val="11"/>
            <color indexed="81"/>
            <rFont val="Tahoma"/>
            <family val="2"/>
          </rPr>
          <t xml:space="preserve"> </t>
        </r>
        <r>
          <rPr>
            <sz val="11"/>
            <color indexed="81"/>
            <rFont val="Tahoma"/>
            <family val="2"/>
          </rPr>
          <t xml:space="preserve">emitted with transport from source (i.e. grain farm, fertiliser manufacturer) to the dairy farm as this can vary widely, depending on source (i.e. hay from a farm next door or urea manufactured in China).   </t>
        </r>
      </text>
    </comment>
    <comment ref="C125" authorId="0" shapeId="0" xr:uid="{915826FF-6C7F-455D-8CEA-708D9618B18E}">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r>
          <rPr>
            <b/>
            <sz val="11"/>
            <color indexed="81"/>
            <rFont val="Tahoma"/>
            <family val="2"/>
          </rPr>
          <t xml:space="preserve">  </t>
        </r>
      </text>
    </comment>
    <comment ref="C126" authorId="0" shapeId="0" xr:uid="{47BD4052-348D-4422-B794-517A01BD789B}">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text>
    </comment>
    <comment ref="C131" authorId="0" shapeId="0" xr:uid="{A04F81B1-5ABD-4976-9997-86562AF3ACA1}">
      <text>
        <r>
          <rPr>
            <b/>
            <sz val="9"/>
            <color indexed="81"/>
            <rFont val="Tahoma"/>
            <family val="2"/>
          </rPr>
          <t>Karen Christie:</t>
        </r>
        <r>
          <rPr>
            <sz val="9"/>
            <color indexed="81"/>
            <rFont val="Tahoma"/>
            <family val="2"/>
          </rPr>
          <t xml:space="preserve">
</t>
        </r>
        <r>
          <rPr>
            <sz val="11"/>
            <color indexed="81"/>
            <rFont val="Tahoma"/>
            <family val="2"/>
          </rPr>
          <t xml:space="preserve">This is the amount of CO2 sequestered in the year of analysis, not over the duration of the lifetime of the trees. Generally, the amount of C sequestered will be greatest in the first 20-25 years post-planting. 
If you have entered data and there is no carbon sequestration data, make sure you have selected that the estimation is based on data entered here, and re-select your state, region, tree species and soil type from the appropriate drop-down lists along with area of trees (ha) and age of trees.  
If the tree species you have on farm is not in the drop-down list, select Mixed species (Environmental plantings). The amount of carbon sequestered could be under-estimated, compared to an older version of ADCC. over time, we will try and re-incorporate tree species previously available in the carbon tools, e.g. River Red gums for Nth Victoria    
</t>
        </r>
      </text>
    </comment>
    <comment ref="B133" authorId="0" shapeId="0" xr:uid="{5C494401-87F6-44C3-A1C3-F0A9731E719A}">
      <text>
        <r>
          <rPr>
            <sz val="11"/>
            <color indexed="81"/>
            <rFont val="Tahoma"/>
            <family val="2"/>
          </rPr>
          <t>Net emissions will only be lower than Total emissions if there are trees present on farm and that the estimation of carbon sequestered in these trees have been estimated here, using options 2 or 3 from the tree carbon sequestration listing.</t>
        </r>
      </text>
    </comment>
    <comment ref="B135" authorId="0" shapeId="0" xr:uid="{7A1CAECD-4874-49DE-844D-7AB12F935880}">
      <text>
        <r>
          <rPr>
            <sz val="11"/>
            <color indexed="81"/>
            <rFont val="Tahoma"/>
            <family val="2"/>
          </rPr>
          <t xml:space="preserve">A kg of fat and protein corrected milk (FPCM) is used to report emissions intensity and is based on converting your components to 4% fat and 3.3% protein. For many farms, a kg of FPCM is similar to a litre of milk. For farms with higher fat and protein than these standards, the kgs of FPCM will be greater than the litres of milk. For example, 1 million litres of 4.5% fat and 3.6% protein is equivalent to approx. 1.12 million kgs of FPCM. Conversely 1 million litres of 3.9% fat and 3.0% protein is equivalent to approx. 0.99 million kgs of FPCM.   
We know that milk is the primary product on dairy farms, but they also produce meat, through cull cows, non-replacement heifers, bull calves and dairy-beef. The International Dairy Federation (IDF)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FPCM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36" authorId="0" shapeId="0" xr:uid="{CC98F034-1715-42A6-B367-5D745A83E846}">
      <text>
        <r>
          <rPr>
            <sz val="11"/>
            <color indexed="81"/>
            <rFont val="Tahoma"/>
            <family val="2"/>
          </rPr>
          <t xml:space="preserve">Emissions intensity results here divides your net GHG emissions by the kg of milksolids your farm has produced. It does not convert your milk to a standard fat or protein percentage, unlike emissions intensity based on fat and protein corrected milk (FPCM).  </t>
        </r>
        <r>
          <rPr>
            <sz val="9"/>
            <color indexed="81"/>
            <rFont val="Tahoma"/>
            <family val="2"/>
          </rPr>
          <t xml:space="preserve">
</t>
        </r>
        <r>
          <rPr>
            <sz val="11"/>
            <color indexed="81"/>
            <rFont val="Tahoma"/>
            <family val="2"/>
          </rPr>
          <t xml:space="preserve">We know that milk is the primary product on dairy farms, but they also produce meat, through cull cows, non-replacement heifers, bull calves and dairy-beef. The International Dairy Federation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milksolids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text>
    </comment>
    <comment ref="B137" authorId="0" shapeId="0" xr:uid="{5DF8990C-B3F1-4974-A88A-9E78A887C267}">
      <text>
        <r>
          <rPr>
            <sz val="11"/>
            <color indexed="81"/>
            <rFont val="Tahoma"/>
            <family val="2"/>
          </rPr>
          <t xml:space="preserve">The method of allocating net emissions to milk and meat follows the most current International Dairy Federation (2022) methods, with the energy requirements to produce milk and meat used to allocation the appropriate amount of emissions to each product.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here)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meat then divided by the kg of meat produced to determine the emissions intensity of meat production. The number in this caption will indicate what proportion of emissions are allocated to meat production, with the balance allocated to milk production. If the proportion amount is 0%, this means you have not indicated how many stock are sold to estimate meat production.     
For example, your farm produced 1000 t CO2e/annum but based on the energy requirements to produce milk and meat, ADCC allocated 85% of these emissions to milk. Therefore, the meat component of the farm system is allocated the residual 15%, or 150 t CO2e. If the farm produced 30 t of liveweight from cull cows, bulls and young stock, the emissions intensity for meat production would be 5 kg CO2e/kg liveweight. 
 </t>
        </r>
      </text>
    </comment>
    <comment ref="B377" authorId="2" shapeId="0" xr:uid="{00000000-0006-0000-0300-000034000000}">
      <text>
        <r>
          <rPr>
            <sz val="8"/>
            <color indexed="81"/>
            <rFont val="Tahoma"/>
            <family val="2"/>
          </rPr>
          <t>E = total emissions of nitrous oxide from the different manure management systems (except for pasture range and paddock)</t>
        </r>
      </text>
    </comment>
    <comment ref="B379" authorId="2" shapeId="0" xr:uid="{00000000-0006-0000-0300-000035000000}">
      <text>
        <r>
          <rPr>
            <sz val="8"/>
            <color indexed="81"/>
            <rFont val="Tahoma"/>
            <family val="2"/>
          </rPr>
          <t>Except for pasture range and paddock</t>
        </r>
      </text>
    </comment>
    <comment ref="M479" authorId="2" shapeId="0" xr:uid="{00000000-0006-0000-0300-000036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10" authorId="0" shapeId="0" xr:uid="{00000000-0006-0000-0A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0" authorId="0" shapeId="0" xr:uid="{00000000-0006-0000-0A00-000002000000}">
      <text>
        <r>
          <rPr>
            <sz val="11"/>
            <color indexed="81"/>
            <rFont val="Tahoma"/>
            <family val="2"/>
          </rPr>
          <t>This is the unique supplier number that farmers have with their milk company.</t>
        </r>
        <r>
          <rPr>
            <sz val="9"/>
            <color indexed="81"/>
            <rFont val="Tahoma"/>
            <family val="2"/>
          </rPr>
          <t xml:space="preserve">
</t>
        </r>
      </text>
    </comment>
    <comment ref="G12" authorId="0" shapeId="0" xr:uid="{00000000-0006-0000-0A00-000003000000}">
      <text>
        <r>
          <rPr>
            <sz val="11"/>
            <color indexed="81"/>
            <rFont val="Tahoma"/>
            <family val="2"/>
          </rPr>
          <t xml:space="preserve">Enter the financial year that this GHG assessment is for using the format 2012/13.  </t>
        </r>
      </text>
    </comment>
    <comment ref="C14" authorId="0" shapeId="0" xr:uid="{00000000-0006-0000-0A00-000004000000}">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4" authorId="0" shapeId="0" xr:uid="{CBF72A12-85CA-4A61-A7B9-07C4A2EF740D}">
      <text>
        <r>
          <rPr>
            <sz val="11"/>
            <color indexed="81"/>
            <rFont val="Tahoma"/>
            <family val="2"/>
          </rPr>
          <t>Select the region of Australia you are in, based on the 8 Regional Development Programs. This selection is no longer linked to the state of Australia question so you will see all 8 options.
The selection will determine the state-based industry average farm comparison in the results section. 
Alternatively, we also give you the option to compare your farm to the Australia-wide average, as the 9th region option.</t>
        </r>
      </text>
    </comment>
    <comment ref="D16" authorId="0" shapeId="0" xr:uid="{FE89903E-89CC-4B19-AB5E-2D04ECD2778E}">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6" authorId="0" shapeId="0" xr:uid="{E12B021F-FC5C-44EA-85EC-09E021BCFEE3}">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6" authorId="0" shapeId="0" xr:uid="{6EDA7506-0BDA-4C89-B6AF-85B0FFF2E96A}">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6" authorId="0" shapeId="0" xr:uid="{094F5879-E6CE-4789-BF73-84E0F40B85B4}">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6" authorId="0" shapeId="0" xr:uid="{E4CE1498-FEF3-4871-9A5F-A4EF9E4BEF58}">
      <text>
        <r>
          <rPr>
            <sz val="11"/>
            <color indexed="81"/>
            <rFont val="Tahoma"/>
            <family val="2"/>
          </rPr>
          <t xml:space="preserve">This category is for young bulls, steers and non-replacement heifers that are 0-1 years of age and can be either replacement bulls for breeding or steers and heifers to be sold off farm. </t>
        </r>
        <r>
          <rPr>
            <b/>
            <sz val="11"/>
            <color indexed="81"/>
            <rFont val="Tahoma"/>
            <family val="2"/>
          </rPr>
          <t>NOTE</t>
        </r>
        <r>
          <rPr>
            <sz val="11"/>
            <color indexed="81"/>
            <rFont val="Tahoma"/>
            <family val="2"/>
          </rPr>
          <t xml:space="preserve">: If you sell your surplus heifers and bull calves at 5 to 10 days of age, do not enter any data for them here, their data needs to go into the Calves category.
If you retain the bulls/steers/heifers for the full 12 months, use their liveweight at 6 months of age and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Conversely, if you sell the steers and heifers prior to reaching 1 year of age, determine the stocking rate if they were retained for the full year. For example, you have 75 steers and heifers and sell them at 9 months of age, thus 75 head x 9 months retained  / 12 months in the year = equivalent to 56 head per annum. 
If you sell most animals but retain some as bulls for replacements, it may be easiest to sum the number of bulls/steers/heifers present each month and divide by 12. For example, raised 5 bulls, as well as 70 steers and heifers and sold all 70 steers and heifers at 10 months of age and retained the 5 bulls as replacements. The sum of 70 steers/heifers for 10 months (700 equivalents) + 5 bulls for 12 months (60 equivalents) = 760 head equivalents / 12 months = 63 head per annum. 
You then need to determine their average liveweight and liveweight gain over the period they were present on farm, similar to if they were present for the full 12 months. For example, the non-replacement heifers and bulls were sold at  approx. 270 kg so their mid-point liveweight would be 135 kg liveweight. 
</t>
        </r>
      </text>
    </comment>
    <comment ref="I16" authorId="0" shapeId="0" xr:uid="{51F57D21-30CA-443E-9CCF-33BF3C257376}">
      <text>
        <r>
          <rPr>
            <sz val="11"/>
            <color indexed="81"/>
            <rFont val="Tahoma"/>
            <family val="2"/>
          </rPr>
          <t xml:space="preserve">This category is for replacement bulls, and for steers and non-replacement heifers that are 1-2 years of age and sold off farm as opposed to retaining.
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18 months of age, thus 75 head x 6 months retained when greater than 1 year of age /  12 months in the year = equivalent to 38 head per annum.    </t>
        </r>
        <r>
          <rPr>
            <sz val="8"/>
            <color indexed="81"/>
            <rFont val="Tahoma"/>
            <family val="2"/>
          </rPr>
          <t xml:space="preserve">
</t>
        </r>
        <r>
          <rPr>
            <sz val="11"/>
            <color indexed="81"/>
            <rFont val="Tahoma"/>
            <family val="2"/>
          </rPr>
          <t xml:space="preserve">
Use their age mid-point for liveweight. So if they are 350 kg at 12 months of age and sold at 600 kg then the midpoint is 475kg.   
  </t>
        </r>
        <r>
          <rPr>
            <sz val="8"/>
            <color indexed="81"/>
            <rFont val="Tahoma"/>
            <family val="2"/>
          </rPr>
          <t xml:space="preserve">
</t>
        </r>
      </text>
    </comment>
    <comment ref="J16" authorId="0" shapeId="0" xr:uid="{C7BBD187-E82E-49F8-9D4D-8752E3840931}">
      <text>
        <r>
          <rPr>
            <sz val="11"/>
            <color indexed="81"/>
            <rFont val="Tahoma"/>
            <family val="2"/>
          </rPr>
          <t xml:space="preserve">This category is for non-replacement calves sold soon after birth (i.e. 5 to 10 days of age) or post-weaning at around 100 kg or 80-100 days. This is not where you include your replacement heifer calves, or if you breed bulls for breeding, or you fatten up non-replacement heifers and steers for the beef market. 
These animals (calves up to weaning age) emit very little GHG emissions and so we have decided they will not alter net farm GHG emissions. However, they do contribute to total meat sales and thus the emissions intensity of milk and meat production. Therefore, non-relevant cells have been blanked out. Enter the number sold and their average liveweight in the white cells. 
However, if you retain non-replacement heifers and bull/steer calves beyond weaning and fatten them on farm before selling, they need to be reported in the Other stock &lt; 1 yr age category as they will be emitting GHG emissions for the duration on farm until sold.  
Make sure you select if these non-replacement animals are sold soon after birth (i.e. 5-7 days) or if sold post-weaning (i.e. at approx 100 kg or around 80-100 days of age (essentially retained longer on farm than up to a couple of weeks)) from the drop-down list to the right of this Calves heading. if you sell some at a few days of age (e.g. bull calves) but retain your non-replacement heifer calves until post-weaning), select the option which is the largest number of animals (most likely soon after birth as more bull calves sold than non-replacement heifer calves). 
</t>
        </r>
        <r>
          <rPr>
            <sz val="9"/>
            <color indexed="81"/>
            <rFont val="Tahoma"/>
            <family val="2"/>
          </rPr>
          <t xml:space="preserve">
</t>
        </r>
      </text>
    </comment>
    <comment ref="B18" authorId="1" shapeId="0" xr:uid="{00000000-0006-0000-0A00-00000B000000}">
      <text>
        <r>
          <rPr>
            <sz val="12"/>
            <color indexed="81"/>
            <rFont val="Tahoma"/>
            <family val="2"/>
          </rPr>
          <t>Insert the number of animals in each category.</t>
        </r>
      </text>
    </comment>
    <comment ref="B20" authorId="1" shapeId="0" xr:uid="{00000000-0006-0000-0A00-00000C000000}">
      <text>
        <r>
          <rPr>
            <sz val="11"/>
            <color indexed="81"/>
            <rFont val="Tahoma"/>
            <family val="2"/>
          </rPr>
          <t>Specify the average liveweight of your herd for each category.</t>
        </r>
      </text>
    </comment>
    <comment ref="B22" authorId="1" shapeId="0" xr:uid="{00000000-0006-0000-0A00-00000D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2" authorId="0" shapeId="0" xr:uid="{00000000-0006-0000-0A00-00000E000000}">
      <text>
        <r>
          <rPr>
            <sz val="12"/>
            <color indexed="81"/>
            <rFont val="Tahoma"/>
            <family val="2"/>
          </rPr>
          <t>While milking cows lose weight in early lactation, this weight is regained during late lactation and during the non-lactating phase.  Therefore over a 12 month period there is generally no change in live weight and therefore no live weight gain</t>
        </r>
        <r>
          <rPr>
            <sz val="8"/>
            <color indexed="81"/>
            <rFont val="Tahoma"/>
            <family val="2"/>
          </rPr>
          <t xml:space="preserve">
</t>
        </r>
      </text>
    </comment>
    <comment ref="B24" authorId="0" shapeId="0" xr:uid="{EED98050-D539-4902-AF58-CDD6F7431049}">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B26" authorId="0" shapeId="0" xr:uid="{74F53EC7-C7F3-4CA3-A084-9D3FF899CA97}">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B29" authorId="2" shapeId="0" xr:uid="{00000000-0006-0000-0A00-00000F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34" authorId="0" shapeId="0" xr:uid="{00000000-0006-0000-0A00-000010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connected milk, and therefore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5" authorId="0" shapeId="0" xr:uid="{00000000-0006-0000-0A00-000011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7" authorId="0" shapeId="0" xr:uid="{00000000-0006-0000-0A00-000012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44" authorId="3" shapeId="0" xr:uid="{00000000-0006-0000-0A00-000013000000}">
      <text>
        <r>
          <rPr>
            <sz val="11"/>
            <color indexed="81"/>
            <rFont val="Tahoma"/>
            <family val="2"/>
          </rPr>
          <t>Enter the DMD in the feed eaten, not on offer.  Suggest 70% DMD as an average</t>
        </r>
      </text>
    </comment>
    <comment ref="B45" authorId="2" shapeId="0" xr:uid="{00000000-0006-0000-0A00-000014000000}">
      <text>
        <r>
          <rPr>
            <sz val="11"/>
            <color indexed="81"/>
            <rFont val="Tahoma"/>
            <family val="2"/>
          </rPr>
          <t>Enter the CP in the feed eaten, not on offer.  Suggest 16% CP as an average</t>
        </r>
      </text>
    </comment>
    <comment ref="C48" authorId="0" shapeId="0" xr:uid="{00000000-0006-0000-0A00-000015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50" authorId="0" shapeId="0" xr:uid="{00000000-0006-0000-0A00-000016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50" authorId="0" shapeId="0" xr:uid="{00000000-0006-0000-0A00-000017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51" authorId="1" shapeId="0" xr:uid="{00000000-0006-0000-0A00-000018000000}">
      <text>
        <r>
          <rPr>
            <sz val="11"/>
            <color indexed="81"/>
            <rFont val="Tahoma"/>
            <family val="2"/>
          </rPr>
          <t xml:space="preserve">Total area of pastures that received N fertiliser.  This includes runoff/ outblocks and also leased land as this is still part of the farm business.
</t>
        </r>
      </text>
    </comment>
    <comment ref="B52" authorId="1" shapeId="0" xr:uid="{00000000-0006-0000-0A00-000019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56" authorId="2" shapeId="0" xr:uid="{00000000-0006-0000-0A00-00001A000000}">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7" authorId="2" shapeId="0" xr:uid="{00000000-0006-0000-0A00-00001B000000}">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60" authorId="1" shapeId="0" xr:uid="{00000000-0006-0000-0A00-00001C000000}">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60" authorId="0" shapeId="0" xr:uid="{00000000-0006-0000-0A00-00001D000000}">
      <text>
        <r>
          <rPr>
            <sz val="11"/>
            <color indexed="81"/>
            <rFont val="Tahoma"/>
            <family val="2"/>
          </rPr>
          <t>If unsure, select Brown coal from Victoria (highest emissions factor).</t>
        </r>
        <r>
          <rPr>
            <sz val="9"/>
            <color indexed="81"/>
            <rFont val="Tahoma"/>
            <family val="2"/>
          </rPr>
          <t xml:space="preserve">
</t>
        </r>
      </text>
    </comment>
    <comment ref="B61" authorId="1" shapeId="0" xr:uid="{00000000-0006-0000-0A00-00001E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62" authorId="0" shapeId="0" xr:uid="{00000000-0006-0000-0A00-00001F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fuel needs to be considered as part of the farm business and included where applicable.</t>
        </r>
        <r>
          <rPr>
            <sz val="9"/>
            <color indexed="81"/>
            <rFont val="Tahoma"/>
            <family val="2"/>
          </rPr>
          <t xml:space="preserve">
</t>
        </r>
      </text>
    </comment>
    <comment ref="B69" authorId="0" shapeId="0" xr:uid="{00000000-0006-0000-0A00-000020000000}">
      <text>
        <r>
          <rPr>
            <sz val="11"/>
            <color indexed="81"/>
            <rFont val="Tahoma"/>
            <family val="2"/>
          </rPr>
          <t xml:space="preserve">This sheet is designed to review the impact of a change in national GHG emission estimates over time, e.g. enteric methane global warming changing from 21 in the 1990 methodology to 28 in the 2022 methodology. It is not to alter on-farm input data.
Therefore, tree carbon sequestration is linked to the Baseline farm sheet and results. Any changes to this section of the sheet </t>
        </r>
        <r>
          <rPr>
            <b/>
            <sz val="11"/>
            <color indexed="81"/>
            <rFont val="Tahoma"/>
            <family val="2"/>
          </rPr>
          <t xml:space="preserve">will not </t>
        </r>
        <r>
          <rPr>
            <sz val="11"/>
            <color indexed="81"/>
            <rFont val="Tahoma"/>
            <family val="2"/>
          </rPr>
          <t xml:space="preserve">result in a change in carbon sequestration potential.
</t>
        </r>
      </text>
    </comment>
    <comment ref="B70" authorId="0" shapeId="0" xr:uid="{798FCE79-6556-4B20-9D11-C06AF1F9CE87}">
      <text>
        <r>
          <rPr>
            <sz val="11"/>
            <color indexed="81"/>
            <rFont val="Tahoma"/>
            <family val="2"/>
          </rPr>
          <t xml:space="preserve">You have three options to select how to estimate carbon sequestration in trees.  
1. If you have no trees present on farm, select "No estimation of carbon sequestration" from the drop-down list.
2. If you wish to use the combination of trees and soils built into ADCC to determine the amount of carbon sequestered in trees, select "Based on data entered here". If you select this option, you need to select from the drop-down list in the order they are present here. moving down the sheet by selecting your region first, then type of trees and then soil type before entering the area and age of the trees. If you do not select in this order, excel may mis-calculate your results.
3. If you wish to use some other tool or calculator to estimate (e.g. FullCAM or LOOC-C", select "Carbon sequestered using other tools". When this option is selected, text and a box will appear to the right where you need to enter the amount of carbon sequestered/ha from the other tool, along with the area of trees, for excel to calculate the total amount of carbon for the farm . Remember we are asking for the tonnes of carbon dioxide/ha, so if your result from another tool is reported as t C/ha, multiply that amount of C by 3.67 to convert to t CO2/ha. For example, 7 t C/ha equates to 25.7 t CO2e/ha. You are also needing to enter the amount sequestered for only one year from the other tools, not the total over 25 or 100 years.   </t>
        </r>
        <r>
          <rPr>
            <sz val="9"/>
            <color indexed="81"/>
            <rFont val="Tahoma"/>
            <family val="2"/>
          </rPr>
          <t xml:space="preserve">
</t>
        </r>
      </text>
    </comment>
    <comment ref="H76" authorId="0" shapeId="0" xr:uid="{167C4E57-4BC1-4A84-A2EF-545B72AC0B40}">
      <text>
        <r>
          <rPr>
            <b/>
            <sz val="9"/>
            <color indexed="81"/>
            <rFont val="Tahoma"/>
            <family val="2"/>
          </rPr>
          <t>Karen Christie:</t>
        </r>
        <r>
          <rPr>
            <sz val="9"/>
            <color indexed="81"/>
            <rFont val="Tahoma"/>
            <family val="2"/>
          </rPr>
          <t xml:space="preserve">
Age of trees is this year of analysis and can vary between 1 and 100</t>
        </r>
      </text>
    </comment>
    <comment ref="C79" authorId="0" shapeId="0" xr:uid="{00000000-0006-0000-0A00-000025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79" authorId="0" shapeId="0" xr:uid="{00000000-0006-0000-0A00-000026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90" authorId="0" shapeId="0" xr:uid="{00000000-0006-0000-0A00-000027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 ration farm where they are retained on concrete during their dry period also, it will be 365 days per annum.</t>
        </r>
        <r>
          <rPr>
            <sz val="9"/>
            <color indexed="81"/>
            <rFont val="Tahoma"/>
            <family val="2"/>
          </rPr>
          <t xml:space="preserve">
</t>
        </r>
      </text>
    </comment>
    <comment ref="B96" authorId="0" shapeId="0" xr:uid="{00000000-0006-0000-0A00-000028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100" authorId="0" shapeId="0" xr:uid="{00000000-0006-0000-0A00-000029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100" authorId="0" shapeId="0" xr:uid="{00000000-0006-0000-0A00-00002A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3" authorId="0" shapeId="0" xr:uid="{4C19C297-16E3-45C2-A16F-7B1F43E9D229}">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
The calculations assume both age groups, as opposed to just the rising 1 year olds or the rising 2 year olds.</t>
        </r>
      </text>
    </comment>
    <comment ref="B105" authorId="0" shapeId="0" xr:uid="{00000000-0006-0000-0A00-00002C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105" authorId="0" shapeId="0" xr:uid="{00000000-0006-0000-0A00-00002D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C114" authorId="0" shapeId="0" xr:uid="{3F729A93-10A5-4A54-BB21-0979289F7F58}">
      <text>
        <r>
          <rPr>
            <sz val="11"/>
            <color indexed="81"/>
            <rFont val="Tahoma"/>
            <family val="2"/>
          </rPr>
          <t>A proportion of cattle urine and dung (manure) is captured on hard surfaces, such as at the dairy and generally are either collected in a pond/lagoon system or spread  daily through an irrigation system. The calculator uses a state-based average to determine what proportion of manure is captured and how it is handled (i.e. pond/lagoon, spread daily etc), based on national survey data.  
During storage, the manure (dung and urine) goes through a process of nitrification and denitrification, releasing a proportion of N to the environment in the form of nitrous oxide.  Likewise, after the manure is applied to pastures, a proportion of the N will be lost as nitrous oxide. 
If your stock spend substantially longer on non-paddock areas (e.g. feedlotting), we suggest you may wish to enter your own data in the manure management section to ascertain a more realistic value for nitrous oxide losses.</t>
        </r>
      </text>
    </comment>
    <comment ref="B120" authorId="0" shapeId="0" xr:uid="{0734E2DF-0BAF-41EA-AC0D-8128D41882AA}">
      <text>
        <r>
          <rPr>
            <sz val="11"/>
            <color indexed="81"/>
            <rFont val="Tahoma"/>
            <family val="2"/>
          </rPr>
          <t xml:space="preserve">These are the emissions pre-farm gate from the production and/or manufacturing of feeds and fertilisers.
</t>
        </r>
      </text>
    </comment>
    <comment ref="B122" authorId="0" shapeId="0" xr:uid="{BA78C796-F5B1-4EB8-AF08-F913A3A75633}">
      <text>
        <r>
          <rPr>
            <sz val="11"/>
            <color indexed="81"/>
            <rFont val="Tahoma"/>
            <family val="2"/>
          </rPr>
          <t xml:space="preserve">These are the emissions pre-farm gate from the production and/or manufacturing of feeds and fertilisers.
</t>
        </r>
      </text>
    </comment>
    <comment ref="B127" authorId="0" shapeId="0" xr:uid="{96FA1895-9728-4AA6-9A72-5020DB1E8F5D}">
      <text>
        <r>
          <rPr>
            <sz val="11"/>
            <color indexed="81"/>
            <rFont val="Tahoma"/>
            <family val="2"/>
          </rPr>
          <t>The process of estimating tree carbon sequestration has altered over time. The tree species available in older versions of ADCC/DGAS are no longer part of the current baseline farm system. Therefore, the amount of carbon sequestered here matches that of the Baseline farm to remove the impact of this difference.</t>
        </r>
        <r>
          <rPr>
            <sz val="9"/>
            <color indexed="81"/>
            <rFont val="Tahoma"/>
            <family val="2"/>
          </rPr>
          <t xml:space="preserve">
</t>
        </r>
      </text>
    </comment>
    <comment ref="B129" authorId="0" shapeId="0" xr:uid="{B38BDFFD-8275-46C1-8EBA-55ABC204B647}">
      <text>
        <r>
          <rPr>
            <sz val="11"/>
            <color indexed="81"/>
            <rFont val="Tahoma"/>
            <family val="2"/>
          </rPr>
          <t>Net emissions will only be lower than Total emissions if there are trees present on farm and that the estimation of carbon sequestered in these trees have been estimated here, using options 2 or 3 from the tree carbon sequestration listing.</t>
        </r>
      </text>
    </comment>
    <comment ref="B131" authorId="0" shapeId="0" xr:uid="{C70EB990-FCF6-44E1-9194-6D15AF2EBB6E}">
      <text>
        <r>
          <rPr>
            <sz val="11"/>
            <color indexed="81"/>
            <rFont val="Tahoma"/>
            <family val="2"/>
          </rPr>
          <t xml:space="preserve">A kg of fat and protein corrected milk (FPCM) is used to report emissions intensity and is based on converting your components to 4% fat and 3.3% protein. For many farms, a kg of FPCM is similar to a litre of milk. For farms with higher fat and protein than these standards, the kgs of FPCM will be greater than the litres of milk. For example, 1 million litres of 4.5% fat and 3.6% protein is equivalent to approx. 1.12 million kgs of FPCM. Conversely 1 million litres of 3.9% fat and 3.0% protein is equivalent to approx. 0.99 million kgs of FPCM.   
We know that milk is the primary product on dairy farms, but they also produce meat, through cull cows, non-replacement heifers, bull calves and dairy-beef. The International Dairy Federation (IDF)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FPCM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text>
    </comment>
    <comment ref="B132" authorId="0" shapeId="0" xr:uid="{D64D3925-ED9A-4445-B29F-33168EAA4890}">
      <text>
        <r>
          <rPr>
            <sz val="11"/>
            <color indexed="81"/>
            <rFont val="Tahoma"/>
            <family val="2"/>
          </rPr>
          <t xml:space="preserve">Emissions intensity results here divides your net GHG emissions by the kg of milksolids your farm has produced. It does not convert your milk to a standard fat or protein percentage, unlike emissions intensity based on fat and protein corrected milk (FPCM).  
We know that milk is the primary product on dairy farms, but they also produce meat, through cull cows, non-replacement heifers, bull calves and dairy-beef. The International Dairy Federation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milksolids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33" authorId="0" shapeId="0" xr:uid="{A38D73A3-D5B7-4828-BA4B-0CABA6F6AD1E}">
      <text>
        <r>
          <rPr>
            <sz val="11"/>
            <color indexed="81"/>
            <rFont val="Tahoma"/>
            <family val="2"/>
          </rPr>
          <t xml:space="preserve">The method of allocating net emissions to milk and meat follows the most current International Dairy Federation (2022) methods, with the energy requirements to produce milk and meat used to allocation the appropriate amount of emissions to each product.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here)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meat then divided by the kg of meat produced to determine the emissions intensity of meat production. The number in this caption will indicate what proportion of emissions are allocated to meat production, with the balance allocated to milk production. If the proportion amount is 0%, this means you have not indicated how many stock are sold to estimate meat production.     
For example, your farm produced 1000 t CO2e/annum but based on the energy requirements to produce milk and meat, ADCC allocated 85% of these emissions to milk. Therefore, the meat component of the farm system is allocated the residual 15%, or 150 t CO2e. If the farm produced 30 t of liveweight from cull cows, bulls and young stock, the emissions intensity for meat production would be 5 kg CO2e/kg liveweight. </t>
        </r>
      </text>
    </comment>
    <comment ref="K334" authorId="2" shapeId="0" xr:uid="{00000000-0006-0000-0A00-00002F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365" authorId="2" shapeId="0" xr:uid="{00000000-0006-0000-0A00-000030000000}">
      <text>
        <r>
          <rPr>
            <sz val="8"/>
            <color indexed="81"/>
            <rFont val="Tahoma"/>
            <family val="2"/>
          </rPr>
          <t>MMS = the fraction of AE that is managed in the different manure management systems (except for pasture range and paddock)</t>
        </r>
      </text>
    </comment>
    <comment ref="B367" authorId="2" shapeId="0" xr:uid="{00000000-0006-0000-0A00-000031000000}">
      <text>
        <r>
          <rPr>
            <sz val="8"/>
            <color indexed="81"/>
            <rFont val="Tahoma"/>
            <family val="2"/>
          </rPr>
          <t>E = total emissions of nitrous oxide from the different manure management systems (except for pasture range and paddock)</t>
        </r>
      </text>
    </comment>
    <comment ref="B369" authorId="2" shapeId="0" xr:uid="{00000000-0006-0000-0A00-000032000000}">
      <text>
        <r>
          <rPr>
            <sz val="8"/>
            <color indexed="81"/>
            <rFont val="Tahoma"/>
            <family val="2"/>
          </rPr>
          <t>Except for pasture range and paddock</t>
        </r>
      </text>
    </comment>
    <comment ref="K467" authorId="2" shapeId="0" xr:uid="{00000000-0006-0000-0A00-000033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 ref="H558" authorId="2" shapeId="0" xr:uid="{00000000-0006-0000-0A00-000034000000}">
      <text>
        <r>
          <rPr>
            <sz val="8"/>
            <color indexed="81"/>
            <rFont val="Tahoma"/>
            <family val="2"/>
          </rPr>
          <t>0.085 Gg SO2/PJ</t>
        </r>
      </text>
    </comment>
    <comment ref="B575" authorId="1" shapeId="0" xr:uid="{00000000-0006-0000-0A00-000035000000}">
      <text>
        <r>
          <rPr>
            <sz val="8"/>
            <color indexed="81"/>
            <rFont val="Tahoma"/>
            <family val="2"/>
          </rPr>
          <t>SO2 Emission factor = 0.37 Gg SO2/PJ</t>
        </r>
      </text>
    </comment>
    <comment ref="C575" authorId="1" shapeId="0" xr:uid="{00000000-0006-0000-0A00-000036000000}">
      <text>
        <r>
          <rPr>
            <sz val="8"/>
            <color indexed="81"/>
            <rFont val="Tahoma"/>
            <family val="2"/>
          </rPr>
          <t>30% would be average</t>
        </r>
      </text>
    </comment>
    <comment ref="D575" authorId="1" shapeId="0" xr:uid="{00000000-0006-0000-0A00-000037000000}">
      <text>
        <r>
          <rPr>
            <sz val="8"/>
            <color indexed="81"/>
            <rFont val="Tahoma"/>
            <family val="2"/>
          </rPr>
          <t>1000 average</t>
        </r>
      </text>
    </comment>
    <comment ref="B576" authorId="1" shapeId="0" xr:uid="{00000000-0006-0000-0A00-000038000000}">
      <text>
        <r>
          <rPr>
            <sz val="8"/>
            <color indexed="81"/>
            <rFont val="Tahoma"/>
            <family val="2"/>
          </rPr>
          <t>SO2 Emission factor = 0.15 Gg SO2/PJ</t>
        </r>
      </text>
    </comment>
    <comment ref="C576" authorId="1" shapeId="0" xr:uid="{00000000-0006-0000-0A00-000039000000}">
      <text>
        <r>
          <rPr>
            <sz val="8"/>
            <color indexed="81"/>
            <rFont val="Tahoma"/>
            <family val="2"/>
          </rPr>
          <t>25% average</t>
        </r>
      </text>
    </comment>
    <comment ref="D576" authorId="1" shapeId="0" xr:uid="{00000000-0006-0000-0A00-00003A000000}">
      <text>
        <r>
          <rPr>
            <sz val="8"/>
            <color indexed="81"/>
            <rFont val="Tahoma"/>
            <family val="2"/>
          </rPr>
          <t>1400 average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10" authorId="0" shapeId="0" xr:uid="{7E68CC9E-2BC6-4E4B-AF8A-CE45F917E223}">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0" authorId="0" shapeId="0" xr:uid="{EAB751DA-8A91-4FFA-883F-7CF7BE468246}">
      <text>
        <r>
          <rPr>
            <sz val="11"/>
            <color indexed="81"/>
            <rFont val="Tahoma"/>
            <family val="2"/>
          </rPr>
          <t>This is the unique supplier number that farmers have with their milk company.</t>
        </r>
        <r>
          <rPr>
            <sz val="9"/>
            <color indexed="81"/>
            <rFont val="Tahoma"/>
            <family val="2"/>
          </rPr>
          <t xml:space="preserve">
</t>
        </r>
      </text>
    </comment>
    <comment ref="G12" authorId="0" shapeId="0" xr:uid="{32ED4086-819A-423D-9F76-FE3AB1201F93}">
      <text>
        <r>
          <rPr>
            <sz val="11"/>
            <color indexed="81"/>
            <rFont val="Tahoma"/>
            <family val="2"/>
          </rPr>
          <t xml:space="preserve">Enter the financial year that this GHG assessment is for using the format 2012/13.  </t>
        </r>
      </text>
    </comment>
    <comment ref="C14" authorId="0" shapeId="0" xr:uid="{B43F949C-47E5-45A8-91E4-A669A339DB6C}">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4" authorId="0" shapeId="0" xr:uid="{2458DD09-5FD9-4A48-B9AB-CA6A99F61EB0}">
      <text>
        <r>
          <rPr>
            <sz val="11"/>
            <color indexed="81"/>
            <rFont val="Tahoma"/>
            <family val="2"/>
          </rPr>
          <t>Select the region of Australia you are in, based on the 8 Regional Development Programs. This selection is no longer linked to the state of Australia question so you will see all 8 options.
The selection will determine the state-based industry average farm comparison in the results section. 
Alternatively, we also give you the option to compare your farm to the Australia-wide average, as the 9th region option.</t>
        </r>
      </text>
    </comment>
    <comment ref="D16" authorId="0" shapeId="0" xr:uid="{7003D17F-CCEE-4DB3-BE61-7A776548760D}">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6" authorId="0" shapeId="0" xr:uid="{C54156F6-01E7-417F-BA55-AA3A2DC474CB}">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6" authorId="0" shapeId="0" xr:uid="{4B152773-C98D-4DED-9F60-7F37F74530C6}">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6" authorId="0" shapeId="0" xr:uid="{92798815-C24D-4158-A123-747C5BD0C809}">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6" authorId="0" shapeId="0" xr:uid="{14AE642D-355B-415C-8A7A-C4C5CCF5047F}">
      <text>
        <r>
          <rPr>
            <sz val="11"/>
            <color indexed="81"/>
            <rFont val="Tahoma"/>
            <family val="2"/>
          </rPr>
          <t xml:space="preserve">Bulls/steers that are 0-1 years of age and can be either replacement bulls for breeding or steers to be sold off farm. 
if you retain the bulls/steers for the full 12 months, use their liveweight at 6 months of age and determine how much liveweight gain they have achieved over the 12 month period and divide this by 365 to determine daily liveweight gain. For example, they were 50kg at birth and 400 kg at 12 months of age so put on 350 kg / 365 days = 0.82 kg/day. 
Conversely, if you sell the steers somewhere between 0 and 1 year of age, determine the stocking rate if they were retained for the full year. For example, you have 75 steers and sell them at 9 months of age, thus 75 head x 9 months retained  / 12 months in the year = equivalent to 56 head per annum. 
If you sell most steers but retain some as bulls for replacements, it may be easiest to sum the number of bulls/steers present each month and divide by 12. For example, raised 75 steers and sold 70 at 10 months of age and retained 5 as replacements. The sum of 70 steers for 10 months + 5 bulls for 12 months = 760 head / 12 months = equivalent to 63 head per annum. 
Liveweight gain will likely be slightly higher than the same-aged heifers, depending on how quickly they are grown out to maturity. </t>
        </r>
      </text>
    </comment>
    <comment ref="I16" authorId="0" shapeId="0" xr:uid="{B46D58C3-1603-4406-868D-E247EFF6F892}">
      <text>
        <r>
          <rPr>
            <sz val="11"/>
            <color indexed="81"/>
            <rFont val="Tahoma"/>
            <family val="2"/>
          </rPr>
          <t xml:space="preserve">Bulls/steers that are 1-2 years of age and sold off farm as opposed to retained as replacement bulls for breeding over the cows/heifers. 
If you retain the steers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somewhere between 1 and 2 years of age, determine the stocking rate if they were retained for the full 2 years. For example, you have 75 steers and sell them at 18 months of age, thus 75 head x 6 months retained when greater than 1 year of age /  12 months in the year = equivalent to 38 head per annum.    </t>
        </r>
        <r>
          <rPr>
            <sz val="8"/>
            <color indexed="81"/>
            <rFont val="Tahoma"/>
            <family val="2"/>
          </rPr>
          <t xml:space="preserve">
</t>
        </r>
        <r>
          <rPr>
            <sz val="11"/>
            <color indexed="81"/>
            <rFont val="Tahoma"/>
            <family val="2"/>
          </rPr>
          <t xml:space="preserve">
Use their age mid-point for liveweight. So if they are 350 kg at 12 months of age and sold at 600 kg, irrespective of their age, then the midpoint is 475kg.   
Liveweight gain will likely be slightly higher than the same-aged heifers, depending on how quickly they are grown out to maturity. In the previous example, if they put on 250 kg over 6 months (i.e. from 12 months of age to 18 months of age) then their liveweight gain would be equivalent to 1.4 kg/day. However, if it took 14 months to reach 600 kg (i.e.  from 12 months of age to 26 months of age) then their liveweight gain would be equivalent to 0.6 kg/day. 
  </t>
        </r>
        <r>
          <rPr>
            <sz val="8"/>
            <color indexed="81"/>
            <rFont val="Tahoma"/>
            <family val="2"/>
          </rPr>
          <t xml:space="preserve">
</t>
        </r>
      </text>
    </comment>
    <comment ref="J16" authorId="0" shapeId="0" xr:uid="{6B21D5C1-55B8-4C53-A4DD-17419C9AEF8E}">
      <text>
        <r>
          <rPr>
            <sz val="11"/>
            <color indexed="81"/>
            <rFont val="Tahoma"/>
            <family val="2"/>
          </rPr>
          <t xml:space="preserve">This category is for non-replacement calves sold soon after birth (i.e. 5 to 10 days of age) or post-weaning at around 100 kg or 80-100 days. This is not where you include your replacement heifer calves, or if you breed bulls for breeding, or you fatten up non-replacement heifers and steers for the beef market. 
These animals (calves up to weaning age) emit very little GHG emissions and so we have decided they will not alter net farm GHG emissions. However, they do contribute to total meat sales and thus the emissions intensity of milk and meat production. Therefore, non-relevant cells have been blanked out. Enter the number sold and their average liveweight in the white cells. 
However, if you retain non-replacement heifers and bull/steer calves beyond weaning and fatten them on farm before selling, they need to be reported in the Other stock &lt; 1 yr age category as they will be emitting GHG emissions for the duration on farm until sold.  
Make sure you select if these non-replacement animals are sold soon after birth (i.e. 5-7 days) or if sold post-weaning (i.e. at approx. 100 kg or around 80-100 days of age (essentially retained longer on farm than up to a couple of weeks)) from the drop-down list to the right of this Calves heading. if you sell some at a few days of age (e.g. bull calves) but retain your non-replacement heifer calves until post-weaning), select the option which is the largest number of animals (most likely soon after birth as more bull calves sold than non-replacement heifer calves). 
</t>
        </r>
        <r>
          <rPr>
            <sz val="9"/>
            <color indexed="81"/>
            <rFont val="Tahoma"/>
            <family val="2"/>
          </rPr>
          <t xml:space="preserve">
</t>
        </r>
      </text>
    </comment>
    <comment ref="B18" authorId="1" shapeId="0" xr:uid="{E88A8365-33ED-4880-9043-868AE79D6E8C}">
      <text>
        <r>
          <rPr>
            <sz val="12"/>
            <color indexed="81"/>
            <rFont val="Tahoma"/>
            <family val="2"/>
          </rPr>
          <t>Insert the number of animals in each category.</t>
        </r>
      </text>
    </comment>
    <comment ref="B20" authorId="1" shapeId="0" xr:uid="{6D5ECA49-3FE1-4823-8FA6-47CE4A104D8D}">
      <text>
        <r>
          <rPr>
            <sz val="11"/>
            <color indexed="81"/>
            <rFont val="Tahoma"/>
            <family val="2"/>
          </rPr>
          <t>Specify the average liveweight of your herd for each category.</t>
        </r>
      </text>
    </comment>
    <comment ref="B22" authorId="1" shapeId="0" xr:uid="{D534E80D-CE62-4876-A0AB-252A6932845A}">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2" authorId="0" shapeId="0" xr:uid="{3374B4D9-B8F4-4A6E-8199-6ADD49A72235}">
      <text>
        <r>
          <rPr>
            <sz val="12"/>
            <color indexed="81"/>
            <rFont val="Tahoma"/>
            <family val="2"/>
          </rPr>
          <t>While milking cows lose weight in early lactation, this weight is regained during late lactation and during the non-lactating phase.  Therefore over a 12 month period there is generally no change in live weight and therefore no live weight gain</t>
        </r>
        <r>
          <rPr>
            <sz val="8"/>
            <color indexed="81"/>
            <rFont val="Tahoma"/>
            <family val="2"/>
          </rPr>
          <t xml:space="preserve">
</t>
        </r>
      </text>
    </comment>
    <comment ref="B24" authorId="0" shapeId="0" xr:uid="{2FC64E55-D59F-471B-B7B9-95A78DDE5E6D}">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B26" authorId="0" shapeId="0" xr:uid="{BC74DDC0-B1EE-43DE-B033-BBB0B3573C90}">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B29" authorId="2" shapeId="0" xr:uid="{761DAA55-4725-4D1C-9622-6D5D52467026}">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34" authorId="0" shapeId="0" xr:uid="{D02367CC-BD80-47BD-B4D2-A3B1357CB831}">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connected milk, and therefore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5" authorId="0" shapeId="0" xr:uid="{B224D3C7-CFE4-4C3B-B7CD-FD9B437D6DA3}">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7" authorId="0" shapeId="0" xr:uid="{801D12FE-A6F1-4F00-9554-77DD9645925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44" authorId="3" shapeId="0" xr:uid="{8FB858B5-5F2E-4379-8679-5FDE79F9708F}">
      <text>
        <r>
          <rPr>
            <sz val="11"/>
            <color indexed="81"/>
            <rFont val="Tahoma"/>
            <family val="2"/>
          </rPr>
          <t>Enter the DMD in the feed eaten, not on offer.  Suggest 70% DMD as an average</t>
        </r>
      </text>
    </comment>
    <comment ref="B45" authorId="2" shapeId="0" xr:uid="{37181756-1088-4078-8A37-757AC209D819}">
      <text>
        <r>
          <rPr>
            <sz val="11"/>
            <color indexed="81"/>
            <rFont val="Tahoma"/>
            <family val="2"/>
          </rPr>
          <t>Enter the CP in the feed eaten, not on offer.  Suggest 16% CP as an average</t>
        </r>
      </text>
    </comment>
    <comment ref="C48" authorId="0" shapeId="0" xr:uid="{5B4E9876-A48E-4B06-97E6-C076F341780D}">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50" authorId="0" shapeId="0" xr:uid="{11C65954-1691-42E0-BC73-6637C0CA97E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50" authorId="0" shapeId="0" xr:uid="{735434D8-CEE7-443E-A575-52C140AC1BD1}">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51" authorId="1" shapeId="0" xr:uid="{52F024C1-9C45-4148-B143-D8B66B198B91}">
      <text>
        <r>
          <rPr>
            <sz val="11"/>
            <color indexed="81"/>
            <rFont val="Tahoma"/>
            <family val="2"/>
          </rPr>
          <t xml:space="preserve">Total area of pastures that received N fertiliser.  This includes runoff/ outblocks and also leased land as this is still part of the farm business.
</t>
        </r>
      </text>
    </comment>
    <comment ref="B52" authorId="1" shapeId="0" xr:uid="{1EF393B2-8CB9-4E3C-B400-37C57100D7CA}">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56" authorId="2" shapeId="0" xr:uid="{00F8D64E-931A-41EE-9ED8-5430B96B3F1C}">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7" authorId="2" shapeId="0" xr:uid="{4DE78627-234E-4458-980E-D99963D82756}">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60" authorId="1" shapeId="0" xr:uid="{E418901B-CE80-47AA-8BA4-DE580CDC2C7A}">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60" authorId="0" shapeId="0" xr:uid="{EEDB40B2-69A9-4158-8C04-DF26DB509ACB}">
      <text>
        <r>
          <rPr>
            <sz val="11"/>
            <color indexed="81"/>
            <rFont val="Tahoma"/>
            <family val="2"/>
          </rPr>
          <t>If unsure, select Brown coal from Victoria (highest emissions factor).</t>
        </r>
        <r>
          <rPr>
            <sz val="9"/>
            <color indexed="81"/>
            <rFont val="Tahoma"/>
            <family val="2"/>
          </rPr>
          <t xml:space="preserve">
</t>
        </r>
      </text>
    </comment>
    <comment ref="B61" authorId="1" shapeId="0" xr:uid="{F63302A2-BA36-44A9-8876-35C56287A086}">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63" authorId="0" shapeId="0" xr:uid="{29A1D61D-C150-4D42-85B7-D4D2404D4DD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fuel needs to be considered as part of the farm business and included where applicable.</t>
        </r>
        <r>
          <rPr>
            <sz val="9"/>
            <color indexed="81"/>
            <rFont val="Tahoma"/>
            <family val="2"/>
          </rPr>
          <t xml:space="preserve">
</t>
        </r>
      </text>
    </comment>
    <comment ref="B70" authorId="0" shapeId="0" xr:uid="{E56EED50-D45F-4866-BFB8-768CEFBD809B}">
      <text>
        <r>
          <rPr>
            <sz val="11"/>
            <color indexed="81"/>
            <rFont val="Tahoma"/>
            <family val="2"/>
          </rPr>
          <t xml:space="preserve">This sheet is designed to review the impact of a change in national GHG emission estimates over time, e.g. enteric methane global warming changing from 21 in the 1990 methodology to 28 in the 2022 methodology. It is not to alter on-farm input data.
Therefore, tree carbon sequestration is linked to the Baseline farm sheet and results. Any changes to this section of the sheet </t>
        </r>
        <r>
          <rPr>
            <b/>
            <sz val="11"/>
            <color indexed="81"/>
            <rFont val="Tahoma"/>
            <family val="2"/>
          </rPr>
          <t xml:space="preserve">will not </t>
        </r>
        <r>
          <rPr>
            <sz val="11"/>
            <color indexed="81"/>
            <rFont val="Tahoma"/>
            <family val="2"/>
          </rPr>
          <t xml:space="preserve">result in a change in carbon sequestration potential.
</t>
        </r>
      </text>
    </comment>
    <comment ref="H77" authorId="0" shapeId="0" xr:uid="{BB135A0A-65ED-436A-89FA-94029F1370B4}">
      <text>
        <r>
          <rPr>
            <b/>
            <sz val="9"/>
            <color indexed="81"/>
            <rFont val="Tahoma"/>
            <family val="2"/>
          </rPr>
          <t>Karen Christie:</t>
        </r>
        <r>
          <rPr>
            <sz val="9"/>
            <color indexed="81"/>
            <rFont val="Tahoma"/>
            <family val="2"/>
          </rPr>
          <t xml:space="preserve">
Age of trees is this year of analysis and can vary between 1 and 100</t>
        </r>
      </text>
    </comment>
    <comment ref="C80" authorId="0" shapeId="0" xr:uid="{EFDE0D32-93A1-4F83-8E57-8B805CC60234}">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80" authorId="0" shapeId="0" xr:uid="{8C4B5A7E-2BFE-4EBB-B1F5-69F8C4B5BDF9}">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91" authorId="0" shapeId="0" xr:uid="{D4CC13B7-461A-48A9-9770-545BC9466E2B}">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 ration farm where they are retained on concrete during their dry period also, it will be 365 days per annum.</t>
        </r>
        <r>
          <rPr>
            <sz val="9"/>
            <color indexed="81"/>
            <rFont val="Tahoma"/>
            <family val="2"/>
          </rPr>
          <t xml:space="preserve">
</t>
        </r>
      </text>
    </comment>
    <comment ref="B97" authorId="0" shapeId="0" xr:uid="{6D85E9EA-21B3-46EF-8E2C-5B65153A5C78}">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101" authorId="0" shapeId="0" xr:uid="{1F0963B2-FB7A-41F7-A165-77E77093AB5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101" authorId="0" shapeId="0" xr:uid="{A81C3BD3-248B-444C-87C3-0CEBBD7717BA}">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4" authorId="0" shapeId="0" xr:uid="{7D8CE41B-C396-4B9C-AA7D-D26CD312AC87}">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
The calculations assume both age groups, as opposed to just the rising 1 year olds or the rising 2 year olds.</t>
        </r>
      </text>
    </comment>
    <comment ref="B106" authorId="0" shapeId="0" xr:uid="{87A9F19D-5FB9-4D2C-A86E-1B4A895007CD}">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106" authorId="0" shapeId="0" xr:uid="{57B2C7E1-4B76-4F75-9DEF-879579538CA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21" authorId="0" shapeId="0" xr:uid="{75D416FE-8856-4FFC-AF5B-BF0FB9618BD0}">
      <text>
        <r>
          <rPr>
            <sz val="11"/>
            <color indexed="81"/>
            <rFont val="Tahoma"/>
            <family val="2"/>
          </rPr>
          <t xml:space="preserve">These are the emissions pre-farm gate from the production and/or manufacturing of feeds and fertilisers.
</t>
        </r>
      </text>
    </comment>
    <comment ref="B122" authorId="0" shapeId="0" xr:uid="{DBF6CEA2-F9A8-4920-AB57-05DDBBEB3523}">
      <text>
        <r>
          <rPr>
            <sz val="11"/>
            <color indexed="81"/>
            <rFont val="Tahoma"/>
            <family val="2"/>
          </rPr>
          <t xml:space="preserve">These are the emissions pre-farm gate from the production and/or manufacturing of feeds and fertilisers.
</t>
        </r>
      </text>
    </comment>
    <comment ref="B124" authorId="0" shapeId="0" xr:uid="{3659B201-2DED-4CC3-8EEE-F5C29CC95019}">
      <text>
        <r>
          <rPr>
            <sz val="11"/>
            <color indexed="81"/>
            <rFont val="Tahoma"/>
            <family val="2"/>
          </rPr>
          <t xml:space="preserve">These are the emissions pre-farm gate from the production and/or manufacturing of feeds and fertilisers.
</t>
        </r>
      </text>
    </comment>
    <comment ref="B132" authorId="0" shapeId="0" xr:uid="{7538B5AA-F200-4B1D-B830-F3AD455FC1D2}">
      <text>
        <r>
          <rPr>
            <sz val="11"/>
            <color indexed="81"/>
            <rFont val="Tahoma"/>
            <family val="2"/>
          </rPr>
          <t xml:space="preserve">A kg of fat and protein corrected milk (FPCM) is used to report emissions intensity and is based on converting your components to 4% fat and 3.3% protein. For many farms, a kg of FPCM is similar to a litre of milk. For farms with higher fat and protein than these standards, the kgs of FPCM will be greater than the litres of milk. For example, 1 million litres of 4.5% fat and 3.6% protein is equivalent to approx. 1.12 million kgs of FPCM. Conversely 1 million litres of 3.9% fat and 3.0% protein is equivalent to approx. 0.99 million kgs of FPCM.   
We know that milk is the primary product on dairy farms, but they also produce meat, through cull cows, non-replacement heifers, bull calves and dairy-beef. The International Dairy Federation (IDF)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FPCM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33" authorId="0" shapeId="0" xr:uid="{C963AAC1-2C98-47DF-8379-DFFE1D9231D0}">
      <text>
        <r>
          <rPr>
            <sz val="11"/>
            <color indexed="81"/>
            <rFont val="Tahoma"/>
            <family val="2"/>
          </rPr>
          <t xml:space="preserve">Emissions intensity results here divides your net GHG emissions by the kg of milksolids your farm has produced. It does not convert your milk to a standard fat or protein percentage, unlike emissions intensity based on fat and protein corrected milk (FPCM).  
We know that milk is the primary product on dairy farms, but they also produce meat, through cull cows, non-replacement heifers, bull calves and dairy-beef. The International Dairy Federation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milksolids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34" authorId="0" shapeId="0" xr:uid="{52A3807A-30D2-433D-AE5C-51A717576722}">
      <text>
        <r>
          <rPr>
            <sz val="11"/>
            <color indexed="81"/>
            <rFont val="Tahoma"/>
            <family val="2"/>
          </rPr>
          <t xml:space="preserve">The method of allocating net emissions to milk and meat follows the most current International Dairy Federation (2022) methods, with the energy requirements to produce milk and meat used to allocation the appropriate amount of emissions to each product.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here)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meat then divided by the kg of meat produced to determine the emissions intensity of meat production. The number in this caption will indicate what proportion of emissions are allocated to meat production, with the balance allocated to milk production. If the proportion amount is 0%, this means you have not indicated how many stock are sold to estimate meat production.     
For example, your farm produced 1000 t CO2e/annum but based on the energy requirements to produce milk and meat, ADCC allocated 85% of these emissions to milk. Therefore, the meat component of the farm system is allocated the residual 15%, or 150 t CO2e. If the farm produced 30 t of liveweight from cull cows, bulls and young stock, the emissions intensity for meat production would be 5 kg CO2e/kg liveweight. </t>
        </r>
      </text>
    </comment>
    <comment ref="M344" authorId="2" shapeId="0" xr:uid="{B965E19C-87A5-422E-ACCD-F30343B61629}">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375" authorId="2" shapeId="0" xr:uid="{3AD07C4D-A35F-44A5-B49F-25DB020F3FF5}">
      <text>
        <r>
          <rPr>
            <sz val="8"/>
            <color indexed="81"/>
            <rFont val="Tahoma"/>
            <family val="2"/>
          </rPr>
          <t>MMS = the fraction of AE that is managed in the different manure management systems (except for pasture range and paddock)</t>
        </r>
      </text>
    </comment>
    <comment ref="B378" authorId="2" shapeId="0" xr:uid="{DA0895BC-7759-4B04-9012-FF8157A62F76}">
      <text>
        <r>
          <rPr>
            <sz val="8"/>
            <color indexed="81"/>
            <rFont val="Tahoma"/>
            <family val="2"/>
          </rPr>
          <t>E = total emissions of nitrous oxide from the different manure management systems (except for pasture range and paddock)</t>
        </r>
      </text>
    </comment>
    <comment ref="B380" authorId="2" shapeId="0" xr:uid="{4335139E-3CB1-4F5C-A265-CDC3A73352EA}">
      <text>
        <r>
          <rPr>
            <sz val="8"/>
            <color indexed="81"/>
            <rFont val="Tahoma"/>
            <family val="2"/>
          </rPr>
          <t>Except for pasture range and paddock</t>
        </r>
      </text>
    </comment>
    <comment ref="H567" authorId="2" shapeId="0" xr:uid="{D12E48BD-3DC7-4B2C-95EC-D1B931120C31}">
      <text>
        <r>
          <rPr>
            <sz val="8"/>
            <color indexed="81"/>
            <rFont val="Tahoma"/>
            <family val="2"/>
          </rPr>
          <t>0.085 Gg SO2/PJ</t>
        </r>
      </text>
    </comment>
    <comment ref="B584" authorId="1" shapeId="0" xr:uid="{9AD712C7-DACA-4E39-B154-7276A2711DBE}">
      <text>
        <r>
          <rPr>
            <sz val="8"/>
            <color indexed="81"/>
            <rFont val="Tahoma"/>
            <family val="2"/>
          </rPr>
          <t>SO2 Emission factor = 0.37 Gg SO2/PJ</t>
        </r>
      </text>
    </comment>
    <comment ref="C584" authorId="1" shapeId="0" xr:uid="{944B93EF-2811-4771-A549-9C0BBA8A7082}">
      <text>
        <r>
          <rPr>
            <sz val="8"/>
            <color indexed="81"/>
            <rFont val="Tahoma"/>
            <family val="2"/>
          </rPr>
          <t>30% would be average</t>
        </r>
      </text>
    </comment>
    <comment ref="D584" authorId="1" shapeId="0" xr:uid="{7F637745-2546-456A-A7DD-ABC4DC699E30}">
      <text>
        <r>
          <rPr>
            <sz val="8"/>
            <color indexed="81"/>
            <rFont val="Tahoma"/>
            <family val="2"/>
          </rPr>
          <t>1000 average</t>
        </r>
      </text>
    </comment>
    <comment ref="B585" authorId="1" shapeId="0" xr:uid="{E52B5561-2F9B-4119-B34F-759A83483F96}">
      <text>
        <r>
          <rPr>
            <sz val="8"/>
            <color indexed="81"/>
            <rFont val="Tahoma"/>
            <family val="2"/>
          </rPr>
          <t>SO2 Emission factor = 0.15 Gg SO2/PJ</t>
        </r>
      </text>
    </comment>
    <comment ref="C585" authorId="1" shapeId="0" xr:uid="{10CCF521-72EB-459F-87BE-6982803ADFBE}">
      <text>
        <r>
          <rPr>
            <sz val="8"/>
            <color indexed="81"/>
            <rFont val="Tahoma"/>
            <family val="2"/>
          </rPr>
          <t>25% average</t>
        </r>
      </text>
    </comment>
    <comment ref="D585" authorId="1" shapeId="0" xr:uid="{0F96A1E8-DBA2-4307-8487-E24F427BF23E}">
      <text>
        <r>
          <rPr>
            <sz val="8"/>
            <color indexed="81"/>
            <rFont val="Tahoma"/>
            <family val="2"/>
          </rPr>
          <t>1400 average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rrawnsle</author>
  </authors>
  <commentList>
    <comment ref="C11" authorId="0" shapeId="0" xr:uid="{00000000-0006-0000-09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1" authorId="0" shapeId="0" xr:uid="{00000000-0006-0000-0900-000002000000}">
      <text>
        <r>
          <rPr>
            <sz val="11"/>
            <color indexed="81"/>
            <rFont val="Tahoma"/>
            <family val="2"/>
          </rPr>
          <t>This is the unique supplier number that farmers have with their milk company.</t>
        </r>
        <r>
          <rPr>
            <sz val="9"/>
            <color indexed="81"/>
            <rFont val="Tahoma"/>
            <family val="2"/>
          </rPr>
          <t xml:space="preserve">
</t>
        </r>
      </text>
    </comment>
    <comment ref="G13" authorId="0" shapeId="0" xr:uid="{00000000-0006-0000-0900-000003000000}">
      <text>
        <r>
          <rPr>
            <sz val="11"/>
            <color indexed="81"/>
            <rFont val="Tahoma"/>
            <family val="2"/>
          </rPr>
          <t xml:space="preserve">Enter the financial year that this GHG assessment is for using the format 2012/13.  </t>
        </r>
      </text>
    </comment>
    <comment ref="C15" authorId="0" shapeId="0" xr:uid="{00000000-0006-0000-0900-000004000000}">
      <text>
        <r>
          <rPr>
            <sz val="11"/>
            <color indexed="81"/>
            <rFont val="Tahoma"/>
            <family val="2"/>
          </rPr>
          <t xml:space="preserve">When you go to the white cell to the right of this heading, a drop down arrow will appear to the right hand side and if you click on this, a list of all the states of Australia will appear.  </t>
        </r>
      </text>
    </comment>
    <comment ref="F15" authorId="0" shapeId="0" xr:uid="{A720C502-FB41-423B-A325-C443A39C90C7}">
      <text>
        <r>
          <rPr>
            <sz val="11"/>
            <color indexed="81"/>
            <rFont val="Tahoma"/>
            <family val="2"/>
          </rPr>
          <t xml:space="preserve">Select your option here to populate the Typical Industry Average graph below. The averages are based on data from the Dairy Farm Monitor Project (DFMP) and the Queensland Dairy Accounting Scheme (QDAS) as found in DairyBase (2015-16 to 2020-21). Select which region/state you which to compare your results to. Alternatively, we have provided an Australia-wide average. 
In addition, we have analysed the DFMP and QDAS datasets to generate averages for three classes of grain/concentrate feeding to represent farm systems. These are low (&lt; 1 t DM/cow.annum), medium (1-2 t DM/cow.annum) or high (&gt; 2 t DM/cow.annum). You need to determine how much grain/concentrate you feed your milking herd to be able to select the most appropriate comparison. Selecting a grain/concentrate option will not limit the results to just your region/state.
</t>
        </r>
      </text>
    </comment>
    <comment ref="D17" authorId="0" shapeId="0" xr:uid="{92D06D24-B743-4299-810D-D79D3AC88C32}">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7" authorId="0" shapeId="0" xr:uid="{E0F32449-AD57-4B70-93D5-BD75AADB78D7}">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7" authorId="0" shapeId="0" xr:uid="{5F724A61-7235-4210-91BB-BBD4B35065B2}">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7" authorId="0" shapeId="0" xr:uid="{820C680C-91D5-4996-A4C9-8E3AB55FD3E5}">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7" authorId="0" shapeId="0" xr:uid="{5EEAD20B-2652-4285-8FF4-2C6E70C20CCF}">
      <text>
        <r>
          <rPr>
            <sz val="11"/>
            <color indexed="81"/>
            <rFont val="Tahoma"/>
            <family val="2"/>
          </rPr>
          <t xml:space="preserve">This category is for young bulls, steers and non-replacement heifers that are 0-1 years of age and can be either replacement bulls for breeding or steers and heifers to be sold off farm. </t>
        </r>
        <r>
          <rPr>
            <b/>
            <sz val="11"/>
            <color indexed="81"/>
            <rFont val="Tahoma"/>
            <family val="2"/>
          </rPr>
          <t>NOTE</t>
        </r>
        <r>
          <rPr>
            <sz val="11"/>
            <color indexed="81"/>
            <rFont val="Tahoma"/>
            <family val="2"/>
          </rPr>
          <t xml:space="preserve">: If you sell your surplus heifers and bull calves at 5 to 10 days of age, do not enter any data for them here, their data needs to go into the Calves category.
If you retain the bulls/steers/heifers for the full 12 months, use their liveweight at 6 months of age and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Conversely, if you sell the steers and heifers prior to reaching 1 year of age, determine the stocking rate if they were retained for the full year. For example, you have 75 steers and heifers and sell them at 9 months of age, thus 75 head x 9 months retained  / 12 months in the year = equivalent to 56 head per annum. 
If you sell most animals but retain some as bulls for replacements, it may be easiest to sum the number of bulls/steers/heifers present each month and divide by 12. For example, raised 5 bulls, as well as 70 steers and heifers and sold all 70 steers and heifers at 10 months of age and retained the 5 bulls as replacements. The sum of 70 steers/heifers for 10 months (700 equivalents) + 5 bulls for 12 months (60 equivalents) = 760 head equivalents / 12 months = 63 head per annum. 
You then need to determine their average liveweight and liveweight gain over the period they were present on farm, similar to if they were present for the full 12 months. For example, the non-replacement heifers and bulls were sold at  approx. 270 kg so their mid-point liveweight would be 135 kg liveweight. 
</t>
        </r>
      </text>
    </comment>
    <comment ref="I17" authorId="0" shapeId="0" xr:uid="{3C1AE372-6BE4-4910-A7E3-6A275F63ED2B}">
      <text>
        <r>
          <rPr>
            <sz val="11"/>
            <color indexed="81"/>
            <rFont val="Tahoma"/>
            <family val="2"/>
          </rPr>
          <t xml:space="preserve">This category is for replacement bulls, and for steers and non-replacement heifers that are 1-2 years of age and sold off farm as opposed to retaining.
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18 months of age, thus 75 head x 6 months retained when greater than 1 year of age /  12 months in the year = equivalent to 38 head per annum.    </t>
        </r>
        <r>
          <rPr>
            <sz val="8"/>
            <color indexed="81"/>
            <rFont val="Tahoma"/>
            <family val="2"/>
          </rPr>
          <t xml:space="preserve">
</t>
        </r>
        <r>
          <rPr>
            <sz val="11"/>
            <color indexed="81"/>
            <rFont val="Tahoma"/>
            <family val="2"/>
          </rPr>
          <t xml:space="preserve">
Use their age mid-point for liveweight. So if they are 350 kg at 12 months of age and sold at 600 kg then the midpoint is 475kg.   
  </t>
        </r>
        <r>
          <rPr>
            <sz val="8"/>
            <color indexed="81"/>
            <rFont val="Tahoma"/>
            <family val="2"/>
          </rPr>
          <t xml:space="preserve">
</t>
        </r>
      </text>
    </comment>
    <comment ref="J17" authorId="0" shapeId="0" xr:uid="{E8F4D92F-F90D-42A9-8EC6-E64BC0A3043F}">
      <text>
        <r>
          <rPr>
            <sz val="11"/>
            <color indexed="81"/>
            <rFont val="Tahoma"/>
            <family val="2"/>
          </rPr>
          <t xml:space="preserve">This category is for non-replacement calves sold soon after birth (i.e. 5 to 10 days of age) or post-weaning at around 100 kg or 80-100 days. This is not where you include your replacement heifer calves, or if you breed bulls for breeding, or you fatten up non-replacement heifers and steers for the beef market. 
These animals (calves up to weaning age) emit very little GHG emissions and so we have decided they will not alter net farm GHG emissions. However, they do contribute to total meat sales and thus the emissions intensity of milk and meat production. Therefore, non-relevant cells have been blanked out. Enter the number sold and their average liveweight in the white cells. 
However, if you retain non-replacement heifers and bull/steer calves beyond weaning and fatten them on farm before selling, they need to be reported in the Other stock &lt; 1 yr age category as they will be emitting GHG emissions for the duration on farm until sold.  
Make sure you select if these non-replacement animals are sold soon after birth (i.e. 5-7 days) or if sold post-weaning (i.e. at approx. 100 kg or around 80-100 days of age (essentially retained longer on farm than up to a couple of weeks)) from the drop-down list to the right of this Calves heading. if you sell some at a few days of age (e.g. bull calves) but retain your non-replacement heifer calves until post-weaning), select the option which is the largest number of animals (most likely soon after birth as more bull calves sold than non-replacement heifer calves). 
</t>
        </r>
        <r>
          <rPr>
            <sz val="9"/>
            <color indexed="81"/>
            <rFont val="Tahoma"/>
            <family val="2"/>
          </rPr>
          <t xml:space="preserve">
</t>
        </r>
      </text>
    </comment>
    <comment ref="C19" authorId="1" shapeId="0" xr:uid="{6CA5E272-45CE-4C2A-BDB6-4493FF335C96}">
      <text>
        <r>
          <rPr>
            <sz val="12"/>
            <color indexed="81"/>
            <rFont val="Tahoma"/>
            <family val="2"/>
          </rPr>
          <t>Insert the number of animals in each category.</t>
        </r>
      </text>
    </comment>
    <comment ref="C21" authorId="1" shapeId="0" xr:uid="{18387203-1011-49E4-88A6-E30AD89BBDFB}">
      <text>
        <r>
          <rPr>
            <sz val="11"/>
            <color indexed="81"/>
            <rFont val="Tahoma"/>
            <family val="2"/>
          </rPr>
          <t>Specify the average liveweight of your herd for each category.</t>
        </r>
      </text>
    </comment>
    <comment ref="H21" authorId="0" shapeId="0" xr:uid="{80D40152-1938-4EAB-AB5D-3F070E52F16D}">
      <text>
        <r>
          <rPr>
            <sz val="9"/>
            <color indexed="81"/>
            <rFont val="Tahoma"/>
            <family val="2"/>
          </rPr>
          <t xml:space="preserve">If you retain the bulls/steers/heifers for the full 12 months, use their liveweight at 6 months of age. Determine how much liveweight gain they have achieved over the 12 month period and divide this by 365 days to determine daily liveweight gain. For example, they were 50 kg at birth and 400 kg at 12 months of age so put on 350 kg / 365 days = 0.82 kg/day. Their mid-year liveweight would be 200 kg as half of the 400 kg at 12 months of age. </t>
        </r>
      </text>
    </comment>
    <comment ref="I21" authorId="0" shapeId="0" xr:uid="{27FF4E35-AC60-43EC-8BD6-FBA1A7E5C906}">
      <text>
        <r>
          <rPr>
            <sz val="11"/>
            <color indexed="81"/>
            <rFont val="Tahoma"/>
            <family val="2"/>
          </rPr>
          <t xml:space="preserve">If you retain the steers/heifers longer than 2 years of age, determine what the stocking rate would be if only retained for 2 years.  For example, you have 75 steers and sell them at 26 months of age, thus 75 head x 14 months retained when greater than 1 year of age / 12 months in the year = equivalent to 88 head per annum.
Conversely, if you sell the steers and heifers somewhere between 1 and 2 years of age, determine the stocking rate if they were retained for the full 2 years. For example, you have 75 steers and heifers and sell them at 21 months of age, thus 75 head x 9 months retained when greater than 1 year of age /  12 months in the year = equivalent to 56 head per annum.    
Use their age mid-point for liveweight. So if they are 350 kg at 12 months of age and sold at 600 kg then the midpoint is 475kg. During that 12 month period they gained 250 kg liveweight, equivalent to 0.68 kg LW/day.    </t>
        </r>
        <r>
          <rPr>
            <sz val="9"/>
            <color indexed="81"/>
            <rFont val="Tahoma"/>
            <family val="2"/>
          </rPr>
          <t xml:space="preserve">
</t>
        </r>
      </text>
    </comment>
    <comment ref="C23" authorId="1" shapeId="0" xr:uid="{F90BD2F6-9493-41D2-A2D1-13986A02EA4C}">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3" authorId="0" shapeId="0" xr:uid="{00000000-0006-0000-0900-00000E000000}">
      <text>
        <r>
          <rPr>
            <sz val="11"/>
            <color indexed="81"/>
            <rFont val="Tahoma"/>
            <family val="2"/>
          </rPr>
          <t>While milking cows lose weight in early lactation, this weight is regained during late lactation and during the non-lactating phase.  Therefore over a 12 month period there is generally no change in liveweight and therefore no liveweight gain.</t>
        </r>
        <r>
          <rPr>
            <sz val="8"/>
            <color indexed="81"/>
            <rFont val="Tahoma"/>
            <family val="2"/>
          </rPr>
          <t xml:space="preserve">
</t>
        </r>
      </text>
    </comment>
    <comment ref="C25" authorId="0" shapeId="0" xr:uid="{B5D231F6-35A7-4782-8149-420606102734}">
      <text>
        <r>
          <rPr>
            <sz val="11"/>
            <color indexed="81"/>
            <rFont val="Tahoma"/>
            <family val="2"/>
          </rPr>
          <t xml:space="preserve">Enter the number of animals sold from each stock class. For example, sold 70 cull cows, 50 non-replacement heifers and 100 bull calves.
These numbers are used to estimate total meat sold from the farm so that an equivalent amount of GHG emissions are allocated to meat production as opposed to milk production.
</t>
        </r>
        <r>
          <rPr>
            <sz val="9"/>
            <color indexed="81"/>
            <rFont val="Tahoma"/>
            <family val="2"/>
          </rPr>
          <t xml:space="preserve">
</t>
        </r>
      </text>
    </comment>
    <comment ref="C27" authorId="0" shapeId="0" xr:uid="{2A384675-C2F9-4D8C-A601-996AFC320401}">
      <text>
        <r>
          <rPr>
            <sz val="11"/>
            <color indexed="81"/>
            <rFont val="Tahoma"/>
            <family val="2"/>
          </rPr>
          <t>Enter the average liveweight of the sold stock. For example, cull cows were 550 kg, non-replacement heifers were 175 kg and bull calves were 50 kg.
These numbers are used to estimate total meat sold from the farm so that an equivalent amount of GHG emissions are allocated to meat production as opposed to milk production.</t>
        </r>
      </text>
    </comment>
    <comment ref="B30" authorId="2" shapeId="0" xr:uid="{00000000-0006-0000-0900-00000F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35" authorId="0" shapeId="0" xr:uid="{00000000-0006-0000-0900-000010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connected milk, and therefore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7" authorId="0" shapeId="0" xr:uid="{00000000-0006-0000-0900-000011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 lines etc).</t>
        </r>
        <r>
          <rPr>
            <sz val="9"/>
            <color indexed="81"/>
            <rFont val="Tahoma"/>
            <family val="2"/>
          </rPr>
          <t xml:space="preserve"> 
</t>
        </r>
      </text>
    </comment>
    <comment ref="B39" authorId="0" shapeId="0" xr:uid="{00000000-0006-0000-0900-000012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46" authorId="3" shapeId="0" xr:uid="{00000000-0006-0000-0900-000013000000}">
      <text>
        <r>
          <rPr>
            <sz val="11"/>
            <color indexed="81"/>
            <rFont val="Tahoma"/>
            <family val="2"/>
          </rPr>
          <t>Enter the DMD in the feed eaten, not on offer.  Suggest the NGGI default of 75% in the absence of known figures.</t>
        </r>
      </text>
    </comment>
    <comment ref="B47" authorId="2" shapeId="0" xr:uid="{00000000-0006-0000-0900-000014000000}">
      <text>
        <r>
          <rPr>
            <sz val="11"/>
            <color indexed="81"/>
            <rFont val="Tahoma"/>
            <family val="2"/>
          </rPr>
          <t>Enter the CP in the feed eaten, not on offer.  Suggest the NGGI default of 20% in the absence of known figures.</t>
        </r>
      </text>
    </comment>
    <comment ref="C50" authorId="0" shapeId="0" xr:uid="{00000000-0006-0000-0900-000015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G52" authorId="0" shapeId="0" xr:uid="{00000000-0006-0000-0900-000016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53" authorId="1" shapeId="0" xr:uid="{E5BD3055-B184-45E8-8AEF-807FFF346857}">
      <text>
        <r>
          <rPr>
            <sz val="11"/>
            <color indexed="81"/>
            <rFont val="Tahoma"/>
            <family val="2"/>
          </rPr>
          <t xml:space="preserve">Total area of pastures that received N fertiliser.  This includes runoff/ out blocks and also leased land as this is still part of the farm business.
</t>
        </r>
      </text>
    </comment>
    <comment ref="B54" authorId="1" shapeId="0" xr:uid="{A735276F-DFD4-4F3E-8584-E1334713AFF1}">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E55" authorId="0" shapeId="0" xr:uid="{50AD27E9-C83A-4639-9607-AA38DB08EC95}">
      <text>
        <r>
          <rPr>
            <sz val="11"/>
            <color indexed="81"/>
            <rFont val="Tahoma"/>
            <family val="2"/>
          </rPr>
          <t xml:space="preserve">We need to know what percentage of total N fertiliser is urea versus other N fertilisers such as DAP. When urea is manufactured, the process removes carbon dioxide from the atmosphere. When the urea fertiliser is then spread onto pastures and crops, the carbon dioxide is released to the atmosphere. We need to account for this release of carbon dioxide with the farm GHG assessment.
If you applied 10 t of N as urea and 5 t N as DAP, then 10 t urea N / 15 t total N = 67% urea N. </t>
        </r>
        <r>
          <rPr>
            <sz val="9"/>
            <color indexed="81"/>
            <rFont val="Tahoma"/>
            <family val="2"/>
          </rPr>
          <t xml:space="preserve">
</t>
        </r>
      </text>
    </comment>
    <comment ref="B58" authorId="2" shapeId="0" xr:uid="{4F67E836-2E99-4C98-9A20-084769D3610F}">
      <text>
        <r>
          <rPr>
            <sz val="11"/>
            <color indexed="81"/>
            <rFont val="Tahoma"/>
            <family val="2"/>
          </rPr>
          <t xml:space="preserve">Area of farmland applied with P, K, S and Lime/dolomite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9" authorId="2" shapeId="0" xr:uid="{A35F63EF-A3DE-4AC4-A80E-0B89F89FFD92}">
      <text>
        <r>
          <rPr>
            <sz val="11"/>
            <color indexed="81"/>
            <rFont val="Tahoma"/>
            <family val="2"/>
          </rPr>
          <t xml:space="preserve">Area of farmland applied with P, K, S and Lime/dolomite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62" authorId="1" shapeId="0" xr:uid="{92BE070C-981A-4242-A070-36D0F3E86342}">
      <text>
        <r>
          <rPr>
            <sz val="11"/>
            <color indexed="81"/>
            <rFont val="Tahoma"/>
            <family val="2"/>
          </rPr>
          <t xml:space="preserve">What was your total annual electricity consumption for the year in kWh?
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text>
    </comment>
    <comment ref="E62" authorId="0" shapeId="0" xr:uid="{CA8BE1A1-4EA5-43D6-B76F-AEB4BC53F271}">
      <text>
        <r>
          <rPr>
            <b/>
            <sz val="9"/>
            <color indexed="81"/>
            <rFont val="Tahoma"/>
            <family val="2"/>
          </rPr>
          <t>Karen Christie:</t>
        </r>
        <r>
          <rPr>
            <sz val="9"/>
            <color indexed="81"/>
            <rFont val="Tahoma"/>
            <family val="2"/>
          </rPr>
          <t xml:space="preserve">
</t>
        </r>
      </text>
    </comment>
    <comment ref="B63" authorId="1" shapeId="0" xr:uid="{9048908B-7FFD-4073-95D1-D170000E0494}">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raking- 3 litres/ha
Sowing/ mowing/ wrapping silage- 9 litres/ha
Baling/ harvesting/ discing- 16 litres/ha
Ploughing/ tillage- 22 litres/ha
So if you were making silage from a 1ha paddock, with the grass cut, tedded and raked before baling and wrapping, it is likely that 40 litres per hectare may have been consumed (i.e. 9 litres/ha for cutting, 3 litres/ha for tedding, 3 litres/ha for raking, 16 litres/ha for baling and 9 litres/ha for wrapping).</t>
        </r>
      </text>
    </comment>
    <comment ref="E63" authorId="0" shapeId="0" xr:uid="{97FCEEC3-39B0-4284-A089-BFA12A38AF95}">
      <text>
        <r>
          <rPr>
            <sz val="11"/>
            <color indexed="81"/>
            <rFont val="Tahoma"/>
            <family val="2"/>
          </rPr>
          <t xml:space="preserve">If your supplier guarantees a fraction of their electricity is from renewable sources, e.g. 10%, enter the full amount consumed here but then type in 10 in the 'What % of electricity is from renewables' cell to the right. This will reduce the GHG emissions from electricity by 10%.
You may generate some electricity on farm. For example, you purchased 100,000 kWh off the grid but after consuming some of this home-generated electricity, you were also able to feed 20,000 kWh surplus electricity back into the grid. 
Thus your 'purchased' electricity was only 80,000 kWh. Enter 80,000 kWh here, select State Grid as the source, but enter 0 for the cell asking for the % of electricity from renewables, as the net amount of non-renewable electricity was 80,000 kWh from the grid. </t>
        </r>
        <r>
          <rPr>
            <sz val="9"/>
            <color indexed="81"/>
            <rFont val="Tahoma"/>
            <family val="2"/>
          </rPr>
          <t xml:space="preserve">
</t>
        </r>
      </text>
    </comment>
    <comment ref="B65" authorId="0" shapeId="0" xr:uid="{00000000-0006-0000-0900-00001E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fuel needs to be considered as part of the farm business and included where applicable.</t>
        </r>
        <r>
          <rPr>
            <sz val="9"/>
            <color indexed="81"/>
            <rFont val="Tahoma"/>
            <family val="2"/>
          </rPr>
          <t xml:space="preserve">
</t>
        </r>
      </text>
    </comment>
    <comment ref="B73" authorId="0" shapeId="0" xr:uid="{B56B31FF-44AA-4114-A8F3-33CB15DF457F}">
      <text>
        <r>
          <rPr>
            <sz val="11"/>
            <color indexed="81"/>
            <rFont val="Tahoma"/>
            <family val="2"/>
          </rPr>
          <t xml:space="preserve">You have three options to select how to estimate carbon sequestration in trees.  
1. If you have no trees present on farm, select "No estimation of carbon sequestration" from the drop-down list.
2. If you wish to use the combination of trees and soils built into ADCC to determine the amount of carbon sequestered in trees, select "Based on data entered here". If you select this option, you need to select from the drop-down list in the order they are present here. moving down the sheet by selecting your region first, then type of trees and then soil type before entering the area and age of the trees. If you do not select in this order, excel may mis-calculate your results.
3. If you wish to use some other tool or calculator to estimate (e.g. FullCAM or LOOC-C", select "Carbon sequestered using other tools". When this option is selected, text and a box will appear to the right where you need to enter the amount of carbon sequestered/ha from the other tool, along with the area of trees, for excel to calculate the total amount of carbon for the farm . Remember we are asking for the tonnes of carbon dioxide/ha, so if your result from another tool is reported as t C/ha, multiply that amount of C by 3.67 to convert to t CO2/ha. For example, 7 t C/ha equates to 25.7 t CO2e/ha. You are also needing to enter the amount sequestered for only one year from the other tools, not the total over 25 or 100 years.   </t>
        </r>
        <r>
          <rPr>
            <sz val="9"/>
            <color indexed="81"/>
            <rFont val="Tahoma"/>
            <family val="2"/>
          </rPr>
          <t xml:space="preserve">
</t>
        </r>
      </text>
    </comment>
    <comment ref="B75" authorId="0" shapeId="0" xr:uid="{C5BD933B-9A15-4713-9C60-7E7DFFE3179B}">
      <text>
        <r>
          <rPr>
            <sz val="11"/>
            <color indexed="81"/>
            <rFont val="Tahoma"/>
            <family val="2"/>
          </rPr>
          <t xml:space="preserve">If you click on the white cell to the right of this heading, a drop down arrow should appear along with a list of the regions specific to your state.  Most states have two or more regions to select from. These selections will only influence the amount of carbon sequestered in tree plantings
Victoria: North East VIC refers to farms around Wangaratta and Benalla. Northern VIC refers to farms around Cobram, Shepparton and Echuca. Mallee refers to farms around Kerang. If you are unsure which region your farm is located, in terms of these three northern Victoria regions, compare results between regions to ascertain if there is a substantial difference in terms of the carbon sequestration potential.        </t>
        </r>
        <r>
          <rPr>
            <sz val="9"/>
            <color indexed="81"/>
            <rFont val="Tahoma"/>
            <family val="2"/>
          </rPr>
          <t xml:space="preserve">
</t>
        </r>
      </text>
    </comment>
    <comment ref="B77" authorId="2" shapeId="0" xr:uid="{C3C17F7C-2AE6-45F7-9B0E-DB4F09C1DB73}">
      <text>
        <r>
          <rPr>
            <sz val="11"/>
            <color indexed="81"/>
            <rFont val="Tahoma"/>
            <family val="2"/>
          </rPr>
          <t xml:space="preserve">The tree species will firstly match that of the baseline farm system. However, users can explore the effect of selecting another species relevant for the region selected. 
If a tree species you wish to explore is not present, select the closest species, or select Environmental plantings as a blend of native trees, shrubs and understorey that is endemic to your region.
</t>
        </r>
      </text>
    </comment>
    <comment ref="B79" authorId="0" shapeId="0" xr:uid="{94695297-EEA6-4CC1-802F-93FE905BA391}">
      <text>
        <r>
          <rPr>
            <sz val="11"/>
            <color indexed="81"/>
            <rFont val="Tahoma"/>
            <family val="2"/>
          </rPr>
          <t xml:space="preserve">Two soil types are available for most regions. However, the results are generally the same for both soil types. Select the most common for your region. </t>
        </r>
      </text>
    </comment>
    <comment ref="H79" authorId="0" shapeId="0" xr:uid="{B8D5D27E-E871-4DBD-ADFF-0A3A4655EC30}">
      <text>
        <r>
          <rPr>
            <b/>
            <sz val="9"/>
            <color indexed="81"/>
            <rFont val="Tahoma"/>
            <family val="2"/>
          </rPr>
          <t>Karen Christie:</t>
        </r>
        <r>
          <rPr>
            <sz val="9"/>
            <color indexed="81"/>
            <rFont val="Tahoma"/>
            <family val="2"/>
          </rPr>
          <t xml:space="preserve">
Age of trees is this year of analysis and can vary between 1 and 100</t>
        </r>
      </text>
    </comment>
    <comment ref="C82" authorId="0" shapeId="0" xr:uid="{00000000-0006-0000-0900-000024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82" authorId="0" shapeId="0" xr:uid="{00000000-0006-0000-0900-000025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92" authorId="0" shapeId="0" xr:uid="{00000000-0006-0000-0900-000026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 ration farm where they are retained on concrete during their dry period also, it will be 365 days per annum.</t>
        </r>
        <r>
          <rPr>
            <sz val="9"/>
            <color indexed="81"/>
            <rFont val="Tahoma"/>
            <family val="2"/>
          </rPr>
          <t xml:space="preserve">
</t>
        </r>
      </text>
    </comment>
    <comment ref="B95" authorId="0" shapeId="0" xr:uid="{00000000-0006-0000-0900-000027000000}">
      <text>
        <r>
          <rPr>
            <sz val="11"/>
            <color indexed="81"/>
            <rFont val="Tahoma"/>
            <family val="2"/>
          </rPr>
          <t xml:space="preserve">This question is not asking how frequently you spread waste from a pond/lagoon system.  It is making the distinction between if the waste from the daily is spread daily through either an irrigation system or slurry cart or if it is flushed with additional water and goes into a pond/ lagoon system.     </t>
        </r>
        <r>
          <rPr>
            <sz val="9"/>
            <color indexed="81"/>
            <rFont val="Tahoma"/>
            <family val="2"/>
          </rPr>
          <t xml:space="preserve">
</t>
        </r>
      </text>
    </comment>
    <comment ref="B98" authorId="0" shapeId="0" xr:uid="{00000000-0006-0000-0900-000028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102" authorId="0" shapeId="0" xr:uid="{00000000-0006-0000-0900-000029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102" authorId="0" shapeId="0" xr:uid="{00000000-0006-0000-0900-00002A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5" authorId="0" shapeId="0" xr:uid="{88BFA9C6-8D46-44B5-ACB1-3D0D6AA0A785}">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
The calculations assume both age groups, as opposed to just the rising 1 year olds or the rising 2 year olds.</t>
        </r>
      </text>
    </comment>
    <comment ref="B107" authorId="0" shapeId="0" xr:uid="{00000000-0006-0000-0900-00002C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107" authorId="0" shapeId="0" xr:uid="{00000000-0006-0000-0900-00002D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3" authorId="0" shapeId="0" xr:uid="{3A950BFB-BECF-4BEB-8B34-1F8F1113D52B}">
      <text>
        <r>
          <rPr>
            <sz val="11"/>
            <color indexed="81"/>
            <rFont val="Tahoma"/>
            <family val="2"/>
          </rPr>
          <t xml:space="preserve">Scope 1 emissions are those that occur on farm and the farmer has control over. For example, they can choose how many cows to milk, replacement animals to retain etc
</t>
        </r>
        <r>
          <rPr>
            <sz val="9"/>
            <color indexed="81"/>
            <rFont val="Tahoma"/>
            <family val="2"/>
          </rPr>
          <t xml:space="preserve">
</t>
        </r>
      </text>
    </comment>
    <comment ref="C113" authorId="0" shapeId="0" xr:uid="{FB005C5C-A99F-4649-AB81-53C90F551D4D}">
      <text>
        <r>
          <rPr>
            <sz val="11"/>
            <color indexed="81"/>
            <rFont val="Tahoma"/>
            <family val="2"/>
          </rPr>
          <t xml:space="preserve">Methane is lost as part of the digestive process as a pathway of removing excess hydrogen from the rumen. Cattle emit approx. 6.5% of their gross energy intake as methane, with this number reducing as the quality of the diet improves. Most of the methane is emitted through the mouth, although a small amount is also emitted through the rear-end too. </t>
        </r>
      </text>
    </comment>
    <comment ref="C114" authorId="0" shapeId="0" xr:uid="{CEE4FCC1-6D78-44D3-BC6B-47E2E78CA953}">
      <text>
        <r>
          <rPr>
            <sz val="11"/>
            <color indexed="81"/>
            <rFont val="Tahoma"/>
            <family val="2"/>
          </rPr>
          <t>Methane is produced during the decomposition of manure when deposited onto pastures and collected in pond/lagoon systems under anaerobic conditions. Note that this value is not the amount of methane emitted from a storage system (e.g. lagoons/ponds), but from all manure deposited by the herd, with the majority of manure(&gt; 75%) deposited onto pastures during grazing.</t>
        </r>
      </text>
    </comment>
    <comment ref="B115" authorId="0" shapeId="0" xr:uid="{7688A090-4B7E-4FB1-9569-1CB99CFECDC6}">
      <text>
        <r>
          <rPr>
            <sz val="11"/>
            <color indexed="81"/>
            <rFont val="Tahoma"/>
            <family val="2"/>
          </rPr>
          <t xml:space="preserve">Scope 1 emissions are those that occur on farm and the farmer has control over. For example, they can choose how many cows to milk, how much N fertiliser to apply etc
</t>
        </r>
      </text>
    </comment>
    <comment ref="C115" authorId="0" shapeId="0" xr:uid="{4FF95CA3-83C9-4C07-8843-FC2E0EE7C669}">
      <text>
        <r>
          <rPr>
            <sz val="11"/>
            <color indexed="81"/>
            <rFont val="Tahoma"/>
            <family val="2"/>
          </rPr>
          <t>As cattle graze pastures and deposit urine and dung, a proportion of the N in these is converted to nitrous oxide and lost to the environment.
A national survey determined the proportion of total manure that is deposited on pastures during grazing. This varies between states, and between 79 and 85% for milking cows and 100% for all other stock. 
If your stock spend substantially longer on non-paddock areas (e.g. feedlotting), we suggest you may wish to enter your own data in the manure management section to ascertain a more realistic value for nitrous oxide losses.</t>
        </r>
      </text>
    </comment>
    <comment ref="C116" authorId="0" shapeId="0" xr:uid="{49D023DE-F111-4C18-AA76-95B25AEFA6D4}">
      <text>
        <r>
          <rPr>
            <sz val="11"/>
            <color indexed="81"/>
            <rFont val="Tahoma"/>
            <family val="2"/>
          </rPr>
          <t>A proportion of cattle urine and dung (manure) is captured on hard surfaces, such as at the dairy and generally are either collected in a pond/lagoon system or spread  daily through an irrigation system. The calculator uses a state-based average to determine what proportion of manure is captured and how it is handled (i.e. pond/lagoon, spread daily etc), based on national survey data.  
During storage, the manure (dung and urine) goes through a process of nitrification and denitrification, releasing a proportion of N to the environment in the form of nitrous oxide.  Likewise, after the manure is applied to pastures, a proportion of the N will be lost as nitrous oxide. 
If your stock spend substantially longer on non-paddock areas (e.g. feedlotting), we suggest you may wish to enter your own data in the manure management section to ascertain a more realistic value for nitrous oxide losses.</t>
        </r>
      </text>
    </comment>
    <comment ref="C117" authorId="0" shapeId="0" xr:uid="{8B462633-5338-4EF7-AEFA-E9AE5B506DBD}">
      <text>
        <r>
          <rPr>
            <sz val="11"/>
            <color indexed="81"/>
            <rFont val="Tahoma"/>
            <family val="2"/>
          </rPr>
          <t>A proportion of the manure N deposited onto paddocks or in storage is assumed to be lost to the environment through volatilisation and/or leaching/runoff. 
Once this volatilised or leached/runoff N is lost to the environment, it is assumed that a proportion of the N will then be redeposited onto pastures, go through the processes of nitrification and denitrification and converted into nitrous oxide.
If your stock spend substantially longer on non-paddock areas (e.g. feedlotting), we suggest you may wish to enter your own data in the manure management section to ascertain a more realistic value for nitrous oxide losses.</t>
        </r>
      </text>
    </comment>
    <comment ref="C118" authorId="0" shapeId="0" xr:uid="{CEFFD5DF-DB99-4CC9-ADD7-F686E4159806}">
      <text>
        <r>
          <rPr>
            <sz val="11"/>
            <color indexed="81"/>
            <rFont val="Tahoma"/>
            <family val="2"/>
          </rPr>
          <t xml:space="preserve">A proportion of the N applied in fertilisers (organic and inorganic) goes through the processes of nitrification and denitrification, with a percentage of this N lost to the environment as nitrous oxide. </t>
        </r>
      </text>
    </comment>
    <comment ref="C119" authorId="0" shapeId="0" xr:uid="{B2736A61-BB79-43F6-8843-4D94B879C4F9}">
      <text>
        <r>
          <rPr>
            <sz val="11"/>
            <color indexed="81"/>
            <rFont val="Tahoma"/>
            <family val="2"/>
          </rPr>
          <t xml:space="preserve">A proportion of the N fertiliser (organic and inorganic) applied to pastures is lost to the environment through volatilisation and leaching/runoff. Once this N is deposited back onto pastures, a proportion of this N will go through the processes of nitrification and denitrification, with a percentage of the N lost as nitrous oxide to the environment. </t>
        </r>
      </text>
    </comment>
    <comment ref="B120" authorId="0" shapeId="0" xr:uid="{2C0D6331-C24B-40C2-A3AC-6C76F0FF6DED}">
      <text>
        <r>
          <rPr>
            <sz val="11"/>
            <color indexed="81"/>
            <rFont val="Tahoma"/>
            <family val="2"/>
          </rPr>
          <t xml:space="preserve">Scope 1 emissions are those that occur on farm and the farmer has control over. For example, they can choose how much urea N fertiliser or lime to apply, or how much diesel to consume on farm.
Scope 2 emissions are also those that occur on farm and the farmer has control over. For example, they can elect to generate renewable electricity farm to reduce reliance on grid power.
Scope 3 emissions are those that the farmer has no control over but are part of the farm business. There are emissions associated with the production and transmission of electricity to the farm, and in the refining/production of fuel. </t>
        </r>
      </text>
    </comment>
    <comment ref="C120" authorId="0" shapeId="0" xr:uid="{57EE3274-D77B-4138-85F1-AC980838EE40}">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1" authorId="0" shapeId="0" xr:uid="{46B3FF80-32EF-4647-8C72-10A6D6FE9331}">
      <text>
        <r>
          <rPr>
            <sz val="11"/>
            <color indexed="81"/>
            <rFont val="Tahoma"/>
            <family val="2"/>
          </rPr>
          <t>Scope 2 electricity emissions are those released to the environment with the generation/consumption of electricity on farm.
Scope 3 electricity emissions are those not included in Scope 2. These are associated with the indirect loss of electricity during the transmission and distribution in the grid.</t>
        </r>
      </text>
    </comment>
    <comment ref="C122" authorId="0" shapeId="0" xr:uid="{257628E1-B101-4C80-BF46-595B060A66D2}">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3" authorId="0" shapeId="0" xr:uid="{E79CAD72-C622-458C-9FE7-5D740F37D55C}">
      <text>
        <r>
          <rPr>
            <sz val="11"/>
            <color indexed="81"/>
            <rFont val="Tahoma"/>
            <family val="2"/>
          </rPr>
          <t>Scope 1 fuel emissions are those associated with the consumption of fuel on farm. 
Scope 3 fuel emissions are those associated with the extraction and production of fuel. Previous versions of the Australian Dairy Carbon Calculator summed Scope 1 and Scope 3 emissions together and reported these as carbon dioxide emissions from diesel and unleaded petrol.</t>
        </r>
      </text>
    </comment>
    <comment ref="C124" authorId="0" shapeId="0" xr:uid="{75B38A17-D8D5-4BE8-9493-92A12B6AEA5D}">
      <text>
        <r>
          <rPr>
            <sz val="11"/>
            <color indexed="81"/>
            <rFont val="Tahoma"/>
            <family val="2"/>
          </rPr>
          <t xml:space="preserve">Adding urea fertiliser to soils leads to a loss of carbon dioxide that was fixed during the manufacturing process. The bicarbonate in urea is broken down into water and carbon dioxide. Other forms of N fertiliser, such as DAP and SoA are not bicarbonates and therefore do not break down into carbon dioxide.
Lime and dolomite are added to soils to reduce soi acidity, improve soil structure and improve plant growth. The breakdown of these in the soil results in the production of water and carbon dioxide.
As both urea and lime/dolomite break down into carbon dioxide, this release of carbon dioxide needs to be accounted for when estimating the GHG emissions of the dairy farm. </t>
        </r>
      </text>
    </comment>
    <comment ref="B125" authorId="0" shapeId="0" xr:uid="{F4EAD1E0-82EC-4B4A-A041-2DB0CC86F4C9}">
      <text>
        <r>
          <rPr>
            <sz val="11"/>
            <color indexed="81"/>
            <rFont val="Tahoma"/>
            <family val="2"/>
          </rPr>
          <t xml:space="preserve">These are the emissions pre-farm gate from the production and/or manufacturing of feeds and fertilisers.
They are considered Scope 3 as the farmer has no control over the emissions associated with the production of these feeds and fertilisers. </t>
        </r>
      </text>
    </comment>
    <comment ref="C125" authorId="0" shapeId="0" xr:uid="{624DD17E-6535-4A63-82ED-4BCFEE28854A}">
      <text>
        <r>
          <rPr>
            <sz val="9"/>
            <color indexed="81"/>
            <rFont val="Tahoma"/>
            <family val="2"/>
          </rPr>
          <t xml:space="preserve">
</t>
        </r>
        <r>
          <rPr>
            <sz val="11"/>
            <color indexed="81"/>
            <rFont val="Tahoma"/>
            <family val="2"/>
          </rPr>
          <t>It is important to understand the GHG emissions associated with key farm inputs, such as purchased feed and fertiliser.  These results are a calculation of the CO</t>
        </r>
        <r>
          <rPr>
            <vertAlign val="subscript"/>
            <sz val="11"/>
            <color indexed="81"/>
            <rFont val="Tahoma"/>
            <family val="2"/>
          </rPr>
          <t>2</t>
        </r>
        <r>
          <rPr>
            <sz val="11"/>
            <color indexed="81"/>
            <rFont val="Tahoma"/>
            <family val="2"/>
          </rPr>
          <t>e emitted in the production/ manufacturing of grain/concentrates, forages and fertilisers. 
It does not include the CO</t>
        </r>
        <r>
          <rPr>
            <vertAlign val="subscript"/>
            <sz val="11"/>
            <color indexed="81"/>
            <rFont val="Tahoma"/>
            <family val="2"/>
          </rPr>
          <t>2</t>
        </r>
        <r>
          <rPr>
            <sz val="11"/>
            <color indexed="81"/>
            <rFont val="Tahoma"/>
            <family val="2"/>
          </rPr>
          <t>e</t>
        </r>
        <r>
          <rPr>
            <vertAlign val="subscript"/>
            <sz val="11"/>
            <color indexed="81"/>
            <rFont val="Tahoma"/>
            <family val="2"/>
          </rPr>
          <t xml:space="preserve"> </t>
        </r>
        <r>
          <rPr>
            <sz val="11"/>
            <color indexed="81"/>
            <rFont val="Tahoma"/>
            <family val="2"/>
          </rPr>
          <t xml:space="preserve">emitted with transport from source (i.e. grain farm, fertiliser manufacturer) to the dairy farm as this can vary widely, depending on source (i.e. hay from a farm next door or urea manufactured in China).   </t>
        </r>
      </text>
    </comment>
    <comment ref="C126" authorId="0" shapeId="0" xr:uid="{97A992FA-AB0D-4FC7-9BF9-2A43EC3409CE}">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r>
          <rPr>
            <b/>
            <sz val="11"/>
            <color indexed="81"/>
            <rFont val="Tahoma"/>
            <family val="2"/>
          </rPr>
          <t xml:space="preserve">  </t>
        </r>
      </text>
    </comment>
    <comment ref="C127" authorId="0" shapeId="0" xr:uid="{AE21224E-A54C-4D2B-9972-058609C80DC2}">
      <text>
        <r>
          <rPr>
            <sz val="11"/>
            <color indexed="81"/>
            <rFont val="Tahoma"/>
            <family val="2"/>
          </rPr>
          <t xml:space="preserve">It is important to understand the GHG emissions associated with key farm inputs, such as purchased feed and fertiliser.  These results are a calculation of the CO2e emitted in the production/ manufacturing of grain/concentrates, forages and fertilisers.
It does not include the CO2e emitted with transport from source (i.e. grain farm, fertiliser manufacturer) to the dairy farm as this can vary widely, depending on source (i.e. hay from a farm next door or urea manufactured in China). </t>
        </r>
      </text>
    </comment>
    <comment ref="B134" authorId="0" shapeId="0" xr:uid="{F6E25C21-21FE-4376-9D74-B7BF8D693B05}">
      <text>
        <r>
          <rPr>
            <sz val="11"/>
            <color indexed="81"/>
            <rFont val="Tahoma"/>
            <family val="2"/>
          </rPr>
          <t>Net emissions will only be lower than Total emissions if there are trees present on farm and that the estimation of carbon sequestered in these trees have been estimated here, using options 2 or 3 from the tree carbon sequestration listing.</t>
        </r>
      </text>
    </comment>
    <comment ref="B136" authorId="0" shapeId="0" xr:uid="{00000000-0006-0000-0900-00002F000000}">
      <text>
        <r>
          <rPr>
            <sz val="11"/>
            <color indexed="81"/>
            <rFont val="Tahoma"/>
            <family val="2"/>
          </rPr>
          <t>Note that a negative number means an increase in total farm GHG emissions and a positive number means a decline in total farm GHG emissions.</t>
        </r>
        <r>
          <rPr>
            <sz val="9"/>
            <color indexed="81"/>
            <rFont val="Tahoma"/>
            <family val="2"/>
          </rPr>
          <t xml:space="preserve">
</t>
        </r>
      </text>
    </comment>
    <comment ref="B139" authorId="0" shapeId="0" xr:uid="{21CBB5B8-3B64-4F7A-8C34-713822FB4568}">
      <text>
        <r>
          <rPr>
            <sz val="11"/>
            <color indexed="81"/>
            <rFont val="Tahoma"/>
            <family val="2"/>
          </rPr>
          <t xml:space="preserve">A kg of fat and protein corrected milk (FPCM) is used to report emissions intensity and is based on converting your components to 4% fat and 3.3% protein. For many farms, a kg of FPCM is similar to a litre of milk. For farms with higher fat and protein than these standards, the kgs of FPCM will be greater than the litres of milk. For example, 1 million litres of 4.5% fat and 3.6% protein is equivalent to approx. 1.12 million kgs of FPCM. Conversely 1 million litres of 3.9% fat and 3.0% protein is equivalent to approx. 0.99 million kgs of FPCM.   
We know that milk is the primary product on dairy farms, but they also produce meat, through cull cows, non-replacement heifers, bull calves and dairy-beef. The International Dairy Federation (IDF)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FPCM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r>
          <rPr>
            <sz val="9"/>
            <color indexed="81"/>
            <rFont val="Tahoma"/>
            <family val="2"/>
          </rPr>
          <t xml:space="preserve">
</t>
        </r>
      </text>
    </comment>
    <comment ref="B140" authorId="0" shapeId="0" xr:uid="{9AEFFA9E-7A53-41DA-80FD-469B90120837}">
      <text>
        <r>
          <rPr>
            <sz val="11"/>
            <color indexed="81"/>
            <rFont val="Tahoma"/>
            <family val="2"/>
          </rPr>
          <t xml:space="preserve">Emissions intensity results here divides your net GHG emissions by the kg of milksolids your farm has produced. It does not convert your milk to a standard fat or protein percentage, unlike emissions intensity based on fat and protein corrected milk (FPCM).  </t>
        </r>
        <r>
          <rPr>
            <sz val="9"/>
            <color indexed="81"/>
            <rFont val="Tahoma"/>
            <family val="2"/>
          </rPr>
          <t xml:space="preserve">
</t>
        </r>
        <r>
          <rPr>
            <sz val="11"/>
            <color indexed="81"/>
            <rFont val="Tahoma"/>
            <family val="2"/>
          </rPr>
          <t xml:space="preserve">We know that milk is the primary product on dairy farms, but they also produce meat, through cull cows, non-replacement heifers, bull calves and dairy-beef. The International Dairy Federation are upgrading the method of allocating net emissions to milk and meat in 2022 and this method is implemented here.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milk is then divided by the kg of milksolids to determine the emissions intensity of milk production. The number in this caption will indicate what proportion of emissions are allocated to milk production, with the balance allocated to meat production. If the proportion amount is 100%, this means you have not indicated how many stock are sold to estimate meat production.     
When comparing your results between years, or between farms, it is important that you understand the allocation of emissions between co-products and compare like with like, i.e. you are not comparing your farm results with 100% allocated to milk with another farm that is reporting their results based on a proportion of emissions allocated to meat production. </t>
        </r>
      </text>
    </comment>
    <comment ref="B141" authorId="0" shapeId="0" xr:uid="{31F2CE5C-FF54-4409-BF5D-92AF2F8E6C35}">
      <text>
        <r>
          <rPr>
            <sz val="11"/>
            <color indexed="81"/>
            <rFont val="Tahoma"/>
            <family val="2"/>
          </rPr>
          <t xml:space="preserve">The method of allocating net emissions to milk and meat follows the most current International Dairy Federation (2022) methods, with the energy requirements to produce milk and meat used to allocation the appropriate amount of emissions to each product. 
The GHG emissions for milking herd, replacement heifers and bulls, along with electricity and supplementary feed (grain and fodder) are all allocated to milk production. The emissions for Other Livestock is allocated to meat production as this group of animals are not raised to join the dairy herd. Then the residual GHG emissions for diesel, fertiliser and carbon sequestration in trees (collectively termed farm emissions here) are proportionally allocated to milk and meat, based on the proportion of total energy requirements for milk and meat. This breakdown of GHG emissions aligns with the IDF guidelines for systems separation of emissions.   
Excel will then determine the energy requirements to produce milk and meat, and allocate the equivalent proportion of emissions to each product. For example, 90% of total energy requirements are for milk production, thus the 90% of the residual farm emissions are allocated to milk and the balance 10%, along with the Other Livestock emissions, are allocated to meat. The total emissions allocated to meat then divided by the kg of meat produced to determine the emissions intensity of meat production. The number in this caption will indicate what proportion of emissions are allocated to meat production, with the balance allocated to milk production. If the proportion amount is 0%, this means you have not indicated how many stock are sold to estimate meat production.     
For example, your farm produced 1000 t CO2e/annum but based on the energy requirements to produce milk and meat, ADCC allocated 85% of these emissions to milk. Therefore, the meat component of the farm system is allocated the residual 15%, or 150 t CO2e. If the farm produced 30 t of liveweight from cull cows, bulls and young stock, the emissions intensity for meat production would be 5 kg CO2e/kg liveweight. 
 </t>
        </r>
      </text>
    </comment>
    <comment ref="B143" authorId="0" shapeId="0" xr:uid="{99751828-09F7-4538-8F6E-1514F5453FC5}">
      <text>
        <r>
          <rPr>
            <sz val="11"/>
            <color indexed="81"/>
            <rFont val="Tahoma"/>
            <family val="2"/>
          </rPr>
          <t xml:space="preserve">Note that a negative figure indicates that the emissions intensity has increased. </t>
        </r>
        <r>
          <rPr>
            <b/>
            <sz val="9"/>
            <color indexed="81"/>
            <rFont val="Tahoma"/>
            <family val="2"/>
          </rPr>
          <t xml:space="preserve">
</t>
        </r>
        <r>
          <rPr>
            <sz val="9"/>
            <color indexed="81"/>
            <rFont val="Tahoma"/>
            <family val="2"/>
          </rPr>
          <t xml:space="preserve">
</t>
        </r>
      </text>
    </comment>
    <comment ref="B144" authorId="0" shapeId="0" xr:uid="{00000000-0006-0000-0900-000031000000}">
      <text>
        <r>
          <rPr>
            <sz val="11"/>
            <color indexed="81"/>
            <rFont val="Tahoma"/>
            <family val="2"/>
          </rPr>
          <t xml:space="preserve">Note that a negative figure indicates that the emissions intensity has increased. </t>
        </r>
        <r>
          <rPr>
            <b/>
            <sz val="9"/>
            <color indexed="81"/>
            <rFont val="Tahoma"/>
            <family val="2"/>
          </rPr>
          <t xml:space="preserve">
</t>
        </r>
        <r>
          <rPr>
            <sz val="9"/>
            <color indexed="81"/>
            <rFont val="Tahoma"/>
            <family val="2"/>
          </rPr>
          <t xml:space="preserve">
</t>
        </r>
      </text>
    </comment>
    <comment ref="B145" authorId="0" shapeId="0" xr:uid="{98234602-9673-477D-B2FD-1CA235F4987B}">
      <text>
        <r>
          <rPr>
            <sz val="11"/>
            <color indexed="81"/>
            <rFont val="Tahoma"/>
            <family val="2"/>
          </rPr>
          <t xml:space="preserve">Note that a negative figure indicates that the emissions intensity has increased. </t>
        </r>
        <r>
          <rPr>
            <b/>
            <sz val="9"/>
            <color indexed="81"/>
            <rFont val="Tahoma"/>
            <family val="2"/>
          </rPr>
          <t xml:space="preserve">
</t>
        </r>
        <r>
          <rPr>
            <sz val="9"/>
            <color indexed="81"/>
            <rFont val="Tahoma"/>
            <family val="2"/>
          </rPr>
          <t xml:space="preserve">
</t>
        </r>
      </text>
    </comment>
    <comment ref="C182" authorId="0" shapeId="0" xr:uid="{00000000-0006-0000-0900-000032000000}">
      <text>
        <r>
          <rPr>
            <sz val="11"/>
            <color indexed="81"/>
            <rFont val="Tahoma"/>
            <family val="2"/>
          </rPr>
          <t>Changes to the baseline farm system may come with additional expenses.  For example, if milk production per cow is increased, there is likely to be higher electricity expenses to harvest this milk.  In addition, how is this additional milk production per cow achieved?  Is it through improved genetic gain which needs to be costed.</t>
        </r>
        <r>
          <rPr>
            <sz val="9"/>
            <color indexed="81"/>
            <rFont val="Tahoma"/>
            <family val="2"/>
          </rPr>
          <t xml:space="preserve">
</t>
        </r>
      </text>
    </comment>
    <comment ref="C184" authorId="0" shapeId="0" xr:uid="{00000000-0006-0000-0900-000033000000}">
      <text>
        <r>
          <rPr>
            <sz val="11"/>
            <color indexed="81"/>
            <rFont val="Tahoma"/>
            <family val="2"/>
          </rPr>
          <t>Does the change in  farm system result in any reduction in expenses?  This represents additional income for the strategy farm system and needs to be incorporated.</t>
        </r>
        <r>
          <rPr>
            <sz val="9"/>
            <color indexed="81"/>
            <rFont val="Tahoma"/>
            <family val="2"/>
          </rPr>
          <t xml:space="preserve">
</t>
        </r>
      </text>
    </comment>
    <comment ref="C186" authorId="0" shapeId="0" xr:uid="{00000000-0006-0000-0900-000034000000}">
      <text>
        <r>
          <rPr>
            <sz val="11"/>
            <color indexed="81"/>
            <rFont val="Tahoma"/>
            <family val="2"/>
          </rPr>
          <t>Does the change in farm system result in additional milk production?  Or maybe a reduction in milk production?  This needs to be valued and incorporated into the economic implications of changing the baseline farm system.</t>
        </r>
        <r>
          <rPr>
            <sz val="9"/>
            <color indexed="81"/>
            <rFont val="Tahoma"/>
            <family val="2"/>
          </rPr>
          <t xml:space="preserve">
</t>
        </r>
      </text>
    </comment>
    <comment ref="C188" authorId="4" shapeId="0" xr:uid="{00000000-0006-0000-0900-000035000000}">
      <text>
        <r>
          <rPr>
            <sz val="11"/>
            <color indexed="81"/>
            <rFont val="Tahoma"/>
            <family val="2"/>
          </rPr>
          <t xml:space="preserve">Enter the farm price received from the CFI for a tonne of CO2-e.  </t>
        </r>
        <r>
          <rPr>
            <sz val="8"/>
            <color indexed="81"/>
            <rFont val="Tahoma"/>
            <family val="2"/>
          </rPr>
          <t xml:space="preserve">
</t>
        </r>
      </text>
    </comment>
    <comment ref="C190" authorId="0" shapeId="0" xr:uid="{00000000-0006-0000-0900-000036000000}">
      <text>
        <r>
          <rPr>
            <sz val="11"/>
            <color indexed="81"/>
            <rFont val="Tahoma"/>
            <family val="2"/>
          </rPr>
          <t>If figure reflects the income achieved if the changes to the baseline farm system qualified for a carbon credit.</t>
        </r>
        <r>
          <rPr>
            <sz val="9"/>
            <color indexed="81"/>
            <rFont val="Tahoma"/>
            <family val="2"/>
          </rPr>
          <t xml:space="preserve">
</t>
        </r>
      </text>
    </comment>
    <comment ref="C192" authorId="0" shapeId="0" xr:uid="{00000000-0006-0000-0900-000037000000}">
      <text>
        <r>
          <rPr>
            <sz val="11"/>
            <color indexed="81"/>
            <rFont val="Tahoma"/>
            <family val="2"/>
          </rPr>
          <t>This figure represents the net change in expenses associated with implementing changes to the baseline farm system.  If the changes cost more than any saved expenses, then the number will be positive to indicate a net increase in expenses.  However, if the changes result in a greater saving in expenses than the cost of implementation, the figure will be a negative figure.</t>
        </r>
        <r>
          <rPr>
            <sz val="9"/>
            <color indexed="81"/>
            <rFont val="Tahoma"/>
            <family val="2"/>
          </rPr>
          <t xml:space="preserve">
</t>
        </r>
      </text>
    </comment>
    <comment ref="C194" authorId="0" shapeId="0" xr:uid="{00000000-0006-0000-0900-000038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C196" authorId="0" shapeId="0" xr:uid="{00000000-0006-0000-0900-000039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C198" authorId="0" shapeId="0" xr:uid="{00000000-0006-0000-0900-00003A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M403" authorId="2" shapeId="0" xr:uid="{00000000-0006-0000-0900-00003D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434" authorId="2" shapeId="0" xr:uid="{00000000-0006-0000-0900-00003E000000}">
      <text>
        <r>
          <rPr>
            <sz val="8"/>
            <color indexed="81"/>
            <rFont val="Tahoma"/>
            <family val="2"/>
          </rPr>
          <t>MMS = the fraction of AE that is managed in the different manure management systems (except for pasture range and paddock)</t>
        </r>
      </text>
    </comment>
    <comment ref="B437" authorId="2" shapeId="0" xr:uid="{00000000-0006-0000-0900-00003F000000}">
      <text>
        <r>
          <rPr>
            <sz val="8"/>
            <color indexed="81"/>
            <rFont val="Tahoma"/>
            <family val="2"/>
          </rPr>
          <t>E = total emissions of nitrous oxide from the different manure management systems (except for pasture range and paddock)</t>
        </r>
      </text>
    </comment>
    <comment ref="B439" authorId="2" shapeId="0" xr:uid="{00000000-0006-0000-0900-000040000000}">
      <text>
        <r>
          <rPr>
            <sz val="8"/>
            <color indexed="81"/>
            <rFont val="Tahoma"/>
            <family val="2"/>
          </rPr>
          <t>Except for pasture range and paddock</t>
        </r>
      </text>
    </comment>
    <comment ref="M539" authorId="2" shapeId="0" xr:uid="{00000000-0006-0000-0900-000041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3" authorId="0" shapeId="0" xr:uid="{00000000-0006-0000-0B00-000001000000}">
      <text>
        <r>
          <rPr>
            <sz val="8"/>
            <color indexed="81"/>
            <rFont val="Tahoma"/>
            <family val="2"/>
          </rPr>
          <t>Enter the likely average daily liveweight gain (kg/day) for each class of animal in the herd.</t>
        </r>
      </text>
    </comment>
    <comment ref="C13" authorId="1" shapeId="0" xr:uid="{00000000-0006-0000-0B00-000002000000}">
      <text>
        <r>
          <rPr>
            <sz val="8"/>
            <color indexed="81"/>
            <rFont val="Tahoma"/>
            <family val="2"/>
          </rPr>
          <t xml:space="preserve">Can be referenced back to DGAS
</t>
        </r>
      </text>
    </comment>
    <comment ref="B18" authorId="1" shapeId="0" xr:uid="{00000000-0006-0000-0B00-000003000000}">
      <text>
        <r>
          <rPr>
            <sz val="11"/>
            <color indexed="81"/>
            <rFont val="Tahoma"/>
            <family val="2"/>
          </rPr>
          <t>This is the percentage change in amount of energy that goes to methane. For example if % GE intake as methane in 7% and you enter a percentage change of 10% then the new %GE intake is 6.3%. This is calculated as 7 * (100-10)% = 6.3%</t>
        </r>
        <r>
          <rPr>
            <sz val="8"/>
            <color indexed="81"/>
            <rFont val="Tahoma"/>
            <family val="2"/>
          </rPr>
          <t xml:space="preserve">
  </t>
        </r>
      </text>
    </comment>
    <comment ref="B20" authorId="1" shapeId="0" xr:uid="{00000000-0006-0000-0B00-000004000000}">
      <text>
        <r>
          <rPr>
            <sz val="11"/>
            <color indexed="81"/>
            <rFont val="Tahoma"/>
            <family val="2"/>
          </rPr>
          <t>Enter the cost implementing the strategy on per cow basis for a year. For example if the vaccine cost $5.00 per cow and needs to be given only once year enter $5.00.</t>
        </r>
        <r>
          <rPr>
            <sz val="8"/>
            <color indexed="81"/>
            <rFont val="Tahoma"/>
            <family val="2"/>
          </rPr>
          <t xml:space="preserve">
</t>
        </r>
      </text>
    </comment>
    <comment ref="B22" authorId="1" shapeId="0" xr:uid="{00000000-0006-0000-0B00-000005000000}">
      <text>
        <r>
          <rPr>
            <sz val="11"/>
            <color indexed="81"/>
            <rFont val="Tahoma"/>
            <family val="2"/>
          </rPr>
          <t xml:space="preserve">This is percentage of the energy that is not used a methane that could be used for milk production.  Research tells us that this number is very low, if at all. </t>
        </r>
        <r>
          <rPr>
            <sz val="8"/>
            <color indexed="81"/>
            <rFont val="Tahoma"/>
            <family val="2"/>
          </rPr>
          <t xml:space="preserve">
</t>
        </r>
      </text>
    </comment>
    <comment ref="B24" authorId="2" shapeId="0" xr:uid="{00000000-0006-0000-0B00-000006000000}">
      <text>
        <r>
          <rPr>
            <sz val="11"/>
            <color indexed="81"/>
            <rFont val="Tahoma"/>
            <family val="2"/>
          </rPr>
          <t>How many days per year is the strategy effective in reducing enteric CH4 emissions</t>
        </r>
      </text>
    </comment>
    <comment ref="B26" authorId="1" shapeId="0" xr:uid="{00000000-0006-0000-0B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28" authorId="1" shapeId="0" xr:uid="{00000000-0006-0000-0B00-000008000000}">
      <text>
        <r>
          <rPr>
            <sz val="11"/>
            <color indexed="81"/>
            <rFont val="Tahoma"/>
            <family val="2"/>
          </rPr>
          <t xml:space="preserve">Enter the farm price received from the ERF/CSF for a tonne of CO2-e.  </t>
        </r>
        <r>
          <rPr>
            <sz val="8"/>
            <color indexed="81"/>
            <rFont val="Tahoma"/>
            <family val="2"/>
          </rPr>
          <t xml:space="preserve">
</t>
        </r>
      </text>
    </comment>
    <comment ref="B33" authorId="2" shapeId="0" xr:uid="{00000000-0006-0000-0B00-000009000000}">
      <text>
        <r>
          <rPr>
            <sz val="11"/>
            <color indexed="81"/>
            <rFont val="Tahoma"/>
            <family val="2"/>
          </rPr>
          <t xml:space="preserve">Negative number indicates that enteric methane emissions have increased </t>
        </r>
      </text>
    </comment>
    <comment ref="B34" authorId="3" shapeId="0" xr:uid="{00000000-0006-0000-0B00-00000A000000}">
      <text>
        <r>
          <rPr>
            <sz val="11"/>
            <color indexed="81"/>
            <rFont val="Tahoma"/>
            <family val="2"/>
          </rPr>
          <t>Negative numbers indicate waste methane has increased</t>
        </r>
        <r>
          <rPr>
            <sz val="9"/>
            <color indexed="81"/>
            <rFont val="Tahoma"/>
            <family val="2"/>
          </rPr>
          <t xml:space="preserve">
</t>
        </r>
      </text>
    </comment>
    <comment ref="B35" authorId="3" shapeId="0" xr:uid="{00000000-0006-0000-0B00-00000B000000}">
      <text>
        <r>
          <rPr>
            <sz val="11"/>
            <color indexed="81"/>
            <rFont val="Tahoma"/>
            <family val="2"/>
          </rPr>
          <t>Negative numbers indicate waste nitrous oxide emissions have  increased</t>
        </r>
        <r>
          <rPr>
            <sz val="9"/>
            <color indexed="81"/>
            <rFont val="Tahoma"/>
            <family val="2"/>
          </rPr>
          <t xml:space="preserve">
</t>
        </r>
      </text>
    </comment>
    <comment ref="B36" authorId="3" shapeId="0" xr:uid="{00000000-0006-0000-0B00-00000C000000}">
      <text>
        <r>
          <rPr>
            <sz val="11"/>
            <color indexed="81"/>
            <rFont val="Tahoma"/>
            <family val="2"/>
          </rPr>
          <t xml:space="preserve">Negative numbers indicate N fertiliser nitrous oxide emissions have  increased
</t>
        </r>
      </text>
    </comment>
    <comment ref="B37" authorId="3" shapeId="0" xr:uid="{00000000-0006-0000-0B00-00000D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8" authorId="3" shapeId="0" xr:uid="{00000000-0006-0000-0B00-00000E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39" authorId="3" shapeId="0" xr:uid="{00000000-0006-0000-0B00-00000F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0" authorId="3" shapeId="0" xr:uid="{00000000-0006-0000-0B00-000010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1" authorId="3" shapeId="0" xr:uid="{00000000-0006-0000-0B00-000011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2" authorId="3" shapeId="0" xr:uid="{00000000-0006-0000-0B00-000012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3" authorId="3" shapeId="0" xr:uid="{00000000-0006-0000-0B00-000013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Karen Christie</author>
    <author>rrawnsle</author>
    <author>karenc1</author>
  </authors>
  <commentList>
    <comment ref="B15" authorId="0" shapeId="0" xr:uid="{00000000-0006-0000-1200-000001000000}">
      <text>
        <r>
          <rPr>
            <sz val="11"/>
            <color indexed="81"/>
            <rFont val="Tahoma"/>
            <family val="2"/>
          </rPr>
          <t>This figure needs entering as it is not linked to the baseline farm data entered.</t>
        </r>
        <r>
          <rPr>
            <sz val="9"/>
            <color indexed="81"/>
            <rFont val="Tahoma"/>
            <family val="2"/>
          </rPr>
          <t xml:space="preserve">
</t>
        </r>
      </text>
    </comment>
    <comment ref="B16" authorId="0" shapeId="0" xr:uid="{00000000-0006-0000-1200-000002000000}">
      <text>
        <r>
          <rPr>
            <sz val="11"/>
            <color indexed="81"/>
            <rFont val="Tahoma"/>
            <family val="2"/>
          </rPr>
          <t>This figure needs entering as it is not linked to the baseline farm data entered.</t>
        </r>
        <r>
          <rPr>
            <sz val="9"/>
            <color indexed="81"/>
            <rFont val="Tahoma"/>
            <family val="2"/>
          </rPr>
          <t xml:space="preserve">
</t>
        </r>
      </text>
    </comment>
    <comment ref="B18" authorId="0" shapeId="0" xr:uid="{00000000-0006-0000-1200-000003000000}">
      <text>
        <r>
          <rPr>
            <sz val="11"/>
            <color indexed="81"/>
            <rFont val="Tahoma"/>
            <family val="2"/>
          </rPr>
          <t>The user needs to enter the average number of lactations before culling for the herd here.</t>
        </r>
        <r>
          <rPr>
            <sz val="9"/>
            <color indexed="81"/>
            <rFont val="Tahoma"/>
            <family val="2"/>
          </rPr>
          <t xml:space="preserve">
</t>
        </r>
      </text>
    </comment>
    <comment ref="B20" authorId="0" shapeId="0" xr:uid="{00000000-0006-0000-1200-000004000000}">
      <text>
        <r>
          <rPr>
            <sz val="11"/>
            <color indexed="81"/>
            <rFont val="Tahoma"/>
            <family val="2"/>
          </rPr>
          <t>With this strategy, we have assumed the same calving data for the standard and extended lactations.  The date format should be as such 10/09/2013</t>
        </r>
        <r>
          <rPr>
            <sz val="9"/>
            <color indexed="81"/>
            <rFont val="Tahoma"/>
            <family val="2"/>
          </rPr>
          <t xml:space="preserve">
</t>
        </r>
      </text>
    </comment>
    <comment ref="B22" authorId="1" shapeId="0" xr:uid="{00000000-0006-0000-1200-000005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24" authorId="1" shapeId="0" xr:uid="{00000000-0006-0000-1200-000006000000}">
      <text>
        <r>
          <rPr>
            <sz val="11"/>
            <color indexed="81"/>
            <rFont val="Tahoma"/>
            <family val="2"/>
          </rPr>
          <t>What is the daily milk production per day for the extended lactation herd during their subsequent lactations (litres/cow.day)</t>
        </r>
        <r>
          <rPr>
            <sz val="8"/>
            <color indexed="81"/>
            <rFont val="Tahoma"/>
            <family val="2"/>
          </rPr>
          <t xml:space="preserve">
  </t>
        </r>
      </text>
    </comment>
    <comment ref="B26" authorId="1" shapeId="0" xr:uid="{00000000-0006-0000-1200-000007000000}">
      <text>
        <r>
          <rPr>
            <sz val="11"/>
            <color indexed="81"/>
            <rFont val="Tahoma"/>
            <family val="2"/>
          </rPr>
          <t xml:space="preserve">Average number of days for each extended lactation.  If calving every 18 months, this is approximately 485 days milking with approximately 60 days dry.  If calving every 2 years, this is 730 days between calving so cows might milk for 670 days with 60 days dry </t>
        </r>
        <r>
          <rPr>
            <sz val="8"/>
            <color indexed="81"/>
            <rFont val="Tahoma"/>
            <family val="2"/>
          </rPr>
          <t xml:space="preserve">
</t>
        </r>
      </text>
    </comment>
    <comment ref="B28" authorId="2" shapeId="0" xr:uid="{00000000-0006-0000-1200-000008000000}">
      <text>
        <r>
          <rPr>
            <sz val="11"/>
            <color indexed="81"/>
            <rFont val="Tahoma"/>
            <family val="2"/>
          </rPr>
          <t xml:space="preserve">See previous comment.  </t>
        </r>
      </text>
    </comment>
    <comment ref="B30" authorId="0" shapeId="0" xr:uid="{00000000-0006-0000-1200-000009000000}">
      <text>
        <r>
          <rPr>
            <sz val="11"/>
            <color indexed="81"/>
            <rFont val="Tahoma"/>
            <family val="2"/>
          </rPr>
          <t>Approx number of extended lactations before each cow is culled.  To best compare this strategy, it is best to have the cows in the extended lactation system present on the farm for a similar length of time as the baseline farm system.  For example, compare six lactations of 10 months for the baseline farm with either three lactations of 22 months and 2 months dry (calving every 2nd year) or four lactations of 16 months and 2 months dry (calving every 19 months)</t>
        </r>
        <r>
          <rPr>
            <sz val="8"/>
            <color indexed="81"/>
            <rFont val="Tahoma"/>
            <family val="2"/>
          </rPr>
          <t xml:space="preserve">
</t>
        </r>
      </text>
    </comment>
    <comment ref="B32" authorId="0" shapeId="0" xr:uid="{00000000-0006-0000-1200-00000A000000}">
      <text>
        <r>
          <rPr>
            <sz val="11"/>
            <color indexed="81"/>
            <rFont val="Tahoma"/>
            <family val="2"/>
          </rPr>
          <t>While there be any implementation expenses with this strategy?  Extending the lactation length means that the milker spends a greater time producing milk.  Therefore their intakes will be higher than if they only milk for 10 months and spend 2 months per year dry.  Will the farmer need to increase grain inputs or supplementary feeding as the cows may be milking through times of the year where pasture supply is reduced?  For example, dairy farmers traditionally calved in late winter/ early spring so that by the time autumn comes around, milk production has declined and therefore reliance on pasture supply has also diminished.  However, if by extending the lactation to 18 months, by autumn the cows are only half way through their lactation and may require additional high energy supplements such as grain to maintain their lactation curve.  Users need to make this judgement and enter a price for this.</t>
        </r>
      </text>
    </comment>
    <comment ref="B33" authorId="0" shapeId="0" xr:uid="{00000000-0006-0000-1200-00000B000000}">
      <text>
        <r>
          <rPr>
            <b/>
            <sz val="10"/>
            <color indexed="81"/>
            <rFont val="Tahoma"/>
            <family val="2"/>
          </rPr>
          <t>Karen Christie:</t>
        </r>
        <r>
          <rPr>
            <sz val="9"/>
            <color indexed="81"/>
            <rFont val="Tahoma"/>
            <family val="2"/>
          </rPr>
          <t xml:space="preserve">
</t>
        </r>
      </text>
    </comment>
    <comment ref="B34" authorId="1" shapeId="0" xr:uid="{00000000-0006-0000-1200-00000C000000}">
      <text>
        <r>
          <rPr>
            <sz val="11"/>
            <color indexed="81"/>
            <rFont val="Tahoma"/>
            <family val="2"/>
          </rPr>
          <t xml:space="preserve">Enter you average milk price over the whole year based on $ per litre. </t>
        </r>
        <r>
          <rPr>
            <sz val="8"/>
            <color indexed="81"/>
            <rFont val="Tahoma"/>
            <family val="2"/>
          </rPr>
          <t xml:space="preserve">
</t>
        </r>
      </text>
    </comment>
    <comment ref="B36" authorId="1" shapeId="0" xr:uid="{0080AD6C-CDB1-4C05-A6A3-67B37055358E}">
      <text>
        <r>
          <rPr>
            <sz val="11"/>
            <color indexed="81"/>
            <rFont val="Tahoma"/>
            <family val="2"/>
          </rPr>
          <t xml:space="preserve">Enter the farm price received from the ERF/CSF for a tonne of CO2-e.  </t>
        </r>
        <r>
          <rPr>
            <sz val="8"/>
            <color indexed="81"/>
            <rFont val="Tahoma"/>
            <family val="2"/>
          </rPr>
          <t xml:space="preserve">
</t>
        </r>
      </text>
    </comment>
    <comment ref="B39" authorId="1" shapeId="0" xr:uid="{00000000-0006-0000-1200-00000E000000}">
      <text>
        <r>
          <rPr>
            <sz val="11"/>
            <color indexed="81"/>
            <rFont val="Tahoma"/>
            <family val="2"/>
          </rPr>
          <t>This is the estimated additional milk that could be produced from the extended lactation per cow over her lifetime in the milking herd</t>
        </r>
        <r>
          <rPr>
            <sz val="8"/>
            <color indexed="81"/>
            <rFont val="Tahoma"/>
            <family val="2"/>
          </rPr>
          <t xml:space="preserve">
</t>
        </r>
      </text>
    </comment>
    <comment ref="B42" authorId="2" shapeId="0" xr:uid="{00000000-0006-0000-1200-00000F000000}">
      <text>
        <r>
          <rPr>
            <sz val="11"/>
            <color indexed="81"/>
            <rFont val="Tahoma"/>
            <family val="2"/>
          </rPr>
          <t xml:space="preserve">Negative number indicates that enteric methane emissions have increased </t>
        </r>
      </text>
    </comment>
    <comment ref="B43" authorId="0" shapeId="0" xr:uid="{00000000-0006-0000-1200-000010000000}">
      <text>
        <r>
          <rPr>
            <sz val="11"/>
            <color indexed="81"/>
            <rFont val="Tahoma"/>
            <family val="2"/>
          </rPr>
          <t>Negative numbers indicate waste methane has increased</t>
        </r>
        <r>
          <rPr>
            <sz val="9"/>
            <color indexed="81"/>
            <rFont val="Tahoma"/>
            <family val="2"/>
          </rPr>
          <t xml:space="preserve">
</t>
        </r>
      </text>
    </comment>
    <comment ref="B44" authorId="0" shapeId="0" xr:uid="{00000000-0006-0000-1200-000011000000}">
      <text>
        <r>
          <rPr>
            <sz val="11"/>
            <color indexed="81"/>
            <rFont val="Tahoma"/>
            <family val="2"/>
          </rPr>
          <t>Negative numbers indicate waste nitrous oxide emissions have  increased</t>
        </r>
        <r>
          <rPr>
            <sz val="9"/>
            <color indexed="81"/>
            <rFont val="Tahoma"/>
            <family val="2"/>
          </rPr>
          <t xml:space="preserve">
</t>
        </r>
      </text>
    </comment>
    <comment ref="B45" authorId="0" shapeId="0" xr:uid="{00000000-0006-0000-1200-000012000000}">
      <text>
        <r>
          <rPr>
            <sz val="11"/>
            <color indexed="81"/>
            <rFont val="Tahoma"/>
            <family val="2"/>
          </rPr>
          <t xml:space="preserve">Negative numbers indicate N fertiliser nitrous oxide emissions have  increased
</t>
        </r>
      </text>
    </comment>
    <comment ref="B46" authorId="0" shapeId="0" xr:uid="{00000000-0006-0000-1200-000013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7" authorId="0" shapeId="0" xr:uid="{00000000-0006-0000-1200-000014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8" authorId="0" shapeId="0" xr:uid="{00000000-0006-0000-1200-000015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9" authorId="0" shapeId="0" xr:uid="{00000000-0006-0000-1200-000016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0" authorId="0" shapeId="0" xr:uid="{00000000-0006-0000-1200-000017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1" authorId="0" shapeId="0" xr:uid="{00000000-0006-0000-1200-000018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2" authorId="0" shapeId="0" xr:uid="{F00585F4-D9AF-4347-93E8-F5BECC73B19A}">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63" authorId="1" shapeId="0" xr:uid="{00000000-0006-0000-1200-00001D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64" authorId="1" shapeId="0" xr:uid="{00000000-0006-0000-1200-00001E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65" authorId="1" shapeId="0" xr:uid="{00000000-0006-0000-1200-00001F000000}">
      <text>
        <r>
          <rPr>
            <sz val="8"/>
            <color indexed="81"/>
            <rFont val="Tahoma"/>
            <family val="2"/>
          </rPr>
          <t xml:space="preserve">This is percentage of the energy that is not used a methane that could be used for milk production. 
</t>
        </r>
      </text>
    </comment>
    <comment ref="B66" authorId="2" shapeId="0" xr:uid="{00000000-0006-0000-1200-000020000000}">
      <text>
        <r>
          <rPr>
            <b/>
            <sz val="8"/>
            <color indexed="81"/>
            <rFont val="Tahoma"/>
            <family val="2"/>
          </rPr>
          <t>karenc1:</t>
        </r>
        <r>
          <rPr>
            <sz val="8"/>
            <color indexed="81"/>
            <rFont val="Tahoma"/>
            <family val="2"/>
          </rPr>
          <t xml:space="preserve">
How many days per year is the strategy effective in reducing enteric CH4 emissions</t>
        </r>
      </text>
    </comment>
    <comment ref="B68" authorId="1" shapeId="0" xr:uid="{00000000-0006-0000-1200-000021000000}">
      <text>
        <r>
          <rPr>
            <sz val="8"/>
            <color indexed="81"/>
            <rFont val="Tahoma"/>
            <family val="2"/>
          </rPr>
          <t xml:space="preserve">Enter you average milk price for season in $ per litre. 
</t>
        </r>
      </text>
    </comment>
    <comment ref="B69" authorId="1" shapeId="0" xr:uid="{00000000-0006-0000-1200-000022000000}">
      <text>
        <r>
          <rPr>
            <sz val="8"/>
            <color indexed="81"/>
            <rFont val="Tahoma"/>
            <family val="2"/>
          </rPr>
          <t xml:space="preserve">Enter the farm price received from the CFI for a tonne of CO2-e.  (Provide some more detail here)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rrawnsle</author>
    <author>Karen Christie</author>
    <author>karenc1</author>
  </authors>
  <commentList>
    <comment ref="B15" authorId="0" shapeId="0" xr:uid="{00000000-0006-0000-1300-000001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17" authorId="0" shapeId="0" xr:uid="{00000000-0006-0000-1300-000002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19" authorId="1" shapeId="0" xr:uid="{00000000-0006-0000-1300-000003000000}">
      <text>
        <r>
          <rPr>
            <sz val="11"/>
            <color indexed="81"/>
            <rFont val="Tahoma"/>
            <family val="2"/>
          </rPr>
          <t xml:space="preserve">Dairy Australia's "Heifers on Target" booklet published in 2013 suggests that heifers cost between $1300 and $1500 (exc labour) to rear a heifer to 24 months of age. Since then the price of raising heifers has likely risen higher due to a range of factors.   
We've assumed half this cost is incurred between 0 and 1 year of age and the other half is incurred between 1 and 2 years of age.    </t>
        </r>
      </text>
    </comment>
    <comment ref="B21" authorId="0" shapeId="0" xr:uid="{00000000-0006-0000-1300-000004000000}">
      <text>
        <r>
          <rPr>
            <sz val="11"/>
            <color indexed="81"/>
            <rFont val="Tahoma"/>
            <family val="2"/>
          </rPr>
          <t xml:space="preserve">Enter you average milk price over the whole year based on $ per litre. </t>
        </r>
        <r>
          <rPr>
            <sz val="8"/>
            <color indexed="81"/>
            <rFont val="Tahoma"/>
            <family val="2"/>
          </rPr>
          <t xml:space="preserve">
</t>
        </r>
      </text>
    </comment>
    <comment ref="B23" authorId="0" shapeId="0" xr:uid="{86B565DA-ABBB-4CBF-98AA-3C07961DEB4E}">
      <text>
        <r>
          <rPr>
            <sz val="11"/>
            <color indexed="81"/>
            <rFont val="Tahoma"/>
            <family val="2"/>
          </rPr>
          <t xml:space="preserve">Enter the farm price received from the ERF/CSF for a tonne of CO2-e.  </t>
        </r>
        <r>
          <rPr>
            <sz val="8"/>
            <color indexed="81"/>
            <rFont val="Tahoma"/>
            <family val="2"/>
          </rPr>
          <t xml:space="preserve">
</t>
        </r>
      </text>
    </comment>
    <comment ref="B29" authorId="2" shapeId="0" xr:uid="{00000000-0006-0000-1300-000006000000}">
      <text>
        <r>
          <rPr>
            <sz val="11"/>
            <color indexed="81"/>
            <rFont val="Tahoma"/>
            <family val="2"/>
          </rPr>
          <t xml:space="preserve">Negative number indicates that enteric methane emissions have increased </t>
        </r>
      </text>
    </comment>
    <comment ref="B30" authorId="1" shapeId="0" xr:uid="{00000000-0006-0000-1300-000007000000}">
      <text>
        <r>
          <rPr>
            <sz val="11"/>
            <color indexed="81"/>
            <rFont val="Tahoma"/>
            <family val="2"/>
          </rPr>
          <t>Negative numbers indicate waste methane has increased</t>
        </r>
        <r>
          <rPr>
            <sz val="9"/>
            <color indexed="81"/>
            <rFont val="Tahoma"/>
            <family val="2"/>
          </rPr>
          <t xml:space="preserve">
</t>
        </r>
      </text>
    </comment>
    <comment ref="B31" authorId="1" shapeId="0" xr:uid="{00000000-0006-0000-1300-000008000000}">
      <text>
        <r>
          <rPr>
            <sz val="11"/>
            <color indexed="81"/>
            <rFont val="Tahoma"/>
            <family val="2"/>
          </rPr>
          <t>Negative numbers indicate waste nitrous oxide emissions have  increased</t>
        </r>
        <r>
          <rPr>
            <sz val="9"/>
            <color indexed="81"/>
            <rFont val="Tahoma"/>
            <family val="2"/>
          </rPr>
          <t xml:space="preserve">
</t>
        </r>
      </text>
    </comment>
    <comment ref="B32" authorId="1" shapeId="0" xr:uid="{00000000-0006-0000-1300-000009000000}">
      <text>
        <r>
          <rPr>
            <sz val="11"/>
            <color indexed="81"/>
            <rFont val="Tahoma"/>
            <family val="2"/>
          </rPr>
          <t xml:space="preserve">Negative numbers indicate N fertiliser nitrous oxide emissions have  increased
</t>
        </r>
      </text>
    </comment>
    <comment ref="B33" authorId="1" shapeId="0" xr:uid="{00000000-0006-0000-1300-00000A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4" authorId="1" shapeId="0" xr:uid="{00000000-0006-0000-1300-00000B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35" authorId="1" shapeId="0" xr:uid="{00000000-0006-0000-1300-00000C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36" authorId="1" shapeId="0" xr:uid="{00000000-0006-0000-1300-00000D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37" authorId="1" shapeId="0" xr:uid="{00000000-0006-0000-1300-00000E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38" authorId="1" shapeId="0" xr:uid="{00000000-0006-0000-1300-00000F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39" authorId="1" shapeId="0" xr:uid="{0F2DDB6A-911D-48E9-B3C7-A79BAEC740D9}">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50" authorId="0" shapeId="0" xr:uid="{00000000-0006-0000-1300-000014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51" authorId="0" shapeId="0" xr:uid="{00000000-0006-0000-1300-000015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53" authorId="0" shapeId="0" xr:uid="{00000000-0006-0000-1300-000016000000}">
      <text>
        <r>
          <rPr>
            <sz val="8"/>
            <color indexed="81"/>
            <rFont val="Tahoma"/>
            <family val="2"/>
          </rPr>
          <t xml:space="preserve">Enter you average milk price for season in $ per litre. 
</t>
        </r>
      </text>
    </comment>
    <comment ref="B54" authorId="0" shapeId="0" xr:uid="{00000000-0006-0000-1300-000017000000}">
      <text>
        <r>
          <rPr>
            <sz val="8"/>
            <color indexed="81"/>
            <rFont val="Tahoma"/>
            <family val="2"/>
          </rPr>
          <t xml:space="preserve">Enter the farm price received from the CFI for a tonne of CO2-e.  (Provide some more detail here)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5" authorId="0" shapeId="0" xr:uid="{00000000-0006-0000-0C00-000001000000}">
      <text>
        <r>
          <rPr>
            <sz val="8"/>
            <color indexed="81"/>
            <rFont val="Tahoma"/>
            <family val="2"/>
          </rPr>
          <t>Enter the likely average daily liveweight gain (kg/day) for each class of animal in the herd.</t>
        </r>
      </text>
    </comment>
    <comment ref="C15" authorId="1" shapeId="0" xr:uid="{00000000-0006-0000-0C00-000002000000}">
      <text>
        <r>
          <rPr>
            <sz val="8"/>
            <color indexed="81"/>
            <rFont val="Tahoma"/>
            <family val="2"/>
          </rPr>
          <t xml:space="preserve">Can be referenced back to DGAS
</t>
        </r>
      </text>
    </comment>
    <comment ref="B21" authorId="2" shapeId="0" xr:uid="{00000000-0006-0000-0C00-000003000000}">
      <text>
        <r>
          <rPr>
            <sz val="11"/>
            <color indexed="81"/>
            <rFont val="Tahoma"/>
            <family val="2"/>
          </rPr>
          <t xml:space="preserve">Dryland summer/autumn pasture-based diets are generally 2-3% so can safely feed an additional 3-4% </t>
        </r>
      </text>
    </comment>
    <comment ref="B23" authorId="2" shapeId="0" xr:uid="{00000000-0006-0000-0C00-000004000000}">
      <text>
        <r>
          <rPr>
            <sz val="8"/>
            <color indexed="81"/>
            <rFont val="Tahoma"/>
            <family val="2"/>
          </rPr>
          <t>Intake estimated from the above data entries (i.e. weight, live  weight gain, milk production etc)</t>
        </r>
      </text>
    </comment>
    <comment ref="B25" authorId="3" shapeId="0" xr:uid="{00000000-0006-0000-0C00-000005000000}">
      <text>
        <r>
          <rPr>
            <sz val="11"/>
            <color indexed="81"/>
            <rFont val="Tahoma"/>
            <family val="2"/>
          </rPr>
          <t>With this strategy we are replacing one low fat supplement with another and feeding the same rate.</t>
        </r>
        <r>
          <rPr>
            <sz val="9"/>
            <color indexed="81"/>
            <rFont val="Tahoma"/>
            <family val="2"/>
          </rPr>
          <t xml:space="preserve">
</t>
        </r>
      </text>
    </comment>
    <comment ref="B41" authorId="3" shapeId="0" xr:uid="{00000000-0006-0000-0C00-000006000000}">
      <text>
        <r>
          <rPr>
            <sz val="11"/>
            <color indexed="81"/>
            <rFont val="Tahoma"/>
            <family val="2"/>
          </rPr>
          <t>When entering the price of the new high dietary fat supplement, consider if there are any additional costs associated with feeding out the supplement.  For example, if the low dietary fat supplement was silage which needed a tractor and labour to feed out but now the high fat supplement is fed through the dairy, there is a reduction in feed-out expenses.  The implementation expenses is the difference between the two supplements and may be a negative figure if the cost of the high fat supplement is lower than the low dietary fat supplement that is being replaced..  This then essentially becomes another source of income as its a saved expense.</t>
        </r>
        <r>
          <rPr>
            <sz val="9"/>
            <color indexed="81"/>
            <rFont val="Tahoma"/>
            <family val="2"/>
          </rPr>
          <t xml:space="preserve">
</t>
        </r>
      </text>
    </comment>
    <comment ref="B45" authorId="1" shapeId="0" xr:uid="{00000000-0006-0000-0C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47" authorId="2" shapeId="0" xr:uid="{00000000-0006-0000-0C00-000008000000}">
      <text>
        <r>
          <rPr>
            <sz val="11"/>
            <color indexed="81"/>
            <rFont val="Tahoma"/>
            <family val="2"/>
          </rPr>
          <t xml:space="preserve">High fat supplements generally fed when milk price is higher than the annual average milk price (e.g. 40c/litre year round but 42.5 c/litre over summer).  Enter via the up/down arrows 0.40 in the previous cell and 0.425 in this cell 
</t>
        </r>
      </text>
    </comment>
    <comment ref="B49" authorId="1" shapeId="0" xr:uid="{06619371-35A6-45D8-8133-8901857197C1}">
      <text>
        <r>
          <rPr>
            <sz val="11"/>
            <color indexed="81"/>
            <rFont val="Tahoma"/>
            <family val="2"/>
          </rPr>
          <t xml:space="preserve">Enter the farm price received from the ERF/CSF for a tonne of CO2-e.  </t>
        </r>
        <r>
          <rPr>
            <sz val="8"/>
            <color indexed="81"/>
            <rFont val="Tahoma"/>
            <family val="2"/>
          </rPr>
          <t xml:space="preserve">
</t>
        </r>
      </text>
    </comment>
    <comment ref="B52" authorId="2" shapeId="0" xr:uid="{00000000-0006-0000-0C00-00000A000000}">
      <text>
        <r>
          <rPr>
            <sz val="11"/>
            <color indexed="81"/>
            <rFont val="Tahoma"/>
            <family val="2"/>
          </rPr>
          <t>Any diet with a dietary fat % of greater than 7% will adversely affect milk production.  If a message "TOO HIGH" appears indicating the diet is too high and to feed lower levels, either the amount of supplement fed needs reducing or the fat content of the new supplement needs reducing or a combination of these options.</t>
        </r>
      </text>
    </comment>
    <comment ref="B55" authorId="2" shapeId="0" xr:uid="{00000000-0006-0000-0C00-00000B000000}">
      <text>
        <r>
          <rPr>
            <sz val="11"/>
            <color indexed="81"/>
            <rFont val="Tahoma"/>
            <family val="2"/>
          </rPr>
          <t xml:space="preserve">Negative number indicates that enteric methane emissions have increased </t>
        </r>
      </text>
    </comment>
    <comment ref="B56" authorId="3" shapeId="0" xr:uid="{00000000-0006-0000-0C00-00000C000000}">
      <text>
        <r>
          <rPr>
            <sz val="11"/>
            <color indexed="81"/>
            <rFont val="Tahoma"/>
            <family val="2"/>
          </rPr>
          <t>Negative numbers indicate waste methane has increased.  This increase will be deducted from any decrease in enteric methane.  Any reduction in waste methane will show up as 0 as this can't be credited under the current ERF methodology.</t>
        </r>
        <r>
          <rPr>
            <sz val="9"/>
            <color indexed="81"/>
            <rFont val="Tahoma"/>
            <family val="2"/>
          </rPr>
          <t xml:space="preserve">
</t>
        </r>
      </text>
    </comment>
    <comment ref="B57" authorId="3" shapeId="0" xr:uid="{00000000-0006-0000-0C00-00000D000000}">
      <text>
        <r>
          <rPr>
            <sz val="11"/>
            <color indexed="81"/>
            <rFont val="Tahoma"/>
            <family val="2"/>
          </rPr>
          <t xml:space="preserve">Negative numbers indicate waste nitrous oxide has increased.  This increase will be deducted from any decrease in enteric methane.  Any reduction in waste nitrous oxide will show up as 0 as this can't be credited under the current ERF methodology.
</t>
        </r>
        <r>
          <rPr>
            <sz val="9"/>
            <color indexed="81"/>
            <rFont val="Tahoma"/>
            <family val="2"/>
          </rPr>
          <t xml:space="preserve">
</t>
        </r>
      </text>
    </comment>
    <comment ref="B58" authorId="3" shapeId="0" xr:uid="{00000000-0006-0000-0C00-00000E000000}">
      <text>
        <r>
          <rPr>
            <sz val="11"/>
            <color indexed="81"/>
            <rFont val="Tahoma"/>
            <family val="2"/>
          </rPr>
          <t xml:space="preserve">Negative numbers indicate N fertiliser nitrous oxide emissions have  increased
</t>
        </r>
      </text>
    </comment>
    <comment ref="B59" authorId="3" shapeId="0" xr:uid="{00000000-0006-0000-0C00-00000F000000}">
      <text>
        <r>
          <rPr>
            <sz val="11"/>
            <color indexed="81"/>
            <rFont val="Tahoma"/>
            <family val="2"/>
          </rPr>
          <t xml:space="preserve">Only the reduction in enteric methane minus any increase in waste or N fertiliser emissions can be credited.
</t>
        </r>
        <r>
          <rPr>
            <sz val="9"/>
            <color indexed="81"/>
            <rFont val="Tahoma"/>
            <family val="2"/>
          </rPr>
          <t xml:space="preserve">
</t>
        </r>
      </text>
    </comment>
    <comment ref="B60" authorId="3" shapeId="0" xr:uid="{00000000-0006-0000-0C00-000010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61" authorId="3" shapeId="0" xr:uid="{00000000-0006-0000-0C00-000011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62" authorId="3" shapeId="0" xr:uid="{00000000-0006-0000-0C00-000012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63" authorId="3" shapeId="0" xr:uid="{00000000-0006-0000-0C00-000013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64" authorId="3" shapeId="0" xr:uid="{00000000-0006-0000-0C00-000014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65" authorId="3" shapeId="0" xr:uid="{273410A8-154B-410F-B694-17ACDC8755A9}">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an abatement strategy resulted in an additional net total farm benefit of $1000 per annum once the changes in income and expenses were taken into consideration. If the baseline milk income was $100,000 per annum, then the Carbon credit total farm benefit income, as a percentage of milk income would be 1%.   </t>
        </r>
        <r>
          <rPr>
            <sz val="9"/>
            <color indexed="81"/>
            <rFont val="Tahoma"/>
            <family val="2"/>
          </rPr>
          <t xml:space="preserve">
</t>
        </r>
      </text>
    </comment>
    <comment ref="B316" authorId="4" shapeId="0" xr:uid="{00000000-0006-0000-0C00-000019000000}">
      <text>
        <r>
          <rPr>
            <sz val="8"/>
            <color indexed="81"/>
            <rFont val="Tahoma"/>
            <family val="2"/>
          </rPr>
          <t>MMS = the fraction of AE that is managed in the different manure management systems (except for pasture range and paddock)</t>
        </r>
      </text>
    </comment>
    <comment ref="B319" authorId="4" shapeId="0" xr:uid="{00000000-0006-0000-0C00-00001A000000}">
      <text>
        <r>
          <rPr>
            <sz val="8"/>
            <color indexed="81"/>
            <rFont val="Tahoma"/>
            <family val="2"/>
          </rPr>
          <t>E = total emissions of nitrous oxide from the different manure management systems (except for pasture range and paddock)</t>
        </r>
      </text>
    </comment>
    <comment ref="B321" authorId="4" shapeId="0" xr:uid="{00000000-0006-0000-0C00-00001B000000}">
      <text>
        <r>
          <rPr>
            <sz val="8"/>
            <color indexed="81"/>
            <rFont val="Tahoma"/>
            <family val="2"/>
          </rPr>
          <t>Except for pasture range and paddock</t>
        </r>
      </text>
    </comment>
  </commentList>
</comments>
</file>

<file path=xl/sharedStrings.xml><?xml version="1.0" encoding="utf-8"?>
<sst xmlns="http://schemas.openxmlformats.org/spreadsheetml/2006/main" count="9259" uniqueCount="2172">
  <si>
    <t>Methane Calculation</t>
  </si>
  <si>
    <t>Feed Intake =</t>
  </si>
  <si>
    <t>Energy for Milk =</t>
  </si>
  <si>
    <t>= Milk Production x 3.054 MJ Net Energy/kg milk / 0.6 / (0.00795 DMD - 0.0014)/18.4</t>
  </si>
  <si>
    <t>Gross Energy Intake =</t>
  </si>
  <si>
    <t>GEI = (I x 18.4)</t>
  </si>
  <si>
    <t>Intake relative to maintenance</t>
  </si>
  <si>
    <t>L =I ÷ (1.185 + 0.00454W - 0.0000026W2 + 0.315LWG)2; where LWG=0)</t>
  </si>
  <si>
    <t>% gross energy intake as methane =</t>
  </si>
  <si>
    <t xml:space="preserve">Y = 1.3 + 0.112D + L(2.37 - 0.050D) </t>
  </si>
  <si>
    <t>Daily Methane Yield =</t>
  </si>
  <si>
    <t>Daily Methane Yield =(kg CH4/hd/d)</t>
  </si>
  <si>
    <t>Cow nos</t>
  </si>
  <si>
    <t>Methane loss (kg)</t>
  </si>
  <si>
    <t>Grand Total - Enteric tCO2-e</t>
  </si>
  <si>
    <t>Enter live weight gain (kg/day)</t>
  </si>
  <si>
    <t>Estimated additional milk produced (litres/farm)</t>
  </si>
  <si>
    <t>Estimated total farm benefit from strategy ($ per farm)</t>
  </si>
  <si>
    <t>Benefit as stand alone abatement ($ per farm)</t>
  </si>
  <si>
    <t>Implementation cost</t>
  </si>
  <si>
    <t>Additional milk income</t>
  </si>
  <si>
    <t>Total farm benefit</t>
  </si>
  <si>
    <t>Additional energy (MJ/day)</t>
  </si>
  <si>
    <t>Additional milk (litres/cow/day)</t>
  </si>
  <si>
    <t>New diet digestibility (%DMD)</t>
  </si>
  <si>
    <t>Total change in emissions (t CO2e)</t>
  </si>
  <si>
    <t>Baseline energy (MJ/day)</t>
  </si>
  <si>
    <t>Strategy energy (MJ/day)</t>
  </si>
  <si>
    <t>Nitrogen fertiliser applied to pastures (t/annum)</t>
  </si>
  <si>
    <t>Baseline indirect N2O emissions from N fertiliser (leached)</t>
  </si>
  <si>
    <t>Baseline direct N2O emissions from N fertilisers (t CO2e/annum)</t>
  </si>
  <si>
    <t>Baseline total direct and indirect N2O emissions from N fertiliser (t CO2e/annum)</t>
  </si>
  <si>
    <t>ME of current</t>
  </si>
  <si>
    <t>ME of diet total</t>
  </si>
  <si>
    <t>Digestibility of new diet</t>
  </si>
  <si>
    <t>ME of new diet</t>
  </si>
  <si>
    <t xml:space="preserve">ME total </t>
  </si>
  <si>
    <t>Additional ME</t>
  </si>
  <si>
    <t>% fat of new diet</t>
  </si>
  <si>
    <t>Change in % fat</t>
  </si>
  <si>
    <t>Estimate intake new diet</t>
  </si>
  <si>
    <t>New milk production figure</t>
  </si>
  <si>
    <t>Methane production from kg DM eaten (kg CH4)</t>
  </si>
  <si>
    <t>Crude protein intake (CPI)</t>
  </si>
  <si>
    <t>ME</t>
  </si>
  <si>
    <t>The amount of nitrogen that is retained by the body (NRijk g/head/day)</t>
  </si>
  <si>
    <t>z relative size</t>
  </si>
  <si>
    <t>U = (CPI/6.25 x 1000) - NR - F - [(1.1 x 10-4  x W0.75)/6.25 x 1000]</t>
  </si>
  <si>
    <t>Nitrogen excreted in Urine g/head/day</t>
  </si>
  <si>
    <t>Digestibility</t>
  </si>
  <si>
    <t>Intake estimate</t>
  </si>
  <si>
    <t>Curvature</t>
  </si>
  <si>
    <t>Intake</t>
  </si>
  <si>
    <t xml:space="preserve">Enter % 'saved' energy that could be used for milk production </t>
  </si>
  <si>
    <t>Methane produced  (kg CH4/annum)</t>
  </si>
  <si>
    <t>Energy for 1 litre of milk (MJ)</t>
  </si>
  <si>
    <t>Litres produced per day</t>
  </si>
  <si>
    <t xml:space="preserve">Enter estimated fat content of the baseline diet (%) </t>
  </si>
  <si>
    <t>Enter amount of baseline supplement to be replaced (kg DM/cow.day)</t>
  </si>
  <si>
    <t>Enter cost of baseline supplement to be replaced ($/t DM)</t>
  </si>
  <si>
    <t>Enter digestibility of baseline supplement to be replaced  (%)</t>
  </si>
  <si>
    <t>Enter cost of new abatement strategy supplement ($/t DM)</t>
  </si>
  <si>
    <t xml:space="preserve">Enter number of days per year the new abatement supplement is fed </t>
  </si>
  <si>
    <t>Enter cost of implementing the abatement strategy  ($ per cow)</t>
  </si>
  <si>
    <t>Fat % of baseline diet without the fat supp to be replaced</t>
  </si>
  <si>
    <t xml:space="preserve">Enter estimated fat content of the current baseline diet (%) </t>
  </si>
  <si>
    <t xml:space="preserve">Enter estimated fat content of the supplement fed (%) </t>
  </si>
  <si>
    <t>Enter amount of additional supplement to be fed (kg DM/cow.day)</t>
  </si>
  <si>
    <t>Additional Milk (litres per cow)</t>
  </si>
  <si>
    <t>Enter cost of additional supplementary feed ($/t DM)</t>
  </si>
  <si>
    <t>Enter on farm price received for a t CO2e ($)</t>
  </si>
  <si>
    <t>Enter digestibility of the abatement strategy diet (%)</t>
  </si>
  <si>
    <t>Estimated change in daily diet intake (kg DM/cow.day)</t>
  </si>
  <si>
    <t>Estimated change in daily diet energy (MJ/cow.day)</t>
  </si>
  <si>
    <t>Source: Chapter 7 Animal intake and metabolism (IMJ Consultants: Armidale, Australia)</t>
  </si>
  <si>
    <t>Enter N fertiliser applied to pastures (t N/annum)</t>
  </si>
  <si>
    <t>Enter % reduction of N2O emissions with N inhibitor applied to fertiliser</t>
  </si>
  <si>
    <t>Enter efficacy of inhibitor coated fertiliser (%)</t>
  </si>
  <si>
    <t>Enter cost of uncoated fertiliser ($ / t N)</t>
  </si>
  <si>
    <t>Enter cost of coated fertiliser ($ / t N)</t>
  </si>
  <si>
    <t>Enter area of farm that the coated fertiliser is applied to (ha)</t>
  </si>
  <si>
    <t>Enter milk price ($/ litre)</t>
  </si>
  <si>
    <t>Reduction in enteric CH4 emissions (t CO2e/annum)</t>
  </si>
  <si>
    <t>Enter time cows spend grazing on pastures (% of year)</t>
  </si>
  <si>
    <t>Enter efficacy of nitrification inhibitor (%)</t>
  </si>
  <si>
    <t>Enter cost to implement strategy ($ per cow)</t>
  </si>
  <si>
    <t>Additional feed eaten (kg DM/annum)</t>
  </si>
  <si>
    <t>Methane Calculation (NECESSARY TO ESTIMATE DAILY INTAKES)</t>
  </si>
  <si>
    <t>Estimated additional milk income ($ per farm)</t>
  </si>
  <si>
    <t>Substitution rate</t>
  </si>
  <si>
    <t xml:space="preserve">Enter digestibility of the additional supplement fed (%) </t>
  </si>
  <si>
    <t>Enter estimated substitution rate (%)</t>
  </si>
  <si>
    <t>Enter % annual N fertiliser purchased that is coated with a N inhibitor</t>
  </si>
  <si>
    <t>Enter utilisation efficiency of additional pasture (%)</t>
  </si>
  <si>
    <t>Estimate current baseline daily intake (kg DM/cow.day)</t>
  </si>
  <si>
    <t>Enter number of days the fat source is fed (days/year)</t>
  </si>
  <si>
    <t>Enter number of days the supplement is fed (days /year)</t>
  </si>
  <si>
    <t>Estimated  change in ME intake (MJ/cow.day)</t>
  </si>
  <si>
    <t>Estimated fat content of the abatement strategy diet (%)</t>
  </si>
  <si>
    <t>Enter number of days per year the inhibitor is effective (days/year)</t>
  </si>
  <si>
    <t>Enter feed quality of the additional pasture (MJ/kg DM)</t>
  </si>
  <si>
    <t xml:space="preserve">Enter estimated substitution rate </t>
  </si>
  <si>
    <t>Total milk income</t>
  </si>
  <si>
    <t>Enter crude protein of the new abatement strategy supplement (%)</t>
  </si>
  <si>
    <t>Enter digestibility of the new abatement strategy supplement (%)</t>
  </si>
  <si>
    <t>Enter fat content of the new abatement strategy supplement (%)</t>
  </si>
  <si>
    <t>Enter fat content of baseline supplement to be replaced (%)</t>
  </si>
  <si>
    <t>Enter milk price ($/ litre; value is actually in cents to allow for increments of single cents)</t>
  </si>
  <si>
    <t>Enter on farm price received for a t CO2e ($; value is 100 times greater to allow for increments for the up/down arrows)</t>
  </si>
  <si>
    <t xml:space="preserve">Implementation cost </t>
  </si>
  <si>
    <t xml:space="preserve">Additional milk income </t>
  </si>
  <si>
    <t xml:space="preserve">Enter estimated fat content of the baseline diet (%; value ten times higher to incorporate up/down arrows) </t>
  </si>
  <si>
    <t>Enter amount of baseline supplement to be replaced (kg DM/cow.day; value ten times higher to incorporate up/down arrows)</t>
  </si>
  <si>
    <t>Enter % reduction in enteric methane with the vaccine (value is tens times greater to incorporate up/down arrows)</t>
  </si>
  <si>
    <t>Enter cost of implementing the abatement strategy  ($ per cow; value is tens times greater to incorporate up/down arrows))</t>
  </si>
  <si>
    <t>Enter fat content of baseline supplement to be replaced (%; value ten times higher to incorporate up/down arrows)</t>
  </si>
  <si>
    <t>Enter digestibility of the new abatement strategy supplement (%; value ten times higher in incorporate up/down arrows)</t>
  </si>
  <si>
    <t>Enter average annual milk price ($/ litre)</t>
  </si>
  <si>
    <t>Enter milk price for when supplements fed ($/litre)</t>
  </si>
  <si>
    <t>Enter average annual milk price ($/ litre; value here reported as c/litre to allow increments of 1 cent/litre milk change)</t>
  </si>
  <si>
    <t>$/ litre; value here reported as c/litre to allow increments of 1 cent/litre milk change</t>
  </si>
  <si>
    <t>ME of diet total (MJ/day.head)</t>
  </si>
  <si>
    <t>Digestibility of new diet (%)</t>
  </si>
  <si>
    <t>Additional ME (MJ/cow.day)</t>
  </si>
  <si>
    <t>New milk production figure (litres/cow.day)</t>
  </si>
  <si>
    <t>Digestibility of diet from all sources minus the supplement being replaced</t>
  </si>
  <si>
    <t>Enter annual milk price ($/ litre)</t>
  </si>
  <si>
    <t>Enter seasonal milk price when supplement fed ($/litre)</t>
  </si>
  <si>
    <t>Estimate intake new diet (kg DMI/cow.day)</t>
  </si>
  <si>
    <t>ME of new diet (MJ/kg DM)</t>
  </si>
  <si>
    <t>Additional Milk (litres per cow.day)</t>
  </si>
  <si>
    <t xml:space="preserve">Enter estimated fat content of the current baseline diet (%; value ten times higher to incorporate up/down arrows) </t>
  </si>
  <si>
    <t>Indirect N2O emissions from leaching</t>
  </si>
  <si>
    <t>Direct N2O emissions</t>
  </si>
  <si>
    <t>% reduction</t>
  </si>
  <si>
    <t>ME of baseline diet ((DMD x 0.1604) - 1.037)</t>
  </si>
  <si>
    <t>Intake remains unchanged to baseline intake as 1:1 replacement</t>
  </si>
  <si>
    <t>Difference between strategy and baseline fat %</t>
  </si>
  <si>
    <t xml:space="preserve">Strategy GHG emissions for the period of time higher fat source fed x increase in % of fat in the diet x 3.5% reduction of methane for each 1% increase in diet fat %  </t>
  </si>
  <si>
    <t>Difference between strategy enteric CH4 (with changes to diet DMD taken into consideration) and the reduction in enteric CH4 due to feeding dietary fats</t>
  </si>
  <si>
    <t>Data for graph</t>
  </si>
  <si>
    <t>Difference between baseline and strategy % of GEI emitted as CH4 (as a % so this is why it is divided by 100) x baseline gross energy intake (MJ/cow.day) x % of energy available for milk production (as a % so this is why this is divided by 100)</t>
  </si>
  <si>
    <t>ME of baseline diet (MJ/kg DM) x daily intake (kg DM/cow.day)</t>
  </si>
  <si>
    <t>ME = ((Baseline DMD% x 0.1604) - 1.037)</t>
  </si>
  <si>
    <t>((Baseline intake (kg DM/cow.day) X DMD% of baseline diet) - (kg DM low fat supplement replaced x DMD% of low fat supplement replaced)) / (baseline intake (kg DM/cow.day) - kg DM of low fat supplement replaced)</t>
  </si>
  <si>
    <t>ME of strategy diet (MJ/kg DM) x daily intake (kg DM/cow.day)</t>
  </si>
  <si>
    <t>ME intake strategy diet - ME intake baseline diet (MJ/kg DM)</t>
  </si>
  <si>
    <t>Baseline milk (litres/cow.day) + additional strategy milk (litres/cow.day)</t>
  </si>
  <si>
    <t>((Baseline intake (kg DM/cow.day) x fat % of baseline diet) - (kg of low fat supplement to replaced x fat% of low fat supplement to be replaced)) / (baseline intake (kg DM/cow.day) - kg of low fat supplement to be replaced)</t>
  </si>
  <si>
    <t>((Fat % of baseline diet - fat % of the low fat supplement being replaced) /  baseline intake (kg DM/cow.day) + (fat % of new high fat supplement x kg DM of new high fat supplement) / strategy intake (kg DM/cow.day; which is same as baseline intake as 1:1 replacement)</t>
  </si>
  <si>
    <t>Up/down arrows</t>
  </si>
  <si>
    <r>
      <t>I = (1.185 + 0.00454W - 0.0000026W</t>
    </r>
    <r>
      <rPr>
        <i/>
        <vertAlign val="superscript"/>
        <sz val="10"/>
        <rFont val="Times New Roman"/>
        <family val="1"/>
      </rPr>
      <t>2</t>
    </r>
    <r>
      <rPr>
        <i/>
        <sz val="10"/>
        <rFont val="Times New Roman"/>
        <family val="1"/>
      </rPr>
      <t xml:space="preserve"> + 0.315LWG)</t>
    </r>
    <r>
      <rPr>
        <i/>
        <vertAlign val="superscript"/>
        <sz val="10"/>
        <rFont val="Times New Roman"/>
        <family val="1"/>
      </rPr>
      <t xml:space="preserve">2 </t>
    </r>
    <r>
      <rPr>
        <i/>
        <sz val="10"/>
        <rFont val="Times New Roman"/>
        <family val="1"/>
      </rPr>
      <t>* MR+ MI (MR = 1.1 for milkers and 1.0 for all other stock)</t>
    </r>
  </si>
  <si>
    <r>
      <t>MI = MP x NE / k / q</t>
    </r>
    <r>
      <rPr>
        <i/>
        <vertAlign val="subscript"/>
        <sz val="10"/>
        <rFont val="Times New Roman"/>
        <family val="1"/>
      </rPr>
      <t xml:space="preserve">m </t>
    </r>
    <r>
      <rPr>
        <i/>
        <sz val="10"/>
        <rFont val="Times New Roman"/>
        <family val="1"/>
      </rPr>
      <t>/ 18.4</t>
    </r>
  </si>
  <si>
    <t>Y = 1.3 + 0.112xDMD + Intake relative to maintenance (2.37 - 0.050xDMD)</t>
  </si>
  <si>
    <t>Baseline farm system</t>
  </si>
  <si>
    <t>Strategy farm system</t>
  </si>
  <si>
    <t>Difference between baseline diet methane production and strategy methane production with change in diet DMD and dietary fats taken into consideration</t>
  </si>
  <si>
    <t>Enter crude protein of the new abatement strategy supplement (%; value ten times higher to incorporate up/down arrows)</t>
  </si>
  <si>
    <t>Enter fat content of the new abatement strategy supplement (%; value ten times higher to incorporate up/down arrows)</t>
  </si>
  <si>
    <t>Changes in milk production</t>
  </si>
  <si>
    <t>Changes in fat % of the diet</t>
  </si>
  <si>
    <t>Change in milk production</t>
  </si>
  <si>
    <t>Change due to oils (t CO2e)</t>
  </si>
  <si>
    <t>New grand total (t CO2e)</t>
  </si>
  <si>
    <t>Change in Emissions (t CO2e)</t>
  </si>
  <si>
    <t>kg DM new supp + (kg DM baseline intake (kg DM/cow.day) - (kg DM new supp x substitution rate (as a fraction so why divided by 100))</t>
  </si>
  <si>
    <t>ME = ((Strategy DMD% x 0.1604) - 1.037)</t>
  </si>
  <si>
    <t xml:space="preserve">Fat % of baseline diet </t>
  </si>
  <si>
    <t>Fat % of the strategy diet</t>
  </si>
  <si>
    <t>((DMD% of new supp) x kg DM new supp / daily intake strategy diet (kg DM.cow.day)) + ((DMD% baseline diet + (daily intake strategy diet (kg DM/cow.day) - kg DM new supp) / daily intake strategy diet (kg DM.cow.day)</t>
  </si>
  <si>
    <t>((Fat % of new supp) x kg DM new supp / daily intake strategy diet (kg DM.cow.day)) + ((Fat % baseline diet + (daily intake strategy diet (kg DM/cow.day) - kg DM new supp) / daily intake strategy diet (kg DM.cow.day)</t>
  </si>
  <si>
    <t>Baseline farm system N2O emissions calculations</t>
  </si>
  <si>
    <t>CPIijk = Iijk x CPijk</t>
  </si>
  <si>
    <t>Nitrogen excreted in faeces</t>
  </si>
  <si>
    <t xml:space="preserve"> F = {0.3(CPI x (1-[(DMD+10)/100])) + 0.105(ME x I x 0.008) + (0.0152 x I)}/6.25 x 1000</t>
  </si>
  <si>
    <t>Urinary N x herd size x 365 days (Gg N/annum)</t>
  </si>
  <si>
    <t>ME = (DMD*0.1604)-1.037</t>
  </si>
  <si>
    <t>% reduction in total N2O emissions</t>
  </si>
  <si>
    <t>Total baseline N2O emissions for when cows are on pasture only</t>
  </si>
  <si>
    <t>Enter % annual N fertiliser purchased that is coated with an inhibitor</t>
  </si>
  <si>
    <t>Enter % reduction of N2O emissions with inhibitor applied to fertiliser</t>
  </si>
  <si>
    <t>Average annual milk price ($/litre)</t>
  </si>
  <si>
    <t>Enter seasonal milk price when inhibitor is used ($/litre)</t>
  </si>
  <si>
    <t>Sum of direct and indirect N2O emissions</t>
  </si>
  <si>
    <t>Difference in ME (MJ/cow.day)</t>
  </si>
  <si>
    <t>Converted into milk production based on 5.5 MJ/litre</t>
  </si>
  <si>
    <t>Baseline milk production + strategy additional milk production</t>
  </si>
  <si>
    <t>Calculations to determine the new daily intake based on the change in diet DMD and the methodology as incorporated into DairyMod (Johnson 2005)</t>
  </si>
  <si>
    <t>Max (as defined by the methodology)</t>
  </si>
  <si>
    <t>Min (as defined by the methodology)</t>
  </si>
  <si>
    <t>Baseline digestibility (% DM as a fraction)</t>
  </si>
  <si>
    <t>Strategy Digestibility (% DM as a fraction)</t>
  </si>
  <si>
    <t>Change in intake (kg DM/cow.day)</t>
  </si>
  <si>
    <t>Intake estimate (kg DM/cow.day)</t>
  </si>
  <si>
    <t>Baseline GHG emissions (t CO2e/annum)</t>
  </si>
  <si>
    <t>Strategy GHG emissions (t CO2e/annum)</t>
  </si>
  <si>
    <t>Methane loss over the number of days the strategy is implemented</t>
  </si>
  <si>
    <t>Reduction in N fertiliser N2O emissions (t CO2e/annum)</t>
  </si>
  <si>
    <t>Total reduction in farm GHG emissions (t CO2e/annum)</t>
  </si>
  <si>
    <t>Carbon price ($/ t CO2e)</t>
  </si>
  <si>
    <t xml:space="preserve">MJ of energy available for milk production/cow.day/ 5.5 MJ per litre milk </t>
  </si>
  <si>
    <t>Baseline N2O emissions x % fertiliser coated with the inhibitor x % of time inhibitor is effective x efficacy of the nitrification inhibitor</t>
  </si>
  <si>
    <t>Number of milkers x milk production per cow.day x 365 days</t>
  </si>
  <si>
    <t>Baseline direct and indirect N2O emissions</t>
  </si>
  <si>
    <t xml:space="preserve">Baseline milk production + additional milk produced </t>
  </si>
  <si>
    <t xml:space="preserve">additional grass (kg/ha) x utilisation rate of consuming the grass (as a %) x ha of land inhibitor fertiliser applied to </t>
  </si>
  <si>
    <t>Additional methane (t CO2 e/annum)</t>
  </si>
  <si>
    <t>Enter period of time the coated inhibitor is effective (days/annum)</t>
  </si>
  <si>
    <t>Total baseline N2O emissions (t CO2e/annum)</t>
  </si>
  <si>
    <t>Total strategy N2O emissions (t CO2e/annum)</t>
  </si>
  <si>
    <t>Total reduction in N2O emissions (t CO2e/annum)</t>
  </si>
  <si>
    <t>Total indirect leached from urinary N emitted from pastures (t CO2e/annum)</t>
  </si>
  <si>
    <t>Milking Cows</t>
  </si>
  <si>
    <t xml:space="preserve">Heifers &gt;1 </t>
  </si>
  <si>
    <t xml:space="preserve">Heifers &lt;1 </t>
  </si>
  <si>
    <t>Units</t>
  </si>
  <si>
    <t>Seasons</t>
  </si>
  <si>
    <t>Livestock numbers</t>
  </si>
  <si>
    <t>head</t>
  </si>
  <si>
    <t>Liveweight</t>
  </si>
  <si>
    <t>kg/head</t>
  </si>
  <si>
    <t>kg/day</t>
  </si>
  <si>
    <t>%</t>
  </si>
  <si>
    <t>Total</t>
  </si>
  <si>
    <t>ha</t>
  </si>
  <si>
    <t>Lagoon</t>
  </si>
  <si>
    <t>Solid storage</t>
  </si>
  <si>
    <t>Pasture</t>
  </si>
  <si>
    <t>Selected</t>
  </si>
  <si>
    <t>Solids storage</t>
  </si>
  <si>
    <t>Inventory reference</t>
  </si>
  <si>
    <t>Feed Intake</t>
  </si>
  <si>
    <t>kg DM/head/day</t>
  </si>
  <si>
    <t>Additional intake for milk production</t>
  </si>
  <si>
    <t>MP x 3.054 (MJ net energy/kg milk) / 0.6 / (0.00795 x DMD - 0.0014) / 18.4</t>
  </si>
  <si>
    <t>L = I / (1.185 + 0.00454 x W - 0.0000026 x W^2 + (0.315 x 0))^2</t>
  </si>
  <si>
    <t>Daily Methane Yield (M)</t>
  </si>
  <si>
    <t>kg CH4/head/day</t>
  </si>
  <si>
    <t>Annual Australian methane production (Gg) for all classes of dairy cattle across all states</t>
  </si>
  <si>
    <t>4A.1a_7</t>
  </si>
  <si>
    <t>Grand Total</t>
  </si>
  <si>
    <t>Gg CH4/year/farm</t>
  </si>
  <si>
    <t xml:space="preserve">Grand Total </t>
  </si>
  <si>
    <t>Gg CO2-e/year/farm</t>
  </si>
  <si>
    <t>t CO2-e/year/farm</t>
  </si>
  <si>
    <t>Data Input</t>
  </si>
  <si>
    <t>Ash content (A)</t>
  </si>
  <si>
    <t>fraction</t>
  </si>
  <si>
    <t>Emission potential (Bo)</t>
  </si>
  <si>
    <t>m3 CH4/kg VS</t>
  </si>
  <si>
    <t>Density of methane (r)</t>
  </si>
  <si>
    <t>kg/m3</t>
  </si>
  <si>
    <t xml:space="preserve">Volatile solids (VS) </t>
  </si>
  <si>
    <t>VS = I x (1 - DMD) x (1 - A)</t>
  </si>
  <si>
    <t>4B.1a_1</t>
  </si>
  <si>
    <t>kg/head/day</t>
  </si>
  <si>
    <t>Methane production from manure</t>
  </si>
  <si>
    <t xml:space="preserve">M = VS x Bo x MCF x r </t>
  </si>
  <si>
    <t>4B.1a_2</t>
  </si>
  <si>
    <t>MCF = Integrated methane conversion factor - based on the proportion  of different manure management regimes</t>
  </si>
  <si>
    <t>State</t>
  </si>
  <si>
    <t>The annual methane production (Gg) from the manure of dairy cattle</t>
  </si>
  <si>
    <t>4B.1a_3</t>
  </si>
  <si>
    <t>Grand total</t>
  </si>
  <si>
    <t>Gg CH4/farm/year</t>
  </si>
  <si>
    <t>Gg CO2-e/farm/year</t>
  </si>
  <si>
    <t>t CO2-e/farm/year</t>
  </si>
  <si>
    <t>Faecal nitrous oxide calculation</t>
  </si>
  <si>
    <t>The crude protein intake of dairy cattle</t>
  </si>
  <si>
    <t>CPI = I x CP</t>
  </si>
  <si>
    <t>4B.1a_4</t>
  </si>
  <si>
    <t>Nitrogen excreted in faeces (F)</t>
  </si>
  <si>
    <t>F = {0.3 x (CPI x (1 - [(DMD + 10) / 100])) + 0.105 x (ME x I x 0.008) + (0.0152 x I)} / 6.25</t>
  </si>
  <si>
    <t>4B.1a_5</t>
  </si>
  <si>
    <t xml:space="preserve">ME (Metabolisable energy) = 0.1604 x DMD - 1.037 </t>
  </si>
  <si>
    <t>1 / 6.25 = Factor for converting crude protein into nitrogen</t>
  </si>
  <si>
    <t>Nitrogen retained (NR) by the body</t>
  </si>
  <si>
    <t>4B.1a_6</t>
  </si>
  <si>
    <t>Table 6.A.7</t>
  </si>
  <si>
    <t>Heifers &gt;1</t>
  </si>
  <si>
    <t>Heifers &lt;1</t>
  </si>
  <si>
    <t>Dairy Bulls &gt;1</t>
  </si>
  <si>
    <t>Dairy Bulls &lt;1</t>
  </si>
  <si>
    <t>kg N/head/day</t>
  </si>
  <si>
    <t>Nitrogen excreted in urine (U)</t>
  </si>
  <si>
    <r>
      <t>U = (CPI / 6.25) - NR - F - [(1.1 x 10^-4</t>
    </r>
    <r>
      <rPr>
        <b/>
        <vertAlign val="superscript"/>
        <sz val="12"/>
        <rFont val="Times New Roman"/>
        <family val="1"/>
      </rPr>
      <t xml:space="preserve"> </t>
    </r>
    <r>
      <rPr>
        <b/>
        <sz val="12"/>
        <rFont val="Times New Roman"/>
        <family val="1"/>
      </rPr>
      <t xml:space="preserve"> x W^0.75) / 6.25]</t>
    </r>
  </si>
  <si>
    <t>4B.1a_7</t>
  </si>
  <si>
    <t>4B.1a_8a</t>
  </si>
  <si>
    <t>Gg N/farm/season</t>
  </si>
  <si>
    <t>4B.1a_8b</t>
  </si>
  <si>
    <t>AE =AF + AU</t>
  </si>
  <si>
    <t>The total emissions of nitrous oxide from different manure management systems (Total MMS)</t>
  </si>
  <si>
    <t>E = AE x MMS x EF x Cg</t>
  </si>
  <si>
    <t>Emission factor (EF) = N2O-N kg/N excreted for the different manure management systems</t>
  </si>
  <si>
    <t>MMS = The fraction of AE that is managed in different manure management systems</t>
  </si>
  <si>
    <t>Manure Management Systems  (MMS)</t>
  </si>
  <si>
    <t>EF (kg N20-N kg/N excreted)</t>
  </si>
  <si>
    <t>MMS = 8 Pasture range and paddock</t>
  </si>
  <si>
    <t>Gg N2O/farm/season</t>
  </si>
  <si>
    <t>Gg N2O/farm/year</t>
  </si>
  <si>
    <t>Z</t>
  </si>
  <si>
    <t>N Fertiliser crops</t>
  </si>
  <si>
    <t>N Fertiliser Pastures</t>
  </si>
  <si>
    <t>N2O emissions from synthetic fertiliser</t>
  </si>
  <si>
    <t>M = TM x FN</t>
  </si>
  <si>
    <t>4D1_1</t>
  </si>
  <si>
    <t>TM = total mass of fertiliser</t>
  </si>
  <si>
    <t>Gg N</t>
  </si>
  <si>
    <t>FN = fraction of N applied to production system</t>
  </si>
  <si>
    <t>Appendix 6.H.1</t>
  </si>
  <si>
    <t>Annual N2O emissions from the addition of synthetic fertiliser (E)</t>
  </si>
  <si>
    <t>E = (M x EF x Cg)</t>
  </si>
  <si>
    <t>Gg N2O</t>
  </si>
  <si>
    <t>4D1_2</t>
  </si>
  <si>
    <t>EF = Emission factor</t>
  </si>
  <si>
    <t>Gg N2O-N/Gg N</t>
  </si>
  <si>
    <t>Table 6.22</t>
  </si>
  <si>
    <t>Production system</t>
  </si>
  <si>
    <t>Emission factor</t>
  </si>
  <si>
    <t>Irrigated pasture</t>
  </si>
  <si>
    <t>Irrigated crop</t>
  </si>
  <si>
    <t>Non-irrigated pasture</t>
  </si>
  <si>
    <t>Non-irrigated crop</t>
  </si>
  <si>
    <t>Sugar cane</t>
  </si>
  <si>
    <t>Cotton</t>
  </si>
  <si>
    <t>Horticulture</t>
  </si>
  <si>
    <t>Grand total from fertiliser application</t>
  </si>
  <si>
    <t>N2O emissions from animal waste (manure) applied to soils</t>
  </si>
  <si>
    <t>The nitrogen content of animal manure applied to agricultural soils</t>
  </si>
  <si>
    <t>4D1_3</t>
  </si>
  <si>
    <t>AE = mass of nitrogen excreted</t>
  </si>
  <si>
    <t>N2O emissions from animal waste</t>
  </si>
  <si>
    <t>E = MN soil x EF x Cg</t>
  </si>
  <si>
    <t>4D1_4</t>
  </si>
  <si>
    <t xml:space="preserve">EF (manure) </t>
  </si>
  <si>
    <t>Biological nitrogen fixation</t>
  </si>
  <si>
    <t>M = P x R x DM x CC x NC</t>
  </si>
  <si>
    <t>4D1_5</t>
  </si>
  <si>
    <t>M = mass of N fixed by crops and pastures</t>
  </si>
  <si>
    <t>Not used currently</t>
  </si>
  <si>
    <t>P = annual production of crop</t>
  </si>
  <si>
    <t>Gg</t>
  </si>
  <si>
    <t>R = residue to crop ratio</t>
  </si>
  <si>
    <t>kg crop residue/kg crop</t>
  </si>
  <si>
    <t xml:space="preserve">DM = dry matter content </t>
  </si>
  <si>
    <t>kg dry weight/kg crop residue</t>
  </si>
  <si>
    <t>CC = mass fraction of carbon in crop residue</t>
  </si>
  <si>
    <t>NC = nitrogen to carbon ratio in crop residue</t>
  </si>
  <si>
    <t>Annual N2O production from N fixing crops</t>
  </si>
  <si>
    <t>E = M x EF x Cg</t>
  </si>
  <si>
    <t>4D1_6</t>
  </si>
  <si>
    <t>EF = 0.0125</t>
  </si>
  <si>
    <t>The application of crop residues</t>
  </si>
  <si>
    <t xml:space="preserve">The mass of N in crop residues returned to soils </t>
  </si>
  <si>
    <t>M = P x R x DM x CC x NC x (1- F - FFOD)</t>
  </si>
  <si>
    <t>4D1_7</t>
  </si>
  <si>
    <t>M = mass of N in crop residues</t>
  </si>
  <si>
    <t>F = fraction of the crop that is burnt</t>
  </si>
  <si>
    <t>FFOD = fraction of the crop that is removed</t>
  </si>
  <si>
    <t xml:space="preserve">Annual N2O production from crop residues </t>
  </si>
  <si>
    <t>4D1_8</t>
  </si>
  <si>
    <t>Annual N2O production from cultivation of histosols</t>
  </si>
  <si>
    <t>E = A x EF x Cg x 10^-6</t>
  </si>
  <si>
    <t>4D1_9</t>
  </si>
  <si>
    <t xml:space="preserve">A = area of cultivated histosols </t>
  </si>
  <si>
    <t>EF = 8</t>
  </si>
  <si>
    <t>kg N2O-N/ha</t>
  </si>
  <si>
    <t>Animal production</t>
  </si>
  <si>
    <t>The faecal and urinary nitrogen excreted on pasture and paddock</t>
  </si>
  <si>
    <t>4D2</t>
  </si>
  <si>
    <t>FN soil = AF x MMS</t>
  </si>
  <si>
    <t>4D2_1</t>
  </si>
  <si>
    <t>UN soil = AU x MMS</t>
  </si>
  <si>
    <t>4D2_2</t>
  </si>
  <si>
    <t>Total N2O production from animal waste voided in the field by grazing livestock</t>
  </si>
  <si>
    <t>E = (FN soil x EF x Cg) + (UN soil x EF x Cg)</t>
  </si>
  <si>
    <t>4D2_3</t>
  </si>
  <si>
    <t>EF (faeces)</t>
  </si>
  <si>
    <t>EF (urine)</t>
  </si>
  <si>
    <t>Total N2O emissions from manure, faeces and urine</t>
  </si>
  <si>
    <t>Atmospheric nitrogen deposition</t>
  </si>
  <si>
    <t>M = TM x FracGASF</t>
  </si>
  <si>
    <t>4D3_1</t>
  </si>
  <si>
    <t xml:space="preserve">M = mass of synthetic fertiliser volatilised </t>
  </si>
  <si>
    <t>Gg N/Gg applied</t>
  </si>
  <si>
    <t>Fertiliser</t>
  </si>
  <si>
    <t xml:space="preserve">The mass of animal waste volatilised </t>
  </si>
  <si>
    <t>4D3_2</t>
  </si>
  <si>
    <t>FracGASM = the fraction of N volatilised in each MMS</t>
  </si>
  <si>
    <t>Table 6.31</t>
  </si>
  <si>
    <t>Animal waste</t>
  </si>
  <si>
    <t>The mass of savanna burning and field burning of agricultural residue NOx-N emissions that volatilise (M)</t>
  </si>
  <si>
    <t>M = E / (46/14)</t>
  </si>
  <si>
    <t>4D3_3</t>
  </si>
  <si>
    <t>E = NOx emissions from savanna burning and field burning of agricultural residues</t>
  </si>
  <si>
    <t>Gg NOx</t>
  </si>
  <si>
    <t>46/14 = factor to convert elemental mass of NOx to molecular mass</t>
  </si>
  <si>
    <t>Annual N2O production from atmospheric deposition (indirect ammonia)</t>
  </si>
  <si>
    <t>4D3_4</t>
  </si>
  <si>
    <t>M = mass of N volatilised from subset k</t>
  </si>
  <si>
    <t>Total CO2-e emissions from indirect ammonia losses</t>
  </si>
  <si>
    <t>Leaching of organic nitrogen and subsequent denitrification in rivers and estuaries</t>
  </si>
  <si>
    <t>The mass of fertiliser N applied to soils that is lost through leaching and runoff (M)</t>
  </si>
  <si>
    <t>M = M x FracWET x FracLEACH</t>
  </si>
  <si>
    <t>4D3_5</t>
  </si>
  <si>
    <t>M = mass of fertiliser in each production system</t>
  </si>
  <si>
    <t>FracWET =</t>
  </si>
  <si>
    <t>Appendix 6.J.1</t>
  </si>
  <si>
    <t xml:space="preserve">FracLEACH = </t>
  </si>
  <si>
    <t>The mass of animal waste N applied to soils that is lost through leaching and runoff (M)</t>
  </si>
  <si>
    <t>M = (Mnsoil + UN soil + FN soil) x FracWET x FracLEACH</t>
  </si>
  <si>
    <t>4D3_6</t>
  </si>
  <si>
    <t>Mnsoil = mass of manure N applied to soils (animal wastes applied to soils)</t>
  </si>
  <si>
    <t>Unsoil = mass of urinary N applied to soils (animal production)</t>
  </si>
  <si>
    <t>Fnsoil =mass of faecal N applied to soils (animal production)</t>
  </si>
  <si>
    <t>Total N2O production from leaching and runoff</t>
  </si>
  <si>
    <t>4D3_7</t>
  </si>
  <si>
    <t>M = mass of N lost through leaching and runoff</t>
  </si>
  <si>
    <t>Total CO2-e emissions from leaching and runoff (indirect nitrate)</t>
  </si>
  <si>
    <t>Results</t>
  </si>
  <si>
    <t>Enteric fermentation</t>
  </si>
  <si>
    <t>Methane from waste</t>
  </si>
  <si>
    <t>Indirect N fertiliser</t>
  </si>
  <si>
    <t>Indirect N waste</t>
  </si>
  <si>
    <t>Direct N fertiliser</t>
  </si>
  <si>
    <t>N fertiliser</t>
  </si>
  <si>
    <t>Dung &amp; urine voided onto pastures</t>
  </si>
  <si>
    <t>Average liveweight of milking cow (kg)</t>
  </si>
  <si>
    <t>Average annual milk production (litres/cow.day)</t>
  </si>
  <si>
    <t>Enter crude protein of the baseline supplement to be replaced (%)</t>
  </si>
  <si>
    <t>Crude protein of diet from all sources minus the supplement being replaced</t>
  </si>
  <si>
    <t>Crude protein of new diet (%)</t>
  </si>
  <si>
    <t>((Baseline intake (kg DM/cow.day) X CP% of baseline diet) - (kg DM low fat supplement replaced x  CP% of low fat supplement replaced)) / (baseline intake (kg DM/cow.day) - kg DM of low fat supplement replaced)</t>
  </si>
  <si>
    <t>(ME = DMD x 0.134 + 1.23 + (0.235 x fat%))</t>
  </si>
  <si>
    <t>Annual</t>
  </si>
  <si>
    <t>Gg CH4/farm/annum</t>
  </si>
  <si>
    <t>AF = ∑ (365 x N x F) x 10^-6</t>
  </si>
  <si>
    <t>AU = ∑ (365 x N x U) x 10^-6</t>
  </si>
  <si>
    <t>Gg N/farm/annum</t>
  </si>
  <si>
    <t>Gg N2O/farm/annum</t>
  </si>
  <si>
    <t>Annum</t>
  </si>
  <si>
    <t>Waste Methane Calculation</t>
  </si>
  <si>
    <t>Enteric Methane Calculation</t>
  </si>
  <si>
    <t>Change in waste methane emissions (t CO2e/annum)</t>
  </si>
  <si>
    <t xml:space="preserve">Total annual faecal (AF) nitrogen excreted </t>
  </si>
  <si>
    <t>Total annual urinary (AU) nitrogen excreted</t>
  </si>
  <si>
    <t>Annual faecal and urinary nitrogen excreted (AE)</t>
  </si>
  <si>
    <t>Total N waste</t>
  </si>
  <si>
    <t>Nitrous oxide loss over the number of days the strategy is implemented</t>
  </si>
  <si>
    <t>Grand Total - Waste N2O tCO2-e</t>
  </si>
  <si>
    <t>Grand Total - Waste tCO2-e</t>
  </si>
  <si>
    <t>Milkers</t>
  </si>
  <si>
    <t>N2O (kg N2O/farm/annum)</t>
  </si>
  <si>
    <t>t CO2e/herd for the duration of the strategy</t>
  </si>
  <si>
    <t>Baseline</t>
  </si>
  <si>
    <t>Strategy</t>
  </si>
  <si>
    <t>Reduction in animal waste CH4 emissions (t CO2e/annum)</t>
  </si>
  <si>
    <t>Reduction in animal waste N2O emissions (t CO2e/annum)</t>
  </si>
  <si>
    <t>Current milk production (litres/cow.day)</t>
  </si>
  <si>
    <t>Digestibility of the baseline diet (%)</t>
  </si>
  <si>
    <t>Crude protein of the baseline diet (%)</t>
  </si>
  <si>
    <t>Enter crude protein of the additional supplement to be fed (%)</t>
  </si>
  <si>
    <t>Enter crude protein of the additional supplement fed (%)</t>
  </si>
  <si>
    <t>ME of current baseline diet total (MJ/cow.day)</t>
  </si>
  <si>
    <t>ME of current baseline diet (MJ/kg DMI; calculated from DMD of current diet)</t>
  </si>
  <si>
    <t>((CP% of new supp) x kg DM new supp / daily intake strategy diet (kg DM.cow.day)) + ((CP% baseline diet + (daily intake strategy diet (kg DM/cow.day) - kg DM new supp) / daily intake strategy diet (kg DM.cow.day)</t>
  </si>
  <si>
    <t>ME =(((baseline intake x (supp intake x substitution rate ))x ME baseline diet) + (Supp intake x ME supp))/ strategy intake</t>
  </si>
  <si>
    <t>ME of new diet (MJ/cow.day)</t>
  </si>
  <si>
    <t>Digestibility of the current baseline diet (%)</t>
  </si>
  <si>
    <t>Crude protein of current diet (%)</t>
  </si>
  <si>
    <t>Enter digestibility of the additional supplement (%)</t>
  </si>
  <si>
    <t>Enter crude protein of the additional supplement (%)</t>
  </si>
  <si>
    <t>Crude protein of new diet</t>
  </si>
  <si>
    <t>Enter crude protein of the abatement strategy diet (%)</t>
  </si>
  <si>
    <t>new diet ME (Mj/kg DM)</t>
  </si>
  <si>
    <t>Average liveweight of mature milking cow (kg)</t>
  </si>
  <si>
    <t>Average lactation length (days)</t>
  </si>
  <si>
    <t>Number of lactations before culling</t>
  </si>
  <si>
    <t>Enter average daily milk production during the 1st lactation (litres/cow.day)</t>
  </si>
  <si>
    <t>Enter average daily milk production during subsequent lactations (litres/cow.day)</t>
  </si>
  <si>
    <t>Enter average lactation length (days)</t>
  </si>
  <si>
    <t>Enter average days non-lactating (days)</t>
  </si>
  <si>
    <t>Nearest 100</t>
  </si>
  <si>
    <t>Energy MJ</t>
  </si>
  <si>
    <t>Liveweight gain</t>
  </si>
  <si>
    <t>Birth date</t>
  </si>
  <si>
    <t>Weight (kg)</t>
  </si>
  <si>
    <t>Date at 1st Calving</t>
  </si>
  <si>
    <t>Primiparous cow live weight at 1st Calving</t>
  </si>
  <si>
    <t>Average growth rate to 1st calving (kg per day)</t>
  </si>
  <si>
    <t>Nearest average daily GR</t>
  </si>
  <si>
    <t>Total Energy to 1st Calf (MJ)</t>
  </si>
  <si>
    <t>Sum</t>
  </si>
  <si>
    <t>Extended</t>
  </si>
  <si>
    <t>Liveweights</t>
  </si>
  <si>
    <t>1st Calving date</t>
  </si>
  <si>
    <t>Maintenance</t>
  </si>
  <si>
    <t>Primiparous weight (kg)</t>
  </si>
  <si>
    <t>Primiparous</t>
  </si>
  <si>
    <t>MJ/day</t>
  </si>
  <si>
    <t>Multiparous weight (kg)</t>
  </si>
  <si>
    <t>Month</t>
  </si>
  <si>
    <t>MJ/month</t>
  </si>
  <si>
    <t>Average Lactation length (days)</t>
  </si>
  <si>
    <t>Sixth</t>
  </si>
  <si>
    <t>Dry period (days)</t>
  </si>
  <si>
    <t>Seventh</t>
  </si>
  <si>
    <t>Average daily production primiparous (litres)</t>
  </si>
  <si>
    <t>Eight</t>
  </si>
  <si>
    <t>Lactation production primiparous (litres)</t>
  </si>
  <si>
    <t>Ninth</t>
  </si>
  <si>
    <t>Average daily production multiparous (litres)</t>
  </si>
  <si>
    <t>Total Energy (MJ)</t>
  </si>
  <si>
    <t>Lactation production multiparous (litres)</t>
  </si>
  <si>
    <t>Number of lactations</t>
  </si>
  <si>
    <t>Cull date</t>
  </si>
  <si>
    <t>Energy for growth (1st lactation to 2nd Lactation; MJ)</t>
  </si>
  <si>
    <t>Energy for milk 1st lactation (MJ; assuming 5.5 MJ/litre milk)</t>
  </si>
  <si>
    <t>Energy for milk multiparous (MJ)</t>
  </si>
  <si>
    <t>Pregnancy energy lifetime (MJ)</t>
  </si>
  <si>
    <t>Lifetime MJ</t>
  </si>
  <si>
    <t>MJ per litre Milk</t>
  </si>
  <si>
    <t>Lifetime GEI Intake (MJ assuming 11MJ/kg DMI)</t>
  </si>
  <si>
    <t>Methane (kg CH4 assuming 6.5% GEI lost as CH4)</t>
  </si>
  <si>
    <t>Methane (tonnes CH4 lifetime per cow)</t>
  </si>
  <si>
    <t>Methane (tonnes CO2 lifetime per cow)</t>
  </si>
  <si>
    <t>Herd number</t>
  </si>
  <si>
    <t>Number of calves raised per day</t>
  </si>
  <si>
    <t>Energy per day per replacement (MJ/day)</t>
  </si>
  <si>
    <t>Energy per day for replacements (MJ/day for all replacements)</t>
  </si>
  <si>
    <t xml:space="preserve">Lifetime energy for calf (MJ; calculated as replacement rate) </t>
  </si>
  <si>
    <t>Pregnancy energy (MJ)</t>
  </si>
  <si>
    <t>Estimated additional milk produced (litres/cow.lifetime)</t>
  </si>
  <si>
    <t>Estimated additional milk produced (litres/herd.annum)</t>
  </si>
  <si>
    <t>Days multiparous</t>
  </si>
  <si>
    <t>Energy for Maintenance multiparous (MJ)</t>
  </si>
  <si>
    <t>Conventional</t>
  </si>
  <si>
    <t>Pregnancy</t>
  </si>
  <si>
    <t>(kg liveweight)</t>
  </si>
  <si>
    <t>Daily Energy for Maintenance first lactation (MJ/day)</t>
  </si>
  <si>
    <t>Birth Weight (kg)</t>
  </si>
  <si>
    <t>Multiparous</t>
  </si>
  <si>
    <t>Enter average extended lactation length (days)</t>
  </si>
  <si>
    <t>Number of extended lactations before culling</t>
  </si>
  <si>
    <t>Days 1st calf to cull</t>
  </si>
  <si>
    <t>Average daily milk between 1st calf to cull</t>
  </si>
  <si>
    <t>Additional milk due to extended lactation (litres/annum)</t>
  </si>
  <si>
    <t xml:space="preserve">Emissions intensity per cow per lifetime </t>
  </si>
  <si>
    <t>Daily emissions per cow</t>
  </si>
  <si>
    <t>Yearly emissions per cow</t>
  </si>
  <si>
    <t>Yearly emissions per herd</t>
  </si>
  <si>
    <t>Difference in yearly CH4 emissions per herd per annum (kg CO2e/annum)</t>
  </si>
  <si>
    <t>Reduction in enteric CH4 emissions per herd per annum (t CO2e/annum)</t>
  </si>
  <si>
    <t>Average daily milk per cow per annum</t>
  </si>
  <si>
    <t>Calculations to allocate energy to raising calves to enter herd</t>
  </si>
  <si>
    <t>Choose the type of trees planted</t>
  </si>
  <si>
    <t>Carbon sequestration potential of trees</t>
  </si>
  <si>
    <t>Years</t>
  </si>
  <si>
    <t>High</t>
  </si>
  <si>
    <t>Med-High</t>
  </si>
  <si>
    <t>Med</t>
  </si>
  <si>
    <t>Med-Low</t>
  </si>
  <si>
    <t>Low</t>
  </si>
  <si>
    <t>Rainfall</t>
  </si>
  <si>
    <t>from</t>
  </si>
  <si>
    <t>to</t>
  </si>
  <si>
    <t>weight</t>
  </si>
  <si>
    <t>C content</t>
  </si>
  <si>
    <t>Counter</t>
  </si>
  <si>
    <t>mm/yr</t>
  </si>
  <si>
    <t>m3/ha/yr</t>
  </si>
  <si>
    <t>dry-tonne/ m3</t>
  </si>
  <si>
    <t>t CO2e/ha</t>
  </si>
  <si>
    <t>Pinus Radiata - Pine</t>
  </si>
  <si>
    <t>Generic hardwood</t>
  </si>
  <si>
    <t>Eucalyptus globulus - Blue gum</t>
  </si>
  <si>
    <t>Eucalyptus nitens - Shining gum</t>
  </si>
  <si>
    <t>Eucalyptus saligna - Sydney blue gum</t>
  </si>
  <si>
    <t>Eucalyptus grandis - Rose gum</t>
  </si>
  <si>
    <t>Comybia maculata - Spotted gum</t>
  </si>
  <si>
    <t>Mixed hardwoods</t>
  </si>
  <si>
    <t>Acacia melanoxylon - Blackwood</t>
  </si>
  <si>
    <t>Eucalyptus camaldulensis - River red gum</t>
  </si>
  <si>
    <t>Eucalyptus sideroxylon - Ironbark</t>
  </si>
  <si>
    <t>Eucalyptus cladocalyx - Sugar gum</t>
  </si>
  <si>
    <t>Casuarina cunninghamiana - She oak</t>
  </si>
  <si>
    <t>Rainfall Selection</t>
  </si>
  <si>
    <t>High (&gt;700)</t>
  </si>
  <si>
    <t>Med (500 - 700)</t>
  </si>
  <si>
    <t>Low (&lt;500)</t>
  </si>
  <si>
    <t>Energy - Fuel and Electricity</t>
  </si>
  <si>
    <t>Annual diesel consumption (F)</t>
  </si>
  <si>
    <t>L/year</t>
  </si>
  <si>
    <t>Energy density for diesel (D)</t>
  </si>
  <si>
    <t>Gg/kL</t>
  </si>
  <si>
    <t>Oxidation factor for CO2 (P)</t>
  </si>
  <si>
    <t>Emission factor for CO2 (ADO) (EF)</t>
  </si>
  <si>
    <t>Gg CO2/PJ</t>
  </si>
  <si>
    <t>Annual electricity use (F)</t>
  </si>
  <si>
    <t>kWh</t>
  </si>
  <si>
    <t>Emission factor (electricity) (EF)</t>
  </si>
  <si>
    <t>Tonnes CO2-e/KWh</t>
  </si>
  <si>
    <t>CO2 emissions from diesel use</t>
  </si>
  <si>
    <t>E = F x D x P x EF x 10^-6</t>
  </si>
  <si>
    <t>F = annual diesel consumption</t>
  </si>
  <si>
    <t>D = energy density for diesel</t>
  </si>
  <si>
    <t>P = oxidation factor for CO2</t>
  </si>
  <si>
    <t>Gg CO2</t>
  </si>
  <si>
    <t>CO2 emission factor for ADO</t>
  </si>
  <si>
    <t>g CO2/PJ</t>
  </si>
  <si>
    <t>CH4</t>
  </si>
  <si>
    <t>N2O</t>
  </si>
  <si>
    <t>NOx</t>
  </si>
  <si>
    <t>CO</t>
  </si>
  <si>
    <t>NMVOC</t>
  </si>
  <si>
    <t>SO2</t>
  </si>
  <si>
    <t>CO2 emissions from diesel use for non-CO2 gasses</t>
  </si>
  <si>
    <t>t CO2-e</t>
  </si>
  <si>
    <t>Total CO2-e emissions from diesel use</t>
  </si>
  <si>
    <t>CO2 emissions from electricity use</t>
  </si>
  <si>
    <t>E = F x EF</t>
  </si>
  <si>
    <t>F = Annual electricity use</t>
  </si>
  <si>
    <t>EF = emission factor</t>
  </si>
  <si>
    <t>Total CO2-e emissions from diesel and electricity</t>
  </si>
  <si>
    <t>Australian Current Best Performance for Fuel Class</t>
  </si>
  <si>
    <t>Fuel type</t>
  </si>
  <si>
    <t>Thermal efficiency (%)</t>
  </si>
  <si>
    <t>kg CO2/MWh</t>
  </si>
  <si>
    <t>t CO2/kWh</t>
  </si>
  <si>
    <t xml:space="preserve">Black Coal </t>
  </si>
  <si>
    <t xml:space="preserve">Brown Coal-Victorian </t>
  </si>
  <si>
    <t xml:space="preserve">Natural Gas-Steam </t>
  </si>
  <si>
    <t>Natural Gas-Turbine</t>
  </si>
  <si>
    <t xml:space="preserve">Diesel </t>
  </si>
  <si>
    <t>Cogen -Oil fired steam</t>
  </si>
  <si>
    <t>Hydro or other clean Power</t>
  </si>
  <si>
    <t>Sequestration</t>
  </si>
  <si>
    <t>Results for baseline farm system</t>
  </si>
  <si>
    <t xml:space="preserve">Dung &amp; urine voided </t>
  </si>
  <si>
    <t>Baseline farm GHG emissions estimations</t>
  </si>
  <si>
    <t>Total Maintenance first lactation (MJ)</t>
  </si>
  <si>
    <t>Enter number of heifers &lt; 1 yr age</t>
  </si>
  <si>
    <t>Enter number of heifers &gt; 1 yr age</t>
  </si>
  <si>
    <t>Heifers &lt; 1 yr age</t>
  </si>
  <si>
    <t>Heifers &gt; 1 yr age</t>
  </si>
  <si>
    <t>Estimated baseline replacement rate</t>
  </si>
  <si>
    <t>Estimated strategy replacement rate</t>
  </si>
  <si>
    <t xml:space="preserve">Enter number of heifers &gt; 1 yr age  </t>
  </si>
  <si>
    <t xml:space="preserve">Enter number of heifers &lt; 1 yr age  </t>
  </si>
  <si>
    <t>Heifer nos</t>
  </si>
  <si>
    <t>Grand total difference (t CO2e/annum)</t>
  </si>
  <si>
    <t>N2O (kg N2O/hd/annum)</t>
  </si>
  <si>
    <t>Nitrous oxide loss (kg N2O/annum)</t>
  </si>
  <si>
    <t>Grand Total - Waste N2O t CO2-e</t>
  </si>
  <si>
    <t xml:space="preserve">Difference between strategy and baseline enteric CH4 </t>
  </si>
  <si>
    <t xml:space="preserve">Difference between strategy and baseline waste CH4 </t>
  </si>
  <si>
    <t>Difference between strategy and baseline waste N2O</t>
  </si>
  <si>
    <t>Cost to raise heifers to point of entry</t>
  </si>
  <si>
    <t>Enter the price to raise a heifer calf to the point of joining the milking herd ($/head)</t>
  </si>
  <si>
    <t>Enter % reduction in enteric methane with management or breeding</t>
  </si>
  <si>
    <t>Change in income &amp; costs based on reduction in total farm GHG emissions ($ per annum)</t>
  </si>
  <si>
    <t>Changes in feed quality for GHG assessments (use the default NGGI equations)</t>
  </si>
  <si>
    <t>ME of strategy diet (DMD x 0.1604-1.037)</t>
  </si>
  <si>
    <t>Digestibility of strategy diet (%)</t>
  </si>
  <si>
    <t>Crude protein of strategy diet (%)</t>
  </si>
  <si>
    <t>Estimate intake strategy diet (kg DM/day)</t>
  </si>
  <si>
    <t>New milk production (litres/cow.day)</t>
  </si>
  <si>
    <t>Additional milk (litres/cow.day)</t>
  </si>
  <si>
    <t>ME of total strategy diet (MJ/cow.day)</t>
  </si>
  <si>
    <t>Assumed 5.5 MJ/litre milk</t>
  </si>
  <si>
    <t>Baseline intake (kg DM/cow.day)</t>
  </si>
  <si>
    <t>Baseline enteric methane (g CH4/kg DMI)</t>
  </si>
  <si>
    <t>Strategy intake (kg DM/cow.day)</t>
  </si>
  <si>
    <t>Grand total change (t CO2e/annum)</t>
  </si>
  <si>
    <t>grams fat per kg DMI taking into account a 2% wastage</t>
  </si>
  <si>
    <t>Daily Methane Yield (kg CH4/hd/d)</t>
  </si>
  <si>
    <t>kg CH4/cow.day</t>
  </si>
  <si>
    <t>Change in milk production based on high fat supplementation equations</t>
  </si>
  <si>
    <t>ME of new supplement (MJ/kg DM) based on ((ME = DMD x0.1604-1.037</t>
  </si>
  <si>
    <t>((DMD% of new supp) x kg DM new supp / daily intake strategy diet (kg DM.cow.day)) + ((DMD% baseline diet * (daily intake strategy diet (kg DM/cow.day) - kg DM new supp) / daily intake strategy diet (kg DM.cow.day)</t>
  </si>
  <si>
    <t>Change in milk production based on NGGI methodology equations</t>
  </si>
  <si>
    <t>Intake of original diet (kg DM/day)</t>
  </si>
  <si>
    <t>ME of baseline diet (MJ/kg DM)</t>
  </si>
  <si>
    <t>ME of new supplement (MJ/day)</t>
  </si>
  <si>
    <t>ME of original component feed of the strategy diet (MJ/day)</t>
  </si>
  <si>
    <t>Total ME of strategy diet (MJ/day)</t>
  </si>
  <si>
    <t>Total ME of  baseline diet (MJ/cow.day)</t>
  </si>
  <si>
    <t>Difference in ME (MJ/day)</t>
  </si>
  <si>
    <t>Baseline diet intake</t>
  </si>
  <si>
    <t>Intake of strategy diet new supplement (kg DM/day)</t>
  </si>
  <si>
    <t xml:space="preserve">ME of new supplement (MJ/kg DM) </t>
  </si>
  <si>
    <t>ME of supplementary feed  (MJ/kg DM) x daily intake (kg DM/cow.day)</t>
  </si>
  <si>
    <t>Intake of the original component of the diet not substituted (kg DM/day)</t>
  </si>
  <si>
    <t>ME of whole strategy diet minus ME of baseline diet</t>
  </si>
  <si>
    <t>Additional milk production (litres/day)</t>
  </si>
  <si>
    <t>Total milk production while activated (litres/day)</t>
  </si>
  <si>
    <t>Baseline milk plus strategy additional milk</t>
  </si>
  <si>
    <t>Enter estimated substitution rate (range between 0 and 1)</t>
  </si>
  <si>
    <t>Baseline number of milkers</t>
  </si>
  <si>
    <t>Enter number of days per annum the strategy is activated</t>
  </si>
  <si>
    <t>Enter DMD content of baseline supplement to be replaced (%; value ten times higher to incorporate up/down arrows)</t>
  </si>
  <si>
    <t>Enter CP content of baseline supplement to be replaced (%; value ten times higher to incorporate up/down arrows)</t>
  </si>
  <si>
    <t>Enter cost of the baseline supplement to be replaced ($)</t>
  </si>
  <si>
    <t>Enter price of the new abatement strategy supplement ($/t DM)</t>
  </si>
  <si>
    <t>Enter number of days per annum the new supplement is fed</t>
  </si>
  <si>
    <t>Number of days activated</t>
  </si>
  <si>
    <t>Cost of the new supplement ($/t DM)</t>
  </si>
  <si>
    <t>Days per annum effective</t>
  </si>
  <si>
    <t>Cost per annum</t>
  </si>
  <si>
    <t>Enter % of the year cows grazing pasture</t>
  </si>
  <si>
    <t>Enter days/annum the strategy is effective</t>
  </si>
  <si>
    <t>Enter efficacy of the NI (%)</t>
  </si>
  <si>
    <t>Enter cost of the uncoated N fertiliser ($/t)</t>
  </si>
  <si>
    <t>Enter cost of coated N fertiliser ($/t)</t>
  </si>
  <si>
    <t>Enter additional pasture production (kg DM/ha.annum)</t>
  </si>
  <si>
    <t>Enter area of farm that the NI fertiliser is applied (ha)</t>
  </si>
  <si>
    <t>Utilisation of the additional pasture (%)</t>
  </si>
  <si>
    <t>Brown Coal-Sth Australia</t>
  </si>
  <si>
    <t>None</t>
  </si>
  <si>
    <t>Estimated fat content in the abatement strategy diet during the activation period (%)</t>
  </si>
  <si>
    <t>Average annual diet dry matter digestibility (%)</t>
  </si>
  <si>
    <t>Average lactation length</t>
  </si>
  <si>
    <t>Total baseline milk</t>
  </si>
  <si>
    <t>Milk per cow x number of cows x lactation length</t>
  </si>
  <si>
    <t>Strategy fat concentration (g/ kg DM)</t>
  </si>
  <si>
    <t>Baseline fat concentrations (g/kg DM)</t>
  </si>
  <si>
    <t>Baseline intake (without milk; kg DM/cow.day)</t>
  </si>
  <si>
    <t>Baseline milk (kg DM/cow.day)</t>
  </si>
  <si>
    <t>Strategy intake (without milk; kg DM/cow.day)</t>
  </si>
  <si>
    <t>Strategy milk (kg DM/cow.day)</t>
  </si>
  <si>
    <t>New intake for additional milk production and potential change to DMD of the diet</t>
  </si>
  <si>
    <t xml:space="preserve">Difference between baseline and strategy enteric CH4 </t>
  </si>
  <si>
    <t>Based on this equation: 24.51 - 0.0788 x TF</t>
  </si>
  <si>
    <t>Baseline intake minus supp replaced</t>
  </si>
  <si>
    <t>(DMD% of diet minus altered supp x (intake of baseline diet - intake  of the low fat supplement being replaced)/ baseline intake (kg DM/cow.day)) + (DMD % of new high fat supplement x kg DM of new high fat supplement) / baseline intake (kg DM/cow.day)</t>
  </si>
  <si>
    <t>(CP% of diet minus altered supp x (intake of baseline diet - intake of the low fat supplement being replaced)/ baseline intake (kg DM/cow.day)) + (CP % of new high fat supplement x kg DM of new high fat supplement) / baseline intake (kg DM/cow.day)</t>
  </si>
  <si>
    <t>Strategy enteric methane (g CH4/kg DMI)</t>
  </si>
  <si>
    <t xml:space="preserve">Milk production </t>
  </si>
  <si>
    <t>Milk production</t>
  </si>
  <si>
    <t>Litres per annum</t>
  </si>
  <si>
    <t>MS per annum</t>
  </si>
  <si>
    <t>Fat %</t>
  </si>
  <si>
    <t>Protein %</t>
  </si>
  <si>
    <t>litres per cow per day</t>
  </si>
  <si>
    <t>DGAS estimated litres per annum</t>
  </si>
  <si>
    <t>kg milk per cow per day</t>
  </si>
  <si>
    <t>Average milk production (litres/cow per day)</t>
  </si>
  <si>
    <t>Estimated additional milk produced (litres/farm per annum)</t>
  </si>
  <si>
    <t>kg CH4 per cow per day x number of cows per annum</t>
  </si>
  <si>
    <t>Total additional milk production farm</t>
  </si>
  <si>
    <t>Average additional daily milk</t>
  </si>
  <si>
    <t>Average additional daily milk per cow over the year</t>
  </si>
  <si>
    <t>Additional litres produced per farm per annum</t>
  </si>
  <si>
    <t>Reduction in GHG emissions intensity over the 12 months (kg CO2e/litre milk)</t>
  </si>
  <si>
    <t>Milk produced over the 12 months (litres)</t>
  </si>
  <si>
    <t>Energy saved per day to be used for milk (MJ/day)</t>
  </si>
  <si>
    <t>Enteric CH4 (t CO2e/herd per annum)</t>
  </si>
  <si>
    <t>Waste CH4 (t CO2e/herd per annum)</t>
  </si>
  <si>
    <t>Waste N2O (t CO2e/herd per annum)</t>
  </si>
  <si>
    <t>Fert N2O (t CO2e/farm per annum)</t>
  </si>
  <si>
    <t>Total (t CO2e/farm per annum)</t>
  </si>
  <si>
    <t>Reduction due to strategy</t>
  </si>
  <si>
    <t>t CO2e/herd for the full 12 months</t>
  </si>
  <si>
    <t>Change in waste N2O emissions (t CO2e/annum)</t>
  </si>
  <si>
    <t>Strategy intake without milk production included</t>
  </si>
  <si>
    <t>Strategy milk intake (kg DM/cow.day)</t>
  </si>
  <si>
    <t>Enter average days non-lactating between each extended lactation (days)</t>
  </si>
  <si>
    <t>Emissions per day</t>
  </si>
  <si>
    <t>Emissions reduction for the duration of activation</t>
  </si>
  <si>
    <t xml:space="preserve">Total reduction in direct urinary N2O emissions (t CO2e/annum) x efficacy of inhibitor (as a percentage) </t>
  </si>
  <si>
    <t>Reduction in direct N2O emissions with this strategy for activation period(t CO2e/annum)</t>
  </si>
  <si>
    <t>Reduction in direct N2O emissions with this strategy for 12 months (t CO2e/annum)</t>
  </si>
  <si>
    <t>Reduction in indirect N2O emissions from leaching with this strategy for 12 months (t CO2e/annum)</t>
  </si>
  <si>
    <t xml:space="preserve">Total reduction in indirect N2O (t CO2e/annum) x efficacy of inhibitor (as a percentage) </t>
  </si>
  <si>
    <t>Reduction in indirect N2O emissions from leaching with this strategy for activation period (t CO2e/annum)</t>
  </si>
  <si>
    <t>Baseline total urinary N emitted (Gg N/herd/annum)</t>
  </si>
  <si>
    <t>Total reduction in N2O emissions for the activation period  (t CO2e/annum)</t>
  </si>
  <si>
    <t>Strategy direct N2O emissions</t>
  </si>
  <si>
    <t>Baseline total N2O emissions  (t CO2/year)</t>
  </si>
  <si>
    <t>Strategy indirect N2O emissions (t CO2e/annum)</t>
  </si>
  <si>
    <t>Total reduction in N2O emissions over the 12 month period</t>
  </si>
  <si>
    <t>Strategy direct and indirect N2O emissions (t CO2e/annum)</t>
  </si>
  <si>
    <t>Reduction in N2O emissions (t CO2e/annum)</t>
  </si>
  <si>
    <t>Reduction in emissions intensity per annum (kg CO2e/litre milk)</t>
  </si>
  <si>
    <t>Enter additional pasture growth achieved with the inhibitor (kg DM/ha per annum)</t>
  </si>
  <si>
    <t>Baseline N2O emissions - change in N2O emissions</t>
  </si>
  <si>
    <t>Enter % of the coated fertiliser applied when inhibitor is reducing N2O emissions</t>
  </si>
  <si>
    <t>Reduction in GHG emissions (kg CO2e per annum)</t>
  </si>
  <si>
    <t>Reduction in GHG emissions (kg CO2e per day active)</t>
  </si>
  <si>
    <t>Number of days active</t>
  </si>
  <si>
    <t>Total reduction in GHG emissions (kg CO2e per annum)</t>
  </si>
  <si>
    <t>Cost to raise heifers to point of joining milking herd ($/hd per annum)</t>
  </si>
  <si>
    <t>((ME = DMD x 0.134 + 1.23 + (0.235 x fat%)) (CSIRO 2007) with ceiling ME of 13.5 MJ/kg DM</t>
  </si>
  <si>
    <t>((ME = DMD x 0.134 + 1.23 + (0.235 x fat%)) (CSIRO 2007) with ceiling of 13.5 MJ/kg DM</t>
  </si>
  <si>
    <t>Enter number of days per year that the abatement strategy is effective for</t>
  </si>
  <si>
    <t>Annual Electricity Use (kWh)</t>
  </si>
  <si>
    <t>Carbon sequestration in tree plantations</t>
  </si>
  <si>
    <t>Amount carbon sequested (t CO2/ha)</t>
  </si>
  <si>
    <t xml:space="preserve">Electricity </t>
  </si>
  <si>
    <t>Diesel and unleaded petrol</t>
  </si>
  <si>
    <t>Carbon dioxide:</t>
  </si>
  <si>
    <t>Annual Diesel/ unleaded petrol (litres)</t>
  </si>
  <si>
    <t xml:space="preserve">Liveweight gain </t>
  </si>
  <si>
    <t>Methane for each manure management system and MCF associated, for each class of cattle separately</t>
  </si>
  <si>
    <t>Dairy cattle standard reference weight to calculate relative size (Z)</t>
  </si>
  <si>
    <t>Mass of fertiliser applied (M)</t>
  </si>
  <si>
    <t>Intake (kg DM/day)</t>
  </si>
  <si>
    <t>Pastures</t>
  </si>
  <si>
    <t>Concentrates/ grain</t>
  </si>
  <si>
    <t>Silage</t>
  </si>
  <si>
    <t>Hay</t>
  </si>
  <si>
    <t>By-products</t>
  </si>
  <si>
    <t>Other</t>
  </si>
  <si>
    <t>Average DMD</t>
  </si>
  <si>
    <t>Average CP</t>
  </si>
  <si>
    <t>Total (kg DM/day) or average (%)</t>
  </si>
  <si>
    <t>I = (1.185 +(0.00454 x W) - (0.0000026 x (W)^2) + ((0.315 x LWG)))^2 x MR + MI</t>
  </si>
  <si>
    <t>Crops</t>
  </si>
  <si>
    <t>N fertiliser rates</t>
  </si>
  <si>
    <t>Farmer details:</t>
  </si>
  <si>
    <t>Supplier Number</t>
  </si>
  <si>
    <t>Address</t>
  </si>
  <si>
    <t>Choose your state in Australia</t>
  </si>
  <si>
    <t>Lucerne/ legume hay (t DM)</t>
  </si>
  <si>
    <t>Pasture silage (t DM)</t>
  </si>
  <si>
    <t>Cereal/ maize silage (t DM)</t>
  </si>
  <si>
    <t>Grain/ concentrates (t DM)</t>
  </si>
  <si>
    <t xml:space="preserve">Purchased supplementary feed </t>
  </si>
  <si>
    <t>Fertilisers</t>
  </si>
  <si>
    <t>How do you which to enter the fertiliser rates?</t>
  </si>
  <si>
    <t>Product</t>
  </si>
  <si>
    <t>Pasture hay</t>
  </si>
  <si>
    <t>GHG emissions (t CO2e)</t>
  </si>
  <si>
    <t>Lucerne/ legume hay</t>
  </si>
  <si>
    <t>Pasture silage</t>
  </si>
  <si>
    <t>Cereal/ maize silage</t>
  </si>
  <si>
    <t>Grain/concentrates</t>
  </si>
  <si>
    <t>Pre-farm embedded and fertiliser inputs</t>
  </si>
  <si>
    <t>Lime</t>
  </si>
  <si>
    <t>Amount (t DM)</t>
  </si>
  <si>
    <t>N fertiliser (urea Emission factor)</t>
  </si>
  <si>
    <t>P fertiliser (TSP emission factor)</t>
  </si>
  <si>
    <t>K fertiliser (MOP emission factor)</t>
  </si>
  <si>
    <t>S fertiliser (TSP emission factor)</t>
  </si>
  <si>
    <t>Pre-farm embedded</t>
  </si>
  <si>
    <t>Grain/ concentrates</t>
  </si>
  <si>
    <t>Forages</t>
  </si>
  <si>
    <t>Manufacturing of diesel</t>
  </si>
  <si>
    <t>Graphs</t>
  </si>
  <si>
    <t>Enteric methane</t>
  </si>
  <si>
    <t>Waste methane</t>
  </si>
  <si>
    <t>Direct N2O waste</t>
  </si>
  <si>
    <t>Direct N2O N fertiliser</t>
  </si>
  <si>
    <t>Indirect N2O waste</t>
  </si>
  <si>
    <t>Indirect N2O N fertiliser</t>
  </si>
  <si>
    <t>Energy consumption</t>
  </si>
  <si>
    <t>Dry matter digestibility (DMD; %)</t>
  </si>
  <si>
    <t>Crude protein (CP; %)</t>
  </si>
  <si>
    <t>N Fertiliser Crops</t>
  </si>
  <si>
    <t>Gg N/annum</t>
  </si>
  <si>
    <t>Gg N2O/annum</t>
  </si>
  <si>
    <t>Manure management</t>
  </si>
  <si>
    <t>All other stock</t>
  </si>
  <si>
    <t>Choose which option you are using to estimate how animal waste is handled</t>
  </si>
  <si>
    <t>User-defined factors and fractions</t>
  </si>
  <si>
    <t>Default state-based factors and fractions</t>
  </si>
  <si>
    <t>Tasmania</t>
  </si>
  <si>
    <t>South Australia</t>
  </si>
  <si>
    <t>Western Australia</t>
  </si>
  <si>
    <t>Choose your region in Australia</t>
  </si>
  <si>
    <t>Hours per day</t>
  </si>
  <si>
    <t>Days per annum</t>
  </si>
  <si>
    <t>Select the option which best describes how this waste from the feedpad or loafing area is best handled</t>
  </si>
  <si>
    <t>Pre-treat</t>
  </si>
  <si>
    <t>NO</t>
  </si>
  <si>
    <t>YES</t>
  </si>
  <si>
    <t>Heifers</t>
  </si>
  <si>
    <t>Feedpad waste- heifers</t>
  </si>
  <si>
    <t>Hours per day at dairy</t>
  </si>
  <si>
    <t>Days per annum at dairy</t>
  </si>
  <si>
    <t>% spread daily</t>
  </si>
  <si>
    <t>% to lagoon</t>
  </si>
  <si>
    <t>Hours per day on feedpad</t>
  </si>
  <si>
    <t>Days per annum on feedpad</t>
  </si>
  <si>
    <t xml:space="preserve">Hours per day </t>
  </si>
  <si>
    <t>% to grazing</t>
  </si>
  <si>
    <t>% from dairy &amp; spread daily</t>
  </si>
  <si>
    <t>% from dairy &amp; to lagoon (no pre-treatment)</t>
  </si>
  <si>
    <t>% from feedpad wet-lotted (solid storage)</t>
  </si>
  <si>
    <t>% sum solid storage</t>
  </si>
  <si>
    <t>Milkers- dairy</t>
  </si>
  <si>
    <t>Milkers- feedpad</t>
  </si>
  <si>
    <t>Heifers- feedpad</t>
  </si>
  <si>
    <t>% from feedpad spread daily</t>
  </si>
  <si>
    <t>% from feedpad and to lagoon but with pre-treatment to make it solid storage</t>
  </si>
  <si>
    <t>% to lagoon (no pre-treatment)</t>
  </si>
  <si>
    <t>% to lagoon (pre-treated &amp; to solid storage)</t>
  </si>
  <si>
    <t>Voided pasture</t>
  </si>
  <si>
    <t>MCF calculations- milkers</t>
  </si>
  <si>
    <t>Integrated MCF</t>
  </si>
  <si>
    <t>% sum lagoon</t>
  </si>
  <si>
    <t>% from dairy &amp; to lagoon (pre-treated &amp; to solid storage fraction)</t>
  </si>
  <si>
    <t>Default fractions</t>
  </si>
  <si>
    <t>Which fractions and MCF to use for milkers</t>
  </si>
  <si>
    <t>Milker User defined fractions</t>
  </si>
  <si>
    <t>Milker MCF</t>
  </si>
  <si>
    <t>Other stock MCF</t>
  </si>
  <si>
    <t>Other stock User defined fraction</t>
  </si>
  <si>
    <t>Which fractions and MCF to use for other stock</t>
  </si>
  <si>
    <t>% waste to each manure management system</t>
  </si>
  <si>
    <t>Carbon sequestered (t CO2/ha)</t>
  </si>
  <si>
    <t>Year reviewed</t>
  </si>
  <si>
    <t>Victoria</t>
  </si>
  <si>
    <t>New South Wales</t>
  </si>
  <si>
    <t>Queensland</t>
  </si>
  <si>
    <t>Northern Territory</t>
  </si>
  <si>
    <t>Northern NSW</t>
  </si>
  <si>
    <t>New.South.Wales</t>
  </si>
  <si>
    <t>South.Australia</t>
  </si>
  <si>
    <t>Western.Australia</t>
  </si>
  <si>
    <t>Northern.Territory</t>
  </si>
  <si>
    <t>Selected State</t>
  </si>
  <si>
    <t>Selected Region</t>
  </si>
  <si>
    <t>Bill and Wendy Smith</t>
  </si>
  <si>
    <t>1234 Main Rd, Colac, VIC 3250</t>
  </si>
  <si>
    <t>256758T1</t>
  </si>
  <si>
    <t>DGAS estimated kg MS if litres entered</t>
  </si>
  <si>
    <t>EI (litres FPCM)</t>
  </si>
  <si>
    <t>EI (kg MS)</t>
  </si>
  <si>
    <t>Where does your electricity come from?</t>
  </si>
  <si>
    <t>Flushed &amp; spread daily from a sump</t>
  </si>
  <si>
    <t>Integrated MCF %</t>
  </si>
  <si>
    <t>Tree sequestration</t>
  </si>
  <si>
    <t>Based on data entered here</t>
  </si>
  <si>
    <t>Enter your farm data in the white cells and select from the drop-down boxes (arrow on right hand side will appear once you go into the while cells)</t>
  </si>
  <si>
    <t>tonnes of element per annum</t>
  </si>
  <si>
    <t>kg of element per ha per annum</t>
  </si>
  <si>
    <t>Reduce CH4 through breeding and management</t>
  </si>
  <si>
    <t>Replacing Sup with a source of fat</t>
  </si>
  <si>
    <t>Supp with dietary fats</t>
  </si>
  <si>
    <t>By-products (t DM)</t>
  </si>
  <si>
    <t xml:space="preserve">Only answer the following questions if you which to enter your own farm management practices to estimate the percentage of waste to each of the abovementioned manure management systems.  In addition, you must have selected the User-defined factors and fractions option in the drop-down list at the beginning of this section otherwise the results with still reflect the default state-based fractions and factors.  </t>
  </si>
  <si>
    <t>% of total GHG emissions</t>
  </si>
  <si>
    <t>Improve diet DMD by supplementation</t>
  </si>
  <si>
    <t>Calculated potential carbon credit ($ per farm)</t>
  </si>
  <si>
    <t>Calculated expense to implement the strategy ($ per farm)</t>
  </si>
  <si>
    <t>Baseline farm system data relevant to this abatement strategy</t>
  </si>
  <si>
    <t>Key variables for the strategy farm</t>
  </si>
  <si>
    <t>Variation in production</t>
  </si>
  <si>
    <t>GHG and economic results</t>
  </si>
  <si>
    <t>Carbon credit total farm benefit income as % of current milk income</t>
  </si>
  <si>
    <t>Implementation expenses</t>
  </si>
  <si>
    <t>Change in income &amp; expenses based on reduction in total farm GHG emissions ($ per annum)</t>
  </si>
  <si>
    <t>Enter cost to implement strategy ($ per cow per annum)</t>
  </si>
  <si>
    <t>Improve diet DMD by management</t>
  </si>
  <si>
    <t>N Inhibitor applied to feed/animal</t>
  </si>
  <si>
    <t>N inhibitor applied to fertiliser</t>
  </si>
  <si>
    <t>Enter feed quality of the additional pasture (MJ ME/kg DM)</t>
  </si>
  <si>
    <t>Extended lactation</t>
  </si>
  <si>
    <t>Extended longevity</t>
  </si>
  <si>
    <t>Number of fewer heifers up to 1 year of age</t>
  </si>
  <si>
    <t>Number of fewer heifers up to 2 year of age</t>
  </si>
  <si>
    <t>Savings to raise heifers from birth to 1 year of age ($ per annum)</t>
  </si>
  <si>
    <t>Savings to raise heifers from 1 year of age to 2 years of age ($ per annum)</t>
  </si>
  <si>
    <t>Savings to raise heifers to joining of calving ($ per annum)</t>
  </si>
  <si>
    <r>
      <t>Total GHG (tonnes CO</t>
    </r>
    <r>
      <rPr>
        <b/>
        <vertAlign val="subscript"/>
        <sz val="12"/>
        <color theme="1"/>
        <rFont val="Times New Roman"/>
        <family val="1"/>
      </rPr>
      <t>2</t>
    </r>
    <r>
      <rPr>
        <b/>
        <sz val="12"/>
        <color theme="1"/>
        <rFont val="Times New Roman"/>
        <family val="1"/>
      </rPr>
      <t>e/annum)</t>
    </r>
  </si>
  <si>
    <t>% GHG of total GHG</t>
  </si>
  <si>
    <t xml:space="preserve">Estimated intake based </t>
  </si>
  <si>
    <t>on data entry</t>
  </si>
  <si>
    <t>Owner or sharefarmer ID</t>
  </si>
  <si>
    <t>Same as for baseline as no change to liveweight or live weight gain or metabolic rate</t>
  </si>
  <si>
    <t>ME of the  original component of the diet not substituted (MJ/day)</t>
  </si>
  <si>
    <t>ME of the  original component of the diet not substituted plus the new supplement fed (MJ/day)</t>
  </si>
  <si>
    <t>Enter milk price for when increased diet DMD is available ($/ litre)</t>
  </si>
  <si>
    <t>Total strategy N2O emissions (Baseline N2O emissions minus reductions from direct and indirect N2O emissions)</t>
  </si>
  <si>
    <t>Average daily milk production during the 1st lactation (litres/cow.day)</t>
  </si>
  <si>
    <t>Average daily milk production during subsequent lactations (litres/cow.day)</t>
  </si>
  <si>
    <t>Introduction</t>
  </si>
  <si>
    <r>
      <t xml:space="preserve">The </t>
    </r>
    <r>
      <rPr>
        <b/>
        <sz val="11"/>
        <color theme="1"/>
        <rFont val="Calibri"/>
        <family val="2"/>
        <scheme val="minor"/>
      </rPr>
      <t>Introduction</t>
    </r>
    <r>
      <rPr>
        <sz val="11"/>
        <color theme="1"/>
        <rFont val="Calibri"/>
        <family val="2"/>
        <scheme val="minor"/>
      </rPr>
      <t xml:space="preserve"> section (coloured grey) is a brief explanation of what the abatement strategy explores and how to fill in the data.  </t>
    </r>
  </si>
  <si>
    <r>
      <t xml:space="preserve">The fifth </t>
    </r>
    <r>
      <rPr>
        <b/>
        <sz val="11"/>
        <color theme="1"/>
        <rFont val="Calibri"/>
        <family val="2"/>
        <scheme val="minor"/>
      </rPr>
      <t xml:space="preserve">GHG and economic results </t>
    </r>
    <r>
      <rPr>
        <sz val="11"/>
        <color theme="1"/>
        <rFont val="Calibri"/>
        <family val="2"/>
        <scheme val="minor"/>
      </rPr>
      <t>section (coloured blue) contains the reductions in GHG emissions and changes in financial results as a consequence of implementing the abatement strategy.  Unlike all other sections, this section is consistent across all abatement strategies.</t>
    </r>
  </si>
  <si>
    <t>Where applicable, users are informed of what each question is asking for (shown by hovering over the cell) and the factors users need to consider (e.g. indirect expenses associated with implementing an abatement strategy).</t>
  </si>
  <si>
    <t>The funding bodies and developers of the calculator do not guarantee that the calculator is without flaw of any kind and therefore disclaims all liability for any error, loss or other consequence which may arise from reliance on any information contained herein.</t>
  </si>
  <si>
    <t xml:space="preserve">Once the user has clicked on the box representing the abatement strategy they wish to explore, the worksheet is divided into 6 sections.  </t>
  </si>
  <si>
    <t>Entering data for the strategy specific worksheets</t>
  </si>
  <si>
    <r>
      <t xml:space="preserve">The fourth </t>
    </r>
    <r>
      <rPr>
        <b/>
        <sz val="11"/>
        <color theme="1"/>
        <rFont val="Calibri"/>
        <family val="2"/>
        <scheme val="minor"/>
      </rPr>
      <t xml:space="preserve">Variation in production </t>
    </r>
    <r>
      <rPr>
        <sz val="11"/>
        <color theme="1"/>
        <rFont val="Calibri"/>
        <family val="2"/>
        <scheme val="minor"/>
      </rPr>
      <t>section</t>
    </r>
    <r>
      <rPr>
        <b/>
        <sz val="11"/>
        <color theme="1"/>
        <rFont val="Calibri"/>
        <family val="2"/>
        <scheme val="minor"/>
      </rPr>
      <t xml:space="preserve"> </t>
    </r>
    <r>
      <rPr>
        <sz val="11"/>
        <color theme="1"/>
        <rFont val="Calibri"/>
        <family val="2"/>
        <scheme val="minor"/>
      </rPr>
      <t>(coloured purple) contains production changes (e.g. increase in milk production).</t>
    </r>
  </si>
  <si>
    <t>Entering data for the Abatement strategy whole farm worksheet</t>
  </si>
  <si>
    <t>Enter the cost to implement ($ per cow per lactation)</t>
  </si>
  <si>
    <t xml:space="preserve">Implementation expense </t>
  </si>
  <si>
    <t>Average number of lactations before culling</t>
  </si>
  <si>
    <t>Number of hours per day and days per annum the heifers spend in yards or are housed where the waste is deposited</t>
  </si>
  <si>
    <t>Enter time period of improved diet digestibility (number of days per year)</t>
  </si>
  <si>
    <t>Select option for milk production</t>
  </si>
  <si>
    <t>litres per herd per annum</t>
  </si>
  <si>
    <t>kg milksolids per herd per annum</t>
  </si>
  <si>
    <t>Column graph chart</t>
  </si>
  <si>
    <t xml:space="preserve">Baseline </t>
  </si>
  <si>
    <t>Whole farm strategy column graph</t>
  </si>
  <si>
    <t>Methane</t>
  </si>
  <si>
    <t>Nitrous oxide</t>
  </si>
  <si>
    <t>GHG emissions intensity</t>
  </si>
  <si>
    <t>Tree plantings (minus)</t>
  </si>
  <si>
    <t>Note:  If trees sequester carbon, this is reported as a positive figure in this graph just for simplification of scaling</t>
  </si>
  <si>
    <t>Area of pastures fertilised with N (ha)</t>
  </si>
  <si>
    <t>Area of crops fertilised with N (ha)</t>
  </si>
  <si>
    <t>Area of pastures fertilised with PKS &amp; Lime (ha)</t>
  </si>
  <si>
    <t>Area of crops fertilised with PKS &amp; Lime (ha)</t>
  </si>
  <si>
    <t>Example baseline farm</t>
  </si>
  <si>
    <t>Mature bulls</t>
  </si>
  <si>
    <t>How are you estimating this?</t>
  </si>
  <si>
    <t>Enter calving date for start of lactation comparison (format dd/mm/yyyy)</t>
  </si>
  <si>
    <t>Economic implications of changing the baseline farm system</t>
  </si>
  <si>
    <t>Milkers average annual diet intakes and quality</t>
  </si>
  <si>
    <t>Average annual dry matter digestibility (DMD) for all other stock (%)</t>
  </si>
  <si>
    <t>Average annual crude protein (CP) for all other stock (%)</t>
  </si>
  <si>
    <t>Results for strategy farm system</t>
  </si>
  <si>
    <t>Enter the cost to implement the change on farm ($ per annum)</t>
  </si>
  <si>
    <t>Enter the milk price when the changes are implemented ($/litre milk)</t>
  </si>
  <si>
    <t>Enter any savings that may occur due to implementing the change on farm ($ per annum)</t>
  </si>
  <si>
    <t>Cost to implement ($ per annum)</t>
  </si>
  <si>
    <t>Savings in expenses ($ per annum)</t>
  </si>
  <si>
    <t>Milk price ($/litre milk)</t>
  </si>
  <si>
    <t>Carbon price ($/t CO2e)</t>
  </si>
  <si>
    <t>Carbon income</t>
  </si>
  <si>
    <t>Expenses to implement</t>
  </si>
  <si>
    <t>Benefit as stand alone</t>
  </si>
  <si>
    <t>Estimated additional milk income</t>
  </si>
  <si>
    <t>Estimated total farm benefit</t>
  </si>
  <si>
    <t>Tree plantings, with negative figures representing amount of carbon sequestered</t>
  </si>
  <si>
    <t>Column graphs</t>
  </si>
  <si>
    <t xml:space="preserve">Strategy farm </t>
  </si>
  <si>
    <t>Non-DGAS estimated</t>
  </si>
  <si>
    <t>Example of a Baseline farm system</t>
  </si>
  <si>
    <t>No estimate of carbon sequestration</t>
  </si>
  <si>
    <t>Dry matter %</t>
  </si>
  <si>
    <t>Dry Matter Digestibility %</t>
  </si>
  <si>
    <t>Crude protein %</t>
  </si>
  <si>
    <t>Average</t>
  </si>
  <si>
    <t>Range</t>
  </si>
  <si>
    <t>NON-FORAGE SUPPLEMENTS</t>
  </si>
  <si>
    <t>Barley grain</t>
  </si>
  <si>
    <t>Brewer's grain</t>
  </si>
  <si>
    <t>Canola meal</t>
  </si>
  <si>
    <t>Carrot pulp</t>
  </si>
  <si>
    <t>Citrus pulp</t>
  </si>
  <si>
    <t>Cottonseed meal</t>
  </si>
  <si>
    <t>Grape marc</t>
  </si>
  <si>
    <t>Lupin seed</t>
  </si>
  <si>
    <t>Maize grain</t>
  </si>
  <si>
    <t>Molasses</t>
  </si>
  <si>
    <t>Oats</t>
  </si>
  <si>
    <t>Rice bran</t>
  </si>
  <si>
    <t>Sorghum grain</t>
  </si>
  <si>
    <t>Soyabean meal</t>
  </si>
  <si>
    <t>Sunflower meal</t>
  </si>
  <si>
    <t>Tomato pulp</t>
  </si>
  <si>
    <t>Triticale grain</t>
  </si>
  <si>
    <t>Turnip tops*</t>
  </si>
  <si>
    <t>Turnip bulbs*</t>
  </si>
  <si>
    <t>Wheat grain</t>
  </si>
  <si>
    <t>Wheat bran</t>
  </si>
  <si>
    <t>Whey</t>
  </si>
  <si>
    <t>FORAGE SUPPLEMENTS</t>
  </si>
  <si>
    <t>Barley silage</t>
  </si>
  <si>
    <t>Barley hay</t>
  </si>
  <si>
    <t>Barley straw</t>
  </si>
  <si>
    <t>Clover silage generic</t>
  </si>
  <si>
    <t>Clover hay generic</t>
  </si>
  <si>
    <t>Grass silage</t>
  </si>
  <si>
    <t>Grass hay</t>
  </si>
  <si>
    <t xml:space="preserve">Legume/grass silage (legume dom.) </t>
  </si>
  <si>
    <t xml:space="preserve">Legume/grass silage (grass dom.) </t>
  </si>
  <si>
    <t>Lucerne silage</t>
  </si>
  <si>
    <t>Lucerne hay</t>
  </si>
  <si>
    <t>Lucerne straw</t>
  </si>
  <si>
    <t>Maize silage</t>
  </si>
  <si>
    <t>Oaten silage</t>
  </si>
  <si>
    <t>Oaten hay</t>
  </si>
  <si>
    <t>Oaten straw</t>
  </si>
  <si>
    <t>Persian clover silage</t>
  </si>
  <si>
    <t>Persian clover hay</t>
  </si>
  <si>
    <t>Rice straw</t>
  </si>
  <si>
    <t>Subclover silage</t>
  </si>
  <si>
    <t>Subclover hay</t>
  </si>
  <si>
    <t>Triticale silage</t>
  </si>
  <si>
    <t>Triticale hay</t>
  </si>
  <si>
    <t>Triticale straw</t>
  </si>
  <si>
    <t>Wheat silage</t>
  </si>
  <si>
    <t>Wheat hay</t>
  </si>
  <si>
    <t>Data Source: FEEDTEST, DPI, Victoria</t>
  </si>
  <si>
    <t xml:space="preserve">Click here to return to baseline farm </t>
  </si>
  <si>
    <t>Area of PKS &amp; Lime fertiliser (ha)</t>
  </si>
  <si>
    <t>Area of N fertiliser (ha)</t>
  </si>
  <si>
    <t>Pasture or cereal hay (t DM)</t>
  </si>
  <si>
    <t>Rate of N fert.</t>
  </si>
  <si>
    <t>Amount of N applied to pastures</t>
  </si>
  <si>
    <t>Rate of PKS&amp;Lime</t>
  </si>
  <si>
    <t>Rate of P fert.</t>
  </si>
  <si>
    <t>Rate of K fert.</t>
  </si>
  <si>
    <t>Rate of S fert.</t>
  </si>
  <si>
    <t>Rate of Lime</t>
  </si>
  <si>
    <t>Converting ME to DMD</t>
  </si>
  <si>
    <t>To convert ME to DMD, we use the equation:</t>
  </si>
  <si>
    <t>Enter ME (MJ/kg DM)</t>
  </si>
  <si>
    <t>Estimated DMD (%)</t>
  </si>
  <si>
    <t xml:space="preserve">Sometimes you may know the Metabolisable Energy (ME; MJ/kg DM) concentration </t>
  </si>
  <si>
    <t>of a feed source but not it's Dry Matter Digestibility (DMD %)</t>
  </si>
  <si>
    <t>DMD = (ME +1.037) / 0.1604 (Source: Aust. NGGI methodology)</t>
  </si>
  <si>
    <t>Total additional milk production farm (litres of fat &amp; protein corrected milk)</t>
  </si>
  <si>
    <t>Baseline GHG emissions intensity (kg CO2e/litre FPCM)</t>
  </si>
  <si>
    <t>Total additional milk production farm (litres of FPCM)</t>
  </si>
  <si>
    <t>Strategy milk production (litres FPCM/annum)</t>
  </si>
  <si>
    <t>Baseline GHG emissions intensity per annum (kg CO2e/litre FPCM)</t>
  </si>
  <si>
    <t>Emissions intensity (kg CO2 per litre FPCM)</t>
  </si>
  <si>
    <t>Amount of N applied to crops</t>
  </si>
  <si>
    <t>Click here to work out fertiliser rates</t>
  </si>
  <si>
    <t>Fertiliser rates</t>
  </si>
  <si>
    <t>Brand</t>
  </si>
  <si>
    <t>N</t>
  </si>
  <si>
    <t>P</t>
  </si>
  <si>
    <t>K</t>
  </si>
  <si>
    <t>S</t>
  </si>
  <si>
    <t>Pasture Gold</t>
  </si>
  <si>
    <t>Urea</t>
  </si>
  <si>
    <t>Muriate of Potash</t>
  </si>
  <si>
    <t>Pastursul</t>
  </si>
  <si>
    <t>Pasture Booster</t>
  </si>
  <si>
    <t>Pasture Gold 3:1</t>
  </si>
  <si>
    <t>Pasture Gold 4:1</t>
  </si>
  <si>
    <t>Super Potash 1 &amp; 1</t>
  </si>
  <si>
    <t>Super Potash 2 &amp; 1</t>
  </si>
  <si>
    <t>Super Potash 3 &amp; 1</t>
  </si>
  <si>
    <t>Super Potash 4 &amp; 1</t>
  </si>
  <si>
    <t>Super Potash 5 &amp; 1</t>
  </si>
  <si>
    <t>Hi-Fert 0:20:0</t>
  </si>
  <si>
    <t>Gold Phos 10</t>
  </si>
  <si>
    <t>Gold Phos 20</t>
  </si>
  <si>
    <t>Pasture Phos</t>
  </si>
  <si>
    <t>Pasture Builder</t>
  </si>
  <si>
    <t>Dynamic Lifter</t>
  </si>
  <si>
    <t>Single Superphosphate</t>
  </si>
  <si>
    <t>Double Superphosphate</t>
  </si>
  <si>
    <t>P &amp; K</t>
  </si>
  <si>
    <t>P &amp; S</t>
  </si>
  <si>
    <t>K &amp; S</t>
  </si>
  <si>
    <t>Primary element (s)</t>
  </si>
  <si>
    <t>Many farms use a blend of different fertilisers and it's not always easy to work out how much N ,P, K and S is applied</t>
  </si>
  <si>
    <t>Example table</t>
  </si>
  <si>
    <t>Blend</t>
  </si>
  <si>
    <t>Own blends</t>
  </si>
  <si>
    <t>Farmer mix</t>
  </si>
  <si>
    <t>Potassium chloride</t>
  </si>
  <si>
    <t xml:space="preserve">Single Superphosphate </t>
  </si>
  <si>
    <t xml:space="preserve">Triple Superphosphate </t>
  </si>
  <si>
    <t>Di-ammonium phosphate</t>
  </si>
  <si>
    <t>Mono-ammonium phosphate</t>
  </si>
  <si>
    <t>N &amp; P</t>
  </si>
  <si>
    <t>Use this table to estimate the amount of N, P, K and S applied by entering either the tonnes applied of each fertiliser in the yellow boxes for known fertilisers or the N:P:K:S ratio and amount of fertiliser in the own blends section at the bottom of the table</t>
  </si>
  <si>
    <t xml:space="preserve">Click here to return to the baseline farm </t>
  </si>
  <si>
    <t>Amount of milk produced</t>
  </si>
  <si>
    <t>litres</t>
  </si>
  <si>
    <t>t DM</t>
  </si>
  <si>
    <t>days</t>
  </si>
  <si>
    <t xml:space="preserve">days </t>
  </si>
  <si>
    <t>Averaging feed inputs and concentrations</t>
  </si>
  <si>
    <t>Amount (kg DM/cow.day)</t>
  </si>
  <si>
    <t>Dry matter digestibility (%)</t>
  </si>
  <si>
    <t>Crude protein (%)</t>
  </si>
  <si>
    <t>Grain/concentrate 1</t>
  </si>
  <si>
    <t>Grain/concentrate 2</t>
  </si>
  <si>
    <t>Grain/concentrate 3</t>
  </si>
  <si>
    <t>Grain/concentrate 4</t>
  </si>
  <si>
    <t>Grain/concentrate 5</t>
  </si>
  <si>
    <t>Grain/concentrate 6</t>
  </si>
  <si>
    <t>Total or average</t>
  </si>
  <si>
    <t>Description</t>
  </si>
  <si>
    <t>Wheat</t>
  </si>
  <si>
    <t>Lupins</t>
  </si>
  <si>
    <t>Barley</t>
  </si>
  <si>
    <t xml:space="preserve">Example table </t>
  </si>
  <si>
    <t>Silage 1</t>
  </si>
  <si>
    <t>Silage 2</t>
  </si>
  <si>
    <t>Silage 3</t>
  </si>
  <si>
    <t>Silage 4</t>
  </si>
  <si>
    <t>Silage 5</t>
  </si>
  <si>
    <t>Silage 6</t>
  </si>
  <si>
    <t>Hay 1</t>
  </si>
  <si>
    <t>Hay 2</t>
  </si>
  <si>
    <t>Hay 3</t>
  </si>
  <si>
    <t>Hay 4</t>
  </si>
  <si>
    <t>Hay 5</t>
  </si>
  <si>
    <t>Hay 6</t>
  </si>
  <si>
    <t>Total and average</t>
  </si>
  <si>
    <t>By-product 1</t>
  </si>
  <si>
    <t>By-product 2</t>
  </si>
  <si>
    <t>By-product 3</t>
  </si>
  <si>
    <t>By-product 4</t>
  </si>
  <si>
    <t>By-product 5</t>
  </si>
  <si>
    <t>By-product 6</t>
  </si>
  <si>
    <t xml:space="preserve"> MJ/kg DM</t>
  </si>
  <si>
    <t>Enter your farm data here</t>
  </si>
  <si>
    <t>Click here to return to the baseline farm</t>
  </si>
  <si>
    <t>This information then needs to be entered on the baseline worksheet; it is not automatically transferred.</t>
  </si>
  <si>
    <t xml:space="preserve">The first table below is an example of estimating intake and concentrations for grains.  </t>
  </si>
  <si>
    <t>Click here for help regarding feed quality</t>
  </si>
  <si>
    <t>Click here for help with feed quality</t>
  </si>
  <si>
    <t>Feed quality information</t>
  </si>
  <si>
    <t xml:space="preserve">Enter your farm's data in the yellow cells in the tables below the example farm.  </t>
  </si>
  <si>
    <t>Blends of all elements</t>
  </si>
  <si>
    <t>Poultry litter*</t>
  </si>
  <si>
    <t>Total (tonnes)</t>
  </si>
  <si>
    <t>tonnes applied</t>
  </si>
  <si>
    <t xml:space="preserve">       Composition (%)</t>
  </si>
  <si>
    <t>Select the option which best describes how the majority of this waste from the feedpad or loafing area is best handled</t>
  </si>
  <si>
    <t>% of spread daily to SS</t>
  </si>
  <si>
    <t>% from dairy &amp; spread daily &amp; treated so its solid storage</t>
  </si>
  <si>
    <t>% of feedpad spread daily going to SS</t>
  </si>
  <si>
    <t>% from feedpad to lagoon without treatment</t>
  </si>
  <si>
    <t>Average intake required</t>
  </si>
  <si>
    <t>Generic softwoods</t>
  </si>
  <si>
    <t>FPCM (kg per annum)</t>
  </si>
  <si>
    <t>Average annual milk fat (%)</t>
  </si>
  <si>
    <t>Average annual milk protein (%)</t>
  </si>
  <si>
    <t xml:space="preserve">Volatile solids </t>
  </si>
  <si>
    <t>Number of hours per day and days per annum a milker spends at the dairy and adjacent yards where the waste is flushed with water</t>
  </si>
  <si>
    <t xml:space="preserve">Number of hours per day and days per annum a milker spend on a feedpad or loafing area or are housed (TMR farm) </t>
  </si>
  <si>
    <r>
      <t>t CO</t>
    </r>
    <r>
      <rPr>
        <b/>
        <vertAlign val="subscript"/>
        <sz val="12"/>
        <color theme="1"/>
        <rFont val="Times New Roman"/>
        <family val="1"/>
      </rPr>
      <t>2</t>
    </r>
    <r>
      <rPr>
        <b/>
        <sz val="12"/>
        <color theme="1"/>
        <rFont val="Times New Roman"/>
        <family val="1"/>
      </rPr>
      <t>e/annum</t>
    </r>
  </si>
  <si>
    <r>
      <t>kg CO</t>
    </r>
    <r>
      <rPr>
        <b/>
        <vertAlign val="subscript"/>
        <sz val="12"/>
        <color theme="1"/>
        <rFont val="Times New Roman"/>
        <family val="1"/>
      </rPr>
      <t>2</t>
    </r>
    <r>
      <rPr>
        <b/>
        <sz val="12"/>
        <color theme="1"/>
        <rFont val="Times New Roman"/>
        <family val="1"/>
      </rPr>
      <t>e/kg FPCM</t>
    </r>
  </si>
  <si>
    <r>
      <t>kg CO</t>
    </r>
    <r>
      <rPr>
        <b/>
        <vertAlign val="subscript"/>
        <sz val="12"/>
        <color theme="1"/>
        <rFont val="Times New Roman"/>
        <family val="1"/>
      </rPr>
      <t>2</t>
    </r>
    <r>
      <rPr>
        <b/>
        <sz val="12"/>
        <color theme="1"/>
        <rFont val="Times New Roman"/>
        <family val="1"/>
      </rPr>
      <t>e/kg milksolids</t>
    </r>
  </si>
  <si>
    <t>Unweaned heifers</t>
  </si>
  <si>
    <t>Unweaned bulls</t>
  </si>
  <si>
    <t>MP x 1.03 (convert litres to kg milk) x 3.054 (MJ net energy/kg milk) / 0.6 / (0.00795 x DMD - 0.0014) / 18.4</t>
  </si>
  <si>
    <t>3A.1a_1</t>
  </si>
  <si>
    <t>3A.1a_2</t>
  </si>
  <si>
    <t>3A.1a_3</t>
  </si>
  <si>
    <t>3A.1a_4</t>
  </si>
  <si>
    <t>Anaerobic lagoon</t>
  </si>
  <si>
    <t>Sump dispersal</t>
  </si>
  <si>
    <t>Drain to paddock</t>
  </si>
  <si>
    <t>Sump/dispersal</t>
  </si>
  <si>
    <t>Balance assumed to be flushed and then enter a pond/lagoon system</t>
  </si>
  <si>
    <t xml:space="preserve">Percentage of waste that is flushed and then drains to the paddock with no treatment/ removal of solids </t>
  </si>
  <si>
    <t xml:space="preserve">Scrapped &amp; stockpiled </t>
  </si>
  <si>
    <t>Flushed &amp; drains daily to the paddock</t>
  </si>
  <si>
    <t>Flushed to a pond/lagoon system</t>
  </si>
  <si>
    <t>% spread daily from sump</t>
  </si>
  <si>
    <t>% drained daily from sump</t>
  </si>
  <si>
    <t>% from dairy &amp; drains to paddock</t>
  </si>
  <si>
    <t>% from feedpad and drains to paddock</t>
  </si>
  <si>
    <t>% drains to paddock</t>
  </si>
  <si>
    <t>Sump and dispersal</t>
  </si>
  <si>
    <t>Drains to paddock</t>
  </si>
  <si>
    <t>% sum sump and dispersal</t>
  </si>
  <si>
    <t>% spread sump/dispersal system</t>
  </si>
  <si>
    <t>% to solid storage</t>
  </si>
  <si>
    <t>Default other stock fractions</t>
  </si>
  <si>
    <t>L intake relative that that needed for maintenance</t>
  </si>
  <si>
    <t>E =(365 x N x M) x 10^-6 for &gt; 1, (281 x N x M) x 10^-6 for weaned 0-1 years and (84 x N x M) x 10^-6 for unweaned</t>
  </si>
  <si>
    <t>Total = (365 x N x M) x 10^-6 for &gt; 1 yr olds, (281 x N x M) x 10^-6 for 0 to 1 yr olds and (84 x N x M) x 10^-6 for unweaned</t>
  </si>
  <si>
    <t>3B.1a_1</t>
  </si>
  <si>
    <t>3B.1a_2</t>
  </si>
  <si>
    <t>3B.1a_3</t>
  </si>
  <si>
    <t>AF = ∑ (365 x N x F) x 10^-6 for &gt; 1 yr olds, (281 x N X F) x 10^-6 for 0 to 1 yr olds and (84 x N x F) x 10^-6 for unweaned</t>
  </si>
  <si>
    <t>AU = ∑ (365 x N x U) x 10^-6 for &gt; 1 yr olds, (281 x N X U) x 10^-6 for 0 to 1 yr olds and (84 x N x U) x 10^-6 for unweaned</t>
  </si>
  <si>
    <t xml:space="preserve">Indirect N waste </t>
  </si>
  <si>
    <t>Indirect storage waste volatilised</t>
  </si>
  <si>
    <t>MNATMOS = (FN + UN) x FracGASM</t>
  </si>
  <si>
    <t>3B.5a_1</t>
  </si>
  <si>
    <t>3B.1a_4</t>
  </si>
  <si>
    <t>3B.1a_5</t>
  </si>
  <si>
    <t>3B.1a_6</t>
  </si>
  <si>
    <t>Table 5.A.3</t>
  </si>
  <si>
    <t>3B.1a_7</t>
  </si>
  <si>
    <t>3B.1a_8a</t>
  </si>
  <si>
    <t>3B.1a_8b</t>
  </si>
  <si>
    <t>3B.1a_10c</t>
  </si>
  <si>
    <t>Annual faecal and urinary nitrogen in the different manure management systems</t>
  </si>
  <si>
    <t>Sum of faecal and urine N</t>
  </si>
  <si>
    <r>
      <t xml:space="preserve">Total emissions (FN + UN) </t>
    </r>
    <r>
      <rPr>
        <b/>
        <vertAlign val="subscript"/>
        <sz val="12"/>
        <rFont val="Times New Roman"/>
        <family val="1"/>
      </rPr>
      <t>MMS</t>
    </r>
  </si>
  <si>
    <t>3B.1a_9a &amp; 9b</t>
  </si>
  <si>
    <t>Gg N2O-Nkg/N excreted)</t>
  </si>
  <si>
    <t>FracGASM (kg N2O-N/kg N excreted)</t>
  </si>
  <si>
    <t>Table 5.A.9</t>
  </si>
  <si>
    <t>Total N lost through volatilisation of manure management systems</t>
  </si>
  <si>
    <t>MNATMOS x EF x C</t>
  </si>
  <si>
    <t>EF (Gg N2O-N/Gg N)</t>
  </si>
  <si>
    <t>3B.5a_2</t>
  </si>
  <si>
    <t>Indirect storage waste lost through leaching/runoff</t>
  </si>
  <si>
    <t>MMS 3a= Sump and dispersal</t>
  </si>
  <si>
    <t>MMS 1 = Anaerobic lagoon</t>
  </si>
  <si>
    <t>MMS 3b= Drain to padddock</t>
  </si>
  <si>
    <t xml:space="preserve">MMS 4= Solid storage </t>
  </si>
  <si>
    <t>MMS 14= Pasture range and paddock</t>
  </si>
  <si>
    <t xml:space="preserve">FracWET </t>
  </si>
  <si>
    <t>FracLEACH</t>
  </si>
  <si>
    <t>t CO2e/annum</t>
  </si>
  <si>
    <t>Total indirect N2O lost through leaching/runoff from solid storage system</t>
  </si>
  <si>
    <t>Table 5.23</t>
  </si>
  <si>
    <t>3D1_2</t>
  </si>
  <si>
    <t>3D1_1</t>
  </si>
  <si>
    <t xml:space="preserve">FracGASF </t>
  </si>
  <si>
    <t xml:space="preserve">EF </t>
  </si>
  <si>
    <t>EF</t>
  </si>
  <si>
    <t>3DA_3</t>
  </si>
  <si>
    <r>
      <t>MN soil = (((AE</t>
    </r>
    <r>
      <rPr>
        <b/>
        <vertAlign val="subscript"/>
        <sz val="12"/>
        <rFont val="Times New Roman"/>
        <family val="1"/>
      </rPr>
      <t>MMS=1-13</t>
    </r>
    <r>
      <rPr>
        <b/>
        <sz val="12"/>
        <rFont val="Times New Roman"/>
        <family val="1"/>
      </rPr>
      <t>) - EF</t>
    </r>
    <r>
      <rPr>
        <b/>
        <vertAlign val="subscript"/>
        <sz val="12"/>
        <rFont val="Times New Roman"/>
        <family val="1"/>
      </rPr>
      <t>MSS=1-13</t>
    </r>
    <r>
      <rPr>
        <b/>
        <sz val="12"/>
        <rFont val="Times New Roman"/>
        <family val="1"/>
      </rPr>
      <t>-FracGASM</t>
    </r>
    <r>
      <rPr>
        <b/>
        <vertAlign val="subscript"/>
        <sz val="12"/>
        <rFont val="Times New Roman"/>
        <family val="1"/>
      </rPr>
      <t xml:space="preserve">MMS=1-13 </t>
    </r>
    <r>
      <rPr>
        <b/>
        <sz val="12"/>
        <rFont val="Times New Roman"/>
        <family val="1"/>
      </rPr>
      <t>-MNLeach</t>
    </r>
    <r>
      <rPr>
        <b/>
        <vertAlign val="subscript"/>
        <sz val="12"/>
        <rFont val="Times New Roman"/>
        <family val="1"/>
      </rPr>
      <t>MMS=1-13</t>
    </r>
  </si>
  <si>
    <t>FracGASM = fraction of animal waste N volatilised from the different manure management systems</t>
  </si>
  <si>
    <t>MNLeach = mass of animal waste N leached/ runoff from the solids storage system only</t>
  </si>
  <si>
    <r>
      <t xml:space="preserve">Total emissions (FN + UN) </t>
    </r>
    <r>
      <rPr>
        <b/>
        <vertAlign val="subscript"/>
        <sz val="12"/>
        <rFont val="Times New Roman"/>
        <family val="1"/>
      </rPr>
      <t>MMS without voided onto pastures</t>
    </r>
  </si>
  <si>
    <t>3DA_4</t>
  </si>
  <si>
    <t>3.D.A.3</t>
  </si>
  <si>
    <t>3DA_6</t>
  </si>
  <si>
    <t>M = (MNsoil + UNsoil + FNsoil) x FracGASMsoil</t>
  </si>
  <si>
    <t xml:space="preserve">FracGASM = </t>
  </si>
  <si>
    <t>3DB_1</t>
  </si>
  <si>
    <t>3DB_2</t>
  </si>
  <si>
    <t>3DB_5</t>
  </si>
  <si>
    <t>Appendix 5.J.1</t>
  </si>
  <si>
    <t>3DB_4</t>
  </si>
  <si>
    <t>3DB_6</t>
  </si>
  <si>
    <t>3DB_10</t>
  </si>
  <si>
    <t>MI = MP x 1.03 x NE / k / qm / 18.4</t>
  </si>
  <si>
    <t>kg CH4/head.day</t>
  </si>
  <si>
    <t>.</t>
  </si>
  <si>
    <t>Voided onto Pastures</t>
  </si>
  <si>
    <t>% from feedpad to solid storage</t>
  </si>
  <si>
    <t>% of spread daily going to SS</t>
  </si>
  <si>
    <t>Gg N2O-N/kg N excreted)</t>
  </si>
  <si>
    <t>3B.5a_3</t>
  </si>
  <si>
    <t>3B.5a_4</t>
  </si>
  <si>
    <r>
      <t>MN soil =AE</t>
    </r>
    <r>
      <rPr>
        <b/>
        <vertAlign val="subscript"/>
        <sz val="12"/>
        <rFont val="Times New Roman"/>
        <family val="1"/>
      </rPr>
      <t>MMS=1-13</t>
    </r>
    <r>
      <rPr>
        <b/>
        <sz val="12"/>
        <rFont val="Times New Roman"/>
        <family val="1"/>
      </rPr>
      <t xml:space="preserve"> - EF</t>
    </r>
    <r>
      <rPr>
        <b/>
        <vertAlign val="subscript"/>
        <sz val="12"/>
        <rFont val="Times New Roman"/>
        <family val="1"/>
      </rPr>
      <t>MSS=1-13</t>
    </r>
    <r>
      <rPr>
        <b/>
        <sz val="12"/>
        <rFont val="Times New Roman"/>
        <family val="1"/>
      </rPr>
      <t>-FracGASM</t>
    </r>
    <r>
      <rPr>
        <b/>
        <vertAlign val="subscript"/>
        <sz val="12"/>
        <rFont val="Times New Roman"/>
        <family val="1"/>
      </rPr>
      <t xml:space="preserve">MMS=1-13 </t>
    </r>
    <r>
      <rPr>
        <b/>
        <sz val="12"/>
        <rFont val="Times New Roman"/>
        <family val="1"/>
      </rPr>
      <t>-MNLeach</t>
    </r>
    <r>
      <rPr>
        <b/>
        <vertAlign val="subscript"/>
        <sz val="12"/>
        <rFont val="Times New Roman"/>
        <family val="1"/>
      </rPr>
      <t>MMS=1-13</t>
    </r>
  </si>
  <si>
    <t>EF = direct emissions of N2O from different manure management systems (total MMS)</t>
  </si>
  <si>
    <t>Direct from dung &amp; urine voided onto pastures</t>
  </si>
  <si>
    <t>Indirect N2O animal waste</t>
  </si>
  <si>
    <t>Direct from manure (storage &amp; spread)</t>
  </si>
  <si>
    <r>
      <t>MNLeach = (FN</t>
    </r>
    <r>
      <rPr>
        <b/>
        <vertAlign val="subscript"/>
        <sz val="12"/>
        <rFont val="Times New Roman"/>
        <family val="1"/>
      </rPr>
      <t>MMS=4</t>
    </r>
    <r>
      <rPr>
        <b/>
        <sz val="12"/>
        <rFont val="Times New Roman"/>
        <family val="1"/>
      </rPr>
      <t xml:space="preserve"> + UNM</t>
    </r>
    <r>
      <rPr>
        <b/>
        <vertAlign val="subscript"/>
        <sz val="12"/>
        <rFont val="Times New Roman"/>
        <family val="1"/>
      </rPr>
      <t>MS = 4</t>
    </r>
    <r>
      <rPr>
        <b/>
        <sz val="12"/>
        <rFont val="Times New Roman"/>
        <family val="1"/>
      </rPr>
      <t>) x FracWET x FracLEACH</t>
    </r>
  </si>
  <si>
    <t>3B.51_3</t>
  </si>
  <si>
    <t>3B.51_4</t>
  </si>
  <si>
    <t>E = MNLeach x EF x C</t>
  </si>
  <si>
    <t>Milkers-dairy</t>
  </si>
  <si>
    <t>MP x 1.03 x 3.054 (MJ net energy/kg milk) / 0.6 / (0.00795 x DMD - 0.0014) / 18.4</t>
  </si>
  <si>
    <t>VS = (I x (1 - DMD) x (0.04 x I)) x (1 - A)</t>
  </si>
  <si>
    <t>VS = (I x (1 - DMD) + (0.04 x I)) x (1 - A)</t>
  </si>
  <si>
    <t>Solid storage only leached</t>
  </si>
  <si>
    <t>Manure during storage and spread</t>
  </si>
  <si>
    <r>
      <t>NR = {(0.032 x MP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</si>
  <si>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MN Soil for lagoon</t>
  </si>
  <si>
    <t>MN Soil for sump and dispersal</t>
  </si>
  <si>
    <t>MN Soil for drains to paddock</t>
  </si>
  <si>
    <t>MN Soil to solid storage</t>
  </si>
  <si>
    <t>Total for MN Soil</t>
  </si>
  <si>
    <t>Sum of faecal and urine N (AF and AU only)</t>
  </si>
  <si>
    <r>
      <t>FN</t>
    </r>
    <r>
      <rPr>
        <b/>
        <vertAlign val="subscript"/>
        <sz val="12"/>
        <rFont val="Times New Roman"/>
        <family val="1"/>
      </rPr>
      <t xml:space="preserve">MMS </t>
    </r>
    <r>
      <rPr>
        <b/>
        <sz val="12"/>
        <rFont val="Times New Roman"/>
        <family val="1"/>
      </rPr>
      <t>= (AF x MMS) +</t>
    </r>
    <r>
      <rPr>
        <b/>
        <sz val="12"/>
        <rFont val="Times New Roman"/>
        <family val="1"/>
      </rPr>
      <t>(AU x MMS)</t>
    </r>
  </si>
  <si>
    <t xml:space="preserve">kg CH4 per cow per day x number of cows per annum </t>
  </si>
  <si>
    <t>Methane produced x (100- percentage reduction)%</t>
  </si>
  <si>
    <t>3DA.3</t>
  </si>
  <si>
    <t>VS = (I x (1 - DMD) +(0.004xI))x (1 - A)</t>
  </si>
  <si>
    <t>Manure during storage and spreading</t>
  </si>
  <si>
    <r>
      <t>NR = {(0.032 x MP x 1.03 / 6.38)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</si>
  <si>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Total CO2e emissions from atmospheric deposition (indirect ammonia)</t>
  </si>
  <si>
    <t>Enteric Methane Calculations based on ERF methodology</t>
  </si>
  <si>
    <t>Change in milk production based on high fat supplementation equations and ERF calculations</t>
  </si>
  <si>
    <t>ERF credited reduction in enteric CH4</t>
  </si>
  <si>
    <t>ERF credited reduction in waste CH4</t>
  </si>
  <si>
    <t>ERF credited reduction in waste N2O</t>
  </si>
  <si>
    <t>Reduction in ERF accredited GHG emissions</t>
  </si>
  <si>
    <r>
      <t>NR = {(0.032 x MP x 1.03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</si>
  <si>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r>
      <t>MI = MP x 1.03 xNE / k / q</t>
    </r>
    <r>
      <rPr>
        <i/>
        <vertAlign val="subscript"/>
        <sz val="10"/>
        <rFont val="Times New Roman"/>
        <family val="1"/>
      </rPr>
      <t xml:space="preserve">m </t>
    </r>
    <r>
      <rPr>
        <i/>
        <sz val="10"/>
        <rFont val="Times New Roman"/>
        <family val="1"/>
      </rPr>
      <t>/ 18.4</t>
    </r>
  </si>
  <si>
    <t>VS =(I x (1 - DMD) +(0.04 x I))x (1 - A)</t>
  </si>
  <si>
    <t>N2O emissions from animal waste in storage</t>
  </si>
  <si>
    <t>VS = (I x (1 - DMD) + (0.04 x I))x (1 - A)</t>
  </si>
  <si>
    <r>
      <t>NR = {(0.032 x MP x 1.03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</si>
  <si>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 Milk Production x 1.03 x 3.054 MJ Net Energy/kg milk / 0.6 / (0.00795 DMD - 0.0014)/18.4</t>
  </si>
  <si>
    <t>NR = {(0.032 x MP x 1.03 / 6.38) + ({0.212-0.008(L - 2) - [(0.140-0.008(L - 2)) / (1+exp (-6(Z - 0.4)))]} x (LWG x 0.92)})/6.25 x 1000</t>
  </si>
  <si>
    <r>
      <t>NR = {(0.032 x MP x 1.03/6.38)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</si>
  <si>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Baseline milk production (kgs FPCM/annum)</t>
  </si>
  <si>
    <t>Additional milk produced (kg FPCM/herd per annum)</t>
  </si>
  <si>
    <t>kg additional grass per ha x ha x ME of the pasture x utilisation of the pasture (as a % so why divided by 100) divided 5.5 (MJ/litre milk) *1.03 to get kg milk for the FPCM equation to follow</t>
  </si>
  <si>
    <t>Total Milk production over the lifetime (kg FPCM)</t>
  </si>
  <si>
    <t>Lifetime milk (kg milk)</t>
  </si>
  <si>
    <r>
      <t>MI = MP x 1.03 x NE / k / q</t>
    </r>
    <r>
      <rPr>
        <i/>
        <vertAlign val="subscript"/>
        <sz val="10"/>
        <rFont val="Times New Roman"/>
        <family val="1"/>
      </rPr>
      <t xml:space="preserve">m </t>
    </r>
    <r>
      <rPr>
        <i/>
        <sz val="10"/>
        <rFont val="Times New Roman"/>
        <family val="1"/>
      </rPr>
      <t>/ 18.4</t>
    </r>
  </si>
  <si>
    <t>ERF credited reduction in fertiliser N2O</t>
  </si>
  <si>
    <t>Gross Energy Intake (GEI)</t>
  </si>
  <si>
    <t>GEI = I x 18.4</t>
  </si>
  <si>
    <t>4A.1a_3</t>
  </si>
  <si>
    <t>MJ/head/day</t>
  </si>
  <si>
    <t>4A.1a_4</t>
  </si>
  <si>
    <t>% of GEI that is yielded as methane (Y)</t>
  </si>
  <si>
    <t xml:space="preserve">Y = 1.3 + 0.112 x DMD + L x (2.37 - 0.050 x DMD) </t>
  </si>
  <si>
    <t>4A.1a_5</t>
  </si>
  <si>
    <t>Liquid/Slurry</t>
  </si>
  <si>
    <t>Daily spread</t>
  </si>
  <si>
    <t>Drylot</t>
  </si>
  <si>
    <t>Digester</t>
  </si>
  <si>
    <t>% wet-lotted (to solid storage)</t>
  </si>
  <si>
    <t>% liquid/ slurry</t>
  </si>
  <si>
    <t>% from feedpad dry-lotted</t>
  </si>
  <si>
    <t>% sum spread daily</t>
  </si>
  <si>
    <t>Voided onto pastures</t>
  </si>
  <si>
    <t>Liquid/slurry</t>
  </si>
  <si>
    <t>4A.1a_1</t>
  </si>
  <si>
    <t>MI = MP x NE / k / qm / 18.4</t>
  </si>
  <si>
    <t>4A.1a_2</t>
  </si>
  <si>
    <t>M = Y / 100 x GEI / F</t>
  </si>
  <si>
    <t>4A.1a_6</t>
  </si>
  <si>
    <t>Y / 100 x GEI / 55.22 (MJ/kg CH4)</t>
  </si>
  <si>
    <t>E =(365 x N x M) x 10^-6</t>
  </si>
  <si>
    <t>Total = (365 x N x M) x 10^-6</t>
  </si>
  <si>
    <r>
      <t>NR = {(0.032 x MP)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</si>
  <si>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4B.1a_9c</t>
  </si>
  <si>
    <t>Table 6.12</t>
  </si>
  <si>
    <t>Total emissions</t>
  </si>
  <si>
    <t>MMS = 1 Anaerobic lagoon</t>
  </si>
  <si>
    <t>MMS = 2 Liquid systems</t>
  </si>
  <si>
    <t>MMS = 3 Daily spread</t>
  </si>
  <si>
    <t>MMS = 4 Solid storage and drylot</t>
  </si>
  <si>
    <t>MMS = 5 Digester</t>
  </si>
  <si>
    <t>Total emissions (E)</t>
  </si>
  <si>
    <t>Total emissions (exc pasture)</t>
  </si>
  <si>
    <t>MN soil = ((AE x MMS) - (E / Cg) - MNatm</t>
  </si>
  <si>
    <t>E = total emissions of N2O from different manure management systems (total MMS)</t>
  </si>
  <si>
    <t>MNatm = mass of animal wastes N volatilised</t>
  </si>
  <si>
    <t>AE x MMS</t>
  </si>
  <si>
    <t>E / Cg</t>
  </si>
  <si>
    <t>Mnatm (Total stored animal waste volatilised)</t>
  </si>
  <si>
    <t>Subtotal (MN soil)</t>
  </si>
  <si>
    <t>FracGASF =0.1</t>
  </si>
  <si>
    <t>Mass of animal waste volatilised</t>
  </si>
  <si>
    <t>MMS</t>
  </si>
  <si>
    <t>Lagoon (%)</t>
  </si>
  <si>
    <t>Liquid/Slurry (%)</t>
  </si>
  <si>
    <t>Daily Spread (%)</t>
  </si>
  <si>
    <t>Solid storage (%)</t>
  </si>
  <si>
    <t>Drylot (%)</t>
  </si>
  <si>
    <t>Digester (%)</t>
  </si>
  <si>
    <t>Pasture range and paddock (%)</t>
  </si>
  <si>
    <t>Animal waste fraction volatilised</t>
  </si>
  <si>
    <t>Animal waste produced (milker)</t>
  </si>
  <si>
    <t>Animal waste produced (heifers &gt;1)</t>
  </si>
  <si>
    <t>M = AE x MMS x FracGASM</t>
  </si>
  <si>
    <t>Animal waste produced (heifers &lt;1)</t>
  </si>
  <si>
    <t>Animal waste produced (bulls &gt; 1)</t>
  </si>
  <si>
    <t>Animal waste produced (bulls &lt; 1)</t>
  </si>
  <si>
    <t>Animal waste volatilised (milker)</t>
  </si>
  <si>
    <t>Animal waste volatilised (heifers &gt;1)</t>
  </si>
  <si>
    <t>Animal waste volatilised (heifers &lt;1)</t>
  </si>
  <si>
    <t>EF = 0.01</t>
  </si>
  <si>
    <t>Animal waste volatilised (bulls &gt; 1)</t>
  </si>
  <si>
    <t>Animal waste volatilised (bulls &lt; 1)</t>
  </si>
  <si>
    <t xml:space="preserve"> fraction of N available for leaching and runoff</t>
  </si>
  <si>
    <t xml:space="preserve">EF = 0.0125 </t>
  </si>
  <si>
    <t>Total CO2-e emissions from ammonia and nitrate</t>
  </si>
  <si>
    <t>% drain to paddock</t>
  </si>
  <si>
    <t>% liquid/slurry (comparative to drain to paddock)</t>
  </si>
  <si>
    <t>Direct N2O from animal waste</t>
  </si>
  <si>
    <t>Direct N2O from N fertiliser</t>
  </si>
  <si>
    <t>Indirect N2O from animal waste</t>
  </si>
  <si>
    <t>Indirect N2O from N fertiliser</t>
  </si>
  <si>
    <t>M = 20.7 x I/1000</t>
  </si>
  <si>
    <t>Vic data mislabelled in NGGI meth documentation</t>
  </si>
  <si>
    <t>Australian Dairy Carbon Calculator</t>
  </si>
  <si>
    <t xml:space="preserve">The first step in using the carbon calculator is to enter data on the baseline farm sheet.  This is the farm system prior to exploring any mitigation options or strategies.  The accuracy of the baseline farm system is important, both in terms of an accurate assessment of it's GHG emissions and the ramifications for when an abatement strategy is implemented.  An example of a baseline farm can be viewed on the Example worksheet.  There are comments attached to many of the cells to assist with additional information regarding what the question is asking for.  </t>
  </si>
  <si>
    <t>What the Australian Dairy Carbon Calculator can't do</t>
  </si>
  <si>
    <t>The Australian Dairy Carbon Calculator development and disclaimers</t>
  </si>
  <si>
    <t xml:space="preserve">The calculator is subject to development at all times and the methodology for estimating GHG emissions alters over time so we take no responsibility for the calculator being current.  If required, professional advice should be sought when entering the baseline farm systems, deciding on the degree of change possible when implementing an abatement strategy and interpretation of the results.  The carbon calculator can be used as a first review of the potential changes in GHG emissions associated with implementing any of the intervention strategies currently available.  However, the marginal economic analysis is only a guide and therefore a full farm systems and economic analysis is recommended to better inform the productivity and profitability implications on farm, especially if capital investment is required to implement a strategy.         </t>
  </si>
  <si>
    <t>Australian Dairy Carbon Calculator Baseline farm system</t>
  </si>
  <si>
    <t>FPCM (kg per annum; IDF equation)</t>
  </si>
  <si>
    <t xml:space="preserve">Unlike all other abatement strategies in the carbon calculator where only a component of the farm system is reviewed, with this strategy the user has the ability to change any or all aspects of the baseline farm system and see the effect of this change on total farm GHG emissions and the emissions intensity of milk production.  </t>
  </si>
  <si>
    <t xml:space="preserve">Sometimes 2 or more feeds of the same type (e.g. silage or a day and night paddock for grazing) are fed.  The carbon calculator </t>
  </si>
  <si>
    <t>needs to know the total amount fed and the average dry matter digestibility (%) and crude protein (%) of each feed type.</t>
  </si>
  <si>
    <t>How to enter data into the Australian Dairy Carbon Calculator</t>
  </si>
  <si>
    <t>1. Alteration of the global warming potentials for methane from 25 to 28 times that of carbon dioxide, and for nitrous oxide from 298 to 265 times that of carbon dioxide</t>
  </si>
  <si>
    <t>Global Warming Potential and Conversion Factors</t>
  </si>
  <si>
    <t>Gas</t>
  </si>
  <si>
    <t>CO2-e</t>
  </si>
  <si>
    <r>
      <t xml:space="preserve">When the user changes any particular data entry to reflect the abatement strategy being explored (e.g. change in stock numbers, N fertiliser inputs, diet quality etc), the cell will change from white to red and the text will change from black to white to indicate that the data here is different to the baseline figure. The best way to change the data entry is </t>
    </r>
    <r>
      <rPr>
        <b/>
        <sz val="16"/>
        <color theme="1"/>
        <rFont val="Times New Roman"/>
        <family val="1"/>
      </rPr>
      <t>not to over-write the baseline figure</t>
    </r>
    <r>
      <rPr>
        <sz val="16"/>
        <color theme="1"/>
        <rFont val="Times New Roman"/>
        <family val="1"/>
      </rPr>
      <t xml:space="preserve"> with a new figure, as this removes the equation. The </t>
    </r>
    <r>
      <rPr>
        <b/>
        <sz val="16"/>
        <color theme="1"/>
        <rFont val="Times New Roman"/>
        <family val="1"/>
      </rPr>
      <t>best option is to put a plus (+) or minus (-) and the amount you want to add or subtract</t>
    </r>
    <r>
      <rPr>
        <sz val="16"/>
        <color theme="1"/>
        <rFont val="Times New Roman"/>
        <family val="1"/>
      </rPr>
      <t>.  This retains the baseline equation and can then be easily reverted back to the original baseline figure or further altered.</t>
    </r>
  </si>
  <si>
    <t xml:space="preserve">For example, the baseline milk production was 150,000 kg milksolids/annum but you want to add an additional 10,000 kg milksolids/annum.  In the corresponding cell, just put "+ 10,000" behind the reference to the baseline worksheet to reflect 160,000 kg MS/annum.  </t>
  </si>
  <si>
    <t>CO2</t>
  </si>
  <si>
    <t xml:space="preserve">Fuel type </t>
  </si>
  <si>
    <t>Quantity kL/year</t>
  </si>
  <si>
    <t xml:space="preserve">Total </t>
  </si>
  <si>
    <t>Diesel</t>
  </si>
  <si>
    <t>Transport vehicles (post-2004)</t>
  </si>
  <si>
    <t>Scope 1 emission factor (kg CO2e/ GJ )</t>
  </si>
  <si>
    <t>Scope 3 emission factor (kg CO2e/GJ)</t>
  </si>
  <si>
    <t>Scope 1 emission factor (t CO2e/kL diesel)</t>
  </si>
  <si>
    <t>Scope 3 emissions (t CO2e/kL diesel)</t>
  </si>
  <si>
    <t>Energy content factor (Gg/kL)</t>
  </si>
  <si>
    <t>Diesel and unleaded petrol (Scope 1)</t>
  </si>
  <si>
    <t>Diesel and unleaded petrol (Scope 3)</t>
  </si>
  <si>
    <t>Electricity (Scope 2)</t>
  </si>
  <si>
    <t>Electricity (Scope 3)</t>
  </si>
  <si>
    <t>Scope 2 emission factor (kg CO2e/kWh)</t>
  </si>
  <si>
    <t>Scope 3 emission factor (kg CO2e/kWh)</t>
  </si>
  <si>
    <t>Scope 1 emissions t CO2-e/annum</t>
  </si>
  <si>
    <t>Scope 3 emissions t CO2-e/annum</t>
  </si>
  <si>
    <t>Total  emissions t CO2-e/annum (Scope 1 and 3)</t>
  </si>
  <si>
    <t>Electricity consumption</t>
  </si>
  <si>
    <t>Source</t>
  </si>
  <si>
    <t>State Grid</t>
  </si>
  <si>
    <t>100% renewable</t>
  </si>
  <si>
    <t>Option</t>
  </si>
  <si>
    <t>Quantity (kWh/annum)</t>
  </si>
  <si>
    <t>Quantity (L/annum)</t>
  </si>
  <si>
    <t>Scope 2 emission factor (kg CO2e-kWh)</t>
  </si>
  <si>
    <t>Scope 2 emissions (t CO2e/annum)</t>
  </si>
  <si>
    <t>Scope 3 emission factor (kg CO2e-kWh)</t>
  </si>
  <si>
    <t>Scope 3 emissions (t CO2e/annum)</t>
  </si>
  <si>
    <t>Full carbon emissions (t CO2e/annum)</t>
  </si>
  <si>
    <t>Percentage of N fertiliser that is urea</t>
  </si>
  <si>
    <t>Carbon dioxide from urea</t>
  </si>
  <si>
    <t>Amount (t fertiliser)</t>
  </si>
  <si>
    <t>% of N fertiliser applied as urea</t>
  </si>
  <si>
    <t>N fertiliser converted to urea (t fertiliser)</t>
  </si>
  <si>
    <t>N fertiliser as urea</t>
  </si>
  <si>
    <t>EF for urea</t>
  </si>
  <si>
    <t>Emission (t CO2e/annum)</t>
  </si>
  <si>
    <t>Carbon dioxide from liming</t>
  </si>
  <si>
    <t>Mass of lime applied to soils</t>
  </si>
  <si>
    <t>Fractional purity of lime</t>
  </si>
  <si>
    <t>EF for lime</t>
  </si>
  <si>
    <t>Emission (Gg CO2e/annum)</t>
  </si>
  <si>
    <t>Factor altered to match SB-GAF, taken from SimaPro Pre AR5</t>
  </si>
  <si>
    <t>P fertiliser (SSP emission factor)</t>
  </si>
  <si>
    <t>S fertiliser (SSP emission factor)</t>
  </si>
  <si>
    <t>M = 20.7 x I / 1000</t>
  </si>
  <si>
    <t>kg methane x 28 to convert to CO2e / 1000 to convert into t CO2e/annum</t>
  </si>
  <si>
    <t>Grand Total - Enteric t CO2-e</t>
  </si>
  <si>
    <t>M =20.7 x I / 1000</t>
  </si>
  <si>
    <t>M = 20.7 x I /1000</t>
  </si>
  <si>
    <t>Based on NGGI of 20.7 g CH4 per kg DM intake (or equivalent to 20 kg/tonne DM)</t>
  </si>
  <si>
    <t>x GWP to convert from kg CH4 to t CO2e</t>
  </si>
  <si>
    <t>t Fert N x 0.4% (emission factor for pastures) x 1.57 (convert from elemental to molecular N2O) x GWP (convert to CO2e)</t>
  </si>
  <si>
    <t>t Fert N x 0.24 (FracLEACH constant for Gg N/Gg applied) x 0.011 (constant for Gg N2O-N/Gg N) x 1.57 (constant to convert from elemental to molecular N2O) x GWP (convert to CO2e)</t>
  </si>
  <si>
    <t>(Herd annual urinary N x % time spent on pastures) x 0.4% (emission factor for direct N2O emissions from urine) x 1.57 (to convert elemental N2O to molecular N2O) x 265 (GWP) x 1000 (t convert to t)</t>
  </si>
  <si>
    <t>Total urinary N x % time spent on pastures x 0.24 (fraction of N available for leaching) x 0.011 (Gg N2O-N/Gg N) x 1.57 (convert elemental N2O to molecular N2O) x 265 (GWP) x 1000 (convert to t)</t>
  </si>
  <si>
    <t>Urea and Lime</t>
  </si>
  <si>
    <t>3. Inclusion of carbon dioxide emissions associated with the breakdown of urea and lime when applied to pastures, leading to a loss of carbon dioxide emissions</t>
  </si>
  <si>
    <t>4. Alteration of the emission factors for pre-farm embedded emissions (grain, forage, fertiliser) to align with the same factors used in the SB-GAF tool (estimation of sheep and beef GHG emissions)</t>
  </si>
  <si>
    <t xml:space="preserve">6. An explanation of each emission source has been included as a note in the results table. </t>
  </si>
  <si>
    <t>Urea and Lime/dolomite</t>
  </si>
  <si>
    <t>Rate of Lime/dolomite</t>
  </si>
  <si>
    <t>Percentage of waste that is flushed and then spread daily from a sump/dispersal system (with or without removal of solids)</t>
  </si>
  <si>
    <t>Do you pre-treat the waste prior to spreading daily or entering the lagoon (e.g. weeping wall, solids trap, mechanical separator to remove a fraction of the solids)?</t>
  </si>
  <si>
    <t>Murray River region</t>
  </si>
  <si>
    <t>Southern QLD</t>
  </si>
  <si>
    <t>Southern TAS</t>
  </si>
  <si>
    <t>Southern NSW</t>
  </si>
  <si>
    <t>Inland &amp; Murray Dairy</t>
  </si>
  <si>
    <t>North East VIC</t>
  </si>
  <si>
    <t>North East TAS</t>
  </si>
  <si>
    <t>North West TAS</t>
  </si>
  <si>
    <t>Northern QLD</t>
  </si>
  <si>
    <t>South West WA</t>
  </si>
  <si>
    <t>South East SA</t>
  </si>
  <si>
    <t xml:space="preserve">Northern VIC </t>
  </si>
  <si>
    <t>Mallee VIC</t>
  </si>
  <si>
    <t>East Gippsland</t>
  </si>
  <si>
    <t>South West VIC</t>
  </si>
  <si>
    <t>South &amp; West Gippsland</t>
  </si>
  <si>
    <t>Central North &amp; Midlands</t>
  </si>
  <si>
    <t>North East VIC (e.g. Wangaratta)</t>
  </si>
  <si>
    <t>Changes between version 4 and version 5.1</t>
  </si>
  <si>
    <r>
      <t>2. Minor changes to a range of emission factors (EF), which has resulted in a net increase in indirect N</t>
    </r>
    <r>
      <rPr>
        <vertAlign val="subscript"/>
        <sz val="11"/>
        <color theme="1"/>
        <rFont val="Calibri"/>
        <family val="2"/>
        <scheme val="minor"/>
      </rPr>
      <t>2</t>
    </r>
    <r>
      <rPr>
        <sz val="11"/>
        <color theme="1"/>
        <rFont val="Calibri"/>
        <family val="2"/>
        <scheme val="minor"/>
      </rPr>
      <t>O losses (e.g. EF for N lost through leaching has increased from 0.0075 to 0.011 Gg N</t>
    </r>
    <r>
      <rPr>
        <vertAlign val="subscript"/>
        <sz val="11"/>
        <color theme="1"/>
        <rFont val="Calibri"/>
        <family val="2"/>
        <scheme val="minor"/>
      </rPr>
      <t>2</t>
    </r>
    <r>
      <rPr>
        <sz val="11"/>
        <color theme="1"/>
        <rFont val="Calibri"/>
        <family val="2"/>
        <scheme val="minor"/>
      </rPr>
      <t>O-N/Gg N)</t>
    </r>
  </si>
  <si>
    <t xml:space="preserve">5. Alterations to emission factors and reporting of electricity and diesel consumption. Scope 1 diesel emissions are those emitted on farm with the consumption of fuel in vehicles, </t>
  </si>
  <si>
    <t>tractors, irrigation pumps etc. Scope 3 diesel emissions are associated with the extraction and manufacturing of diesel (previously included in the total diesel GHG emission estimates).</t>
  </si>
  <si>
    <t xml:space="preserve">Scope 2 electricity emissions are associated with the generation and subsequent consumption of electricity on farm. Scope 3 electricity emissions are those associated with loss of electricity </t>
  </si>
  <si>
    <r>
      <t xml:space="preserve">The third </t>
    </r>
    <r>
      <rPr>
        <b/>
        <sz val="11"/>
        <color theme="1"/>
        <rFont val="Calibri"/>
        <family val="2"/>
        <scheme val="minor"/>
      </rPr>
      <t xml:space="preserve">Key variables </t>
    </r>
    <r>
      <rPr>
        <sz val="11"/>
        <color theme="1"/>
        <rFont val="Calibri"/>
        <family val="2"/>
        <scheme val="minor"/>
      </rPr>
      <t xml:space="preserve">section (coloured pink)  is a series of key questions relevant to the abatement strategy being explored (e.g. percentage reduction in enteric methane as a result of breeding or management).  Data is entered either by using the up/down arrows or entering data (e.g. calving date for the extended lactation strategy).  All the cells that require numbers will begin at zero when the carbon calculator is opened for the first time.     </t>
    </r>
  </si>
  <si>
    <t xml:space="preserve">The Australian Dairy Carbon Calculator (ADCC, and previously known as DGAS) was developed to explore the implications of a range of diet, herd or feedbase management options on the greenhouse gas (GHG) emissions for a dairy enterprise.  In addition, a replication of the baseline farm is provided to users to give them the ability to alter one or more components of the whole farm system.  </t>
  </si>
  <si>
    <t>Choose soil type</t>
  </si>
  <si>
    <t>Area of trees (ha)</t>
  </si>
  <si>
    <t>Age of trees</t>
  </si>
  <si>
    <t>Tree carbon sequestration</t>
  </si>
  <si>
    <t>Amount of carbon sequestered by trees</t>
  </si>
  <si>
    <t>Location</t>
  </si>
  <si>
    <t>Chart source data</t>
  </si>
  <si>
    <t xml:space="preserve"> tonnes per hectare</t>
  </si>
  <si>
    <t>NSW</t>
  </si>
  <si>
    <t>Region</t>
  </si>
  <si>
    <t>TAS</t>
  </si>
  <si>
    <t>Annual CO2 equivalent (1 tonne tree carbon = 3.67 tonnes CO2) =</t>
  </si>
  <si>
    <t>WA</t>
  </si>
  <si>
    <t>Tree type</t>
  </si>
  <si>
    <t>Species of Tree</t>
  </si>
  <si>
    <t>SA</t>
  </si>
  <si>
    <t>Soil type</t>
  </si>
  <si>
    <t>Soil Type</t>
  </si>
  <si>
    <t>VIC</t>
  </si>
  <si>
    <t>Total Tree Carbon production</t>
  </si>
  <si>
    <t>Annual Carbon production</t>
  </si>
  <si>
    <t>Current year</t>
  </si>
  <si>
    <t>QLD</t>
  </si>
  <si>
    <t>Area of trees</t>
  </si>
  <si>
    <t>NT</t>
  </si>
  <si>
    <t>Tonnes per Ha</t>
  </si>
  <si>
    <t>Total Tonnes</t>
  </si>
  <si>
    <t xml:space="preserve">Average yearly increase in Tree Carbon  = 
(over the long term - 100 years) </t>
  </si>
  <si>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</si>
  <si>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</si>
  <si>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</si>
  <si>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</si>
  <si>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</si>
  <si>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</si>
  <si>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</si>
  <si>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</si>
  <si>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</si>
  <si>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</si>
  <si>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</si>
  <si>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</si>
  <si>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</si>
  <si>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</si>
  <si>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</si>
  <si>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</si>
  <si>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</si>
  <si>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</si>
  <si>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</si>
  <si>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</si>
  <si>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</si>
  <si>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</si>
  <si>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</si>
  <si>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</si>
  <si>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</si>
  <si>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</si>
  <si>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</si>
  <si>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Loams &amp; Clays</t>
  </si>
  <si>
    <t>Sandy Duplexes</t>
  </si>
  <si>
    <t>Mixed species (Environmental Plantings)</t>
  </si>
  <si>
    <t>Tasmanian Blue Gum</t>
  </si>
  <si>
    <t>Sydney Blue Gum</t>
  </si>
  <si>
    <t>Maritime Pine</t>
  </si>
  <si>
    <t>Pinus Radiata</t>
  </si>
  <si>
    <t>No tree data available</t>
  </si>
  <si>
    <t>Duplex</t>
  </si>
  <si>
    <t>Clay &amp; Red Loam</t>
  </si>
  <si>
    <t>Spotted Gum</t>
  </si>
  <si>
    <t>Dunn's White Gum</t>
  </si>
  <si>
    <t>Flooded Gum</t>
  </si>
  <si>
    <t>Slash Pine</t>
  </si>
  <si>
    <t>Loblolly Pine</t>
  </si>
  <si>
    <t>Clay</t>
  </si>
  <si>
    <t>Loam</t>
  </si>
  <si>
    <t>Sugar Gum</t>
  </si>
  <si>
    <t>Red Ironbark</t>
  </si>
  <si>
    <t>Radiata Pine (low input)</t>
  </si>
  <si>
    <t>Radiata Pine (high input)</t>
  </si>
  <si>
    <t xml:space="preserve">Loams </t>
  </si>
  <si>
    <t>All other Soils</t>
  </si>
  <si>
    <t>Shining Gum</t>
  </si>
  <si>
    <t>Loams</t>
  </si>
  <si>
    <t>Duplex Soils</t>
  </si>
  <si>
    <t>Cracking Clays</t>
  </si>
  <si>
    <t>Calcarosols</t>
  </si>
  <si>
    <t>Yellow Duplex</t>
  </si>
  <si>
    <t>Pinus Radiata (low input)</t>
  </si>
  <si>
    <t>Pinus Radiata (high input)</t>
  </si>
  <si>
    <t>Grey Cracking Clays</t>
  </si>
  <si>
    <t>Red Duplex</t>
  </si>
  <si>
    <t>Red Earths</t>
  </si>
  <si>
    <t>Non-cracking Clays</t>
  </si>
  <si>
    <t>Gradational soils</t>
  </si>
  <si>
    <t>Mountain Ash</t>
  </si>
  <si>
    <t>Clays</t>
  </si>
  <si>
    <t>Hoop Pine</t>
  </si>
  <si>
    <t>Lemon-scented Gum</t>
  </si>
  <si>
    <t>Western White Gum</t>
  </si>
  <si>
    <t>Blackbutt</t>
  </si>
  <si>
    <t>Pinus Hybrids</t>
  </si>
  <si>
    <t>Clay (Brigalo and Belah)</t>
  </si>
  <si>
    <t>Duplex Woodland</t>
  </si>
  <si>
    <t>Carbon (tree only) - tonnes/hectare</t>
  </si>
  <si>
    <t>LookUp Ref</t>
  </si>
  <si>
    <t>Tas</t>
  </si>
  <si>
    <t>Vic</t>
  </si>
  <si>
    <t>Qld</t>
  </si>
  <si>
    <t>R1T1S1</t>
  </si>
  <si>
    <t>R1T1S2</t>
  </si>
  <si>
    <t>R1T2S1</t>
  </si>
  <si>
    <t>R1T2S2</t>
  </si>
  <si>
    <t>R1T3S1</t>
  </si>
  <si>
    <t>R1T3S2</t>
  </si>
  <si>
    <t>R1T4S1</t>
  </si>
  <si>
    <t>R1T4S2</t>
  </si>
  <si>
    <t>R1T5S1</t>
  </si>
  <si>
    <t>R1T5S2</t>
  </si>
  <si>
    <t>R1T6S1</t>
  </si>
  <si>
    <t>R1T6S2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</si>
  <si>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</si>
  <si>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</si>
  <si>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</si>
  <si>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</si>
  <si>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</si>
  <si>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</si>
  <si>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</si>
  <si>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</si>
  <si>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</si>
  <si>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</si>
  <si>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</si>
  <si>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</si>
  <si>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</si>
  <si>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</si>
  <si>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</si>
  <si>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</si>
  <si>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</si>
  <si>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</si>
  <si>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</si>
  <si>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</si>
  <si>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</si>
  <si>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</si>
  <si>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</si>
  <si>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</si>
  <si>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</si>
  <si>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</si>
  <si>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</si>
  <si>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</si>
  <si>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</si>
  <si>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</si>
  <si>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</si>
  <si>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</si>
  <si>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</si>
  <si>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</si>
  <si>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</si>
  <si>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</si>
  <si>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</si>
  <si>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</si>
  <si>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R15T1S1</t>
  </si>
  <si>
    <t>R15T1S2</t>
  </si>
  <si>
    <t>R15T2S1</t>
  </si>
  <si>
    <t>R15T2S2</t>
  </si>
  <si>
    <t>R15T3S1</t>
  </si>
  <si>
    <t>R15T3S2</t>
  </si>
  <si>
    <t>R15T4S1</t>
  </si>
  <si>
    <t>R15T4S2</t>
  </si>
  <si>
    <t>R15T5S1</t>
  </si>
  <si>
    <t>R15T5S2</t>
  </si>
  <si>
    <t>R15T6S1</t>
  </si>
  <si>
    <t>R15T6S2</t>
  </si>
  <si>
    <t>R17T1S1</t>
  </si>
  <si>
    <t>R17T1S2</t>
  </si>
  <si>
    <t>R17T2S1</t>
  </si>
  <si>
    <t>R17T2S2</t>
  </si>
  <si>
    <t>R17T3S1</t>
  </si>
  <si>
    <t>R17T3S2</t>
  </si>
  <si>
    <t>R17T4S1</t>
  </si>
  <si>
    <t>R17T4S2</t>
  </si>
  <si>
    <t>R17T5S1</t>
  </si>
  <si>
    <t>R17T5S2</t>
  </si>
  <si>
    <t>R17T6S1</t>
  </si>
  <si>
    <t>R17T6S2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</si>
  <si>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</si>
  <si>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</si>
  <si>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</si>
  <si>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</si>
  <si>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</si>
  <si>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</si>
  <si>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</si>
  <si>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</si>
  <si>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</si>
  <si>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</si>
  <si>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</si>
  <si>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</si>
  <si>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</si>
  <si>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</si>
  <si>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</si>
  <si>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</si>
  <si>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</si>
  <si>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</si>
  <si>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</si>
  <si>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</si>
  <si>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</si>
  <si>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</si>
  <si>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</si>
  <si>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</si>
  <si>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</si>
  <si>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</si>
  <si>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</si>
  <si>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</si>
  <si>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</si>
  <si>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</si>
  <si>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</si>
  <si>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</si>
  <si>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</si>
  <si>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</si>
  <si>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</si>
  <si>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</si>
  <si>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</si>
  <si>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</si>
  <si>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</si>
  <si>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</si>
  <si>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</si>
  <si>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</si>
  <si>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</si>
  <si>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</si>
  <si>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</si>
  <si>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</si>
  <si>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</si>
  <si>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</si>
  <si>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</si>
  <si>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</si>
  <si>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</si>
  <si>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</si>
  <si>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</si>
  <si>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</si>
  <si>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</si>
  <si>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</si>
  <si>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</si>
  <si>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</si>
  <si>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</si>
  <si>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</si>
  <si>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R28T1S1</t>
  </si>
  <si>
    <t>R28T1S2</t>
  </si>
  <si>
    <t>R28T2S1</t>
  </si>
  <si>
    <t>R28T2S2</t>
  </si>
  <si>
    <t>R28T3S1</t>
  </si>
  <si>
    <t>R28T3S2</t>
  </si>
  <si>
    <t>R28T4S1</t>
  </si>
  <si>
    <t>R28T4S2</t>
  </si>
  <si>
    <t>R28T5S1</t>
  </si>
  <si>
    <t>R28T5S2</t>
  </si>
  <si>
    <t>R28T6S1</t>
  </si>
  <si>
    <t>R28T6S2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</si>
  <si>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</si>
  <si>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</si>
  <si>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</si>
  <si>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</si>
  <si>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</si>
  <si>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</si>
  <si>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</si>
  <si>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</si>
  <si>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</si>
  <si>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</si>
  <si>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</si>
  <si>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</si>
  <si>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</si>
  <si>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</si>
  <si>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</si>
  <si>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</si>
  <si>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</si>
  <si>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</si>
  <si>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</si>
  <si>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</si>
  <si>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</si>
  <si>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</si>
  <si>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</si>
  <si>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</si>
  <si>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</si>
  <si>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</si>
  <si>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</si>
  <si>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</si>
  <si>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</si>
  <si>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</si>
  <si>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</si>
  <si>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</si>
  <si>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</si>
  <si>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</si>
  <si>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</si>
  <si>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</si>
  <si>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</si>
  <si>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</si>
  <si>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</si>
  <si>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</si>
  <si>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</si>
  <si>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</si>
  <si>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</si>
  <si>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</si>
  <si>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</si>
  <si>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</si>
  <si>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</si>
  <si>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</si>
  <si>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</si>
  <si>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</si>
  <si>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</si>
  <si>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</si>
  <si>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</si>
  <si>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</si>
  <si>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</si>
  <si>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</si>
  <si>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</si>
  <si>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</si>
  <si>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</si>
  <si>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</si>
  <si>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</si>
  <si>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</si>
  <si>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</si>
  <si>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</si>
  <si>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</si>
  <si>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</si>
  <si>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</si>
  <si>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</si>
  <si>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</si>
  <si>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</si>
  <si>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</si>
  <si>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</si>
  <si>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R40T1S1</t>
  </si>
  <si>
    <t>R40T1S2</t>
  </si>
  <si>
    <t>R40T2S1</t>
  </si>
  <si>
    <t>R40T2S2</t>
  </si>
  <si>
    <t>R40T3S1</t>
  </si>
  <si>
    <t>R40T3S2</t>
  </si>
  <si>
    <t>R40T4S1</t>
  </si>
  <si>
    <t>R40T4S2</t>
  </si>
  <si>
    <t>R40T5S1</t>
  </si>
  <si>
    <t>R40T5S2</t>
  </si>
  <si>
    <t>R40T6S1</t>
  </si>
  <si>
    <t>R40T6S2</t>
  </si>
  <si>
    <t>MCF = Integrated methane conversion factor - based on the proportion of different manure management regimes</t>
  </si>
  <si>
    <t>Manure methane</t>
  </si>
  <si>
    <t>Northern coastal NSW</t>
  </si>
  <si>
    <t>Southern coastal NSW</t>
  </si>
  <si>
    <t>Central North &amp; Midlands TAS</t>
  </si>
  <si>
    <t>Murray River SA</t>
  </si>
  <si>
    <t>Mallee region VIC</t>
  </si>
  <si>
    <t>Northern region VIC</t>
  </si>
  <si>
    <t>North East region VIC</t>
  </si>
  <si>
    <t>Central Inland &amp; Riverina NSW</t>
  </si>
  <si>
    <t>Tree plantings</t>
  </si>
  <si>
    <t>Net GHG emissions (kg)</t>
  </si>
  <si>
    <t>MMS 3b= Drain to paddock</t>
  </si>
  <si>
    <t>Total indirect N2O lost through volatilisation of manure in storage</t>
  </si>
  <si>
    <t>Pre-treat manure to separate solids</t>
  </si>
  <si>
    <t xml:space="preserve"> </t>
  </si>
  <si>
    <t>Pre-treat manure storage</t>
  </si>
  <si>
    <t>Area of  trees (ha)</t>
  </si>
  <si>
    <t xml:space="preserve">On first opening this strategy worksheet, most data will appear exactly the same as per the baseline farm system as each cell is referenced back to its corresponding baseline farm system cell.  You will see this by clicking any of the data entry cells that it is referenced to the corresponding cells from the Baseline farm worksheet.  The one exception to this is drop-down lists for tree carbon sequestration do not always match the baseline farm. Users need to select if the tool is being used to estimate tree carbon, and if yes, select the same region, tree species and soil type from the corresponding drop-down lists as per the baseline farm. The box will change from red to white if the correct selection has been made. </t>
  </si>
  <si>
    <t>1990 National Greenhouse Gas Inventory (NGGI) methodology</t>
  </si>
  <si>
    <t xml:space="preserve">This spreadsheet is protected and linked back to the baseline farm.  It is used to compare the old NGGI methodology from 1990 (GWPs of 21 and 310) to the current </t>
  </si>
  <si>
    <t>NGGI methodology with GWPs of 28 for methane and 265 for nitrous oxide</t>
  </si>
  <si>
    <t>2015 National Greenhouse Gas Inventory (NGGI) methodology</t>
  </si>
  <si>
    <t>Estimated carbon credit if paid on reduction in GHG</t>
  </si>
  <si>
    <t>Meat production</t>
  </si>
  <si>
    <t>Cull cows</t>
  </si>
  <si>
    <t>Liveweight at point of sale</t>
  </si>
  <si>
    <t>Number of stock sold each year</t>
  </si>
  <si>
    <t>Heifers &lt; 1</t>
  </si>
  <si>
    <t>Heifers &gt; 1</t>
  </si>
  <si>
    <t>Bulls</t>
  </si>
  <si>
    <t>FPCM (kg per annum based on IDF equation)</t>
  </si>
  <si>
    <t>Total meat</t>
  </si>
  <si>
    <t>EI (kg FPCM)</t>
  </si>
  <si>
    <t>Carbon sequestration</t>
  </si>
  <si>
    <t xml:space="preserve">Total GHG emissions </t>
  </si>
  <si>
    <t>Total GHG emissions with 1990 NGGI methodology</t>
  </si>
  <si>
    <t>Total GHG emissions with 2015 NGGI methodology</t>
  </si>
  <si>
    <t xml:space="preserve">Net GHG emissions </t>
  </si>
  <si>
    <r>
      <t>Percentage change in net GHG emissions-</t>
    </r>
    <r>
      <rPr>
        <sz val="12"/>
        <color theme="1"/>
        <rFont val="Times New Roman"/>
        <family val="1"/>
      </rPr>
      <t xml:space="preserve"> Positive number in a green cell means a positive outcome, negative number in a red cell means a negative outcome</t>
    </r>
  </si>
  <si>
    <t>% of waste to this system</t>
  </si>
  <si>
    <t>MCF %</t>
  </si>
  <si>
    <t>multiplication of these two factors</t>
  </si>
  <si>
    <t xml:space="preserve">% of total </t>
  </si>
  <si>
    <t>Bulls/steers (1-2 yrs)</t>
  </si>
  <si>
    <t>Southern &amp; Derwent Valley TAS</t>
  </si>
  <si>
    <t>% of total GHG emissions (before carbon sequestration is taken into account)</t>
  </si>
  <si>
    <t>Choose your region of Australia</t>
  </si>
  <si>
    <t>Carbon sequestered using other tools</t>
  </si>
  <si>
    <t>Net GHG emissions with 2015 NGGI methodology</t>
  </si>
  <si>
    <t>Bulls/steers &lt; 1 yr age</t>
  </si>
  <si>
    <t xml:space="preserve">Bulls/steers &lt; 1 yr age </t>
  </si>
  <si>
    <t>Bulls/steers &gt; 1 yr age</t>
  </si>
  <si>
    <t>Heifers &gt;1 yr age</t>
  </si>
  <si>
    <t>Heifers &lt;1 yr age</t>
  </si>
  <si>
    <t>units</t>
  </si>
  <si>
    <t>Animal waste produced (mature bulls)</t>
  </si>
  <si>
    <t>Animal waste volatilised (mature bulls)</t>
  </si>
  <si>
    <t>Bulls/steers &gt;1 yr age</t>
  </si>
  <si>
    <t>Milking cow</t>
  </si>
  <si>
    <t>Heifer &gt; 1</t>
  </si>
  <si>
    <t>Heifer &lt; 1</t>
  </si>
  <si>
    <t>Steers &lt; 1</t>
  </si>
  <si>
    <t>Steers &gt; 1</t>
  </si>
  <si>
    <t>Methane (Scope 1):</t>
  </si>
  <si>
    <t>Nitrous oxide (Scope 1):</t>
  </si>
  <si>
    <t>Pre-farm gate embedded (Scope 3)</t>
  </si>
  <si>
    <t>State and dairy region for tree plantings</t>
  </si>
  <si>
    <t>RDPs for linking to Industry average farm</t>
  </si>
  <si>
    <t>Choose your RDP region</t>
  </si>
  <si>
    <t>Australia-wide</t>
  </si>
  <si>
    <t>Typical averages (baseline farm)</t>
  </si>
  <si>
    <t>Typical averages (example baseline farm)</t>
  </si>
  <si>
    <t>The Australian Dairy Carbon Calculator (versions 1 through 4) was developed by staff from the University of Tasmania, University of Melbourne and the Victorian Department of Environment and Primary Industries and was funded by the Australian Department of Agriculture, Dairy Australia, Meat and Livestock Australia and Australian Wool Innovation as part of the WFSAM project.</t>
  </si>
  <si>
    <r>
      <t>Direct N</t>
    </r>
    <r>
      <rPr>
        <vertAlign val="subscript"/>
        <sz val="11"/>
        <color theme="1"/>
        <rFont val="Times New Roman"/>
        <family val="1"/>
      </rPr>
      <t>2</t>
    </r>
    <r>
      <rPr>
        <sz val="11"/>
        <color theme="1"/>
        <rFont val="Times New Roman"/>
        <family val="1"/>
      </rPr>
      <t>O animal waste</t>
    </r>
  </si>
  <si>
    <t>2020/21</t>
  </si>
  <si>
    <t>Average milk production</t>
  </si>
  <si>
    <t>kg MS per cow per day</t>
  </si>
  <si>
    <t>12. Tree carbon sequestration estimations have been redesigned and based on those in other national GHG tools such as SB-GAF</t>
  </si>
  <si>
    <t>Enter cost of achieving improved diet digestibility to protein ratio ($/ annum)</t>
  </si>
  <si>
    <t>Difference in direct N2O emissions</t>
  </si>
  <si>
    <t>Difference in indirect N2O emissions</t>
  </si>
  <si>
    <t xml:space="preserve">This spreadsheet is protected and linked back to the baseline farm.  It is used to compare the old NGGI methodology from 2017 (GWPs of 25 and 298) to the current </t>
  </si>
  <si>
    <t>NGGI methodology from 2022 onwards, which contains GWPs of 28 for methane and 265 for nitrous oxide.</t>
  </si>
  <si>
    <t>Net GHG emissions with current 2022 NGGI</t>
  </si>
  <si>
    <t xml:space="preserve">Other stock &lt; 1 yr age </t>
  </si>
  <si>
    <t>Other stock &gt; 1 yr age</t>
  </si>
  <si>
    <t>t LW/annum</t>
  </si>
  <si>
    <t>Other stock &gt; 1</t>
  </si>
  <si>
    <t>Other stock &lt; 1</t>
  </si>
  <si>
    <t>7. Two 'Other stock' classes for non-replacement animals and young bulls. This was critical to allow for the inclusion of raising heifers and steers as dairy beef</t>
  </si>
  <si>
    <t>8. New data entry required to estimate total meat sold from CFA cows, bulls and young stock.</t>
  </si>
  <si>
    <t>13. Password to unprotect sheets, at the users discretion, is Dairy_DGAS</t>
  </si>
  <si>
    <r>
      <t>kg CO</t>
    </r>
    <r>
      <rPr>
        <b/>
        <vertAlign val="subscript"/>
        <sz val="12"/>
        <color theme="1"/>
        <rFont val="Times New Roman"/>
        <family val="1"/>
      </rPr>
      <t>2</t>
    </r>
    <r>
      <rPr>
        <b/>
        <sz val="12"/>
        <color theme="1"/>
        <rFont val="Times New Roman"/>
        <family val="1"/>
      </rPr>
      <t>e/kg liveweight meat</t>
    </r>
  </si>
  <si>
    <t>kg CO2e/kg liveweight meat</t>
  </si>
  <si>
    <t>Calves</t>
  </si>
  <si>
    <t>Livestock dynamics</t>
  </si>
  <si>
    <t>Urea and Lime/dolomite (Scope 1)</t>
  </si>
  <si>
    <t xml:space="preserve">Area of N fertiliser </t>
  </si>
  <si>
    <t xml:space="preserve">Area of P K S &amp; Lime fertiliser </t>
  </si>
  <si>
    <t>Area of P K S &amp; Lime fertiliser</t>
  </si>
  <si>
    <t>Area of N fertiliser</t>
  </si>
  <si>
    <t xml:space="preserve">Integrated MCF </t>
  </si>
  <si>
    <t>Farmer details</t>
  </si>
  <si>
    <t xml:space="preserve">Area of PKS &amp; Lime fertiliser </t>
  </si>
  <si>
    <t>Rate of P K S &amp; Lime/dolomite to pastures</t>
  </si>
  <si>
    <t>Rate of P K S &amp; Lime/dolomite to crops</t>
  </si>
  <si>
    <t>kg VS/head.day for the milking cows</t>
  </si>
  <si>
    <t xml:space="preserve">If from the grid but not all renewable, % that is </t>
  </si>
  <si>
    <t>ADCC (version 5) was funded by Dairy Australia, and developed by staff from the University of Tasmania, with input from staff at Dairy Australia, University of Melbourne, Agriculture Victoria and XCheque.</t>
  </si>
  <si>
    <t>Liveweight Calves at Birth</t>
  </si>
  <si>
    <t>Liveweight Calves Weaned</t>
  </si>
  <si>
    <t>Liveweight Fattened Dairy Livestock</t>
  </si>
  <si>
    <t>Liveweight Fattened Other Livestock</t>
  </si>
  <si>
    <t>Total Liveweight Sold</t>
  </si>
  <si>
    <t>Factor</t>
  </si>
  <si>
    <t>Dairy</t>
  </si>
  <si>
    <t>% of Dairy Meat</t>
  </si>
  <si>
    <t>All Meat</t>
  </si>
  <si>
    <t>% of All Meat</t>
  </si>
  <si>
    <t>Energy Demand Cull Cows</t>
  </si>
  <si>
    <t>Energy Demand Calves at Birth</t>
  </si>
  <si>
    <t>Energy Demand Calves Weaned</t>
  </si>
  <si>
    <t>Energy Demand Fattened Dairy Livestock</t>
  </si>
  <si>
    <t>Energy Demand Fattened Other Livestock</t>
  </si>
  <si>
    <t>Total Energy Demand Meat</t>
  </si>
  <si>
    <t>Energy Demand Milk</t>
  </si>
  <si>
    <t>Total Energy Demand</t>
  </si>
  <si>
    <t>% Milk of Energy</t>
  </si>
  <si>
    <t>Milk only C02 (Electricity + Pre-farmgate feed)</t>
  </si>
  <si>
    <t>Meat only CO2 (Other Livestock)</t>
  </si>
  <si>
    <t>Dairy Livestock CO2 (Dairy Livestock)</t>
  </si>
  <si>
    <t>General Farm CO2 (Fertiliser + Fuel - Trees)</t>
  </si>
  <si>
    <t>Total Farm CO2</t>
  </si>
  <si>
    <t>Calculated from spreadsheet data</t>
  </si>
  <si>
    <t>kg CO2 / kg FPCM</t>
  </si>
  <si>
    <t>kg CO2 / kg LW</t>
  </si>
  <si>
    <t>Meat AllocationDetail</t>
  </si>
  <si>
    <t>kg LW sold</t>
  </si>
  <si>
    <t>tonnes of CO2</t>
  </si>
  <si>
    <t>% of Meat</t>
  </si>
  <si>
    <t>% of CO2</t>
  </si>
  <si>
    <t>Calves at Birth</t>
  </si>
  <si>
    <t>Calves Weaned</t>
  </si>
  <si>
    <t>Fattened Dairy Livestock</t>
  </si>
  <si>
    <t>Fattened Other Livestock</t>
  </si>
  <si>
    <t>Total Meat</t>
  </si>
  <si>
    <t>Calves sold</t>
  </si>
  <si>
    <t>Liveweight Cull Cows (inc bulls)</t>
  </si>
  <si>
    <t>Cull Cows/bulls</t>
  </si>
  <si>
    <t>N, P, S and lime taken from a range of sources, check emails to/from Richard Eckard around 20-23 June 2022</t>
  </si>
  <si>
    <t>Total milk CO2 allocated emissions</t>
  </si>
  <si>
    <t>Total meat CO2 allocated emissions</t>
  </si>
  <si>
    <t xml:space="preserve">% of total CO2 allocated to milk </t>
  </si>
  <si>
    <t>% of total CO2 allocated to meat</t>
  </si>
  <si>
    <t>U = (CPI / 6.25) - NR - F - [(1.1 x 10^-4 x W^0.75) / 6.25]</t>
  </si>
  <si>
    <t>Manure Management Systems (MMS)</t>
  </si>
  <si>
    <t>Total emissions t CO2-e/annum (Scope 1 and 3)</t>
  </si>
  <si>
    <t xml:space="preserve">Average yearly increase in Tree Carbon = 
(over the long term - 100 years) </t>
  </si>
  <si>
    <t xml:space="preserve">Tree carbon mass in year: </t>
  </si>
  <si>
    <t>Additional information for individual questions will appear if the question as a red triangle in the top right corner. Hover over the heading/ question and a comment will appear</t>
  </si>
  <si>
    <t xml:space="preserve">Only answer the following questions if you which to enter your own farm management practices to estimate the percentage of waste to each of the abovementioned manure management systems. In addition, you must have selected the User-defined factors and fractions option in the drop-down list at the beginning of this section otherwise the results with still reflect the default state-based fractions and factors. </t>
  </si>
  <si>
    <t>This is an example of a baseline farm. However, to retain it's integrity the whole worksheet is protected and therefore no data can be entered here.</t>
  </si>
  <si>
    <t xml:space="preserve">Economic data can be entered below the Bar graph to explore the implications of a carbon price on reducing GHG emissions and any additional income associated with altered expenses and incomes, including additional milk production income.  </t>
  </si>
  <si>
    <t>New IDF (2022)-aligned method of estimating milk and meat allocations and emissions intensities</t>
  </si>
  <si>
    <t>kg CO2 / kg MS</t>
  </si>
  <si>
    <t xml:space="preserve">Calves sold soon after birth </t>
  </si>
  <si>
    <t xml:space="preserve">Calves sold post-weaning </t>
  </si>
  <si>
    <t xml:space="preserve">N fertiliser as urea-based </t>
  </si>
  <si>
    <t>kg FPCM milk per cow per day</t>
  </si>
  <si>
    <t>% of total GHG (exc. C sequestration in trees)</t>
  </si>
  <si>
    <r>
      <t xml:space="preserve">Change in GHG emissions intensity relative to the Baseline farm system (based on a % of emissions allocated to meat) </t>
    </r>
    <r>
      <rPr>
        <sz val="12"/>
        <color theme="1"/>
        <rFont val="Times New Roman"/>
        <family val="1"/>
      </rPr>
      <t>- Positive number in a green cell means a positive outcome, negative number in a red cell means a negative outcome</t>
    </r>
  </si>
  <si>
    <r>
      <t xml:space="preserve">Change in GHG emissions intensity relative to the Baseline farm system (based on a % of emissions allocated to meat)- </t>
    </r>
    <r>
      <rPr>
        <sz val="12"/>
        <color theme="1"/>
        <rFont val="Times New Roman"/>
        <family val="1"/>
      </rPr>
      <t>Positive number in a green cell means a positive outcome, negative number in a red cell means a negative outcome</t>
    </r>
  </si>
  <si>
    <t xml:space="preserve">Reduction in net GHG emissions </t>
  </si>
  <si>
    <t>Carbon credit benefit as % of milk income</t>
  </si>
  <si>
    <t xml:space="preserve">Carbon credit income </t>
  </si>
  <si>
    <t>Carbon credit income</t>
  </si>
  <si>
    <t>Choose your region/ farm system comparison</t>
  </si>
  <si>
    <t>Victoria- Gippsland</t>
  </si>
  <si>
    <t>Victoria- Northern</t>
  </si>
  <si>
    <t>Victoria- South West</t>
  </si>
  <si>
    <t>NSW- North</t>
  </si>
  <si>
    <t>NSW- South</t>
  </si>
  <si>
    <t>QLD- North</t>
  </si>
  <si>
    <t>QLD- South</t>
  </si>
  <si>
    <t>Low grain (&lt; 1 t DM/cow.annum)</t>
  </si>
  <si>
    <t>Medium grain (1-2 t DM/cow.annum)</t>
  </si>
  <si>
    <t>High grain (&gt; 2 t DM/cow.annum)</t>
  </si>
  <si>
    <t xml:space="preserve">Tasmania </t>
  </si>
  <si>
    <t>% emissions each source for ADCC industry average graph</t>
  </si>
  <si>
    <t>N2O direct grazing</t>
  </si>
  <si>
    <t>Manure storage &amp; spread</t>
  </si>
  <si>
    <t>Direct N fert</t>
  </si>
  <si>
    <t>Indirect N fert</t>
  </si>
  <si>
    <t>Electricity</t>
  </si>
  <si>
    <t xml:space="preserve">Fuel </t>
  </si>
  <si>
    <t>Urea &amp; Lime</t>
  </si>
  <si>
    <t>Concs</t>
  </si>
  <si>
    <t>Fodder</t>
  </si>
  <si>
    <t>Urea and lime</t>
  </si>
  <si>
    <t>Trees</t>
  </si>
  <si>
    <t>Selected Baseline farm</t>
  </si>
  <si>
    <t>Selected Example Baseline farm</t>
  </si>
  <si>
    <t xml:space="preserve">9. Allocation of  GHG emissions to milk vs meat, based on energy allocation as per the IDF (2022) </t>
  </si>
  <si>
    <t>Whole farm abatement strategy</t>
  </si>
  <si>
    <t xml:space="preserve">The GHG emissions estimations are based on Australia's current National Greenhouse Gas Inventory (NGGI) methodology. This is changing in 2022, with updated global warming potential values and some other minor changes.  ADCC estimates the carbon dioxide, methane and nitrous oxide emissions of an Australian dairy enterprise based on carbon dioxide equivalents.  More information on the NGGI methodology can be found at: </t>
  </si>
  <si>
    <t>Users then progress to the Abatement Strategies schematic worksheet and select which abatement strategy they wish to explore.  Abatement options are segmented into three theme areas: Herd and breeding management, Diet manipulation, Feedbase management. Clicking on an abatement strategy box below any of these theme areas will take the user to the relevant worksheet.  Alternatively,  users can click on the relevant tab at the bottom of the workbook.  In addition, by clicking on the Whole farm abatement strategy link, users will progress to the Strategy farm where they can alter one or more components of the whole farm system.   When comparing the baseline farm system to the abatement strategy farm system, you are comparing two steady state systems, the change from one farm to the other has been fully completed.  This is especially important with the reproductive strategies which will take many years to fully achieve (e.g. extended lactation for the whole herd).  Therefore the reduction in GHG emissions and/or increase in farm profitability will not reach the results presented here until the abatement strategy has been fully implemented.</t>
  </si>
  <si>
    <r>
      <t xml:space="preserve">The second </t>
    </r>
    <r>
      <rPr>
        <b/>
        <sz val="11"/>
        <color theme="1"/>
        <rFont val="Calibri"/>
        <family val="2"/>
        <scheme val="minor"/>
      </rPr>
      <t xml:space="preserve">Baseline farm system </t>
    </r>
    <r>
      <rPr>
        <sz val="11"/>
        <color theme="1"/>
        <rFont val="Calibri"/>
        <family val="2"/>
        <scheme val="minor"/>
      </rPr>
      <t xml:space="preserve">section (coloured green) is a series of baseline farm data questions.  For most abatement strategies, the baseline data for the herd is already linked to the baseline worksheet and therefore the user does not need to enter any data.  An equation will appear in the green coloured data cell and it will also be protected.  However, if the cells corresponding to the questions relating to the baseline farm system are coloured white, a figure will need to be entered by the user.  For example, with the 'Extended lactation' strategy, the user needs to enter the baseline daily milk production for both the 1st lactation cows and subsequent lactation cows as this distinction cannot be made with respect to milk production when entering the baseline farm data.  </t>
    </r>
  </si>
  <si>
    <t xml:space="preserve">When opening up the Abatement strategy whole farm worksheet for the first time, it looks like a mirror image of the baseline farm system as all data entry cells are linked to the baseline farm system worksheet.  Users then can alter one or more cells by typing in a new figure (e.g. increasing the herd size, reducing N fertiliser inputs etc).  Wherever new data is entered, the cells will change from being coloured white with black text to being coloured red with white text.  This gives the user a visual indication of which cells have been altered between the baseline and strategy farm systems (see image below showing that the milking cow and heifers &gt; 1 numbers have been altered but Heifers &lt; 1 have not).  If the user has made a mistake and incorrect cells were altered, the link to the baseline farm system has been broken and the user has three options available to re-correct.  If the error is identified straight away, they can click on the blue undo button generally located at the top left hand of the worksheet.  However, if several changes have been made, it will take a lot of clicks of the undo button to get the data correct again.  Users can then either re-enter the  correct equation back into the cell (e.g. retyping ='Baseline farm'!D9:F9 in the Strategy farm D9 cell to correct the strategy owner ID) or manually typing in the correct number. Once any one of these three options is completed, the cell will go back to being white with black text to indicate that it is now exactly the same as per the baseline farm system.    </t>
  </si>
  <si>
    <t xml:space="preserve">Results of the changes to the whole farm abatement strategy are presented in table form as per the baseline farm system results.  In addition, a column chart shows the baseline and whole farm abatement results for each GHG source, on a per kg of fat and protein corrected milk (FPCM) basis. Unlike all other strategy-specific worksheets, with this strategy we have very few questions relating to the economics associated with implementation. </t>
  </si>
  <si>
    <t xml:space="preserve">The carbon calculator is built using a static approach. ADCC is not dynamic and therefore can't inform the users if the abatement strategy being explored can be achieved on farm.  </t>
  </si>
  <si>
    <t>For example, if the abatement strategy being explored is the Extended lactation strategy, the milkers spend a greater proportion of their time lactating, it may be that there are larger feed deficits at times of the year, such as autumn, where feed demand is higher with the strategy farm compared to the baseline farm.  Users need to firstly identify if this would be true for the farm system being explored and then decide how best to reduce this feed deficit, for example with additional grain/supplements which need to added to the analysis.</t>
  </si>
  <si>
    <t>Baseline farm</t>
  </si>
  <si>
    <t>Strategy farm</t>
  </si>
  <si>
    <t>1990 methodology</t>
  </si>
  <si>
    <t>2015 methodology</t>
  </si>
  <si>
    <t>Current 2022 methodology</t>
  </si>
  <si>
    <r>
      <t>10. Emissions intensity for the farm analysed based on the proportion of emissions are allocated to milk, both still presented as kg CO</t>
    </r>
    <r>
      <rPr>
        <vertAlign val="subscript"/>
        <sz val="11"/>
        <color theme="1"/>
        <rFont val="Calibri"/>
        <family val="2"/>
        <scheme val="minor"/>
      </rPr>
      <t>2</t>
    </r>
    <r>
      <rPr>
        <sz val="11"/>
        <color theme="1"/>
        <rFont val="Calibri"/>
        <family val="2"/>
        <scheme val="minor"/>
      </rPr>
      <t>e/kg FPCM and kg CO</t>
    </r>
    <r>
      <rPr>
        <vertAlign val="subscript"/>
        <sz val="11"/>
        <color theme="1"/>
        <rFont val="Calibri"/>
        <family val="2"/>
        <scheme val="minor"/>
      </rPr>
      <t>2</t>
    </r>
    <r>
      <rPr>
        <sz val="11"/>
        <color theme="1"/>
        <rFont val="Calibri"/>
        <family val="2"/>
        <scheme val="minor"/>
      </rPr>
      <t>e/kg MS, and emissions intensity for meat presented as kg CO</t>
    </r>
    <r>
      <rPr>
        <vertAlign val="subscript"/>
        <sz val="11"/>
        <color theme="1"/>
        <rFont val="Calibri"/>
        <family val="2"/>
        <scheme val="minor"/>
      </rPr>
      <t>2</t>
    </r>
    <r>
      <rPr>
        <sz val="11"/>
        <color theme="1"/>
        <rFont val="Calibri"/>
        <family val="2"/>
        <scheme val="minor"/>
      </rPr>
      <t>e/kg liveweight</t>
    </r>
  </si>
  <si>
    <t>11. Typical average farm emissions based on assessment of the DFMP 2015/16 to 2020/21 datasets</t>
  </si>
  <si>
    <r>
      <t>Typical GHG emissions intensity should range between 0.6 and 1.2 kg CO</t>
    </r>
    <r>
      <rPr>
        <vertAlign val="subscript"/>
        <sz val="14"/>
        <color theme="1"/>
        <rFont val="Times New Roman"/>
        <family val="1"/>
      </rPr>
      <t>2</t>
    </r>
    <r>
      <rPr>
        <sz val="14"/>
        <color theme="1"/>
        <rFont val="Times New Roman"/>
        <family val="1"/>
      </rPr>
      <t>e/ kg FPCM or between 8 and 18 kg CO</t>
    </r>
    <r>
      <rPr>
        <vertAlign val="subscript"/>
        <sz val="14"/>
        <color theme="1"/>
        <rFont val="Times New Roman"/>
        <family val="1"/>
      </rPr>
      <t>2</t>
    </r>
    <r>
      <rPr>
        <sz val="14"/>
        <color theme="1"/>
        <rFont val="Times New Roman"/>
        <family val="1"/>
      </rPr>
      <t>e/kg milksolids. If your emissions intensity is outside these ranges, review your data entry for potential errors.</t>
    </r>
  </si>
  <si>
    <t xml:space="preserve">Note: Total GHG emissions for each stock class does not include carbon sequestered in trees. However, Net GHG emissions and emissions intensities includes any carbon sequestration in tree plantings. </t>
  </si>
  <si>
    <t>MJ/ litre of milk constant used for all varying fat/protein milk concentrations</t>
  </si>
  <si>
    <t>Age of Trees</t>
  </si>
  <si>
    <t>Click here to return to the strategy farm</t>
  </si>
  <si>
    <t>Area of pastures fertilised with P K S &amp; Lime</t>
  </si>
  <si>
    <t>Area of crops fertilised with P K S &amp; Lime</t>
  </si>
  <si>
    <t xml:space="preserve">Area of pastures fertilised with N </t>
  </si>
  <si>
    <t xml:space="preserve">Area of crops fertilised with N </t>
  </si>
  <si>
    <t>What % of electricity is from renewables?</t>
  </si>
  <si>
    <r>
      <t xml:space="preserve">Change in GHG emissions with the new 2022 NGGI methodology. </t>
    </r>
    <r>
      <rPr>
        <sz val="12"/>
        <color theme="1"/>
        <rFont val="Times New Roman"/>
        <family val="1"/>
      </rPr>
      <t xml:space="preserve"> Red box indicating an increase in GHG emissions and green box indicates a decrease in GHG emissions with the new NGGI methodology</t>
    </r>
  </si>
  <si>
    <r>
      <t xml:space="preserve">% change in GHG emissions with the new 2022 NGGI methodology.  </t>
    </r>
    <r>
      <rPr>
        <sz val="12"/>
        <color theme="1"/>
        <rFont val="Times New Roman"/>
        <family val="1"/>
      </rPr>
      <t>Red box indicating an increase in GHG emissions and green box indicates a decrease in GHG emissions with the new NGGI methodology</t>
    </r>
  </si>
  <si>
    <t>Savings from implementing</t>
  </si>
  <si>
    <t>Calculated net expense to implement the strategy ($ per farm)</t>
  </si>
  <si>
    <t>https://www.dcceew.gov.au/climate-change/publications/national-inventory-report-2020</t>
  </si>
  <si>
    <t>Version 5.1, November 2022</t>
  </si>
  <si>
    <t>Net expense of implementing</t>
  </si>
  <si>
    <r>
      <t>NR = {(0.032 x MP x 1.03) + {0.212-0.008 x (L</t>
    </r>
    <r>
      <rPr>
        <b/>
        <vertAlign val="subscript"/>
        <sz val="11"/>
        <rFont val="Times New Roman"/>
        <family val="1"/>
      </rPr>
      <t xml:space="preserve"> </t>
    </r>
    <r>
      <rPr>
        <b/>
        <sz val="11"/>
        <rFont val="Times New Roman"/>
        <family val="1"/>
      </rPr>
      <t>- 2) - [(0.140 - 0.008 x (L</t>
    </r>
    <r>
      <rPr>
        <b/>
        <vertAlign val="subscript"/>
        <sz val="11"/>
        <rFont val="Times New Roman"/>
        <family val="1"/>
      </rPr>
      <t xml:space="preserve"> </t>
    </r>
    <r>
      <rPr>
        <b/>
        <sz val="11"/>
        <rFont val="Times New Roman"/>
        <family val="1"/>
      </rPr>
      <t>- 2)) / (1+exp x (-6 x (Z - 0.4)))]} x (LWG x 0.92)} /6.38</t>
    </r>
  </si>
  <si>
    <r>
      <t>U = (CPI / 6.25) - NR - F - [(1.1 x 10^-4</t>
    </r>
    <r>
      <rPr>
        <b/>
        <vertAlign val="superscript"/>
        <sz val="11"/>
        <rFont val="Times New Roman"/>
        <family val="1"/>
      </rPr>
      <t xml:space="preserve"> </t>
    </r>
    <r>
      <rPr>
        <b/>
        <sz val="11"/>
        <rFont val="Times New Roman"/>
        <family val="1"/>
      </rPr>
      <t xml:space="preserve"> x W^0.75) / 6.25]</t>
    </r>
  </si>
  <si>
    <r>
      <t>FN</t>
    </r>
    <r>
      <rPr>
        <b/>
        <vertAlign val="subscript"/>
        <sz val="11"/>
        <rFont val="Times New Roman"/>
        <family val="1"/>
      </rPr>
      <t xml:space="preserve">MMS </t>
    </r>
    <r>
      <rPr>
        <b/>
        <sz val="11"/>
        <rFont val="Times New Roman"/>
        <family val="1"/>
      </rPr>
      <t>= (AF x MMS) +(AU x MMS)</t>
    </r>
  </si>
  <si>
    <r>
      <t xml:space="preserve">Total emissions (FN + UN) </t>
    </r>
    <r>
      <rPr>
        <b/>
        <vertAlign val="subscript"/>
        <sz val="11"/>
        <rFont val="Times New Roman"/>
        <family val="1"/>
      </rPr>
      <t>MMS</t>
    </r>
  </si>
  <si>
    <r>
      <t xml:space="preserve">Total emissions (FN + UN) </t>
    </r>
    <r>
      <rPr>
        <b/>
        <vertAlign val="subscript"/>
        <sz val="11"/>
        <rFont val="Times New Roman"/>
        <family val="1"/>
      </rPr>
      <t>MMS without voided onto pastures</t>
    </r>
  </si>
  <si>
    <r>
      <t>MNLeach = (FN</t>
    </r>
    <r>
      <rPr>
        <b/>
        <vertAlign val="subscript"/>
        <sz val="11"/>
        <rFont val="Times New Roman"/>
        <family val="1"/>
      </rPr>
      <t>MMS=4</t>
    </r>
    <r>
      <rPr>
        <b/>
        <sz val="11"/>
        <rFont val="Times New Roman"/>
        <family val="1"/>
      </rPr>
      <t xml:space="preserve"> + UNM</t>
    </r>
    <r>
      <rPr>
        <b/>
        <vertAlign val="subscript"/>
        <sz val="11"/>
        <rFont val="Times New Roman"/>
        <family val="1"/>
      </rPr>
      <t>MS = 4</t>
    </r>
    <r>
      <rPr>
        <b/>
        <sz val="11"/>
        <rFont val="Times New Roman"/>
        <family val="1"/>
      </rPr>
      <t>) x FracWET x FracLEACH</t>
    </r>
  </si>
  <si>
    <r>
      <t>MN soil = (((AE</t>
    </r>
    <r>
      <rPr>
        <b/>
        <vertAlign val="subscript"/>
        <sz val="11"/>
        <rFont val="Times New Roman"/>
        <family val="1"/>
      </rPr>
      <t>MMS=1-13</t>
    </r>
    <r>
      <rPr>
        <b/>
        <sz val="11"/>
        <rFont val="Times New Roman"/>
        <family val="1"/>
      </rPr>
      <t>) - EF</t>
    </r>
    <r>
      <rPr>
        <b/>
        <vertAlign val="subscript"/>
        <sz val="11"/>
        <rFont val="Times New Roman"/>
        <family val="1"/>
      </rPr>
      <t>MSS=1-13</t>
    </r>
    <r>
      <rPr>
        <b/>
        <sz val="11"/>
        <rFont val="Times New Roman"/>
        <family val="1"/>
      </rPr>
      <t>-FracGASM</t>
    </r>
    <r>
      <rPr>
        <b/>
        <vertAlign val="subscript"/>
        <sz val="11"/>
        <rFont val="Times New Roman"/>
        <family val="1"/>
      </rPr>
      <t xml:space="preserve">MMS=1-13 </t>
    </r>
    <r>
      <rPr>
        <b/>
        <sz val="11"/>
        <rFont val="Times New Roman"/>
        <family val="1"/>
      </rPr>
      <t>-MNLeach</t>
    </r>
    <r>
      <rPr>
        <b/>
        <vertAlign val="subscript"/>
        <sz val="11"/>
        <rFont val="Times New Roman"/>
        <family val="1"/>
      </rPr>
      <t>MMS=1-13</t>
    </r>
  </si>
  <si>
    <r>
      <t>CO</t>
    </r>
    <r>
      <rPr>
        <vertAlign val="subscript"/>
        <sz val="11"/>
        <rFont val="Times New Roman"/>
        <family val="1"/>
      </rPr>
      <t>2</t>
    </r>
    <r>
      <rPr>
        <sz val="11"/>
        <rFont val="Times New Roman"/>
        <family val="1"/>
      </rPr>
      <t xml:space="preserve"> -equivalent factor (per tonne of tree carbon grown): </t>
    </r>
  </si>
  <si>
    <r>
      <t>Tonnes CO</t>
    </r>
    <r>
      <rPr>
        <vertAlign val="subscript"/>
        <sz val="11"/>
        <rFont val="Times New Roman"/>
        <family val="1"/>
      </rPr>
      <t>2</t>
    </r>
    <r>
      <rPr>
        <sz val="11"/>
        <rFont val="Times New Roman"/>
        <family val="1"/>
      </rPr>
      <t xml:space="preserve"> equivalent = </t>
    </r>
  </si>
  <si>
    <r>
      <t>FN</t>
    </r>
    <r>
      <rPr>
        <b/>
        <vertAlign val="subscript"/>
        <sz val="12"/>
        <rFont val="Times New Roman"/>
        <family val="1"/>
      </rPr>
      <t xml:space="preserve">MMS </t>
    </r>
    <r>
      <rPr>
        <b/>
        <sz val="12"/>
        <rFont val="Times New Roman"/>
        <family val="1"/>
      </rPr>
      <t>= (AF x MMS) +(AU x MMS)</t>
    </r>
  </si>
  <si>
    <r>
      <t>CO</t>
    </r>
    <r>
      <rPr>
        <vertAlign val="subscript"/>
        <sz val="10"/>
        <rFont val="Times New Roman"/>
        <family val="1"/>
      </rPr>
      <t>2</t>
    </r>
    <r>
      <rPr>
        <sz val="10"/>
        <rFont val="Times New Roman"/>
        <family val="1"/>
      </rPr>
      <t xml:space="preserve"> -equivalent factor (per tonne of tree carbon grown): </t>
    </r>
  </si>
  <si>
    <r>
      <t>Tonnes CO</t>
    </r>
    <r>
      <rPr>
        <vertAlign val="subscript"/>
        <sz val="10"/>
        <rFont val="Times New Roman"/>
        <family val="1"/>
      </rPr>
      <t>2</t>
    </r>
    <r>
      <rPr>
        <sz val="10"/>
        <rFont val="Times New Roman"/>
        <family val="1"/>
      </rPr>
      <t xml:space="preserve"> equivalent = </t>
    </r>
  </si>
  <si>
    <t>NR = {(0.032 x MP x 1.03/6.38) + {0.212-0.008 x (L - 2) - [(0.140 - 0.008 x (L - 2)) / (1+exp x (-6 x (Z - 0.4)))]} x (LWG x 0.92)} /6.25</t>
  </si>
  <si>
    <t>FNMMS = (AF x MMS) +(AU x MMS)</t>
  </si>
  <si>
    <t>Total emissions (FN + UN) MMS</t>
  </si>
  <si>
    <t>Total emissions (FN + UN) MMS without voided onto pastures</t>
  </si>
  <si>
    <t>MNLeach = (FNMMS=4 + UNMMS = 4) x FracWET x FracLEACH</t>
  </si>
  <si>
    <t>MN soil = (((AEMMS=1-13) - EFMSS=1-13-FracGASMMMS=1-13 -MNLeachMMS=1-13</t>
  </si>
  <si>
    <t xml:space="preserve">CO2 -equivalent factor (per tonne of tree carbon grown): </t>
  </si>
  <si>
    <t xml:space="preserve">Tonnes CO2 equivalent = </t>
  </si>
  <si>
    <t xml:space="preserve">The Graphics section illustrates the relative change in economic results when implementing an abatement strategy. There are four columns and all are monetary figures representing an increase in income and expenses relative to the baseline farm system.  Carbon credits represents an additional source of income the farmer would receive if the abatement strategy explored qualified for payment as part of a carbon offset scheme.  Implementation expenses represents the additional expenses associated with implementing the abatement strategy being explored.  Additional milk income represents any additional income from increased milk production if the strategy resulted in more energy available for milk production.  Total farm benefit represents the sum of income from carbon credits and additional milk production minus the implementation expenses.  </t>
  </si>
  <si>
    <t>during the transmission and delivery process. For example, to supply 1kWh of power to farm, approx. 1.3 kWh need to be generated to take into consideration electricity lost in the transmission phase.</t>
  </si>
  <si>
    <t>Meat Allocation Detail</t>
  </si>
  <si>
    <t>AE = mass of nitrogen excreted to manure management systems</t>
  </si>
  <si>
    <t>Used for waste CH4 estimations</t>
  </si>
  <si>
    <t xml:space="preserve">Carbon dioxide </t>
  </si>
  <si>
    <t>Total indirect N2O lost through volatilisation of mauri in storage</t>
  </si>
  <si>
    <t>Amount carbon sequestered (t CO2/ha)</t>
  </si>
  <si>
    <t>Enter dry matter digestibility of the additional supplement to be fed (%)</t>
  </si>
  <si>
    <t>If you have no other information on dry matter digestibility and crude protein for the farm's feed sources, data in the table below could be used</t>
  </si>
  <si>
    <t>Enter a descriptor in column C, the rate of N:P:K:S in columns D to G, and the amount applied (tonnes) in column H</t>
  </si>
  <si>
    <t>In this example, 15 tonnes of Urea, 2 tonnes of Single superphosphate and 4 tonnes of a blend containing 20% N, 16% K  and 10% S was applied.  In total, 21 tonnes of fertiliser was applied, which was a combination of 7.7 t of N, 0.18 t of P, 0.64 t of K and 0.62 t S.</t>
  </si>
  <si>
    <t>Note that there can be a small variation in the N:P:K:S of even well known fertilisers.  For example, Triple superphospate has between 18 and 20% P depending on the manufacturer.  Over-write the P ratio if required</t>
  </si>
  <si>
    <t xml:space="preserve">Note: * Poultry litter can vary widely depending on many factors.  If your farm is applying poultry litter, we suggest you asking the supplier if they have any records of what the percentage of elements are, as these percentages here are just estimates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</si>
</sst>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0.0"/>
    <numFmt numFmtId="166" formatCode="0.00000"/>
    <numFmt numFmtId="167" formatCode="_-* #,##0.0000_-;\-* #,##0.0000_-;_-* &quot;-&quot;??_-;_-@_-"/>
    <numFmt numFmtId="168" formatCode="&quot;$&quot;#,##0.00"/>
    <numFmt numFmtId="169" formatCode="&quot;$&quot;#,##0"/>
    <numFmt numFmtId="170" formatCode="0.0%"/>
    <numFmt numFmtId="171" formatCode="&quot;$&quot;#,##0.000"/>
    <numFmt numFmtId="172" formatCode="0.0000"/>
    <numFmt numFmtId="173" formatCode="0.0000000"/>
    <numFmt numFmtId="174" formatCode="0.00000000"/>
    <numFmt numFmtId="175" formatCode="0.000000"/>
    <numFmt numFmtId="176" formatCode="0.000000000"/>
    <numFmt numFmtId="177" formatCode="0.00000000000"/>
    <numFmt numFmtId="178" formatCode="0.0000000000"/>
    <numFmt numFmtId="179" formatCode="0.0000000000000"/>
    <numFmt numFmtId="180" formatCode="&quot; &quot;#,##0.00&quot; &quot;;&quot;-&quot;#,##0.00&quot; &quot;;&quot; -&quot;00&quot; &quot;;&quot; &quot;@&quot; &quot;"/>
    <numFmt numFmtId="181" formatCode="yyyy/yy"/>
    <numFmt numFmtId="182" formatCode="_(&quot;$&quot;* #,##0.00_);_(&quot;$&quot;* \(#,##0.00\);_(&quot;$&quot;* &quot;-&quot;??_);_(@_)"/>
    <numFmt numFmtId="183" formatCode="_(* #,##0.00_);_(* \(#,##0.00\);_(* &quot;-&quot;??_);_(@_)"/>
    <numFmt numFmtId="184" formatCode="0.00000E+00"/>
    <numFmt numFmtId="185" formatCode="0.000000E+00"/>
    <numFmt numFmtId="186" formatCode="0.0000000E+00"/>
    <numFmt numFmtId="187" formatCode="0.00000000E+00"/>
    <numFmt numFmtId="188" formatCode="#,##0.000000000"/>
    <numFmt numFmtId="189" formatCode="#,##0.000000"/>
    <numFmt numFmtId="190" formatCode="#,##0.00000"/>
    <numFmt numFmtId="191" formatCode="0.000000000000"/>
    <numFmt numFmtId="192" formatCode="0.00000000000E+00"/>
    <numFmt numFmtId="193" formatCode="#,##0.0"/>
    <numFmt numFmtId="194" formatCode="_-* #,##0_-;\-* #,##0_-;_-* &quot;-&quot;??_-;_-@_-"/>
    <numFmt numFmtId="195" formatCode="0.0000E+00"/>
    <numFmt numFmtId="196" formatCode="#,##0.0000"/>
    <numFmt numFmtId="197" formatCode="#,##0;[Red]\(#,##0\)"/>
    <numFmt numFmtId="198" formatCode="#,##0.00;[Red]\(#,##0.00\)"/>
    <numFmt numFmtId="199" formatCode="#,##0.0;[Red]\(#,##0.0\)"/>
    <numFmt numFmtId="200" formatCode="#,##0.0;[Red]#,##0.0"/>
  </numFmts>
  <fonts count="119" x14ac:knownFonts="1">
    <font>
      <sz val="11"/>
      <color theme="1"/>
      <name val="Calibri"/>
      <family val="2"/>
      <scheme val="minor"/>
    </font>
    <font>
      <sz val="10"/>
      <name val="Times New Roman"/>
      <family val="1"/>
    </font>
    <font>
      <b/>
      <sz val="10"/>
      <name val="Times New Roman"/>
      <family val="1"/>
    </font>
    <font>
      <b/>
      <i/>
      <sz val="10"/>
      <name val="Times New Roman"/>
      <family val="1"/>
    </font>
    <font>
      <sz val="8"/>
      <color indexed="81"/>
      <name val="Tahoma"/>
      <family val="2"/>
    </font>
    <font>
      <b/>
      <sz val="8"/>
      <color indexed="81"/>
      <name val="Tahoma"/>
      <family val="2"/>
    </font>
    <font>
      <sz val="24"/>
      <name val="Times New Roman"/>
      <family val="1"/>
    </font>
    <font>
      <sz val="18"/>
      <name val="Times New Roman"/>
      <family val="1"/>
    </font>
    <font>
      <sz val="11"/>
      <color theme="1"/>
      <name val="Calibri"/>
      <family val="2"/>
      <scheme val="minor"/>
    </font>
    <font>
      <u/>
      <sz val="14.3"/>
      <color theme="10"/>
      <name val="Calibri"/>
      <family val="2"/>
    </font>
    <font>
      <b/>
      <sz val="11"/>
      <color theme="1"/>
      <name val="Calibri"/>
      <family val="2"/>
      <scheme val="minor"/>
    </font>
    <font>
      <sz val="11"/>
      <color rgb="FF000000"/>
      <name val="Calibri"/>
      <family val="2"/>
      <scheme val="minor"/>
    </font>
    <font>
      <sz val="11"/>
      <name val="Calibri"/>
      <family val="2"/>
      <scheme val="minor"/>
    </font>
    <font>
      <sz val="12"/>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0"/>
      <color theme="1"/>
      <name val="Times New Roman"/>
      <family val="1"/>
    </font>
    <font>
      <i/>
      <sz val="10"/>
      <name val="Times New Roman"/>
      <family val="1"/>
    </font>
    <font>
      <i/>
      <vertAlign val="superscript"/>
      <sz val="10"/>
      <name val="Times New Roman"/>
      <family val="1"/>
    </font>
    <font>
      <i/>
      <vertAlign val="subscript"/>
      <sz val="10"/>
      <name val="Times New Roman"/>
      <family val="1"/>
    </font>
    <font>
      <b/>
      <sz val="10"/>
      <color theme="1"/>
      <name val="Times New Roman"/>
      <family val="1"/>
    </font>
    <font>
      <sz val="11"/>
      <color theme="1"/>
      <name val="Times New Roman"/>
      <family val="1"/>
    </font>
    <font>
      <b/>
      <sz val="11"/>
      <name val="Times New Roman"/>
      <family val="1"/>
    </font>
    <font>
      <i/>
      <sz val="10"/>
      <color theme="1"/>
      <name val="Times New Roman"/>
      <family val="1"/>
    </font>
    <font>
      <sz val="10"/>
      <color theme="1"/>
      <name val="Calibri"/>
      <family val="2"/>
      <scheme val="minor"/>
    </font>
    <font>
      <b/>
      <sz val="14"/>
      <name val="Times New Roman"/>
      <family val="1"/>
    </font>
    <font>
      <sz val="12"/>
      <name val="Times New Roman"/>
      <family val="1"/>
    </font>
    <font>
      <b/>
      <sz val="12"/>
      <name val="Times New Roman"/>
      <family val="1"/>
    </font>
    <font>
      <b/>
      <sz val="12"/>
      <color theme="1"/>
      <name val="Times New Roman"/>
      <family val="1"/>
    </font>
    <font>
      <sz val="12"/>
      <color theme="1"/>
      <name val="Times New Roman"/>
      <family val="1"/>
    </font>
    <font>
      <b/>
      <vertAlign val="subscript"/>
      <sz val="12"/>
      <name val="Times New Roman"/>
      <family val="1"/>
    </font>
    <font>
      <b/>
      <i/>
      <sz val="12"/>
      <name val="Times New Roman"/>
      <family val="1"/>
    </font>
    <font>
      <b/>
      <vertAlign val="superscript"/>
      <sz val="12"/>
      <name val="Times New Roman"/>
      <family val="1"/>
    </font>
    <font>
      <b/>
      <vertAlign val="subscript"/>
      <sz val="12"/>
      <color theme="1"/>
      <name val="Times New Roman"/>
      <family val="1"/>
    </font>
    <font>
      <sz val="10"/>
      <name val="Calibri"/>
      <family val="2"/>
      <scheme val="minor"/>
    </font>
    <font>
      <b/>
      <sz val="11"/>
      <name val="Calibri"/>
      <family val="2"/>
      <scheme val="minor"/>
    </font>
    <font>
      <sz val="11"/>
      <color theme="1"/>
      <name val="Cambria"/>
      <family val="1"/>
      <scheme val="major"/>
    </font>
    <font>
      <sz val="14"/>
      <name val="Times New Roman"/>
      <family val="1"/>
    </font>
    <font>
      <b/>
      <sz val="14"/>
      <color theme="1"/>
      <name val="Times New Roman"/>
      <family val="1"/>
    </font>
    <font>
      <sz val="12"/>
      <color theme="7" tint="0.59999389629810485"/>
      <name val="Times New Roman"/>
      <family val="1"/>
    </font>
    <font>
      <sz val="11"/>
      <color indexed="81"/>
      <name val="Tahoma"/>
      <family val="2"/>
    </font>
    <font>
      <sz val="12"/>
      <color indexed="81"/>
      <name val="Tahoma"/>
      <family val="2"/>
    </font>
    <font>
      <sz val="28"/>
      <color theme="1"/>
      <name val="Calibri"/>
      <family val="2"/>
      <scheme val="minor"/>
    </font>
    <font>
      <sz val="9"/>
      <color indexed="81"/>
      <name val="Tahoma"/>
      <family val="2"/>
    </font>
    <font>
      <sz val="10"/>
      <color rgb="FF000000"/>
      <name val="Arial"/>
      <family val="2"/>
    </font>
    <font>
      <sz val="12"/>
      <color rgb="FF000000"/>
      <name val="Times New Roman"/>
      <family val="1"/>
    </font>
    <font>
      <b/>
      <sz val="12"/>
      <color rgb="FF000000"/>
      <name val="Times New Roman"/>
      <family val="1"/>
    </font>
    <font>
      <u/>
      <sz val="11"/>
      <color theme="10"/>
      <name val="Calibri"/>
      <family val="2"/>
      <scheme val="minor"/>
    </font>
    <font>
      <i/>
      <sz val="12"/>
      <name val="Times New Roman"/>
      <family val="1"/>
    </font>
    <font>
      <sz val="12"/>
      <color rgb="FFFF0000"/>
      <name val="Times New Roman"/>
      <family val="1"/>
    </font>
    <font>
      <sz val="11"/>
      <name val="Times New Roman"/>
      <family val="1"/>
    </font>
    <font>
      <b/>
      <sz val="11"/>
      <color indexed="81"/>
      <name val="Tahoma"/>
      <family val="2"/>
    </font>
    <font>
      <sz val="28"/>
      <color rgb="FFFF0000"/>
      <name val="Calibri"/>
      <family val="2"/>
      <scheme val="minor"/>
    </font>
    <font>
      <sz val="14"/>
      <color theme="1"/>
      <name val="Calibri"/>
      <family val="2"/>
      <scheme val="minor"/>
    </font>
    <font>
      <sz val="36"/>
      <color theme="1"/>
      <name val="Calibri"/>
      <family val="2"/>
      <scheme val="minor"/>
    </font>
    <font>
      <b/>
      <sz val="10"/>
      <color indexed="81"/>
      <name val="Tahoma"/>
      <family val="2"/>
    </font>
    <font>
      <b/>
      <sz val="13"/>
      <color theme="1"/>
      <name val="Times New Roman"/>
      <family val="1"/>
    </font>
    <font>
      <b/>
      <sz val="11"/>
      <color theme="1"/>
      <name val="Times New Roman"/>
      <family val="1"/>
    </font>
    <font>
      <sz val="16"/>
      <color theme="1"/>
      <name val="Times New Roman"/>
      <family val="1"/>
    </font>
    <font>
      <b/>
      <u/>
      <sz val="14"/>
      <color theme="1"/>
      <name val="Times New Roman"/>
      <family val="1"/>
    </font>
    <font>
      <sz val="13"/>
      <color theme="1"/>
      <name val="Calibri"/>
      <family val="2"/>
      <scheme val="minor"/>
    </font>
    <font>
      <u/>
      <sz val="13"/>
      <color theme="10"/>
      <name val="Calibri"/>
      <family val="2"/>
    </font>
    <font>
      <u/>
      <sz val="13"/>
      <color theme="3"/>
      <name val="Calibri"/>
      <family val="2"/>
      <scheme val="minor"/>
    </font>
    <font>
      <sz val="13"/>
      <color theme="3"/>
      <name val="Calibri"/>
      <family val="2"/>
      <scheme val="minor"/>
    </font>
    <font>
      <u/>
      <sz val="14.3"/>
      <color theme="10"/>
      <name val="Times New Roman"/>
      <family val="1"/>
    </font>
    <font>
      <b/>
      <sz val="18"/>
      <color theme="1"/>
      <name val="Calibri"/>
      <family val="2"/>
      <scheme val="minor"/>
    </font>
    <font>
      <sz val="10"/>
      <name val="MS Serif"/>
      <family val="1"/>
    </font>
    <font>
      <sz val="1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0"/>
      <color indexed="8"/>
      <name val="Arial"/>
      <family val="2"/>
    </font>
    <font>
      <sz val="10"/>
      <color indexed="48"/>
      <name val="Arial"/>
      <family val="2"/>
    </font>
    <font>
      <sz val="10"/>
      <color theme="1"/>
      <name val="Arial"/>
      <family val="2"/>
    </font>
    <font>
      <sz val="11"/>
      <color rgb="FFFF0000"/>
      <name val="Calibri"/>
      <family val="2"/>
      <scheme val="minor"/>
    </font>
    <font>
      <u/>
      <sz val="13"/>
      <color theme="10"/>
      <name val="Times New Roman"/>
      <family val="1"/>
    </font>
    <font>
      <sz val="14.5"/>
      <color theme="1"/>
      <name val="Times New Roman"/>
      <family val="1"/>
    </font>
    <font>
      <sz val="13"/>
      <color theme="1"/>
      <name val="Times New Roman"/>
      <family val="1"/>
    </font>
    <font>
      <u/>
      <sz val="13"/>
      <color theme="10"/>
      <name val="Calibri"/>
      <family val="2"/>
      <scheme val="minor"/>
    </font>
    <font>
      <b/>
      <sz val="9"/>
      <color indexed="81"/>
      <name val="Tahoma"/>
      <family val="2"/>
    </font>
    <font>
      <b/>
      <sz val="11"/>
      <color indexed="81"/>
      <name val="Times New Roman"/>
      <family val="1"/>
    </font>
    <font>
      <i/>
      <sz val="11"/>
      <color indexed="81"/>
      <name val="Tahoma"/>
      <family val="2"/>
    </font>
    <font>
      <sz val="10"/>
      <name val="Arial"/>
      <family val="2"/>
    </font>
    <font>
      <u/>
      <sz val="10"/>
      <color indexed="12"/>
      <name val="Arial"/>
      <family val="2"/>
    </font>
    <font>
      <sz val="10"/>
      <name val="Arial"/>
      <family val="2"/>
    </font>
    <font>
      <b/>
      <sz val="10"/>
      <color theme="1"/>
      <name val="Calibri"/>
      <family val="2"/>
      <scheme val="minor"/>
    </font>
    <font>
      <b/>
      <sz val="10"/>
      <name val="Arial"/>
      <family val="2"/>
    </font>
    <font>
      <b/>
      <sz val="16"/>
      <color theme="1"/>
      <name val="Times New Roman"/>
      <family val="1"/>
    </font>
    <font>
      <vertAlign val="subscript"/>
      <sz val="11"/>
      <color theme="1"/>
      <name val="Calibri"/>
      <family val="2"/>
      <scheme val="minor"/>
    </font>
    <font>
      <b/>
      <sz val="10"/>
      <color rgb="FF000000"/>
      <name val="Times New Roman"/>
      <family val="1"/>
    </font>
    <font>
      <vertAlign val="subscript"/>
      <sz val="11"/>
      <color indexed="81"/>
      <name val="Tahoma"/>
      <family val="2"/>
    </font>
    <font>
      <vertAlign val="subscript"/>
      <sz val="11"/>
      <color theme="1"/>
      <name val="Times New Roman"/>
      <family val="1"/>
    </font>
    <font>
      <sz val="14"/>
      <color theme="1"/>
      <name val="Times New Roman"/>
      <family val="1"/>
    </font>
    <font>
      <b/>
      <sz val="14"/>
      <color rgb="FF000000"/>
      <name val="Times New Roman"/>
      <family val="1"/>
    </font>
    <font>
      <vertAlign val="subscript"/>
      <sz val="14"/>
      <color theme="1"/>
      <name val="Times New Roman"/>
      <family val="1"/>
    </font>
    <font>
      <b/>
      <sz val="11"/>
      <color theme="4" tint="-0.249977111117893"/>
      <name val="Times New Roman"/>
      <family val="1"/>
    </font>
    <font>
      <b/>
      <u/>
      <sz val="14.3"/>
      <color theme="4" tint="-0.249977111117893"/>
      <name val="Calibri"/>
      <family val="2"/>
    </font>
    <font>
      <b/>
      <vertAlign val="subscript"/>
      <sz val="11"/>
      <name val="Times New Roman"/>
      <family val="1"/>
    </font>
    <font>
      <b/>
      <i/>
      <sz val="11"/>
      <name val="Times New Roman"/>
      <family val="1"/>
    </font>
    <font>
      <b/>
      <vertAlign val="superscript"/>
      <sz val="11"/>
      <name val="Times New Roman"/>
      <family val="1"/>
    </font>
    <font>
      <b/>
      <sz val="11"/>
      <color rgb="FF000000"/>
      <name val="Times New Roman"/>
      <family val="1"/>
    </font>
    <font>
      <vertAlign val="subscript"/>
      <sz val="11"/>
      <name val="Times New Roman"/>
      <family val="1"/>
    </font>
    <font>
      <vertAlign val="subscript"/>
      <sz val="10"/>
      <name val="Times New Roman"/>
      <family val="1"/>
    </font>
    <font>
      <b/>
      <i/>
      <sz val="11"/>
      <color theme="1"/>
      <name val="Times New Roman"/>
      <family val="1"/>
    </font>
  </fonts>
  <fills count="51">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59999389629810485"/>
        <bgColor indexed="65"/>
      </patternFill>
    </fill>
    <fill>
      <patternFill patternType="solid">
        <fgColor theme="7" tint="0.59999389629810485"/>
        <bgColor indexed="65"/>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AFDD1"/>
        <bgColor indexed="64"/>
      </patternFill>
    </fill>
    <fill>
      <patternFill patternType="solid">
        <fgColor rgb="FFFFFF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59996337778862885"/>
        <bgColor indexed="64"/>
      </patternFill>
    </fill>
    <fill>
      <patternFill patternType="solid">
        <fgColor rgb="FFCCC0DA"/>
        <bgColor rgb="FFCCC0DA"/>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theme="4" tint="0.79998168889431442"/>
        <bgColor rgb="FFCCC0DA"/>
      </patternFill>
    </fill>
    <fill>
      <patternFill patternType="solid">
        <fgColor indexed="11"/>
      </patternFill>
    </fill>
    <fill>
      <patternFill patternType="solid">
        <fgColor theme="0" tint="-0.24994659260841701"/>
        <bgColor indexed="64"/>
      </patternFill>
    </fill>
    <fill>
      <patternFill patternType="solid">
        <fgColor rgb="FFCCFFFF"/>
        <bgColor indexed="64"/>
      </patternFill>
    </fill>
    <fill>
      <patternFill patternType="solid">
        <fgColor indexed="27"/>
        <bgColor indexed="64"/>
      </patternFill>
    </fill>
  </fills>
  <borders count="109">
    <border>
      <left/>
      <right/>
      <top/>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right/>
      <top style="thin">
        <color indexed="64"/>
      </top>
      <bottom/>
      <diagonal/>
    </border>
    <border>
      <left style="thin">
        <color auto="1"/>
      </left>
      <right style="thin">
        <color auto="1"/>
      </right>
      <top style="thin">
        <color auto="1"/>
      </top>
      <bottom/>
      <diagonal/>
    </border>
    <border>
      <left style="thin">
        <color auto="1"/>
      </left>
      <right/>
      <top style="thin">
        <color indexed="8"/>
      </top>
      <bottom/>
      <diagonal/>
    </border>
    <border>
      <left style="thin">
        <color auto="1"/>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auto="1"/>
      </bottom>
      <diagonal/>
    </border>
    <border>
      <left/>
      <right style="thin">
        <color auto="1"/>
      </right>
      <top/>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bottom style="thin">
        <color indexed="64"/>
      </bottom>
      <diagonal/>
    </border>
    <border>
      <left/>
      <right/>
      <top/>
      <bottom style="thin">
        <color indexed="64"/>
      </bottom>
      <diagonal/>
    </border>
  </borders>
  <cellStyleXfs count="320">
    <xf numFmtId="0" fontId="0" fillId="0" borderId="0"/>
    <xf numFmtId="44" fontId="8" fillId="0" borderId="0" applyFont="0" applyFill="0" applyBorder="0" applyAlignment="0" applyProtection="0"/>
    <xf numFmtId="0" fontId="9" fillId="0" borderId="0" applyNumberFormat="0" applyFill="0" applyBorder="0" applyAlignment="0" applyProtection="0">
      <alignment vertical="top"/>
      <protection locked="0"/>
    </xf>
    <xf numFmtId="9" fontId="8" fillId="0" borderId="0" applyFont="0" applyFill="0" applyBorder="0" applyAlignment="0" applyProtection="0"/>
    <xf numFmtId="0" fontId="8" fillId="7" borderId="0" applyNumberFormat="0" applyBorder="0" applyAlignment="0" applyProtection="0"/>
    <xf numFmtId="0" fontId="8" fillId="8" borderId="0" applyNumberFormat="0" applyBorder="0" applyAlignment="0" applyProtection="0"/>
    <xf numFmtId="43" fontId="8" fillId="0" borderId="0" applyFont="0" applyFill="0" applyBorder="0" applyAlignment="0" applyProtection="0"/>
    <xf numFmtId="0" fontId="45" fillId="0" borderId="0"/>
    <xf numFmtId="0" fontId="45" fillId="0" borderId="0" applyNumberFormat="0" applyFont="0" applyFill="0" applyBorder="0" applyAlignment="0" applyProtection="0"/>
    <xf numFmtId="180" fontId="45" fillId="0" borderId="0" applyFont="0" applyFill="0" applyBorder="0" applyAlignment="0" applyProtection="0"/>
    <xf numFmtId="0" fontId="48" fillId="0" borderId="0" applyNumberFormat="0" applyFill="0" applyBorder="0" applyAlignment="0" applyProtection="0"/>
    <xf numFmtId="0" fontId="67" fillId="0" borderId="0"/>
    <xf numFmtId="0" fontId="70"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1" borderId="0" applyNumberFormat="0" applyBorder="0" applyAlignment="0" applyProtection="0"/>
    <xf numFmtId="0" fontId="70" fillId="33"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3" borderId="0" applyNumberFormat="0" applyBorder="0" applyAlignment="0" applyProtection="0"/>
    <xf numFmtId="0" fontId="70" fillId="31" borderId="0" applyNumberFormat="0" applyBorder="0" applyAlignment="0" applyProtection="0"/>
    <xf numFmtId="0" fontId="71" fillId="33"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5" borderId="0" applyNumberFormat="0" applyBorder="0" applyAlignment="0" applyProtection="0"/>
    <xf numFmtId="0" fontId="71" fillId="33" borderId="0" applyNumberFormat="0" applyBorder="0" applyAlignment="0" applyProtection="0"/>
    <xf numFmtId="0" fontId="71" fillId="30" borderId="0" applyNumberFormat="0" applyBorder="0" applyAlignment="0" applyProtection="0"/>
    <xf numFmtId="0" fontId="71" fillId="38"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2" fillId="42" borderId="0" applyNumberFormat="0" applyBorder="0" applyAlignment="0" applyProtection="0"/>
    <xf numFmtId="0" fontId="73" fillId="43" borderId="35" applyNumberFormat="0" applyAlignment="0" applyProtection="0"/>
    <xf numFmtId="0" fontId="74" fillId="44" borderId="36" applyNumberFormat="0" applyAlignment="0" applyProtection="0"/>
    <xf numFmtId="183" fontId="67" fillId="0" borderId="0" applyFont="0" applyFill="0" applyBorder="0" applyAlignment="0" applyProtection="0"/>
    <xf numFmtId="43" fontId="68" fillId="0" borderId="0" applyFont="0" applyFill="0" applyBorder="0" applyAlignment="0" applyProtection="0"/>
    <xf numFmtId="182" fontId="67" fillId="0" borderId="0" applyFont="0" applyFill="0" applyBorder="0" applyAlignment="0" applyProtection="0"/>
    <xf numFmtId="0" fontId="75" fillId="0" borderId="0" applyNumberFormat="0" applyFill="0" applyBorder="0" applyAlignment="0" applyProtection="0"/>
    <xf numFmtId="0" fontId="76" fillId="33" borderId="0" applyNumberFormat="0" applyBorder="0" applyAlignment="0" applyProtection="0"/>
    <xf numFmtId="0" fontId="77" fillId="0" borderId="37" applyNumberFormat="0" applyFill="0" applyAlignment="0" applyProtection="0"/>
    <xf numFmtId="0" fontId="78" fillId="0" borderId="38" applyNumberFormat="0" applyFill="0" applyAlignment="0" applyProtection="0"/>
    <xf numFmtId="0" fontId="79" fillId="0" borderId="39" applyNumberFormat="0" applyFill="0" applyAlignment="0" applyProtection="0"/>
    <xf numFmtId="0" fontId="79" fillId="0" borderId="0" applyNumberFormat="0" applyFill="0" applyBorder="0" applyAlignment="0" applyProtection="0"/>
    <xf numFmtId="0" fontId="80" fillId="34" borderId="35" applyNumberFormat="0" applyAlignment="0" applyProtection="0"/>
    <xf numFmtId="0" fontId="81" fillId="0" borderId="40" applyNumberFormat="0" applyFill="0" applyAlignment="0" applyProtection="0"/>
    <xf numFmtId="0" fontId="82" fillId="34" borderId="0" applyNumberFormat="0" applyBorder="0" applyAlignment="0" applyProtection="0"/>
    <xf numFmtId="0" fontId="68" fillId="0" borderId="0"/>
    <xf numFmtId="0" fontId="67" fillId="0" borderId="0"/>
    <xf numFmtId="0" fontId="67" fillId="31" borderId="41" applyNumberFormat="0" applyFont="0" applyAlignment="0" applyProtection="0"/>
    <xf numFmtId="0" fontId="83" fillId="43" borderId="42" applyNumberFormat="0" applyAlignment="0" applyProtection="0"/>
    <xf numFmtId="9" fontId="67" fillId="0" borderId="0" applyFont="0" applyFill="0" applyBorder="0" applyAlignment="0" applyProtection="0"/>
    <xf numFmtId="0" fontId="84" fillId="0" borderId="0" applyNumberFormat="0" applyFill="0" applyBorder="0" applyAlignment="0" applyProtection="0"/>
    <xf numFmtId="0" fontId="85" fillId="0" borderId="43" applyNumberFormat="0" applyFill="0" applyAlignment="0" applyProtection="0"/>
    <xf numFmtId="0" fontId="81" fillId="0" borderId="0" applyNumberFormat="0" applyFill="0" applyBorder="0" applyAlignment="0" applyProtection="0"/>
    <xf numFmtId="0" fontId="73" fillId="43" borderId="49" applyNumberFormat="0" applyAlignment="0" applyProtection="0"/>
    <xf numFmtId="0" fontId="80" fillId="34" borderId="49" applyNumberFormat="0" applyAlignment="0" applyProtection="0"/>
    <xf numFmtId="0" fontId="67" fillId="31" borderId="50" applyNumberFormat="0" applyFont="0" applyAlignment="0" applyProtection="0"/>
    <xf numFmtId="0" fontId="83" fillId="43" borderId="51" applyNumberFormat="0" applyAlignment="0" applyProtection="0"/>
    <xf numFmtId="0" fontId="85" fillId="0" borderId="52" applyNumberFormat="0" applyFill="0" applyAlignment="0" applyProtection="0"/>
    <xf numFmtId="0" fontId="67" fillId="31" borderId="41" applyNumberFormat="0" applyFont="0" applyAlignment="0" applyProtection="0"/>
    <xf numFmtId="0" fontId="67" fillId="31" borderId="41" applyNumberFormat="0" applyFont="0" applyAlignment="0" applyProtection="0"/>
    <xf numFmtId="0" fontId="97" fillId="0" borderId="0"/>
    <xf numFmtId="0" fontId="8" fillId="47" borderId="0" applyNumberFormat="0" applyBorder="0" applyAlignment="0" applyProtection="0"/>
    <xf numFmtId="0" fontId="8" fillId="7" borderId="0" applyNumberFormat="0" applyBorder="0" applyAlignment="0" applyProtection="0"/>
    <xf numFmtId="43" fontId="8" fillId="0" borderId="0" applyFont="0" applyFill="0" applyBorder="0" applyAlignment="0" applyProtection="0"/>
    <xf numFmtId="44" fontId="68" fillId="0" borderId="0" applyFont="0" applyFill="0" applyBorder="0" applyAlignment="0" applyProtection="0"/>
    <xf numFmtId="44" fontId="8" fillId="0" borderId="0" applyFont="0" applyFill="0" applyBorder="0" applyAlignment="0" applyProtection="0"/>
    <xf numFmtId="0" fontId="9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xf numFmtId="0" fontId="67" fillId="31" borderId="50" applyNumberFormat="0" applyFont="0" applyAlignment="0" applyProtection="0"/>
    <xf numFmtId="0" fontId="67" fillId="31" borderId="50" applyNumberFormat="0" applyFont="0" applyAlignment="0" applyProtection="0"/>
    <xf numFmtId="9" fontId="68" fillId="0" borderId="0" applyFont="0" applyFill="0" applyBorder="0" applyAlignment="0" applyProtection="0"/>
    <xf numFmtId="9" fontId="8" fillId="0" borderId="0" applyFont="0" applyFill="0" applyBorder="0" applyAlignment="0" applyProtection="0"/>
    <xf numFmtId="0" fontId="68" fillId="0" borderId="0"/>
    <xf numFmtId="180" fontId="69"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0" fontId="69" fillId="0" borderId="0" applyNumberFormat="0" applyFont="0" applyFill="0" applyBorder="0" applyAlignment="0" applyProtection="0"/>
    <xf numFmtId="9" fontId="70"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45" fillId="0" borderId="0" applyNumberFormat="0" applyFont="0" applyFill="0" applyBorder="0" applyAlignment="0" applyProtection="0"/>
    <xf numFmtId="180" fontId="45" fillId="0" borderId="0" applyFont="0" applyFill="0" applyBorder="0" applyAlignment="0" applyProtection="0"/>
    <xf numFmtId="0" fontId="97"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99" fillId="0" borderId="0"/>
    <xf numFmtId="0" fontId="99" fillId="0" borderId="0"/>
    <xf numFmtId="0" fontId="68" fillId="0" borderId="0"/>
    <xf numFmtId="0" fontId="73" fillId="43" borderId="62" applyNumberFormat="0" applyAlignment="0" applyProtection="0"/>
    <xf numFmtId="0" fontId="80" fillId="34" borderId="62" applyNumberFormat="0" applyAlignment="0" applyProtection="0"/>
    <xf numFmtId="0" fontId="67" fillId="31" borderId="63" applyNumberFormat="0" applyFont="0" applyAlignment="0" applyProtection="0"/>
    <xf numFmtId="0" fontId="83" fillId="43" borderId="64" applyNumberFormat="0" applyAlignment="0" applyProtection="0"/>
    <xf numFmtId="0" fontId="85" fillId="0" borderId="65" applyNumberFormat="0" applyFill="0" applyAlignment="0" applyProtection="0"/>
    <xf numFmtId="0" fontId="73" fillId="43" borderId="66" applyNumberFormat="0" applyAlignment="0" applyProtection="0"/>
    <xf numFmtId="0" fontId="80" fillId="34" borderId="66" applyNumberFormat="0" applyAlignment="0" applyProtection="0"/>
    <xf numFmtId="0" fontId="67" fillId="31" borderId="67" applyNumberFormat="0" applyFont="0" applyAlignment="0" applyProtection="0"/>
    <xf numFmtId="0" fontId="83" fillId="43" borderId="68" applyNumberFormat="0" applyAlignment="0" applyProtection="0"/>
    <xf numFmtId="0" fontId="85" fillId="0" borderId="69" applyNumberFormat="0" applyFill="0" applyAlignment="0" applyProtection="0"/>
    <xf numFmtId="0" fontId="67" fillId="31" borderId="63" applyNumberFormat="0" applyFont="0" applyAlignment="0" applyProtection="0"/>
    <xf numFmtId="0" fontId="67" fillId="31" borderId="63" applyNumberFormat="0" applyFont="0" applyAlignment="0" applyProtection="0"/>
    <xf numFmtId="0" fontId="73" fillId="43" borderId="72" applyNumberFormat="0" applyAlignment="0" applyProtection="0"/>
    <xf numFmtId="0" fontId="80" fillId="34" borderId="72" applyNumberFormat="0" applyAlignment="0" applyProtection="0"/>
    <xf numFmtId="0" fontId="67" fillId="31" borderId="73" applyNumberFormat="0" applyFont="0" applyAlignment="0" applyProtection="0"/>
    <xf numFmtId="0" fontId="83" fillId="43" borderId="74" applyNumberFormat="0" applyAlignment="0" applyProtection="0"/>
    <xf numFmtId="0" fontId="85" fillId="0" borderId="75" applyNumberFormat="0" applyFill="0" applyAlignment="0" applyProtection="0"/>
    <xf numFmtId="0" fontId="73" fillId="43" borderId="72" applyNumberFormat="0" applyAlignment="0" applyProtection="0"/>
    <xf numFmtId="0" fontId="80" fillId="34" borderId="72" applyNumberFormat="0" applyAlignment="0" applyProtection="0"/>
    <xf numFmtId="0" fontId="67" fillId="31" borderId="73" applyNumberFormat="0" applyFont="0" applyAlignment="0" applyProtection="0"/>
    <xf numFmtId="0" fontId="83" fillId="43" borderId="74" applyNumberFormat="0" applyAlignment="0" applyProtection="0"/>
    <xf numFmtId="0" fontId="85" fillId="0" borderId="75" applyNumberFormat="0" applyFill="0" applyAlignment="0" applyProtection="0"/>
    <xf numFmtId="44" fontId="8" fillId="0" borderId="0" applyFont="0" applyFill="0" applyBorder="0" applyAlignment="0" applyProtection="0"/>
    <xf numFmtId="43" fontId="8" fillId="0" borderId="0" applyFont="0" applyFill="0" applyBorder="0" applyAlignment="0" applyProtection="0"/>
    <xf numFmtId="0" fontId="83" fillId="43" borderId="91" applyNumberFormat="0" applyAlignment="0" applyProtection="0"/>
    <xf numFmtId="0" fontId="73" fillId="43" borderId="89" applyNumberFormat="0" applyAlignment="0" applyProtection="0"/>
    <xf numFmtId="0" fontId="73" fillId="43" borderId="81" applyNumberFormat="0" applyAlignment="0" applyProtection="0"/>
    <xf numFmtId="43" fontId="67" fillId="0" borderId="0" applyFont="0" applyFill="0" applyBorder="0" applyAlignment="0" applyProtection="0"/>
    <xf numFmtId="43" fontId="68" fillId="0" borderId="0" applyFont="0" applyFill="0" applyBorder="0" applyAlignment="0" applyProtection="0"/>
    <xf numFmtId="44" fontId="67" fillId="0" borderId="0" applyFont="0" applyFill="0" applyBorder="0" applyAlignment="0" applyProtection="0"/>
    <xf numFmtId="0" fontId="80" fillId="34" borderId="81" applyNumberFormat="0" applyAlignment="0" applyProtection="0"/>
    <xf numFmtId="0" fontId="67" fillId="31" borderId="82" applyNumberFormat="0" applyFont="0" applyAlignment="0" applyProtection="0"/>
    <xf numFmtId="0" fontId="83" fillId="43" borderId="83" applyNumberFormat="0" applyAlignment="0" applyProtection="0"/>
    <xf numFmtId="0" fontId="85" fillId="0" borderId="84" applyNumberFormat="0" applyFill="0" applyAlignment="0" applyProtection="0"/>
    <xf numFmtId="0" fontId="73" fillId="43" borderId="85" applyNumberFormat="0" applyAlignment="0" applyProtection="0"/>
    <xf numFmtId="0" fontId="80" fillId="34" borderId="85" applyNumberFormat="0" applyAlignment="0" applyProtection="0"/>
    <xf numFmtId="0" fontId="67" fillId="31" borderId="86" applyNumberFormat="0" applyFont="0" applyAlignment="0" applyProtection="0"/>
    <xf numFmtId="0" fontId="83" fillId="43" borderId="87" applyNumberFormat="0" applyAlignment="0" applyProtection="0"/>
    <xf numFmtId="0" fontId="85" fillId="0" borderId="88" applyNumberFormat="0" applyFill="0" applyAlignment="0" applyProtection="0"/>
    <xf numFmtId="0" fontId="67" fillId="31" borderId="82" applyNumberFormat="0" applyFont="0" applyAlignment="0" applyProtection="0"/>
    <xf numFmtId="0" fontId="67" fillId="31" borderId="82" applyNumberFormat="0" applyFont="0" applyAlignment="0" applyProtection="0"/>
    <xf numFmtId="43" fontId="8" fillId="0" borderId="0" applyFont="0" applyFill="0" applyBorder="0" applyAlignment="0" applyProtection="0"/>
    <xf numFmtId="44" fontId="68" fillId="0" borderId="0" applyFont="0" applyFill="0" applyBorder="0" applyAlignment="0" applyProtection="0"/>
    <xf numFmtId="44" fontId="8" fillId="0" borderId="0" applyFont="0" applyFill="0" applyBorder="0" applyAlignment="0" applyProtection="0"/>
    <xf numFmtId="0" fontId="67" fillId="31" borderId="86" applyNumberFormat="0" applyFont="0" applyAlignment="0" applyProtection="0"/>
    <xf numFmtId="0" fontId="67" fillId="31" borderId="86" applyNumberFormat="0" applyFont="0" applyAlignment="0" applyProtection="0"/>
    <xf numFmtId="43" fontId="70" fillId="0" borderId="0" applyFont="0" applyFill="0" applyBorder="0" applyAlignment="0" applyProtection="0"/>
    <xf numFmtId="44" fontId="70" fillId="0" borderId="0" applyFont="0" applyFill="0" applyBorder="0" applyAlignment="0" applyProtection="0"/>
    <xf numFmtId="0" fontId="67" fillId="31" borderId="90" applyNumberFormat="0" applyFont="0" applyAlignment="0" applyProtection="0"/>
    <xf numFmtId="44" fontId="8" fillId="0" borderId="0" applyFont="0" applyFill="0" applyBorder="0" applyAlignment="0" applyProtection="0"/>
    <xf numFmtId="43" fontId="8" fillId="0" borderId="0" applyFont="0" applyFill="0" applyBorder="0" applyAlignment="0" applyProtection="0"/>
    <xf numFmtId="0" fontId="67" fillId="31" borderId="90" applyNumberFormat="0" applyFont="0" applyAlignment="0" applyProtection="0"/>
    <xf numFmtId="0" fontId="85" fillId="0" borderId="92" applyNumberFormat="0" applyFill="0" applyAlignment="0" applyProtection="0"/>
    <xf numFmtId="43" fontId="8" fillId="0" borderId="0" applyFont="0" applyFill="0" applyBorder="0" applyAlignment="0" applyProtection="0"/>
    <xf numFmtId="44" fontId="8" fillId="0" borderId="0" applyFont="0" applyFill="0" applyBorder="0" applyAlignment="0" applyProtection="0"/>
    <xf numFmtId="0" fontId="68" fillId="0" borderId="0"/>
    <xf numFmtId="0" fontId="68" fillId="0" borderId="0"/>
    <xf numFmtId="0" fontId="73" fillId="43" borderId="81" applyNumberFormat="0" applyAlignment="0" applyProtection="0"/>
    <xf numFmtId="0" fontId="80" fillId="34" borderId="81" applyNumberFormat="0" applyAlignment="0" applyProtection="0"/>
    <xf numFmtId="0" fontId="67" fillId="31" borderId="82" applyNumberFormat="0" applyFont="0" applyAlignment="0" applyProtection="0"/>
    <xf numFmtId="0" fontId="83" fillId="43" borderId="83" applyNumberFormat="0" applyAlignment="0" applyProtection="0"/>
    <xf numFmtId="0" fontId="85" fillId="0" borderId="84" applyNumberFormat="0" applyFill="0" applyAlignment="0" applyProtection="0"/>
    <xf numFmtId="0" fontId="73" fillId="43" borderId="81" applyNumberFormat="0" applyAlignment="0" applyProtection="0"/>
    <xf numFmtId="0" fontId="80" fillId="34" borderId="81" applyNumberFormat="0" applyAlignment="0" applyProtection="0"/>
    <xf numFmtId="0" fontId="67" fillId="31" borderId="82" applyNumberFormat="0" applyFont="0" applyAlignment="0" applyProtection="0"/>
    <xf numFmtId="0" fontId="83" fillId="43" borderId="83" applyNumberFormat="0" applyAlignment="0" applyProtection="0"/>
    <xf numFmtId="0" fontId="85" fillId="0" borderId="84" applyNumberFormat="0" applyFill="0" applyAlignment="0" applyProtection="0"/>
    <xf numFmtId="0" fontId="67" fillId="31" borderId="82" applyNumberFormat="0" applyFont="0" applyAlignment="0" applyProtection="0"/>
    <xf numFmtId="0" fontId="67" fillId="31" borderId="82" applyNumberFormat="0" applyFont="0" applyAlignment="0" applyProtection="0"/>
    <xf numFmtId="0" fontId="73" fillId="43" borderId="81" applyNumberFormat="0" applyAlignment="0" applyProtection="0"/>
    <xf numFmtId="0" fontId="80" fillId="34" borderId="81" applyNumberFormat="0" applyAlignment="0" applyProtection="0"/>
    <xf numFmtId="0" fontId="67" fillId="31" borderId="82" applyNumberFormat="0" applyFont="0" applyAlignment="0" applyProtection="0"/>
    <xf numFmtId="0" fontId="83" fillId="43" borderId="83" applyNumberFormat="0" applyAlignment="0" applyProtection="0"/>
    <xf numFmtId="0" fontId="85" fillId="0" borderId="84" applyNumberFormat="0" applyFill="0" applyAlignment="0" applyProtection="0"/>
    <xf numFmtId="0" fontId="73" fillId="43" borderId="81" applyNumberFormat="0" applyAlignment="0" applyProtection="0"/>
    <xf numFmtId="0" fontId="80" fillId="34" borderId="81" applyNumberFormat="0" applyAlignment="0" applyProtection="0"/>
    <xf numFmtId="0" fontId="67" fillId="31" borderId="82" applyNumberFormat="0" applyFont="0" applyAlignment="0" applyProtection="0"/>
    <xf numFmtId="0" fontId="83" fillId="43" borderId="83" applyNumberFormat="0" applyAlignment="0" applyProtection="0"/>
    <xf numFmtId="0" fontId="85" fillId="0" borderId="84" applyNumberFormat="0" applyFill="0" applyAlignment="0" applyProtection="0"/>
    <xf numFmtId="0" fontId="80" fillId="34" borderId="89" applyNumberFormat="0" applyAlignment="0" applyProtection="0"/>
    <xf numFmtId="0" fontId="67" fillId="31" borderId="90" applyNumberFormat="0" applyFont="0" applyAlignment="0" applyProtection="0"/>
    <xf numFmtId="0" fontId="73" fillId="43" borderId="85" applyNumberFormat="0" applyAlignment="0" applyProtection="0"/>
    <xf numFmtId="0" fontId="80" fillId="34" borderId="85" applyNumberFormat="0" applyAlignment="0" applyProtection="0"/>
    <xf numFmtId="0" fontId="67" fillId="31" borderId="86" applyNumberFormat="0" applyFont="0" applyAlignment="0" applyProtection="0"/>
    <xf numFmtId="0" fontId="83" fillId="43" borderId="87" applyNumberFormat="0" applyAlignment="0" applyProtection="0"/>
    <xf numFmtId="0" fontId="85" fillId="0" borderId="88" applyNumberFormat="0" applyFill="0" applyAlignment="0" applyProtection="0"/>
    <xf numFmtId="0" fontId="73" fillId="43" borderId="85" applyNumberFormat="0" applyAlignment="0" applyProtection="0"/>
    <xf numFmtId="0" fontId="80" fillId="34" borderId="85" applyNumberFormat="0" applyAlignment="0" applyProtection="0"/>
    <xf numFmtId="0" fontId="67" fillId="31" borderId="86" applyNumberFormat="0" applyFont="0" applyAlignment="0" applyProtection="0"/>
    <xf numFmtId="0" fontId="83" fillId="43" borderId="87" applyNumberFormat="0" applyAlignment="0" applyProtection="0"/>
    <xf numFmtId="0" fontId="85" fillId="0" borderId="88" applyNumberFormat="0" applyFill="0" applyAlignment="0" applyProtection="0"/>
    <xf numFmtId="0" fontId="67" fillId="31" borderId="86" applyNumberFormat="0" applyFont="0" applyAlignment="0" applyProtection="0"/>
    <xf numFmtId="0" fontId="67" fillId="31" borderId="86" applyNumberFormat="0" applyFont="0" applyAlignment="0" applyProtection="0"/>
    <xf numFmtId="0" fontId="73" fillId="43" borderId="85" applyNumberFormat="0" applyAlignment="0" applyProtection="0"/>
    <xf numFmtId="0" fontId="80" fillId="34" borderId="85" applyNumberFormat="0" applyAlignment="0" applyProtection="0"/>
    <xf numFmtId="0" fontId="67" fillId="31" borderId="86" applyNumberFormat="0" applyFont="0" applyAlignment="0" applyProtection="0"/>
    <xf numFmtId="0" fontId="83" fillId="43" borderId="87" applyNumberFormat="0" applyAlignment="0" applyProtection="0"/>
    <xf numFmtId="0" fontId="85" fillId="0" borderId="88" applyNumberFormat="0" applyFill="0" applyAlignment="0" applyProtection="0"/>
    <xf numFmtId="0" fontId="73" fillId="43" borderId="85" applyNumberFormat="0" applyAlignment="0" applyProtection="0"/>
    <xf numFmtId="0" fontId="80" fillId="34" borderId="85" applyNumberFormat="0" applyAlignment="0" applyProtection="0"/>
    <xf numFmtId="0" fontId="67" fillId="31" borderId="86" applyNumberFormat="0" applyFont="0" applyAlignment="0" applyProtection="0"/>
    <xf numFmtId="0" fontId="83" fillId="43" borderId="87" applyNumberFormat="0" applyAlignment="0" applyProtection="0"/>
    <xf numFmtId="0" fontId="85" fillId="0" borderId="88" applyNumberFormat="0" applyFill="0" applyAlignment="0" applyProtection="0"/>
    <xf numFmtId="43" fontId="68" fillId="0" borderId="0" applyFont="0" applyFill="0" applyBorder="0" applyAlignment="0" applyProtection="0"/>
    <xf numFmtId="44" fontId="68" fillId="0" borderId="0" applyFont="0" applyFill="0" applyBorder="0" applyAlignment="0" applyProtection="0"/>
    <xf numFmtId="0" fontId="68" fillId="0" borderId="0"/>
    <xf numFmtId="44" fontId="8" fillId="0" borderId="0" applyFont="0" applyFill="0" applyBorder="0" applyAlignment="0" applyProtection="0"/>
    <xf numFmtId="43" fontId="8" fillId="0" borderId="0" applyFont="0" applyFill="0" applyBorder="0" applyAlignment="0" applyProtection="0"/>
    <xf numFmtId="0" fontId="73" fillId="43" borderId="103" applyNumberFormat="0" applyAlignment="0" applyProtection="0"/>
    <xf numFmtId="43" fontId="68" fillId="0" borderId="0" applyFont="0" applyFill="0" applyBorder="0" applyAlignment="0" applyProtection="0"/>
    <xf numFmtId="0" fontId="80" fillId="34" borderId="103" applyNumberFormat="0" applyAlignment="0" applyProtection="0"/>
    <xf numFmtId="0" fontId="73" fillId="43" borderId="103" applyNumberFormat="0" applyAlignment="0" applyProtection="0"/>
    <xf numFmtId="0" fontId="80" fillId="34" borderId="103" applyNumberFormat="0" applyAlignment="0" applyProtection="0"/>
    <xf numFmtId="0" fontId="67" fillId="31" borderId="104" applyNumberFormat="0" applyFont="0" applyAlignment="0" applyProtection="0"/>
    <xf numFmtId="0" fontId="83" fillId="43" borderId="105" applyNumberFormat="0" applyAlignment="0" applyProtection="0"/>
    <xf numFmtId="0" fontId="85" fillId="0" borderId="106" applyNumberFormat="0" applyFill="0" applyAlignment="0" applyProtection="0"/>
    <xf numFmtId="43" fontId="8" fillId="0" borderId="0" applyFont="0" applyFill="0" applyBorder="0" applyAlignment="0" applyProtection="0"/>
    <xf numFmtId="44" fontId="68" fillId="0" borderId="0" applyFont="0" applyFill="0" applyBorder="0" applyAlignment="0" applyProtection="0"/>
    <xf numFmtId="44" fontId="8" fillId="0" borderId="0" applyFont="0" applyFill="0" applyBorder="0" applyAlignment="0" applyProtection="0"/>
    <xf numFmtId="0" fontId="67" fillId="31" borderId="104" applyNumberFormat="0" applyFont="0" applyAlignment="0" applyProtection="0"/>
    <xf numFmtId="0" fontId="67" fillId="31" borderId="104" applyNumberFormat="0" applyFont="0" applyAlignment="0" applyProtection="0"/>
    <xf numFmtId="43" fontId="70" fillId="0" borderId="0" applyFont="0" applyFill="0" applyBorder="0" applyAlignment="0" applyProtection="0"/>
    <xf numFmtId="44" fontId="70"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67" fillId="31" borderId="90" applyNumberFormat="0" applyFont="0" applyAlignment="0" applyProtection="0"/>
    <xf numFmtId="0" fontId="67" fillId="31" borderId="90" applyNumberFormat="0" applyFont="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44" fontId="8" fillId="0" borderId="0" applyFont="0" applyFill="0" applyBorder="0" applyAlignment="0" applyProtection="0"/>
    <xf numFmtId="43" fontId="8" fillId="0" borderId="0" applyFont="0" applyFill="0" applyBorder="0" applyAlignment="0" applyProtection="0"/>
    <xf numFmtId="0" fontId="73" fillId="43" borderId="89" applyNumberFormat="0" applyAlignment="0" applyProtection="0"/>
    <xf numFmtId="43" fontId="67" fillId="0" borderId="0" applyFont="0" applyFill="0" applyBorder="0" applyAlignment="0" applyProtection="0"/>
    <xf numFmtId="43" fontId="68" fillId="0" borderId="0" applyFont="0" applyFill="0" applyBorder="0" applyAlignment="0" applyProtection="0"/>
    <xf numFmtId="44" fontId="67" fillId="0" borderId="0" applyFont="0" applyFill="0" applyBorder="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67" fillId="31" borderId="90" applyNumberFormat="0" applyFont="0" applyAlignment="0" applyProtection="0"/>
    <xf numFmtId="0" fontId="67" fillId="31" borderId="90" applyNumberFormat="0" applyFont="0" applyAlignment="0" applyProtection="0"/>
    <xf numFmtId="43" fontId="8" fillId="0" borderId="0" applyFont="0" applyFill="0" applyBorder="0" applyAlignment="0" applyProtection="0"/>
    <xf numFmtId="44" fontId="68" fillId="0" borderId="0" applyFont="0" applyFill="0" applyBorder="0" applyAlignment="0" applyProtection="0"/>
    <xf numFmtId="44" fontId="8" fillId="0" borderId="0" applyFont="0" applyFill="0" applyBorder="0" applyAlignment="0" applyProtection="0"/>
    <xf numFmtId="0" fontId="67" fillId="31" borderId="90" applyNumberFormat="0" applyFont="0" applyAlignment="0" applyProtection="0"/>
    <xf numFmtId="0" fontId="67" fillId="31" borderId="90" applyNumberFormat="0" applyFont="0" applyAlignment="0" applyProtection="0"/>
    <xf numFmtId="43" fontId="70" fillId="0" borderId="0" applyFont="0" applyFill="0" applyBorder="0" applyAlignment="0" applyProtection="0"/>
    <xf numFmtId="44" fontId="70"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67" fillId="31" borderId="90" applyNumberFormat="0" applyFont="0" applyAlignment="0" applyProtection="0"/>
    <xf numFmtId="0" fontId="67" fillId="31" borderId="90" applyNumberFormat="0" applyFont="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67" fillId="31" borderId="90" applyNumberFormat="0" applyFont="0" applyAlignment="0" applyProtection="0"/>
    <xf numFmtId="0" fontId="67" fillId="31" borderId="90" applyNumberFormat="0" applyFont="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0" fontId="73" fillId="43" borderId="89" applyNumberFormat="0" applyAlignment="0" applyProtection="0"/>
    <xf numFmtId="0" fontId="80" fillId="34" borderId="89" applyNumberFormat="0" applyAlignment="0" applyProtection="0"/>
    <xf numFmtId="0" fontId="67" fillId="31" borderId="90" applyNumberFormat="0" applyFont="0" applyAlignment="0" applyProtection="0"/>
    <xf numFmtId="0" fontId="83" fillId="43" borderId="91" applyNumberFormat="0" applyAlignment="0" applyProtection="0"/>
    <xf numFmtId="0" fontId="85" fillId="0" borderId="92" applyNumberFormat="0" applyFill="0" applyAlignment="0" applyProtection="0"/>
    <xf numFmtId="43" fontId="68" fillId="0" borderId="0" applyFont="0" applyFill="0" applyBorder="0" applyAlignment="0" applyProtection="0"/>
    <xf numFmtId="44" fontId="68" fillId="0" borderId="0" applyFont="0" applyFill="0" applyBorder="0" applyAlignment="0" applyProtection="0"/>
  </cellStyleXfs>
  <cellXfs count="2677">
    <xf numFmtId="0" fontId="0" fillId="0" borderId="0" xfId="0"/>
    <xf numFmtId="0" fontId="0" fillId="2" borderId="0" xfId="0" applyFill="1"/>
    <xf numFmtId="0" fontId="9" fillId="2" borderId="0" xfId="2" applyFill="1" applyAlignment="1" applyProtection="1"/>
    <xf numFmtId="0" fontId="11" fillId="0" borderId="0" xfId="0" applyFont="1"/>
    <xf numFmtId="0" fontId="13" fillId="4" borderId="3" xfId="0" applyFont="1" applyFill="1" applyBorder="1" applyAlignment="1" applyProtection="1">
      <alignment horizontal="center" wrapText="1"/>
      <protection locked="0"/>
    </xf>
    <xf numFmtId="0" fontId="0" fillId="2" borderId="0" xfId="0" applyFill="1" applyProtection="1"/>
    <xf numFmtId="0" fontId="0" fillId="0" borderId="0" xfId="0" applyFill="1" applyProtection="1"/>
    <xf numFmtId="1" fontId="13" fillId="3" borderId="5" xfId="0" applyNumberFormat="1" applyFont="1" applyFill="1" applyBorder="1" applyAlignment="1" applyProtection="1">
      <alignment horizontal="center" wrapText="1"/>
    </xf>
    <xf numFmtId="165" fontId="13" fillId="3" borderId="5" xfId="0" applyNumberFormat="1" applyFont="1" applyFill="1" applyBorder="1" applyAlignment="1" applyProtection="1">
      <alignment horizontal="center" wrapText="1"/>
    </xf>
    <xf numFmtId="0" fontId="0" fillId="0" borderId="0" xfId="0" applyProtection="1"/>
    <xf numFmtId="3" fontId="13" fillId="5" borderId="7" xfId="0" applyNumberFormat="1" applyFont="1" applyFill="1" applyBorder="1" applyAlignment="1" applyProtection="1">
      <alignment horizontal="center" wrapText="1"/>
    </xf>
    <xf numFmtId="2" fontId="15" fillId="6" borderId="3" xfId="0" applyNumberFormat="1" applyFont="1" applyFill="1" applyBorder="1" applyAlignment="1" applyProtection="1">
      <alignment horizontal="center" wrapText="1"/>
    </xf>
    <xf numFmtId="0" fontId="2" fillId="0" borderId="0" xfId="0" applyFont="1" applyFill="1" applyBorder="1" applyProtection="1"/>
    <xf numFmtId="0" fontId="17" fillId="0" borderId="0" xfId="0" applyFont="1" applyFill="1" applyProtection="1"/>
    <xf numFmtId="2" fontId="17" fillId="0" borderId="0" xfId="0" applyNumberFormat="1" applyFont="1" applyFill="1" applyAlignment="1" applyProtection="1">
      <alignment horizontal="center"/>
    </xf>
    <xf numFmtId="2" fontId="2" fillId="0" borderId="0" xfId="0" applyNumberFormat="1" applyFont="1" applyFill="1" applyBorder="1" applyAlignment="1" applyProtection="1">
      <alignment horizontal="center"/>
    </xf>
    <xf numFmtId="164" fontId="17" fillId="0" borderId="0" xfId="0" applyNumberFormat="1" applyFont="1" applyFill="1" applyAlignment="1" applyProtection="1">
      <alignment horizontal="center"/>
    </xf>
    <xf numFmtId="0" fontId="0" fillId="2" borderId="0" xfId="0" applyFill="1" applyProtection="1">
      <protection locked="0"/>
    </xf>
    <xf numFmtId="0" fontId="0" fillId="0" borderId="0" xfId="0" applyFill="1" applyProtection="1">
      <protection locked="0"/>
    </xf>
    <xf numFmtId="165" fontId="13" fillId="4" borderId="5" xfId="0" applyNumberFormat="1" applyFont="1" applyFill="1" applyBorder="1" applyAlignment="1" applyProtection="1">
      <alignment horizontal="center" wrapText="1"/>
      <protection locked="0"/>
    </xf>
    <xf numFmtId="0" fontId="0" fillId="0" borderId="0" xfId="0" applyProtection="1">
      <protection locked="0"/>
    </xf>
    <xf numFmtId="2" fontId="13" fillId="4" borderId="5" xfId="0" applyNumberFormat="1" applyFont="1" applyFill="1" applyBorder="1" applyAlignment="1" applyProtection="1">
      <alignment horizontal="center" wrapText="1"/>
      <protection locked="0"/>
    </xf>
    <xf numFmtId="168" fontId="13" fillId="4" borderId="5" xfId="0" applyNumberFormat="1" applyFont="1" applyFill="1" applyBorder="1" applyAlignment="1" applyProtection="1">
      <alignment horizontal="center" wrapText="1"/>
      <protection locked="0"/>
    </xf>
    <xf numFmtId="1" fontId="13" fillId="4" borderId="5" xfId="0" applyNumberFormat="1" applyFont="1" applyFill="1" applyBorder="1" applyAlignment="1" applyProtection="1">
      <alignment horizontal="center" wrapText="1"/>
      <protection locked="0"/>
    </xf>
    <xf numFmtId="0" fontId="1" fillId="0" borderId="0" xfId="0" applyFont="1" applyFill="1" applyBorder="1" applyProtection="1">
      <protection locked="0"/>
    </xf>
    <xf numFmtId="2" fontId="0" fillId="0" borderId="0" xfId="0" applyNumberFormat="1" applyFill="1" applyBorder="1" applyProtection="1">
      <protection locked="0"/>
    </xf>
    <xf numFmtId="0" fontId="7" fillId="0" borderId="0" xfId="0" applyFont="1" applyFill="1" applyBorder="1" applyProtection="1">
      <protection locked="0"/>
    </xf>
    <xf numFmtId="0" fontId="2" fillId="0" borderId="0" xfId="0" applyFont="1" applyFill="1" applyBorder="1" applyProtection="1">
      <protection locked="0"/>
    </xf>
    <xf numFmtId="2" fontId="17" fillId="0" borderId="0" xfId="0" applyNumberFormat="1" applyFont="1" applyFill="1" applyBorder="1" applyProtection="1">
      <protection locked="0"/>
    </xf>
    <xf numFmtId="0" fontId="17" fillId="0" borderId="0" xfId="0" applyFont="1" applyFill="1" applyProtection="1">
      <protection locked="0"/>
    </xf>
    <xf numFmtId="2" fontId="17" fillId="0" borderId="0" xfId="0" applyNumberFormat="1" applyFont="1" applyFill="1" applyBorder="1" applyAlignment="1" applyProtection="1">
      <alignment horizontal="center"/>
      <protection locked="0"/>
    </xf>
    <xf numFmtId="2" fontId="17" fillId="0" borderId="0" xfId="0" applyNumberFormat="1" applyFont="1" applyFill="1" applyAlignment="1" applyProtection="1">
      <alignment horizontal="center"/>
      <protection locked="0"/>
    </xf>
    <xf numFmtId="1" fontId="1" fillId="0" borderId="0" xfId="0" applyNumberFormat="1" applyFont="1" applyFill="1" applyBorder="1" applyAlignment="1" applyProtection="1">
      <alignment horizontal="center"/>
      <protection locked="0"/>
    </xf>
    <xf numFmtId="1" fontId="17" fillId="0" borderId="0" xfId="1" applyNumberFormat="1" applyFont="1" applyFill="1" applyAlignment="1" applyProtection="1">
      <alignment horizontal="center"/>
      <protection locked="0"/>
    </xf>
    <xf numFmtId="1" fontId="1" fillId="0" borderId="0" xfId="1" applyNumberFormat="1" applyFont="1" applyFill="1" applyBorder="1" applyAlignment="1" applyProtection="1">
      <alignment horizontal="center"/>
      <protection locked="0"/>
    </xf>
    <xf numFmtId="10" fontId="17" fillId="0" borderId="0" xfId="3" applyNumberFormat="1" applyFont="1" applyFill="1" applyAlignment="1" applyProtection="1">
      <alignment horizontal="center"/>
      <protection locked="0"/>
    </xf>
    <xf numFmtId="169" fontId="17" fillId="0" borderId="0" xfId="1" applyNumberFormat="1" applyFont="1" applyFill="1" applyAlignment="1" applyProtection="1">
      <alignment horizontal="center"/>
      <protection locked="0"/>
    </xf>
    <xf numFmtId="0" fontId="17" fillId="0" borderId="0" xfId="0" applyFont="1" applyFill="1" applyAlignment="1" applyProtection="1">
      <alignment horizontal="center"/>
      <protection locked="0"/>
    </xf>
    <xf numFmtId="0" fontId="1" fillId="0" borderId="0" xfId="0" applyFont="1" applyFill="1" applyBorder="1" applyAlignment="1" applyProtection="1">
      <alignment horizontal="center"/>
      <protection locked="0"/>
    </xf>
    <xf numFmtId="0" fontId="18" fillId="0" borderId="0" xfId="0" applyFont="1" applyFill="1" applyBorder="1" applyAlignment="1" applyProtection="1">
      <alignment horizontal="left"/>
      <protection locked="0"/>
    </xf>
    <xf numFmtId="164" fontId="1" fillId="0" borderId="0" xfId="0" applyNumberFormat="1" applyFont="1" applyFill="1" applyBorder="1" applyAlignment="1" applyProtection="1">
      <alignment horizontal="center"/>
      <protection locked="0"/>
    </xf>
    <xf numFmtId="0" fontId="1" fillId="0" borderId="0" xfId="0" quotePrefix="1" applyFont="1" applyFill="1" applyBorder="1" applyProtection="1">
      <protection locked="0"/>
    </xf>
    <xf numFmtId="2" fontId="1" fillId="0" borderId="0" xfId="0" applyNumberFormat="1" applyFont="1" applyFill="1" applyBorder="1" applyAlignment="1" applyProtection="1">
      <alignment horizontal="center"/>
      <protection locked="0"/>
    </xf>
    <xf numFmtId="164" fontId="2" fillId="0" borderId="0" xfId="0" applyNumberFormat="1" applyFont="1" applyFill="1" applyBorder="1" applyAlignment="1" applyProtection="1">
      <alignment horizontal="center"/>
      <protection locked="0"/>
    </xf>
    <xf numFmtId="166" fontId="1" fillId="0" borderId="0" xfId="0" applyNumberFormat="1" applyFont="1" applyFill="1" applyBorder="1" applyAlignment="1" applyProtection="1">
      <alignment horizontal="center"/>
      <protection locked="0"/>
    </xf>
    <xf numFmtId="2" fontId="2" fillId="0" borderId="0" xfId="0" applyNumberFormat="1" applyFont="1" applyFill="1" applyBorder="1" applyAlignment="1" applyProtection="1">
      <alignment horizontal="center"/>
      <protection locked="0"/>
    </xf>
    <xf numFmtId="0" fontId="17" fillId="0" borderId="0" xfId="0" applyFont="1" applyFill="1" applyBorder="1" applyProtection="1">
      <protection locked="0"/>
    </xf>
    <xf numFmtId="0" fontId="1" fillId="0" borderId="0" xfId="0" applyFont="1" applyFill="1" applyProtection="1">
      <protection locked="0"/>
    </xf>
    <xf numFmtId="0" fontId="21" fillId="0" borderId="0" xfId="0" applyFont="1" applyFill="1" applyProtection="1">
      <protection locked="0"/>
    </xf>
    <xf numFmtId="164" fontId="17" fillId="0" borderId="0" xfId="0" applyNumberFormat="1" applyFont="1" applyFill="1" applyAlignment="1" applyProtection="1">
      <alignment horizontal="center"/>
      <protection locked="0"/>
    </xf>
    <xf numFmtId="165" fontId="17" fillId="0" borderId="0" xfId="0" applyNumberFormat="1" applyFont="1" applyFill="1" applyAlignment="1" applyProtection="1">
      <alignment horizontal="center"/>
      <protection locked="0"/>
    </xf>
    <xf numFmtId="2" fontId="17" fillId="0" borderId="0" xfId="0" applyNumberFormat="1" applyFont="1" applyFill="1" applyProtection="1">
      <protection locked="0"/>
    </xf>
    <xf numFmtId="168" fontId="17" fillId="0" borderId="0" xfId="0" applyNumberFormat="1" applyFont="1" applyFill="1" applyAlignment="1" applyProtection="1">
      <alignment horizontal="center"/>
      <protection locked="0"/>
    </xf>
    <xf numFmtId="169" fontId="17" fillId="0" borderId="0" xfId="0" applyNumberFormat="1" applyFont="1" applyFill="1" applyAlignment="1" applyProtection="1">
      <alignment horizontal="center"/>
      <protection locked="0"/>
    </xf>
    <xf numFmtId="0" fontId="26" fillId="2" borderId="0" xfId="0" applyFont="1" applyFill="1" applyProtection="1">
      <protection locked="0"/>
    </xf>
    <xf numFmtId="0" fontId="27" fillId="2" borderId="0" xfId="0" applyFont="1" applyFill="1" applyProtection="1">
      <protection locked="0"/>
    </xf>
    <xf numFmtId="0" fontId="27" fillId="2" borderId="0" xfId="0" applyFont="1" applyFill="1" applyBorder="1" applyProtection="1">
      <protection locked="0"/>
    </xf>
    <xf numFmtId="0" fontId="30" fillId="18" borderId="0" xfId="0" applyFont="1" applyFill="1" applyBorder="1" applyProtection="1"/>
    <xf numFmtId="0" fontId="27" fillId="2" borderId="0" xfId="0" applyFont="1" applyFill="1" applyBorder="1" applyProtection="1"/>
    <xf numFmtId="0" fontId="27" fillId="2" borderId="0" xfId="0" applyFont="1" applyFill="1" applyProtection="1"/>
    <xf numFmtId="0" fontId="28" fillId="4" borderId="11" xfId="0" applyFont="1" applyFill="1" applyBorder="1" applyProtection="1"/>
    <xf numFmtId="0" fontId="29" fillId="4" borderId="11" xfId="4" applyFont="1" applyFill="1" applyBorder="1" applyAlignment="1" applyProtection="1">
      <alignment horizontal="center" vertical="top" wrapText="1"/>
    </xf>
    <xf numFmtId="0" fontId="28" fillId="11" borderId="11" xfId="0" applyFont="1" applyFill="1" applyBorder="1" applyAlignment="1" applyProtection="1">
      <alignment horizontal="center"/>
    </xf>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0" fontId="30" fillId="4" borderId="0" xfId="4" applyFont="1" applyFill="1" applyBorder="1" applyAlignment="1" applyProtection="1">
      <alignment horizontal="center" vertical="top" wrapText="1"/>
    </xf>
    <xf numFmtId="0" fontId="30" fillId="4" borderId="0" xfId="4" applyFont="1" applyFill="1" applyBorder="1" applyProtection="1"/>
    <xf numFmtId="0" fontId="27" fillId="4" borderId="0" xfId="0" applyFont="1" applyFill="1" applyAlignment="1" applyProtection="1">
      <alignment horizontal="right"/>
    </xf>
    <xf numFmtId="2" fontId="27" fillId="4" borderId="0" xfId="0" applyNumberFormat="1" applyFont="1" applyFill="1" applyProtection="1"/>
    <xf numFmtId="1" fontId="30" fillId="4" borderId="0" xfId="4" applyNumberFormat="1" applyFont="1" applyFill="1" applyBorder="1" applyAlignment="1" applyProtection="1">
      <alignment horizontal="center" vertical="top" wrapText="1"/>
    </xf>
    <xf numFmtId="2" fontId="30" fillId="4" borderId="0" xfId="4" applyNumberFormat="1" applyFont="1" applyFill="1" applyBorder="1" applyAlignment="1" applyProtection="1">
      <alignment horizontal="left" vertical="top" wrapText="1"/>
    </xf>
    <xf numFmtId="2" fontId="30" fillId="4" borderId="0" xfId="4" applyNumberFormat="1" applyFont="1" applyFill="1" applyBorder="1" applyAlignment="1" applyProtection="1">
      <alignment horizontal="center" vertical="top" wrapText="1"/>
    </xf>
    <xf numFmtId="0" fontId="28" fillId="4" borderId="0" xfId="0" applyFont="1" applyFill="1" applyAlignment="1" applyProtection="1">
      <alignment horizontal="left"/>
    </xf>
    <xf numFmtId="0" fontId="32" fillId="4" borderId="0" xfId="0" applyFont="1" applyFill="1" applyProtection="1"/>
    <xf numFmtId="0" fontId="27" fillId="4" borderId="0" xfId="0" applyFont="1" applyFill="1" applyAlignment="1" applyProtection="1"/>
    <xf numFmtId="0" fontId="27" fillId="4" borderId="17" xfId="0" applyFont="1" applyFill="1" applyBorder="1" applyAlignment="1" applyProtection="1"/>
    <xf numFmtId="0" fontId="27" fillId="4" borderId="18" xfId="0" applyFont="1" applyFill="1" applyBorder="1" applyAlignment="1" applyProtection="1"/>
    <xf numFmtId="0" fontId="27" fillId="4" borderId="19" xfId="0" applyFont="1" applyFill="1" applyBorder="1" applyAlignment="1" applyProtection="1"/>
    <xf numFmtId="0" fontId="27" fillId="4" borderId="0" xfId="0" applyFont="1" applyFill="1" applyBorder="1" applyAlignment="1" applyProtection="1"/>
    <xf numFmtId="0" fontId="27" fillId="4" borderId="15" xfId="0" applyFont="1" applyFill="1" applyBorder="1" applyAlignment="1" applyProtection="1"/>
    <xf numFmtId="0" fontId="27" fillId="4" borderId="13" xfId="0" applyFont="1" applyFill="1" applyBorder="1" applyProtection="1"/>
    <xf numFmtId="0" fontId="27" fillId="4" borderId="20" xfId="0" applyFont="1" applyFill="1" applyBorder="1" applyProtection="1"/>
    <xf numFmtId="2" fontId="27" fillId="4" borderId="20" xfId="0" applyNumberFormat="1" applyFont="1" applyFill="1" applyBorder="1" applyProtection="1"/>
    <xf numFmtId="2" fontId="27" fillId="4" borderId="14" xfId="0" applyNumberFormat="1" applyFont="1" applyFill="1" applyBorder="1" applyProtection="1"/>
    <xf numFmtId="2" fontId="27" fillId="4" borderId="0" xfId="0" applyNumberFormat="1" applyFont="1" applyFill="1" applyBorder="1" applyProtection="1"/>
    <xf numFmtId="0" fontId="27" fillId="4" borderId="0" xfId="0" applyFont="1" applyFill="1" applyBorder="1" applyProtection="1"/>
    <xf numFmtId="0" fontId="28" fillId="4" borderId="0" xfId="0" applyFont="1" applyFill="1" applyAlignment="1" applyProtection="1"/>
    <xf numFmtId="172" fontId="27" fillId="4" borderId="0" xfId="0" applyNumberFormat="1" applyFont="1" applyFill="1" applyBorder="1" applyProtection="1"/>
    <xf numFmtId="0" fontId="28" fillId="4" borderId="8" xfId="0" applyFont="1" applyFill="1" applyBorder="1" applyProtection="1"/>
    <xf numFmtId="0" fontId="27" fillId="4" borderId="8" xfId="0" applyFont="1" applyFill="1" applyBorder="1" applyProtection="1"/>
    <xf numFmtId="0" fontId="28" fillId="11" borderId="8" xfId="0" applyFont="1" applyFill="1" applyBorder="1" applyAlignment="1" applyProtection="1">
      <alignment horizontal="center"/>
    </xf>
    <xf numFmtId="0" fontId="29" fillId="15" borderId="11" xfId="4" applyFont="1" applyFill="1" applyBorder="1" applyProtection="1"/>
    <xf numFmtId="0" fontId="28" fillId="15" borderId="11" xfId="0" applyFont="1" applyFill="1" applyBorder="1" applyAlignment="1" applyProtection="1">
      <alignment horizontal="right"/>
    </xf>
    <xf numFmtId="0" fontId="29" fillId="15" borderId="11" xfId="4" applyFont="1" applyFill="1" applyBorder="1" applyAlignment="1" applyProtection="1">
      <alignment horizontal="center" wrapText="1"/>
    </xf>
    <xf numFmtId="0" fontId="28" fillId="15" borderId="11" xfId="0" applyFont="1" applyFill="1" applyBorder="1" applyAlignment="1" applyProtection="1"/>
    <xf numFmtId="0" fontId="29" fillId="16" borderId="11" xfId="4" applyFont="1" applyFill="1" applyBorder="1" applyAlignment="1" applyProtection="1">
      <alignment horizontal="center" wrapText="1"/>
    </xf>
    <xf numFmtId="0" fontId="28" fillId="2" borderId="0" xfId="0" applyFont="1" applyFill="1" applyAlignment="1" applyProtection="1">
      <alignment horizontal="center"/>
    </xf>
    <xf numFmtId="0" fontId="29" fillId="15" borderId="11" xfId="4" applyFont="1" applyFill="1" applyBorder="1" applyAlignment="1" applyProtection="1">
      <alignment horizontal="center" vertical="top" wrapText="1"/>
    </xf>
    <xf numFmtId="166" fontId="27" fillId="2" borderId="0" xfId="0" applyNumberFormat="1" applyFont="1" applyFill="1" applyBorder="1" applyProtection="1"/>
    <xf numFmtId="1" fontId="27" fillId="2" borderId="0" xfId="0" applyNumberFormat="1" applyFont="1" applyFill="1" applyBorder="1" applyProtection="1"/>
    <xf numFmtId="172" fontId="27" fillId="2" borderId="0" xfId="0" applyNumberFormat="1" applyFont="1" applyFill="1" applyBorder="1" applyAlignment="1" applyProtection="1">
      <alignment horizontal="center"/>
    </xf>
    <xf numFmtId="0" fontId="28" fillId="2" borderId="0" xfId="0" applyFont="1" applyFill="1" applyProtection="1"/>
    <xf numFmtId="0" fontId="27" fillId="2" borderId="0" xfId="0" applyFont="1" applyFill="1" applyBorder="1" applyAlignment="1" applyProtection="1">
      <alignment horizontal="center"/>
    </xf>
    <xf numFmtId="166" fontId="27" fillId="2" borderId="0" xfId="0" applyNumberFormat="1" applyFont="1" applyFill="1" applyBorder="1" applyAlignment="1" applyProtection="1">
      <alignment horizontal="center"/>
    </xf>
    <xf numFmtId="0" fontId="28" fillId="2" borderId="0" xfId="0" applyFont="1" applyFill="1" applyBorder="1" applyAlignment="1" applyProtection="1">
      <alignment horizontal="center"/>
    </xf>
    <xf numFmtId="0" fontId="27" fillId="2" borderId="0" xfId="0" applyFont="1" applyFill="1" applyAlignment="1" applyProtection="1">
      <alignment horizontal="right"/>
    </xf>
    <xf numFmtId="175" fontId="27" fillId="2" borderId="0" xfId="0" applyNumberFormat="1" applyFont="1" applyFill="1" applyProtection="1"/>
    <xf numFmtId="175" fontId="27" fillId="2" borderId="0" xfId="0" applyNumberFormat="1" applyFont="1" applyFill="1" applyAlignment="1" applyProtection="1">
      <alignment horizontal="right"/>
    </xf>
    <xf numFmtId="173" fontId="27" fillId="2" borderId="0" xfId="0" applyNumberFormat="1" applyFont="1" applyFill="1" applyBorder="1" applyProtection="1"/>
    <xf numFmtId="11" fontId="27" fillId="2" borderId="0" xfId="0" applyNumberFormat="1" applyFont="1" applyFill="1" applyProtection="1"/>
    <xf numFmtId="166" fontId="27" fillId="2" borderId="0" xfId="0" applyNumberFormat="1" applyFont="1" applyFill="1" applyProtection="1"/>
    <xf numFmtId="2" fontId="27" fillId="2" borderId="0" xfId="0" applyNumberFormat="1" applyFont="1" applyFill="1" applyProtection="1"/>
    <xf numFmtId="0" fontId="27" fillId="15" borderId="0" xfId="0" applyFont="1" applyFill="1" applyAlignment="1" applyProtection="1">
      <alignment horizontal="left"/>
    </xf>
    <xf numFmtId="173" fontId="27" fillId="2" borderId="0" xfId="0" applyNumberFormat="1" applyFont="1" applyFill="1" applyProtection="1"/>
    <xf numFmtId="165" fontId="16" fillId="3" borderId="7" xfId="0" applyNumberFormat="1" applyFont="1" applyFill="1" applyBorder="1" applyAlignment="1" applyProtection="1">
      <alignment horizontal="center"/>
    </xf>
    <xf numFmtId="0" fontId="27" fillId="4" borderId="18" xfId="0" applyFont="1" applyFill="1" applyBorder="1" applyAlignment="1" applyProtection="1">
      <alignment horizontal="right"/>
    </xf>
    <xf numFmtId="0" fontId="27" fillId="4" borderId="0" xfId="0" applyFont="1" applyFill="1" applyBorder="1" applyAlignment="1" applyProtection="1">
      <alignment horizontal="right"/>
    </xf>
    <xf numFmtId="0" fontId="27" fillId="4" borderId="20" xfId="0" applyFont="1" applyFill="1" applyBorder="1" applyAlignment="1" applyProtection="1">
      <alignment horizontal="right"/>
    </xf>
    <xf numFmtId="2" fontId="27" fillId="4" borderId="20" xfId="0" applyNumberFormat="1" applyFont="1" applyFill="1" applyBorder="1" applyAlignment="1" applyProtection="1">
      <alignment horizontal="right"/>
    </xf>
    <xf numFmtId="0" fontId="29" fillId="0" borderId="0" xfId="0" applyFont="1" applyFill="1" applyBorder="1" applyProtection="1"/>
    <xf numFmtId="0" fontId="0" fillId="0" borderId="0" xfId="0" applyAlignment="1" applyProtection="1">
      <alignment horizontal="center"/>
    </xf>
    <xf numFmtId="0" fontId="10" fillId="0" borderId="0" xfId="0" applyFont="1" applyProtection="1"/>
    <xf numFmtId="2" fontId="10" fillId="0" borderId="0" xfId="0" applyNumberFormat="1" applyFont="1" applyAlignment="1" applyProtection="1">
      <alignment horizontal="center"/>
    </xf>
    <xf numFmtId="0" fontId="10" fillId="0" borderId="0" xfId="0" applyFont="1" applyAlignment="1" applyProtection="1">
      <alignment horizontal="center"/>
    </xf>
    <xf numFmtId="169" fontId="1" fillId="0" borderId="0" xfId="0" applyNumberFormat="1" applyFont="1" applyFill="1" applyBorder="1" applyAlignment="1" applyProtection="1">
      <alignment horizontal="center"/>
      <protection locked="0"/>
    </xf>
    <xf numFmtId="0" fontId="0" fillId="0" borderId="0" xfId="0" applyFill="1" applyAlignment="1" applyProtection="1">
      <alignment horizontal="center"/>
      <protection locked="0"/>
    </xf>
    <xf numFmtId="0" fontId="21" fillId="0" borderId="0" xfId="0" applyFont="1" applyFill="1" applyAlignment="1" applyProtection="1">
      <alignment horizontal="center"/>
      <protection locked="0"/>
    </xf>
    <xf numFmtId="0" fontId="17" fillId="0" borderId="0" xfId="0" applyFont="1" applyFill="1" applyBorder="1" applyAlignment="1" applyProtection="1">
      <alignment horizontal="center"/>
      <protection locked="0"/>
    </xf>
    <xf numFmtId="167" fontId="2" fillId="0" borderId="0" xfId="0" applyNumberFormat="1" applyFont="1" applyFill="1" applyBorder="1" applyProtection="1">
      <protection locked="0"/>
    </xf>
    <xf numFmtId="0" fontId="17" fillId="0" borderId="0" xfId="0" applyFont="1" applyFill="1" applyAlignment="1" applyProtection="1">
      <protection locked="0"/>
    </xf>
    <xf numFmtId="165" fontId="1" fillId="0" borderId="0" xfId="0" applyNumberFormat="1" applyFont="1" applyFill="1" applyBorder="1" applyAlignment="1" applyProtection="1">
      <alignment horizontal="center"/>
      <protection locked="0"/>
    </xf>
    <xf numFmtId="0" fontId="1" fillId="0" borderId="0" xfId="0" applyFont="1" applyFill="1" applyBorder="1" applyAlignment="1" applyProtection="1">
      <alignment horizontal="left"/>
      <protection locked="0"/>
    </xf>
    <xf numFmtId="0" fontId="17" fillId="0" borderId="0" xfId="0" applyFont="1" applyProtection="1">
      <protection locked="0"/>
    </xf>
    <xf numFmtId="0" fontId="21" fillId="0" borderId="0" xfId="0" applyFont="1" applyProtection="1">
      <protection locked="0"/>
    </xf>
    <xf numFmtId="0" fontId="21" fillId="0" borderId="0" xfId="0" applyFont="1" applyFill="1" applyBorder="1" applyProtection="1">
      <protection locked="0"/>
    </xf>
    <xf numFmtId="0" fontId="0" fillId="2" borderId="0" xfId="0" applyFill="1" applyBorder="1" applyProtection="1">
      <protection locked="0"/>
    </xf>
    <xf numFmtId="0" fontId="0" fillId="0" borderId="0" xfId="0" applyFill="1" applyBorder="1" applyProtection="1">
      <protection locked="0"/>
    </xf>
    <xf numFmtId="0" fontId="1" fillId="2" borderId="0" xfId="0" applyFont="1" applyFill="1" applyBorder="1" applyProtection="1">
      <protection locked="0"/>
    </xf>
    <xf numFmtId="2" fontId="0" fillId="2" borderId="0" xfId="0" applyNumberFormat="1" applyFill="1" applyBorder="1" applyProtection="1">
      <protection locked="0"/>
    </xf>
    <xf numFmtId="0" fontId="13" fillId="3" borderId="5" xfId="0" applyFont="1" applyFill="1" applyBorder="1" applyAlignment="1" applyProtection="1">
      <alignment horizontal="center" wrapText="1"/>
    </xf>
    <xf numFmtId="165" fontId="16" fillId="3" borderId="8" xfId="0" applyNumberFormat="1" applyFont="1" applyFill="1" applyBorder="1" applyAlignment="1" applyProtection="1">
      <alignment horizontal="center"/>
    </xf>
    <xf numFmtId="0" fontId="17" fillId="2" borderId="0" xfId="0" applyFont="1" applyFill="1" applyProtection="1">
      <protection locked="0"/>
    </xf>
    <xf numFmtId="165" fontId="17" fillId="0" borderId="0" xfId="0" applyNumberFormat="1" applyFont="1" applyFill="1" applyBorder="1" applyAlignment="1" applyProtection="1">
      <alignment horizontal="right"/>
      <protection locked="0"/>
    </xf>
    <xf numFmtId="165" fontId="17" fillId="0" borderId="0" xfId="0" applyNumberFormat="1" applyFont="1" applyFill="1" applyAlignment="1" applyProtection="1">
      <alignment horizontal="right"/>
      <protection locked="0"/>
    </xf>
    <xf numFmtId="165" fontId="16" fillId="3" borderId="5" xfId="0" applyNumberFormat="1" applyFont="1" applyFill="1" applyBorder="1" applyAlignment="1" applyProtection="1">
      <alignment horizontal="center" wrapText="1"/>
    </xf>
    <xf numFmtId="2" fontId="16" fillId="5" borderId="5" xfId="0" applyNumberFormat="1" applyFont="1" applyFill="1" applyBorder="1" applyAlignment="1" applyProtection="1">
      <alignment horizontal="center" wrapText="1"/>
    </xf>
    <xf numFmtId="165" fontId="17" fillId="0" borderId="0" xfId="0" applyNumberFormat="1" applyFont="1" applyFill="1" applyProtection="1">
      <protection locked="0"/>
    </xf>
    <xf numFmtId="10" fontId="17" fillId="0" borderId="0" xfId="3" applyNumberFormat="1" applyFont="1" applyFill="1" applyBorder="1" applyAlignment="1" applyProtection="1">
      <alignment horizontal="center"/>
      <protection locked="0"/>
    </xf>
    <xf numFmtId="0" fontId="21" fillId="0" borderId="0" xfId="0" applyFont="1" applyFill="1" applyAlignment="1" applyProtection="1">
      <protection locked="0"/>
    </xf>
    <xf numFmtId="0" fontId="18" fillId="0" borderId="0" xfId="0" applyFont="1" applyFill="1" applyAlignment="1" applyProtection="1">
      <alignment horizontal="left"/>
      <protection locked="0"/>
    </xf>
    <xf numFmtId="0" fontId="24" fillId="0" borderId="0" xfId="0" applyFont="1" applyFill="1" applyBorder="1" applyAlignment="1" applyProtection="1">
      <alignment horizontal="left"/>
      <protection locked="0"/>
    </xf>
    <xf numFmtId="0" fontId="24" fillId="0" borderId="0" xfId="0" applyFont="1" applyFill="1" applyBorder="1" applyAlignment="1" applyProtection="1">
      <alignment horizontal="center"/>
      <protection locked="0"/>
    </xf>
    <xf numFmtId="0" fontId="24" fillId="0" borderId="0" xfId="0" applyFont="1" applyFill="1" applyBorder="1" applyProtection="1">
      <protection locked="0"/>
    </xf>
    <xf numFmtId="0" fontId="21" fillId="0" borderId="0" xfId="0" applyFont="1" applyFill="1" applyBorder="1" applyAlignment="1" applyProtection="1">
      <alignment horizontal="center"/>
      <protection locked="0"/>
    </xf>
    <xf numFmtId="164" fontId="17" fillId="0" borderId="0" xfId="0" applyNumberFormat="1" applyFont="1" applyProtection="1">
      <protection locked="0"/>
    </xf>
    <xf numFmtId="164" fontId="17" fillId="0" borderId="0" xfId="0" applyNumberFormat="1" applyFont="1" applyFill="1" applyBorder="1" applyAlignment="1" applyProtection="1">
      <alignment horizontal="center"/>
      <protection locked="0"/>
    </xf>
    <xf numFmtId="164" fontId="17" fillId="0" borderId="0" xfId="0" applyNumberFormat="1" applyFont="1" applyAlignment="1" applyProtection="1">
      <alignment horizontal="center"/>
      <protection locked="0"/>
    </xf>
    <xf numFmtId="164" fontId="21" fillId="0" borderId="0" xfId="0" applyNumberFormat="1" applyFont="1" applyAlignment="1" applyProtection="1">
      <alignment horizontal="center"/>
      <protection locked="0"/>
    </xf>
    <xf numFmtId="164" fontId="17" fillId="0" borderId="0" xfId="0" applyNumberFormat="1" applyFont="1" applyFill="1" applyProtection="1">
      <protection locked="0"/>
    </xf>
    <xf numFmtId="0" fontId="17" fillId="0" borderId="0" xfId="0" applyFont="1" applyFill="1" applyAlignment="1" applyProtection="1">
      <alignment horizontal="left"/>
      <protection locked="0"/>
    </xf>
    <xf numFmtId="9" fontId="17" fillId="0" borderId="0" xfId="3" applyFont="1" applyFill="1" applyProtection="1">
      <protection locked="0"/>
    </xf>
    <xf numFmtId="170" fontId="17" fillId="0" borderId="0" xfId="3" applyNumberFormat="1" applyFont="1" applyFill="1" applyAlignment="1" applyProtection="1">
      <alignment horizontal="center"/>
      <protection locked="0"/>
    </xf>
    <xf numFmtId="170" fontId="17" fillId="0" borderId="0" xfId="3" applyNumberFormat="1" applyFont="1" applyFill="1" applyAlignment="1" applyProtection="1">
      <alignment horizontal="left"/>
      <protection locked="0"/>
    </xf>
    <xf numFmtId="0" fontId="3" fillId="0" borderId="0" xfId="0" applyFont="1" applyFill="1" applyBorder="1" applyAlignment="1" applyProtection="1">
      <alignment horizontal="center"/>
      <protection locked="0"/>
    </xf>
    <xf numFmtId="0" fontId="3" fillId="0" borderId="0" xfId="0" applyFont="1" applyFill="1" applyBorder="1" applyAlignment="1" applyProtection="1">
      <alignment horizontal="left"/>
      <protection locked="0"/>
    </xf>
    <xf numFmtId="2" fontId="30" fillId="0" borderId="0" xfId="0" applyNumberFormat="1" applyFont="1" applyFill="1" applyAlignment="1">
      <alignment horizontal="left"/>
    </xf>
    <xf numFmtId="0" fontId="30" fillId="0" borderId="0" xfId="0" applyFont="1" applyFill="1"/>
    <xf numFmtId="2" fontId="30" fillId="0" borderId="0" xfId="0" applyNumberFormat="1" applyFont="1" applyFill="1" applyAlignment="1" applyProtection="1">
      <alignment horizontal="left"/>
      <protection locked="0"/>
    </xf>
    <xf numFmtId="0" fontId="30" fillId="0" borderId="0" xfId="0" applyFont="1" applyFill="1" applyProtection="1">
      <protection locked="0"/>
    </xf>
    <xf numFmtId="2" fontId="10" fillId="0" borderId="0" xfId="0" applyNumberFormat="1" applyFont="1" applyAlignment="1" applyProtection="1">
      <alignment horizontal="center"/>
      <protection locked="0"/>
    </xf>
    <xf numFmtId="0" fontId="13" fillId="3" borderId="4" xfId="0" applyFont="1" applyFill="1" applyBorder="1" applyProtection="1"/>
    <xf numFmtId="0" fontId="13" fillId="4" borderId="4" xfId="0" applyFont="1" applyFill="1" applyBorder="1" applyProtection="1"/>
    <xf numFmtId="168" fontId="13" fillId="4" borderId="5" xfId="0" applyNumberFormat="1" applyFont="1" applyFill="1" applyBorder="1" applyAlignment="1" applyProtection="1">
      <alignment horizontal="center" wrapText="1"/>
    </xf>
    <xf numFmtId="0" fontId="13" fillId="5" borderId="6" xfId="0" applyFont="1" applyFill="1" applyBorder="1" applyProtection="1"/>
    <xf numFmtId="0" fontId="14" fillId="6" borderId="2" xfId="0" applyFont="1" applyFill="1" applyBorder="1" applyProtection="1"/>
    <xf numFmtId="0" fontId="17" fillId="0" borderId="0" xfId="0" applyFont="1" applyBorder="1" applyProtection="1">
      <protection locked="0"/>
    </xf>
    <xf numFmtId="0" fontId="2" fillId="0" borderId="0" xfId="0" applyFont="1" applyFill="1" applyProtection="1">
      <protection locked="0"/>
    </xf>
    <xf numFmtId="0" fontId="18" fillId="0" borderId="0" xfId="0" applyFont="1" applyFill="1" applyBorder="1" applyProtection="1">
      <protection locked="0"/>
    </xf>
    <xf numFmtId="164" fontId="0" fillId="0" borderId="0" xfId="0" applyNumberFormat="1" applyFill="1" applyProtection="1">
      <protection locked="0"/>
    </xf>
    <xf numFmtId="2" fontId="0" fillId="0" borderId="0" xfId="0" applyNumberFormat="1" applyFill="1" applyProtection="1">
      <protection locked="0"/>
    </xf>
    <xf numFmtId="167" fontId="0" fillId="0" borderId="0" xfId="0" applyNumberFormat="1" applyFill="1" applyProtection="1">
      <protection locked="0"/>
    </xf>
    <xf numFmtId="168" fontId="17" fillId="0" borderId="0" xfId="1" applyNumberFormat="1" applyFont="1" applyFill="1" applyAlignment="1" applyProtection="1">
      <alignment horizontal="center"/>
      <protection locked="0"/>
    </xf>
    <xf numFmtId="0" fontId="0" fillId="0" borderId="0" xfId="0" applyFill="1" applyAlignment="1" applyProtection="1">
      <protection locked="0"/>
    </xf>
    <xf numFmtId="0" fontId="17" fillId="0" borderId="0" xfId="0" applyFont="1" applyAlignment="1" applyProtection="1">
      <alignment horizontal="center"/>
      <protection locked="0"/>
    </xf>
    <xf numFmtId="0" fontId="17" fillId="0" borderId="0" xfId="4" applyFont="1" applyFill="1" applyBorder="1" applyProtection="1">
      <protection locked="0"/>
    </xf>
    <xf numFmtId="2" fontId="21" fillId="0" borderId="0" xfId="0" applyNumberFormat="1" applyFont="1" applyAlignment="1" applyProtection="1">
      <alignment horizontal="center"/>
      <protection locked="0"/>
    </xf>
    <xf numFmtId="0" fontId="28" fillId="4" borderId="11" xfId="0" applyFont="1" applyFill="1" applyBorder="1" applyProtection="1">
      <protection locked="0"/>
    </xf>
    <xf numFmtId="0" fontId="29" fillId="4" borderId="11" xfId="4" applyFont="1" applyFill="1" applyBorder="1" applyAlignment="1" applyProtection="1">
      <alignment horizontal="center" vertical="top" wrapText="1"/>
      <protection locked="0"/>
    </xf>
    <xf numFmtId="0" fontId="28" fillId="11" borderId="11" xfId="0" applyFont="1" applyFill="1" applyBorder="1" applyAlignment="1" applyProtection="1">
      <alignment horizontal="center"/>
      <protection locked="0"/>
    </xf>
    <xf numFmtId="0" fontId="27" fillId="4" borderId="0" xfId="0" applyFont="1" applyFill="1" applyProtection="1">
      <protection locked="0"/>
    </xf>
    <xf numFmtId="0" fontId="28" fillId="11" borderId="0" xfId="0" applyFont="1" applyFill="1" applyAlignment="1" applyProtection="1">
      <alignment horizontal="center"/>
      <protection locked="0"/>
    </xf>
    <xf numFmtId="0" fontId="28" fillId="4" borderId="0" xfId="0" applyFont="1" applyFill="1" applyProtection="1">
      <protection locked="0"/>
    </xf>
    <xf numFmtId="0" fontId="30" fillId="4" borderId="0" xfId="4" applyFont="1" applyFill="1" applyBorder="1" applyAlignment="1" applyProtection="1">
      <alignment horizontal="center" vertical="top" wrapText="1"/>
      <protection locked="0"/>
    </xf>
    <xf numFmtId="0" fontId="30" fillId="4" borderId="0" xfId="4" applyFont="1" applyFill="1" applyBorder="1" applyProtection="1">
      <protection locked="0"/>
    </xf>
    <xf numFmtId="0" fontId="27" fillId="4" borderId="0" xfId="0" applyFont="1" applyFill="1" applyAlignment="1" applyProtection="1">
      <alignment horizontal="right"/>
      <protection locked="0"/>
    </xf>
    <xf numFmtId="2" fontId="27" fillId="4" borderId="0" xfId="0" applyNumberFormat="1" applyFont="1" applyFill="1" applyProtection="1">
      <protection locked="0"/>
    </xf>
    <xf numFmtId="1" fontId="30" fillId="4" borderId="0" xfId="4" applyNumberFormat="1" applyFont="1" applyFill="1" applyBorder="1" applyAlignment="1" applyProtection="1">
      <alignment horizontal="center" vertical="top" wrapText="1"/>
      <protection locked="0"/>
    </xf>
    <xf numFmtId="2" fontId="30" fillId="4" borderId="0" xfId="4" applyNumberFormat="1" applyFont="1" applyFill="1" applyBorder="1" applyAlignment="1" applyProtection="1">
      <alignment horizontal="left" vertical="top" wrapText="1"/>
      <protection locked="0"/>
    </xf>
    <xf numFmtId="2" fontId="30" fillId="4" borderId="0" xfId="4" applyNumberFormat="1" applyFont="1" applyFill="1" applyBorder="1" applyAlignment="1" applyProtection="1">
      <alignment horizontal="center" vertical="top" wrapText="1"/>
      <protection locked="0"/>
    </xf>
    <xf numFmtId="0" fontId="28" fillId="4" borderId="0" xfId="0" applyFont="1" applyFill="1" applyAlignment="1" applyProtection="1">
      <alignment horizontal="left"/>
      <protection locked="0"/>
    </xf>
    <xf numFmtId="0" fontId="32" fillId="4" borderId="0" xfId="0" applyFont="1" applyFill="1" applyProtection="1">
      <protection locked="0"/>
    </xf>
    <xf numFmtId="0" fontId="27" fillId="4" borderId="0" xfId="0" applyFont="1" applyFill="1" applyAlignment="1" applyProtection="1">
      <protection locked="0"/>
    </xf>
    <xf numFmtId="0" fontId="27" fillId="4" borderId="17" xfId="0" applyFont="1" applyFill="1" applyBorder="1" applyAlignment="1" applyProtection="1">
      <protection locked="0"/>
    </xf>
    <xf numFmtId="0" fontId="27" fillId="4" borderId="18" xfId="0" applyFont="1" applyFill="1" applyBorder="1" applyAlignment="1" applyProtection="1">
      <protection locked="0"/>
    </xf>
    <xf numFmtId="0" fontId="27" fillId="4" borderId="19" xfId="0" applyFont="1" applyFill="1" applyBorder="1" applyAlignment="1" applyProtection="1">
      <protection locked="0"/>
    </xf>
    <xf numFmtId="0" fontId="27" fillId="4" borderId="18" xfId="0" applyFont="1" applyFill="1" applyBorder="1" applyAlignment="1" applyProtection="1">
      <alignment horizontal="right"/>
      <protection locked="0"/>
    </xf>
    <xf numFmtId="0" fontId="27" fillId="4" borderId="0" xfId="0" applyFont="1" applyFill="1" applyBorder="1" applyAlignment="1" applyProtection="1">
      <alignment horizontal="right"/>
      <protection locked="0"/>
    </xf>
    <xf numFmtId="0" fontId="27" fillId="4" borderId="0" xfId="0" applyFont="1" applyFill="1" applyBorder="1" applyAlignment="1" applyProtection="1">
      <protection locked="0"/>
    </xf>
    <xf numFmtId="0" fontId="27" fillId="4" borderId="15" xfId="0" applyFont="1" applyFill="1" applyBorder="1" applyAlignment="1" applyProtection="1">
      <protection locked="0"/>
    </xf>
    <xf numFmtId="0" fontId="27" fillId="4" borderId="13" xfId="0" applyFont="1" applyFill="1" applyBorder="1" applyProtection="1">
      <protection locked="0"/>
    </xf>
    <xf numFmtId="0" fontId="27" fillId="4" borderId="20" xfId="0" applyFont="1" applyFill="1" applyBorder="1" applyAlignment="1" applyProtection="1">
      <alignment horizontal="right"/>
      <protection locked="0"/>
    </xf>
    <xf numFmtId="0" fontId="27" fillId="4" borderId="20" xfId="0" applyFont="1" applyFill="1" applyBorder="1" applyProtection="1">
      <protection locked="0"/>
    </xf>
    <xf numFmtId="2" fontId="27" fillId="4" borderId="20" xfId="0" applyNumberFormat="1" applyFont="1" applyFill="1" applyBorder="1" applyAlignment="1" applyProtection="1">
      <alignment horizontal="right"/>
      <protection locked="0"/>
    </xf>
    <xf numFmtId="2" fontId="27" fillId="4" borderId="20" xfId="0" applyNumberFormat="1" applyFont="1" applyFill="1" applyBorder="1" applyProtection="1">
      <protection locked="0"/>
    </xf>
    <xf numFmtId="2" fontId="27" fillId="4" borderId="14" xfId="0" applyNumberFormat="1" applyFont="1" applyFill="1" applyBorder="1" applyProtection="1">
      <protection locked="0"/>
    </xf>
    <xf numFmtId="2" fontId="27" fillId="4" borderId="0" xfId="0" applyNumberFormat="1" applyFont="1" applyFill="1" applyBorder="1" applyProtection="1">
      <protection locked="0"/>
    </xf>
    <xf numFmtId="0" fontId="27" fillId="4" borderId="0" xfId="0" applyFont="1" applyFill="1" applyBorder="1" applyProtection="1">
      <protection locked="0"/>
    </xf>
    <xf numFmtId="0" fontId="28" fillId="4" borderId="0" xfId="0" applyFont="1" applyFill="1" applyAlignment="1" applyProtection="1">
      <protection locked="0"/>
    </xf>
    <xf numFmtId="172" fontId="27" fillId="4" borderId="0" xfId="0" applyNumberFormat="1" applyFont="1" applyFill="1" applyBorder="1" applyProtection="1">
      <protection locked="0"/>
    </xf>
    <xf numFmtId="165" fontId="27" fillId="4" borderId="0" xfId="0" applyNumberFormat="1" applyFont="1" applyFill="1" applyProtection="1">
      <protection locked="0"/>
    </xf>
    <xf numFmtId="0" fontId="27" fillId="11" borderId="0" xfId="0" applyFont="1" applyFill="1" applyProtection="1">
      <protection locked="0"/>
    </xf>
    <xf numFmtId="0" fontId="28" fillId="4" borderId="0" xfId="0" applyFont="1" applyFill="1" applyBorder="1" applyProtection="1">
      <protection locked="0"/>
    </xf>
    <xf numFmtId="173" fontId="27" fillId="4" borderId="0" xfId="0" applyNumberFormat="1" applyFont="1" applyFill="1" applyProtection="1">
      <protection locked="0"/>
    </xf>
    <xf numFmtId="0" fontId="29" fillId="15" borderId="11" xfId="4" applyFont="1" applyFill="1" applyBorder="1" applyProtection="1">
      <protection locked="0"/>
    </xf>
    <xf numFmtId="0" fontId="28" fillId="15" borderId="11" xfId="0" applyFont="1" applyFill="1" applyBorder="1" applyAlignment="1" applyProtection="1">
      <alignment horizontal="right"/>
      <protection locked="0"/>
    </xf>
    <xf numFmtId="0" fontId="29" fillId="15" borderId="11" xfId="4" applyFont="1" applyFill="1" applyBorder="1" applyAlignment="1" applyProtection="1">
      <alignment horizontal="center" wrapText="1"/>
      <protection locked="0"/>
    </xf>
    <xf numFmtId="0" fontId="28" fillId="2" borderId="0" xfId="0" applyFont="1" applyFill="1" applyAlignment="1" applyProtection="1">
      <alignment horizontal="center"/>
      <protection locked="0"/>
    </xf>
    <xf numFmtId="0" fontId="27" fillId="15" borderId="0" xfId="0" applyFont="1" applyFill="1" applyProtection="1">
      <protection locked="0"/>
    </xf>
    <xf numFmtId="0" fontId="27" fillId="15" borderId="0" xfId="0" applyFont="1" applyFill="1" applyBorder="1" applyProtection="1">
      <protection locked="0"/>
    </xf>
    <xf numFmtId="0" fontId="28" fillId="16" borderId="0" xfId="0" applyFont="1" applyFill="1" applyAlignment="1" applyProtection="1">
      <alignment horizontal="center"/>
      <protection locked="0"/>
    </xf>
    <xf numFmtId="0" fontId="28" fillId="15" borderId="0" xfId="0" applyFont="1" applyFill="1" applyProtection="1">
      <protection locked="0"/>
    </xf>
    <xf numFmtId="0" fontId="27" fillId="15" borderId="0" xfId="0" applyFont="1" applyFill="1" applyBorder="1" applyAlignment="1" applyProtection="1">
      <alignment horizontal="right"/>
      <protection locked="0"/>
    </xf>
    <xf numFmtId="173" fontId="27" fillId="15" borderId="0" xfId="0" applyNumberFormat="1" applyFont="1" applyFill="1" applyBorder="1" applyProtection="1">
      <protection locked="0"/>
    </xf>
    <xf numFmtId="0" fontId="29" fillId="15" borderId="11" xfId="4" applyFont="1" applyFill="1" applyBorder="1" applyAlignment="1" applyProtection="1">
      <alignment horizontal="center" vertical="top" wrapText="1"/>
      <protection locked="0"/>
    </xf>
    <xf numFmtId="0" fontId="27" fillId="15" borderId="0" xfId="0" applyFont="1" applyFill="1" applyAlignment="1" applyProtection="1">
      <alignment horizontal="right"/>
      <protection locked="0"/>
    </xf>
    <xf numFmtId="164" fontId="27" fillId="15" borderId="0" xfId="0" applyNumberFormat="1" applyFont="1" applyFill="1" applyProtection="1">
      <protection locked="0"/>
    </xf>
    <xf numFmtId="166" fontId="27" fillId="2" borderId="0" xfId="0" applyNumberFormat="1" applyFont="1" applyFill="1" applyBorder="1" applyProtection="1">
      <protection locked="0"/>
    </xf>
    <xf numFmtId="1" fontId="27" fillId="2" borderId="0" xfId="0" applyNumberFormat="1" applyFont="1" applyFill="1" applyBorder="1" applyProtection="1">
      <protection locked="0"/>
    </xf>
    <xf numFmtId="172" fontId="27" fillId="2" borderId="0" xfId="0" applyNumberFormat="1" applyFont="1" applyFill="1" applyBorder="1" applyAlignment="1" applyProtection="1">
      <alignment horizontal="center"/>
      <protection locked="0"/>
    </xf>
    <xf numFmtId="175" fontId="27" fillId="15" borderId="0" xfId="0" applyNumberFormat="1" applyFont="1" applyFill="1" applyProtection="1">
      <protection locked="0"/>
    </xf>
    <xf numFmtId="0" fontId="27" fillId="16" borderId="0" xfId="0" applyFont="1" applyFill="1" applyProtection="1">
      <protection locked="0"/>
    </xf>
    <xf numFmtId="0" fontId="28" fillId="2" borderId="0" xfId="0" applyFont="1" applyFill="1" applyProtection="1">
      <protection locked="0"/>
    </xf>
    <xf numFmtId="164" fontId="27" fillId="15" borderId="0" xfId="0" applyNumberFormat="1" applyFont="1" applyFill="1" applyBorder="1" applyAlignment="1" applyProtection="1">
      <protection locked="0"/>
    </xf>
    <xf numFmtId="164" fontId="27" fillId="15" borderId="0" xfId="0" applyNumberFormat="1" applyFont="1" applyFill="1" applyAlignment="1" applyProtection="1">
      <protection locked="0"/>
    </xf>
    <xf numFmtId="0" fontId="27" fillId="2" borderId="0" xfId="0" applyFont="1" applyFill="1" applyBorder="1" applyAlignment="1" applyProtection="1">
      <alignment horizontal="center"/>
      <protection locked="0"/>
    </xf>
    <xf numFmtId="166" fontId="27" fillId="2" borderId="0" xfId="0" applyNumberFormat="1" applyFont="1" applyFill="1" applyBorder="1" applyAlignment="1" applyProtection="1">
      <alignment horizontal="center"/>
      <protection locked="0"/>
    </xf>
    <xf numFmtId="166" fontId="27" fillId="15" borderId="0" xfId="0" applyNumberFormat="1" applyFont="1" applyFill="1" applyBorder="1" applyProtection="1">
      <protection locked="0"/>
    </xf>
    <xf numFmtId="0" fontId="28" fillId="2" borderId="0" xfId="0" applyFont="1" applyFill="1" applyBorder="1" applyAlignment="1" applyProtection="1">
      <alignment horizontal="center"/>
      <protection locked="0"/>
    </xf>
    <xf numFmtId="0" fontId="27" fillId="2" borderId="0" xfId="0" applyFont="1" applyFill="1" applyAlignment="1" applyProtection="1">
      <alignment horizontal="right"/>
      <protection locked="0"/>
    </xf>
    <xf numFmtId="166" fontId="27" fillId="15" borderId="0" xfId="0" applyNumberFormat="1" applyFont="1" applyFill="1" applyProtection="1">
      <protection locked="0"/>
    </xf>
    <xf numFmtId="175" fontId="27" fillId="2" borderId="0" xfId="0" applyNumberFormat="1" applyFont="1" applyFill="1" applyProtection="1">
      <protection locked="0"/>
    </xf>
    <xf numFmtId="175" fontId="27" fillId="2" borderId="0" xfId="0" applyNumberFormat="1" applyFont="1" applyFill="1" applyAlignment="1" applyProtection="1">
      <alignment horizontal="right"/>
      <protection locked="0"/>
    </xf>
    <xf numFmtId="173" fontId="27" fillId="2" borderId="0" xfId="0" applyNumberFormat="1" applyFont="1" applyFill="1" applyBorder="1" applyProtection="1">
      <protection locked="0"/>
    </xf>
    <xf numFmtId="173" fontId="27" fillId="15" borderId="0" xfId="0" applyNumberFormat="1" applyFont="1" applyFill="1" applyProtection="1">
      <protection locked="0"/>
    </xf>
    <xf numFmtId="11" fontId="27" fillId="2" borderId="0" xfId="0" applyNumberFormat="1" applyFont="1" applyFill="1" applyProtection="1">
      <protection locked="0"/>
    </xf>
    <xf numFmtId="0" fontId="27" fillId="16" borderId="0" xfId="0" applyFont="1" applyFill="1" applyAlignment="1" applyProtection="1">
      <alignment horizontal="center"/>
      <protection locked="0"/>
    </xf>
    <xf numFmtId="166" fontId="27" fillId="2" borderId="0" xfId="0" applyNumberFormat="1" applyFont="1" applyFill="1" applyProtection="1">
      <protection locked="0"/>
    </xf>
    <xf numFmtId="2" fontId="27" fillId="2" borderId="0" xfId="0" applyNumberFormat="1" applyFont="1" applyFill="1" applyProtection="1">
      <protection locked="0"/>
    </xf>
    <xf numFmtId="0" fontId="27" fillId="15" borderId="0" xfId="0" applyFont="1" applyFill="1" applyAlignment="1" applyProtection="1">
      <alignment horizontal="left"/>
      <protection locked="0"/>
    </xf>
    <xf numFmtId="0" fontId="27" fillId="15" borderId="0" xfId="0" applyFont="1" applyFill="1" applyBorder="1" applyAlignment="1" applyProtection="1">
      <alignment horizontal="center"/>
      <protection locked="0"/>
    </xf>
    <xf numFmtId="172" fontId="27" fillId="15" borderId="0" xfId="0" applyNumberFormat="1" applyFont="1" applyFill="1" applyProtection="1">
      <protection locked="0"/>
    </xf>
    <xf numFmtId="173" fontId="27" fillId="2" borderId="0" xfId="0" applyNumberFormat="1" applyFont="1" applyFill="1" applyProtection="1">
      <protection locked="0"/>
    </xf>
    <xf numFmtId="0" fontId="29" fillId="0" borderId="0" xfId="0" applyFont="1" applyFill="1" applyBorder="1" applyProtection="1">
      <protection locked="0"/>
    </xf>
    <xf numFmtId="0" fontId="0" fillId="0" borderId="0" xfId="0" applyAlignment="1" applyProtection="1">
      <alignment horizontal="center"/>
      <protection locked="0"/>
    </xf>
    <xf numFmtId="0" fontId="10" fillId="0" borderId="0" xfId="0" applyFont="1" applyProtection="1">
      <protection locked="0"/>
    </xf>
    <xf numFmtId="0" fontId="10" fillId="0" borderId="0" xfId="0" applyFont="1" applyAlignment="1" applyProtection="1">
      <alignment horizontal="center"/>
      <protection locked="0"/>
    </xf>
    <xf numFmtId="9" fontId="0" fillId="0" borderId="0" xfId="0" applyNumberFormat="1" applyProtection="1">
      <protection locked="0"/>
    </xf>
    <xf numFmtId="0" fontId="16" fillId="3" borderId="4" xfId="0" applyFont="1" applyFill="1" applyBorder="1" applyProtection="1"/>
    <xf numFmtId="0" fontId="16" fillId="3" borderId="6" xfId="0" applyFont="1" applyFill="1" applyBorder="1" applyProtection="1"/>
    <xf numFmtId="0" fontId="16" fillId="4" borderId="4" xfId="0" applyFont="1" applyFill="1" applyBorder="1" applyProtection="1"/>
    <xf numFmtId="0" fontId="13" fillId="5" borderId="4" xfId="0" applyFont="1" applyFill="1" applyBorder="1" applyProtection="1"/>
    <xf numFmtId="0" fontId="0" fillId="4" borderId="4" xfId="0" applyFill="1" applyBorder="1" applyProtection="1"/>
    <xf numFmtId="0" fontId="16" fillId="4" borderId="3" xfId="0" applyFont="1" applyFill="1" applyBorder="1" applyAlignment="1" applyProtection="1">
      <alignment horizontal="center" wrapText="1"/>
    </xf>
    <xf numFmtId="0" fontId="13" fillId="4" borderId="6" xfId="0" applyFont="1" applyFill="1" applyBorder="1" applyProtection="1"/>
    <xf numFmtId="0" fontId="13" fillId="4" borderId="5" xfId="0" applyFont="1" applyFill="1" applyBorder="1" applyAlignment="1" applyProtection="1">
      <alignment horizontal="center" wrapText="1"/>
    </xf>
    <xf numFmtId="169" fontId="13" fillId="4" borderId="7" xfId="0" applyNumberFormat="1" applyFont="1" applyFill="1" applyBorder="1" applyAlignment="1" applyProtection="1">
      <alignment horizontal="center" wrapText="1"/>
    </xf>
    <xf numFmtId="0" fontId="16" fillId="5" borderId="4" xfId="0" applyFont="1" applyFill="1" applyBorder="1" applyProtection="1"/>
    <xf numFmtId="165" fontId="16" fillId="3" borderId="5" xfId="3" applyNumberFormat="1" applyFont="1" applyFill="1" applyBorder="1" applyAlignment="1" applyProtection="1">
      <alignment horizontal="center" wrapText="1"/>
    </xf>
    <xf numFmtId="165" fontId="16" fillId="3" borderId="7" xfId="3" applyNumberFormat="1" applyFont="1" applyFill="1" applyBorder="1" applyAlignment="1" applyProtection="1">
      <alignment horizontal="center" wrapText="1"/>
    </xf>
    <xf numFmtId="1" fontId="16" fillId="4" borderId="3" xfId="3" applyNumberFormat="1" applyFont="1" applyFill="1" applyBorder="1" applyAlignment="1" applyProtection="1">
      <alignment horizontal="center" wrapText="1"/>
    </xf>
    <xf numFmtId="0" fontId="13" fillId="3" borderId="6" xfId="0" applyFont="1" applyFill="1" applyBorder="1" applyProtection="1"/>
    <xf numFmtId="165" fontId="13" fillId="3" borderId="7" xfId="0" applyNumberFormat="1" applyFont="1" applyFill="1" applyBorder="1" applyAlignment="1" applyProtection="1">
      <alignment horizontal="center"/>
    </xf>
    <xf numFmtId="0" fontId="13" fillId="4" borderId="3" xfId="0" applyFont="1" applyFill="1" applyBorder="1" applyAlignment="1" applyProtection="1">
      <alignment horizontal="center"/>
    </xf>
    <xf numFmtId="165" fontId="29" fillId="18" borderId="0" xfId="0" applyNumberFormat="1" applyFont="1" applyFill="1" applyBorder="1" applyAlignment="1" applyProtection="1">
      <alignment horizontal="center"/>
    </xf>
    <xf numFmtId="0" fontId="27" fillId="9" borderId="8" xfId="0" applyFont="1" applyFill="1" applyBorder="1" applyAlignment="1" applyProtection="1">
      <alignment horizontal="center"/>
    </xf>
    <xf numFmtId="0" fontId="11" fillId="2" borderId="0" xfId="0" applyFont="1" applyFill="1"/>
    <xf numFmtId="0" fontId="13" fillId="4" borderId="4" xfId="0" applyFont="1" applyFill="1" applyBorder="1" applyProtection="1">
      <protection locked="0"/>
    </xf>
    <xf numFmtId="14" fontId="0" fillId="0" borderId="0" xfId="0" applyNumberFormat="1" applyProtection="1">
      <protection locked="0"/>
    </xf>
    <xf numFmtId="2" fontId="0" fillId="0" borderId="0" xfId="0" applyNumberFormat="1" applyProtection="1">
      <protection locked="0"/>
    </xf>
    <xf numFmtId="0" fontId="0" fillId="0" borderId="0" xfId="0" applyFont="1" applyFill="1" applyProtection="1">
      <protection locked="0"/>
    </xf>
    <xf numFmtId="0" fontId="25" fillId="0" borderId="0" xfId="0" applyFont="1" applyFill="1" applyProtection="1">
      <protection locked="0"/>
    </xf>
    <xf numFmtId="2" fontId="25" fillId="0" borderId="0" xfId="0" applyNumberFormat="1" applyFont="1" applyFill="1" applyBorder="1" applyProtection="1">
      <protection locked="0"/>
    </xf>
    <xf numFmtId="0" fontId="10" fillId="0" borderId="0" xfId="0" applyFont="1" applyFill="1" applyBorder="1" applyAlignment="1" applyProtection="1">
      <protection locked="0"/>
    </xf>
    <xf numFmtId="0" fontId="10" fillId="0" borderId="0" xfId="0"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quotePrefix="1" applyFont="1" applyFill="1" applyBorder="1" applyAlignment="1" applyProtection="1">
      <alignment horizontal="center"/>
      <protection locked="0"/>
    </xf>
    <xf numFmtId="169" fontId="17" fillId="0" borderId="0" xfId="0" applyNumberFormat="1" applyFont="1" applyFill="1" applyProtection="1">
      <protection locked="0"/>
    </xf>
    <xf numFmtId="1" fontId="22" fillId="0" borderId="0" xfId="0" applyNumberFormat="1" applyFont="1" applyFill="1" applyAlignment="1" applyProtection="1">
      <alignment horizontal="center"/>
      <protection locked="0"/>
    </xf>
    <xf numFmtId="0" fontId="22" fillId="0" borderId="0" xfId="0" applyFont="1" applyFill="1" applyProtection="1">
      <protection locked="0"/>
    </xf>
    <xf numFmtId="0" fontId="22" fillId="0" borderId="0" xfId="0" applyFont="1" applyFill="1" applyAlignment="1" applyProtection="1">
      <alignment horizontal="center"/>
      <protection locked="0"/>
    </xf>
    <xf numFmtId="165" fontId="13" fillId="4" borderId="5" xfId="0" applyNumberFormat="1" applyFont="1" applyFill="1" applyBorder="1" applyAlignment="1" applyProtection="1">
      <alignment horizontal="center" wrapText="1"/>
    </xf>
    <xf numFmtId="2" fontId="13" fillId="4" borderId="5" xfId="0" applyNumberFormat="1" applyFont="1" applyFill="1" applyBorder="1" applyAlignment="1" applyProtection="1">
      <alignment horizontal="center" wrapText="1"/>
    </xf>
    <xf numFmtId="1" fontId="13" fillId="4" borderId="5" xfId="0" applyNumberFormat="1" applyFont="1" applyFill="1" applyBorder="1" applyAlignment="1" applyProtection="1">
      <alignment horizontal="center" wrapText="1"/>
    </xf>
    <xf numFmtId="0" fontId="16" fillId="4" borderId="5" xfId="0" applyFont="1" applyFill="1" applyBorder="1" applyAlignment="1" applyProtection="1">
      <alignment horizontal="center" wrapText="1"/>
    </xf>
    <xf numFmtId="165" fontId="16" fillId="4" borderId="5" xfId="0" applyNumberFormat="1" applyFont="1" applyFill="1" applyBorder="1" applyAlignment="1" applyProtection="1">
      <alignment horizontal="center" wrapText="1"/>
    </xf>
    <xf numFmtId="168" fontId="16" fillId="4" borderId="5" xfId="0" applyNumberFormat="1" applyFont="1" applyFill="1" applyBorder="1" applyAlignment="1" applyProtection="1">
      <alignment horizontal="center" wrapText="1"/>
    </xf>
    <xf numFmtId="8" fontId="16" fillId="4" borderId="5" xfId="0" applyNumberFormat="1" applyFont="1" applyFill="1" applyBorder="1" applyAlignment="1" applyProtection="1">
      <alignment horizontal="center" wrapText="1"/>
    </xf>
    <xf numFmtId="0" fontId="0" fillId="4" borderId="0" xfId="0" applyFill="1" applyProtection="1"/>
    <xf numFmtId="168" fontId="16" fillId="4" borderId="5" xfId="1" applyNumberFormat="1" applyFont="1" applyFill="1" applyBorder="1" applyAlignment="1" applyProtection="1">
      <alignment horizontal="center" wrapText="1"/>
    </xf>
    <xf numFmtId="169" fontId="13" fillId="4" borderId="5" xfId="0" applyNumberFormat="1" applyFont="1" applyFill="1" applyBorder="1" applyAlignment="1" applyProtection="1">
      <alignment horizontal="center" wrapText="1"/>
    </xf>
    <xf numFmtId="1" fontId="16" fillId="4" borderId="5" xfId="3" applyNumberFormat="1" applyFont="1" applyFill="1" applyBorder="1" applyAlignment="1" applyProtection="1">
      <alignment horizontal="center" wrapText="1"/>
    </xf>
    <xf numFmtId="9" fontId="16" fillId="4" borderId="5" xfId="3" applyFont="1" applyFill="1" applyBorder="1" applyAlignment="1" applyProtection="1">
      <alignment horizontal="center" wrapText="1"/>
    </xf>
    <xf numFmtId="6" fontId="16" fillId="4" borderId="5" xfId="0" applyNumberFormat="1" applyFont="1" applyFill="1" applyBorder="1" applyAlignment="1" applyProtection="1">
      <alignment horizontal="center" wrapText="1"/>
    </xf>
    <xf numFmtId="6" fontId="16" fillId="4" borderId="7" xfId="0" applyNumberFormat="1" applyFont="1" applyFill="1" applyBorder="1" applyAlignment="1" applyProtection="1">
      <alignment horizontal="center" wrapText="1"/>
    </xf>
    <xf numFmtId="0" fontId="29" fillId="2" borderId="0" xfId="0" applyFont="1" applyFill="1" applyProtection="1">
      <protection locked="0"/>
    </xf>
    <xf numFmtId="2" fontId="0" fillId="2" borderId="0" xfId="0" applyNumberFormat="1" applyFill="1" applyProtection="1">
      <protection locked="0"/>
    </xf>
    <xf numFmtId="11" fontId="0" fillId="2" borderId="0" xfId="0" applyNumberFormat="1" applyFill="1" applyProtection="1">
      <protection locked="0"/>
    </xf>
    <xf numFmtId="0" fontId="30" fillId="2" borderId="0" xfId="0" applyFont="1" applyFill="1" applyProtection="1">
      <protection locked="0"/>
    </xf>
    <xf numFmtId="165" fontId="30" fillId="2" borderId="0" xfId="0" applyNumberFormat="1" applyFont="1" applyFill="1" applyAlignment="1" applyProtection="1">
      <alignment horizontal="center"/>
      <protection locked="0"/>
    </xf>
    <xf numFmtId="0" fontId="30" fillId="2" borderId="0" xfId="0" applyFont="1" applyFill="1" applyAlignment="1" applyProtection="1">
      <alignment horizontal="center"/>
      <protection locked="0"/>
    </xf>
    <xf numFmtId="0" fontId="39" fillId="2" borderId="0" xfId="0" applyFont="1" applyFill="1" applyProtection="1">
      <protection locked="0"/>
    </xf>
    <xf numFmtId="0" fontId="27" fillId="9" borderId="0" xfId="0" applyFont="1" applyFill="1" applyBorder="1" applyProtection="1"/>
    <xf numFmtId="0" fontId="27" fillId="9" borderId="0" xfId="0" applyFont="1" applyFill="1" applyProtection="1"/>
    <xf numFmtId="0" fontId="27" fillId="9" borderId="9" xfId="0" applyFont="1" applyFill="1" applyBorder="1" applyProtection="1"/>
    <xf numFmtId="0" fontId="27" fillId="9" borderId="8" xfId="0" applyFont="1" applyFill="1" applyBorder="1" applyProtection="1"/>
    <xf numFmtId="0" fontId="30" fillId="9" borderId="9" xfId="5" applyFont="1" applyFill="1" applyBorder="1" applyProtection="1"/>
    <xf numFmtId="0" fontId="40" fillId="9" borderId="9" xfId="5" applyFont="1" applyFill="1" applyBorder="1" applyProtection="1"/>
    <xf numFmtId="0" fontId="29" fillId="9" borderId="4" xfId="5" applyFont="1" applyFill="1" applyBorder="1" applyProtection="1"/>
    <xf numFmtId="0" fontId="30" fillId="9" borderId="0" xfId="5" applyFont="1" applyFill="1" applyBorder="1" applyProtection="1"/>
    <xf numFmtId="0" fontId="40" fillId="9" borderId="0" xfId="5" applyFont="1" applyFill="1" applyBorder="1" applyProtection="1"/>
    <xf numFmtId="0" fontId="13" fillId="4" borderId="5" xfId="0" applyFont="1" applyFill="1" applyBorder="1" applyAlignment="1" applyProtection="1">
      <alignment horizontal="center" wrapText="1"/>
      <protection locked="0"/>
    </xf>
    <xf numFmtId="165" fontId="13" fillId="4" borderId="3" xfId="0" applyNumberFormat="1" applyFont="1" applyFill="1" applyBorder="1" applyAlignment="1" applyProtection="1">
      <alignment horizontal="center" wrapText="1"/>
    </xf>
    <xf numFmtId="165" fontId="16" fillId="4" borderId="9" xfId="0" applyNumberFormat="1" applyFont="1" applyFill="1" applyBorder="1" applyAlignment="1" applyProtection="1">
      <alignment horizontal="center"/>
    </xf>
    <xf numFmtId="0" fontId="43" fillId="2" borderId="0" xfId="0" applyFont="1" applyFill="1" applyAlignment="1" applyProtection="1">
      <alignment vertical="center"/>
      <protection locked="0"/>
    </xf>
    <xf numFmtId="0" fontId="29" fillId="13" borderId="11" xfId="5" applyFont="1" applyFill="1" applyBorder="1" applyProtection="1"/>
    <xf numFmtId="0" fontId="29" fillId="13" borderId="11" xfId="5" applyFont="1" applyFill="1" applyBorder="1" applyAlignment="1" applyProtection="1">
      <alignment horizontal="center" vertical="top" wrapText="1"/>
    </xf>
    <xf numFmtId="0" fontId="28" fillId="14" borderId="11" xfId="0" applyFont="1" applyFill="1" applyBorder="1" applyAlignment="1" applyProtection="1">
      <alignment horizontal="center"/>
    </xf>
    <xf numFmtId="1" fontId="27" fillId="13" borderId="0" xfId="0" applyNumberFormat="1" applyFont="1" applyFill="1" applyProtection="1"/>
    <xf numFmtId="0" fontId="28" fillId="13" borderId="8" xfId="0" applyFont="1" applyFill="1" applyBorder="1" applyProtection="1"/>
    <xf numFmtId="164" fontId="27" fillId="13" borderId="8" xfId="0" applyNumberFormat="1" applyFont="1" applyFill="1" applyBorder="1" applyProtection="1"/>
    <xf numFmtId="172" fontId="27" fillId="13" borderId="8" xfId="0" applyNumberFormat="1" applyFont="1" applyFill="1" applyBorder="1" applyProtection="1"/>
    <xf numFmtId="0" fontId="27" fillId="13" borderId="8" xfId="0" applyFont="1" applyFill="1" applyBorder="1" applyProtection="1"/>
    <xf numFmtId="0" fontId="27" fillId="14" borderId="8" xfId="0" applyFont="1" applyFill="1" applyBorder="1" applyAlignment="1" applyProtection="1">
      <alignment horizontal="center"/>
    </xf>
    <xf numFmtId="0" fontId="29" fillId="10" borderId="11" xfId="4" applyFont="1" applyFill="1" applyBorder="1" applyProtection="1"/>
    <xf numFmtId="0" fontId="29" fillId="10" borderId="11" xfId="4" applyFont="1" applyFill="1" applyBorder="1" applyAlignment="1" applyProtection="1">
      <alignment horizontal="center" vertical="top"/>
    </xf>
    <xf numFmtId="0" fontId="28" fillId="12" borderId="11" xfId="0" applyFont="1" applyFill="1" applyBorder="1" applyAlignment="1" applyProtection="1">
      <alignment horizontal="center"/>
    </xf>
    <xf numFmtId="0" fontId="29" fillId="10" borderId="8" xfId="4" applyFont="1" applyFill="1" applyBorder="1" applyProtection="1"/>
    <xf numFmtId="0" fontId="30" fillId="10" borderId="8" xfId="4" applyFont="1" applyFill="1" applyBorder="1" applyProtection="1"/>
    <xf numFmtId="0" fontId="27" fillId="10" borderId="8" xfId="0" applyFont="1" applyFill="1" applyBorder="1" applyProtection="1"/>
    <xf numFmtId="0" fontId="27" fillId="12" borderId="8" xfId="0" applyFont="1" applyFill="1" applyBorder="1" applyAlignment="1" applyProtection="1">
      <alignment horizontal="center"/>
    </xf>
    <xf numFmtId="164" fontId="27" fillId="10" borderId="8" xfId="0" applyNumberFormat="1" applyFont="1" applyFill="1" applyBorder="1" applyProtection="1"/>
    <xf numFmtId="0" fontId="27" fillId="15" borderId="6" xfId="0" applyFont="1" applyFill="1" applyBorder="1" applyProtection="1"/>
    <xf numFmtId="0" fontId="27" fillId="15" borderId="7" xfId="0" applyFont="1" applyFill="1" applyBorder="1" applyProtection="1"/>
    <xf numFmtId="0" fontId="28" fillId="20" borderId="11" xfId="0" applyFont="1" applyFill="1" applyBorder="1" applyProtection="1"/>
    <xf numFmtId="0" fontId="27" fillId="20" borderId="8" xfId="0" applyFont="1" applyFill="1" applyBorder="1" applyProtection="1"/>
    <xf numFmtId="0" fontId="28" fillId="20" borderId="9" xfId="0" applyFont="1" applyFill="1" applyBorder="1" applyProtection="1"/>
    <xf numFmtId="0" fontId="28" fillId="20" borderId="9" xfId="0" applyFont="1" applyFill="1" applyBorder="1" applyAlignment="1" applyProtection="1">
      <alignment horizontal="center"/>
    </xf>
    <xf numFmtId="0" fontId="28" fillId="20" borderId="8" xfId="0" applyFont="1" applyFill="1" applyBorder="1" applyProtection="1"/>
    <xf numFmtId="0" fontId="26" fillId="2" borderId="0" xfId="0" applyFont="1" applyFill="1" applyProtection="1"/>
    <xf numFmtId="0" fontId="28" fillId="21" borderId="11" xfId="0" applyFont="1" applyFill="1" applyBorder="1" applyProtection="1"/>
    <xf numFmtId="0" fontId="27" fillId="21" borderId="11" xfId="0" applyFont="1" applyFill="1" applyBorder="1" applyProtection="1"/>
    <xf numFmtId="0" fontId="27" fillId="21" borderId="9" xfId="0" applyFont="1" applyFill="1" applyBorder="1" applyProtection="1"/>
    <xf numFmtId="0" fontId="27" fillId="21" borderId="8" xfId="0" applyFont="1" applyFill="1" applyBorder="1" applyProtection="1"/>
    <xf numFmtId="0" fontId="27" fillId="21" borderId="5" xfId="0" applyFont="1" applyFill="1" applyBorder="1" applyAlignment="1" applyProtection="1">
      <alignment horizontal="right"/>
    </xf>
    <xf numFmtId="0" fontId="27" fillId="21" borderId="6" xfId="0" applyFont="1" applyFill="1" applyBorder="1" applyProtection="1"/>
    <xf numFmtId="0" fontId="27" fillId="21" borderId="8" xfId="0" applyFont="1" applyFill="1" applyBorder="1" applyAlignment="1" applyProtection="1">
      <alignment horizontal="right"/>
    </xf>
    <xf numFmtId="0" fontId="27" fillId="21" borderId="7" xfId="0" applyFont="1" applyFill="1" applyBorder="1" applyAlignment="1" applyProtection="1">
      <alignment horizontal="right"/>
    </xf>
    <xf numFmtId="0" fontId="28" fillId="21" borderId="6" xfId="0" applyFont="1" applyFill="1" applyBorder="1" applyProtection="1"/>
    <xf numFmtId="0" fontId="28" fillId="21" borderId="8" xfId="0" applyFont="1" applyFill="1" applyBorder="1" applyProtection="1"/>
    <xf numFmtId="0" fontId="28" fillId="21" borderId="7" xfId="0" applyFont="1" applyFill="1" applyBorder="1" applyProtection="1"/>
    <xf numFmtId="0" fontId="27" fillId="21" borderId="5" xfId="0" applyFont="1" applyFill="1" applyBorder="1" applyAlignment="1" applyProtection="1">
      <alignment horizontal="right" vertical="top" wrapText="1"/>
    </xf>
    <xf numFmtId="0" fontId="27" fillId="21" borderId="5" xfId="0" applyFont="1" applyFill="1" applyBorder="1" applyAlignment="1" applyProtection="1">
      <alignment vertical="top" wrapText="1"/>
    </xf>
    <xf numFmtId="0" fontId="30" fillId="21" borderId="8" xfId="0" applyFont="1" applyFill="1" applyBorder="1" applyProtection="1"/>
    <xf numFmtId="0" fontId="30" fillId="21" borderId="7" xfId="0" applyFont="1" applyFill="1" applyBorder="1" applyProtection="1"/>
    <xf numFmtId="1" fontId="28" fillId="9" borderId="0" xfId="0" applyNumberFormat="1" applyFont="1" applyFill="1" applyBorder="1" applyProtection="1">
      <protection locked="0"/>
    </xf>
    <xf numFmtId="0" fontId="27" fillId="9" borderId="0" xfId="0" applyFont="1" applyFill="1" applyProtection="1">
      <protection locked="0"/>
    </xf>
    <xf numFmtId="0" fontId="0" fillId="9" borderId="0" xfId="0" applyFill="1" applyProtection="1">
      <protection locked="0"/>
    </xf>
    <xf numFmtId="1" fontId="17" fillId="0" borderId="0" xfId="0" applyNumberFormat="1" applyFont="1" applyFill="1" applyBorder="1" applyAlignment="1" applyProtection="1">
      <alignment horizontal="right"/>
      <protection locked="0"/>
    </xf>
    <xf numFmtId="168" fontId="0" fillId="0" borderId="0" xfId="0" applyNumberFormat="1" applyFill="1" applyProtection="1">
      <protection locked="0"/>
    </xf>
    <xf numFmtId="0" fontId="0" fillId="0" borderId="0" xfId="0" applyFont="1" applyFill="1" applyAlignment="1" applyProtection="1">
      <alignment horizontal="center"/>
      <protection locked="0"/>
    </xf>
    <xf numFmtId="11" fontId="17" fillId="0" borderId="0" xfId="0" applyNumberFormat="1" applyFont="1" applyFill="1" applyAlignment="1" applyProtection="1">
      <alignment horizontal="center"/>
      <protection locked="0"/>
    </xf>
    <xf numFmtId="171" fontId="17" fillId="0" borderId="0" xfId="1" applyNumberFormat="1" applyFont="1" applyFill="1" applyAlignment="1" applyProtection="1">
      <alignment horizontal="center"/>
      <protection locked="0"/>
    </xf>
    <xf numFmtId="169" fontId="0" fillId="0" borderId="0" xfId="0" applyNumberFormat="1" applyFill="1" applyProtection="1">
      <protection locked="0"/>
    </xf>
    <xf numFmtId="0" fontId="22" fillId="0" borderId="0" xfId="0" applyFont="1" applyProtection="1">
      <protection locked="0"/>
    </xf>
    <xf numFmtId="0" fontId="22" fillId="0" borderId="0" xfId="0" applyFont="1" applyAlignment="1" applyProtection="1">
      <alignment horizontal="center"/>
      <protection locked="0"/>
    </xf>
    <xf numFmtId="2" fontId="22" fillId="0" borderId="0" xfId="0" applyNumberFormat="1" applyFont="1" applyFill="1" applyAlignment="1" applyProtection="1">
      <alignment horizontal="center"/>
      <protection locked="0"/>
    </xf>
    <xf numFmtId="0" fontId="22" fillId="0" borderId="0" xfId="0" applyFont="1"/>
    <xf numFmtId="2" fontId="22" fillId="0" borderId="0" xfId="0" applyNumberFormat="1" applyFont="1" applyAlignment="1" applyProtection="1">
      <alignment horizontal="center"/>
      <protection locked="0"/>
    </xf>
    <xf numFmtId="165" fontId="22" fillId="0" borderId="0" xfId="0" applyNumberFormat="1" applyFont="1" applyAlignment="1">
      <alignment horizontal="center"/>
    </xf>
    <xf numFmtId="1" fontId="22" fillId="0" borderId="0" xfId="0" applyNumberFormat="1" applyFont="1" applyAlignment="1" applyProtection="1">
      <alignment horizontal="center"/>
      <protection locked="0"/>
    </xf>
    <xf numFmtId="2" fontId="22" fillId="0" borderId="0" xfId="0" applyNumberFormat="1" applyFont="1" applyAlignment="1">
      <alignment horizontal="center"/>
    </xf>
    <xf numFmtId="8" fontId="22" fillId="0" borderId="0" xfId="0" applyNumberFormat="1" applyFont="1" applyAlignment="1" applyProtection="1">
      <alignment horizontal="center"/>
      <protection locked="0"/>
    </xf>
    <xf numFmtId="165" fontId="0" fillId="2" borderId="0" xfId="0" applyNumberFormat="1" applyFill="1" applyProtection="1">
      <protection locked="0"/>
    </xf>
    <xf numFmtId="165" fontId="0" fillId="0" borderId="0" xfId="0" applyNumberFormat="1" applyProtection="1">
      <protection locked="0"/>
    </xf>
    <xf numFmtId="0" fontId="27" fillId="22" borderId="0" xfId="0" applyFont="1" applyFill="1" applyBorder="1" applyAlignment="1" applyProtection="1">
      <alignment vertical="center"/>
    </xf>
    <xf numFmtId="0" fontId="27" fillId="9" borderId="0" xfId="0" applyFont="1" applyFill="1" applyBorder="1" applyAlignment="1" applyProtection="1">
      <alignment vertical="center"/>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center" vertical="center"/>
    </xf>
    <xf numFmtId="0" fontId="28" fillId="9" borderId="4" xfId="0" applyFont="1" applyFill="1" applyBorder="1" applyAlignment="1" applyProtection="1">
      <alignment horizontal="left" vertical="top"/>
    </xf>
    <xf numFmtId="1" fontId="27" fillId="0" borderId="0" xfId="0" applyNumberFormat="1" applyFont="1" applyFill="1" applyBorder="1" applyAlignment="1" applyProtection="1">
      <alignment horizontal="center" vertical="center"/>
      <protection locked="0"/>
    </xf>
    <xf numFmtId="165" fontId="27" fillId="9" borderId="0" xfId="0" applyNumberFormat="1" applyFont="1" applyFill="1" applyBorder="1" applyAlignment="1" applyProtection="1">
      <alignment horizontal="center" vertical="center"/>
    </xf>
    <xf numFmtId="0" fontId="1" fillId="9" borderId="0" xfId="0" applyFont="1" applyFill="1" applyBorder="1" applyProtection="1"/>
    <xf numFmtId="3" fontId="17" fillId="0" borderId="0" xfId="0" applyNumberFormat="1" applyFont="1" applyFill="1" applyAlignment="1" applyProtection="1">
      <alignment horizontal="center"/>
      <protection locked="0"/>
    </xf>
    <xf numFmtId="0" fontId="0" fillId="0" borderId="0" xfId="0" applyAlignment="1" applyProtection="1">
      <alignment horizontal="center"/>
      <protection locked="0"/>
    </xf>
    <xf numFmtId="3" fontId="16" fillId="5" borderId="8" xfId="6" applyNumberFormat="1" applyFont="1" applyFill="1" applyBorder="1" applyAlignment="1" applyProtection="1">
      <alignment horizontal="center"/>
    </xf>
    <xf numFmtId="3" fontId="16" fillId="5" borderId="7" xfId="0" applyNumberFormat="1" applyFont="1" applyFill="1" applyBorder="1" applyAlignment="1" applyProtection="1">
      <alignment horizontal="center" wrapText="1"/>
    </xf>
    <xf numFmtId="164" fontId="22" fillId="0" borderId="0" xfId="0" applyNumberFormat="1" applyFont="1" applyFill="1" applyAlignment="1" applyProtection="1">
      <alignment horizontal="center"/>
      <protection locked="0"/>
    </xf>
    <xf numFmtId="164" fontId="22" fillId="0" borderId="0" xfId="0" applyNumberFormat="1" applyFont="1" applyProtection="1">
      <protection locked="0"/>
    </xf>
    <xf numFmtId="0" fontId="16" fillId="6" borderId="4" xfId="0" applyFont="1" applyFill="1" applyBorder="1" applyProtection="1"/>
    <xf numFmtId="165" fontId="16" fillId="6" borderId="5" xfId="0" applyNumberFormat="1" applyFont="1" applyFill="1" applyBorder="1" applyAlignment="1" applyProtection="1">
      <alignment horizontal="center" wrapText="1"/>
    </xf>
    <xf numFmtId="0" fontId="13" fillId="6" borderId="4" xfId="0" applyFont="1" applyFill="1" applyBorder="1" applyProtection="1"/>
    <xf numFmtId="169" fontId="13" fillId="6" borderId="5" xfId="0" applyNumberFormat="1" applyFont="1" applyFill="1" applyBorder="1" applyAlignment="1" applyProtection="1">
      <alignment horizontal="center" wrapText="1"/>
    </xf>
    <xf numFmtId="169" fontId="16" fillId="6" borderId="5" xfId="0" applyNumberFormat="1" applyFont="1" applyFill="1" applyBorder="1" applyAlignment="1" applyProtection="1">
      <alignment horizontal="center" wrapText="1"/>
    </xf>
    <xf numFmtId="165" fontId="13" fillId="6" borderId="5" xfId="0" applyNumberFormat="1" applyFont="1" applyFill="1" applyBorder="1" applyAlignment="1" applyProtection="1">
      <alignment horizontal="center" wrapText="1"/>
    </xf>
    <xf numFmtId="169" fontId="13" fillId="6" borderId="5" xfId="1" applyNumberFormat="1" applyFont="1" applyFill="1" applyBorder="1" applyAlignment="1" applyProtection="1">
      <alignment horizontal="center" wrapText="1"/>
    </xf>
    <xf numFmtId="9" fontId="13" fillId="5" borderId="5" xfId="3" applyFont="1" applyFill="1" applyBorder="1" applyAlignment="1" applyProtection="1">
      <alignment horizontal="center" wrapText="1"/>
    </xf>
    <xf numFmtId="0" fontId="30" fillId="9" borderId="0" xfId="5" applyFont="1" applyFill="1" applyBorder="1" applyAlignment="1" applyProtection="1">
      <alignment horizontal="center"/>
      <protection locked="0"/>
    </xf>
    <xf numFmtId="0" fontId="27" fillId="9" borderId="8" xfId="0" applyFont="1" applyFill="1" applyBorder="1" applyProtection="1">
      <protection locked="0"/>
    </xf>
    <xf numFmtId="0" fontId="27" fillId="9" borderId="0" xfId="0" applyFont="1" applyFill="1" applyBorder="1" applyProtection="1">
      <protection locked="0"/>
    </xf>
    <xf numFmtId="0" fontId="27" fillId="9" borderId="9" xfId="0" applyFont="1" applyFill="1" applyBorder="1" applyProtection="1">
      <protection locked="0"/>
    </xf>
    <xf numFmtId="0" fontId="27" fillId="9" borderId="4" xfId="0" applyFont="1" applyFill="1" applyBorder="1" applyProtection="1">
      <protection locked="0"/>
    </xf>
    <xf numFmtId="0" fontId="27" fillId="9" borderId="6" xfId="0" applyFont="1" applyFill="1" applyBorder="1" applyProtection="1">
      <protection locked="0"/>
    </xf>
    <xf numFmtId="0" fontId="29" fillId="20" borderId="8" xfId="0" applyFont="1" applyFill="1" applyBorder="1" applyAlignment="1" applyProtection="1">
      <alignment horizontal="left"/>
    </xf>
    <xf numFmtId="0" fontId="22" fillId="2" borderId="0" xfId="0" applyFont="1" applyFill="1" applyProtection="1">
      <protection locked="0"/>
    </xf>
    <xf numFmtId="0" fontId="30" fillId="2" borderId="0" xfId="0" applyFont="1" applyFill="1" applyAlignment="1" applyProtection="1">
      <alignment vertical="center"/>
      <protection locked="0"/>
    </xf>
    <xf numFmtId="0" fontId="27" fillId="2" borderId="0" xfId="0" applyNumberFormat="1" applyFont="1" applyFill="1" applyBorder="1" applyAlignment="1" applyProtection="1">
      <alignment vertical="center"/>
      <protection locked="0"/>
    </xf>
    <xf numFmtId="0" fontId="27" fillId="2" borderId="0" xfId="0" applyNumberFormat="1" applyFont="1" applyFill="1" applyBorder="1" applyAlignment="1" applyProtection="1">
      <protection locked="0"/>
    </xf>
    <xf numFmtId="0" fontId="30" fillId="2" borderId="0" xfId="0" applyFont="1" applyFill="1" applyAlignment="1" applyProtection="1">
      <alignment horizontal="right" vertical="center"/>
      <protection locked="0"/>
    </xf>
    <xf numFmtId="3" fontId="30" fillId="2" borderId="0" xfId="0" applyNumberFormat="1" applyFont="1" applyFill="1" applyProtection="1">
      <protection locked="0"/>
    </xf>
    <xf numFmtId="0" fontId="28" fillId="9" borderId="4" xfId="0" applyFont="1" applyFill="1" applyBorder="1" applyAlignment="1" applyProtection="1">
      <alignment horizontal="left" vertical="center"/>
    </xf>
    <xf numFmtId="0" fontId="0" fillId="2" borderId="0" xfId="0" applyFill="1"/>
    <xf numFmtId="0" fontId="0" fillId="2" borderId="0" xfId="0" applyFill="1" applyProtection="1">
      <protection locked="0"/>
    </xf>
    <xf numFmtId="0" fontId="46" fillId="23" borderId="9" xfId="7" applyFont="1" applyFill="1" applyBorder="1" applyProtection="1"/>
    <xf numFmtId="0" fontId="27" fillId="9" borderId="0" xfId="0" applyFont="1" applyFill="1" applyBorder="1" applyProtection="1"/>
    <xf numFmtId="0" fontId="27" fillId="9" borderId="9" xfId="0" applyFont="1" applyFill="1" applyBorder="1" applyProtection="1"/>
    <xf numFmtId="0" fontId="27" fillId="9" borderId="0" xfId="0" applyFont="1" applyFill="1" applyBorder="1" applyAlignment="1" applyProtection="1">
      <alignment horizontal="center"/>
    </xf>
    <xf numFmtId="0" fontId="46" fillId="22" borderId="9" xfId="7" applyFont="1" applyFill="1" applyBorder="1" applyProtection="1"/>
    <xf numFmtId="0" fontId="27" fillId="9" borderId="4" xfId="0" applyFont="1" applyFill="1" applyBorder="1" applyProtection="1"/>
    <xf numFmtId="0" fontId="28" fillId="9" borderId="4" xfId="0" applyFont="1" applyFill="1" applyBorder="1" applyProtection="1"/>
    <xf numFmtId="0" fontId="27" fillId="2" borderId="0" xfId="0" applyFont="1" applyFill="1" applyBorder="1" applyProtection="1">
      <protection locked="0"/>
    </xf>
    <xf numFmtId="0" fontId="30" fillId="9" borderId="4" xfId="5" applyFont="1" applyFill="1" applyBorder="1" applyProtection="1"/>
    <xf numFmtId="0" fontId="28" fillId="9" borderId="9" xfId="0" applyFont="1" applyFill="1" applyBorder="1" applyAlignment="1" applyProtection="1">
      <alignment horizontal="center"/>
    </xf>
    <xf numFmtId="0" fontId="49" fillId="9" borderId="4" xfId="0" applyNumberFormat="1" applyFont="1" applyFill="1" applyBorder="1" applyAlignment="1" applyProtection="1">
      <alignment horizontal="left" vertical="top"/>
    </xf>
    <xf numFmtId="0" fontId="27" fillId="9" borderId="0" xfId="0" applyFont="1" applyFill="1" applyBorder="1" applyAlignment="1" applyProtection="1"/>
    <xf numFmtId="0" fontId="28" fillId="9" borderId="0" xfId="0" applyFont="1" applyFill="1" applyBorder="1" applyAlignment="1" applyProtection="1">
      <alignment horizontal="center"/>
    </xf>
    <xf numFmtId="0" fontId="27" fillId="9" borderId="6" xfId="0" applyFont="1" applyFill="1" applyBorder="1" applyAlignment="1" applyProtection="1">
      <alignment horizontal="left"/>
    </xf>
    <xf numFmtId="0" fontId="0" fillId="9" borderId="0" xfId="0" applyFill="1" applyBorder="1"/>
    <xf numFmtId="0" fontId="29" fillId="9" borderId="0" xfId="0" applyFont="1" applyFill="1" applyAlignment="1">
      <alignment horizontal="center"/>
    </xf>
    <xf numFmtId="0" fontId="30" fillId="24" borderId="0" xfId="0" applyFont="1" applyFill="1" applyProtection="1">
      <protection locked="0"/>
    </xf>
    <xf numFmtId="165" fontId="30" fillId="24" borderId="0" xfId="0" applyNumberFormat="1" applyFont="1" applyFill="1" applyProtection="1">
      <protection locked="0"/>
    </xf>
    <xf numFmtId="0" fontId="27" fillId="9" borderId="9" xfId="0" applyFont="1" applyFill="1" applyBorder="1" applyAlignment="1" applyProtection="1">
      <alignment horizontal="center"/>
    </xf>
    <xf numFmtId="0" fontId="0" fillId="9" borderId="9" xfId="0" applyFill="1" applyBorder="1" applyProtection="1">
      <protection locked="0"/>
    </xf>
    <xf numFmtId="0" fontId="0" fillId="9" borderId="0" xfId="0" applyFill="1" applyBorder="1" applyProtection="1">
      <protection locked="0"/>
    </xf>
    <xf numFmtId="0" fontId="0" fillId="9" borderId="0" xfId="0" applyFill="1"/>
    <xf numFmtId="0" fontId="30" fillId="9" borderId="4" xfId="0" applyFont="1" applyFill="1" applyBorder="1" applyProtection="1">
      <protection locked="0"/>
    </xf>
    <xf numFmtId="0" fontId="27" fillId="9" borderId="4" xfId="0" applyFont="1" applyFill="1" applyBorder="1" applyAlignment="1" applyProtection="1">
      <alignment horizontal="left" vertical="center"/>
      <protection locked="0"/>
    </xf>
    <xf numFmtId="0" fontId="22" fillId="9" borderId="0" xfId="0" applyFont="1" applyFill="1" applyBorder="1" applyProtection="1">
      <protection locked="0"/>
    </xf>
    <xf numFmtId="0" fontId="50" fillId="9" borderId="0" xfId="0" applyFont="1" applyFill="1" applyBorder="1" applyAlignment="1" applyProtection="1">
      <alignment horizontal="center"/>
      <protection locked="0"/>
    </xf>
    <xf numFmtId="0" fontId="22" fillId="9" borderId="4" xfId="0" applyFont="1" applyFill="1" applyBorder="1" applyProtection="1">
      <protection locked="0"/>
    </xf>
    <xf numFmtId="0" fontId="28" fillId="9" borderId="0" xfId="0" applyFont="1" applyFill="1" applyBorder="1" applyAlignment="1" applyProtection="1">
      <alignment horizontal="center"/>
      <protection locked="0"/>
    </xf>
    <xf numFmtId="0" fontId="26" fillId="9" borderId="2" xfId="0" applyFont="1" applyFill="1" applyBorder="1" applyProtection="1">
      <protection locked="0"/>
    </xf>
    <xf numFmtId="0" fontId="27" fillId="9" borderId="9" xfId="0" applyFont="1" applyFill="1" applyBorder="1" applyAlignment="1" applyProtection="1">
      <alignment horizontal="center"/>
      <protection locked="0"/>
    </xf>
    <xf numFmtId="0" fontId="26" fillId="9" borderId="4" xfId="0" applyFont="1" applyFill="1" applyBorder="1" applyProtection="1">
      <protection locked="0"/>
    </xf>
    <xf numFmtId="0" fontId="28" fillId="9" borderId="0" xfId="0" applyFont="1" applyFill="1" applyBorder="1" applyProtection="1">
      <protection locked="0"/>
    </xf>
    <xf numFmtId="0" fontId="0" fillId="9" borderId="4" xfId="0" applyFill="1" applyBorder="1" applyProtection="1">
      <protection locked="0"/>
    </xf>
    <xf numFmtId="0" fontId="26" fillId="9" borderId="6" xfId="0" applyFont="1" applyFill="1" applyBorder="1" applyProtection="1">
      <protection locked="0"/>
    </xf>
    <xf numFmtId="1" fontId="22" fillId="2" borderId="0" xfId="0" applyNumberFormat="1" applyFont="1" applyFill="1" applyProtection="1">
      <protection locked="0"/>
    </xf>
    <xf numFmtId="0" fontId="22" fillId="2" borderId="0" xfId="0" applyFont="1" applyFill="1"/>
    <xf numFmtId="2" fontId="22" fillId="2" borderId="0" xfId="0" applyNumberFormat="1" applyFont="1" applyFill="1" applyProtection="1">
      <protection locked="0"/>
    </xf>
    <xf numFmtId="165" fontId="27" fillId="9" borderId="0" xfId="0" applyNumberFormat="1" applyFont="1" applyFill="1" applyBorder="1" applyAlignment="1" applyProtection="1">
      <alignment horizontal="center"/>
    </xf>
    <xf numFmtId="2" fontId="27" fillId="4" borderId="8" xfId="0" applyNumberFormat="1" applyFont="1" applyFill="1" applyBorder="1" applyProtection="1"/>
    <xf numFmtId="181" fontId="27" fillId="2" borderId="0" xfId="0" applyNumberFormat="1" applyFont="1" applyFill="1" applyBorder="1" applyAlignment="1" applyProtection="1">
      <alignment horizontal="center"/>
      <protection locked="0"/>
    </xf>
    <xf numFmtId="0" fontId="27" fillId="4" borderId="1" xfId="0" applyNumberFormat="1" applyFont="1" applyFill="1" applyBorder="1" applyAlignment="1" applyProtection="1">
      <alignment vertical="center"/>
      <protection locked="0"/>
    </xf>
    <xf numFmtId="0" fontId="27" fillId="4" borderId="1" xfId="0" applyNumberFormat="1" applyFont="1" applyFill="1" applyBorder="1" applyAlignment="1" applyProtection="1">
      <protection locked="0"/>
    </xf>
    <xf numFmtId="0" fontId="27" fillId="4" borderId="16" xfId="0" applyNumberFormat="1" applyFont="1" applyFill="1" applyBorder="1" applyAlignment="1" applyProtection="1">
      <alignment vertical="center"/>
      <protection locked="0"/>
    </xf>
    <xf numFmtId="3" fontId="27"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center"/>
      <protection locked="0"/>
    </xf>
    <xf numFmtId="9" fontId="30" fillId="18" borderId="0" xfId="3" applyFont="1" applyFill="1" applyBorder="1" applyAlignment="1" applyProtection="1">
      <alignment horizontal="center"/>
    </xf>
    <xf numFmtId="2" fontId="30" fillId="2" borderId="0" xfId="0" applyNumberFormat="1" applyFont="1" applyFill="1" applyProtection="1">
      <protection locked="0"/>
    </xf>
    <xf numFmtId="0" fontId="27" fillId="9" borderId="0" xfId="0" applyFont="1" applyFill="1" applyBorder="1" applyAlignment="1" applyProtection="1">
      <alignment horizontal="center"/>
    </xf>
    <xf numFmtId="0" fontId="27" fillId="9" borderId="4" xfId="0" applyFont="1" applyFill="1" applyBorder="1" applyAlignment="1" applyProtection="1">
      <alignment horizontal="left"/>
    </xf>
    <xf numFmtId="3" fontId="30" fillId="2" borderId="0" xfId="5" applyNumberFormat="1" applyFont="1" applyFill="1" applyBorder="1" applyAlignment="1" applyProtection="1">
      <alignment horizontal="center"/>
      <protection locked="0"/>
    </xf>
    <xf numFmtId="0" fontId="0" fillId="9" borderId="9" xfId="0" applyFill="1" applyBorder="1"/>
    <xf numFmtId="0" fontId="27" fillId="2" borderId="0" xfId="0" applyFont="1" applyFill="1" applyBorder="1" applyAlignment="1" applyProtection="1">
      <alignment horizontal="center"/>
      <protection locked="0"/>
    </xf>
    <xf numFmtId="0" fontId="7" fillId="2" borderId="0" xfId="0" applyFont="1" applyFill="1" applyBorder="1" applyProtection="1">
      <protection locked="0"/>
    </xf>
    <xf numFmtId="168" fontId="0" fillId="2" borderId="0" xfId="0" applyNumberFormat="1" applyFill="1" applyProtection="1">
      <protection locked="0"/>
    </xf>
    <xf numFmtId="164" fontId="1" fillId="2" borderId="0" xfId="0" applyNumberFormat="1" applyFont="1" applyFill="1" applyBorder="1" applyAlignment="1" applyProtection="1">
      <alignment horizontal="center"/>
      <protection locked="0"/>
    </xf>
    <xf numFmtId="0" fontId="1" fillId="2" borderId="0" xfId="0" applyFont="1" applyFill="1" applyProtection="1">
      <protection locked="0"/>
    </xf>
    <xf numFmtId="0" fontId="18" fillId="2" borderId="0" xfId="0" applyFont="1" applyFill="1" applyBorder="1" applyProtection="1">
      <protection locked="0"/>
    </xf>
    <xf numFmtId="164" fontId="0" fillId="2" borderId="0" xfId="0" applyNumberFormat="1" applyFill="1" applyProtection="1">
      <protection locked="0"/>
    </xf>
    <xf numFmtId="0" fontId="0" fillId="2" borderId="0" xfId="0" applyFont="1" applyFill="1" applyProtection="1">
      <protection locked="0"/>
    </xf>
    <xf numFmtId="179" fontId="0" fillId="2" borderId="0" xfId="0" applyNumberFormat="1" applyFill="1" applyProtection="1">
      <protection locked="0"/>
    </xf>
    <xf numFmtId="0" fontId="12" fillId="2" borderId="0" xfId="0" applyFont="1" applyFill="1" applyProtection="1">
      <protection locked="0"/>
    </xf>
    <xf numFmtId="0" fontId="29" fillId="2" borderId="11" xfId="4" applyFont="1" applyFill="1" applyBorder="1" applyAlignment="1" applyProtection="1">
      <alignment horizontal="center" vertical="top" wrapText="1"/>
      <protection locked="0"/>
    </xf>
    <xf numFmtId="0" fontId="28" fillId="2" borderId="11" xfId="0" applyFont="1" applyFill="1" applyBorder="1" applyAlignment="1" applyProtection="1">
      <alignment horizontal="center"/>
      <protection locked="0"/>
    </xf>
    <xf numFmtId="0" fontId="27" fillId="2" borderId="0" xfId="0" applyFont="1" applyFill="1" applyAlignment="1" applyProtection="1">
      <protection locked="0"/>
    </xf>
    <xf numFmtId="0" fontId="28" fillId="2" borderId="0" xfId="0" applyFont="1" applyFill="1" applyBorder="1" applyProtection="1">
      <protection locked="0"/>
    </xf>
    <xf numFmtId="165" fontId="27" fillId="2" borderId="0" xfId="0" applyNumberFormat="1" applyFont="1" applyFill="1" applyProtection="1">
      <protection locked="0"/>
    </xf>
    <xf numFmtId="164" fontId="27" fillId="2" borderId="0" xfId="0" applyNumberFormat="1" applyFont="1" applyFill="1" applyProtection="1">
      <protection locked="0"/>
    </xf>
    <xf numFmtId="0" fontId="27" fillId="2" borderId="0" xfId="0" applyFont="1" applyFill="1" applyAlignment="1" applyProtection="1">
      <alignment horizontal="center"/>
      <protection locked="0"/>
    </xf>
    <xf numFmtId="0" fontId="27" fillId="2" borderId="0" xfId="0" applyFont="1" applyFill="1" applyAlignment="1" applyProtection="1">
      <alignment horizontal="left"/>
      <protection locked="0"/>
    </xf>
    <xf numFmtId="0" fontId="6" fillId="2" borderId="0" xfId="0" applyFont="1" applyFill="1" applyBorder="1" applyProtection="1">
      <protection locked="0"/>
    </xf>
    <xf numFmtId="0" fontId="28" fillId="9" borderId="4" xfId="0" applyFont="1" applyFill="1" applyBorder="1" applyAlignment="1" applyProtection="1">
      <alignment horizontal="left" vertical="top"/>
    </xf>
    <xf numFmtId="0" fontId="28" fillId="9" borderId="4" xfId="0" applyFont="1" applyFill="1" applyBorder="1" applyAlignment="1" applyProtection="1">
      <alignment horizontal="left" vertical="center"/>
    </xf>
    <xf numFmtId="0" fontId="27" fillId="9" borderId="0" xfId="0" applyFont="1" applyFill="1" applyBorder="1" applyAlignment="1" applyProtection="1">
      <alignment horizontal="center" vertical="center"/>
    </xf>
    <xf numFmtId="0" fontId="27" fillId="9" borderId="0" xfId="0" applyFont="1" applyFill="1" applyBorder="1" applyAlignment="1" applyProtection="1">
      <alignment horizontal="center"/>
    </xf>
    <xf numFmtId="0" fontId="27" fillId="0" borderId="0" xfId="0" applyFont="1" applyFill="1" applyBorder="1" applyAlignment="1" applyProtection="1">
      <alignment horizontal="center" vertical="center"/>
      <protection locked="0"/>
    </xf>
    <xf numFmtId="0" fontId="27" fillId="22" borderId="0" xfId="0" applyFont="1" applyFill="1" applyBorder="1" applyAlignment="1" applyProtection="1">
      <alignment horizontal="center" vertical="center"/>
    </xf>
    <xf numFmtId="1" fontId="27" fillId="9" borderId="0" xfId="0" applyNumberFormat="1" applyFont="1" applyFill="1" applyBorder="1" applyAlignment="1" applyProtection="1">
      <alignment horizontal="center" vertical="center"/>
    </xf>
    <xf numFmtId="0" fontId="0" fillId="3" borderId="3" xfId="0" applyFill="1" applyBorder="1" applyProtection="1">
      <protection locked="0"/>
    </xf>
    <xf numFmtId="0" fontId="15" fillId="3" borderId="2" xfId="0" applyFont="1" applyFill="1" applyBorder="1"/>
    <xf numFmtId="0" fontId="14" fillId="4" borderId="2" xfId="0" applyFont="1" applyFill="1" applyBorder="1" applyProtection="1"/>
    <xf numFmtId="0" fontId="14" fillId="5" borderId="2" xfId="0" applyFont="1" applyFill="1" applyBorder="1" applyProtection="1"/>
    <xf numFmtId="168" fontId="13" fillId="5" borderId="3" xfId="0" applyNumberFormat="1" applyFont="1" applyFill="1" applyBorder="1" applyAlignment="1" applyProtection="1">
      <alignment horizontal="center" wrapText="1"/>
    </xf>
    <xf numFmtId="2" fontId="16" fillId="5" borderId="5" xfId="3" applyNumberFormat="1" applyFont="1" applyFill="1" applyBorder="1" applyAlignment="1" applyProtection="1">
      <alignment horizontal="center" wrapText="1"/>
    </xf>
    <xf numFmtId="165" fontId="16" fillId="5" borderId="5" xfId="0" applyNumberFormat="1" applyFont="1" applyFill="1" applyBorder="1" applyAlignment="1" applyProtection="1">
      <alignment horizontal="center" wrapText="1"/>
    </xf>
    <xf numFmtId="3" fontId="13" fillId="5" borderId="5" xfId="0" applyNumberFormat="1" applyFont="1" applyFill="1" applyBorder="1" applyAlignment="1" applyProtection="1">
      <alignment horizontal="center" wrapText="1"/>
    </xf>
    <xf numFmtId="2" fontId="17" fillId="2" borderId="0" xfId="0" applyNumberFormat="1" applyFont="1" applyFill="1" applyBorder="1" applyProtection="1">
      <protection locked="0"/>
    </xf>
    <xf numFmtId="0" fontId="2" fillId="2" borderId="0" xfId="0" applyFont="1" applyFill="1" applyBorder="1" applyProtection="1">
      <protection locked="0"/>
    </xf>
    <xf numFmtId="0" fontId="17" fillId="2" borderId="0" xfId="0" applyFont="1" applyFill="1" applyBorder="1" applyProtection="1">
      <protection locked="0"/>
    </xf>
    <xf numFmtId="165" fontId="17" fillId="2" borderId="0" xfId="0" applyNumberFormat="1" applyFont="1" applyFill="1" applyBorder="1" applyAlignment="1" applyProtection="1">
      <alignment horizontal="right"/>
      <protection locked="0"/>
    </xf>
    <xf numFmtId="2" fontId="17" fillId="2" borderId="0" xfId="0" applyNumberFormat="1" applyFont="1" applyFill="1" applyProtection="1">
      <protection locked="0"/>
    </xf>
    <xf numFmtId="0" fontId="2" fillId="2" borderId="0" xfId="0" applyFont="1" applyFill="1" applyBorder="1" applyProtection="1"/>
    <xf numFmtId="2" fontId="30" fillId="2" borderId="0" xfId="0" applyNumberFormat="1" applyFont="1" applyFill="1" applyAlignment="1">
      <alignment horizontal="left"/>
    </xf>
    <xf numFmtId="0" fontId="30" fillId="2" borderId="0" xfId="0" applyFont="1" applyFill="1"/>
    <xf numFmtId="0" fontId="17" fillId="2" borderId="0" xfId="0" applyFont="1" applyFill="1" applyProtection="1"/>
    <xf numFmtId="0" fontId="1" fillId="2" borderId="0" xfId="0" applyFont="1" applyFill="1" applyBorder="1" applyProtection="1"/>
    <xf numFmtId="169" fontId="1" fillId="2" borderId="0" xfId="0" applyNumberFormat="1" applyFont="1" applyFill="1" applyBorder="1" applyAlignment="1" applyProtection="1">
      <alignment horizontal="center"/>
    </xf>
    <xf numFmtId="169" fontId="17" fillId="2" borderId="0" xfId="0" applyNumberFormat="1" applyFont="1" applyFill="1" applyAlignment="1" applyProtection="1">
      <alignment horizontal="center"/>
    </xf>
    <xf numFmtId="2" fontId="17" fillId="2" borderId="0" xfId="0" applyNumberFormat="1" applyFont="1" applyFill="1" applyAlignment="1" applyProtection="1">
      <alignment horizontal="center"/>
    </xf>
    <xf numFmtId="10" fontId="17" fillId="2" borderId="0" xfId="3" applyNumberFormat="1" applyFont="1" applyFill="1" applyAlignment="1" applyProtection="1">
      <alignment horizontal="center"/>
    </xf>
    <xf numFmtId="0" fontId="17" fillId="2" borderId="0" xfId="0" applyFont="1" applyFill="1" applyAlignment="1" applyProtection="1">
      <alignment horizontal="center"/>
    </xf>
    <xf numFmtId="2" fontId="17" fillId="2" borderId="0" xfId="0" applyNumberFormat="1" applyFont="1" applyFill="1" applyProtection="1"/>
    <xf numFmtId="0" fontId="21" fillId="2" borderId="0" xfId="0" applyFont="1" applyFill="1" applyProtection="1"/>
    <xf numFmtId="0" fontId="18" fillId="2" borderId="0" xfId="0" applyFont="1" applyFill="1" applyBorder="1" applyAlignment="1" applyProtection="1">
      <alignment horizontal="left"/>
    </xf>
    <xf numFmtId="164"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center"/>
    </xf>
    <xf numFmtId="0" fontId="1" fillId="2" borderId="0" xfId="0" quotePrefix="1" applyFont="1" applyFill="1" applyBorder="1" applyProtection="1"/>
    <xf numFmtId="0" fontId="0" fillId="2" borderId="0" xfId="0" applyFill="1" applyAlignment="1" applyProtection="1">
      <alignment horizontal="center"/>
    </xf>
    <xf numFmtId="0" fontId="21" fillId="2" borderId="0" xfId="0" applyFont="1" applyFill="1" applyAlignment="1" applyProtection="1">
      <alignment horizontal="center"/>
    </xf>
    <xf numFmtId="164" fontId="2" fillId="2" borderId="0" xfId="0" applyNumberFormat="1" applyFont="1" applyFill="1" applyBorder="1" applyAlignment="1" applyProtection="1">
      <alignment horizontal="center"/>
    </xf>
    <xf numFmtId="0" fontId="17" fillId="2" borderId="0" xfId="0" applyFont="1" applyFill="1" applyBorder="1" applyAlignment="1" applyProtection="1">
      <alignment horizontal="center"/>
    </xf>
    <xf numFmtId="0" fontId="17" fillId="2" borderId="0" xfId="0" applyFont="1" applyFill="1" applyBorder="1" applyProtection="1"/>
    <xf numFmtId="1" fontId="1" fillId="2" borderId="0" xfId="0" applyNumberFormat="1" applyFont="1" applyFill="1" applyBorder="1" applyAlignment="1" applyProtection="1">
      <alignment horizontal="center"/>
    </xf>
    <xf numFmtId="166" fontId="1" fillId="2" borderId="0" xfId="0" applyNumberFormat="1" applyFont="1" applyFill="1" applyBorder="1" applyAlignment="1" applyProtection="1">
      <alignment horizontal="center"/>
    </xf>
    <xf numFmtId="2" fontId="2" fillId="2" borderId="0" xfId="0" applyNumberFormat="1" applyFont="1" applyFill="1" applyBorder="1" applyAlignment="1" applyProtection="1">
      <alignment horizontal="center"/>
    </xf>
    <xf numFmtId="0" fontId="17" fillId="2" borderId="0" xfId="0" applyFont="1" applyFill="1" applyAlignment="1" applyProtection="1"/>
    <xf numFmtId="0" fontId="1" fillId="2" borderId="0" xfId="0" applyFont="1" applyFill="1" applyProtection="1"/>
    <xf numFmtId="165" fontId="1" fillId="2" borderId="0" xfId="0" applyNumberFormat="1" applyFont="1" applyFill="1" applyBorder="1" applyAlignment="1" applyProtection="1">
      <alignment horizontal="center"/>
    </xf>
    <xf numFmtId="2"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left"/>
    </xf>
    <xf numFmtId="2" fontId="21" fillId="2" borderId="0" xfId="0" applyNumberFormat="1" applyFont="1" applyFill="1" applyAlignment="1" applyProtection="1">
      <alignment horizontal="center"/>
    </xf>
    <xf numFmtId="3" fontId="17" fillId="2" borderId="0" xfId="0" applyNumberFormat="1" applyFont="1" applyFill="1" applyAlignment="1" applyProtection="1">
      <alignment horizontal="center"/>
      <protection locked="0"/>
    </xf>
    <xf numFmtId="169" fontId="17" fillId="2" borderId="0" xfId="0" applyNumberFormat="1" applyFont="1" applyFill="1" applyAlignment="1" applyProtection="1">
      <alignment horizontal="center"/>
      <protection locked="0"/>
    </xf>
    <xf numFmtId="0" fontId="17" fillId="2" borderId="0" xfId="0" applyFont="1" applyFill="1" applyAlignment="1" applyProtection="1">
      <alignment horizontal="right"/>
    </xf>
    <xf numFmtId="0" fontId="17" fillId="2" borderId="0" xfId="4" applyFont="1" applyFill="1" applyBorder="1" applyProtection="1"/>
    <xf numFmtId="0" fontId="21" fillId="2" borderId="0" xfId="0" applyFont="1" applyFill="1" applyBorder="1" applyProtection="1"/>
    <xf numFmtId="2" fontId="17" fillId="2" borderId="0" xfId="0" applyNumberFormat="1" applyFont="1" applyFill="1" applyAlignment="1" applyProtection="1">
      <alignment horizontal="center"/>
      <protection locked="0"/>
    </xf>
    <xf numFmtId="2" fontId="1" fillId="2" borderId="0" xfId="0" applyNumberFormat="1" applyFont="1" applyFill="1" applyBorder="1" applyAlignment="1" applyProtection="1">
      <alignment horizontal="center"/>
      <protection locked="0"/>
    </xf>
    <xf numFmtId="0" fontId="17" fillId="2" borderId="0" xfId="0" applyFont="1" applyFill="1" applyAlignment="1" applyProtection="1">
      <alignment horizontal="center"/>
      <protection locked="0"/>
    </xf>
    <xf numFmtId="2" fontId="3" fillId="2" borderId="0" xfId="0" applyNumberFormat="1" applyFont="1" applyFill="1" applyBorder="1" applyAlignment="1" applyProtection="1">
      <alignment horizontal="left"/>
      <protection locked="0"/>
    </xf>
    <xf numFmtId="0" fontId="1"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164" fontId="2" fillId="2" borderId="0" xfId="0" applyNumberFormat="1" applyFont="1" applyFill="1" applyBorder="1" applyAlignment="1" applyProtection="1">
      <alignment horizontal="center"/>
      <protection locked="0"/>
    </xf>
    <xf numFmtId="0" fontId="17" fillId="2" borderId="0" xfId="0" applyFont="1" applyFill="1" applyBorder="1" applyAlignment="1" applyProtection="1">
      <alignment horizontal="center"/>
      <protection locked="0"/>
    </xf>
    <xf numFmtId="1" fontId="1" fillId="2" borderId="0" xfId="0" applyNumberFormat="1" applyFont="1" applyFill="1" applyBorder="1" applyAlignment="1" applyProtection="1">
      <alignment horizontal="center"/>
      <protection locked="0"/>
    </xf>
    <xf numFmtId="166" fontId="1" fillId="2" borderId="0" xfId="0" applyNumberFormat="1" applyFont="1" applyFill="1" applyBorder="1" applyAlignment="1" applyProtection="1">
      <alignment horizontal="center"/>
      <protection locked="0"/>
    </xf>
    <xf numFmtId="2" fontId="2" fillId="2" borderId="0" xfId="0" applyNumberFormat="1" applyFont="1" applyFill="1" applyBorder="1" applyAlignment="1" applyProtection="1">
      <alignment horizontal="center"/>
      <protection locked="0"/>
    </xf>
    <xf numFmtId="167" fontId="2" fillId="2" borderId="0" xfId="0" applyNumberFormat="1" applyFont="1" applyFill="1" applyBorder="1" applyProtection="1">
      <protection locked="0"/>
    </xf>
    <xf numFmtId="0" fontId="17" fillId="2" borderId="0" xfId="0" applyFont="1" applyFill="1" applyAlignment="1" applyProtection="1">
      <protection locked="0"/>
    </xf>
    <xf numFmtId="0" fontId="3" fillId="2" borderId="0" xfId="0" applyFont="1" applyFill="1" applyBorder="1" applyProtection="1">
      <protection locked="0"/>
    </xf>
    <xf numFmtId="165" fontId="1" fillId="2" borderId="0" xfId="0" applyNumberFormat="1" applyFont="1" applyFill="1" applyBorder="1" applyAlignment="1" applyProtection="1">
      <alignment horizontal="center"/>
      <protection locked="0"/>
    </xf>
    <xf numFmtId="0" fontId="1" fillId="2" borderId="0" xfId="0" quotePrefix="1" applyFont="1" applyFill="1" applyBorder="1" applyProtection="1">
      <protection locked="0"/>
    </xf>
    <xf numFmtId="2" fontId="21" fillId="2" borderId="0" xfId="0" applyNumberFormat="1" applyFont="1" applyFill="1" applyAlignment="1" applyProtection="1">
      <alignment horizontal="center"/>
      <protection locked="0"/>
    </xf>
    <xf numFmtId="2" fontId="25" fillId="2" borderId="0" xfId="0" applyNumberFormat="1" applyFont="1" applyFill="1" applyBorder="1" applyProtection="1">
      <protection locked="0"/>
    </xf>
    <xf numFmtId="0" fontId="25" fillId="2" borderId="0" xfId="0" applyFont="1" applyFill="1" applyProtection="1">
      <protection locked="0"/>
    </xf>
    <xf numFmtId="0" fontId="0" fillId="2" borderId="0" xfId="0" applyFill="1" applyAlignment="1" applyProtection="1">
      <alignment horizontal="center"/>
      <protection locked="0"/>
    </xf>
    <xf numFmtId="0" fontId="22"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 fillId="2" borderId="0" xfId="0" applyFont="1" applyFill="1" applyProtection="1">
      <protection locked="0"/>
    </xf>
    <xf numFmtId="0" fontId="22" fillId="2" borderId="0" xfId="0" applyFont="1" applyFill="1" applyAlignment="1" applyProtection="1">
      <alignment horizontal="center"/>
      <protection locked="0"/>
    </xf>
    <xf numFmtId="0" fontId="0" fillId="2" borderId="0" xfId="0" applyFill="1" applyAlignment="1" applyProtection="1">
      <protection locked="0"/>
    </xf>
    <xf numFmtId="0" fontId="23" fillId="2" borderId="0" xfId="0" applyFont="1" applyFill="1" applyProtection="1">
      <protection locked="0"/>
    </xf>
    <xf numFmtId="0" fontId="0" fillId="2" borderId="0" xfId="0" applyFill="1" applyBorder="1" applyAlignment="1" applyProtection="1">
      <alignment horizontal="center"/>
      <protection locked="0"/>
    </xf>
    <xf numFmtId="2" fontId="10" fillId="2" borderId="0" xfId="0" applyNumberFormat="1" applyFont="1" applyFill="1" applyAlignment="1" applyProtection="1">
      <alignment horizontal="center"/>
      <protection locked="0"/>
    </xf>
    <xf numFmtId="2" fontId="17" fillId="2" borderId="0" xfId="0" applyNumberFormat="1" applyFont="1" applyFill="1" applyBorder="1" applyAlignment="1" applyProtection="1">
      <alignment horizontal="center"/>
      <protection locked="0"/>
    </xf>
    <xf numFmtId="165" fontId="17" fillId="2" borderId="0" xfId="0" applyNumberFormat="1" applyFont="1" applyFill="1" applyBorder="1" applyAlignment="1" applyProtection="1">
      <alignment horizontal="center"/>
      <protection locked="0"/>
    </xf>
    <xf numFmtId="2" fontId="30" fillId="2" borderId="0" xfId="0" applyNumberFormat="1" applyFont="1" applyFill="1" applyAlignment="1" applyProtection="1">
      <alignment horizontal="left"/>
      <protection locked="0"/>
    </xf>
    <xf numFmtId="1" fontId="17" fillId="2" borderId="0" xfId="1" applyNumberFormat="1" applyFont="1" applyFill="1" applyAlignment="1" applyProtection="1">
      <alignment horizontal="center"/>
      <protection locked="0"/>
    </xf>
    <xf numFmtId="1" fontId="1" fillId="2" borderId="0" xfId="1" applyNumberFormat="1" applyFont="1" applyFill="1" applyBorder="1" applyAlignment="1" applyProtection="1">
      <alignment horizontal="center"/>
      <protection locked="0"/>
    </xf>
    <xf numFmtId="10" fontId="17" fillId="2" borderId="0" xfId="3" applyNumberFormat="1" applyFont="1" applyFill="1" applyAlignment="1" applyProtection="1">
      <alignment horizontal="center"/>
      <protection locked="0"/>
    </xf>
    <xf numFmtId="169" fontId="17" fillId="2" borderId="0" xfId="1" applyNumberFormat="1" applyFont="1" applyFill="1" applyAlignment="1" applyProtection="1">
      <alignment horizontal="center"/>
      <protection locked="0"/>
    </xf>
    <xf numFmtId="0" fontId="0" fillId="2" borderId="0" xfId="0" applyFill="1" applyAlignment="1" applyProtection="1">
      <alignment horizontal="right"/>
      <protection locked="0"/>
    </xf>
    <xf numFmtId="14" fontId="0" fillId="2" borderId="0" xfId="0" applyNumberFormat="1" applyFill="1" applyProtection="1">
      <protection locked="0"/>
    </xf>
    <xf numFmtId="1" fontId="0" fillId="2" borderId="0" xfId="0" applyNumberFormat="1" applyFill="1" applyProtection="1">
      <protection locked="0"/>
    </xf>
    <xf numFmtId="0" fontId="0" fillId="2" borderId="0" xfId="0" applyNumberFormat="1" applyFill="1" applyProtection="1">
      <protection locked="0"/>
    </xf>
    <xf numFmtId="0" fontId="10" fillId="2" borderId="0" xfId="0" applyFont="1" applyFill="1" applyProtection="1">
      <protection locked="0"/>
    </xf>
    <xf numFmtId="2" fontId="10" fillId="2" borderId="0" xfId="0" applyNumberFormat="1" applyFont="1" applyFill="1" applyProtection="1">
      <protection locked="0"/>
    </xf>
    <xf numFmtId="168" fontId="10" fillId="2" borderId="0" xfId="0" applyNumberFormat="1" applyFont="1" applyFill="1" applyProtection="1">
      <protection locked="0"/>
    </xf>
    <xf numFmtId="0" fontId="18" fillId="2" borderId="0" xfId="0" applyFont="1" applyFill="1" applyBorder="1" applyAlignment="1" applyProtection="1">
      <alignment horizontal="left"/>
      <protection locked="0"/>
    </xf>
    <xf numFmtId="0" fontId="12" fillId="2" borderId="0" xfId="0" applyFont="1" applyFill="1" applyBorder="1" applyAlignment="1" applyProtection="1">
      <alignment horizontal="left"/>
      <protection locked="0"/>
    </xf>
    <xf numFmtId="0" fontId="0" fillId="2" borderId="0" xfId="0" applyFont="1" applyFill="1" applyAlignment="1" applyProtection="1">
      <alignment horizontal="right"/>
      <protection locked="0"/>
    </xf>
    <xf numFmtId="2" fontId="0" fillId="2" borderId="0" xfId="0" applyNumberFormat="1" applyFont="1" applyFill="1" applyAlignment="1" applyProtection="1">
      <alignment horizontal="right"/>
      <protection locked="0"/>
    </xf>
    <xf numFmtId="164" fontId="12" fillId="2" borderId="0" xfId="0" applyNumberFormat="1" applyFont="1" applyFill="1" applyBorder="1" applyAlignment="1" applyProtection="1">
      <alignment horizontal="right"/>
      <protection locked="0"/>
    </xf>
    <xf numFmtId="165" fontId="0" fillId="2" borderId="0" xfId="0" applyNumberFormat="1" applyFont="1" applyFill="1" applyAlignment="1" applyProtection="1">
      <alignment horizontal="right"/>
      <protection locked="0"/>
    </xf>
    <xf numFmtId="0" fontId="36" fillId="2" borderId="0" xfId="0" applyFont="1" applyFill="1" applyBorder="1" applyAlignment="1" applyProtection="1">
      <alignment horizontal="left"/>
      <protection locked="0"/>
    </xf>
    <xf numFmtId="164" fontId="36" fillId="2" borderId="0" xfId="0" applyNumberFormat="1" applyFont="1" applyFill="1" applyBorder="1" applyAlignment="1" applyProtection="1">
      <alignment horizontal="right"/>
      <protection locked="0"/>
    </xf>
    <xf numFmtId="0" fontId="12" fillId="2" borderId="0" xfId="0" applyFont="1" applyFill="1" applyBorder="1" applyProtection="1">
      <protection locked="0"/>
    </xf>
    <xf numFmtId="0" fontId="12" fillId="2" borderId="0" xfId="0" applyFont="1" applyFill="1" applyBorder="1" applyAlignment="1" applyProtection="1">
      <protection locked="0"/>
    </xf>
    <xf numFmtId="0" fontId="37" fillId="2" borderId="0" xfId="0" applyFont="1" applyFill="1" applyProtection="1">
      <protection locked="0"/>
    </xf>
    <xf numFmtId="0" fontId="36" fillId="2" borderId="0" xfId="0" applyFont="1" applyFill="1" applyBorder="1" applyProtection="1">
      <protection locked="0"/>
    </xf>
    <xf numFmtId="0" fontId="35" fillId="2" borderId="0" xfId="0" applyFont="1" applyFill="1" applyBorder="1" applyAlignment="1" applyProtection="1">
      <alignment horizontal="left"/>
      <protection locked="0"/>
    </xf>
    <xf numFmtId="0" fontId="35" fillId="2" borderId="0" xfId="0" applyFont="1" applyFill="1" applyBorder="1" applyProtection="1">
      <protection locked="0"/>
    </xf>
    <xf numFmtId="0" fontId="35" fillId="2" borderId="0" xfId="0" quotePrefix="1" applyFont="1" applyFill="1" applyBorder="1" applyProtection="1">
      <protection locked="0"/>
    </xf>
    <xf numFmtId="0" fontId="35" fillId="2" borderId="0" xfId="0" applyFont="1" applyFill="1" applyBorder="1" applyAlignment="1" applyProtection="1">
      <alignment horizontal="center"/>
      <protection locked="0"/>
    </xf>
    <xf numFmtId="0" fontId="17" fillId="2" borderId="0" xfId="3" applyNumberFormat="1" applyFont="1" applyFill="1" applyAlignment="1" applyProtection="1">
      <alignment horizontal="center"/>
      <protection locked="0"/>
    </xf>
    <xf numFmtId="0" fontId="0" fillId="2" borderId="0" xfId="0" applyFill="1" applyAlignment="1">
      <alignment horizontal="center"/>
    </xf>
    <xf numFmtId="1" fontId="17" fillId="2" borderId="0" xfId="0" applyNumberFormat="1" applyFont="1" applyFill="1" applyAlignment="1" applyProtection="1">
      <alignment horizontal="center"/>
      <protection locked="0"/>
    </xf>
    <xf numFmtId="0" fontId="21" fillId="2" borderId="0" xfId="0" applyFont="1" applyFill="1" applyAlignment="1" applyProtection="1">
      <alignment horizontal="center"/>
      <protection locked="0"/>
    </xf>
    <xf numFmtId="0" fontId="21" fillId="2" borderId="0" xfId="0" applyFont="1" applyFill="1" applyProtection="1">
      <protection locked="0"/>
    </xf>
    <xf numFmtId="0" fontId="21" fillId="2" borderId="0" xfId="0" applyFont="1" applyFill="1" applyBorder="1" applyProtection="1">
      <protection locked="0"/>
    </xf>
    <xf numFmtId="178" fontId="17" fillId="2" borderId="0" xfId="0" applyNumberFormat="1" applyFont="1" applyFill="1" applyAlignment="1" applyProtection="1">
      <alignment horizontal="center"/>
      <protection locked="0"/>
    </xf>
    <xf numFmtId="178" fontId="0" fillId="2" borderId="0" xfId="0" applyNumberFormat="1" applyFill="1" applyAlignment="1" applyProtection="1">
      <alignment horizontal="center"/>
      <protection locked="0"/>
    </xf>
    <xf numFmtId="0" fontId="10" fillId="2" borderId="0" xfId="0" applyFont="1" applyFill="1" applyAlignment="1" applyProtection="1">
      <alignment horizontal="center"/>
      <protection locked="0"/>
    </xf>
    <xf numFmtId="0" fontId="30" fillId="18" borderId="0" xfId="0" applyFont="1" applyFill="1" applyBorder="1" applyAlignment="1" applyProtection="1"/>
    <xf numFmtId="0" fontId="0" fillId="18" borderId="8" xfId="0" applyFill="1" applyBorder="1" applyAlignment="1" applyProtection="1">
      <alignment horizontal="center"/>
    </xf>
    <xf numFmtId="0" fontId="28" fillId="9" borderId="4" xfId="0" applyFont="1" applyFill="1" applyBorder="1" applyAlignment="1" applyProtection="1">
      <alignment vertical="center"/>
    </xf>
    <xf numFmtId="0" fontId="28" fillId="9" borderId="6" xfId="0" applyFont="1" applyFill="1" applyBorder="1" applyAlignment="1" applyProtection="1">
      <alignment vertical="center"/>
    </xf>
    <xf numFmtId="1" fontId="27" fillId="9" borderId="8" xfId="0" applyNumberFormat="1" applyFont="1" applyFill="1" applyBorder="1" applyAlignment="1" applyProtection="1">
      <alignment vertical="center"/>
    </xf>
    <xf numFmtId="0" fontId="27" fillId="9" borderId="8" xfId="0" applyFont="1" applyFill="1" applyBorder="1" applyAlignment="1" applyProtection="1">
      <alignment vertical="center"/>
    </xf>
    <xf numFmtId="0" fontId="27" fillId="9" borderId="8" xfId="0" applyFont="1" applyFill="1" applyBorder="1" applyAlignment="1" applyProtection="1">
      <alignment vertical="center"/>
      <protection locked="0"/>
    </xf>
    <xf numFmtId="0" fontId="49" fillId="9" borderId="4" xfId="0" applyFont="1" applyFill="1" applyBorder="1" applyAlignment="1" applyProtection="1">
      <alignment vertical="top" wrapText="1"/>
    </xf>
    <xf numFmtId="0" fontId="28" fillId="9" borderId="8" xfId="0" applyFont="1" applyFill="1" applyBorder="1" applyAlignment="1" applyProtection="1">
      <alignment vertical="center"/>
    </xf>
    <xf numFmtId="0" fontId="28" fillId="9" borderId="0" xfId="0" applyFont="1" applyFill="1" applyBorder="1" applyProtection="1"/>
    <xf numFmtId="165" fontId="27" fillId="9" borderId="0" xfId="0" applyNumberFormat="1" applyFont="1" applyFill="1" applyBorder="1" applyAlignment="1" applyProtection="1">
      <alignment horizontal="center" vertical="center"/>
      <protection locked="0"/>
    </xf>
    <xf numFmtId="165" fontId="27" fillId="9" borderId="8" xfId="0" applyNumberFormat="1" applyFont="1" applyFill="1" applyBorder="1" applyAlignment="1" applyProtection="1">
      <alignment vertical="center"/>
      <protection locked="0"/>
    </xf>
    <xf numFmtId="0" fontId="27"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xf>
    <xf numFmtId="165" fontId="27" fillId="9" borderId="0" xfId="0" applyNumberFormat="1" applyFont="1" applyFill="1" applyBorder="1" applyAlignment="1" applyProtection="1">
      <alignment vertical="center"/>
      <protection locked="0"/>
    </xf>
    <xf numFmtId="0" fontId="54" fillId="2" borderId="0" xfId="0" applyFont="1" applyFill="1" applyProtection="1">
      <protection locked="0"/>
    </xf>
    <xf numFmtId="0" fontId="26" fillId="9" borderId="2" xfId="0" applyFont="1" applyFill="1" applyBorder="1" applyProtection="1"/>
    <xf numFmtId="0" fontId="0" fillId="9" borderId="9" xfId="0" applyFill="1" applyBorder="1" applyProtection="1"/>
    <xf numFmtId="0" fontId="26" fillId="9" borderId="4" xfId="0" applyFont="1" applyFill="1" applyBorder="1" applyProtection="1"/>
    <xf numFmtId="0" fontId="0" fillId="9" borderId="0" xfId="0" applyFill="1" applyBorder="1" applyProtection="1"/>
    <xf numFmtId="0" fontId="0" fillId="9" borderId="4" xfId="0" applyFill="1" applyBorder="1" applyProtection="1"/>
    <xf numFmtId="0" fontId="26" fillId="9" borderId="6" xfId="0" applyFont="1" applyFill="1" applyBorder="1" applyProtection="1"/>
    <xf numFmtId="165" fontId="27" fillId="9" borderId="8" xfId="0" applyNumberFormat="1" applyFont="1" applyFill="1" applyBorder="1" applyAlignment="1" applyProtection="1">
      <alignment vertical="center"/>
    </xf>
    <xf numFmtId="0" fontId="0" fillId="9" borderId="0" xfId="0" applyFill="1" applyProtection="1"/>
    <xf numFmtId="0" fontId="0" fillId="9" borderId="8" xfId="0" applyFill="1" applyBorder="1" applyProtection="1"/>
    <xf numFmtId="0" fontId="30" fillId="9" borderId="4" xfId="0" applyFont="1" applyFill="1" applyBorder="1" applyProtection="1"/>
    <xf numFmtId="0" fontId="27" fillId="9" borderId="6" xfId="0" applyFont="1" applyFill="1" applyBorder="1" applyProtection="1"/>
    <xf numFmtId="0" fontId="50" fillId="9" borderId="0" xfId="0" applyFont="1" applyFill="1" applyBorder="1" applyAlignment="1" applyProtection="1">
      <alignment horizontal="center"/>
    </xf>
    <xf numFmtId="0" fontId="22" fillId="9" borderId="0" xfId="0" applyFont="1" applyFill="1" applyBorder="1" applyProtection="1"/>
    <xf numFmtId="0" fontId="22" fillId="9" borderId="6" xfId="0" applyFont="1" applyFill="1" applyBorder="1" applyProtection="1"/>
    <xf numFmtId="0" fontId="22" fillId="9" borderId="8" xfId="0" applyFont="1" applyFill="1" applyBorder="1" applyProtection="1"/>
    <xf numFmtId="0" fontId="29" fillId="2" borderId="0" xfId="0" applyFont="1" applyFill="1" applyProtection="1"/>
    <xf numFmtId="0" fontId="0" fillId="18" borderId="0" xfId="0" applyFill="1" applyProtection="1"/>
    <xf numFmtId="165" fontId="13" fillId="2" borderId="5" xfId="0" applyNumberFormat="1" applyFont="1" applyFill="1" applyBorder="1" applyAlignment="1" applyProtection="1">
      <alignment horizontal="center" wrapText="1"/>
    </xf>
    <xf numFmtId="168" fontId="13" fillId="2" borderId="5" xfId="0" applyNumberFormat="1" applyFont="1" applyFill="1" applyBorder="1" applyAlignment="1" applyProtection="1">
      <alignment horizontal="center" wrapText="1"/>
    </xf>
    <xf numFmtId="1" fontId="13" fillId="2" borderId="5" xfId="0" applyNumberFormat="1" applyFont="1" applyFill="1" applyBorder="1" applyAlignment="1" applyProtection="1">
      <alignment horizontal="center" wrapText="1"/>
    </xf>
    <xf numFmtId="165" fontId="16" fillId="2" borderId="5" xfId="0" applyNumberFormat="1" applyFont="1" applyFill="1" applyBorder="1" applyAlignment="1" applyProtection="1">
      <alignment horizontal="center" wrapText="1"/>
    </xf>
    <xf numFmtId="165" fontId="16" fillId="2" borderId="5" xfId="0" applyNumberFormat="1" applyFont="1" applyFill="1" applyBorder="1" applyAlignment="1" applyProtection="1">
      <alignment horizontal="center"/>
    </xf>
    <xf numFmtId="0" fontId="16" fillId="2" borderId="5" xfId="0" applyFont="1" applyFill="1" applyBorder="1" applyAlignment="1" applyProtection="1">
      <alignment horizontal="center" wrapText="1"/>
    </xf>
    <xf numFmtId="171" fontId="16" fillId="2" borderId="5" xfId="0" applyNumberFormat="1" applyFont="1" applyFill="1" applyBorder="1" applyAlignment="1" applyProtection="1">
      <alignment horizontal="center" wrapText="1"/>
    </xf>
    <xf numFmtId="8" fontId="16" fillId="2" borderId="5" xfId="0" applyNumberFormat="1" applyFont="1" applyFill="1" applyBorder="1" applyAlignment="1" applyProtection="1">
      <alignment horizontal="center" wrapText="1"/>
    </xf>
    <xf numFmtId="2" fontId="16" fillId="2" borderId="5" xfId="3" applyNumberFormat="1" applyFont="1" applyFill="1" applyBorder="1" applyAlignment="1" applyProtection="1">
      <alignment horizontal="center" wrapText="1"/>
    </xf>
    <xf numFmtId="171" fontId="16" fillId="2" borderId="5" xfId="1" applyNumberFormat="1" applyFont="1" applyFill="1" applyBorder="1" applyAlignment="1" applyProtection="1">
      <alignment horizontal="center" wrapText="1"/>
    </xf>
    <xf numFmtId="169" fontId="13" fillId="2" borderId="5" xfId="0" applyNumberFormat="1" applyFont="1" applyFill="1" applyBorder="1" applyAlignment="1" applyProtection="1">
      <alignment horizontal="center" wrapText="1"/>
    </xf>
    <xf numFmtId="171" fontId="13" fillId="2" borderId="5" xfId="0" applyNumberFormat="1" applyFont="1" applyFill="1" applyBorder="1" applyAlignment="1" applyProtection="1">
      <alignment horizontal="center" wrapText="1"/>
    </xf>
    <xf numFmtId="1" fontId="16" fillId="2" borderId="5" xfId="3" applyNumberFormat="1" applyFont="1" applyFill="1" applyBorder="1" applyAlignment="1" applyProtection="1">
      <alignment horizontal="center" wrapText="1"/>
    </xf>
    <xf numFmtId="9" fontId="16" fillId="2" borderId="5" xfId="3" applyFont="1" applyFill="1" applyBorder="1" applyAlignment="1" applyProtection="1">
      <alignment horizontal="center" wrapText="1"/>
    </xf>
    <xf numFmtId="165" fontId="13" fillId="2" borderId="5" xfId="0" applyNumberFormat="1" applyFont="1" applyFill="1" applyBorder="1" applyAlignment="1" applyProtection="1">
      <alignment horizontal="center" wrapText="1"/>
      <protection locked="0"/>
    </xf>
    <xf numFmtId="14" fontId="13" fillId="2" borderId="5" xfId="0" applyNumberFormat="1" applyFont="1" applyFill="1" applyBorder="1" applyAlignment="1" applyProtection="1">
      <alignment horizontal="center" wrapText="1"/>
      <protection locked="0"/>
    </xf>
    <xf numFmtId="1" fontId="13" fillId="2" borderId="5" xfId="0" applyNumberFormat="1" applyFont="1" applyFill="1" applyBorder="1" applyAlignment="1" applyProtection="1">
      <alignment horizontal="center" wrapText="1"/>
      <protection locked="0"/>
    </xf>
    <xf numFmtId="168" fontId="13" fillId="2" borderId="5" xfId="0" applyNumberFormat="1" applyFont="1" applyFill="1" applyBorder="1" applyAlignment="1" applyProtection="1">
      <alignment horizontal="center" wrapText="1"/>
      <protection locked="0"/>
    </xf>
    <xf numFmtId="0" fontId="10" fillId="2" borderId="0" xfId="0" applyFont="1" applyFill="1"/>
    <xf numFmtId="0" fontId="0" fillId="2" borderId="0" xfId="0" applyFill="1" applyAlignment="1"/>
    <xf numFmtId="0" fontId="0" fillId="2" borderId="0" xfId="0" applyFont="1" applyFill="1" applyAlignment="1"/>
    <xf numFmtId="0" fontId="0" fillId="2" borderId="0" xfId="0" applyFill="1" applyAlignment="1">
      <alignment horizontal="left" wrapText="1"/>
    </xf>
    <xf numFmtId="0" fontId="0" fillId="2" borderId="0" xfId="0" applyFill="1" applyAlignment="1">
      <alignment wrapText="1"/>
    </xf>
    <xf numFmtId="0" fontId="0" fillId="2" borderId="0" xfId="0" applyFont="1" applyFill="1"/>
    <xf numFmtId="0" fontId="0" fillId="2" borderId="0" xfId="0" applyFill="1" applyAlignment="1">
      <alignment wrapText="1"/>
    </xf>
    <xf numFmtId="0" fontId="28" fillId="9" borderId="4" xfId="0" applyFont="1" applyFill="1" applyBorder="1" applyAlignment="1" applyProtection="1">
      <alignment vertical="top"/>
    </xf>
    <xf numFmtId="0" fontId="27" fillId="9" borderId="4" xfId="0" applyFont="1" applyFill="1" applyBorder="1" applyAlignment="1" applyProtection="1">
      <alignment vertical="top"/>
    </xf>
    <xf numFmtId="0" fontId="30" fillId="0" borderId="0" xfId="0" applyFont="1" applyFill="1" applyBorder="1" applyAlignment="1" applyProtection="1"/>
    <xf numFmtId="0" fontId="30" fillId="0" borderId="0" xfId="0" applyFont="1" applyFill="1" applyBorder="1" applyProtection="1"/>
    <xf numFmtId="9" fontId="22" fillId="0" borderId="0" xfId="0" applyNumberFormat="1" applyFont="1"/>
    <xf numFmtId="169" fontId="22" fillId="0" borderId="0" xfId="0" applyNumberFormat="1" applyFont="1"/>
    <xf numFmtId="0" fontId="58" fillId="0" borderId="0" xfId="0" applyFont="1" applyFill="1" applyBorder="1" applyProtection="1"/>
    <xf numFmtId="0" fontId="22" fillId="0" borderId="0" xfId="0" applyFont="1" applyFill="1" applyBorder="1" applyAlignment="1" applyProtection="1"/>
    <xf numFmtId="0" fontId="22" fillId="0" borderId="0" xfId="0" applyFont="1" applyFill="1" applyBorder="1" applyProtection="1"/>
    <xf numFmtId="0" fontId="30" fillId="9" borderId="0" xfId="0" applyFont="1" applyFill="1" applyBorder="1"/>
    <xf numFmtId="0" fontId="47" fillId="23" borderId="4" xfId="7" applyFont="1" applyFill="1" applyBorder="1" applyProtection="1"/>
    <xf numFmtId="0" fontId="46" fillId="23" borderId="0" xfId="7" applyFont="1" applyFill="1" applyBorder="1" applyAlignment="1" applyProtection="1">
      <alignment horizontal="center" wrapText="1"/>
    </xf>
    <xf numFmtId="0" fontId="46" fillId="23" borderId="0" xfId="7" applyFont="1" applyFill="1" applyBorder="1" applyProtection="1"/>
    <xf numFmtId="0" fontId="46" fillId="22" borderId="0" xfId="7" applyFont="1" applyFill="1" applyBorder="1" applyProtection="1"/>
    <xf numFmtId="0" fontId="59" fillId="2" borderId="0" xfId="0" applyFont="1" applyFill="1" applyProtection="1">
      <protection locked="0"/>
    </xf>
    <xf numFmtId="0" fontId="13" fillId="4" borderId="0" xfId="0" applyFont="1" applyFill="1" applyBorder="1" applyProtection="1"/>
    <xf numFmtId="0" fontId="39" fillId="4" borderId="2" xfId="0" applyFont="1" applyFill="1" applyBorder="1" applyProtection="1">
      <protection locked="0"/>
    </xf>
    <xf numFmtId="0" fontId="13" fillId="4" borderId="9" xfId="0" applyFont="1" applyFill="1" applyBorder="1" applyProtection="1"/>
    <xf numFmtId="0" fontId="0" fillId="4" borderId="3" xfId="0" applyFill="1" applyBorder="1" applyProtection="1">
      <protection locked="0"/>
    </xf>
    <xf numFmtId="0" fontId="0" fillId="4" borderId="5" xfId="0" applyFill="1" applyBorder="1" applyProtection="1">
      <protection locked="0"/>
    </xf>
    <xf numFmtId="169" fontId="16" fillId="6" borderId="3" xfId="0" applyNumberFormat="1" applyFont="1" applyFill="1" applyBorder="1" applyAlignment="1" applyProtection="1">
      <alignment horizontal="center"/>
      <protection locked="0"/>
    </xf>
    <xf numFmtId="169" fontId="16" fillId="6" borderId="5" xfId="0" applyNumberFormat="1" applyFont="1" applyFill="1" applyBorder="1" applyAlignment="1" applyProtection="1">
      <alignment horizontal="center"/>
      <protection locked="0"/>
    </xf>
    <xf numFmtId="169" fontId="16" fillId="6" borderId="7" xfId="0" applyNumberFormat="1" applyFont="1" applyFill="1" applyBorder="1" applyAlignment="1" applyProtection="1">
      <alignment horizontal="center"/>
      <protection locked="0"/>
    </xf>
    <xf numFmtId="169" fontId="16" fillId="2" borderId="5" xfId="0" applyNumberFormat="1" applyFont="1" applyFill="1" applyBorder="1" applyAlignment="1" applyProtection="1">
      <alignment horizontal="center"/>
      <protection locked="0"/>
    </xf>
    <xf numFmtId="0" fontId="16" fillId="4" borderId="5" xfId="0" applyFont="1" applyFill="1" applyBorder="1" applyProtection="1">
      <protection locked="0"/>
    </xf>
    <xf numFmtId="171" fontId="16" fillId="2" borderId="5" xfId="0" applyNumberFormat="1" applyFont="1" applyFill="1" applyBorder="1" applyAlignment="1" applyProtection="1">
      <alignment horizontal="center"/>
      <protection locked="0"/>
    </xf>
    <xf numFmtId="168" fontId="16" fillId="2" borderId="5" xfId="0" applyNumberFormat="1" applyFont="1" applyFill="1" applyBorder="1" applyAlignment="1" applyProtection="1">
      <alignment horizontal="center"/>
      <protection locked="0"/>
    </xf>
    <xf numFmtId="0" fontId="27" fillId="9" borderId="0" xfId="0" applyFont="1" applyFill="1" applyBorder="1" applyAlignment="1" applyProtection="1">
      <alignment horizontal="center"/>
      <protection locked="0"/>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center"/>
    </xf>
    <xf numFmtId="165" fontId="27" fillId="2" borderId="0" xfId="0" applyNumberFormat="1" applyFont="1" applyFill="1" applyBorder="1" applyAlignment="1" applyProtection="1">
      <alignment horizontal="center" vertical="center"/>
    </xf>
    <xf numFmtId="0" fontId="28" fillId="9" borderId="4" xfId="0" applyFont="1" applyFill="1" applyBorder="1" applyAlignment="1" applyProtection="1">
      <alignment horizontal="left" vertical="top"/>
    </xf>
    <xf numFmtId="165" fontId="27" fillId="9" borderId="0" xfId="0" applyNumberFormat="1" applyFont="1" applyFill="1" applyBorder="1" applyAlignment="1" applyProtection="1">
      <alignment horizontal="center" vertical="center"/>
    </xf>
    <xf numFmtId="0" fontId="57" fillId="9" borderId="4" xfId="0" applyFont="1" applyFill="1" applyBorder="1" applyAlignment="1" applyProtection="1">
      <alignment horizontal="center" vertical="center" wrapText="1"/>
    </xf>
    <xf numFmtId="0" fontId="57" fillId="9" borderId="0" xfId="0" applyFont="1" applyFill="1" applyBorder="1" applyAlignment="1" applyProtection="1">
      <alignment horizontal="center" vertical="center" wrapText="1"/>
    </xf>
    <xf numFmtId="0" fontId="0" fillId="2" borderId="0" xfId="0" applyFill="1" applyAlignment="1" applyProtection="1">
      <alignment horizontal="center"/>
      <protection locked="0"/>
    </xf>
    <xf numFmtId="0" fontId="13" fillId="6" borderId="4" xfId="0" applyFont="1" applyFill="1" applyBorder="1" applyAlignment="1" applyProtection="1">
      <alignment horizontal="left"/>
    </xf>
    <xf numFmtId="0" fontId="0" fillId="6" borderId="0" xfId="0" applyFill="1" applyBorder="1" applyAlignment="1">
      <alignment horizontal="left"/>
    </xf>
    <xf numFmtId="0" fontId="0" fillId="6" borderId="0" xfId="0" applyFill="1" applyAlignment="1">
      <alignment horizontal="left"/>
    </xf>
    <xf numFmtId="0" fontId="59" fillId="2" borderId="0" xfId="0" applyFont="1" applyFill="1" applyProtection="1"/>
    <xf numFmtId="0" fontId="43" fillId="2" borderId="0" xfId="0" applyFont="1" applyFill="1" applyAlignment="1" applyProtection="1">
      <alignment vertical="center"/>
    </xf>
    <xf numFmtId="0" fontId="27" fillId="2"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3" fontId="27" fillId="0" borderId="0" xfId="0" applyNumberFormat="1" applyFont="1" applyFill="1" applyBorder="1" applyAlignment="1" applyProtection="1">
      <alignment horizontal="center" vertical="center"/>
    </xf>
    <xf numFmtId="1" fontId="27" fillId="0" borderId="0" xfId="0" applyNumberFormat="1" applyFont="1" applyFill="1" applyBorder="1" applyAlignment="1" applyProtection="1">
      <alignment horizontal="center" vertical="center"/>
    </xf>
    <xf numFmtId="165" fontId="27" fillId="9" borderId="0" xfId="0" applyNumberFormat="1" applyFont="1" applyFill="1" applyBorder="1" applyAlignment="1" applyProtection="1">
      <alignment vertical="center"/>
    </xf>
    <xf numFmtId="0" fontId="30" fillId="2" borderId="0" xfId="0" applyFont="1" applyFill="1" applyAlignment="1" applyProtection="1">
      <alignment horizontal="center"/>
    </xf>
    <xf numFmtId="3" fontId="30" fillId="2" borderId="0" xfId="5" applyNumberFormat="1" applyFont="1" applyFill="1" applyBorder="1" applyAlignment="1" applyProtection="1">
      <alignment horizontal="center"/>
    </xf>
    <xf numFmtId="2" fontId="0" fillId="2" borderId="0" xfId="0" applyNumberFormat="1" applyFill="1" applyProtection="1"/>
    <xf numFmtId="11" fontId="0" fillId="2" borderId="0" xfId="0" applyNumberFormat="1" applyFill="1" applyProtection="1"/>
    <xf numFmtId="0" fontId="30" fillId="2" borderId="0" xfId="0" applyFont="1" applyFill="1" applyProtection="1"/>
    <xf numFmtId="165" fontId="30" fillId="2" borderId="0" xfId="0" applyNumberFormat="1" applyFont="1" applyFill="1" applyAlignment="1" applyProtection="1">
      <alignment horizontal="center"/>
    </xf>
    <xf numFmtId="165" fontId="0" fillId="2" borderId="0" xfId="0" applyNumberFormat="1" applyFill="1" applyProtection="1"/>
    <xf numFmtId="0" fontId="16" fillId="2" borderId="0" xfId="0" applyFont="1" applyFill="1" applyAlignment="1" applyProtection="1">
      <alignment horizontal="center"/>
      <protection locked="0"/>
    </xf>
    <xf numFmtId="0" fontId="61" fillId="2" borderId="0" xfId="0" applyFont="1" applyFill="1" applyProtection="1">
      <protection locked="0"/>
    </xf>
    <xf numFmtId="0" fontId="47" fillId="23" borderId="0" xfId="7" applyFont="1" applyFill="1" applyBorder="1" applyAlignment="1" applyProtection="1">
      <alignment horizontal="center" wrapText="1"/>
    </xf>
    <xf numFmtId="0" fontId="47" fillId="23" borderId="0" xfId="7" applyFont="1" applyFill="1" applyBorder="1" applyAlignment="1" applyProtection="1">
      <alignment wrapText="1"/>
    </xf>
    <xf numFmtId="0" fontId="22" fillId="27" borderId="0" xfId="0" applyFont="1" applyFill="1"/>
    <xf numFmtId="1" fontId="22" fillId="27" borderId="0" xfId="0" applyNumberFormat="1" applyFont="1" applyFill="1"/>
    <xf numFmtId="165" fontId="22" fillId="27" borderId="0" xfId="0" applyNumberFormat="1" applyFont="1" applyFill="1"/>
    <xf numFmtId="0" fontId="2" fillId="26" borderId="28" xfId="0" applyFont="1" applyFill="1" applyBorder="1" applyAlignment="1">
      <alignment vertical="top" wrapText="1"/>
    </xf>
    <xf numFmtId="0" fontId="1" fillId="25" borderId="29" xfId="0" applyFont="1" applyFill="1" applyBorder="1" applyAlignment="1">
      <alignment vertical="top" wrapText="1"/>
    </xf>
    <xf numFmtId="0" fontId="39" fillId="2" borderId="0" xfId="0" applyFont="1" applyFill="1"/>
    <xf numFmtId="1" fontId="22" fillId="2" borderId="0" xfId="0" applyNumberFormat="1" applyFont="1" applyFill="1"/>
    <xf numFmtId="9" fontId="30" fillId="18" borderId="0" xfId="3" applyNumberFormat="1" applyFont="1" applyFill="1" applyBorder="1" applyAlignment="1" applyProtection="1">
      <alignment horizontal="center"/>
    </xf>
    <xf numFmtId="0" fontId="27" fillId="9" borderId="0" xfId="0" applyFont="1" applyFill="1" applyBorder="1" applyAlignment="1" applyProtection="1">
      <alignment horizontal="left"/>
    </xf>
    <xf numFmtId="0" fontId="22" fillId="27" borderId="0" xfId="0" applyFont="1" applyFill="1" applyProtection="1">
      <protection locked="0"/>
    </xf>
    <xf numFmtId="0" fontId="66" fillId="2" borderId="0" xfId="0" applyFont="1" applyFill="1"/>
    <xf numFmtId="0" fontId="87" fillId="45" borderId="44" xfId="11" applyFont="1" applyFill="1" applyBorder="1" applyAlignment="1" applyProtection="1">
      <alignment horizontal="left"/>
      <protection locked="0"/>
    </xf>
    <xf numFmtId="165" fontId="87" fillId="45" borderId="0" xfId="11" applyNumberFormat="1" applyFont="1" applyFill="1" applyBorder="1" applyAlignment="1" applyProtection="1">
      <protection locked="0"/>
    </xf>
    <xf numFmtId="3" fontId="68" fillId="0" borderId="10" xfId="11" applyNumberFormat="1" applyFont="1" applyFill="1" applyBorder="1" applyProtection="1"/>
    <xf numFmtId="0" fontId="86" fillId="2" borderId="44" xfId="11" applyFont="1" applyFill="1" applyBorder="1" applyAlignment="1" applyProtection="1">
      <alignment wrapText="1"/>
    </xf>
    <xf numFmtId="0" fontId="86" fillId="2" borderId="32" xfId="11" applyFont="1" applyFill="1" applyBorder="1" applyAlignment="1" applyProtection="1">
      <alignment wrapText="1"/>
    </xf>
    <xf numFmtId="0" fontId="0" fillId="2" borderId="44" xfId="0" applyFill="1" applyBorder="1"/>
    <xf numFmtId="165" fontId="87" fillId="45" borderId="32" xfId="11" applyNumberFormat="1" applyFont="1" applyFill="1" applyBorder="1" applyAlignment="1" applyProtection="1">
      <alignment horizontal="center"/>
      <protection locked="0"/>
    </xf>
    <xf numFmtId="165" fontId="87" fillId="45" borderId="44" xfId="11" applyNumberFormat="1" applyFont="1" applyFill="1" applyBorder="1" applyAlignment="1" applyProtection="1">
      <alignment horizontal="center"/>
      <protection locked="0"/>
    </xf>
    <xf numFmtId="165" fontId="87" fillId="45" borderId="34" xfId="11" applyNumberFormat="1" applyFont="1" applyFill="1" applyBorder="1" applyAlignment="1" applyProtection="1">
      <alignment horizontal="center"/>
      <protection locked="0"/>
    </xf>
    <xf numFmtId="0" fontId="0" fillId="2" borderId="34" xfId="0" applyFill="1" applyBorder="1"/>
    <xf numFmtId="0" fontId="69" fillId="2" borderId="44" xfId="11" applyFont="1" applyFill="1" applyBorder="1" applyProtection="1"/>
    <xf numFmtId="0" fontId="69" fillId="2" borderId="32" xfId="11" applyFont="1" applyFill="1" applyBorder="1" applyProtection="1"/>
    <xf numFmtId="0" fontId="69" fillId="2" borderId="34" xfId="11" applyFont="1" applyFill="1" applyBorder="1" applyProtection="1"/>
    <xf numFmtId="0" fontId="10" fillId="2" borderId="32" xfId="0" applyFont="1" applyFill="1" applyBorder="1"/>
    <xf numFmtId="0" fontId="16" fillId="2" borderId="0" xfId="0" applyFont="1" applyFill="1" applyAlignment="1" applyProtection="1">
      <alignment vertical="center"/>
      <protection locked="0"/>
    </xf>
    <xf numFmtId="165" fontId="87" fillId="45" borderId="33" xfId="11" applyNumberFormat="1" applyFont="1" applyFill="1" applyBorder="1" applyAlignment="1" applyProtection="1">
      <alignment horizontal="center"/>
      <protection locked="0"/>
    </xf>
    <xf numFmtId="0" fontId="69" fillId="2" borderId="33" xfId="11" applyFont="1" applyFill="1" applyBorder="1" applyProtection="1"/>
    <xf numFmtId="0" fontId="61" fillId="2" borderId="0" xfId="0" applyFont="1" applyFill="1"/>
    <xf numFmtId="0" fontId="27" fillId="2" borderId="0" xfId="0" applyFont="1" applyFill="1" applyBorder="1" applyAlignment="1" applyProtection="1">
      <alignment horizontal="center"/>
      <protection locked="0"/>
    </xf>
    <xf numFmtId="0" fontId="27" fillId="2" borderId="0" xfId="0" applyFont="1" applyFill="1" applyBorder="1" applyAlignment="1" applyProtection="1">
      <alignment horizontal="center"/>
    </xf>
    <xf numFmtId="0" fontId="0" fillId="0" borderId="0" xfId="0" applyFill="1"/>
    <xf numFmtId="165" fontId="27" fillId="9" borderId="0" xfId="0" applyNumberFormat="1" applyFont="1" applyFill="1" applyBorder="1" applyAlignment="1" applyProtection="1">
      <alignment horizontal="left" vertical="center"/>
      <protection locked="0"/>
    </xf>
    <xf numFmtId="0" fontId="22" fillId="2" borderId="0" xfId="0" applyFont="1" applyFill="1" applyAlignment="1">
      <alignment horizontal="center"/>
    </xf>
    <xf numFmtId="0" fontId="22" fillId="2" borderId="34" xfId="0" applyFont="1" applyFill="1" applyBorder="1"/>
    <xf numFmtId="0" fontId="22" fillId="2" borderId="34" xfId="0" applyFont="1" applyFill="1" applyBorder="1" applyAlignment="1">
      <alignment horizontal="center"/>
    </xf>
    <xf numFmtId="165" fontId="22" fillId="2" borderId="34" xfId="0" applyNumberFormat="1" applyFont="1" applyFill="1" applyBorder="1" applyAlignment="1">
      <alignment horizontal="center"/>
    </xf>
    <xf numFmtId="0" fontId="22" fillId="2" borderId="10" xfId="0" applyFont="1" applyFill="1" applyBorder="1" applyAlignment="1">
      <alignment horizontal="center"/>
    </xf>
    <xf numFmtId="0" fontId="22" fillId="2" borderId="12" xfId="0" applyFont="1" applyFill="1" applyBorder="1" applyAlignment="1">
      <alignment horizontal="center"/>
    </xf>
    <xf numFmtId="0" fontId="22" fillId="2" borderId="10" xfId="0" applyFont="1" applyFill="1" applyBorder="1" applyAlignment="1">
      <alignment horizontal="left"/>
    </xf>
    <xf numFmtId="0" fontId="22" fillId="2" borderId="12" xfId="0" applyFont="1" applyFill="1" applyBorder="1" applyAlignment="1">
      <alignment horizontal="left"/>
    </xf>
    <xf numFmtId="0" fontId="0" fillId="0" borderId="12" xfId="0" applyBorder="1" applyAlignment="1">
      <alignment horizontal="left"/>
    </xf>
    <xf numFmtId="0" fontId="58" fillId="2" borderId="0" xfId="0" applyFont="1" applyFill="1"/>
    <xf numFmtId="0" fontId="22" fillId="2" borderId="34" xfId="0" applyFont="1" applyFill="1" applyBorder="1" applyProtection="1">
      <protection locked="0"/>
    </xf>
    <xf numFmtId="165" fontId="22" fillId="2" borderId="34" xfId="0" applyNumberFormat="1" applyFont="1" applyFill="1" applyBorder="1" applyAlignment="1" applyProtection="1">
      <alignment horizontal="center"/>
      <protection locked="0"/>
    </xf>
    <xf numFmtId="0" fontId="61" fillId="2" borderId="0" xfId="0" applyFont="1" applyFill="1" applyAlignment="1" applyProtection="1">
      <alignment horizontal="center" vertical="center"/>
      <protection locked="0"/>
    </xf>
    <xf numFmtId="0" fontId="91" fillId="2" borderId="0" xfId="0" applyFont="1" applyFill="1" applyAlignment="1" applyProtection="1">
      <alignment horizontal="center"/>
      <protection locked="0"/>
    </xf>
    <xf numFmtId="0" fontId="92" fillId="2" borderId="0" xfId="0" applyFont="1" applyFill="1" applyProtection="1">
      <protection locked="0"/>
    </xf>
    <xf numFmtId="0" fontId="0" fillId="2" borderId="0" xfId="0" applyFill="1" applyBorder="1"/>
    <xf numFmtId="0" fontId="65" fillId="2" borderId="0" xfId="2" quotePrefix="1" applyFont="1" applyFill="1" applyAlignment="1" applyProtection="1">
      <alignment vertical="top" wrapText="1"/>
    </xf>
    <xf numFmtId="0" fontId="0" fillId="2" borderId="46" xfId="0" applyFill="1" applyBorder="1" applyAlignment="1">
      <alignment horizontal="center"/>
    </xf>
    <xf numFmtId="0" fontId="0" fillId="2" borderId="44" xfId="0" applyFill="1" applyBorder="1" applyAlignment="1">
      <alignment horizontal="center"/>
    </xf>
    <xf numFmtId="1" fontId="22" fillId="27" borderId="0" xfId="0" applyNumberFormat="1" applyFont="1" applyFill="1" applyAlignment="1">
      <alignment horizontal="left"/>
    </xf>
    <xf numFmtId="1" fontId="0" fillId="2" borderId="0" xfId="0" applyNumberFormat="1" applyFont="1" applyFill="1" applyAlignment="1">
      <alignment vertical="center"/>
    </xf>
    <xf numFmtId="0" fontId="22" fillId="27" borderId="34" xfId="0" applyFont="1" applyFill="1" applyBorder="1" applyProtection="1">
      <protection locked="0"/>
    </xf>
    <xf numFmtId="0" fontId="22" fillId="27" borderId="34" xfId="0" applyFont="1" applyFill="1" applyBorder="1" applyAlignment="1" applyProtection="1">
      <alignment horizontal="center"/>
      <protection locked="0"/>
    </xf>
    <xf numFmtId="165" fontId="87" fillId="45" borderId="32" xfId="11" applyNumberFormat="1" applyFont="1" applyFill="1" applyBorder="1" applyAlignment="1" applyProtection="1">
      <alignment horizontal="center"/>
    </xf>
    <xf numFmtId="0" fontId="10" fillId="2" borderId="34" xfId="0" applyFont="1" applyFill="1" applyBorder="1" applyProtection="1"/>
    <xf numFmtId="165" fontId="87" fillId="45" borderId="34" xfId="11" applyNumberFormat="1" applyFont="1" applyFill="1" applyBorder="1" applyAlignment="1" applyProtection="1">
      <alignment horizontal="center"/>
    </xf>
    <xf numFmtId="165" fontId="87" fillId="45" borderId="34" xfId="52" applyNumberFormat="1" applyFont="1" applyFill="1" applyBorder="1" applyAlignment="1" applyProtection="1"/>
    <xf numFmtId="0" fontId="0" fillId="2" borderId="34" xfId="0" applyFill="1" applyBorder="1" applyProtection="1"/>
    <xf numFmtId="165" fontId="88" fillId="2" borderId="34" xfId="11" applyNumberFormat="1" applyFont="1" applyFill="1" applyBorder="1" applyAlignment="1" applyProtection="1">
      <alignment horizontal="center"/>
    </xf>
    <xf numFmtId="0" fontId="89" fillId="2" borderId="0" xfId="0" applyFont="1" applyFill="1"/>
    <xf numFmtId="0" fontId="27" fillId="2" borderId="0" xfId="0" applyFont="1" applyFill="1" applyBorder="1" applyAlignment="1" applyProtection="1">
      <alignment horizontal="center"/>
      <protection locked="0"/>
    </xf>
    <xf numFmtId="0" fontId="30" fillId="2" borderId="0" xfId="0" applyFont="1" applyFill="1" applyAlignment="1" applyProtection="1">
      <alignment horizontal="center"/>
      <protection locked="0"/>
    </xf>
    <xf numFmtId="165" fontId="27"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0" fillId="2" borderId="0" xfId="5" applyFont="1" applyFill="1" applyBorder="1" applyAlignment="1" applyProtection="1">
      <alignment horizontal="center"/>
      <protection locked="0"/>
    </xf>
    <xf numFmtId="3" fontId="27" fillId="2" borderId="0" xfId="0" applyNumberFormat="1" applyFont="1" applyFill="1" applyBorder="1" applyAlignment="1" applyProtection="1">
      <alignment horizontal="center"/>
      <protection locked="0"/>
    </xf>
    <xf numFmtId="0" fontId="86" fillId="2" borderId="10" xfId="11" applyFont="1" applyFill="1" applyBorder="1" applyAlignment="1" applyProtection="1">
      <alignment horizontal="left"/>
    </xf>
    <xf numFmtId="0" fontId="22" fillId="2" borderId="0" xfId="0" applyNumberFormat="1" applyFont="1" applyFill="1" applyProtection="1">
      <protection locked="0"/>
    </xf>
    <xf numFmtId="0" fontId="86" fillId="2" borderId="11" xfId="11" applyFont="1" applyFill="1" applyBorder="1" applyAlignment="1" applyProtection="1">
      <alignment horizontal="left"/>
    </xf>
    <xf numFmtId="165" fontId="69" fillId="2" borderId="11" xfId="11" applyNumberFormat="1" applyFont="1" applyFill="1" applyBorder="1" applyAlignment="1" applyProtection="1">
      <alignment horizontal="center"/>
      <protection locked="0"/>
    </xf>
    <xf numFmtId="165" fontId="86" fillId="2" borderId="11" xfId="11" applyNumberFormat="1" applyFont="1" applyFill="1" applyBorder="1" applyAlignment="1" applyProtection="1">
      <alignment horizontal="center"/>
      <protection locked="0"/>
    </xf>
    <xf numFmtId="4" fontId="68" fillId="2" borderId="11" xfId="11" applyNumberFormat="1" applyFont="1" applyFill="1" applyBorder="1" applyAlignment="1" applyProtection="1">
      <alignment horizontal="center"/>
    </xf>
    <xf numFmtId="165" fontId="69" fillId="2" borderId="12" xfId="11" applyNumberFormat="1" applyFont="1" applyFill="1" applyBorder="1" applyAlignment="1" applyProtection="1">
      <alignment horizontal="center"/>
      <protection locked="0"/>
    </xf>
    <xf numFmtId="165" fontId="69" fillId="2" borderId="0" xfId="11" applyNumberFormat="1" applyFont="1" applyFill="1" applyBorder="1" applyAlignment="1" applyProtection="1">
      <alignment horizontal="center"/>
      <protection locked="0"/>
    </xf>
    <xf numFmtId="165" fontId="69" fillId="2" borderId="5" xfId="11" applyNumberFormat="1" applyFont="1" applyFill="1" applyBorder="1" applyAlignment="1" applyProtection="1">
      <alignment horizontal="center"/>
      <protection locked="0"/>
    </xf>
    <xf numFmtId="165" fontId="69" fillId="2" borderId="45" xfId="11" applyNumberFormat="1" applyFont="1" applyFill="1" applyBorder="1" applyAlignment="1" applyProtection="1">
      <alignment horizontal="center"/>
      <protection locked="0"/>
    </xf>
    <xf numFmtId="165" fontId="69" fillId="2" borderId="3" xfId="11" applyNumberFormat="1" applyFont="1" applyFill="1" applyBorder="1" applyAlignment="1" applyProtection="1">
      <alignment horizontal="center"/>
      <protection locked="0"/>
    </xf>
    <xf numFmtId="165" fontId="68" fillId="2" borderId="0" xfId="11" applyNumberFormat="1" applyFont="1" applyFill="1" applyBorder="1" applyAlignment="1" applyProtection="1">
      <alignment horizontal="center"/>
      <protection locked="0"/>
    </xf>
    <xf numFmtId="165" fontId="68" fillId="2" borderId="5" xfId="11" applyNumberFormat="1" applyFont="1" applyFill="1" applyBorder="1" applyAlignment="1" applyProtection="1">
      <alignment horizontal="center"/>
      <protection locked="0"/>
    </xf>
    <xf numFmtId="165" fontId="68" fillId="2" borderId="45" xfId="11" applyNumberFormat="1" applyFont="1" applyFill="1" applyBorder="1" applyAlignment="1" applyProtection="1">
      <alignment horizontal="center"/>
      <protection locked="0"/>
    </xf>
    <xf numFmtId="165" fontId="68" fillId="2" borderId="3" xfId="11" applyNumberFormat="1" applyFont="1" applyFill="1" applyBorder="1" applyAlignment="1" applyProtection="1">
      <alignment horizontal="center"/>
      <protection locked="0"/>
    </xf>
    <xf numFmtId="165" fontId="69" fillId="2" borderId="6" xfId="11" applyNumberFormat="1" applyFont="1" applyFill="1" applyBorder="1" applyAlignment="1" applyProtection="1">
      <alignment horizontal="center"/>
      <protection locked="0"/>
    </xf>
    <xf numFmtId="165" fontId="69" fillId="2" borderId="8" xfId="11" applyNumberFormat="1" applyFont="1" applyFill="1" applyBorder="1" applyAlignment="1" applyProtection="1">
      <alignment horizontal="center"/>
      <protection locked="0"/>
    </xf>
    <xf numFmtId="165" fontId="69" fillId="2" borderId="7" xfId="11" applyNumberFormat="1" applyFont="1" applyFill="1" applyBorder="1" applyAlignment="1" applyProtection="1">
      <alignment horizontal="center"/>
      <protection locked="0"/>
    </xf>
    <xf numFmtId="165" fontId="86" fillId="26" borderId="8" xfId="11" applyNumberFormat="1" applyFont="1" applyFill="1" applyBorder="1" applyAlignment="1" applyProtection="1">
      <alignment horizontal="center" wrapText="1"/>
    </xf>
    <xf numFmtId="165" fontId="69" fillId="2" borderId="0" xfId="11" applyNumberFormat="1" applyFont="1" applyFill="1" applyBorder="1" applyAlignment="1" applyProtection="1">
      <alignment horizontal="center"/>
    </xf>
    <xf numFmtId="165" fontId="69" fillId="2" borderId="5" xfId="11" applyNumberFormat="1" applyFont="1" applyFill="1" applyBorder="1" applyAlignment="1" applyProtection="1">
      <alignment horizontal="center"/>
    </xf>
    <xf numFmtId="165" fontId="69" fillId="2" borderId="11" xfId="11" applyNumberFormat="1" applyFont="1" applyFill="1" applyBorder="1" applyAlignment="1" applyProtection="1">
      <alignment horizontal="center"/>
    </xf>
    <xf numFmtId="165" fontId="69" fillId="2" borderId="12" xfId="11" applyNumberFormat="1" applyFont="1" applyFill="1" applyBorder="1" applyAlignment="1" applyProtection="1">
      <alignment horizontal="center"/>
    </xf>
    <xf numFmtId="165" fontId="87" fillId="45" borderId="11" xfId="52" applyNumberFormat="1" applyFont="1" applyFill="1" applyBorder="1" applyAlignment="1" applyProtection="1">
      <alignment horizontal="center"/>
    </xf>
    <xf numFmtId="4" fontId="69" fillId="2" borderId="11" xfId="11" applyNumberFormat="1" applyFont="1" applyFill="1" applyBorder="1" applyAlignment="1" applyProtection="1">
      <alignment horizontal="center"/>
    </xf>
    <xf numFmtId="0" fontId="29" fillId="9" borderId="0" xfId="0" applyFont="1" applyFill="1" applyBorder="1" applyAlignment="1" applyProtection="1">
      <alignment horizontal="right"/>
    </xf>
    <xf numFmtId="3" fontId="27" fillId="2" borderId="0" xfId="0" applyNumberFormat="1" applyFont="1" applyFill="1" applyBorder="1" applyAlignment="1" applyProtection="1">
      <alignment horizontal="center"/>
    </xf>
    <xf numFmtId="170" fontId="0" fillId="2" borderId="0" xfId="0" applyNumberFormat="1" applyFill="1" applyProtection="1">
      <protection locked="0"/>
    </xf>
    <xf numFmtId="3" fontId="68" fillId="0" borderId="34" xfId="11" applyNumberFormat="1" applyFont="1" applyFill="1" applyBorder="1" applyAlignment="1" applyProtection="1">
      <alignment horizontal="center"/>
    </xf>
    <xf numFmtId="0" fontId="27" fillId="9" borderId="0" xfId="0" applyFont="1" applyFill="1" applyBorder="1" applyAlignment="1" applyProtection="1">
      <alignment horizontal="left"/>
    </xf>
    <xf numFmtId="0" fontId="27" fillId="9" borderId="0" xfId="0" applyFont="1" applyFill="1" applyBorder="1" applyAlignment="1" applyProtection="1">
      <alignment horizontal="center"/>
    </xf>
    <xf numFmtId="0" fontId="27" fillId="13" borderId="53" xfId="0" applyFont="1" applyFill="1" applyBorder="1" applyProtection="1"/>
    <xf numFmtId="0" fontId="27" fillId="9" borderId="54" xfId="0" applyFont="1" applyFill="1" applyBorder="1" applyProtection="1">
      <protection locked="0"/>
    </xf>
    <xf numFmtId="0" fontId="0" fillId="9" borderId="54" xfId="0" applyFill="1" applyBorder="1" applyProtection="1">
      <protection locked="0"/>
    </xf>
    <xf numFmtId="0" fontId="0" fillId="18" borderId="6" xfId="0" applyFill="1" applyBorder="1" applyAlignment="1" applyProtection="1">
      <alignment horizontal="center"/>
    </xf>
    <xf numFmtId="0" fontId="29" fillId="18" borderId="4" xfId="0" applyFont="1" applyFill="1" applyBorder="1" applyProtection="1"/>
    <xf numFmtId="0" fontId="30" fillId="18" borderId="4" xfId="0" applyFont="1" applyFill="1" applyBorder="1" applyProtection="1"/>
    <xf numFmtId="9" fontId="30" fillId="18" borderId="54" xfId="3" applyNumberFormat="1" applyFont="1" applyFill="1" applyBorder="1" applyAlignment="1" applyProtection="1">
      <alignment horizontal="center"/>
    </xf>
    <xf numFmtId="9" fontId="29" fillId="18" borderId="54" xfId="3" applyFont="1" applyFill="1" applyBorder="1" applyAlignment="1" applyProtection="1">
      <alignment horizontal="left"/>
    </xf>
    <xf numFmtId="0" fontId="30" fillId="18" borderId="54" xfId="0" applyFont="1" applyFill="1" applyBorder="1" applyAlignment="1" applyProtection="1">
      <alignment horizontal="center"/>
    </xf>
    <xf numFmtId="0" fontId="27" fillId="0" borderId="0" xfId="0" applyFont="1" applyFill="1" applyBorder="1" applyAlignment="1" applyProtection="1">
      <alignment horizontal="center"/>
      <protection locked="0"/>
    </xf>
    <xf numFmtId="164" fontId="30" fillId="13" borderId="0" xfId="5" applyNumberFormat="1" applyFont="1" applyFill="1" applyBorder="1" applyProtection="1"/>
    <xf numFmtId="0" fontId="30" fillId="10" borderId="53" xfId="4" applyFont="1" applyFill="1" applyBorder="1" applyProtection="1"/>
    <xf numFmtId="164" fontId="27" fillId="10" borderId="53" xfId="0" applyNumberFormat="1" applyFont="1" applyFill="1" applyBorder="1" applyProtection="1"/>
    <xf numFmtId="170" fontId="22" fillId="2" borderId="0" xfId="3" applyNumberFormat="1" applyFont="1" applyFill="1" applyProtection="1"/>
    <xf numFmtId="0" fontId="27" fillId="22" borderId="0" xfId="0" applyFont="1" applyFill="1" applyBorder="1" applyAlignment="1" applyProtection="1">
      <alignment horizontal="center"/>
    </xf>
    <xf numFmtId="172" fontId="27" fillId="13" borderId="53" xfId="0" applyNumberFormat="1" applyFont="1" applyFill="1" applyBorder="1" applyProtection="1"/>
    <xf numFmtId="0" fontId="0" fillId="2" borderId="0" xfId="0" applyFill="1" applyProtection="1"/>
    <xf numFmtId="0" fontId="27" fillId="2" borderId="0" xfId="0" applyFont="1" applyFill="1" applyProtection="1"/>
    <xf numFmtId="0" fontId="27" fillId="9" borderId="0" xfId="0" applyFont="1" applyFill="1" applyProtection="1"/>
    <xf numFmtId="0" fontId="27" fillId="9" borderId="0" xfId="0" applyFont="1" applyFill="1" applyBorder="1" applyAlignment="1" applyProtection="1">
      <alignment horizontal="center"/>
    </xf>
    <xf numFmtId="0" fontId="27" fillId="9" borderId="0" xfId="0" applyFont="1" applyFill="1" applyBorder="1" applyAlignment="1" applyProtection="1">
      <alignment horizontal="left"/>
    </xf>
    <xf numFmtId="0" fontId="27" fillId="9" borderId="4" xfId="0" applyFont="1" applyFill="1" applyBorder="1" applyProtection="1">
      <protection locked="0"/>
    </xf>
    <xf numFmtId="0" fontId="27" fillId="9" borderId="4" xfId="0" applyFont="1" applyFill="1" applyBorder="1" applyProtection="1"/>
    <xf numFmtId="0" fontId="30" fillId="9" borderId="4" xfId="0" applyFont="1" applyFill="1" applyBorder="1" applyProtection="1">
      <protection locked="0"/>
    </xf>
    <xf numFmtId="0" fontId="28" fillId="9" borderId="0" xfId="0" applyFont="1" applyFill="1" applyBorder="1" applyAlignment="1" applyProtection="1">
      <alignment horizontal="center"/>
    </xf>
    <xf numFmtId="165" fontId="27" fillId="9" borderId="0" xfId="0" applyNumberFormat="1" applyFont="1" applyFill="1" applyBorder="1" applyAlignment="1" applyProtection="1">
      <alignment horizontal="center"/>
    </xf>
    <xf numFmtId="164" fontId="27" fillId="4" borderId="0" xfId="0" applyNumberFormat="1" applyFont="1" applyFill="1" applyBorder="1" applyProtection="1"/>
    <xf numFmtId="0" fontId="28" fillId="4" borderId="0" xfId="0" applyFont="1" applyFill="1" applyBorder="1" applyProtection="1"/>
    <xf numFmtId="164" fontId="27" fillId="10" borderId="0" xfId="0" applyNumberFormat="1" applyFont="1" applyFill="1" applyBorder="1" applyProtection="1"/>
    <xf numFmtId="11" fontId="30" fillId="10" borderId="0" xfId="4" applyNumberFormat="1" applyFont="1" applyFill="1" applyBorder="1" applyProtection="1"/>
    <xf numFmtId="164" fontId="27" fillId="4" borderId="0" xfId="0" applyNumberFormat="1" applyFont="1" applyFill="1" applyProtection="1"/>
    <xf numFmtId="0" fontId="28" fillId="4" borderId="58" xfId="0" applyFont="1" applyFill="1" applyBorder="1" applyProtection="1"/>
    <xf numFmtId="0" fontId="27" fillId="4" borderId="58" xfId="0" applyFont="1" applyFill="1" applyBorder="1" applyProtection="1"/>
    <xf numFmtId="0" fontId="28" fillId="11" borderId="58" xfId="0" applyFont="1" applyFill="1" applyBorder="1" applyAlignment="1" applyProtection="1">
      <alignment horizontal="center"/>
    </xf>
    <xf numFmtId="2" fontId="27" fillId="4" borderId="58" xfId="0" applyNumberFormat="1" applyFont="1" applyFill="1" applyBorder="1" applyProtection="1"/>
    <xf numFmtId="0" fontId="27" fillId="2" borderId="0" xfId="0" applyFont="1" applyFill="1" applyBorder="1" applyProtection="1"/>
    <xf numFmtId="9" fontId="22" fillId="0" borderId="0" xfId="0" applyNumberFormat="1" applyFont="1"/>
    <xf numFmtId="0" fontId="28" fillId="9" borderId="0" xfId="0" applyFont="1" applyFill="1" applyBorder="1" applyAlignment="1" applyProtection="1">
      <alignment horizontal="center"/>
    </xf>
    <xf numFmtId="0" fontId="0" fillId="2" borderId="0" xfId="0" applyFill="1" applyProtection="1"/>
    <xf numFmtId="0" fontId="0" fillId="2" borderId="0" xfId="0" applyFill="1" applyProtection="1">
      <protection locked="0"/>
    </xf>
    <xf numFmtId="0" fontId="27" fillId="2" borderId="0" xfId="0" applyFont="1" applyFill="1" applyProtection="1">
      <protection locked="0"/>
    </xf>
    <xf numFmtId="0" fontId="27" fillId="9" borderId="0" xfId="0" applyFont="1" applyFill="1" applyBorder="1" applyProtection="1"/>
    <xf numFmtId="0" fontId="27" fillId="9" borderId="0" xfId="0" applyFont="1" applyFill="1" applyProtection="1"/>
    <xf numFmtId="0" fontId="27" fillId="9" borderId="4" xfId="0" applyFont="1" applyFill="1" applyBorder="1" applyProtection="1">
      <protection locked="0"/>
    </xf>
    <xf numFmtId="0" fontId="27" fillId="9" borderId="0" xfId="0" applyFont="1" applyFill="1" applyBorder="1" applyAlignment="1" applyProtection="1">
      <alignment horizontal="center"/>
    </xf>
    <xf numFmtId="0" fontId="27" fillId="9" borderId="4" xfId="0" applyFont="1" applyFill="1" applyBorder="1" applyProtection="1"/>
    <xf numFmtId="0" fontId="30" fillId="9" borderId="4" xfId="0" applyFont="1" applyFill="1" applyBorder="1" applyProtection="1">
      <protection locked="0"/>
    </xf>
    <xf numFmtId="0" fontId="0" fillId="9" borderId="0" xfId="0" applyFill="1" applyProtection="1"/>
    <xf numFmtId="0" fontId="27" fillId="9" borderId="0" xfId="0" applyFont="1" applyFill="1" applyBorder="1" applyAlignment="1" applyProtection="1">
      <alignment horizontal="left"/>
    </xf>
    <xf numFmtId="0" fontId="30" fillId="2" borderId="0" xfId="0" applyFont="1" applyFill="1" applyProtection="1">
      <protection locked="0"/>
    </xf>
    <xf numFmtId="0" fontId="51" fillId="2" borderId="0" xfId="0" applyFont="1" applyFill="1"/>
    <xf numFmtId="170" fontId="22" fillId="2" borderId="0" xfId="3" applyNumberFormat="1" applyFont="1" applyFill="1" applyProtection="1">
      <protection locked="0"/>
    </xf>
    <xf numFmtId="0" fontId="22" fillId="2" borderId="0" xfId="0" applyFont="1" applyFill="1" applyProtection="1">
      <protection locked="0"/>
    </xf>
    <xf numFmtId="170" fontId="22" fillId="2" borderId="0" xfId="0" applyNumberFormat="1" applyFont="1" applyFill="1" applyProtection="1">
      <protection locked="0"/>
    </xf>
    <xf numFmtId="0" fontId="22" fillId="2" borderId="0" xfId="0" applyFont="1" applyFill="1"/>
    <xf numFmtId="0" fontId="27" fillId="9" borderId="0" xfId="0" applyFont="1" applyFill="1" applyBorder="1" applyAlignment="1" applyProtection="1">
      <alignment horizontal="center"/>
    </xf>
    <xf numFmtId="165" fontId="27" fillId="9" borderId="0" xfId="0" applyNumberFormat="1" applyFont="1" applyFill="1" applyBorder="1" applyAlignment="1" applyProtection="1">
      <alignment horizontal="center"/>
    </xf>
    <xf numFmtId="0" fontId="30" fillId="2" borderId="0" xfId="0" applyFont="1" applyFill="1" applyAlignment="1" applyProtection="1">
      <alignment horizontal="left"/>
      <protection locked="0"/>
    </xf>
    <xf numFmtId="0" fontId="27" fillId="2" borderId="0" xfId="0" applyFont="1" applyFill="1" applyAlignment="1" applyProtection="1">
      <alignment horizontal="center"/>
      <protection locked="0"/>
    </xf>
    <xf numFmtId="0" fontId="30" fillId="2" borderId="0" xfId="5" applyFont="1" applyFill="1" applyBorder="1" applyAlignment="1" applyProtection="1">
      <alignment horizontal="center"/>
      <protection locked="0"/>
    </xf>
    <xf numFmtId="0" fontId="30" fillId="2" borderId="0" xfId="5" applyFont="1" applyFill="1" applyBorder="1" applyAlignment="1" applyProtection="1">
      <alignment horizontal="center"/>
    </xf>
    <xf numFmtId="175" fontId="27" fillId="15" borderId="58" xfId="0" applyNumberFormat="1" applyFont="1" applyFill="1" applyBorder="1" applyProtection="1"/>
    <xf numFmtId="164" fontId="27" fillId="15" borderId="58" xfId="0" applyNumberFormat="1" applyFont="1" applyFill="1" applyBorder="1" applyProtection="1"/>
    <xf numFmtId="0" fontId="30" fillId="10" borderId="58" xfId="4" applyFont="1" applyFill="1" applyBorder="1" applyProtection="1"/>
    <xf numFmtId="164" fontId="27" fillId="10" borderId="58" xfId="0" applyNumberFormat="1" applyFont="1" applyFill="1" applyBorder="1" applyProtection="1"/>
    <xf numFmtId="2" fontId="30" fillId="2" borderId="0" xfId="0" applyNumberFormat="1" applyFont="1" applyFill="1" applyAlignment="1" applyProtection="1">
      <alignment horizontal="center"/>
      <protection locked="0"/>
    </xf>
    <xf numFmtId="165" fontId="27" fillId="9" borderId="0" xfId="0" applyNumberFormat="1" applyFont="1" applyFill="1" applyBorder="1" applyAlignment="1" applyProtection="1">
      <alignment horizontal="center"/>
    </xf>
    <xf numFmtId="0" fontId="27" fillId="4" borderId="0" xfId="0" applyFont="1" applyFill="1" applyBorder="1" applyAlignment="1" applyProtection="1"/>
    <xf numFmtId="166" fontId="27" fillId="4" borderId="0" xfId="0" applyNumberFormat="1" applyFont="1" applyFill="1" applyProtection="1"/>
    <xf numFmtId="174" fontId="27" fillId="4" borderId="0" xfId="0" applyNumberFormat="1" applyFont="1" applyFill="1" applyProtection="1"/>
    <xf numFmtId="0" fontId="27" fillId="4" borderId="0" xfId="0" applyFont="1" applyFill="1" applyBorder="1" applyProtection="1"/>
    <xf numFmtId="173" fontId="27" fillId="4" borderId="0" xfId="0" applyNumberFormat="1" applyFont="1" applyFill="1" applyProtection="1"/>
    <xf numFmtId="0" fontId="27" fillId="4" borderId="0" xfId="0" applyFont="1" applyFill="1" applyAlignment="1" applyProtection="1">
      <alignment horizontal="right"/>
    </xf>
    <xf numFmtId="0" fontId="27" fillId="15" borderId="5" xfId="0" applyFont="1" applyFill="1" applyBorder="1" applyProtection="1"/>
    <xf numFmtId="172" fontId="27" fillId="4" borderId="0" xfId="0" applyNumberFormat="1" applyFont="1" applyFill="1" applyProtection="1"/>
    <xf numFmtId="165" fontId="28" fillId="4" borderId="0" xfId="0" applyNumberFormat="1" applyFont="1" applyFill="1" applyProtection="1"/>
    <xf numFmtId="0" fontId="28" fillId="4" borderId="0" xfId="0" applyFont="1" applyFill="1" applyProtection="1"/>
    <xf numFmtId="0" fontId="27" fillId="4" borderId="0" xfId="0" applyFont="1" applyFill="1" applyProtection="1"/>
    <xf numFmtId="0" fontId="27" fillId="15" borderId="0" xfId="0" applyFont="1" applyFill="1" applyBorder="1" applyProtection="1"/>
    <xf numFmtId="0" fontId="0" fillId="2" borderId="0" xfId="0" applyFill="1"/>
    <xf numFmtId="0" fontId="28" fillId="15" borderId="0" xfId="0" applyFont="1" applyFill="1" applyProtection="1"/>
    <xf numFmtId="0" fontId="27" fillId="15" borderId="0" xfId="0" applyFont="1" applyFill="1" applyProtection="1"/>
    <xf numFmtId="0" fontId="27" fillId="15" borderId="0" xfId="0" applyFont="1" applyFill="1" applyAlignment="1" applyProtection="1">
      <alignment horizontal="right"/>
    </xf>
    <xf numFmtId="11" fontId="27" fillId="15" borderId="0" xfId="0" applyNumberFormat="1" applyFont="1" applyFill="1" applyProtection="1"/>
    <xf numFmtId="0" fontId="28" fillId="15" borderId="58" xfId="0" applyFont="1" applyFill="1" applyBorder="1" applyProtection="1"/>
    <xf numFmtId="0" fontId="27" fillId="15" borderId="58" xfId="0" applyFont="1" applyFill="1" applyBorder="1" applyProtection="1"/>
    <xf numFmtId="0" fontId="28" fillId="16" borderId="58" xfId="0" applyFont="1" applyFill="1" applyBorder="1" applyAlignment="1" applyProtection="1">
      <alignment horizontal="center"/>
    </xf>
    <xf numFmtId="2" fontId="0" fillId="2" borderId="0" xfId="0" applyNumberFormat="1" applyFill="1" applyProtection="1">
      <protection locked="0"/>
    </xf>
    <xf numFmtId="174" fontId="27" fillId="4" borderId="0" xfId="0" applyNumberFormat="1" applyFont="1" applyFill="1" applyBorder="1" applyProtection="1"/>
    <xf numFmtId="176" fontId="27" fillId="4" borderId="0" xfId="0" applyNumberFormat="1" applyFont="1" applyFill="1" applyBorder="1" applyProtection="1"/>
    <xf numFmtId="178" fontId="27" fillId="4" borderId="0" xfId="0" applyNumberFormat="1" applyFont="1" applyFill="1" applyProtection="1"/>
    <xf numFmtId="176" fontId="27" fillId="4" borderId="0" xfId="0" applyNumberFormat="1" applyFont="1" applyFill="1" applyAlignment="1" applyProtection="1"/>
    <xf numFmtId="174" fontId="28" fillId="4" borderId="0" xfId="0" applyNumberFormat="1" applyFont="1" applyFill="1" applyProtection="1"/>
    <xf numFmtId="11" fontId="27" fillId="4" borderId="0" xfId="0" applyNumberFormat="1" applyFont="1" applyFill="1" applyBorder="1" applyProtection="1"/>
    <xf numFmtId="188" fontId="0" fillId="2" borderId="0" xfId="0" applyNumberFormat="1" applyFill="1" applyProtection="1">
      <protection locked="0"/>
    </xf>
    <xf numFmtId="172" fontId="0" fillId="2" borderId="0" xfId="0" applyNumberFormat="1" applyFill="1" applyProtection="1">
      <protection locked="0"/>
    </xf>
    <xf numFmtId="189" fontId="0" fillId="2" borderId="0" xfId="0" applyNumberFormat="1" applyFill="1" applyProtection="1">
      <protection locked="0"/>
    </xf>
    <xf numFmtId="165" fontId="30" fillId="2" borderId="0" xfId="0" applyNumberFormat="1" applyFont="1" applyFill="1" applyProtection="1">
      <protection locked="0"/>
    </xf>
    <xf numFmtId="173" fontId="27" fillId="4" borderId="0" xfId="0" applyNumberFormat="1" applyFont="1" applyFill="1" applyBorder="1" applyProtection="1">
      <protection locked="0"/>
    </xf>
    <xf numFmtId="174" fontId="27" fillId="4" borderId="0" xfId="0" applyNumberFormat="1" applyFont="1" applyFill="1" applyAlignment="1" applyProtection="1">
      <alignment horizontal="center"/>
    </xf>
    <xf numFmtId="0" fontId="27" fillId="4" borderId="0" xfId="0" applyFont="1" applyFill="1" applyAlignment="1" applyProtection="1">
      <alignment horizontal="center"/>
    </xf>
    <xf numFmtId="185" fontId="27" fillId="4" borderId="0" xfId="0" applyNumberFormat="1" applyFont="1" applyFill="1" applyAlignment="1" applyProtection="1">
      <alignment horizontal="center"/>
    </xf>
    <xf numFmtId="11" fontId="27" fillId="4" borderId="0" xfId="0" applyNumberFormat="1" applyFont="1" applyFill="1" applyAlignment="1" applyProtection="1">
      <alignment horizontal="center"/>
    </xf>
    <xf numFmtId="0" fontId="28" fillId="4" borderId="0" xfId="0" applyFont="1" applyFill="1" applyAlignment="1" applyProtection="1">
      <alignment horizontal="center"/>
    </xf>
    <xf numFmtId="186" fontId="27" fillId="4" borderId="0" xfId="0" applyNumberFormat="1" applyFont="1" applyFill="1" applyAlignment="1" applyProtection="1">
      <alignment horizontal="center"/>
    </xf>
    <xf numFmtId="184" fontId="27" fillId="4" borderId="0" xfId="0" applyNumberFormat="1" applyFont="1" applyFill="1" applyAlignment="1" applyProtection="1">
      <alignment horizontal="center"/>
    </xf>
    <xf numFmtId="174" fontId="28" fillId="4" borderId="8" xfId="0" applyNumberFormat="1" applyFont="1" applyFill="1" applyBorder="1" applyAlignment="1" applyProtection="1">
      <alignment horizontal="center"/>
    </xf>
    <xf numFmtId="0" fontId="27" fillId="4" borderId="58" xfId="0" applyFont="1" applyFill="1" applyBorder="1" applyProtection="1">
      <protection locked="0"/>
    </xf>
    <xf numFmtId="187" fontId="27" fillId="15" borderId="0" xfId="0" applyNumberFormat="1" applyFont="1" applyFill="1" applyAlignment="1" applyProtection="1">
      <alignment horizontal="center"/>
    </xf>
    <xf numFmtId="2" fontId="27" fillId="15" borderId="0" xfId="0" applyNumberFormat="1" applyFont="1" applyFill="1" applyBorder="1" applyAlignment="1" applyProtection="1">
      <alignment horizontal="center"/>
    </xf>
    <xf numFmtId="11" fontId="27" fillId="15" borderId="0" xfId="0" applyNumberFormat="1" applyFont="1" applyFill="1" applyBorder="1" applyAlignment="1" applyProtection="1">
      <alignment horizontal="center"/>
    </xf>
    <xf numFmtId="175" fontId="27" fillId="15" borderId="0" xfId="0" applyNumberFormat="1" applyFont="1" applyFill="1" applyAlignment="1" applyProtection="1">
      <alignment horizontal="center"/>
      <protection locked="0"/>
    </xf>
    <xf numFmtId="173" fontId="27" fillId="15" borderId="0" xfId="0" applyNumberFormat="1" applyFont="1" applyFill="1" applyAlignment="1" applyProtection="1">
      <alignment horizontal="center"/>
      <protection locked="0"/>
    </xf>
    <xf numFmtId="0" fontId="27" fillId="15" borderId="0" xfId="0" applyFont="1" applyFill="1" applyAlignment="1" applyProtection="1">
      <alignment horizontal="center"/>
      <protection locked="0"/>
    </xf>
    <xf numFmtId="177" fontId="27" fillId="15" borderId="0" xfId="0" applyNumberFormat="1" applyFont="1" applyFill="1" applyAlignment="1" applyProtection="1">
      <alignment horizontal="center"/>
      <protection locked="0"/>
    </xf>
    <xf numFmtId="166" fontId="27" fillId="15" borderId="0" xfId="0" applyNumberFormat="1" applyFont="1" applyFill="1" applyAlignment="1" applyProtection="1">
      <alignment horizontal="center"/>
      <protection locked="0"/>
    </xf>
    <xf numFmtId="0" fontId="27" fillId="15" borderId="0" xfId="0" applyFont="1" applyFill="1" applyAlignment="1" applyProtection="1">
      <alignment horizontal="center"/>
    </xf>
    <xf numFmtId="166" fontId="27" fillId="15" borderId="0" xfId="0" applyNumberFormat="1" applyFont="1" applyFill="1" applyBorder="1" applyAlignment="1" applyProtection="1">
      <alignment horizontal="center"/>
    </xf>
    <xf numFmtId="185" fontId="27" fillId="15" borderId="0" xfId="0" applyNumberFormat="1" applyFont="1" applyFill="1" applyAlignment="1" applyProtection="1">
      <alignment horizontal="center"/>
    </xf>
    <xf numFmtId="0" fontId="27" fillId="15" borderId="58" xfId="0" applyFont="1" applyFill="1" applyBorder="1" applyProtection="1">
      <protection locked="0"/>
    </xf>
    <xf numFmtId="0" fontId="28" fillId="2" borderId="0" xfId="0" applyFont="1" applyFill="1" applyBorder="1" applyProtection="1"/>
    <xf numFmtId="2" fontId="27" fillId="2" borderId="0" xfId="0" applyNumberFormat="1" applyFont="1" applyFill="1" applyBorder="1" applyProtection="1"/>
    <xf numFmtId="174" fontId="28" fillId="2" borderId="0" xfId="0" applyNumberFormat="1" applyFont="1" applyFill="1" applyBorder="1" applyAlignment="1" applyProtection="1">
      <alignment horizontal="center"/>
    </xf>
    <xf numFmtId="2" fontId="0" fillId="0" borderId="0" xfId="0" applyNumberFormat="1" applyAlignment="1" applyProtection="1">
      <alignment horizontal="center"/>
      <protection locked="0"/>
    </xf>
    <xf numFmtId="0" fontId="27" fillId="11" borderId="58" xfId="0" applyFont="1" applyFill="1" applyBorder="1" applyProtection="1">
      <protection locked="0"/>
    </xf>
    <xf numFmtId="2" fontId="27" fillId="2" borderId="0" xfId="0" applyNumberFormat="1" applyFont="1" applyFill="1" applyBorder="1" applyProtection="1">
      <protection locked="0"/>
    </xf>
    <xf numFmtId="0" fontId="27" fillId="15" borderId="9" xfId="0" applyFont="1" applyFill="1" applyBorder="1" applyAlignment="1" applyProtection="1">
      <alignment horizontal="right"/>
      <protection locked="0"/>
    </xf>
    <xf numFmtId="0" fontId="27" fillId="16" borderId="9" xfId="0" applyFont="1" applyFill="1" applyBorder="1" applyProtection="1">
      <protection locked="0"/>
    </xf>
    <xf numFmtId="0" fontId="27" fillId="15" borderId="61" xfId="0" applyFont="1" applyFill="1" applyBorder="1" applyProtection="1">
      <protection locked="0"/>
    </xf>
    <xf numFmtId="0" fontId="28" fillId="16" borderId="61" xfId="0" applyFont="1" applyFill="1" applyBorder="1" applyAlignment="1" applyProtection="1">
      <alignment horizontal="center"/>
      <protection locked="0"/>
    </xf>
    <xf numFmtId="175" fontId="27" fillId="4" borderId="0" xfId="0" applyNumberFormat="1" applyFont="1" applyFill="1" applyProtection="1">
      <protection locked="0"/>
    </xf>
    <xf numFmtId="175" fontId="27" fillId="4" borderId="0" xfId="0" applyNumberFormat="1" applyFont="1" applyFill="1" applyProtection="1"/>
    <xf numFmtId="0" fontId="100" fillId="2" borderId="0" xfId="0" applyFont="1" applyFill="1" applyProtection="1">
      <protection locked="0"/>
    </xf>
    <xf numFmtId="175" fontId="22" fillId="0" borderId="0" xfId="0" applyNumberFormat="1" applyFont="1" applyFill="1" applyAlignment="1" applyProtection="1">
      <alignment horizontal="center"/>
      <protection locked="0"/>
    </xf>
    <xf numFmtId="2" fontId="16" fillId="2" borderId="5" xfId="0" applyNumberFormat="1" applyFont="1" applyFill="1" applyBorder="1" applyAlignment="1" applyProtection="1">
      <alignment horizontal="center" wrapText="1"/>
    </xf>
    <xf numFmtId="0" fontId="28" fillId="9" borderId="76" xfId="0" applyFont="1" applyFill="1" applyBorder="1" applyAlignment="1" applyProtection="1">
      <alignment horizontal="center"/>
    </xf>
    <xf numFmtId="0" fontId="27" fillId="9" borderId="80" xfId="0" applyFont="1" applyFill="1" applyBorder="1" applyAlignment="1" applyProtection="1">
      <alignment horizontal="left"/>
    </xf>
    <xf numFmtId="0" fontId="27" fillId="9" borderId="76" xfId="0" applyFont="1" applyFill="1" applyBorder="1" applyProtection="1"/>
    <xf numFmtId="0" fontId="28" fillId="9" borderId="78" xfId="0" applyFont="1" applyFill="1" applyBorder="1" applyAlignment="1" applyProtection="1">
      <alignment horizontal="left" vertical="center"/>
    </xf>
    <xf numFmtId="1" fontId="27" fillId="9" borderId="80" xfId="0" applyNumberFormat="1" applyFont="1" applyFill="1" applyBorder="1" applyAlignment="1" applyProtection="1">
      <alignment vertical="center"/>
    </xf>
    <xf numFmtId="0" fontId="40" fillId="9" borderId="76" xfId="5" applyFont="1" applyFill="1" applyBorder="1" applyProtection="1"/>
    <xf numFmtId="0" fontId="30" fillId="9" borderId="76" xfId="5" applyFont="1" applyFill="1" applyBorder="1" applyProtection="1"/>
    <xf numFmtId="0" fontId="27" fillId="9" borderId="76" xfId="0" applyFont="1" applyFill="1" applyBorder="1" applyAlignment="1" applyProtection="1">
      <alignment horizontal="center"/>
    </xf>
    <xf numFmtId="0" fontId="28" fillId="9" borderId="78" xfId="0" applyFont="1" applyFill="1" applyBorder="1" applyAlignment="1" applyProtection="1">
      <alignment horizontal="left"/>
    </xf>
    <xf numFmtId="0" fontId="46" fillId="22" borderId="76" xfId="7" applyFont="1" applyFill="1" applyBorder="1" applyProtection="1"/>
    <xf numFmtId="0" fontId="46" fillId="23" borderId="76" xfId="7" applyFont="1" applyFill="1" applyBorder="1" applyProtection="1"/>
    <xf numFmtId="0" fontId="47" fillId="23" borderId="78" xfId="7" applyFont="1" applyFill="1" applyBorder="1" applyProtection="1"/>
    <xf numFmtId="0" fontId="28" fillId="9" borderId="80" xfId="0" applyFont="1" applyFill="1" applyBorder="1" applyAlignment="1" applyProtection="1">
      <alignment vertical="center"/>
    </xf>
    <xf numFmtId="0" fontId="28" fillId="9" borderId="80" xfId="0" applyFont="1" applyFill="1" applyBorder="1" applyProtection="1"/>
    <xf numFmtId="0" fontId="28" fillId="9" borderId="78" xfId="0" applyFont="1" applyFill="1" applyBorder="1" applyAlignment="1" applyProtection="1">
      <alignment vertical="top"/>
    </xf>
    <xf numFmtId="0" fontId="27" fillId="9" borderId="80" xfId="0" applyFont="1" applyFill="1" applyBorder="1" applyAlignment="1" applyProtection="1">
      <alignment vertical="center"/>
    </xf>
    <xf numFmtId="0" fontId="27" fillId="9" borderId="80" xfId="0" applyFont="1" applyFill="1" applyBorder="1" applyProtection="1"/>
    <xf numFmtId="0" fontId="28" fillId="9" borderId="78" xfId="0" applyFont="1" applyFill="1" applyBorder="1" applyProtection="1"/>
    <xf numFmtId="0" fontId="0" fillId="2" borderId="0" xfId="0" applyFill="1" applyProtection="1"/>
    <xf numFmtId="0" fontId="30" fillId="18" borderId="0" xfId="0" applyFont="1" applyFill="1" applyBorder="1" applyProtection="1"/>
    <xf numFmtId="0" fontId="27" fillId="2" borderId="0" xfId="0" applyFont="1" applyFill="1" applyBorder="1" applyProtection="1"/>
    <xf numFmtId="0" fontId="27" fillId="2" borderId="0" xfId="0" applyFont="1" applyFill="1" applyProtection="1"/>
    <xf numFmtId="0" fontId="28" fillId="4" borderId="57" xfId="0" applyFont="1" applyFill="1" applyBorder="1" applyProtection="1"/>
    <xf numFmtId="0" fontId="29" fillId="4" borderId="57" xfId="4" applyFont="1" applyFill="1" applyBorder="1" applyAlignment="1" applyProtection="1">
      <alignment horizontal="center" vertical="top" wrapText="1"/>
    </xf>
    <xf numFmtId="0" fontId="28" fillId="11" borderId="57" xfId="0" applyFont="1" applyFill="1" applyBorder="1" applyAlignment="1" applyProtection="1">
      <alignment horizontal="center"/>
    </xf>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0" fontId="30" fillId="4" borderId="0" xfId="4" applyFont="1" applyFill="1" applyBorder="1" applyAlignment="1" applyProtection="1">
      <alignment horizontal="center" vertical="top" wrapText="1"/>
    </xf>
    <xf numFmtId="0" fontId="30" fillId="4" borderId="0" xfId="4" applyFont="1" applyFill="1" applyBorder="1" applyProtection="1"/>
    <xf numFmtId="0" fontId="27" fillId="4" borderId="0" xfId="0" applyFont="1" applyFill="1" applyAlignment="1" applyProtection="1">
      <alignment horizontal="right"/>
    </xf>
    <xf numFmtId="2" fontId="27" fillId="4" borderId="0" xfId="0" applyNumberFormat="1" applyFont="1" applyFill="1" applyProtection="1"/>
    <xf numFmtId="1" fontId="30" fillId="4" borderId="0" xfId="4" applyNumberFormat="1" applyFont="1" applyFill="1" applyBorder="1" applyAlignment="1" applyProtection="1">
      <alignment horizontal="center" vertical="top" wrapText="1"/>
    </xf>
    <xf numFmtId="2" fontId="30" fillId="4" borderId="0" xfId="4" applyNumberFormat="1" applyFont="1" applyFill="1" applyBorder="1" applyAlignment="1" applyProtection="1">
      <alignment horizontal="left" vertical="top" wrapText="1"/>
    </xf>
    <xf numFmtId="2" fontId="30" fillId="4" borderId="0" xfId="4" applyNumberFormat="1" applyFont="1" applyFill="1" applyBorder="1" applyAlignment="1" applyProtection="1">
      <alignment horizontal="center" vertical="top" wrapText="1"/>
    </xf>
    <xf numFmtId="0" fontId="28" fillId="4" borderId="0" xfId="0" applyFont="1" applyFill="1" applyAlignment="1" applyProtection="1">
      <alignment horizontal="left"/>
    </xf>
    <xf numFmtId="0" fontId="32" fillId="4" borderId="0" xfId="0" applyFont="1" applyFill="1" applyProtection="1"/>
    <xf numFmtId="0" fontId="27" fillId="4" borderId="0" xfId="0" applyFont="1" applyFill="1" applyAlignment="1" applyProtection="1"/>
    <xf numFmtId="0" fontId="27" fillId="4" borderId="17" xfId="0" applyFont="1" applyFill="1" applyBorder="1" applyAlignment="1" applyProtection="1"/>
    <xf numFmtId="0" fontId="27" fillId="4" borderId="18" xfId="0" applyFont="1" applyFill="1" applyBorder="1" applyAlignment="1" applyProtection="1"/>
    <xf numFmtId="0" fontId="27" fillId="4" borderId="19" xfId="0" applyFont="1" applyFill="1" applyBorder="1" applyAlignment="1" applyProtection="1"/>
    <xf numFmtId="0" fontId="27" fillId="4" borderId="0" xfId="0" applyFont="1" applyFill="1" applyBorder="1" applyAlignment="1" applyProtection="1"/>
    <xf numFmtId="0" fontId="27" fillId="4" borderId="15" xfId="0" applyFont="1" applyFill="1" applyBorder="1" applyAlignment="1" applyProtection="1"/>
    <xf numFmtId="0" fontId="27" fillId="4" borderId="13" xfId="0" applyFont="1" applyFill="1" applyBorder="1" applyProtection="1"/>
    <xf numFmtId="0" fontId="27" fillId="4" borderId="20" xfId="0" applyFont="1" applyFill="1" applyBorder="1" applyProtection="1"/>
    <xf numFmtId="2" fontId="27" fillId="4" borderId="20" xfId="0" applyNumberFormat="1" applyFont="1" applyFill="1" applyBorder="1" applyProtection="1"/>
    <xf numFmtId="2" fontId="27" fillId="4" borderId="14" xfId="0" applyNumberFormat="1" applyFont="1" applyFill="1" applyBorder="1" applyProtection="1"/>
    <xf numFmtId="2" fontId="27" fillId="4" borderId="0" xfId="0" applyNumberFormat="1" applyFont="1" applyFill="1" applyBorder="1" applyProtection="1"/>
    <xf numFmtId="0" fontId="27" fillId="4" borderId="0" xfId="0" applyFont="1" applyFill="1" applyBorder="1" applyProtection="1"/>
    <xf numFmtId="0" fontId="28" fillId="4" borderId="0" xfId="0" applyFont="1" applyFill="1" applyAlignment="1" applyProtection="1"/>
    <xf numFmtId="172" fontId="27" fillId="4" borderId="0" xfId="0" applyNumberFormat="1" applyFont="1" applyFill="1" applyBorder="1" applyProtection="1"/>
    <xf numFmtId="165" fontId="27" fillId="4" borderId="0" xfId="0" applyNumberFormat="1" applyFont="1" applyFill="1" applyProtection="1"/>
    <xf numFmtId="0" fontId="27" fillId="11" borderId="0" xfId="0" applyFont="1" applyFill="1" applyProtection="1"/>
    <xf numFmtId="0" fontId="28" fillId="4" borderId="0" xfId="0" applyFont="1" applyFill="1" applyBorder="1" applyProtection="1"/>
    <xf numFmtId="173" fontId="27" fillId="4" borderId="0" xfId="0" applyNumberFormat="1" applyFont="1" applyFill="1" applyProtection="1"/>
    <xf numFmtId="164" fontId="27" fillId="4" borderId="0" xfId="0" applyNumberFormat="1" applyFont="1" applyFill="1" applyProtection="1"/>
    <xf numFmtId="0" fontId="29" fillId="15" borderId="57" xfId="4" applyFont="1" applyFill="1" applyBorder="1" applyProtection="1"/>
    <xf numFmtId="0" fontId="28" fillId="15" borderId="57" xfId="0" applyFont="1" applyFill="1" applyBorder="1" applyAlignment="1" applyProtection="1">
      <alignment horizontal="right"/>
    </xf>
    <xf numFmtId="0" fontId="29" fillId="15" borderId="57" xfId="4" applyFont="1" applyFill="1" applyBorder="1" applyAlignment="1" applyProtection="1">
      <alignment horizontal="center" wrapText="1"/>
    </xf>
    <xf numFmtId="0" fontId="28" fillId="15" borderId="57" xfId="0" applyFont="1" applyFill="1" applyBorder="1" applyAlignment="1" applyProtection="1"/>
    <xf numFmtId="0" fontId="29" fillId="16" borderId="57" xfId="4" applyFont="1" applyFill="1" applyBorder="1" applyAlignment="1" applyProtection="1">
      <alignment horizontal="center" wrapText="1"/>
    </xf>
    <xf numFmtId="0" fontId="28" fillId="2" borderId="0" xfId="0" applyFont="1" applyFill="1" applyAlignment="1" applyProtection="1">
      <alignment horizontal="center"/>
    </xf>
    <xf numFmtId="0" fontId="28" fillId="15" borderId="0" xfId="0" applyFont="1" applyFill="1" applyProtection="1"/>
    <xf numFmtId="0" fontId="28" fillId="16" borderId="0" xfId="0" applyFont="1" applyFill="1" applyAlignment="1" applyProtection="1">
      <alignment horizontal="center"/>
    </xf>
    <xf numFmtId="0" fontId="27" fillId="15" borderId="0" xfId="0" applyFont="1" applyFill="1" applyAlignment="1" applyProtection="1">
      <alignment horizontal="right"/>
    </xf>
    <xf numFmtId="166" fontId="27" fillId="15" borderId="0" xfId="0" applyNumberFormat="1" applyFont="1" applyFill="1" applyProtection="1"/>
    <xf numFmtId="0" fontId="28" fillId="15" borderId="0" xfId="0" applyFont="1" applyFill="1" applyBorder="1" applyProtection="1"/>
    <xf numFmtId="165" fontId="27" fillId="15" borderId="0" xfId="0" applyNumberFormat="1" applyFont="1" applyFill="1" applyProtection="1"/>
    <xf numFmtId="0" fontId="27" fillId="15" borderId="0" xfId="0" applyFont="1" applyFill="1" applyBorder="1" applyAlignment="1" applyProtection="1">
      <alignment horizontal="right"/>
    </xf>
    <xf numFmtId="173" fontId="27" fillId="15" borderId="0" xfId="0" applyNumberFormat="1" applyFont="1" applyFill="1" applyBorder="1" applyProtection="1"/>
    <xf numFmtId="0" fontId="29" fillId="15" borderId="57" xfId="4" applyFont="1" applyFill="1" applyBorder="1" applyAlignment="1" applyProtection="1">
      <alignment horizontal="center" vertical="top" wrapText="1"/>
    </xf>
    <xf numFmtId="164" fontId="27" fillId="15" borderId="0" xfId="0" applyNumberFormat="1" applyFont="1" applyFill="1" applyProtection="1"/>
    <xf numFmtId="166" fontId="27" fillId="2" borderId="0" xfId="0" applyNumberFormat="1" applyFont="1" applyFill="1" applyBorder="1" applyProtection="1"/>
    <xf numFmtId="1" fontId="27" fillId="2" borderId="0" xfId="0" applyNumberFormat="1" applyFont="1" applyFill="1" applyBorder="1" applyProtection="1"/>
    <xf numFmtId="172" fontId="27" fillId="2" borderId="0" xfId="0" applyNumberFormat="1" applyFont="1" applyFill="1" applyBorder="1" applyAlignment="1" applyProtection="1">
      <alignment horizontal="center"/>
    </xf>
    <xf numFmtId="175" fontId="27" fillId="15" borderId="0" xfId="0" applyNumberFormat="1" applyFont="1" applyFill="1" applyProtection="1"/>
    <xf numFmtId="0" fontId="27" fillId="16" borderId="0" xfId="0" applyFont="1" applyFill="1" applyProtection="1"/>
    <xf numFmtId="0" fontId="28" fillId="2" borderId="0" xfId="0" applyFont="1" applyFill="1" applyProtection="1"/>
    <xf numFmtId="0" fontId="27" fillId="2" borderId="0" xfId="0" applyFont="1" applyFill="1" applyBorder="1" applyAlignment="1" applyProtection="1">
      <alignment horizontal="center"/>
    </xf>
    <xf numFmtId="2" fontId="27" fillId="15" borderId="0" xfId="0" applyNumberFormat="1" applyFont="1" applyFill="1" applyBorder="1" applyProtection="1"/>
    <xf numFmtId="166" fontId="27" fillId="2" borderId="0" xfId="0" applyNumberFormat="1" applyFont="1" applyFill="1" applyBorder="1" applyAlignment="1" applyProtection="1">
      <alignment horizontal="center"/>
    </xf>
    <xf numFmtId="0" fontId="28" fillId="2" borderId="0" xfId="0" applyFont="1" applyFill="1" applyBorder="1" applyAlignment="1" applyProtection="1">
      <alignment horizontal="center"/>
    </xf>
    <xf numFmtId="0" fontId="27" fillId="2" borderId="0" xfId="0" applyFont="1" applyFill="1" applyAlignment="1" applyProtection="1">
      <alignment horizontal="right"/>
    </xf>
    <xf numFmtId="175" fontId="27" fillId="2" borderId="0" xfId="0" applyNumberFormat="1" applyFont="1" applyFill="1" applyProtection="1"/>
    <xf numFmtId="175" fontId="27" fillId="2" borderId="0" xfId="0" applyNumberFormat="1" applyFont="1" applyFill="1" applyAlignment="1" applyProtection="1">
      <alignment horizontal="right"/>
    </xf>
    <xf numFmtId="173" fontId="27" fillId="2" borderId="0" xfId="0" applyNumberFormat="1" applyFont="1" applyFill="1" applyBorder="1" applyProtection="1"/>
    <xf numFmtId="173" fontId="27" fillId="15" borderId="0" xfId="0" applyNumberFormat="1" applyFont="1" applyFill="1" applyProtection="1"/>
    <xf numFmtId="11" fontId="27" fillId="2" borderId="0" xfId="0" applyNumberFormat="1" applyFont="1" applyFill="1" applyProtection="1"/>
    <xf numFmtId="177" fontId="27" fillId="15" borderId="0" xfId="0" applyNumberFormat="1" applyFont="1" applyFill="1" applyProtection="1"/>
    <xf numFmtId="0" fontId="27" fillId="16" borderId="0" xfId="0" applyFont="1" applyFill="1" applyAlignment="1" applyProtection="1">
      <alignment horizontal="center"/>
    </xf>
    <xf numFmtId="165" fontId="27" fillId="15" borderId="0" xfId="0" applyNumberFormat="1" applyFont="1" applyFill="1" applyAlignment="1" applyProtection="1">
      <alignment horizontal="right"/>
    </xf>
    <xf numFmtId="166" fontId="27" fillId="2" borderId="0" xfId="0" applyNumberFormat="1" applyFont="1" applyFill="1" applyProtection="1"/>
    <xf numFmtId="2" fontId="27" fillId="2" borderId="0" xfId="0" applyNumberFormat="1" applyFont="1" applyFill="1" applyProtection="1"/>
    <xf numFmtId="0" fontId="27" fillId="15" borderId="0" xfId="0" applyFont="1" applyFill="1" applyAlignment="1" applyProtection="1">
      <alignment horizontal="left"/>
    </xf>
    <xf numFmtId="164" fontId="27" fillId="15" borderId="0" xfId="0" applyNumberFormat="1" applyFont="1" applyFill="1" applyBorder="1" applyProtection="1"/>
    <xf numFmtId="0" fontId="28" fillId="16" borderId="17" xfId="0" applyFont="1" applyFill="1" applyBorder="1" applyProtection="1"/>
    <xf numFmtId="0" fontId="28" fillId="15" borderId="18" xfId="0" applyFont="1" applyFill="1" applyBorder="1" applyAlignment="1" applyProtection="1">
      <alignment horizontal="center"/>
    </xf>
    <xf numFmtId="0" fontId="28" fillId="15" borderId="18" xfId="0" applyFont="1" applyFill="1" applyBorder="1" applyAlignment="1" applyProtection="1">
      <alignment horizontal="left"/>
    </xf>
    <xf numFmtId="0" fontId="28" fillId="15" borderId="19" xfId="0" applyFont="1" applyFill="1" applyBorder="1" applyAlignment="1" applyProtection="1">
      <alignment horizontal="left"/>
    </xf>
    <xf numFmtId="0" fontId="27" fillId="15" borderId="1" xfId="0" applyFont="1" applyFill="1" applyBorder="1" applyProtection="1"/>
    <xf numFmtId="0" fontId="27" fillId="15" borderId="0" xfId="0" applyFont="1" applyFill="1" applyBorder="1" applyAlignment="1" applyProtection="1">
      <alignment horizontal="center"/>
    </xf>
    <xf numFmtId="0" fontId="27" fillId="15" borderId="15" xfId="0" applyFont="1" applyFill="1" applyBorder="1" applyProtection="1"/>
    <xf numFmtId="0" fontId="28" fillId="15" borderId="1" xfId="0" applyFont="1" applyFill="1" applyBorder="1" applyProtection="1"/>
    <xf numFmtId="0" fontId="28" fillId="15" borderId="0" xfId="0" applyFont="1" applyFill="1" applyBorder="1" applyAlignment="1" applyProtection="1"/>
    <xf numFmtId="165" fontId="28" fillId="15" borderId="0" xfId="0" applyNumberFormat="1" applyFont="1" applyFill="1" applyBorder="1" applyAlignment="1" applyProtection="1"/>
    <xf numFmtId="0" fontId="28" fillId="15" borderId="15" xfId="0" applyFont="1" applyFill="1" applyBorder="1" applyAlignment="1" applyProtection="1"/>
    <xf numFmtId="172" fontId="27" fillId="15" borderId="0" xfId="0" applyNumberFormat="1" applyFont="1" applyFill="1" applyBorder="1" applyAlignment="1" applyProtection="1">
      <alignment horizontal="center"/>
    </xf>
    <xf numFmtId="172" fontId="27" fillId="15" borderId="0" xfId="0" applyNumberFormat="1" applyFont="1" applyFill="1" applyProtection="1"/>
    <xf numFmtId="0" fontId="27" fillId="15" borderId="16" xfId="0" applyFont="1" applyFill="1" applyBorder="1" applyProtection="1"/>
    <xf numFmtId="173" fontId="27" fillId="2" borderId="0" xfId="0" applyNumberFormat="1" applyFont="1" applyFill="1" applyProtection="1"/>
    <xf numFmtId="2" fontId="27" fillId="15" borderId="0" xfId="0" applyNumberFormat="1" applyFont="1" applyFill="1" applyProtection="1"/>
    <xf numFmtId="164" fontId="27" fillId="15" borderId="0" xfId="0" applyNumberFormat="1" applyFont="1" applyFill="1" applyAlignment="1" applyProtection="1">
      <alignment horizontal="right"/>
    </xf>
    <xf numFmtId="0" fontId="28" fillId="16" borderId="0" xfId="0" applyFont="1" applyFill="1" applyBorder="1" applyAlignment="1" applyProtection="1">
      <alignment horizontal="center"/>
    </xf>
    <xf numFmtId="172" fontId="27" fillId="15" borderId="71" xfId="0" applyNumberFormat="1" applyFont="1" applyFill="1" applyBorder="1" applyAlignment="1" applyProtection="1">
      <alignment horizontal="center"/>
    </xf>
    <xf numFmtId="165" fontId="29" fillId="18" borderId="0" xfId="0" applyNumberFormat="1" applyFont="1" applyFill="1" applyBorder="1" applyAlignment="1" applyProtection="1">
      <alignment horizontal="center"/>
    </xf>
    <xf numFmtId="2" fontId="29" fillId="18" borderId="0" xfId="0" applyNumberFormat="1" applyFont="1" applyFill="1" applyBorder="1" applyAlignment="1" applyProtection="1">
      <alignment horizontal="center"/>
    </xf>
    <xf numFmtId="0" fontId="27" fillId="9" borderId="0" xfId="0" applyFont="1" applyFill="1" applyBorder="1" applyProtection="1"/>
    <xf numFmtId="0" fontId="27" fillId="9" borderId="0" xfId="0" applyFont="1" applyFill="1" applyProtection="1"/>
    <xf numFmtId="0" fontId="29" fillId="9" borderId="4" xfId="5" applyFont="1" applyFill="1" applyBorder="1" applyProtection="1"/>
    <xf numFmtId="0" fontId="30" fillId="9" borderId="0" xfId="5" applyFont="1" applyFill="1" applyBorder="1" applyProtection="1"/>
    <xf numFmtId="0" fontId="40" fillId="9" borderId="0" xfId="5" applyFont="1" applyFill="1" applyBorder="1" applyProtection="1"/>
    <xf numFmtId="0" fontId="29" fillId="13" borderId="57" xfId="5" applyFont="1" applyFill="1" applyBorder="1" applyProtection="1"/>
    <xf numFmtId="0" fontId="29" fillId="13" borderId="57" xfId="5" applyFont="1" applyFill="1" applyBorder="1" applyAlignment="1" applyProtection="1">
      <alignment horizontal="center" vertical="top" wrapText="1"/>
    </xf>
    <xf numFmtId="0" fontId="28" fillId="14" borderId="57" xfId="0" applyFont="1" applyFill="1" applyBorder="1" applyAlignment="1" applyProtection="1">
      <alignment horizontal="center"/>
    </xf>
    <xf numFmtId="0" fontId="27" fillId="13" borderId="0" xfId="0" applyFont="1" applyFill="1" applyProtection="1"/>
    <xf numFmtId="0" fontId="27" fillId="14" borderId="0" xfId="0" applyFont="1" applyFill="1" applyAlignment="1" applyProtection="1">
      <alignment horizontal="center"/>
    </xf>
    <xf numFmtId="0" fontId="29" fillId="13" borderId="0" xfId="5" applyFont="1" applyFill="1" applyBorder="1" applyProtection="1"/>
    <xf numFmtId="0" fontId="28" fillId="14" borderId="0" xfId="0" applyFont="1" applyFill="1" applyAlignment="1" applyProtection="1">
      <alignment horizontal="center"/>
    </xf>
    <xf numFmtId="165" fontId="30" fillId="13" borderId="0" xfId="5" applyNumberFormat="1" applyFont="1" applyFill="1" applyBorder="1" applyProtection="1"/>
    <xf numFmtId="0" fontId="30" fillId="13" borderId="0" xfId="5" applyFont="1" applyFill="1" applyBorder="1" applyProtection="1"/>
    <xf numFmtId="0" fontId="29" fillId="13" borderId="0" xfId="5" applyFont="1" applyFill="1" applyBorder="1" applyAlignment="1" applyProtection="1"/>
    <xf numFmtId="2" fontId="30" fillId="13" borderId="0" xfId="5" applyNumberFormat="1" applyFont="1" applyFill="1" applyBorder="1" applyProtection="1"/>
    <xf numFmtId="0" fontId="28" fillId="13" borderId="0" xfId="0" applyFont="1" applyFill="1" applyBorder="1" applyProtection="1"/>
    <xf numFmtId="1" fontId="28" fillId="13" borderId="0" xfId="0" applyNumberFormat="1" applyFont="1" applyFill="1" applyBorder="1" applyProtection="1"/>
    <xf numFmtId="172" fontId="27" fillId="13" borderId="0" xfId="0" applyNumberFormat="1" applyFont="1" applyFill="1" applyBorder="1" applyProtection="1"/>
    <xf numFmtId="172" fontId="27" fillId="13" borderId="0" xfId="0" applyNumberFormat="1" applyFont="1" applyFill="1" applyProtection="1"/>
    <xf numFmtId="0" fontId="27" fillId="13" borderId="0" xfId="0" applyFont="1" applyFill="1" applyBorder="1" applyProtection="1"/>
    <xf numFmtId="0" fontId="29" fillId="10" borderId="57" xfId="4" applyFont="1" applyFill="1" applyBorder="1" applyProtection="1"/>
    <xf numFmtId="0" fontId="29" fillId="10" borderId="57" xfId="4" applyFont="1" applyFill="1" applyBorder="1" applyAlignment="1" applyProtection="1">
      <alignment horizontal="center" vertical="top"/>
    </xf>
    <xf numFmtId="0" fontId="28" fillId="12" borderId="57" xfId="0" applyFont="1" applyFill="1" applyBorder="1" applyAlignment="1" applyProtection="1">
      <alignment horizontal="center"/>
    </xf>
    <xf numFmtId="0" fontId="29" fillId="10" borderId="0" xfId="4" applyFont="1" applyFill="1" applyBorder="1" applyProtection="1"/>
    <xf numFmtId="0" fontId="30" fillId="10" borderId="0" xfId="4" applyFont="1" applyFill="1" applyBorder="1" applyProtection="1"/>
    <xf numFmtId="0" fontId="27" fillId="10" borderId="0" xfId="0" applyFont="1" applyFill="1" applyProtection="1"/>
    <xf numFmtId="0" fontId="27" fillId="12" borderId="0" xfId="0" applyFont="1" applyFill="1" applyAlignment="1" applyProtection="1">
      <alignment horizontal="center"/>
    </xf>
    <xf numFmtId="0" fontId="27" fillId="10" borderId="0" xfId="0" applyFont="1" applyFill="1" applyAlignment="1" applyProtection="1">
      <alignment horizontal="right"/>
    </xf>
    <xf numFmtId="0" fontId="28" fillId="12" borderId="0" xfId="0" applyFont="1" applyFill="1" applyAlignment="1" applyProtection="1">
      <alignment horizontal="center"/>
    </xf>
    <xf numFmtId="164" fontId="30" fillId="10" borderId="0" xfId="4" applyNumberFormat="1" applyFont="1" applyFill="1" applyBorder="1" applyProtection="1"/>
    <xf numFmtId="0" fontId="27" fillId="12" borderId="0" xfId="0" applyFont="1" applyFill="1" applyBorder="1" applyProtection="1"/>
    <xf numFmtId="0" fontId="30" fillId="12" borderId="0" xfId="4" applyFont="1" applyFill="1" applyBorder="1" applyProtection="1"/>
    <xf numFmtId="0" fontId="27" fillId="12" borderId="0" xfId="0" applyFont="1" applyFill="1" applyBorder="1" applyAlignment="1" applyProtection="1">
      <alignment horizontal="center"/>
    </xf>
    <xf numFmtId="172" fontId="30" fillId="10" borderId="0" xfId="4" applyNumberFormat="1" applyFont="1" applyFill="1" applyBorder="1" applyProtection="1"/>
    <xf numFmtId="0" fontId="27" fillId="10" borderId="0" xfId="0" applyFont="1" applyFill="1" applyBorder="1" applyProtection="1"/>
    <xf numFmtId="165" fontId="27" fillId="10" borderId="0" xfId="0" applyNumberFormat="1" applyFont="1" applyFill="1" applyBorder="1" applyProtection="1"/>
    <xf numFmtId="165" fontId="30" fillId="10" borderId="0" xfId="4" applyNumberFormat="1" applyFont="1" applyFill="1" applyBorder="1" applyProtection="1"/>
    <xf numFmtId="0" fontId="28" fillId="15" borderId="10" xfId="0" applyFont="1" applyFill="1" applyBorder="1" applyProtection="1"/>
    <xf numFmtId="0" fontId="28" fillId="15" borderId="12" xfId="0" applyFont="1" applyFill="1" applyBorder="1" applyProtection="1"/>
    <xf numFmtId="176" fontId="27" fillId="15" borderId="0" xfId="0" applyNumberFormat="1" applyFont="1" applyFill="1" applyProtection="1"/>
    <xf numFmtId="0" fontId="27" fillId="15" borderId="4" xfId="0" applyFont="1" applyFill="1" applyBorder="1" applyProtection="1"/>
    <xf numFmtId="0" fontId="27" fillId="15" borderId="54" xfId="0" applyFont="1" applyFill="1" applyBorder="1" applyProtection="1"/>
    <xf numFmtId="0" fontId="28" fillId="15" borderId="4" xfId="0" applyFont="1" applyFill="1" applyBorder="1" applyProtection="1"/>
    <xf numFmtId="0" fontId="28" fillId="15" borderId="54" xfId="0" applyFont="1" applyFill="1" applyBorder="1" applyProtection="1"/>
    <xf numFmtId="174" fontId="27" fillId="15" borderId="0" xfId="0" applyNumberFormat="1" applyFont="1" applyFill="1" applyBorder="1" applyProtection="1"/>
    <xf numFmtId="0" fontId="27" fillId="15" borderId="59" xfId="0" applyFont="1" applyFill="1" applyBorder="1" applyProtection="1"/>
    <xf numFmtId="0" fontId="27" fillId="15" borderId="60" xfId="0" applyFont="1" applyFill="1" applyBorder="1" applyProtection="1"/>
    <xf numFmtId="174" fontId="27" fillId="15" borderId="0" xfId="0" applyNumberFormat="1" applyFont="1" applyFill="1" applyProtection="1"/>
    <xf numFmtId="0" fontId="28" fillId="16" borderId="0" xfId="0" applyFont="1" applyFill="1" applyAlignment="1" applyProtection="1">
      <alignment horizontal="left"/>
    </xf>
    <xf numFmtId="0" fontId="29" fillId="2" borderId="0" xfId="4" applyFont="1" applyFill="1" applyBorder="1" applyAlignment="1" applyProtection="1">
      <alignment horizontal="center" vertical="top" wrapText="1"/>
    </xf>
    <xf numFmtId="172" fontId="27" fillId="2" borderId="0" xfId="0" applyNumberFormat="1" applyFont="1" applyFill="1" applyProtection="1"/>
    <xf numFmtId="0" fontId="28" fillId="16" borderId="0" xfId="0" applyFont="1" applyFill="1" applyBorder="1" applyProtection="1"/>
    <xf numFmtId="0" fontId="26" fillId="2" borderId="0" xfId="0" applyFont="1" applyFill="1" applyBorder="1" applyProtection="1"/>
    <xf numFmtId="0" fontId="38" fillId="2" borderId="0" xfId="0" applyFont="1" applyFill="1" applyBorder="1" applyProtection="1"/>
    <xf numFmtId="0" fontId="28" fillId="20" borderId="57" xfId="0" applyFont="1" applyFill="1" applyBorder="1" applyProtection="1"/>
    <xf numFmtId="0" fontId="27" fillId="20" borderId="0" xfId="0" applyFont="1" applyFill="1" applyBorder="1" applyProtection="1"/>
    <xf numFmtId="0" fontId="28" fillId="20" borderId="0" xfId="0" applyFont="1" applyFill="1" applyBorder="1" applyProtection="1"/>
    <xf numFmtId="9" fontId="28" fillId="20" borderId="0" xfId="0" applyNumberFormat="1" applyFont="1" applyFill="1" applyBorder="1" applyProtection="1"/>
    <xf numFmtId="165" fontId="28" fillId="20" borderId="0" xfId="0" applyNumberFormat="1" applyFont="1" applyFill="1" applyBorder="1" applyProtection="1"/>
    <xf numFmtId="9" fontId="27" fillId="20" borderId="0" xfId="0" applyNumberFormat="1" applyFont="1" applyFill="1" applyBorder="1" applyProtection="1"/>
    <xf numFmtId="165" fontId="27" fillId="20" borderId="0" xfId="0" applyNumberFormat="1" applyFont="1" applyFill="1" applyBorder="1" applyProtection="1"/>
    <xf numFmtId="0" fontId="27" fillId="20" borderId="0" xfId="0" applyFont="1" applyFill="1" applyBorder="1" applyAlignment="1" applyProtection="1">
      <alignment horizontal="center"/>
    </xf>
    <xf numFmtId="0" fontId="27" fillId="2" borderId="0" xfId="0" applyFont="1" applyFill="1" applyBorder="1" applyAlignment="1" applyProtection="1">
      <alignment vertical="top" wrapText="1"/>
    </xf>
    <xf numFmtId="0" fontId="26" fillId="2" borderId="0" xfId="0" applyFont="1" applyFill="1" applyProtection="1"/>
    <xf numFmtId="0" fontId="28" fillId="21" borderId="57" xfId="0" applyFont="1" applyFill="1" applyBorder="1" applyProtection="1"/>
    <xf numFmtId="0" fontId="27" fillId="21" borderId="57" xfId="0" applyFont="1" applyFill="1" applyBorder="1" applyProtection="1"/>
    <xf numFmtId="0" fontId="27" fillId="21" borderId="0" xfId="0" applyFont="1" applyFill="1" applyProtection="1"/>
    <xf numFmtId="0" fontId="27" fillId="21" borderId="0" xfId="0" applyFont="1" applyFill="1" applyBorder="1" applyProtection="1"/>
    <xf numFmtId="0" fontId="28" fillId="21" borderId="0" xfId="0" applyFont="1" applyFill="1" applyProtection="1"/>
    <xf numFmtId="2" fontId="27" fillId="21" borderId="0" xfId="0" applyNumberFormat="1" applyFont="1" applyFill="1" applyProtection="1"/>
    <xf numFmtId="0" fontId="27" fillId="21" borderId="10" xfId="0" applyFont="1" applyFill="1" applyBorder="1" applyProtection="1"/>
    <xf numFmtId="0" fontId="27" fillId="21" borderId="12" xfId="0" applyFont="1" applyFill="1" applyBorder="1" applyProtection="1"/>
    <xf numFmtId="0" fontId="27" fillId="21" borderId="4" xfId="0" applyFont="1" applyFill="1" applyBorder="1" applyProtection="1"/>
    <xf numFmtId="0" fontId="27" fillId="21" borderId="0" xfId="0" applyFont="1" applyFill="1" applyBorder="1" applyAlignment="1" applyProtection="1">
      <alignment horizontal="right"/>
    </xf>
    <xf numFmtId="0" fontId="27" fillId="21" borderId="54" xfId="0" applyFont="1" applyFill="1" applyBorder="1" applyAlignment="1" applyProtection="1">
      <alignment horizontal="right"/>
    </xf>
    <xf numFmtId="0" fontId="27" fillId="21" borderId="59" xfId="0" applyFont="1" applyFill="1" applyBorder="1" applyProtection="1"/>
    <xf numFmtId="0" fontId="27" fillId="21" borderId="60" xfId="0" applyFont="1" applyFill="1" applyBorder="1" applyAlignment="1" applyProtection="1">
      <alignment horizontal="right"/>
    </xf>
    <xf numFmtId="172" fontId="27" fillId="21" borderId="0" xfId="0" applyNumberFormat="1" applyFont="1" applyFill="1" applyProtection="1"/>
    <xf numFmtId="172" fontId="28" fillId="21" borderId="0" xfId="0" applyNumberFormat="1" applyFont="1" applyFill="1" applyProtection="1"/>
    <xf numFmtId="172" fontId="27" fillId="21" borderId="0" xfId="0" applyNumberFormat="1" applyFont="1" applyFill="1" applyBorder="1" applyProtection="1"/>
    <xf numFmtId="0" fontId="28" fillId="21" borderId="10" xfId="0" applyFont="1" applyFill="1" applyBorder="1" applyProtection="1"/>
    <xf numFmtId="0" fontId="28" fillId="21" borderId="59" xfId="0" applyFont="1" applyFill="1" applyBorder="1" applyProtection="1"/>
    <xf numFmtId="0" fontId="28" fillId="21" borderId="60" xfId="0" applyFont="1" applyFill="1" applyBorder="1" applyProtection="1"/>
    <xf numFmtId="0" fontId="27" fillId="21" borderId="4" xfId="0" applyFont="1" applyFill="1" applyBorder="1" applyAlignment="1" applyProtection="1">
      <alignment horizontal="left" vertical="top" wrapText="1"/>
    </xf>
    <xf numFmtId="0" fontId="27" fillId="21" borderId="0" xfId="0" applyFont="1" applyFill="1" applyBorder="1" applyAlignment="1" applyProtection="1">
      <alignment horizontal="right" vertical="top" wrapText="1"/>
    </xf>
    <xf numFmtId="0" fontId="27" fillId="21" borderId="54" xfId="0" applyFont="1" applyFill="1" applyBorder="1" applyAlignment="1" applyProtection="1">
      <alignment horizontal="right" vertical="top" wrapText="1"/>
    </xf>
    <xf numFmtId="0" fontId="27" fillId="21" borderId="0" xfId="0" applyFont="1" applyFill="1" applyBorder="1" applyAlignment="1" applyProtection="1">
      <alignment vertical="top" wrapText="1"/>
    </xf>
    <xf numFmtId="0" fontId="27" fillId="21" borderId="54" xfId="0" applyFont="1" applyFill="1" applyBorder="1" applyAlignment="1" applyProtection="1">
      <alignment vertical="top" wrapText="1"/>
    </xf>
    <xf numFmtId="0" fontId="30" fillId="21" borderId="60" xfId="0" applyFont="1" applyFill="1" applyBorder="1" applyProtection="1"/>
    <xf numFmtId="0" fontId="28" fillId="20" borderId="0" xfId="0" applyFont="1" applyFill="1" applyBorder="1" applyAlignment="1" applyProtection="1">
      <alignment horizontal="right"/>
    </xf>
    <xf numFmtId="0" fontId="22" fillId="0" borderId="0" xfId="0" applyFont="1"/>
    <xf numFmtId="0" fontId="27" fillId="22" borderId="0" xfId="0" applyFont="1" applyFill="1" applyBorder="1" applyAlignment="1" applyProtection="1">
      <alignment vertical="center"/>
    </xf>
    <xf numFmtId="0" fontId="27" fillId="9" borderId="0" xfId="0" applyFont="1" applyFill="1" applyBorder="1" applyAlignment="1" applyProtection="1">
      <alignment vertical="center"/>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center" vertical="center"/>
    </xf>
    <xf numFmtId="0" fontId="28" fillId="9" borderId="4" xfId="0" applyFont="1" applyFill="1" applyBorder="1" applyAlignment="1" applyProtection="1">
      <alignment horizontal="left" vertical="top"/>
    </xf>
    <xf numFmtId="165" fontId="27" fillId="9" borderId="0" xfId="0" applyNumberFormat="1" applyFont="1" applyFill="1" applyBorder="1" applyAlignment="1" applyProtection="1">
      <alignment horizontal="center" vertical="center"/>
    </xf>
    <xf numFmtId="0" fontId="1" fillId="9" borderId="0" xfId="0" applyFont="1" applyFill="1" applyBorder="1" applyProtection="1"/>
    <xf numFmtId="0" fontId="27" fillId="20" borderId="0" xfId="0" applyFont="1" applyFill="1" applyBorder="1" applyAlignment="1" applyProtection="1">
      <alignment horizontal="right"/>
    </xf>
    <xf numFmtId="0" fontId="28" fillId="9" borderId="4" xfId="0" applyFont="1" applyFill="1" applyBorder="1" applyAlignment="1" applyProtection="1">
      <alignment horizontal="left" vertical="center"/>
    </xf>
    <xf numFmtId="0" fontId="27" fillId="9" borderId="0" xfId="0" applyFont="1" applyFill="1" applyBorder="1" applyAlignment="1" applyProtection="1">
      <alignment horizontal="center"/>
    </xf>
    <xf numFmtId="0" fontId="27" fillId="9" borderId="4" xfId="0" applyFont="1" applyFill="1" applyBorder="1" applyProtection="1"/>
    <xf numFmtId="0" fontId="28" fillId="9" borderId="4" xfId="0" applyFont="1" applyFill="1" applyBorder="1" applyProtection="1"/>
    <xf numFmtId="0" fontId="30" fillId="9" borderId="4" xfId="5" applyFont="1" applyFill="1" applyBorder="1" applyProtection="1"/>
    <xf numFmtId="0" fontId="49" fillId="9" borderId="4" xfId="0" applyNumberFormat="1" applyFont="1" applyFill="1" applyBorder="1" applyAlignment="1" applyProtection="1">
      <alignment horizontal="left" vertical="top"/>
    </xf>
    <xf numFmtId="0" fontId="27" fillId="9" borderId="0" xfId="0" applyFont="1" applyFill="1" applyBorder="1" applyAlignment="1" applyProtection="1"/>
    <xf numFmtId="0" fontId="28" fillId="9" borderId="0" xfId="0" applyFont="1" applyFill="1" applyBorder="1" applyAlignment="1" applyProtection="1">
      <alignment horizontal="center"/>
    </xf>
    <xf numFmtId="0" fontId="30" fillId="24" borderId="0" xfId="0" applyFont="1" applyFill="1" applyProtection="1"/>
    <xf numFmtId="175" fontId="27" fillId="15" borderId="0" xfId="0" applyNumberFormat="1" applyFont="1" applyFill="1" applyBorder="1" applyProtection="1"/>
    <xf numFmtId="0" fontId="22" fillId="2" borderId="0" xfId="0" applyFont="1" applyFill="1" applyProtection="1"/>
    <xf numFmtId="165" fontId="27" fillId="9" borderId="0" xfId="0" applyNumberFormat="1" applyFont="1" applyFill="1" applyBorder="1" applyAlignment="1" applyProtection="1">
      <alignment horizontal="center"/>
    </xf>
    <xf numFmtId="175" fontId="27" fillId="15" borderId="0" xfId="0" applyNumberFormat="1" applyFont="1" applyFill="1" applyBorder="1" applyAlignment="1" applyProtection="1"/>
    <xf numFmtId="173" fontId="27" fillId="15" borderId="0" xfId="0" applyNumberFormat="1" applyFont="1" applyFill="1" applyBorder="1" applyAlignment="1" applyProtection="1"/>
    <xf numFmtId="174" fontId="30" fillId="13" borderId="0" xfId="5" applyNumberFormat="1" applyFont="1" applyFill="1" applyBorder="1" applyProtection="1"/>
    <xf numFmtId="173" fontId="27" fillId="15" borderId="15" xfId="0" applyNumberFormat="1" applyFont="1" applyFill="1" applyBorder="1" applyAlignment="1" applyProtection="1"/>
    <xf numFmtId="173" fontId="27" fillId="15" borderId="15" xfId="0" applyNumberFormat="1" applyFont="1" applyFill="1" applyBorder="1" applyProtection="1"/>
    <xf numFmtId="173" fontId="27" fillId="15" borderId="0" xfId="0" applyNumberFormat="1" applyFont="1" applyFill="1" applyBorder="1" applyAlignment="1" applyProtection="1">
      <alignment horizontal="center"/>
    </xf>
    <xf numFmtId="173" fontId="27" fillId="15" borderId="15" xfId="0" applyNumberFormat="1" applyFont="1" applyFill="1" applyBorder="1" applyAlignment="1" applyProtection="1">
      <alignment horizontal="center"/>
    </xf>
    <xf numFmtId="173" fontId="27" fillId="15" borderId="71" xfId="0" applyNumberFormat="1" applyFont="1" applyFill="1" applyBorder="1" applyProtection="1"/>
    <xf numFmtId="175" fontId="27" fillId="15" borderId="0" xfId="0" applyNumberFormat="1" applyFont="1" applyFill="1" applyAlignment="1" applyProtection="1"/>
    <xf numFmtId="9" fontId="30" fillId="18" borderId="0" xfId="3" applyFont="1" applyFill="1" applyBorder="1" applyAlignment="1" applyProtection="1">
      <alignment horizontal="center"/>
    </xf>
    <xf numFmtId="0" fontId="27" fillId="9" borderId="4" xfId="0" applyFont="1" applyFill="1" applyBorder="1" applyAlignment="1" applyProtection="1">
      <alignment horizontal="left"/>
    </xf>
    <xf numFmtId="0" fontId="30" fillId="9" borderId="59" xfId="5" applyFont="1" applyFill="1" applyBorder="1" applyProtection="1"/>
    <xf numFmtId="1" fontId="27" fillId="9" borderId="0" xfId="0" applyNumberFormat="1" applyFont="1" applyFill="1" applyBorder="1" applyAlignment="1" applyProtection="1">
      <alignment horizontal="center" vertical="center"/>
    </xf>
    <xf numFmtId="0" fontId="30" fillId="18" borderId="0" xfId="0" applyFont="1" applyFill="1" applyBorder="1" applyAlignment="1" applyProtection="1"/>
    <xf numFmtId="0" fontId="28" fillId="9" borderId="4" xfId="0" applyFont="1" applyFill="1" applyBorder="1" applyAlignment="1" applyProtection="1">
      <alignment vertical="center"/>
    </xf>
    <xf numFmtId="0" fontId="28" fillId="9" borderId="59" xfId="0" applyFont="1" applyFill="1" applyBorder="1" applyAlignment="1" applyProtection="1">
      <alignment vertical="center"/>
    </xf>
    <xf numFmtId="0" fontId="49" fillId="9" borderId="4" xfId="0" applyFont="1" applyFill="1" applyBorder="1" applyAlignment="1" applyProtection="1">
      <alignment vertical="top" wrapText="1"/>
    </xf>
    <xf numFmtId="0" fontId="28" fillId="9" borderId="0" xfId="0" applyFont="1" applyFill="1" applyBorder="1" applyProtection="1"/>
    <xf numFmtId="0" fontId="28" fillId="9" borderId="0" xfId="0" applyFont="1" applyFill="1" applyBorder="1" applyAlignment="1" applyProtection="1">
      <alignment vertical="center"/>
    </xf>
    <xf numFmtId="0" fontId="26" fillId="9" borderId="4" xfId="0" applyFont="1" applyFill="1" applyBorder="1" applyProtection="1"/>
    <xf numFmtId="0" fontId="27" fillId="9" borderId="54" xfId="0" applyFont="1" applyFill="1" applyBorder="1" applyProtection="1"/>
    <xf numFmtId="0" fontId="0" fillId="9" borderId="0" xfId="0" applyFill="1" applyBorder="1" applyProtection="1"/>
    <xf numFmtId="0" fontId="0" fillId="9" borderId="54" xfId="0" applyFill="1" applyBorder="1" applyProtection="1"/>
    <xf numFmtId="0" fontId="0" fillId="9" borderId="4" xfId="0" applyFill="1" applyBorder="1" applyProtection="1"/>
    <xf numFmtId="0" fontId="26" fillId="9" borderId="59" xfId="0" applyFont="1" applyFill="1" applyBorder="1" applyProtection="1"/>
    <xf numFmtId="0" fontId="0" fillId="9" borderId="0" xfId="0" applyFill="1" applyProtection="1"/>
    <xf numFmtId="0" fontId="30" fillId="9" borderId="4" xfId="0" applyFont="1" applyFill="1" applyBorder="1" applyProtection="1"/>
    <xf numFmtId="0" fontId="27" fillId="9" borderId="59" xfId="0" applyFont="1" applyFill="1" applyBorder="1" applyProtection="1"/>
    <xf numFmtId="0" fontId="30" fillId="9" borderId="0" xfId="5" applyFont="1" applyFill="1" applyBorder="1" applyAlignment="1" applyProtection="1">
      <alignment horizontal="center"/>
    </xf>
    <xf numFmtId="0" fontId="50" fillId="9" borderId="0" xfId="0" applyFont="1" applyFill="1" applyBorder="1" applyAlignment="1" applyProtection="1">
      <alignment horizontal="center"/>
    </xf>
    <xf numFmtId="0" fontId="22" fillId="9" borderId="0" xfId="0" applyFont="1" applyFill="1" applyBorder="1" applyProtection="1"/>
    <xf numFmtId="0" fontId="22" fillId="9" borderId="59" xfId="0" applyFont="1" applyFill="1" applyBorder="1" applyProtection="1"/>
    <xf numFmtId="0" fontId="29" fillId="2" borderId="0" xfId="0" applyFont="1" applyFill="1" applyProtection="1"/>
    <xf numFmtId="0" fontId="0" fillId="18" borderId="0" xfId="0" applyFill="1" applyProtection="1"/>
    <xf numFmtId="0" fontId="10" fillId="2" borderId="0" xfId="0" applyFont="1" applyFill="1"/>
    <xf numFmtId="0" fontId="57" fillId="9" borderId="4" xfId="0" applyFont="1" applyFill="1" applyBorder="1" applyAlignment="1" applyProtection="1">
      <alignment horizontal="center" vertical="center" wrapText="1"/>
    </xf>
    <xf numFmtId="0" fontId="57" fillId="9" borderId="0" xfId="0" applyFont="1" applyFill="1" applyBorder="1" applyAlignment="1" applyProtection="1">
      <alignment horizontal="center" vertical="center" wrapText="1"/>
    </xf>
    <xf numFmtId="0" fontId="28" fillId="9" borderId="4" xfId="0" applyFont="1" applyFill="1" applyBorder="1" applyAlignment="1" applyProtection="1">
      <alignment vertical="top"/>
    </xf>
    <xf numFmtId="0" fontId="27" fillId="9" borderId="4" xfId="0" applyFont="1" applyFill="1" applyBorder="1" applyAlignment="1" applyProtection="1">
      <alignment vertical="top"/>
    </xf>
    <xf numFmtId="9" fontId="22" fillId="0" borderId="0" xfId="0" applyNumberFormat="1" applyFont="1"/>
    <xf numFmtId="0" fontId="47" fillId="23" borderId="4" xfId="7" applyFont="1" applyFill="1" applyBorder="1" applyProtection="1"/>
    <xf numFmtId="0" fontId="46" fillId="23" borderId="0" xfId="7" applyFont="1" applyFill="1" applyBorder="1" applyAlignment="1" applyProtection="1">
      <alignment horizontal="center" wrapText="1"/>
    </xf>
    <xf numFmtId="0" fontId="46" fillId="23" borderId="0" xfId="7" applyFont="1" applyFill="1" applyBorder="1" applyProtection="1"/>
    <xf numFmtId="0" fontId="46" fillId="22" borderId="0" xfId="7" applyFont="1" applyFill="1" applyBorder="1" applyProtection="1"/>
    <xf numFmtId="0" fontId="30" fillId="9" borderId="0" xfId="0" applyFont="1" applyFill="1" applyProtection="1"/>
    <xf numFmtId="165" fontId="27" fillId="2" borderId="0" xfId="0" applyNumberFormat="1" applyFont="1" applyFill="1" applyBorder="1" applyAlignment="1" applyProtection="1">
      <alignment horizontal="center" vertical="center"/>
    </xf>
    <xf numFmtId="0" fontId="59" fillId="2" borderId="0" xfId="0" applyFont="1" applyFill="1" applyProtection="1"/>
    <xf numFmtId="0" fontId="43" fillId="2" borderId="0" xfId="0" applyFont="1" applyFill="1" applyAlignment="1" applyProtection="1">
      <alignment vertical="center"/>
    </xf>
    <xf numFmtId="165" fontId="27" fillId="9" borderId="0" xfId="0" applyNumberFormat="1" applyFont="1" applyFill="1" applyBorder="1" applyAlignment="1" applyProtection="1">
      <alignment vertical="center"/>
    </xf>
    <xf numFmtId="0" fontId="30" fillId="2" borderId="0" xfId="5" applyFont="1" applyFill="1" applyBorder="1" applyAlignment="1" applyProtection="1">
      <alignment horizontal="center"/>
    </xf>
    <xf numFmtId="0" fontId="30" fillId="2" borderId="0" xfId="0" applyFont="1" applyFill="1" applyAlignment="1" applyProtection="1">
      <alignment horizontal="center"/>
    </xf>
    <xf numFmtId="0" fontId="30" fillId="9" borderId="0" xfId="0" applyFont="1" applyFill="1" applyBorder="1" applyProtection="1"/>
    <xf numFmtId="2" fontId="0" fillId="2" borderId="0" xfId="0" applyNumberFormat="1" applyFill="1" applyProtection="1"/>
    <xf numFmtId="11" fontId="0" fillId="2" borderId="0" xfId="0" applyNumberFormat="1" applyFill="1" applyProtection="1"/>
    <xf numFmtId="0" fontId="30" fillId="2" borderId="0" xfId="0" applyFont="1" applyFill="1" applyProtection="1"/>
    <xf numFmtId="165" fontId="30" fillId="2" borderId="0" xfId="0" applyNumberFormat="1" applyFont="1" applyFill="1" applyAlignment="1" applyProtection="1">
      <alignment horizontal="center"/>
    </xf>
    <xf numFmtId="165" fontId="0" fillId="2" borderId="0" xfId="0" applyNumberFormat="1" applyFill="1" applyProtection="1"/>
    <xf numFmtId="0" fontId="51" fillId="2" borderId="0" xfId="0" applyFont="1" applyFill="1" applyProtection="1"/>
    <xf numFmtId="170" fontId="22" fillId="2" borderId="0" xfId="0" applyNumberFormat="1" applyFont="1" applyFill="1" applyProtection="1"/>
    <xf numFmtId="0" fontId="30" fillId="2" borderId="0" xfId="0" applyFont="1" applyFill="1" applyAlignment="1" applyProtection="1">
      <alignment vertical="center"/>
    </xf>
    <xf numFmtId="0" fontId="27" fillId="2" borderId="0" xfId="0" applyNumberFormat="1" applyFont="1" applyFill="1" applyBorder="1" applyAlignment="1" applyProtection="1">
      <alignment vertical="center"/>
    </xf>
    <xf numFmtId="9" fontId="30" fillId="2" borderId="0" xfId="0" applyNumberFormat="1" applyFont="1" applyFill="1" applyProtection="1"/>
    <xf numFmtId="3" fontId="30" fillId="2" borderId="0" xfId="0" applyNumberFormat="1" applyFont="1" applyFill="1" applyProtection="1"/>
    <xf numFmtId="0" fontId="30" fillId="2" borderId="0" xfId="0" applyFont="1" applyFill="1" applyAlignment="1" applyProtection="1">
      <alignment horizontal="left"/>
    </xf>
    <xf numFmtId="1" fontId="22" fillId="2" borderId="0" xfId="0" applyNumberFormat="1" applyFont="1" applyFill="1" applyProtection="1"/>
    <xf numFmtId="165" fontId="30" fillId="2" borderId="0" xfId="0" applyNumberFormat="1" applyFont="1" applyFill="1" applyProtection="1"/>
    <xf numFmtId="0" fontId="27" fillId="2" borderId="0" xfId="0" applyNumberFormat="1" applyFont="1" applyFill="1" applyBorder="1" applyAlignment="1" applyProtection="1"/>
    <xf numFmtId="0" fontId="30" fillId="2" borderId="0" xfId="0" applyFont="1" applyFill="1" applyAlignment="1" applyProtection="1">
      <alignment horizontal="right" vertical="center"/>
    </xf>
    <xf numFmtId="2" fontId="22" fillId="2" borderId="0" xfId="0" applyNumberFormat="1" applyFont="1" applyFill="1" applyProtection="1"/>
    <xf numFmtId="0" fontId="39" fillId="2" borderId="0" xfId="0" applyFont="1" applyFill="1" applyProtection="1"/>
    <xf numFmtId="2" fontId="30" fillId="2" borderId="0" xfId="0" applyNumberFormat="1" applyFont="1" applyFill="1" applyProtection="1"/>
    <xf numFmtId="2" fontId="30" fillId="2" borderId="0" xfId="0" applyNumberFormat="1" applyFont="1" applyFill="1" applyAlignment="1" applyProtection="1">
      <alignment horizontal="center"/>
    </xf>
    <xf numFmtId="0" fontId="27" fillId="4" borderId="1" xfId="0" applyNumberFormat="1" applyFont="1" applyFill="1" applyBorder="1" applyAlignment="1" applyProtection="1">
      <alignment vertical="center"/>
    </xf>
    <xf numFmtId="0" fontId="27" fillId="4" borderId="1" xfId="0" applyNumberFormat="1" applyFont="1" applyFill="1" applyBorder="1" applyAlignment="1" applyProtection="1"/>
    <xf numFmtId="0" fontId="27" fillId="4" borderId="16" xfId="0" applyNumberFormat="1" applyFont="1" applyFill="1" applyBorder="1" applyAlignment="1" applyProtection="1">
      <alignment vertical="center"/>
    </xf>
    <xf numFmtId="165" fontId="30" fillId="24" borderId="0" xfId="0" applyNumberFormat="1" applyFont="1" applyFill="1" applyProtection="1"/>
    <xf numFmtId="0" fontId="47" fillId="23" borderId="0" xfId="7" applyFont="1" applyFill="1" applyBorder="1" applyAlignment="1" applyProtection="1">
      <alignment horizontal="center" wrapText="1"/>
    </xf>
    <xf numFmtId="3" fontId="30" fillId="18" borderId="0" xfId="0" applyNumberFormat="1" applyFont="1" applyFill="1" applyBorder="1" applyAlignment="1" applyProtection="1">
      <alignment horizontal="center"/>
    </xf>
    <xf numFmtId="3" fontId="30" fillId="19" borderId="0" xfId="0" applyNumberFormat="1" applyFont="1" applyFill="1" applyAlignment="1" applyProtection="1">
      <alignment horizontal="center"/>
    </xf>
    <xf numFmtId="3" fontId="30" fillId="18" borderId="0" xfId="6" applyNumberFormat="1" applyFont="1" applyFill="1" applyBorder="1" applyAlignment="1" applyProtection="1">
      <alignment horizontal="center"/>
    </xf>
    <xf numFmtId="3" fontId="29" fillId="18" borderId="0" xfId="0" applyNumberFormat="1" applyFont="1" applyFill="1" applyBorder="1" applyAlignment="1" applyProtection="1">
      <alignment horizontal="center"/>
    </xf>
    <xf numFmtId="9" fontId="30" fillId="18" borderId="0" xfId="3" applyNumberFormat="1" applyFont="1" applyFill="1" applyBorder="1" applyAlignment="1" applyProtection="1">
      <alignment horizontal="center"/>
    </xf>
    <xf numFmtId="0" fontId="27" fillId="9" borderId="0" xfId="0" applyFont="1" applyFill="1" applyBorder="1" applyAlignment="1" applyProtection="1">
      <alignment horizontal="left"/>
    </xf>
    <xf numFmtId="0" fontId="27" fillId="9" borderId="54" xfId="0" applyFont="1" applyFill="1" applyBorder="1" applyAlignment="1" applyProtection="1"/>
    <xf numFmtId="165" fontId="27" fillId="9" borderId="0" xfId="0" applyNumberFormat="1" applyFont="1" applyFill="1" applyBorder="1" applyAlignment="1" applyProtection="1">
      <alignment horizontal="left" vertical="center"/>
    </xf>
    <xf numFmtId="0" fontId="29" fillId="9" borderId="0" xfId="0" applyFont="1" applyFill="1" applyBorder="1" applyAlignment="1" applyProtection="1">
      <alignment horizontal="right"/>
    </xf>
    <xf numFmtId="0" fontId="28" fillId="13" borderId="80" xfId="0" applyFont="1" applyFill="1" applyBorder="1" applyProtection="1"/>
    <xf numFmtId="164" fontId="27" fillId="13" borderId="80" xfId="0" applyNumberFormat="1" applyFont="1" applyFill="1" applyBorder="1" applyProtection="1"/>
    <xf numFmtId="172" fontId="27" fillId="13" borderId="80" xfId="0" applyNumberFormat="1" applyFont="1" applyFill="1" applyBorder="1" applyProtection="1"/>
    <xf numFmtId="0" fontId="27" fillId="13" borderId="80" xfId="0" applyFont="1" applyFill="1" applyBorder="1" applyProtection="1"/>
    <xf numFmtId="0" fontId="27" fillId="14" borderId="80" xfId="0" applyFont="1" applyFill="1" applyBorder="1" applyAlignment="1" applyProtection="1">
      <alignment horizontal="center"/>
    </xf>
    <xf numFmtId="0" fontId="29" fillId="10" borderId="80" xfId="4" applyFont="1" applyFill="1" applyBorder="1" applyProtection="1"/>
    <xf numFmtId="0" fontId="30" fillId="10" borderId="80" xfId="4" applyFont="1" applyFill="1" applyBorder="1" applyProtection="1"/>
    <xf numFmtId="0" fontId="27" fillId="10" borderId="80" xfId="0" applyFont="1" applyFill="1" applyBorder="1" applyProtection="1"/>
    <xf numFmtId="0" fontId="27" fillId="12" borderId="80" xfId="0" applyFont="1" applyFill="1" applyBorder="1" applyAlignment="1" applyProtection="1">
      <alignment horizontal="center"/>
    </xf>
    <xf numFmtId="165" fontId="27" fillId="10" borderId="80" xfId="0" applyNumberFormat="1" applyFont="1" applyFill="1" applyBorder="1" applyProtection="1"/>
    <xf numFmtId="164" fontId="27" fillId="10" borderId="80" xfId="0" applyNumberFormat="1" applyFont="1" applyFill="1" applyBorder="1" applyProtection="1"/>
    <xf numFmtId="0" fontId="28" fillId="4" borderId="80" xfId="0" applyFont="1" applyFill="1" applyBorder="1" applyProtection="1"/>
    <xf numFmtId="2" fontId="27" fillId="4" borderId="80" xfId="0" applyNumberFormat="1" applyFont="1" applyFill="1" applyBorder="1" applyProtection="1"/>
    <xf numFmtId="0" fontId="27" fillId="4" borderId="80" xfId="0" applyFont="1" applyFill="1" applyBorder="1" applyProtection="1"/>
    <xf numFmtId="0" fontId="28" fillId="11" borderId="80" xfId="0" applyFont="1" applyFill="1" applyBorder="1" applyAlignment="1" applyProtection="1">
      <alignment horizontal="center"/>
    </xf>
    <xf numFmtId="0" fontId="28" fillId="15" borderId="80" xfId="0" applyFont="1" applyFill="1" applyBorder="1" applyProtection="1"/>
    <xf numFmtId="165" fontId="27" fillId="15" borderId="80" xfId="0" applyNumberFormat="1" applyFont="1" applyFill="1" applyBorder="1" applyProtection="1"/>
    <xf numFmtId="0" fontId="27" fillId="15" borderId="80" xfId="0" applyFont="1" applyFill="1" applyBorder="1" applyProtection="1"/>
    <xf numFmtId="0" fontId="28" fillId="16" borderId="80" xfId="0" applyFont="1" applyFill="1" applyBorder="1" applyAlignment="1" applyProtection="1">
      <alignment horizontal="center"/>
    </xf>
    <xf numFmtId="0" fontId="27" fillId="20" borderId="80" xfId="0" applyFont="1" applyFill="1" applyBorder="1" applyProtection="1"/>
    <xf numFmtId="0" fontId="28" fillId="20" borderId="76" xfId="0" applyFont="1" applyFill="1" applyBorder="1" applyProtection="1"/>
    <xf numFmtId="0" fontId="28" fillId="20" borderId="76" xfId="0" applyFont="1" applyFill="1" applyBorder="1" applyAlignment="1" applyProtection="1">
      <alignment horizontal="center"/>
    </xf>
    <xf numFmtId="0" fontId="28" fillId="20" borderId="80" xfId="0" applyFont="1" applyFill="1" applyBorder="1" applyProtection="1"/>
    <xf numFmtId="0" fontId="29" fillId="20" borderId="80" xfId="0" applyFont="1" applyFill="1" applyBorder="1" applyAlignment="1" applyProtection="1">
      <alignment horizontal="left"/>
    </xf>
    <xf numFmtId="0" fontId="27" fillId="21" borderId="76" xfId="0" applyFont="1" applyFill="1" applyBorder="1" applyProtection="1"/>
    <xf numFmtId="0" fontId="27" fillId="21" borderId="80" xfId="0" applyFont="1" applyFill="1" applyBorder="1" applyProtection="1"/>
    <xf numFmtId="0" fontId="27" fillId="21" borderId="80" xfId="0" applyFont="1" applyFill="1" applyBorder="1" applyAlignment="1" applyProtection="1">
      <alignment horizontal="right"/>
    </xf>
    <xf numFmtId="0" fontId="28" fillId="21" borderId="80" xfId="0" applyFont="1" applyFill="1" applyBorder="1" applyProtection="1"/>
    <xf numFmtId="0" fontId="30" fillId="21" borderId="80" xfId="0" applyFont="1" applyFill="1" applyBorder="1" applyProtection="1"/>
    <xf numFmtId="0" fontId="61" fillId="2" borderId="0" xfId="0" applyFont="1" applyFill="1" applyAlignment="1" applyProtection="1">
      <alignment horizontal="center" vertical="center"/>
    </xf>
    <xf numFmtId="0" fontId="26" fillId="9" borderId="78" xfId="0" applyFont="1" applyFill="1" applyBorder="1" applyProtection="1"/>
    <xf numFmtId="0" fontId="0" fillId="9" borderId="76" xfId="0" applyFill="1" applyBorder="1" applyProtection="1"/>
    <xf numFmtId="0" fontId="27" fillId="9" borderId="79" xfId="0" applyFont="1" applyFill="1" applyBorder="1" applyProtection="1"/>
    <xf numFmtId="1" fontId="28" fillId="9" borderId="0" xfId="0" applyNumberFormat="1" applyFont="1" applyFill="1" applyBorder="1" applyProtection="1"/>
    <xf numFmtId="0" fontId="61" fillId="2" borderId="0" xfId="0" applyFont="1" applyFill="1" applyProtection="1"/>
    <xf numFmtId="0" fontId="16" fillId="2" borderId="0" xfId="0" applyFont="1" applyFill="1" applyAlignment="1" applyProtection="1">
      <alignment horizontal="center"/>
    </xf>
    <xf numFmtId="0" fontId="91" fillId="2" borderId="0" xfId="0" applyFont="1" applyFill="1" applyAlignment="1" applyProtection="1">
      <alignment horizontal="center"/>
    </xf>
    <xf numFmtId="0" fontId="0" fillId="2" borderId="0" xfId="0" applyFont="1" applyFill="1" applyProtection="1"/>
    <xf numFmtId="0" fontId="16" fillId="2" borderId="0" xfId="0" applyFont="1" applyFill="1" applyAlignment="1" applyProtection="1">
      <alignment vertical="center"/>
    </xf>
    <xf numFmtId="165" fontId="27" fillId="9" borderId="80" xfId="0" applyNumberFormat="1" applyFont="1" applyFill="1" applyBorder="1" applyAlignment="1" applyProtection="1">
      <alignment vertical="center"/>
    </xf>
    <xf numFmtId="0" fontId="92" fillId="2" borderId="0" xfId="0" applyFont="1" applyFill="1" applyProtection="1"/>
    <xf numFmtId="0" fontId="29" fillId="9" borderId="0" xfId="0" applyFont="1" applyFill="1" applyAlignment="1" applyProtection="1">
      <alignment horizontal="center"/>
    </xf>
    <xf numFmtId="0" fontId="30" fillId="9" borderId="0" xfId="0" applyFont="1" applyFill="1" applyBorder="1" applyAlignment="1" applyProtection="1">
      <alignment horizontal="right"/>
    </xf>
    <xf numFmtId="0" fontId="0" fillId="9" borderId="79" xfId="0" applyFill="1" applyBorder="1" applyProtection="1"/>
    <xf numFmtId="0" fontId="28" fillId="9" borderId="80" xfId="0" applyFont="1" applyFill="1" applyBorder="1" applyAlignment="1" applyProtection="1"/>
    <xf numFmtId="0" fontId="0" fillId="9" borderId="80" xfId="0" applyFill="1" applyBorder="1" applyProtection="1"/>
    <xf numFmtId="0" fontId="22" fillId="9" borderId="4" xfId="0" applyFont="1" applyFill="1" applyBorder="1" applyProtection="1"/>
    <xf numFmtId="0" fontId="22" fillId="9" borderId="80" xfId="0" applyFont="1" applyFill="1" applyBorder="1" applyProtection="1"/>
    <xf numFmtId="3" fontId="30" fillId="18" borderId="0" xfId="0" applyNumberFormat="1" applyFont="1" applyFill="1" applyAlignment="1" applyProtection="1">
      <alignment horizontal="center"/>
    </xf>
    <xf numFmtId="3" fontId="29" fillId="18" borderId="0" xfId="0" applyNumberFormat="1" applyFont="1" applyFill="1" applyAlignment="1" applyProtection="1">
      <alignment horizontal="center"/>
    </xf>
    <xf numFmtId="191" fontId="30" fillId="10" borderId="0" xfId="4" applyNumberFormat="1" applyFont="1" applyFill="1" applyBorder="1" applyProtection="1"/>
    <xf numFmtId="0" fontId="29" fillId="9" borderId="0" xfId="0" applyFont="1" applyFill="1" applyAlignment="1" applyProtection="1">
      <alignment horizontal="center"/>
      <protection locked="0"/>
    </xf>
    <xf numFmtId="165" fontId="17" fillId="0" borderId="30" xfId="0" applyNumberFormat="1" applyFont="1" applyBorder="1" applyAlignment="1">
      <alignment horizontal="center"/>
    </xf>
    <xf numFmtId="165" fontId="17" fillId="0" borderId="31" xfId="0" applyNumberFormat="1" applyFont="1" applyBorder="1" applyAlignment="1">
      <alignment horizontal="center"/>
    </xf>
    <xf numFmtId="165" fontId="17" fillId="0" borderId="28" xfId="0" applyNumberFormat="1" applyFont="1" applyBorder="1" applyAlignment="1">
      <alignment horizontal="center"/>
    </xf>
    <xf numFmtId="165" fontId="17" fillId="0" borderId="29" xfId="0" applyNumberFormat="1" applyFont="1" applyBorder="1" applyAlignment="1">
      <alignment horizontal="center"/>
    </xf>
    <xf numFmtId="165" fontId="1" fillId="25" borderId="30" xfId="0" applyNumberFormat="1" applyFont="1" applyFill="1" applyBorder="1" applyAlignment="1">
      <alignment horizontal="center" wrapText="1"/>
    </xf>
    <xf numFmtId="165" fontId="1" fillId="25" borderId="30" xfId="6" applyNumberFormat="1" applyFont="1" applyFill="1" applyBorder="1" applyAlignment="1">
      <alignment horizontal="center" wrapText="1"/>
    </xf>
    <xf numFmtId="165" fontId="1" fillId="25" borderId="28" xfId="0" applyNumberFormat="1" applyFont="1" applyFill="1" applyBorder="1" applyAlignment="1">
      <alignment horizontal="center" wrapText="1"/>
    </xf>
    <xf numFmtId="165" fontId="1" fillId="25" borderId="29" xfId="0" applyNumberFormat="1" applyFont="1" applyFill="1" applyBorder="1" applyAlignment="1">
      <alignment horizontal="center" wrapText="1"/>
    </xf>
    <xf numFmtId="0" fontId="2" fillId="48" borderId="22" xfId="0" applyFont="1" applyFill="1" applyBorder="1" applyAlignment="1">
      <alignment horizontal="center" wrapText="1"/>
    </xf>
    <xf numFmtId="0" fontId="2" fillId="48" borderId="22" xfId="0" applyFont="1" applyFill="1" applyBorder="1" applyAlignment="1">
      <alignment horizontal="center" wrapText="1"/>
    </xf>
    <xf numFmtId="0" fontId="2" fillId="48" borderId="27" xfId="0" applyFont="1" applyFill="1" applyBorder="1" applyAlignment="1">
      <alignment horizontal="center" wrapText="1"/>
    </xf>
    <xf numFmtId="1" fontId="30" fillId="18" borderId="0" xfId="0" applyNumberFormat="1" applyFont="1" applyFill="1" applyBorder="1" applyAlignment="1" applyProtection="1">
      <alignment horizontal="center"/>
    </xf>
    <xf numFmtId="1" fontId="30" fillId="19" borderId="0" xfId="0" applyNumberFormat="1" applyFont="1" applyFill="1" applyBorder="1" applyAlignment="1" applyProtection="1">
      <alignment horizontal="center"/>
    </xf>
    <xf numFmtId="11" fontId="27" fillId="13" borderId="0" xfId="0" applyNumberFormat="1" applyFont="1" applyFill="1" applyProtection="1"/>
    <xf numFmtId="164" fontId="27" fillId="13" borderId="0" xfId="0" applyNumberFormat="1" applyFont="1" applyFill="1" applyProtection="1"/>
    <xf numFmtId="164" fontId="27" fillId="10" borderId="0" xfId="0" applyNumberFormat="1" applyFont="1" applyFill="1" applyProtection="1"/>
    <xf numFmtId="164" fontId="28" fillId="4" borderId="0" xfId="0" applyNumberFormat="1" applyFont="1" applyFill="1" applyProtection="1"/>
    <xf numFmtId="164" fontId="27" fillId="4" borderId="8" xfId="0" applyNumberFormat="1" applyFont="1" applyFill="1" applyBorder="1" applyProtection="1"/>
    <xf numFmtId="178" fontId="27" fillId="13" borderId="0" xfId="0" applyNumberFormat="1" applyFont="1" applyFill="1" applyBorder="1" applyProtection="1"/>
    <xf numFmtId="178" fontId="30" fillId="13" borderId="0" xfId="5" applyNumberFormat="1" applyFont="1" applyFill="1" applyBorder="1" applyProtection="1"/>
    <xf numFmtId="164" fontId="30" fillId="2" borderId="0" xfId="0" applyNumberFormat="1" applyFont="1" applyFill="1" applyAlignment="1" applyProtection="1">
      <alignment horizontal="center"/>
    </xf>
    <xf numFmtId="176" fontId="30" fillId="13" borderId="0" xfId="5" applyNumberFormat="1" applyFont="1" applyFill="1" applyBorder="1" applyProtection="1"/>
    <xf numFmtId="166" fontId="30" fillId="19" borderId="0" xfId="0" applyNumberFormat="1" applyFont="1" applyFill="1" applyBorder="1" applyAlignment="1" applyProtection="1">
      <alignment horizontal="center"/>
    </xf>
    <xf numFmtId="11" fontId="27" fillId="4" borderId="58" xfId="0" applyNumberFormat="1" applyFont="1" applyFill="1" applyBorder="1" applyProtection="1"/>
    <xf numFmtId="11" fontId="30" fillId="18" borderId="0" xfId="0" applyNumberFormat="1" applyFont="1" applyFill="1" applyBorder="1" applyAlignment="1" applyProtection="1">
      <alignment horizontal="center"/>
    </xf>
    <xf numFmtId="166" fontId="30" fillId="18" borderId="0" xfId="0" applyNumberFormat="1" applyFont="1" applyFill="1" applyBorder="1" applyAlignment="1" applyProtection="1">
      <alignment horizontal="center"/>
    </xf>
    <xf numFmtId="0" fontId="27" fillId="4" borderId="14" xfId="0" applyFont="1" applyFill="1" applyBorder="1" applyProtection="1"/>
    <xf numFmtId="172" fontId="27" fillId="4" borderId="0" xfId="0" applyNumberFormat="1" applyFont="1" applyFill="1" applyProtection="1"/>
    <xf numFmtId="11" fontId="27" fillId="15" borderId="0" xfId="0" applyNumberFormat="1" applyFont="1" applyFill="1" applyProtection="1"/>
    <xf numFmtId="165" fontId="30" fillId="18" borderId="0" xfId="0" applyNumberFormat="1" applyFont="1" applyFill="1" applyBorder="1" applyAlignment="1" applyProtection="1">
      <alignment horizontal="center"/>
    </xf>
    <xf numFmtId="0" fontId="27" fillId="15" borderId="0" xfId="0" applyFont="1" applyFill="1" applyProtection="1"/>
    <xf numFmtId="0" fontId="27" fillId="15" borderId="0" xfId="0" applyFont="1" applyFill="1" applyBorder="1" applyProtection="1"/>
    <xf numFmtId="166" fontId="27" fillId="15" borderId="0" xfId="0" applyNumberFormat="1" applyFont="1" applyFill="1" applyBorder="1" applyProtection="1"/>
    <xf numFmtId="11" fontId="27" fillId="15" borderId="0" xfId="0" applyNumberFormat="1" applyFont="1" applyFill="1" applyBorder="1" applyProtection="1"/>
    <xf numFmtId="3" fontId="30" fillId="18" borderId="0" xfId="0" applyNumberFormat="1" applyFont="1" applyFill="1" applyBorder="1" applyAlignment="1" applyProtection="1">
      <alignment horizontal="center"/>
    </xf>
    <xf numFmtId="3" fontId="29" fillId="18" borderId="0" xfId="0" applyNumberFormat="1" applyFont="1" applyFill="1" applyBorder="1" applyAlignment="1" applyProtection="1">
      <alignment horizontal="center"/>
    </xf>
    <xf numFmtId="1" fontId="30" fillId="18" borderId="0" xfId="0" applyNumberFormat="1" applyFont="1" applyFill="1" applyBorder="1" applyAlignment="1" applyProtection="1">
      <alignment horizontal="center"/>
    </xf>
    <xf numFmtId="0" fontId="27" fillId="2" borderId="0" xfId="0" applyFont="1" applyFill="1" applyBorder="1" applyAlignment="1" applyProtection="1">
      <alignment horizontal="center" vertical="center"/>
      <protection locked="0"/>
    </xf>
    <xf numFmtId="0" fontId="27" fillId="9" borderId="0" xfId="0" applyFont="1" applyFill="1" applyBorder="1" applyAlignment="1" applyProtection="1">
      <alignment horizontal="center"/>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left"/>
    </xf>
    <xf numFmtId="165" fontId="27" fillId="2" borderId="0"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xf>
    <xf numFmtId="0" fontId="30" fillId="2" borderId="0" xfId="0" applyFont="1" applyFill="1" applyAlignment="1" applyProtection="1">
      <alignment horizontal="center"/>
    </xf>
    <xf numFmtId="0" fontId="30" fillId="2" borderId="0" xfId="5" applyFont="1" applyFill="1" applyBorder="1" applyAlignment="1" applyProtection="1">
      <alignment horizontal="center"/>
    </xf>
    <xf numFmtId="0" fontId="57" fillId="9" borderId="4" xfId="0" applyFont="1" applyFill="1" applyBorder="1" applyAlignment="1" applyProtection="1">
      <alignment horizontal="center" vertical="center" wrapText="1"/>
    </xf>
    <xf numFmtId="0" fontId="57" fillId="9" borderId="0" xfId="0" applyFont="1" applyFill="1" applyBorder="1" applyAlignment="1" applyProtection="1">
      <alignment horizontal="center" vertical="center" wrapText="1"/>
    </xf>
    <xf numFmtId="165" fontId="27" fillId="9" borderId="0" xfId="0" applyNumberFormat="1" applyFont="1" applyFill="1" applyBorder="1" applyAlignment="1" applyProtection="1">
      <alignment horizontal="center" vertical="center"/>
    </xf>
    <xf numFmtId="176" fontId="28" fillId="4" borderId="8" xfId="0" applyNumberFormat="1" applyFont="1" applyFill="1" applyBorder="1" applyProtection="1"/>
    <xf numFmtId="165" fontId="27" fillId="9" borderId="0" xfId="0" applyNumberFormat="1" applyFont="1" applyFill="1" applyAlignment="1">
      <alignment horizontal="center"/>
    </xf>
    <xf numFmtId="0" fontId="28" fillId="9" borderId="0" xfId="0" applyFont="1" applyFill="1" applyAlignment="1">
      <alignment horizontal="center"/>
    </xf>
    <xf numFmtId="173" fontId="28" fillId="11" borderId="0" xfId="0" applyNumberFormat="1" applyFont="1" applyFill="1" applyAlignment="1" applyProtection="1">
      <alignment horizontal="center"/>
    </xf>
    <xf numFmtId="174" fontId="28" fillId="11" borderId="0" xfId="0" applyNumberFormat="1" applyFont="1" applyFill="1" applyAlignment="1" applyProtection="1">
      <alignment horizontal="center"/>
    </xf>
    <xf numFmtId="173" fontId="30" fillId="10" borderId="0" xfId="4" applyNumberFormat="1" applyFont="1" applyFill="1" applyBorder="1" applyProtection="1"/>
    <xf numFmtId="166" fontId="30" fillId="10" borderId="0" xfId="4" applyNumberFormat="1" applyFont="1" applyFill="1" applyBorder="1" applyProtection="1"/>
    <xf numFmtId="170" fontId="22" fillId="2" borderId="0" xfId="0" applyNumberFormat="1" applyFont="1" applyFill="1"/>
    <xf numFmtId="2" fontId="30" fillId="2" borderId="0" xfId="0" applyNumberFormat="1" applyFont="1" applyFill="1" applyAlignment="1">
      <alignment horizontal="center"/>
    </xf>
    <xf numFmtId="0" fontId="27" fillId="12" borderId="0" xfId="0" applyFont="1" applyFill="1"/>
    <xf numFmtId="0" fontId="27" fillId="12" borderId="0" xfId="0" applyFont="1" applyFill="1" applyAlignment="1">
      <alignment horizontal="center"/>
    </xf>
    <xf numFmtId="0" fontId="28" fillId="12" borderId="0" xfId="0" applyFont="1" applyFill="1" applyAlignment="1">
      <alignment horizontal="center"/>
    </xf>
    <xf numFmtId="0" fontId="28" fillId="14" borderId="0" xfId="0" applyFont="1" applyFill="1" applyAlignment="1">
      <alignment horizontal="center"/>
    </xf>
    <xf numFmtId="166" fontId="30" fillId="13" borderId="0" xfId="5" applyNumberFormat="1" applyFont="1" applyFill="1" applyBorder="1" applyProtection="1"/>
    <xf numFmtId="175" fontId="27" fillId="13" borderId="0" xfId="0" applyNumberFormat="1" applyFont="1" applyFill="1" applyBorder="1" applyProtection="1"/>
    <xf numFmtId="0" fontId="29" fillId="13" borderId="93" xfId="5" applyFont="1" applyFill="1" applyBorder="1" applyAlignment="1" applyProtection="1">
      <alignment horizontal="center" vertical="top" wrapText="1"/>
    </xf>
    <xf numFmtId="3" fontId="30" fillId="2" borderId="0" xfId="0" applyNumberFormat="1" applyFont="1" applyFill="1"/>
    <xf numFmtId="4" fontId="30" fillId="18" borderId="0" xfId="0" applyNumberFormat="1" applyFont="1" applyFill="1" applyBorder="1" applyAlignment="1" applyProtection="1">
      <alignment horizontal="center"/>
    </xf>
    <xf numFmtId="3" fontId="27" fillId="18" borderId="0" xfId="0" applyNumberFormat="1" applyFont="1" applyFill="1" applyBorder="1" applyAlignment="1" applyProtection="1">
      <alignment horizontal="center"/>
    </xf>
    <xf numFmtId="0" fontId="68" fillId="0" borderId="0" xfId="51"/>
    <xf numFmtId="1" fontId="30" fillId="10" borderId="0" xfId="4" applyNumberFormat="1" applyFont="1" applyFill="1" applyBorder="1" applyProtection="1"/>
    <xf numFmtId="0" fontId="68" fillId="3" borderId="0" xfId="51" applyFill="1"/>
    <xf numFmtId="0" fontId="26" fillId="2" borderId="0" xfId="51" applyFont="1" applyFill="1"/>
    <xf numFmtId="0" fontId="101" fillId="3" borderId="9" xfId="51" applyFont="1" applyFill="1" applyBorder="1"/>
    <xf numFmtId="0" fontId="101" fillId="3" borderId="9" xfId="51" applyFont="1" applyFill="1" applyBorder="1" applyAlignment="1">
      <alignment horizontal="right"/>
    </xf>
    <xf numFmtId="0" fontId="68" fillId="3" borderId="9" xfId="51" applyFill="1" applyBorder="1"/>
    <xf numFmtId="0" fontId="68" fillId="3" borderId="58" xfId="51" applyFill="1" applyBorder="1"/>
    <xf numFmtId="166" fontId="28" fillId="16" borderId="0" xfId="0" applyNumberFormat="1" applyFont="1" applyFill="1" applyAlignment="1" applyProtection="1">
      <alignment horizontal="center"/>
    </xf>
    <xf numFmtId="172" fontId="27" fillId="15" borderId="0" xfId="0" applyNumberFormat="1" applyFont="1" applyFill="1" applyAlignment="1" applyProtection="1">
      <alignment horizontal="right"/>
    </xf>
    <xf numFmtId="174" fontId="27" fillId="16" borderId="0" xfId="0" applyNumberFormat="1" applyFont="1" applyFill="1" applyProtection="1"/>
    <xf numFmtId="174" fontId="27" fillId="16" borderId="0" xfId="0" applyNumberFormat="1" applyFont="1" applyFill="1"/>
    <xf numFmtId="174" fontId="27" fillId="2" borderId="0" xfId="0" applyNumberFormat="1" applyFont="1" applyFill="1" applyProtection="1"/>
    <xf numFmtId="0" fontId="28" fillId="16" borderId="0" xfId="0" applyFont="1" applyFill="1" applyAlignment="1">
      <alignment horizontal="center"/>
    </xf>
    <xf numFmtId="0" fontId="27" fillId="16" borderId="0" xfId="0" applyFont="1" applyFill="1"/>
    <xf numFmtId="3" fontId="30" fillId="24" borderId="0" xfId="0" applyNumberFormat="1" applyFont="1" applyFill="1" applyProtection="1"/>
    <xf numFmtId="3" fontId="30" fillId="18" borderId="0" xfId="0" applyNumberFormat="1" applyFont="1" applyFill="1" applyAlignment="1">
      <alignment horizontal="center"/>
    </xf>
    <xf numFmtId="175" fontId="30" fillId="13" borderId="0" xfId="5" applyNumberFormat="1" applyFont="1" applyFill="1" applyBorder="1" applyProtection="1"/>
    <xf numFmtId="173" fontId="0" fillId="2" borderId="0" xfId="0" applyNumberFormat="1" applyFill="1" applyProtection="1"/>
    <xf numFmtId="177" fontId="27" fillId="15" borderId="0" xfId="0" applyNumberFormat="1" applyFont="1" applyFill="1" applyBorder="1" applyProtection="1"/>
    <xf numFmtId="0" fontId="30" fillId="21" borderId="0" xfId="74" applyFont="1" applyFill="1" applyBorder="1"/>
    <xf numFmtId="0" fontId="30" fillId="2" borderId="0" xfId="74" applyFont="1" applyFill="1"/>
    <xf numFmtId="3" fontId="30" fillId="21" borderId="0" xfId="74" applyNumberFormat="1" applyFont="1" applyFill="1" applyBorder="1" applyAlignment="1">
      <alignment horizontal="center"/>
    </xf>
    <xf numFmtId="0" fontId="30" fillId="21" borderId="0" xfId="74" applyFont="1" applyFill="1" applyBorder="1" applyAlignment="1">
      <alignment horizontal="center"/>
    </xf>
    <xf numFmtId="0" fontId="29" fillId="21" borderId="0" xfId="74" applyFont="1" applyFill="1" applyBorder="1"/>
    <xf numFmtId="2" fontId="29" fillId="21" borderId="0" xfId="74" applyNumberFormat="1" applyFont="1" applyFill="1" applyBorder="1"/>
    <xf numFmtId="0" fontId="29" fillId="21" borderId="0" xfId="74" applyFont="1" applyFill="1" applyBorder="1" applyAlignment="1">
      <alignment vertical="center" wrapText="1"/>
    </xf>
    <xf numFmtId="0" fontId="29" fillId="21" borderId="0" xfId="74" applyFont="1" applyFill="1" applyBorder="1" applyAlignment="1">
      <alignment horizontal="center" vertical="center" wrapText="1"/>
    </xf>
    <xf numFmtId="164" fontId="29" fillId="21" borderId="0" xfId="74" applyNumberFormat="1" applyFont="1" applyFill="1" applyBorder="1" applyAlignment="1">
      <alignment horizontal="center"/>
    </xf>
    <xf numFmtId="0" fontId="30" fillId="21" borderId="0" xfId="74" applyFont="1" applyFill="1" applyBorder="1" applyAlignment="1">
      <alignment vertical="center" wrapText="1"/>
    </xf>
    <xf numFmtId="0" fontId="30" fillId="21" borderId="0" xfId="74" applyFont="1" applyFill="1" applyBorder="1" applyAlignment="1">
      <alignment horizontal="center" vertical="center" wrapText="1"/>
    </xf>
    <xf numFmtId="164" fontId="30" fillId="21" borderId="0" xfId="74" applyNumberFormat="1" applyFont="1" applyFill="1" applyBorder="1" applyAlignment="1">
      <alignment horizontal="center"/>
    </xf>
    <xf numFmtId="0" fontId="30" fillId="21" borderId="0" xfId="0" applyFont="1" applyFill="1" applyBorder="1"/>
    <xf numFmtId="0" fontId="29" fillId="21" borderId="0" xfId="0" applyFont="1" applyFill="1" applyBorder="1" applyAlignment="1">
      <alignment horizontal="center"/>
    </xf>
    <xf numFmtId="0" fontId="30" fillId="0" borderId="0" xfId="0" applyFont="1"/>
    <xf numFmtId="2" fontId="30" fillId="2" borderId="0" xfId="74" applyNumberFormat="1" applyFont="1" applyFill="1"/>
    <xf numFmtId="0" fontId="17" fillId="2" borderId="0" xfId="74" applyFont="1" applyFill="1" applyBorder="1" applyAlignment="1">
      <alignment vertical="center" wrapText="1"/>
    </xf>
    <xf numFmtId="0" fontId="17" fillId="2" borderId="0" xfId="74" applyFont="1" applyFill="1" applyBorder="1" applyAlignment="1">
      <alignment horizontal="center" vertical="center" wrapText="1"/>
    </xf>
    <xf numFmtId="0" fontId="22" fillId="2" borderId="0" xfId="74" applyFont="1" applyFill="1" applyBorder="1"/>
    <xf numFmtId="0" fontId="27" fillId="21" borderId="0" xfId="0" applyFont="1" applyFill="1" applyBorder="1" applyAlignment="1" applyProtection="1">
      <alignment horizontal="center" vertical="top" wrapText="1"/>
    </xf>
    <xf numFmtId="0" fontId="28" fillId="21" borderId="8" xfId="0" applyFont="1" applyFill="1" applyBorder="1" applyAlignment="1" applyProtection="1">
      <alignment horizontal="left"/>
    </xf>
    <xf numFmtId="0" fontId="30" fillId="21" borderId="8" xfId="0" applyFont="1" applyFill="1" applyBorder="1" applyAlignment="1" applyProtection="1">
      <alignment horizontal="center"/>
    </xf>
    <xf numFmtId="0" fontId="27" fillId="21" borderId="55" xfId="0" applyNumberFormat="1" applyFont="1" applyFill="1" applyBorder="1" applyAlignment="1" applyProtection="1">
      <alignment vertical="center"/>
      <protection locked="0"/>
    </xf>
    <xf numFmtId="0" fontId="27" fillId="21" borderId="4" xfId="0" applyNumberFormat="1" applyFont="1" applyFill="1" applyBorder="1" applyAlignment="1" applyProtection="1">
      <alignment vertical="center"/>
      <protection locked="0"/>
    </xf>
    <xf numFmtId="0" fontId="27" fillId="21" borderId="4" xfId="0" applyNumberFormat="1" applyFont="1" applyFill="1" applyBorder="1" applyAlignment="1" applyProtection="1">
      <protection locked="0"/>
    </xf>
    <xf numFmtId="0" fontId="27" fillId="21" borderId="59" xfId="0" applyNumberFormat="1" applyFont="1" applyFill="1" applyBorder="1" applyAlignment="1" applyProtection="1">
      <alignment vertical="center"/>
      <protection locked="0"/>
    </xf>
    <xf numFmtId="0" fontId="27" fillId="21" borderId="58" xfId="0" applyFont="1" applyFill="1" applyBorder="1" applyAlignment="1" applyProtection="1">
      <alignment horizontal="center" vertical="top" wrapText="1"/>
    </xf>
    <xf numFmtId="0" fontId="27" fillId="21" borderId="94" xfId="0" applyFont="1" applyFill="1" applyBorder="1" applyAlignment="1" applyProtection="1">
      <alignment vertical="top" wrapText="1"/>
    </xf>
    <xf numFmtId="1" fontId="27" fillId="21" borderId="0" xfId="0" applyNumberFormat="1" applyFont="1" applyFill="1" applyAlignment="1" applyProtection="1">
      <alignment horizontal="center"/>
    </xf>
    <xf numFmtId="172" fontId="28" fillId="21" borderId="0" xfId="0" applyNumberFormat="1" applyFont="1" applyFill="1" applyAlignment="1" applyProtection="1">
      <alignment horizontal="center"/>
    </xf>
    <xf numFmtId="172" fontId="28" fillId="21" borderId="0" xfId="0" applyNumberFormat="1" applyFont="1" applyFill="1" applyBorder="1" applyProtection="1"/>
    <xf numFmtId="0" fontId="58" fillId="21" borderId="0" xfId="0" applyFont="1" applyFill="1" applyProtection="1"/>
    <xf numFmtId="0" fontId="58" fillId="21" borderId="0" xfId="0" applyFont="1" applyFill="1" applyAlignment="1" applyProtection="1"/>
    <xf numFmtId="0" fontId="30" fillId="21" borderId="0" xfId="0" applyFont="1" applyFill="1" applyAlignment="1" applyProtection="1">
      <alignment horizontal="center"/>
    </xf>
    <xf numFmtId="0" fontId="30" fillId="21" borderId="0" xfId="0" applyFont="1" applyFill="1" applyProtection="1"/>
    <xf numFmtId="3" fontId="30" fillId="2" borderId="0" xfId="0" applyNumberFormat="1" applyFont="1" applyFill="1" applyAlignment="1" applyProtection="1">
      <alignment horizontal="center"/>
      <protection locked="0"/>
    </xf>
    <xf numFmtId="0" fontId="29" fillId="24" borderId="0" xfId="0" applyFont="1" applyFill="1" applyProtection="1">
      <protection locked="0"/>
    </xf>
    <xf numFmtId="193" fontId="27" fillId="2" borderId="0" xfId="0" applyNumberFormat="1" applyFont="1" applyFill="1" applyBorder="1" applyAlignment="1" applyProtection="1">
      <alignment horizontal="center"/>
      <protection locked="0"/>
    </xf>
    <xf numFmtId="2" fontId="30" fillId="24" borderId="0" xfId="0" applyNumberFormat="1" applyFont="1" applyFill="1" applyProtection="1">
      <protection locked="0"/>
    </xf>
    <xf numFmtId="164" fontId="30" fillId="24" borderId="0" xfId="0" applyNumberFormat="1" applyFont="1" applyFill="1" applyProtection="1">
      <protection locked="0"/>
    </xf>
    <xf numFmtId="0" fontId="30" fillId="2" borderId="0" xfId="74" applyFont="1" applyFill="1" applyBorder="1"/>
    <xf numFmtId="0" fontId="30" fillId="2" borderId="0" xfId="0" applyFont="1" applyFill="1" applyBorder="1" applyProtection="1"/>
    <xf numFmtId="164" fontId="30" fillId="15" borderId="0" xfId="0" applyNumberFormat="1" applyFont="1" applyFill="1" applyProtection="1"/>
    <xf numFmtId="178" fontId="27" fillId="15" borderId="0" xfId="0" applyNumberFormat="1" applyFont="1" applyFill="1" applyProtection="1"/>
    <xf numFmtId="175" fontId="27" fillId="4" borderId="0" xfId="0" applyNumberFormat="1" applyFont="1" applyFill="1" applyBorder="1" applyProtection="1">
      <protection locked="0"/>
    </xf>
    <xf numFmtId="173" fontId="27" fillId="15" borderId="58" xfId="0" applyNumberFormat="1" applyFont="1" applyFill="1" applyBorder="1" applyProtection="1"/>
    <xf numFmtId="173" fontId="0" fillId="0" borderId="0" xfId="0" applyNumberFormat="1" applyAlignment="1" applyProtection="1">
      <alignment horizontal="center"/>
      <protection locked="0"/>
    </xf>
    <xf numFmtId="184" fontId="0" fillId="0" borderId="0" xfId="0" applyNumberFormat="1" applyAlignment="1" applyProtection="1">
      <alignment horizontal="center"/>
      <protection locked="0"/>
    </xf>
    <xf numFmtId="185" fontId="27" fillId="15" borderId="0" xfId="0" applyNumberFormat="1" applyFont="1" applyFill="1" applyProtection="1">
      <protection locked="0"/>
    </xf>
    <xf numFmtId="9" fontId="22" fillId="0" borderId="0" xfId="3" applyFont="1"/>
    <xf numFmtId="0" fontId="27" fillId="9" borderId="0" xfId="0" applyFont="1" applyFill="1" applyBorder="1" applyAlignment="1" applyProtection="1">
      <alignment horizontal="center"/>
    </xf>
    <xf numFmtId="0" fontId="27" fillId="9" borderId="0" xfId="0" applyFont="1" applyFill="1" applyAlignment="1" applyProtection="1">
      <alignment horizontal="center"/>
    </xf>
    <xf numFmtId="0" fontId="30" fillId="24" borderId="0" xfId="0" applyFont="1" applyFill="1" applyAlignment="1" applyProtection="1">
      <alignment horizontal="center"/>
      <protection locked="0"/>
    </xf>
    <xf numFmtId="164" fontId="30" fillId="24" borderId="0" xfId="0" applyNumberFormat="1" applyFont="1" applyFill="1" applyAlignment="1" applyProtection="1">
      <alignment horizontal="center"/>
      <protection locked="0"/>
    </xf>
    <xf numFmtId="0" fontId="1" fillId="49" borderId="0" xfId="51" applyFont="1" applyFill="1" applyAlignment="1">
      <alignment horizontal="right" vertical="center"/>
    </xf>
    <xf numFmtId="0" fontId="29" fillId="21" borderId="0" xfId="0" applyFont="1" applyFill="1" applyProtection="1"/>
    <xf numFmtId="0" fontId="29" fillId="21" borderId="0" xfId="0" applyFont="1" applyFill="1" applyAlignment="1" applyProtection="1"/>
    <xf numFmtId="10" fontId="22" fillId="0" borderId="0" xfId="0" applyNumberFormat="1" applyFont="1"/>
    <xf numFmtId="10" fontId="22" fillId="0" borderId="0" xfId="3" applyNumberFormat="1" applyFont="1"/>
    <xf numFmtId="3" fontId="29" fillId="18" borderId="0" xfId="3" applyNumberFormat="1" applyFont="1" applyFill="1" applyBorder="1" applyAlignment="1" applyProtection="1">
      <alignment horizontal="center"/>
    </xf>
    <xf numFmtId="0" fontId="0" fillId="18" borderId="0" xfId="0" applyFill="1" applyProtection="1">
      <protection locked="0"/>
    </xf>
    <xf numFmtId="0" fontId="27" fillId="2" borderId="0" xfId="0" applyFont="1" applyFill="1" applyBorder="1" applyAlignment="1" applyProtection="1">
      <alignment horizontal="center"/>
      <protection locked="0"/>
    </xf>
    <xf numFmtId="0" fontId="27" fillId="9" borderId="0" xfId="0" applyFont="1" applyFill="1" applyBorder="1" applyAlignment="1" applyProtection="1">
      <alignment horizontal="left"/>
    </xf>
    <xf numFmtId="0" fontId="27" fillId="9" borderId="0" xfId="0" applyFont="1" applyFill="1" applyBorder="1" applyAlignment="1" applyProtection="1">
      <alignment horizontal="center"/>
    </xf>
    <xf numFmtId="0" fontId="57" fillId="9" borderId="0" xfId="0" applyFont="1" applyFill="1" applyBorder="1" applyAlignment="1" applyProtection="1">
      <alignment horizontal="center" vertical="center" wrapText="1"/>
    </xf>
    <xf numFmtId="0" fontId="27" fillId="9" borderId="0" xfId="0" applyFont="1" applyFill="1" applyBorder="1" applyAlignment="1" applyProtection="1">
      <alignment horizontal="center"/>
    </xf>
    <xf numFmtId="0" fontId="27" fillId="9" borderId="0" xfId="0" applyFont="1" applyFill="1" applyBorder="1" applyAlignment="1" applyProtection="1">
      <alignment horizontal="left"/>
    </xf>
    <xf numFmtId="0" fontId="57" fillId="9" borderId="0" xfId="0" applyFont="1" applyFill="1" applyBorder="1" applyAlignment="1" applyProtection="1">
      <alignment horizontal="center" vertical="center" wrapText="1"/>
    </xf>
    <xf numFmtId="165" fontId="27" fillId="9" borderId="0" xfId="0" applyNumberFormat="1" applyFont="1" applyFill="1" applyBorder="1" applyAlignment="1" applyProtection="1">
      <alignment horizontal="center" vertical="center"/>
    </xf>
    <xf numFmtId="0" fontId="27" fillId="9" borderId="80" xfId="0" applyFont="1" applyFill="1" applyBorder="1" applyProtection="1">
      <protection locked="0"/>
    </xf>
    <xf numFmtId="0" fontId="27" fillId="9" borderId="9" xfId="0" applyFont="1" applyFill="1" applyBorder="1" applyAlignment="1" applyProtection="1">
      <alignment horizontal="right"/>
    </xf>
    <xf numFmtId="0" fontId="27" fillId="9" borderId="0" xfId="0" applyFont="1" applyFill="1" applyBorder="1" applyAlignment="1" applyProtection="1">
      <alignment horizontal="right"/>
    </xf>
    <xf numFmtId="0" fontId="22" fillId="9" borderId="0" xfId="5" applyFont="1" applyFill="1" applyBorder="1" applyAlignment="1" applyProtection="1">
      <alignment horizontal="right"/>
    </xf>
    <xf numFmtId="0" fontId="30" fillId="9" borderId="80" xfId="5" applyFont="1" applyFill="1" applyBorder="1" applyProtection="1"/>
    <xf numFmtId="2" fontId="30" fillId="9" borderId="0" xfId="0" applyNumberFormat="1" applyFont="1" applyFill="1" applyBorder="1" applyAlignment="1" applyProtection="1">
      <alignment horizontal="center"/>
    </xf>
    <xf numFmtId="2" fontId="27" fillId="9" borderId="0" xfId="0" applyNumberFormat="1" applyFont="1" applyFill="1" applyBorder="1" applyAlignment="1" applyProtection="1">
      <alignment horizontal="center"/>
    </xf>
    <xf numFmtId="2" fontId="22" fillId="9" borderId="0" xfId="0" applyNumberFormat="1" applyFont="1" applyFill="1" applyBorder="1" applyProtection="1">
      <protection locked="0"/>
    </xf>
    <xf numFmtId="0" fontId="0" fillId="9" borderId="56" xfId="0" applyFill="1" applyBorder="1" applyProtection="1">
      <protection locked="0"/>
    </xf>
    <xf numFmtId="189" fontId="0" fillId="9" borderId="54" xfId="0" applyNumberFormat="1" applyFill="1" applyBorder="1" applyProtection="1">
      <protection locked="0"/>
    </xf>
    <xf numFmtId="190" fontId="0" fillId="9" borderId="54" xfId="0" applyNumberFormat="1" applyFill="1" applyBorder="1" applyProtection="1">
      <protection locked="0"/>
    </xf>
    <xf numFmtId="0" fontId="27" fillId="9" borderId="54" xfId="94" applyFont="1" applyFill="1" applyBorder="1"/>
    <xf numFmtId="0" fontId="0" fillId="9" borderId="56" xfId="0" applyFill="1" applyBorder="1"/>
    <xf numFmtId="0" fontId="0" fillId="9" borderId="54" xfId="0" applyFill="1" applyBorder="1"/>
    <xf numFmtId="0" fontId="27" fillId="9" borderId="56" xfId="0" applyFont="1" applyFill="1" applyBorder="1" applyProtection="1">
      <protection locked="0"/>
    </xf>
    <xf numFmtId="0" fontId="0" fillId="9" borderId="94" xfId="0" applyFill="1" applyBorder="1" applyProtection="1">
      <protection locked="0"/>
    </xf>
    <xf numFmtId="2" fontId="22" fillId="9" borderId="0" xfId="0" applyNumberFormat="1" applyFont="1" applyFill="1" applyBorder="1" applyProtection="1"/>
    <xf numFmtId="0" fontId="27" fillId="9" borderId="56" xfId="0" applyFont="1" applyFill="1" applyBorder="1" applyProtection="1"/>
    <xf numFmtId="0" fontId="0" fillId="2" borderId="9" xfId="0" applyFill="1" applyBorder="1" applyProtection="1"/>
    <xf numFmtId="0" fontId="0" fillId="2" borderId="0" xfId="0" applyFill="1" applyBorder="1" applyProtection="1"/>
    <xf numFmtId="2" fontId="0" fillId="9" borderId="54" xfId="0" applyNumberFormat="1" applyFill="1" applyBorder="1" applyProtection="1"/>
    <xf numFmtId="0" fontId="0" fillId="9" borderId="56" xfId="0" applyFill="1" applyBorder="1" applyProtection="1"/>
    <xf numFmtId="165" fontId="29" fillId="18" borderId="0" xfId="3" applyNumberFormat="1" applyFont="1" applyFill="1" applyBorder="1" applyAlignment="1" applyProtection="1">
      <alignment horizontal="center"/>
    </xf>
    <xf numFmtId="4" fontId="30" fillId="18" borderId="0" xfId="3" applyNumberFormat="1" applyFont="1" applyFill="1" applyBorder="1" applyAlignment="1" applyProtection="1">
      <alignment horizontal="center"/>
    </xf>
    <xf numFmtId="0" fontId="27" fillId="9" borderId="108" xfId="0" applyFont="1" applyFill="1" applyBorder="1" applyProtection="1"/>
    <xf numFmtId="0" fontId="27" fillId="9" borderId="108" xfId="0" applyFont="1" applyFill="1" applyBorder="1" applyAlignment="1" applyProtection="1">
      <alignment horizontal="right"/>
    </xf>
    <xf numFmtId="0" fontId="30" fillId="9" borderId="108" xfId="5" applyFont="1" applyFill="1" applyBorder="1" applyProtection="1"/>
    <xf numFmtId="165" fontId="30" fillId="9" borderId="0" xfId="0" applyNumberFormat="1" applyFont="1" applyFill="1" applyBorder="1" applyAlignment="1" applyProtection="1">
      <alignment horizontal="center"/>
    </xf>
    <xf numFmtId="0" fontId="22" fillId="9" borderId="108" xfId="0" applyFont="1" applyFill="1" applyBorder="1" applyProtection="1"/>
    <xf numFmtId="0" fontId="0" fillId="9" borderId="107" xfId="0" applyFill="1" applyBorder="1" applyProtection="1"/>
    <xf numFmtId="0" fontId="27" fillId="9" borderId="54" xfId="0" applyFont="1" applyFill="1" applyBorder="1" applyAlignment="1" applyProtection="1">
      <alignment horizontal="left"/>
      <protection locked="0"/>
    </xf>
    <xf numFmtId="3" fontId="29" fillId="18" borderId="0" xfId="6" applyNumberFormat="1" applyFont="1" applyFill="1" applyBorder="1" applyAlignment="1" applyProtection="1">
      <alignment horizontal="center"/>
    </xf>
    <xf numFmtId="0" fontId="27" fillId="9" borderId="0" xfId="0" applyFont="1" applyFill="1" applyBorder="1" applyAlignment="1" applyProtection="1">
      <alignment horizontal="center"/>
    </xf>
    <xf numFmtId="3" fontId="0" fillId="2" borderId="0" xfId="0" applyNumberFormat="1" applyFill="1" applyProtection="1"/>
    <xf numFmtId="194" fontId="30" fillId="2" borderId="0" xfId="6" applyNumberFormat="1" applyFont="1" applyFill="1" applyProtection="1"/>
    <xf numFmtId="1" fontId="27" fillId="2" borderId="0" xfId="0" applyNumberFormat="1" applyFont="1" applyFill="1" applyBorder="1" applyAlignment="1" applyProtection="1">
      <alignment horizontal="center" vertical="center"/>
    </xf>
    <xf numFmtId="43" fontId="30" fillId="2" borderId="0" xfId="0" applyNumberFormat="1" applyFont="1" applyFill="1" applyProtection="1"/>
    <xf numFmtId="0" fontId="29" fillId="18" borderId="59" xfId="0" applyFont="1" applyFill="1" applyBorder="1" applyProtection="1">
      <protection locked="0"/>
    </xf>
    <xf numFmtId="165" fontId="29" fillId="18" borderId="108" xfId="0" applyNumberFormat="1" applyFont="1" applyFill="1" applyBorder="1" applyAlignment="1" applyProtection="1">
      <alignment horizontal="center"/>
    </xf>
    <xf numFmtId="9" fontId="29" fillId="18" borderId="107" xfId="3" applyFont="1" applyFill="1" applyBorder="1" applyAlignment="1" applyProtection="1">
      <alignment horizontal="left"/>
    </xf>
    <xf numFmtId="0" fontId="29" fillId="18" borderId="59" xfId="0" applyFont="1" applyFill="1" applyBorder="1" applyProtection="1"/>
    <xf numFmtId="165" fontId="30" fillId="18" borderId="108" xfId="0" applyNumberFormat="1" applyFont="1" applyFill="1" applyBorder="1" applyAlignment="1" applyProtection="1">
      <alignment horizontal="center"/>
    </xf>
    <xf numFmtId="0" fontId="0" fillId="18" borderId="0" xfId="0" applyFill="1" applyBorder="1" applyProtection="1">
      <protection locked="0"/>
    </xf>
    <xf numFmtId="0" fontId="29" fillId="18" borderId="4" xfId="0" applyFont="1" applyFill="1" applyBorder="1" applyProtection="1">
      <protection locked="0"/>
    </xf>
    <xf numFmtId="0" fontId="0" fillId="18" borderId="108" xfId="0" applyFill="1" applyBorder="1" applyProtection="1"/>
    <xf numFmtId="0" fontId="0" fillId="18" borderId="59" xfId="0" applyFill="1" applyBorder="1" applyAlignment="1" applyProtection="1">
      <alignment horizontal="center"/>
    </xf>
    <xf numFmtId="0" fontId="0" fillId="18" borderId="108" xfId="0" applyFill="1" applyBorder="1" applyAlignment="1" applyProtection="1">
      <alignment horizontal="center"/>
    </xf>
    <xf numFmtId="0" fontId="0" fillId="18" borderId="0" xfId="0" applyFill="1" applyBorder="1" applyProtection="1"/>
    <xf numFmtId="170" fontId="30" fillId="18" borderId="54" xfId="3" applyNumberFormat="1" applyFont="1" applyFill="1" applyBorder="1" applyAlignment="1" applyProtection="1">
      <alignment horizontal="center"/>
    </xf>
    <xf numFmtId="0" fontId="0" fillId="18" borderId="4" xfId="0" applyFill="1" applyBorder="1" applyProtection="1">
      <protection locked="0"/>
    </xf>
    <xf numFmtId="0" fontId="0" fillId="18" borderId="54" xfId="0" applyFill="1" applyBorder="1" applyProtection="1">
      <protection locked="0"/>
    </xf>
    <xf numFmtId="0" fontId="0" fillId="18" borderId="54" xfId="0" applyFill="1" applyBorder="1" applyProtection="1"/>
    <xf numFmtId="9" fontId="30" fillId="18" borderId="54" xfId="3" applyFont="1" applyFill="1" applyBorder="1" applyAlignment="1" applyProtection="1">
      <alignment horizontal="center"/>
    </xf>
    <xf numFmtId="0" fontId="0" fillId="18" borderId="4" xfId="0" applyFill="1" applyBorder="1" applyProtection="1"/>
    <xf numFmtId="10" fontId="30" fillId="18" borderId="54" xfId="3" applyNumberFormat="1" applyFont="1" applyFill="1" applyBorder="1" applyAlignment="1" applyProtection="1">
      <alignment horizontal="center"/>
    </xf>
    <xf numFmtId="0" fontId="22" fillId="2" borderId="0" xfId="0" applyFont="1" applyFill="1" applyAlignment="1" applyProtection="1">
      <alignment horizontal="center"/>
    </xf>
    <xf numFmtId="165" fontId="30" fillId="2" borderId="0" xfId="3" applyNumberFormat="1" applyFont="1" applyFill="1" applyProtection="1"/>
    <xf numFmtId="165" fontId="22" fillId="2" borderId="0" xfId="3" applyNumberFormat="1" applyFont="1" applyFill="1" applyProtection="1"/>
    <xf numFmtId="0" fontId="27" fillId="9" borderId="0" xfId="0" applyFont="1" applyFill="1" applyBorder="1" applyAlignment="1" applyProtection="1">
      <alignment horizontal="center"/>
    </xf>
    <xf numFmtId="0" fontId="27" fillId="2" borderId="0" xfId="0" applyFont="1" applyFill="1" applyBorder="1" applyAlignment="1" applyProtection="1">
      <alignment horizontal="center" vertical="center"/>
    </xf>
    <xf numFmtId="0" fontId="27" fillId="13" borderId="58" xfId="0" applyFont="1" applyFill="1" applyBorder="1" applyProtection="1"/>
    <xf numFmtId="164" fontId="27" fillId="4" borderId="58" xfId="0" applyNumberFormat="1" applyFont="1" applyFill="1" applyBorder="1" applyProtection="1"/>
    <xf numFmtId="0" fontId="27" fillId="4" borderId="71" xfId="0" applyFont="1" applyFill="1" applyBorder="1" applyAlignment="1" applyProtection="1"/>
    <xf numFmtId="0" fontId="27" fillId="4" borderId="71" xfId="0" applyFont="1" applyFill="1" applyBorder="1" applyProtection="1"/>
    <xf numFmtId="0" fontId="27" fillId="9" borderId="54" xfId="0" applyFont="1" applyFill="1" applyBorder="1" applyAlignment="1" applyProtection="1">
      <alignment horizontal="left"/>
    </xf>
    <xf numFmtId="11" fontId="27" fillId="4" borderId="0" xfId="0" applyNumberFormat="1" applyFont="1" applyFill="1" applyProtection="1"/>
    <xf numFmtId="0" fontId="27" fillId="9" borderId="0" xfId="0" applyFont="1" applyFill="1" applyBorder="1" applyAlignment="1" applyProtection="1">
      <alignment horizontal="left"/>
      <protection locked="0"/>
    </xf>
    <xf numFmtId="0" fontId="27" fillId="9" borderId="0" xfId="0" applyFont="1" applyFill="1" applyBorder="1" applyAlignment="1" applyProtection="1">
      <alignment horizontal="center"/>
      <protection locked="0"/>
    </xf>
    <xf numFmtId="0" fontId="27" fillId="9" borderId="0" xfId="0" applyFont="1" applyFill="1" applyBorder="1" applyAlignment="1" applyProtection="1">
      <alignment horizontal="center"/>
    </xf>
    <xf numFmtId="0" fontId="27" fillId="9" borderId="0" xfId="0" applyFont="1" applyFill="1" applyBorder="1" applyAlignment="1" applyProtection="1">
      <alignment horizontal="center"/>
    </xf>
    <xf numFmtId="0" fontId="27" fillId="2" borderId="0" xfId="0" applyFont="1" applyFill="1" applyBorder="1" applyAlignment="1" applyProtection="1">
      <alignment horizontal="center" vertical="center"/>
      <protection locked="0"/>
    </xf>
    <xf numFmtId="0" fontId="27" fillId="9" borderId="4" xfId="0" applyFont="1" applyFill="1" applyBorder="1" applyAlignment="1" applyProtection="1">
      <alignment horizontal="left"/>
      <protection locked="0"/>
    </xf>
    <xf numFmtId="0" fontId="27" fillId="9" borderId="0" xfId="0" applyFont="1" applyFill="1" applyBorder="1" applyAlignment="1" applyProtection="1">
      <protection locked="0"/>
    </xf>
    <xf numFmtId="0" fontId="27" fillId="9" borderId="4" xfId="0" applyFont="1" applyFill="1" applyBorder="1" applyAlignment="1" applyProtection="1">
      <protection locked="0"/>
    </xf>
    <xf numFmtId="0" fontId="40" fillId="9" borderId="4" xfId="5" applyFont="1" applyFill="1" applyBorder="1" applyProtection="1"/>
    <xf numFmtId="0" fontId="27" fillId="9" borderId="0" xfId="0" applyFont="1" applyFill="1" applyBorder="1" applyAlignment="1" applyProtection="1">
      <alignment horizontal="center"/>
    </xf>
    <xf numFmtId="0" fontId="27" fillId="2" borderId="0" xfId="0" applyFont="1" applyFill="1" applyBorder="1" applyAlignment="1" applyProtection="1">
      <alignment horizontal="center"/>
    </xf>
    <xf numFmtId="172" fontId="27" fillId="13" borderId="58" xfId="0" applyNumberFormat="1" applyFont="1" applyFill="1" applyBorder="1" applyProtection="1"/>
    <xf numFmtId="174" fontId="0" fillId="2" borderId="0" xfId="0" applyNumberFormat="1" applyFill="1" applyProtection="1"/>
    <xf numFmtId="164" fontId="30" fillId="24" borderId="0" xfId="0" applyNumberFormat="1" applyFont="1" applyFill="1" applyAlignment="1" applyProtection="1">
      <alignment horizontal="right"/>
      <protection locked="0"/>
    </xf>
    <xf numFmtId="196" fontId="0" fillId="2" borderId="0" xfId="0" applyNumberFormat="1" applyFill="1" applyProtection="1"/>
    <xf numFmtId="2" fontId="27" fillId="4" borderId="71" xfId="0" applyNumberFormat="1" applyFont="1" applyFill="1" applyBorder="1" applyProtection="1"/>
    <xf numFmtId="2" fontId="27" fillId="4" borderId="70" xfId="0" applyNumberFormat="1" applyFont="1" applyFill="1" applyBorder="1" applyProtection="1"/>
    <xf numFmtId="0" fontId="27" fillId="4" borderId="16" xfId="0" applyFont="1" applyFill="1" applyBorder="1" applyProtection="1"/>
    <xf numFmtId="0" fontId="0" fillId="18" borderId="58" xfId="0" applyFill="1" applyBorder="1" applyProtection="1"/>
    <xf numFmtId="0" fontId="30" fillId="10" borderId="108" xfId="4" applyFont="1" applyFill="1" applyBorder="1" applyProtection="1"/>
    <xf numFmtId="0" fontId="27" fillId="4" borderId="108" xfId="0" applyFont="1" applyFill="1" applyBorder="1" applyProtection="1"/>
    <xf numFmtId="0" fontId="27" fillId="15" borderId="108" xfId="0" applyFont="1" applyFill="1" applyBorder="1" applyProtection="1"/>
    <xf numFmtId="172" fontId="27" fillId="13" borderId="108" xfId="0" applyNumberFormat="1" applyFont="1" applyFill="1" applyBorder="1" applyProtection="1"/>
    <xf numFmtId="164" fontId="27" fillId="10" borderId="108" xfId="0" applyNumberFormat="1" applyFont="1" applyFill="1" applyBorder="1" applyProtection="1"/>
    <xf numFmtId="0" fontId="27" fillId="4" borderId="14" xfId="0" applyFont="1" applyFill="1" applyBorder="1" applyAlignment="1" applyProtection="1"/>
    <xf numFmtId="0" fontId="27" fillId="4" borderId="70" xfId="0" applyFont="1" applyFill="1" applyBorder="1" applyAlignment="1" applyProtection="1"/>
    <xf numFmtId="0" fontId="27" fillId="4" borderId="1" xfId="0" applyFont="1" applyFill="1" applyBorder="1" applyAlignment="1" applyProtection="1"/>
    <xf numFmtId="0" fontId="27" fillId="4" borderId="15" xfId="0" applyFont="1" applyFill="1" applyBorder="1" applyProtection="1"/>
    <xf numFmtId="0" fontId="0" fillId="2" borderId="0" xfId="0" applyFill="1" applyAlignment="1">
      <alignment horizontal="left" wrapText="1"/>
    </xf>
    <xf numFmtId="0" fontId="0" fillId="2" borderId="0" xfId="0" applyFont="1" applyFill="1" applyAlignment="1">
      <alignment horizontal="left" wrapText="1"/>
    </xf>
    <xf numFmtId="0" fontId="30" fillId="2" borderId="0" xfId="0" applyFont="1" applyFill="1" applyBorder="1" applyAlignment="1">
      <alignment horizontal="center"/>
    </xf>
    <xf numFmtId="0" fontId="30" fillId="2" borderId="0" xfId="0" applyFont="1" applyFill="1" applyAlignment="1" applyProtection="1">
      <alignment horizontal="right"/>
      <protection locked="0"/>
    </xf>
    <xf numFmtId="0" fontId="28" fillId="9" borderId="0" xfId="0" applyFont="1" applyFill="1" applyBorder="1" applyAlignment="1" applyProtection="1">
      <protection locked="0"/>
    </xf>
    <xf numFmtId="0" fontId="27" fillId="9" borderId="0" xfId="0" applyFont="1" applyFill="1" applyBorder="1" applyAlignment="1" applyProtection="1">
      <alignment horizontal="left"/>
    </xf>
    <xf numFmtId="0" fontId="0" fillId="2" borderId="0" xfId="0" applyFill="1" applyAlignment="1">
      <alignment wrapText="1"/>
    </xf>
    <xf numFmtId="0" fontId="0" fillId="2" borderId="0" xfId="0" applyFont="1" applyFill="1" applyAlignment="1">
      <alignment horizontal="left" wrapText="1"/>
    </xf>
    <xf numFmtId="3" fontId="0" fillId="2" borderId="0" xfId="0" applyNumberFormat="1" applyFont="1" applyFill="1" applyAlignment="1" applyProtection="1">
      <alignment horizontal="right"/>
      <protection locked="0"/>
    </xf>
    <xf numFmtId="168" fontId="0" fillId="2" borderId="0" xfId="0" applyNumberFormat="1" applyFont="1" applyFill="1" applyAlignment="1" applyProtection="1">
      <alignment horizontal="right"/>
      <protection locked="0"/>
    </xf>
    <xf numFmtId="169" fontId="0" fillId="2" borderId="0" xfId="0" applyNumberFormat="1" applyFont="1" applyFill="1" applyAlignment="1" applyProtection="1">
      <alignment horizontal="right"/>
      <protection locked="0"/>
    </xf>
    <xf numFmtId="0" fontId="27" fillId="9" borderId="0" xfId="0" applyFont="1" applyFill="1" applyBorder="1" applyAlignment="1" applyProtection="1">
      <alignment horizontal="center"/>
    </xf>
    <xf numFmtId="0" fontId="27" fillId="9" borderId="0" xfId="0" applyFont="1" applyFill="1" applyBorder="1" applyAlignment="1" applyProtection="1">
      <alignment horizontal="left"/>
    </xf>
    <xf numFmtId="0" fontId="30" fillId="9" borderId="107" xfId="0" applyFont="1" applyFill="1" applyBorder="1" applyProtection="1">
      <protection locked="0"/>
    </xf>
    <xf numFmtId="1" fontId="27" fillId="9" borderId="80" xfId="0" applyNumberFormat="1" applyFont="1" applyFill="1" applyBorder="1" applyAlignment="1" applyProtection="1">
      <alignment horizontal="center"/>
    </xf>
    <xf numFmtId="193" fontId="27" fillId="9" borderId="0" xfId="0" applyNumberFormat="1" applyFont="1" applyFill="1" applyBorder="1" applyAlignment="1" applyProtection="1">
      <alignment horizontal="center" vertical="center"/>
    </xf>
    <xf numFmtId="0" fontId="107" fillId="2" borderId="0" xfId="0" applyFont="1" applyFill="1" applyProtection="1"/>
    <xf numFmtId="0" fontId="107" fillId="2" borderId="0" xfId="0" applyFont="1" applyFill="1" applyProtection="1">
      <protection locked="0"/>
    </xf>
    <xf numFmtId="165" fontId="30" fillId="2" borderId="0" xfId="3" applyNumberFormat="1" applyFont="1" applyFill="1" applyAlignment="1" applyProtection="1">
      <alignment horizontal="center"/>
    </xf>
    <xf numFmtId="0" fontId="27" fillId="2" borderId="0" xfId="0" applyFont="1" applyFill="1" applyBorder="1" applyAlignment="1" applyProtection="1">
      <alignment horizontal="center"/>
    </xf>
    <xf numFmtId="0" fontId="27" fillId="9" borderId="0" xfId="0" applyFont="1" applyFill="1" applyBorder="1" applyAlignment="1" applyProtection="1">
      <alignment horizontal="left"/>
      <protection locked="0"/>
    </xf>
    <xf numFmtId="0" fontId="27" fillId="9" borderId="0" xfId="0" applyFont="1" applyFill="1" applyBorder="1" applyAlignment="1" applyProtection="1">
      <alignment horizontal="left"/>
    </xf>
    <xf numFmtId="0" fontId="46" fillId="23" borderId="9" xfId="7" applyFont="1" applyFill="1" applyBorder="1" applyAlignment="1" applyProtection="1">
      <alignment horizontal="center" wrapText="1"/>
    </xf>
    <xf numFmtId="0" fontId="28" fillId="9" borderId="9" xfId="0" applyFont="1" applyFill="1" applyBorder="1" applyAlignment="1" applyProtection="1">
      <alignment horizontal="center" vertical="center"/>
      <protection locked="0"/>
    </xf>
    <xf numFmtId="0" fontId="27" fillId="9" borderId="0" xfId="0" applyFont="1" applyFill="1" applyBorder="1" applyAlignment="1" applyProtection="1">
      <alignment horizontal="center"/>
    </xf>
    <xf numFmtId="0" fontId="57" fillId="9" borderId="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protection locked="0"/>
    </xf>
    <xf numFmtId="0" fontId="30" fillId="2" borderId="0" xfId="5" applyFont="1" applyFill="1" applyBorder="1" applyAlignment="1" applyProtection="1">
      <alignment horizontal="center"/>
      <protection locked="0"/>
    </xf>
    <xf numFmtId="0" fontId="27" fillId="9" borderId="0" xfId="0" applyFont="1" applyFill="1" applyBorder="1" applyAlignment="1" applyProtection="1">
      <alignment horizontal="center"/>
    </xf>
    <xf numFmtId="0" fontId="30" fillId="2" borderId="0" xfId="0" applyFont="1" applyFill="1" applyAlignment="1" applyProtection="1">
      <alignment horizontal="center"/>
    </xf>
    <xf numFmtId="0" fontId="46" fillId="23" borderId="9" xfId="7" applyFont="1" applyFill="1" applyBorder="1" applyAlignment="1" applyProtection="1">
      <alignment horizontal="center" wrapText="1"/>
    </xf>
    <xf numFmtId="3" fontId="27" fillId="2" borderId="0" xfId="0" applyNumberFormat="1" applyFont="1" applyFill="1" applyBorder="1" applyAlignment="1" applyProtection="1">
      <alignment horizontal="center"/>
      <protection locked="0"/>
    </xf>
    <xf numFmtId="0" fontId="27" fillId="9" borderId="0" xfId="0" applyFont="1" applyFill="1" applyBorder="1" applyAlignment="1" applyProtection="1">
      <alignment horizontal="left"/>
      <protection locked="0"/>
    </xf>
    <xf numFmtId="0" fontId="27" fillId="9" borderId="0" xfId="0" applyFont="1" applyFill="1" applyBorder="1" applyAlignment="1" applyProtection="1">
      <alignment horizontal="left"/>
    </xf>
    <xf numFmtId="0" fontId="57" fillId="9" borderId="0" xfId="0" applyFont="1" applyFill="1" applyBorder="1" applyAlignment="1" applyProtection="1">
      <alignment horizontal="center" vertical="center" wrapText="1"/>
    </xf>
    <xf numFmtId="0" fontId="28" fillId="9" borderId="9" xfId="0" applyFont="1" applyFill="1" applyBorder="1" applyAlignment="1" applyProtection="1">
      <alignment horizontal="center" vertical="center"/>
    </xf>
    <xf numFmtId="165" fontId="27" fillId="9" borderId="0" xfId="0" applyNumberFormat="1" applyFont="1" applyFill="1" applyBorder="1" applyAlignment="1" applyProtection="1">
      <alignment horizontal="center" vertical="center"/>
    </xf>
    <xf numFmtId="0" fontId="30" fillId="2" borderId="0" xfId="0" applyFont="1" applyFill="1" applyAlignment="1" applyProtection="1">
      <alignment horizontal="center"/>
      <protection locked="0"/>
    </xf>
    <xf numFmtId="0" fontId="0" fillId="9" borderId="107" xfId="0" applyFill="1" applyBorder="1" applyProtection="1">
      <protection locked="0"/>
    </xf>
    <xf numFmtId="0" fontId="0" fillId="9" borderId="108" xfId="0" applyFill="1" applyBorder="1" applyProtection="1">
      <protection locked="0"/>
    </xf>
    <xf numFmtId="0" fontId="30" fillId="9" borderId="54" xfId="0" applyFont="1" applyFill="1" applyBorder="1" applyProtection="1"/>
    <xf numFmtId="0" fontId="27" fillId="9" borderId="108" xfId="0" applyFont="1" applyFill="1" applyBorder="1" applyAlignment="1" applyProtection="1">
      <alignment horizontal="left"/>
      <protection locked="0"/>
    </xf>
    <xf numFmtId="2" fontId="27" fillId="9" borderId="0" xfId="0" applyNumberFormat="1" applyFont="1" applyFill="1" applyBorder="1" applyAlignment="1" applyProtection="1">
      <alignment horizontal="left"/>
    </xf>
    <xf numFmtId="2" fontId="30" fillId="9" borderId="108" xfId="0" applyNumberFormat="1" applyFont="1" applyFill="1" applyBorder="1" applyAlignment="1" applyProtection="1">
      <alignment horizontal="left"/>
    </xf>
    <xf numFmtId="0" fontId="22" fillId="9" borderId="0" xfId="0" applyFont="1" applyFill="1" applyBorder="1" applyAlignment="1" applyProtection="1">
      <alignment horizontal="center"/>
      <protection locked="0"/>
    </xf>
    <xf numFmtId="0" fontId="29" fillId="9" borderId="0" xfId="0" applyFont="1" applyFill="1" applyAlignment="1" applyProtection="1">
      <alignment horizontal="left"/>
      <protection locked="0"/>
    </xf>
    <xf numFmtId="0" fontId="29" fillId="9" borderId="0" xfId="0" applyFont="1" applyFill="1" applyAlignment="1">
      <alignment horizontal="left"/>
    </xf>
    <xf numFmtId="2" fontId="30" fillId="9" borderId="0" xfId="0" applyNumberFormat="1" applyFont="1" applyFill="1" applyBorder="1" applyAlignment="1" applyProtection="1">
      <alignment horizontal="left"/>
    </xf>
    <xf numFmtId="9" fontId="27" fillId="9" borderId="0" xfId="3" applyFont="1" applyFill="1" applyBorder="1" applyAlignment="1" applyProtection="1">
      <alignment horizontal="left"/>
    </xf>
    <xf numFmtId="2" fontId="22" fillId="9" borderId="0" xfId="0" applyNumberFormat="1" applyFont="1" applyFill="1" applyBorder="1" applyAlignment="1" applyProtection="1">
      <alignment horizontal="left"/>
    </xf>
    <xf numFmtId="0" fontId="27" fillId="9" borderId="108" xfId="0" applyFont="1" applyFill="1" applyBorder="1" applyAlignment="1" applyProtection="1">
      <alignment horizontal="left"/>
    </xf>
    <xf numFmtId="0" fontId="28" fillId="9" borderId="108" xfId="0" applyFont="1" applyFill="1" applyBorder="1" applyAlignment="1" applyProtection="1">
      <alignment vertical="center"/>
    </xf>
    <xf numFmtId="0" fontId="26" fillId="9" borderId="2" xfId="0" applyFont="1" applyFill="1" applyBorder="1" applyAlignment="1" applyProtection="1">
      <alignment vertical="top"/>
    </xf>
    <xf numFmtId="0" fontId="26" fillId="9" borderId="2" xfId="0" applyFont="1" applyFill="1" applyBorder="1" applyAlignment="1" applyProtection="1">
      <alignment horizontal="left" vertical="center"/>
    </xf>
    <xf numFmtId="0" fontId="26" fillId="23" borderId="2" xfId="7" applyFont="1" applyFill="1" applyBorder="1" applyProtection="1"/>
    <xf numFmtId="0" fontId="26" fillId="9" borderId="2" xfId="0" applyFont="1" applyFill="1" applyBorder="1" applyAlignment="1" applyProtection="1">
      <alignment horizontal="left"/>
    </xf>
    <xf numFmtId="0" fontId="26" fillId="9" borderId="4" xfId="0" applyFont="1" applyFill="1" applyBorder="1" applyAlignment="1" applyProtection="1">
      <alignment vertical="top"/>
    </xf>
    <xf numFmtId="0" fontId="108" fillId="23" borderId="2" xfId="7" applyFont="1" applyFill="1" applyBorder="1" applyProtection="1"/>
    <xf numFmtId="0" fontId="30" fillId="9" borderId="54" xfId="0" applyFont="1" applyFill="1" applyBorder="1"/>
    <xf numFmtId="0" fontId="22" fillId="9" borderId="0" xfId="0" applyFont="1" applyFill="1" applyBorder="1" applyAlignment="1" applyProtection="1">
      <alignment horizontal="left"/>
    </xf>
    <xf numFmtId="0" fontId="28" fillId="2" borderId="0" xfId="0" applyFont="1" applyFill="1" applyBorder="1" applyAlignment="1" applyProtection="1">
      <protection locked="0"/>
    </xf>
    <xf numFmtId="0" fontId="29" fillId="2" borderId="0" xfId="4" applyFont="1" applyFill="1" applyBorder="1" applyAlignment="1" applyProtection="1">
      <alignment horizontal="center" wrapText="1"/>
      <protection locked="0"/>
    </xf>
    <xf numFmtId="0" fontId="27" fillId="9" borderId="56" xfId="0" applyFont="1" applyFill="1" applyBorder="1" applyAlignment="1" applyProtection="1">
      <alignment horizontal="left"/>
    </xf>
    <xf numFmtId="0" fontId="27" fillId="2" borderId="0" xfId="0" applyFont="1" applyFill="1" applyBorder="1" applyAlignment="1" applyProtection="1">
      <alignment horizontal="center"/>
    </xf>
    <xf numFmtId="0" fontId="27" fillId="2" borderId="0" xfId="0" applyFont="1" applyFill="1" applyBorder="1" applyAlignment="1" applyProtection="1">
      <alignment horizontal="center" vertical="center"/>
    </xf>
    <xf numFmtId="0" fontId="28" fillId="9" borderId="54" xfId="0" applyFont="1" applyFill="1" applyBorder="1" applyAlignment="1" applyProtection="1">
      <alignment horizontal="right"/>
    </xf>
    <xf numFmtId="197" fontId="30" fillId="2" borderId="0" xfId="0" applyNumberFormat="1" applyFont="1" applyFill="1"/>
    <xf numFmtId="0" fontId="30" fillId="2" borderId="0" xfId="0" applyFont="1" applyFill="1" applyAlignment="1">
      <alignment horizontal="right"/>
    </xf>
    <xf numFmtId="197" fontId="30" fillId="2" borderId="0" xfId="0" applyNumberFormat="1" applyFont="1" applyFill="1" applyAlignment="1">
      <alignment horizontal="right"/>
    </xf>
    <xf numFmtId="0" fontId="30" fillId="2" borderId="0" xfId="0" applyFont="1" applyFill="1" applyAlignment="1">
      <alignment horizontal="center"/>
    </xf>
    <xf numFmtId="165" fontId="30" fillId="2" borderId="0" xfId="0" applyNumberFormat="1" applyFont="1" applyFill="1"/>
    <xf numFmtId="9" fontId="30" fillId="2" borderId="0" xfId="3" applyFont="1" applyFill="1" applyAlignment="1">
      <alignment horizontal="center"/>
    </xf>
    <xf numFmtId="0" fontId="30" fillId="2" borderId="108" xfId="0" applyFont="1" applyFill="1" applyBorder="1"/>
    <xf numFmtId="165" fontId="30" fillId="2" borderId="108" xfId="0" applyNumberFormat="1" applyFont="1" applyFill="1" applyBorder="1"/>
    <xf numFmtId="197" fontId="30" fillId="2" borderId="108" xfId="0" applyNumberFormat="1" applyFont="1" applyFill="1" applyBorder="1"/>
    <xf numFmtId="9" fontId="30" fillId="2" borderId="108" xfId="3" applyFont="1" applyFill="1" applyBorder="1" applyAlignment="1">
      <alignment horizontal="center"/>
    </xf>
    <xf numFmtId="165" fontId="30" fillId="2" borderId="0" xfId="0" applyNumberFormat="1" applyFont="1" applyFill="1" applyAlignment="1">
      <alignment horizontal="right"/>
    </xf>
    <xf numFmtId="0" fontId="29" fillId="2" borderId="0" xfId="0" applyFont="1" applyFill="1"/>
    <xf numFmtId="9" fontId="30" fillId="2" borderId="0" xfId="3" applyFont="1" applyFill="1" applyAlignment="1">
      <alignment horizontal="right"/>
    </xf>
    <xf numFmtId="197" fontId="30" fillId="2" borderId="0" xfId="3" applyNumberFormat="1" applyFont="1" applyFill="1" applyAlignment="1">
      <alignment horizontal="right"/>
    </xf>
    <xf numFmtId="198" fontId="30" fillId="2" borderId="0" xfId="0" applyNumberFormat="1" applyFont="1" applyFill="1" applyAlignment="1">
      <alignment horizontal="right"/>
    </xf>
    <xf numFmtId="0" fontId="30" fillId="2" borderId="0" xfId="0" applyFont="1" applyFill="1" applyAlignment="1">
      <alignment horizontal="left" indent="1"/>
    </xf>
    <xf numFmtId="199" fontId="30" fillId="2" borderId="0" xfId="0" applyNumberFormat="1" applyFont="1" applyFill="1" applyAlignment="1">
      <alignment horizontal="right"/>
    </xf>
    <xf numFmtId="197" fontId="30" fillId="2" borderId="0" xfId="0" applyNumberFormat="1" applyFont="1" applyFill="1" applyAlignment="1">
      <alignment horizontal="center"/>
    </xf>
    <xf numFmtId="170" fontId="30" fillId="2" borderId="0" xfId="3" applyNumberFormat="1" applyFont="1" applyFill="1" applyAlignment="1">
      <alignment horizontal="center"/>
    </xf>
    <xf numFmtId="199" fontId="30" fillId="2" borderId="0" xfId="0" applyNumberFormat="1" applyFont="1" applyFill="1" applyAlignment="1">
      <alignment horizontal="center"/>
    </xf>
    <xf numFmtId="197" fontId="30" fillId="2" borderId="108" xfId="0" applyNumberFormat="1" applyFont="1" applyFill="1" applyBorder="1" applyAlignment="1">
      <alignment horizontal="center"/>
    </xf>
    <xf numFmtId="170" fontId="30" fillId="2" borderId="108" xfId="3" applyNumberFormat="1" applyFont="1" applyFill="1" applyBorder="1" applyAlignment="1">
      <alignment horizontal="center"/>
    </xf>
    <xf numFmtId="199" fontId="30" fillId="2" borderId="108" xfId="0" applyNumberFormat="1" applyFont="1" applyFill="1" applyBorder="1" applyAlignment="1">
      <alignment horizontal="center"/>
    </xf>
    <xf numFmtId="9" fontId="30" fillId="2" borderId="9" xfId="3" applyFont="1" applyFill="1" applyBorder="1" applyAlignment="1">
      <alignment horizontal="center"/>
    </xf>
    <xf numFmtId="0" fontId="30" fillId="2" borderId="9" xfId="0" applyFont="1" applyFill="1" applyBorder="1"/>
    <xf numFmtId="165" fontId="30" fillId="2" borderId="9" xfId="0" applyNumberFormat="1" applyFont="1" applyFill="1" applyBorder="1" applyAlignment="1">
      <alignment horizontal="right"/>
    </xf>
    <xf numFmtId="197" fontId="30" fillId="2" borderId="9" xfId="0" applyNumberFormat="1" applyFont="1" applyFill="1" applyBorder="1"/>
    <xf numFmtId="0" fontId="27" fillId="9" borderId="0" xfId="0" applyFont="1" applyFill="1" applyBorder="1" applyAlignment="1" applyProtection="1">
      <alignment horizontal="left"/>
      <protection locked="0"/>
    </xf>
    <xf numFmtId="0" fontId="27" fillId="9" borderId="0" xfId="0" applyFont="1" applyFill="1" applyBorder="1" applyAlignment="1" applyProtection="1">
      <alignment horizontal="left"/>
    </xf>
    <xf numFmtId="0" fontId="46" fillId="23" borderId="9" xfId="7" applyFont="1" applyFill="1" applyBorder="1" applyAlignment="1" applyProtection="1">
      <alignment horizontal="center" wrapText="1"/>
    </xf>
    <xf numFmtId="0" fontId="27" fillId="9" borderId="0" xfId="0" applyFont="1" applyFill="1" applyBorder="1" applyAlignment="1" applyProtection="1">
      <alignment horizontal="center"/>
    </xf>
    <xf numFmtId="0" fontId="28" fillId="9" borderId="9" xfId="0" applyFont="1" applyFill="1" applyBorder="1" applyAlignment="1" applyProtection="1">
      <alignment horizontal="center" vertical="center"/>
    </xf>
    <xf numFmtId="0" fontId="57" fillId="9" borderId="0" xfId="0" applyFont="1" applyFill="1" applyBorder="1" applyAlignment="1" applyProtection="1">
      <alignment horizontal="center" vertical="center" wrapText="1"/>
    </xf>
    <xf numFmtId="0" fontId="27" fillId="2" borderId="0" xfId="0" applyFont="1" applyFill="1" applyBorder="1" applyAlignment="1" applyProtection="1">
      <alignment horizontal="center"/>
    </xf>
    <xf numFmtId="165" fontId="27" fillId="9" borderId="0" xfId="0" applyNumberFormat="1" applyFont="1" applyFill="1" applyBorder="1" applyAlignment="1" applyProtection="1">
      <alignment horizontal="center" vertical="center"/>
    </xf>
    <xf numFmtId="11" fontId="30" fillId="13" borderId="0" xfId="5" applyNumberFormat="1" applyFont="1" applyFill="1" applyBorder="1" applyProtection="1"/>
    <xf numFmtId="172" fontId="29" fillId="18" borderId="0" xfId="0" applyNumberFormat="1" applyFont="1" applyFill="1" applyBorder="1" applyAlignment="1" applyProtection="1">
      <alignment horizontal="center"/>
    </xf>
    <xf numFmtId="0" fontId="28" fillId="9" borderId="0" xfId="0" applyFont="1" applyFill="1" applyBorder="1" applyAlignment="1" applyProtection="1"/>
    <xf numFmtId="0" fontId="28" fillId="9" borderId="108" xfId="0" applyFont="1" applyFill="1" applyBorder="1" applyAlignment="1" applyProtection="1"/>
    <xf numFmtId="10" fontId="30" fillId="2" borderId="0" xfId="0" applyNumberFormat="1" applyFont="1" applyFill="1"/>
    <xf numFmtId="9" fontId="30" fillId="2" borderId="0" xfId="3" applyNumberFormat="1" applyFont="1" applyFill="1" applyAlignment="1">
      <alignment horizontal="right"/>
    </xf>
    <xf numFmtId="9" fontId="30" fillId="2" borderId="0" xfId="0" applyNumberFormat="1" applyFont="1" applyFill="1"/>
    <xf numFmtId="3" fontId="0" fillId="2" borderId="0" xfId="0" applyNumberFormat="1" applyFill="1" applyProtection="1">
      <protection locked="0"/>
    </xf>
    <xf numFmtId="11" fontId="30" fillId="2" borderId="0" xfId="0" applyNumberFormat="1" applyFont="1" applyFill="1"/>
    <xf numFmtId="2" fontId="29" fillId="18" borderId="108" xfId="0" applyNumberFormat="1" applyFont="1" applyFill="1" applyBorder="1" applyAlignment="1" applyProtection="1">
      <alignment horizontal="center"/>
    </xf>
    <xf numFmtId="3" fontId="0" fillId="18" borderId="0" xfId="0" applyNumberFormat="1" applyFill="1" applyProtection="1"/>
    <xf numFmtId="0" fontId="13" fillId="6" borderId="59" xfId="0" applyFont="1" applyFill="1" applyBorder="1" applyProtection="1"/>
    <xf numFmtId="10" fontId="13" fillId="6" borderId="107" xfId="3" applyNumberFormat="1" applyFont="1" applyFill="1" applyBorder="1" applyAlignment="1" applyProtection="1">
      <alignment horizontal="center" wrapText="1"/>
    </xf>
    <xf numFmtId="170" fontId="13" fillId="6" borderId="107" xfId="3" applyNumberFormat="1" applyFont="1" applyFill="1" applyBorder="1" applyAlignment="1" applyProtection="1">
      <alignment horizontal="center" wrapText="1"/>
    </xf>
    <xf numFmtId="9" fontId="0" fillId="0" borderId="0" xfId="3" applyFont="1"/>
    <xf numFmtId="0" fontId="0" fillId="0" borderId="0" xfId="0" applyFont="1"/>
    <xf numFmtId="9" fontId="22" fillId="0" borderId="0" xfId="3" applyNumberFormat="1" applyFont="1"/>
    <xf numFmtId="0" fontId="0" fillId="2" borderId="0" xfId="0" applyFill="1" applyAlignment="1">
      <alignment wrapText="1"/>
    </xf>
    <xf numFmtId="0" fontId="27" fillId="2" borderId="0" xfId="0" applyFont="1" applyFill="1" applyBorder="1" applyAlignment="1" applyProtection="1">
      <alignment horizontal="center"/>
      <protection locked="0"/>
    </xf>
    <xf numFmtId="165" fontId="27" fillId="2" borderId="0" xfId="0" applyNumberFormat="1" applyFont="1" applyFill="1" applyBorder="1" applyAlignment="1" applyProtection="1">
      <alignment horizontal="center" vertical="center"/>
      <protection locked="0"/>
    </xf>
    <xf numFmtId="165" fontId="27" fillId="2" borderId="0"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vertical="center"/>
      <protection locked="0"/>
    </xf>
    <xf numFmtId="0" fontId="27" fillId="9" borderId="0" xfId="0" applyFont="1" applyFill="1" applyBorder="1" applyAlignment="1" applyProtection="1">
      <alignment horizontal="left"/>
      <protection locked="0"/>
    </xf>
    <xf numFmtId="3" fontId="27" fillId="2" borderId="0" xfId="0" applyNumberFormat="1" applyFont="1" applyFill="1" applyBorder="1" applyAlignment="1" applyProtection="1">
      <alignment horizontal="center"/>
      <protection locked="0"/>
    </xf>
    <xf numFmtId="0" fontId="27" fillId="9" borderId="0" xfId="0" applyFont="1" applyFill="1" applyBorder="1" applyAlignment="1" applyProtection="1">
      <alignment horizontal="left"/>
    </xf>
    <xf numFmtId="165" fontId="27" fillId="9" borderId="0" xfId="0" applyNumberFormat="1" applyFont="1" applyFill="1" applyBorder="1" applyAlignment="1" applyProtection="1">
      <alignment horizontal="center" vertical="center"/>
    </xf>
    <xf numFmtId="0" fontId="30" fillId="2" borderId="0" xfId="0" applyFont="1" applyFill="1" applyAlignment="1" applyProtection="1">
      <alignment horizontal="center"/>
      <protection locked="0"/>
    </xf>
    <xf numFmtId="1" fontId="27" fillId="2" borderId="0" xfId="0" applyNumberFormat="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protection locked="0"/>
    </xf>
    <xf numFmtId="0" fontId="22" fillId="9" borderId="108" xfId="0" applyFont="1" applyFill="1" applyBorder="1" applyProtection="1">
      <protection locked="0"/>
    </xf>
    <xf numFmtId="0" fontId="28" fillId="9" borderId="108" xfId="0" applyFont="1" applyFill="1" applyBorder="1" applyAlignment="1" applyProtection="1">
      <alignment horizontal="center"/>
    </xf>
    <xf numFmtId="2" fontId="30" fillId="9" borderId="108" xfId="0" applyNumberFormat="1" applyFont="1" applyFill="1" applyBorder="1" applyAlignment="1" applyProtection="1">
      <alignment horizontal="center"/>
    </xf>
    <xf numFmtId="0" fontId="0" fillId="2" borderId="4" xfId="0" applyFill="1" applyBorder="1" applyProtection="1">
      <protection locked="0"/>
    </xf>
    <xf numFmtId="0" fontId="27" fillId="9" borderId="108" xfId="0" applyFont="1" applyFill="1" applyBorder="1" applyAlignment="1" applyProtection="1">
      <alignment horizontal="center" vertical="center"/>
    </xf>
    <xf numFmtId="0" fontId="27" fillId="9" borderId="108" xfId="0" applyFont="1" applyFill="1" applyBorder="1" applyAlignment="1" applyProtection="1">
      <alignment vertical="center"/>
    </xf>
    <xf numFmtId="0" fontId="0" fillId="9" borderId="108" xfId="0" applyFill="1" applyBorder="1" applyProtection="1"/>
    <xf numFmtId="0" fontId="27" fillId="9" borderId="54" xfId="0" applyFont="1" applyFill="1" applyBorder="1" applyAlignment="1" applyProtection="1">
      <alignment horizontal="right"/>
    </xf>
    <xf numFmtId="0" fontId="27" fillId="9" borderId="79" xfId="0" applyFont="1" applyFill="1" applyBorder="1" applyAlignment="1" applyProtection="1">
      <alignment horizontal="left"/>
    </xf>
    <xf numFmtId="0" fontId="110" fillId="2" borderId="0" xfId="0" applyFont="1" applyFill="1"/>
    <xf numFmtId="0" fontId="30" fillId="2" borderId="0" xfId="5" applyFont="1" applyFill="1" applyBorder="1" applyAlignment="1" applyProtection="1">
      <alignment horizontal="center"/>
      <protection locked="0"/>
    </xf>
    <xf numFmtId="0" fontId="13" fillId="4" borderId="59" xfId="0" applyFont="1" applyFill="1" applyBorder="1" applyProtection="1"/>
    <xf numFmtId="0" fontId="13" fillId="4" borderId="108" xfId="0" applyFont="1" applyFill="1" applyBorder="1" applyProtection="1"/>
    <xf numFmtId="0" fontId="0" fillId="2" borderId="0" xfId="0" applyFill="1" applyAlignment="1">
      <alignment wrapText="1"/>
    </xf>
    <xf numFmtId="3" fontId="27"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horizontal="center" vertical="center"/>
      <protection locked="0"/>
    </xf>
    <xf numFmtId="165" fontId="27"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protection locked="0"/>
    </xf>
    <xf numFmtId="0" fontId="30" fillId="2" borderId="0" xfId="5" applyFont="1" applyFill="1" applyBorder="1" applyAlignment="1" applyProtection="1">
      <alignment horizontal="center"/>
      <protection locked="0"/>
    </xf>
    <xf numFmtId="0" fontId="30" fillId="2" borderId="0" xfId="0" applyFont="1" applyFill="1" applyAlignment="1" applyProtection="1">
      <alignment horizontal="center"/>
      <protection locked="0"/>
    </xf>
    <xf numFmtId="2" fontId="30" fillId="21" borderId="0" xfId="74" applyNumberFormat="1" applyFont="1" applyFill="1" applyBorder="1" applyAlignment="1">
      <alignment horizontal="center"/>
    </xf>
    <xf numFmtId="0" fontId="29" fillId="21" borderId="0" xfId="74" applyFont="1" applyFill="1" applyBorder="1" applyAlignment="1">
      <alignment horizontal="center"/>
    </xf>
    <xf numFmtId="2" fontId="29" fillId="21" borderId="0" xfId="74" applyNumberFormat="1" applyFont="1" applyFill="1" applyBorder="1" applyAlignment="1">
      <alignment horizontal="center"/>
    </xf>
    <xf numFmtId="0" fontId="27" fillId="2" borderId="0" xfId="0" applyFont="1" applyFill="1" applyBorder="1" applyAlignment="1" applyProtection="1">
      <alignment horizontal="center"/>
    </xf>
    <xf numFmtId="0" fontId="28" fillId="20" borderId="80" xfId="0" applyFont="1" applyFill="1" applyBorder="1" applyAlignment="1" applyProtection="1">
      <alignment horizontal="center"/>
    </xf>
    <xf numFmtId="0" fontId="28" fillId="21" borderId="0" xfId="0" applyFont="1" applyFill="1" applyBorder="1" applyAlignment="1" applyProtection="1">
      <alignment vertical="top" wrapText="1"/>
    </xf>
    <xf numFmtId="0" fontId="28" fillId="20" borderId="8" xfId="0" applyFont="1" applyFill="1" applyBorder="1" applyAlignment="1" applyProtection="1">
      <alignment horizontal="center"/>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protection locked="0"/>
    </xf>
    <xf numFmtId="0" fontId="22" fillId="2" borderId="0" xfId="0" applyFont="1" applyFill="1" applyAlignment="1" applyProtection="1">
      <alignment vertical="center"/>
      <protection locked="0"/>
    </xf>
    <xf numFmtId="9" fontId="22" fillId="2" borderId="0" xfId="0" applyNumberFormat="1" applyFont="1" applyFill="1" applyProtection="1">
      <protection locked="0"/>
    </xf>
    <xf numFmtId="3" fontId="22" fillId="2" borderId="0" xfId="0" applyNumberFormat="1" applyFont="1" applyFill="1" applyProtection="1">
      <protection locked="0"/>
    </xf>
    <xf numFmtId="0" fontId="22" fillId="2" borderId="0" xfId="0" applyFont="1" applyFill="1" applyAlignment="1" applyProtection="1">
      <alignment horizontal="left"/>
      <protection locked="0"/>
    </xf>
    <xf numFmtId="165" fontId="22" fillId="2" borderId="0" xfId="0" applyNumberFormat="1" applyFont="1" applyFill="1" applyProtection="1">
      <protection locked="0"/>
    </xf>
    <xf numFmtId="0" fontId="58" fillId="2" borderId="0" xfId="0" applyFont="1" applyFill="1" applyProtection="1">
      <protection locked="0"/>
    </xf>
    <xf numFmtId="0" fontId="58" fillId="13" borderId="11" xfId="5" applyFont="1" applyFill="1" applyBorder="1" applyProtection="1"/>
    <xf numFmtId="0" fontId="58" fillId="13" borderId="11" xfId="5" applyFont="1" applyFill="1" applyBorder="1" applyAlignment="1" applyProtection="1">
      <alignment horizontal="center" vertical="top" wrapText="1"/>
    </xf>
    <xf numFmtId="0" fontId="58" fillId="13" borderId="57" xfId="5" applyFont="1" applyFill="1" applyBorder="1" applyAlignment="1" applyProtection="1">
      <alignment horizontal="center" vertical="top" wrapText="1"/>
    </xf>
    <xf numFmtId="0" fontId="23" fillId="14" borderId="11" xfId="0" applyFont="1" applyFill="1" applyBorder="1" applyAlignment="1" applyProtection="1">
      <alignment horizontal="center"/>
    </xf>
    <xf numFmtId="0" fontId="51" fillId="13" borderId="0" xfId="0" applyFont="1" applyFill="1" applyProtection="1"/>
    <xf numFmtId="0" fontId="51" fillId="14" borderId="0" xfId="0" applyFont="1" applyFill="1" applyAlignment="1" applyProtection="1">
      <alignment horizontal="center"/>
    </xf>
    <xf numFmtId="2" fontId="22" fillId="2" borderId="0" xfId="0" applyNumberFormat="1" applyFont="1" applyFill="1" applyAlignment="1" applyProtection="1">
      <alignment horizontal="center"/>
      <protection locked="0"/>
    </xf>
    <xf numFmtId="0" fontId="58" fillId="13" borderId="0" xfId="5" applyFont="1" applyFill="1" applyBorder="1" applyProtection="1"/>
    <xf numFmtId="0" fontId="23" fillId="14" borderId="0" xfId="0" applyFont="1" applyFill="1" applyAlignment="1" applyProtection="1">
      <alignment horizontal="center"/>
    </xf>
    <xf numFmtId="165" fontId="22" fillId="13" borderId="0" xfId="5" applyNumberFormat="1" applyFont="1" applyFill="1" applyBorder="1" applyProtection="1"/>
    <xf numFmtId="0" fontId="22" fillId="13" borderId="0" xfId="5" applyFont="1" applyFill="1" applyBorder="1" applyProtection="1"/>
    <xf numFmtId="194" fontId="22" fillId="2" borderId="0" xfId="6" applyNumberFormat="1" applyFont="1" applyFill="1" applyProtection="1"/>
    <xf numFmtId="174" fontId="22" fillId="13" borderId="0" xfId="5" applyNumberFormat="1" applyFont="1" applyFill="1" applyBorder="1" applyProtection="1"/>
    <xf numFmtId="43" fontId="22" fillId="2" borderId="0" xfId="0" applyNumberFormat="1" applyFont="1" applyFill="1" applyProtection="1"/>
    <xf numFmtId="165" fontId="22" fillId="2" borderId="0" xfId="0" applyNumberFormat="1" applyFont="1" applyFill="1" applyAlignment="1" applyProtection="1">
      <alignment horizontal="center"/>
    </xf>
    <xf numFmtId="165" fontId="22" fillId="2" borderId="0" xfId="3" applyNumberFormat="1" applyFont="1" applyFill="1" applyAlignment="1" applyProtection="1">
      <alignment horizontal="center"/>
    </xf>
    <xf numFmtId="164" fontId="22" fillId="13" borderId="0" xfId="5" applyNumberFormat="1" applyFont="1" applyFill="1" applyBorder="1" applyProtection="1"/>
    <xf numFmtId="165" fontId="22" fillId="2" borderId="0" xfId="0" applyNumberFormat="1" applyFont="1" applyFill="1" applyAlignment="1" applyProtection="1">
      <alignment horizontal="center"/>
      <protection locked="0"/>
    </xf>
    <xf numFmtId="3" fontId="22" fillId="2" borderId="0" xfId="0" applyNumberFormat="1" applyFont="1" applyFill="1" applyProtection="1"/>
    <xf numFmtId="2" fontId="22" fillId="13" borderId="0" xfId="5" applyNumberFormat="1" applyFont="1" applyFill="1" applyBorder="1" applyProtection="1"/>
    <xf numFmtId="0" fontId="23" fillId="13" borderId="0" xfId="0" applyFont="1" applyFill="1" applyBorder="1" applyProtection="1"/>
    <xf numFmtId="1" fontId="23" fillId="13" borderId="0" xfId="0" applyNumberFormat="1" applyFont="1" applyFill="1" applyBorder="1" applyProtection="1"/>
    <xf numFmtId="164" fontId="51" fillId="13" borderId="0" xfId="0" applyNumberFormat="1" applyFont="1" applyFill="1" applyBorder="1" applyProtection="1"/>
    <xf numFmtId="164" fontId="51" fillId="13" borderId="0" xfId="0" applyNumberFormat="1" applyFont="1" applyFill="1" applyProtection="1"/>
    <xf numFmtId="172" fontId="51" fillId="13" borderId="0" xfId="0" applyNumberFormat="1" applyFont="1" applyFill="1" applyProtection="1"/>
    <xf numFmtId="0" fontId="51" fillId="13" borderId="0" xfId="0" applyFont="1" applyFill="1" applyBorder="1" applyProtection="1"/>
    <xf numFmtId="197" fontId="22" fillId="2" borderId="0" xfId="0" applyNumberFormat="1" applyFont="1" applyFill="1"/>
    <xf numFmtId="0" fontId="23" fillId="13" borderId="8" xfId="0" applyFont="1" applyFill="1" applyBorder="1" applyProtection="1"/>
    <xf numFmtId="164" fontId="51" fillId="13" borderId="8" xfId="0" applyNumberFormat="1" applyFont="1" applyFill="1" applyBorder="1" applyProtection="1"/>
    <xf numFmtId="172" fontId="51" fillId="13" borderId="8" xfId="0" applyNumberFormat="1" applyFont="1" applyFill="1" applyBorder="1" applyProtection="1"/>
    <xf numFmtId="0" fontId="51" fillId="13" borderId="8" xfId="0" applyFont="1" applyFill="1" applyBorder="1" applyProtection="1"/>
    <xf numFmtId="0" fontId="51" fillId="14" borderId="8" xfId="0" applyFont="1" applyFill="1" applyBorder="1" applyAlignment="1" applyProtection="1">
      <alignment horizontal="center"/>
    </xf>
    <xf numFmtId="0" fontId="58" fillId="10" borderId="11" xfId="4" applyFont="1" applyFill="1" applyBorder="1" applyProtection="1"/>
    <xf numFmtId="0" fontId="58" fillId="10" borderId="11" xfId="4" applyFont="1" applyFill="1" applyBorder="1" applyAlignment="1" applyProtection="1">
      <alignment horizontal="center" vertical="top"/>
    </xf>
    <xf numFmtId="0" fontId="58" fillId="10" borderId="57" xfId="4" applyFont="1" applyFill="1" applyBorder="1" applyAlignment="1" applyProtection="1">
      <alignment horizontal="center" vertical="top"/>
    </xf>
    <xf numFmtId="0" fontId="23" fillId="12" borderId="11" xfId="0" applyFont="1" applyFill="1" applyBorder="1" applyAlignment="1" applyProtection="1">
      <alignment horizontal="center"/>
    </xf>
    <xf numFmtId="0" fontId="58" fillId="10" borderId="0" xfId="4" applyFont="1" applyFill="1" applyBorder="1" applyProtection="1"/>
    <xf numFmtId="0" fontId="22" fillId="10" borderId="0" xfId="4" applyFont="1" applyFill="1" applyBorder="1" applyProtection="1"/>
    <xf numFmtId="0" fontId="51" fillId="10" borderId="0" xfId="0" applyFont="1" applyFill="1" applyProtection="1"/>
    <xf numFmtId="0" fontId="51" fillId="12" borderId="0" xfId="0" applyFont="1" applyFill="1" applyAlignment="1" applyProtection="1">
      <alignment horizontal="center"/>
    </xf>
    <xf numFmtId="0" fontId="58" fillId="10" borderId="8" xfId="4" applyFont="1" applyFill="1" applyBorder="1" applyProtection="1"/>
    <xf numFmtId="0" fontId="22" fillId="10" borderId="8" xfId="4" applyFont="1" applyFill="1" applyBorder="1" applyProtection="1"/>
    <xf numFmtId="0" fontId="51" fillId="10" borderId="8" xfId="0" applyFont="1" applyFill="1" applyBorder="1" applyProtection="1"/>
    <xf numFmtId="0" fontId="22" fillId="10" borderId="58" xfId="4" applyFont="1" applyFill="1" applyBorder="1" applyProtection="1"/>
    <xf numFmtId="0" fontId="51" fillId="12" borderId="8" xfId="0" applyFont="1" applyFill="1" applyBorder="1" applyAlignment="1" applyProtection="1">
      <alignment horizontal="center"/>
    </xf>
    <xf numFmtId="0" fontId="22" fillId="2" borderId="0" xfId="0" applyFont="1" applyFill="1" applyAlignment="1">
      <alignment horizontal="right"/>
    </xf>
    <xf numFmtId="197" fontId="22" fillId="2" borderId="0" xfId="0" applyNumberFormat="1" applyFont="1" applyFill="1" applyAlignment="1">
      <alignment horizontal="right"/>
    </xf>
    <xf numFmtId="0" fontId="51" fillId="10" borderId="0" xfId="0" applyFont="1" applyFill="1" applyAlignment="1" applyProtection="1">
      <alignment horizontal="right"/>
    </xf>
    <xf numFmtId="165" fontId="22" fillId="2" borderId="0" xfId="0" applyNumberFormat="1" applyFont="1" applyFill="1"/>
    <xf numFmtId="9" fontId="22" fillId="2" borderId="0" xfId="3" applyFont="1" applyFill="1" applyAlignment="1">
      <alignment horizontal="center"/>
    </xf>
    <xf numFmtId="0" fontId="23" fillId="12" borderId="0" xfId="0" applyFont="1" applyFill="1" applyAlignment="1" applyProtection="1">
      <alignment horizontal="center"/>
    </xf>
    <xf numFmtId="164" fontId="22" fillId="10" borderId="0" xfId="4" applyNumberFormat="1" applyFont="1" applyFill="1" applyBorder="1" applyProtection="1"/>
    <xf numFmtId="172" fontId="22" fillId="10" borderId="0" xfId="4" applyNumberFormat="1" applyFont="1" applyFill="1" applyBorder="1" applyProtection="1"/>
    <xf numFmtId="1" fontId="22" fillId="10" borderId="0" xfId="4" applyNumberFormat="1" applyFont="1" applyFill="1" applyBorder="1" applyProtection="1"/>
    <xf numFmtId="0" fontId="22" fillId="2" borderId="108" xfId="0" applyFont="1" applyFill="1" applyBorder="1"/>
    <xf numFmtId="165" fontId="22" fillId="2" borderId="108" xfId="0" applyNumberFormat="1" applyFont="1" applyFill="1" applyBorder="1"/>
    <xf numFmtId="197" fontId="22" fillId="2" borderId="108" xfId="0" applyNumberFormat="1" applyFont="1" applyFill="1" applyBorder="1"/>
    <xf numFmtId="0" fontId="22" fillId="2" borderId="9" xfId="0" applyFont="1" applyFill="1" applyBorder="1"/>
    <xf numFmtId="165" fontId="22" fillId="2" borderId="9" xfId="0" applyNumberFormat="1" applyFont="1" applyFill="1" applyBorder="1" applyAlignment="1">
      <alignment horizontal="right"/>
    </xf>
    <xf numFmtId="197" fontId="22" fillId="2" borderId="9" xfId="0" applyNumberFormat="1" applyFont="1" applyFill="1" applyBorder="1"/>
    <xf numFmtId="9" fontId="22" fillId="2" borderId="9" xfId="3" applyFont="1" applyFill="1" applyBorder="1" applyAlignment="1">
      <alignment horizontal="center"/>
    </xf>
    <xf numFmtId="0" fontId="22" fillId="12" borderId="0" xfId="4" applyFont="1" applyFill="1" applyBorder="1" applyProtection="1"/>
    <xf numFmtId="0" fontId="51" fillId="12" borderId="0" xfId="0" applyFont="1" applyFill="1" applyBorder="1" applyProtection="1"/>
    <xf numFmtId="0" fontId="51" fillId="12" borderId="0" xfId="0" applyFont="1" applyFill="1" applyBorder="1" applyAlignment="1" applyProtection="1">
      <alignment horizontal="center"/>
    </xf>
    <xf numFmtId="0" fontId="51" fillId="10" borderId="0" xfId="0" applyFont="1" applyFill="1" applyBorder="1" applyProtection="1"/>
    <xf numFmtId="9" fontId="22" fillId="2" borderId="0" xfId="3" applyFont="1" applyFill="1" applyAlignment="1">
      <alignment horizontal="right"/>
    </xf>
    <xf numFmtId="197" fontId="22" fillId="2" borderId="0" xfId="3" applyNumberFormat="1" applyFont="1" applyFill="1" applyAlignment="1">
      <alignment horizontal="right"/>
    </xf>
    <xf numFmtId="175" fontId="22" fillId="10" borderId="0" xfId="4" applyNumberFormat="1" applyFont="1" applyFill="1" applyBorder="1" applyProtection="1"/>
    <xf numFmtId="175" fontId="51" fillId="10" borderId="0" xfId="0" applyNumberFormat="1" applyFont="1" applyFill="1" applyProtection="1"/>
    <xf numFmtId="165" fontId="51" fillId="10" borderId="0" xfId="0" applyNumberFormat="1" applyFont="1" applyFill="1" applyBorder="1" applyProtection="1"/>
    <xf numFmtId="165" fontId="22" fillId="10" borderId="0" xfId="4" applyNumberFormat="1" applyFont="1" applyFill="1" applyBorder="1" applyProtection="1"/>
    <xf numFmtId="0" fontId="22" fillId="2" borderId="0" xfId="0" applyFont="1" applyFill="1" applyAlignment="1">
      <alignment horizontal="left" indent="1"/>
    </xf>
    <xf numFmtId="164" fontId="51" fillId="10" borderId="8" xfId="0" applyNumberFormat="1" applyFont="1" applyFill="1" applyBorder="1" applyProtection="1"/>
    <xf numFmtId="11" fontId="51" fillId="10" borderId="8" xfId="0" applyNumberFormat="1" applyFont="1" applyFill="1" applyBorder="1" applyProtection="1"/>
    <xf numFmtId="164" fontId="51" fillId="10" borderId="58" xfId="0" applyNumberFormat="1" applyFont="1" applyFill="1" applyBorder="1" applyProtection="1"/>
    <xf numFmtId="198" fontId="22" fillId="2" borderId="0" xfId="0" applyNumberFormat="1" applyFont="1" applyFill="1" applyAlignment="1">
      <alignment horizontal="right"/>
    </xf>
    <xf numFmtId="199" fontId="22" fillId="2" borderId="0" xfId="0" applyNumberFormat="1" applyFont="1" applyFill="1" applyAlignment="1">
      <alignment horizontal="right"/>
    </xf>
    <xf numFmtId="0" fontId="23" fillId="4" borderId="11" xfId="0" applyFont="1" applyFill="1" applyBorder="1" applyProtection="1"/>
    <xf numFmtId="0" fontId="58" fillId="4" borderId="11" xfId="4" applyFont="1" applyFill="1" applyBorder="1" applyAlignment="1" applyProtection="1">
      <alignment horizontal="center" vertical="top" wrapText="1"/>
    </xf>
    <xf numFmtId="0" fontId="58" fillId="4" borderId="57" xfId="4" applyFont="1" applyFill="1" applyBorder="1" applyAlignment="1" applyProtection="1">
      <alignment horizontal="center" vertical="top" wrapText="1"/>
    </xf>
    <xf numFmtId="0" fontId="23" fillId="11" borderId="11" xfId="0" applyFont="1" applyFill="1" applyBorder="1" applyAlignment="1" applyProtection="1">
      <alignment horizontal="center"/>
    </xf>
    <xf numFmtId="0" fontId="51" fillId="4" borderId="0" xfId="0" applyFont="1" applyFill="1" applyProtection="1"/>
    <xf numFmtId="0" fontId="23" fillId="11" borderId="0" xfId="0" applyFont="1" applyFill="1" applyAlignment="1" applyProtection="1">
      <alignment horizontal="center"/>
    </xf>
    <xf numFmtId="9" fontId="22" fillId="2" borderId="0" xfId="0" applyNumberFormat="1" applyFont="1" applyFill="1"/>
    <xf numFmtId="0" fontId="23" fillId="4" borderId="0" xfId="0" applyFont="1" applyFill="1" applyProtection="1"/>
    <xf numFmtId="0" fontId="22" fillId="4" borderId="0" xfId="4" applyFont="1" applyFill="1" applyBorder="1" applyAlignment="1" applyProtection="1">
      <alignment horizontal="center" vertical="top" wrapText="1"/>
    </xf>
    <xf numFmtId="0" fontId="22" fillId="4" borderId="0" xfId="4" applyFont="1" applyFill="1" applyBorder="1" applyProtection="1"/>
    <xf numFmtId="0" fontId="51" fillId="4" borderId="0" xfId="0" applyFont="1" applyFill="1" applyAlignment="1" applyProtection="1">
      <alignment horizontal="right"/>
    </xf>
    <xf numFmtId="2" fontId="51" fillId="4" borderId="0" xfId="0" applyNumberFormat="1" applyFont="1" applyFill="1" applyProtection="1"/>
    <xf numFmtId="1" fontId="22" fillId="4" borderId="0" xfId="4" applyNumberFormat="1" applyFont="1" applyFill="1" applyBorder="1" applyAlignment="1" applyProtection="1">
      <alignment horizontal="center" vertical="top" wrapText="1"/>
    </xf>
    <xf numFmtId="2" fontId="22" fillId="4" borderId="0" xfId="4" applyNumberFormat="1" applyFont="1" applyFill="1" applyBorder="1" applyAlignment="1" applyProtection="1">
      <alignment horizontal="left" vertical="top" wrapText="1"/>
    </xf>
    <xf numFmtId="197" fontId="22" fillId="2" borderId="0" xfId="0" applyNumberFormat="1" applyFont="1" applyFill="1" applyAlignment="1">
      <alignment horizontal="center"/>
    </xf>
    <xf numFmtId="170" fontId="22" fillId="2" borderId="0" xfId="3" applyNumberFormat="1" applyFont="1" applyFill="1" applyAlignment="1">
      <alignment horizontal="center"/>
    </xf>
    <xf numFmtId="199" fontId="22" fillId="2" borderId="0" xfId="0" applyNumberFormat="1" applyFont="1" applyFill="1" applyAlignment="1">
      <alignment horizontal="center"/>
    </xf>
    <xf numFmtId="2" fontId="22" fillId="4" borderId="0" xfId="4" applyNumberFormat="1" applyFont="1" applyFill="1" applyBorder="1" applyAlignment="1" applyProtection="1">
      <alignment horizontal="center" vertical="top" wrapText="1"/>
    </xf>
    <xf numFmtId="166" fontId="51" fillId="4" borderId="0" xfId="0" applyNumberFormat="1" applyFont="1" applyFill="1" applyProtection="1"/>
    <xf numFmtId="172" fontId="51" fillId="4" borderId="0" xfId="0" applyNumberFormat="1" applyFont="1" applyFill="1" applyProtection="1"/>
    <xf numFmtId="197" fontId="22" fillId="2" borderId="108" xfId="0" applyNumberFormat="1" applyFont="1" applyFill="1" applyBorder="1" applyAlignment="1">
      <alignment horizontal="center"/>
    </xf>
    <xf numFmtId="9" fontId="22" fillId="2" borderId="108" xfId="3" applyFont="1" applyFill="1" applyBorder="1" applyAlignment="1">
      <alignment horizontal="center"/>
    </xf>
    <xf numFmtId="170" fontId="22" fillId="2" borderId="108" xfId="3" applyNumberFormat="1" applyFont="1" applyFill="1" applyBorder="1" applyAlignment="1">
      <alignment horizontal="center"/>
    </xf>
    <xf numFmtId="199" fontId="22" fillId="2" borderId="108" xfId="0" applyNumberFormat="1" applyFont="1" applyFill="1" applyBorder="1" applyAlignment="1">
      <alignment horizontal="center"/>
    </xf>
    <xf numFmtId="0" fontId="23" fillId="4" borderId="0" xfId="0" applyFont="1" applyFill="1" applyAlignment="1" applyProtection="1">
      <alignment horizontal="left"/>
    </xf>
    <xf numFmtId="0" fontId="113" fillId="4" borderId="0" xfId="0" applyFont="1" applyFill="1" applyProtection="1"/>
    <xf numFmtId="200" fontId="22" fillId="2" borderId="0" xfId="0" applyNumberFormat="1" applyFont="1" applyFill="1"/>
    <xf numFmtId="0" fontId="51" fillId="4" borderId="0" xfId="0" applyFont="1" applyFill="1" applyAlignment="1" applyProtection="1"/>
    <xf numFmtId="0" fontId="51" fillId="4" borderId="17" xfId="0" applyFont="1" applyFill="1" applyBorder="1" applyAlignment="1" applyProtection="1"/>
    <xf numFmtId="0" fontId="51" fillId="4" borderId="18" xfId="0" applyFont="1" applyFill="1" applyBorder="1" applyAlignment="1" applyProtection="1"/>
    <xf numFmtId="0" fontId="51" fillId="4" borderId="19" xfId="0" applyFont="1" applyFill="1" applyBorder="1" applyAlignment="1" applyProtection="1"/>
    <xf numFmtId="0" fontId="51" fillId="4" borderId="0" xfId="0" applyFont="1" applyFill="1" applyBorder="1" applyAlignment="1" applyProtection="1"/>
    <xf numFmtId="0" fontId="51" fillId="4" borderId="1" xfId="0" applyNumberFormat="1" applyFont="1" applyFill="1" applyBorder="1" applyAlignment="1" applyProtection="1">
      <alignment vertical="center"/>
      <protection locked="0"/>
    </xf>
    <xf numFmtId="0" fontId="51" fillId="4" borderId="15" xfId="0" applyFont="1" applyFill="1" applyBorder="1" applyAlignment="1" applyProtection="1"/>
    <xf numFmtId="0" fontId="51" fillId="4" borderId="1" xfId="0" applyNumberFormat="1" applyFont="1" applyFill="1" applyBorder="1" applyAlignment="1" applyProtection="1">
      <protection locked="0"/>
    </xf>
    <xf numFmtId="0" fontId="51" fillId="4" borderId="71" xfId="0" applyFont="1" applyFill="1" applyBorder="1" applyAlignment="1" applyProtection="1"/>
    <xf numFmtId="0" fontId="51" fillId="4" borderId="13" xfId="0" applyFont="1" applyFill="1" applyBorder="1" applyProtection="1"/>
    <xf numFmtId="0" fontId="51" fillId="4" borderId="71" xfId="0" applyFont="1" applyFill="1" applyBorder="1" applyProtection="1"/>
    <xf numFmtId="0" fontId="51" fillId="4" borderId="20" xfId="0" applyFont="1" applyFill="1" applyBorder="1" applyProtection="1"/>
    <xf numFmtId="0" fontId="51" fillId="4" borderId="14" xfId="0" applyFont="1" applyFill="1" applyBorder="1" applyProtection="1"/>
    <xf numFmtId="0" fontId="51" fillId="4" borderId="0" xfId="0" applyFont="1" applyFill="1" applyBorder="1" applyProtection="1"/>
    <xf numFmtId="0" fontId="51" fillId="4" borderId="16" xfId="0" applyFont="1" applyFill="1" applyBorder="1" applyProtection="1"/>
    <xf numFmtId="2" fontId="51" fillId="4" borderId="71" xfId="0" applyNumberFormat="1" applyFont="1" applyFill="1" applyBorder="1" applyProtection="1"/>
    <xf numFmtId="2" fontId="51" fillId="4" borderId="20" xfId="0" applyNumberFormat="1" applyFont="1" applyFill="1" applyBorder="1" applyProtection="1"/>
    <xf numFmtId="2" fontId="51" fillId="4" borderId="1" xfId="0" applyNumberFormat="1" applyFont="1" applyFill="1" applyBorder="1" applyProtection="1"/>
    <xf numFmtId="174" fontId="51" fillId="4" borderId="0" xfId="0" applyNumberFormat="1" applyFont="1" applyFill="1" applyProtection="1"/>
    <xf numFmtId="172" fontId="51" fillId="4" borderId="0" xfId="0" applyNumberFormat="1" applyFont="1" applyFill="1" applyBorder="1" applyProtection="1"/>
    <xf numFmtId="2" fontId="51" fillId="4" borderId="0" xfId="0" applyNumberFormat="1" applyFont="1" applyFill="1" applyBorder="1" applyProtection="1"/>
    <xf numFmtId="0" fontId="23" fillId="4" borderId="0" xfId="0" applyFont="1" applyFill="1" applyAlignment="1" applyProtection="1"/>
    <xf numFmtId="175" fontId="51" fillId="4" borderId="0" xfId="0" applyNumberFormat="1" applyFont="1" applyFill="1" applyBorder="1" applyProtection="1"/>
    <xf numFmtId="164" fontId="51" fillId="4" borderId="0" xfId="0" applyNumberFormat="1" applyFont="1" applyFill="1" applyBorder="1" applyProtection="1"/>
    <xf numFmtId="174" fontId="23" fillId="4" borderId="0" xfId="0" applyNumberFormat="1" applyFont="1" applyFill="1" applyProtection="1"/>
    <xf numFmtId="174" fontId="51" fillId="4" borderId="0" xfId="0" applyNumberFormat="1" applyFont="1" applyFill="1" applyBorder="1" applyProtection="1"/>
    <xf numFmtId="175" fontId="51" fillId="4" borderId="0" xfId="0" applyNumberFormat="1" applyFont="1" applyFill="1" applyProtection="1"/>
    <xf numFmtId="165" fontId="51" fillId="4" borderId="0" xfId="0" applyNumberFormat="1" applyFont="1" applyFill="1" applyProtection="1"/>
    <xf numFmtId="0" fontId="51" fillId="11" borderId="0" xfId="0" applyFont="1" applyFill="1" applyProtection="1"/>
    <xf numFmtId="0" fontId="23" fillId="4" borderId="0" xfId="0" applyFont="1" applyFill="1" applyBorder="1" applyProtection="1"/>
    <xf numFmtId="173" fontId="51" fillId="4" borderId="0" xfId="0" applyNumberFormat="1" applyFont="1" applyFill="1" applyProtection="1"/>
    <xf numFmtId="165" fontId="23" fillId="4" borderId="0" xfId="0" applyNumberFormat="1" applyFont="1" applyFill="1" applyProtection="1"/>
    <xf numFmtId="0" fontId="23" fillId="4" borderId="61" xfId="0" applyFont="1" applyFill="1" applyBorder="1" applyProtection="1"/>
    <xf numFmtId="0" fontId="51" fillId="4" borderId="61" xfId="0" applyFont="1" applyFill="1" applyBorder="1" applyAlignment="1" applyProtection="1">
      <alignment horizontal="right"/>
    </xf>
    <xf numFmtId="0" fontId="51" fillId="4" borderId="61" xfId="0" applyFont="1" applyFill="1" applyBorder="1" applyProtection="1"/>
    <xf numFmtId="0" fontId="23" fillId="11" borderId="61" xfId="0" applyFont="1" applyFill="1" applyBorder="1" applyAlignment="1" applyProtection="1">
      <alignment horizontal="center"/>
    </xf>
    <xf numFmtId="0" fontId="58" fillId="15" borderId="11" xfId="4" applyFont="1" applyFill="1" applyBorder="1" applyProtection="1"/>
    <xf numFmtId="0" fontId="23" fillId="15" borderId="11" xfId="0" applyFont="1" applyFill="1" applyBorder="1" applyAlignment="1" applyProtection="1">
      <alignment horizontal="right"/>
    </xf>
    <xf numFmtId="0" fontId="58" fillId="15" borderId="11" xfId="4" applyFont="1" applyFill="1" applyBorder="1" applyAlignment="1" applyProtection="1">
      <alignment horizontal="center" wrapText="1"/>
    </xf>
    <xf numFmtId="0" fontId="58" fillId="15" borderId="57" xfId="4" applyFont="1" applyFill="1" applyBorder="1" applyAlignment="1" applyProtection="1">
      <alignment horizontal="center" wrapText="1"/>
    </xf>
    <xf numFmtId="0" fontId="23" fillId="15" borderId="11" xfId="0" applyFont="1" applyFill="1" applyBorder="1" applyAlignment="1" applyProtection="1"/>
    <xf numFmtId="0" fontId="58" fillId="16" borderId="11" xfId="4" applyFont="1" applyFill="1" applyBorder="1" applyAlignment="1" applyProtection="1">
      <alignment horizontal="center" wrapText="1"/>
    </xf>
    <xf numFmtId="0" fontId="23" fillId="2" borderId="0" xfId="0" applyFont="1" applyFill="1" applyAlignment="1" applyProtection="1">
      <alignment horizontal="center"/>
    </xf>
    <xf numFmtId="0" fontId="23" fillId="15" borderId="0" xfId="0" applyFont="1" applyFill="1" applyProtection="1"/>
    <xf numFmtId="0" fontId="51" fillId="15" borderId="0" xfId="0" applyFont="1" applyFill="1" applyProtection="1"/>
    <xf numFmtId="0" fontId="23" fillId="16" borderId="0" xfId="0" applyFont="1" applyFill="1" applyAlignment="1" applyProtection="1">
      <alignment horizontal="center"/>
    </xf>
    <xf numFmtId="0" fontId="51" fillId="15" borderId="0" xfId="0" applyFont="1" applyFill="1" applyBorder="1" applyProtection="1"/>
    <xf numFmtId="0" fontId="51" fillId="15" borderId="0" xfId="0" applyFont="1" applyFill="1" applyAlignment="1" applyProtection="1">
      <alignment horizontal="right"/>
    </xf>
    <xf numFmtId="175" fontId="51" fillId="15" borderId="0" xfId="0" applyNumberFormat="1" applyFont="1" applyFill="1" applyProtection="1"/>
    <xf numFmtId="0" fontId="23" fillId="15" borderId="10" xfId="0" applyFont="1" applyFill="1" applyBorder="1" applyProtection="1"/>
    <xf numFmtId="0" fontId="23" fillId="15" borderId="12" xfId="0" applyFont="1" applyFill="1" applyBorder="1" applyProtection="1"/>
    <xf numFmtId="0" fontId="23" fillId="15" borderId="0" xfId="0" applyFont="1" applyFill="1" applyBorder="1" applyProtection="1"/>
    <xf numFmtId="176" fontId="51" fillId="15" borderId="0" xfId="0" applyNumberFormat="1" applyFont="1" applyFill="1" applyProtection="1"/>
    <xf numFmtId="0" fontId="51" fillId="15" borderId="4" xfId="0" applyFont="1" applyFill="1" applyBorder="1" applyProtection="1"/>
    <xf numFmtId="0" fontId="51" fillId="15" borderId="5" xfId="0" applyFont="1" applyFill="1" applyBorder="1" applyProtection="1"/>
    <xf numFmtId="166" fontId="51" fillId="15" borderId="0" xfId="0" applyNumberFormat="1" applyFont="1" applyFill="1" applyProtection="1"/>
    <xf numFmtId="0" fontId="23" fillId="15" borderId="4" xfId="0" applyFont="1" applyFill="1" applyBorder="1" applyProtection="1"/>
    <xf numFmtId="166" fontId="51" fillId="15" borderId="0" xfId="0" applyNumberFormat="1" applyFont="1" applyFill="1" applyBorder="1" applyProtection="1"/>
    <xf numFmtId="174" fontId="51" fillId="15" borderId="0" xfId="0" applyNumberFormat="1" applyFont="1" applyFill="1" applyBorder="1" applyProtection="1"/>
    <xf numFmtId="0" fontId="51" fillId="15" borderId="6" xfId="0" applyFont="1" applyFill="1" applyBorder="1" applyProtection="1"/>
    <xf numFmtId="0" fontId="51" fillId="15" borderId="7" xfId="0" applyFont="1" applyFill="1" applyBorder="1" applyProtection="1"/>
    <xf numFmtId="174" fontId="51" fillId="15" borderId="0" xfId="0" applyNumberFormat="1" applyFont="1" applyFill="1" applyProtection="1"/>
    <xf numFmtId="2" fontId="51" fillId="15" borderId="0" xfId="0" applyNumberFormat="1" applyFont="1" applyFill="1" applyBorder="1" applyProtection="1"/>
    <xf numFmtId="2" fontId="51" fillId="15" borderId="0" xfId="0" applyNumberFormat="1" applyFont="1" applyFill="1" applyProtection="1"/>
    <xf numFmtId="165" fontId="51" fillId="15" borderId="0" xfId="0" applyNumberFormat="1" applyFont="1" applyFill="1" applyProtection="1"/>
    <xf numFmtId="0" fontId="51" fillId="15" borderId="0" xfId="0" applyFont="1" applyFill="1" applyBorder="1" applyAlignment="1" applyProtection="1">
      <alignment horizontal="right"/>
    </xf>
    <xf numFmtId="173" fontId="51" fillId="15" borderId="0" xfId="0" applyNumberFormat="1" applyFont="1" applyFill="1" applyBorder="1" applyProtection="1"/>
    <xf numFmtId="0" fontId="58" fillId="15" borderId="11" xfId="4" applyFont="1" applyFill="1" applyBorder="1" applyAlignment="1" applyProtection="1">
      <alignment horizontal="center" vertical="top" wrapText="1"/>
    </xf>
    <xf numFmtId="0" fontId="51" fillId="2" borderId="0" xfId="0" applyFont="1" applyFill="1" applyBorder="1" applyProtection="1"/>
    <xf numFmtId="166" fontId="51" fillId="2" borderId="0" xfId="0" applyNumberFormat="1" applyFont="1" applyFill="1" applyBorder="1" applyProtection="1"/>
    <xf numFmtId="1" fontId="51" fillId="2" borderId="0" xfId="0" applyNumberFormat="1" applyFont="1" applyFill="1" applyBorder="1" applyProtection="1"/>
    <xf numFmtId="164" fontId="51" fillId="15" borderId="0" xfId="0" applyNumberFormat="1" applyFont="1" applyFill="1" applyProtection="1"/>
    <xf numFmtId="172" fontId="51" fillId="2" borderId="0" xfId="0" applyNumberFormat="1" applyFont="1" applyFill="1" applyBorder="1" applyAlignment="1" applyProtection="1">
      <alignment horizontal="center"/>
    </xf>
    <xf numFmtId="0" fontId="51" fillId="16" borderId="0" xfId="0" applyFont="1" applyFill="1" applyProtection="1"/>
    <xf numFmtId="0" fontId="23" fillId="2" borderId="0" xfId="0" applyFont="1" applyFill="1" applyProtection="1"/>
    <xf numFmtId="175" fontId="51" fillId="15" borderId="0" xfId="0" applyNumberFormat="1" applyFont="1" applyFill="1" applyAlignment="1" applyProtection="1"/>
    <xf numFmtId="0" fontId="51" fillId="2" borderId="0" xfId="0" applyFont="1" applyFill="1" applyBorder="1" applyAlignment="1" applyProtection="1">
      <alignment horizontal="center"/>
    </xf>
    <xf numFmtId="166" fontId="51" fillId="2" borderId="0" xfId="0" applyNumberFormat="1" applyFont="1" applyFill="1" applyBorder="1" applyAlignment="1" applyProtection="1">
      <alignment horizontal="center"/>
    </xf>
    <xf numFmtId="11" fontId="51" fillId="15" borderId="0" xfId="0" applyNumberFormat="1" applyFont="1" applyFill="1" applyBorder="1" applyProtection="1"/>
    <xf numFmtId="0" fontId="23" fillId="2" borderId="0" xfId="0" applyFont="1" applyFill="1" applyBorder="1" applyAlignment="1" applyProtection="1">
      <alignment horizontal="center"/>
    </xf>
    <xf numFmtId="0" fontId="23" fillId="16" borderId="0" xfId="0" applyFont="1" applyFill="1" applyAlignment="1" applyProtection="1">
      <alignment horizontal="left"/>
    </xf>
    <xf numFmtId="0" fontId="51" fillId="2" borderId="0" xfId="0" applyFont="1" applyFill="1" applyAlignment="1" applyProtection="1">
      <alignment horizontal="right"/>
    </xf>
    <xf numFmtId="0" fontId="58" fillId="2" borderId="0" xfId="4" applyFont="1" applyFill="1" applyBorder="1" applyAlignment="1" applyProtection="1">
      <alignment horizontal="center" vertical="top" wrapText="1"/>
    </xf>
    <xf numFmtId="172" fontId="51" fillId="2" borderId="0" xfId="0" applyNumberFormat="1" applyFont="1" applyFill="1" applyProtection="1"/>
    <xf numFmtId="175" fontId="51" fillId="2" borderId="0" xfId="0" applyNumberFormat="1" applyFont="1" applyFill="1" applyProtection="1"/>
    <xf numFmtId="175" fontId="51" fillId="2" borderId="0" xfId="0" applyNumberFormat="1" applyFont="1" applyFill="1" applyAlignment="1" applyProtection="1">
      <alignment horizontal="right"/>
    </xf>
    <xf numFmtId="173" fontId="51" fillId="2" borderId="0" xfId="0" applyNumberFormat="1" applyFont="1" applyFill="1" applyBorder="1" applyProtection="1"/>
    <xf numFmtId="173" fontId="51" fillId="15" borderId="0" xfId="0" applyNumberFormat="1" applyFont="1" applyFill="1" applyProtection="1"/>
    <xf numFmtId="11" fontId="51" fillId="2" borderId="0" xfId="0" applyNumberFormat="1" applyFont="1" applyFill="1" applyProtection="1"/>
    <xf numFmtId="177" fontId="51" fillId="15" borderId="0" xfId="0" applyNumberFormat="1" applyFont="1" applyFill="1" applyProtection="1"/>
    <xf numFmtId="0" fontId="51" fillId="16" borderId="0" xfId="0" applyFont="1" applyFill="1" applyAlignment="1" applyProtection="1">
      <alignment horizontal="center"/>
    </xf>
    <xf numFmtId="2" fontId="51" fillId="2" borderId="0" xfId="0" applyNumberFormat="1" applyFont="1" applyFill="1" applyProtection="1"/>
    <xf numFmtId="165" fontId="51" fillId="15" borderId="0" xfId="0" applyNumberFormat="1" applyFont="1" applyFill="1" applyAlignment="1" applyProtection="1">
      <alignment horizontal="right"/>
    </xf>
    <xf numFmtId="166" fontId="51" fillId="2" borderId="0" xfId="0" applyNumberFormat="1" applyFont="1" applyFill="1" applyProtection="1"/>
    <xf numFmtId="11" fontId="51" fillId="15" borderId="0" xfId="0" applyNumberFormat="1" applyFont="1" applyFill="1" applyProtection="1"/>
    <xf numFmtId="0" fontId="51" fillId="15" borderId="0" xfId="0" applyFont="1" applyFill="1" applyAlignment="1" applyProtection="1">
      <alignment horizontal="left"/>
    </xf>
    <xf numFmtId="175" fontId="51" fillId="15" borderId="0" xfId="0" applyNumberFormat="1" applyFont="1" applyFill="1" applyBorder="1" applyProtection="1"/>
    <xf numFmtId="0" fontId="23" fillId="16" borderId="0" xfId="0" applyFont="1" applyFill="1" applyBorder="1" applyProtection="1"/>
    <xf numFmtId="184" fontId="51" fillId="15" borderId="0" xfId="0" applyNumberFormat="1" applyFont="1" applyFill="1" applyBorder="1" applyProtection="1"/>
    <xf numFmtId="184" fontId="51" fillId="15" borderId="0" xfId="0" applyNumberFormat="1" applyFont="1" applyFill="1" applyProtection="1"/>
    <xf numFmtId="173" fontId="51" fillId="2" borderId="0" xfId="0" applyNumberFormat="1" applyFont="1" applyFill="1" applyProtection="1"/>
    <xf numFmtId="164" fontId="51" fillId="15" borderId="0" xfId="0" applyNumberFormat="1" applyFont="1" applyFill="1" applyAlignment="1" applyProtection="1">
      <alignment horizontal="right"/>
    </xf>
    <xf numFmtId="0" fontId="23" fillId="15" borderId="58" xfId="0" applyFont="1" applyFill="1" applyBorder="1" applyProtection="1"/>
    <xf numFmtId="164" fontId="51" fillId="15" borderId="58" xfId="0" applyNumberFormat="1" applyFont="1" applyFill="1" applyBorder="1" applyProtection="1"/>
    <xf numFmtId="175" fontId="51" fillId="15" borderId="58" xfId="0" applyNumberFormat="1" applyFont="1" applyFill="1" applyBorder="1" applyProtection="1"/>
    <xf numFmtId="0" fontId="51" fillId="15" borderId="58" xfId="0" applyFont="1" applyFill="1" applyBorder="1" applyProtection="1"/>
    <xf numFmtId="0" fontId="23" fillId="16" borderId="58" xfId="0" applyFont="1" applyFill="1" applyBorder="1" applyAlignment="1" applyProtection="1">
      <alignment horizontal="center"/>
    </xf>
    <xf numFmtId="0" fontId="22" fillId="21" borderId="0" xfId="74" applyFont="1" applyFill="1" applyBorder="1"/>
    <xf numFmtId="0" fontId="58" fillId="21" borderId="0" xfId="74" applyFont="1" applyFill="1" applyBorder="1"/>
    <xf numFmtId="0" fontId="22" fillId="21" borderId="0" xfId="0" applyFont="1" applyFill="1" applyBorder="1"/>
    <xf numFmtId="0" fontId="58" fillId="21" borderId="0" xfId="74" applyFont="1" applyFill="1" applyBorder="1" applyAlignment="1">
      <alignment horizontal="center"/>
    </xf>
    <xf numFmtId="0" fontId="58" fillId="21" borderId="0" xfId="74" applyFont="1" applyFill="1" applyBorder="1" applyAlignment="1">
      <alignment vertical="center" wrapText="1"/>
    </xf>
    <xf numFmtId="0" fontId="58" fillId="21" borderId="0" xfId="74" applyFont="1" applyFill="1" applyBorder="1" applyAlignment="1">
      <alignment horizontal="center" vertical="center" wrapText="1"/>
    </xf>
    <xf numFmtId="2" fontId="58" fillId="21" borderId="0" xfId="74" applyNumberFormat="1" applyFont="1" applyFill="1" applyBorder="1" applyAlignment="1">
      <alignment horizontal="center"/>
    </xf>
    <xf numFmtId="164" fontId="58" fillId="21" borderId="0" xfId="74" applyNumberFormat="1" applyFont="1" applyFill="1" applyBorder="1" applyAlignment="1">
      <alignment horizontal="center"/>
    </xf>
    <xf numFmtId="0" fontId="58" fillId="21" borderId="0" xfId="0" applyFont="1" applyFill="1" applyBorder="1" applyAlignment="1">
      <alignment horizontal="center"/>
    </xf>
    <xf numFmtId="0" fontId="22" fillId="2" borderId="0" xfId="74" applyFont="1" applyFill="1"/>
    <xf numFmtId="0" fontId="22" fillId="21" borderId="0" xfId="74" applyFont="1" applyFill="1" applyBorder="1" applyAlignment="1">
      <alignment vertical="center" wrapText="1"/>
    </xf>
    <xf numFmtId="0" fontId="22" fillId="21" borderId="0" xfId="74" applyFont="1" applyFill="1" applyBorder="1" applyAlignment="1">
      <alignment horizontal="center" vertical="center" wrapText="1"/>
    </xf>
    <xf numFmtId="0" fontId="22" fillId="21" borderId="0" xfId="74" applyFont="1" applyFill="1" applyBorder="1" applyAlignment="1">
      <alignment horizontal="center"/>
    </xf>
    <xf numFmtId="2" fontId="22" fillId="21" borderId="0" xfId="74" applyNumberFormat="1" applyFont="1" applyFill="1" applyBorder="1" applyAlignment="1">
      <alignment horizontal="center"/>
    </xf>
    <xf numFmtId="164" fontId="22" fillId="21" borderId="0" xfId="74" applyNumberFormat="1" applyFont="1" applyFill="1" applyBorder="1" applyAlignment="1">
      <alignment horizontal="center"/>
    </xf>
    <xf numFmtId="0" fontId="23" fillId="2" borderId="0" xfId="0" applyFont="1" applyFill="1" applyBorder="1" applyProtection="1"/>
    <xf numFmtId="2" fontId="22" fillId="2" borderId="0" xfId="74" applyNumberFormat="1" applyFont="1" applyFill="1"/>
    <xf numFmtId="0" fontId="22" fillId="2" borderId="0" xfId="0" applyFont="1" applyFill="1" applyBorder="1" applyProtection="1"/>
    <xf numFmtId="3" fontId="22" fillId="21" borderId="0" xfId="74" applyNumberFormat="1" applyFont="1" applyFill="1" applyBorder="1" applyAlignment="1">
      <alignment horizontal="center"/>
    </xf>
    <xf numFmtId="2" fontId="58" fillId="21" borderId="0" xfId="74" applyNumberFormat="1" applyFont="1" applyFill="1" applyBorder="1"/>
    <xf numFmtId="0" fontId="22" fillId="2" borderId="0" xfId="74" applyFont="1" applyFill="1" applyBorder="1" applyAlignment="1">
      <alignment vertical="center" wrapText="1"/>
    </xf>
    <xf numFmtId="0" fontId="22" fillId="2" borderId="0" xfId="74" applyFont="1" applyFill="1" applyBorder="1" applyAlignment="1">
      <alignment horizontal="center" vertical="center" wrapText="1"/>
    </xf>
    <xf numFmtId="0" fontId="51" fillId="21" borderId="0" xfId="0" applyFont="1" applyFill="1" applyProtection="1"/>
    <xf numFmtId="172" fontId="23" fillId="21" borderId="0" xfId="0" applyNumberFormat="1" applyFont="1" applyFill="1" applyAlignment="1" applyProtection="1">
      <alignment horizontal="center"/>
    </xf>
    <xf numFmtId="172" fontId="51" fillId="21" borderId="0" xfId="0" applyNumberFormat="1" applyFont="1" applyFill="1" applyProtection="1"/>
    <xf numFmtId="172" fontId="51" fillId="21" borderId="0" xfId="0" applyNumberFormat="1" applyFont="1" applyFill="1" applyBorder="1" applyProtection="1"/>
    <xf numFmtId="0" fontId="23" fillId="21" borderId="0" xfId="0" applyFont="1" applyFill="1" applyProtection="1"/>
    <xf numFmtId="1" fontId="51" fillId="21" borderId="0" xfId="0" applyNumberFormat="1" applyFont="1" applyFill="1" applyAlignment="1" applyProtection="1">
      <alignment horizontal="center"/>
    </xf>
    <xf numFmtId="172" fontId="23" fillId="21" borderId="0" xfId="0" applyNumberFormat="1" applyFont="1" applyFill="1" applyProtection="1"/>
    <xf numFmtId="0" fontId="51" fillId="21" borderId="0" xfId="0" applyFont="1" applyFill="1" applyBorder="1" applyAlignment="1" applyProtection="1">
      <alignment vertical="top" wrapText="1"/>
    </xf>
    <xf numFmtId="0" fontId="23" fillId="21" borderId="0" xfId="0" applyFont="1" applyFill="1" applyBorder="1" applyAlignment="1" applyProtection="1">
      <alignment vertical="top" wrapText="1"/>
    </xf>
    <xf numFmtId="172" fontId="23" fillId="21" borderId="0" xfId="0" applyNumberFormat="1" applyFont="1" applyFill="1" applyBorder="1" applyProtection="1"/>
    <xf numFmtId="2" fontId="51" fillId="21" borderId="0" xfId="0" applyNumberFormat="1" applyFont="1" applyFill="1" applyProtection="1"/>
    <xf numFmtId="0" fontId="22" fillId="21" borderId="0" xfId="0" applyFont="1" applyFill="1" applyAlignment="1" applyProtection="1">
      <alignment horizontal="center"/>
    </xf>
    <xf numFmtId="0" fontId="22" fillId="21" borderId="0" xfId="0" applyFont="1" applyFill="1" applyProtection="1"/>
    <xf numFmtId="0" fontId="23" fillId="21" borderId="10" xfId="0" applyFont="1" applyFill="1" applyBorder="1" applyProtection="1"/>
    <xf numFmtId="0" fontId="51" fillId="21" borderId="11" xfId="0" applyFont="1" applyFill="1" applyBorder="1" applyProtection="1"/>
    <xf numFmtId="0" fontId="51" fillId="21" borderId="12" xfId="0" applyFont="1" applyFill="1" applyBorder="1" applyProtection="1"/>
    <xf numFmtId="0" fontId="23" fillId="21" borderId="6" xfId="0" applyFont="1" applyFill="1" applyBorder="1" applyProtection="1"/>
    <xf numFmtId="0" fontId="23" fillId="21" borderId="8" xfId="0" applyFont="1" applyFill="1" applyBorder="1" applyProtection="1"/>
    <xf numFmtId="0" fontId="23" fillId="21" borderId="8" xfId="0" applyFont="1" applyFill="1" applyBorder="1" applyAlignment="1" applyProtection="1">
      <alignment horizontal="left"/>
    </xf>
    <xf numFmtId="0" fontId="23" fillId="21" borderId="7" xfId="0" applyFont="1" applyFill="1" applyBorder="1" applyProtection="1"/>
    <xf numFmtId="0" fontId="51" fillId="21" borderId="55" xfId="0" applyNumberFormat="1" applyFont="1" applyFill="1" applyBorder="1" applyAlignment="1" applyProtection="1">
      <alignment vertical="center"/>
      <protection locked="0"/>
    </xf>
    <xf numFmtId="0" fontId="51" fillId="21" borderId="0" xfId="0" applyFont="1" applyFill="1" applyBorder="1" applyAlignment="1" applyProtection="1">
      <alignment horizontal="center" vertical="top" wrapText="1"/>
    </xf>
    <xf numFmtId="0" fontId="51" fillId="21" borderId="5" xfId="0" applyFont="1" applyFill="1" applyBorder="1" applyAlignment="1" applyProtection="1">
      <alignment horizontal="right" vertical="top" wrapText="1"/>
    </xf>
    <xf numFmtId="0" fontId="51" fillId="21" borderId="4" xfId="0" applyNumberFormat="1" applyFont="1" applyFill="1" applyBorder="1" applyAlignment="1" applyProtection="1">
      <alignment vertical="center"/>
      <protection locked="0"/>
    </xf>
    <xf numFmtId="0" fontId="51" fillId="21" borderId="5" xfId="0" applyFont="1" applyFill="1" applyBorder="1" applyAlignment="1" applyProtection="1">
      <alignment vertical="top" wrapText="1"/>
    </xf>
    <xf numFmtId="0" fontId="51" fillId="21" borderId="4" xfId="0" applyNumberFormat="1" applyFont="1" applyFill="1" applyBorder="1" applyAlignment="1" applyProtection="1">
      <protection locked="0"/>
    </xf>
    <xf numFmtId="0" fontId="51" fillId="21" borderId="59" xfId="0" applyNumberFormat="1" applyFont="1" applyFill="1" applyBorder="1" applyAlignment="1" applyProtection="1">
      <alignment vertical="center"/>
      <protection locked="0"/>
    </xf>
    <xf numFmtId="0" fontId="51" fillId="21" borderId="58" xfId="0" applyFont="1" applyFill="1" applyBorder="1" applyAlignment="1" applyProtection="1">
      <alignment horizontal="center" vertical="top" wrapText="1"/>
    </xf>
    <xf numFmtId="0" fontId="51" fillId="21" borderId="94" xfId="0" applyFont="1" applyFill="1" applyBorder="1" applyAlignment="1" applyProtection="1">
      <alignment vertical="top" wrapText="1"/>
    </xf>
    <xf numFmtId="0" fontId="22" fillId="21" borderId="8" xfId="0" applyFont="1" applyFill="1" applyBorder="1" applyProtection="1"/>
    <xf numFmtId="0" fontId="22" fillId="21" borderId="8" xfId="0" applyFont="1" applyFill="1" applyBorder="1" applyAlignment="1" applyProtection="1">
      <alignment horizontal="center"/>
    </xf>
    <xf numFmtId="0" fontId="22" fillId="21" borderId="7" xfId="0" applyFont="1" applyFill="1" applyBorder="1" applyProtection="1"/>
    <xf numFmtId="0" fontId="58" fillId="24" borderId="0" xfId="0" applyFont="1" applyFill="1" applyProtection="1">
      <protection locked="0"/>
    </xf>
    <xf numFmtId="0" fontId="22" fillId="24" borderId="0" xfId="0" applyFont="1" applyFill="1" applyProtection="1"/>
    <xf numFmtId="0" fontId="22" fillId="24" borderId="0" xfId="0" applyFont="1" applyFill="1" applyProtection="1">
      <protection locked="0"/>
    </xf>
    <xf numFmtId="3" fontId="22" fillId="24" borderId="0" xfId="0" applyNumberFormat="1" applyFont="1" applyFill="1" applyProtection="1"/>
    <xf numFmtId="164" fontId="22" fillId="24" borderId="0" xfId="0" applyNumberFormat="1" applyFont="1" applyFill="1" applyProtection="1">
      <protection locked="0"/>
    </xf>
    <xf numFmtId="2" fontId="22" fillId="24" borderId="0" xfId="0" applyNumberFormat="1" applyFont="1" applyFill="1" applyProtection="1">
      <protection locked="0"/>
    </xf>
    <xf numFmtId="164" fontId="22" fillId="24" borderId="0" xfId="0" applyNumberFormat="1" applyFont="1" applyFill="1" applyAlignment="1" applyProtection="1">
      <alignment horizontal="right"/>
      <protection locked="0"/>
    </xf>
    <xf numFmtId="0" fontId="22" fillId="24" borderId="0" xfId="0" applyFont="1" applyFill="1" applyAlignment="1" applyProtection="1">
      <alignment horizontal="right"/>
      <protection locked="0"/>
    </xf>
    <xf numFmtId="165" fontId="22" fillId="24" borderId="0" xfId="0" applyNumberFormat="1" applyFont="1" applyFill="1" applyProtection="1">
      <protection locked="0"/>
    </xf>
    <xf numFmtId="165" fontId="22" fillId="24" borderId="0" xfId="0" applyNumberFormat="1" applyFont="1" applyFill="1" applyProtection="1"/>
    <xf numFmtId="0" fontId="51" fillId="49" borderId="0" xfId="51" applyFont="1" applyFill="1" applyAlignment="1">
      <alignment horizontal="right" vertical="center"/>
    </xf>
    <xf numFmtId="0" fontId="22" fillId="2" borderId="0" xfId="0" applyFont="1" applyFill="1" applyAlignment="1" applyProtection="1">
      <alignment horizontal="right" vertical="center"/>
      <protection locked="0"/>
    </xf>
    <xf numFmtId="0" fontId="22" fillId="2" borderId="0" xfId="0" applyFont="1" applyFill="1" applyAlignment="1" applyProtection="1">
      <alignment horizontal="right"/>
      <protection locked="0"/>
    </xf>
    <xf numFmtId="164" fontId="22" fillId="2" borderId="0" xfId="0" applyNumberFormat="1" applyFont="1" applyFill="1" applyProtection="1"/>
    <xf numFmtId="0" fontId="22" fillId="2" borderId="0" xfId="0" applyFont="1" applyFill="1" applyBorder="1"/>
    <xf numFmtId="0" fontId="22" fillId="21" borderId="58" xfId="0" applyFont="1" applyFill="1" applyBorder="1" applyProtection="1"/>
    <xf numFmtId="0" fontId="22" fillId="21" borderId="58" xfId="0" applyFont="1" applyFill="1" applyBorder="1" applyProtection="1">
      <protection locked="0"/>
    </xf>
    <xf numFmtId="9" fontId="22" fillId="2" borderId="0" xfId="3" applyFont="1" applyFill="1" applyProtection="1">
      <protection locked="0"/>
    </xf>
    <xf numFmtId="164" fontId="22" fillId="2" borderId="0" xfId="0" applyNumberFormat="1" applyFont="1" applyFill="1" applyProtection="1">
      <protection locked="0"/>
    </xf>
    <xf numFmtId="0" fontId="22" fillId="49" borderId="0" xfId="0" applyFont="1" applyFill="1"/>
    <xf numFmtId="0" fontId="22" fillId="49" borderId="77" xfId="0" applyFont="1" applyFill="1" applyBorder="1"/>
    <xf numFmtId="0" fontId="22" fillId="49" borderId="56" xfId="0" applyFont="1" applyFill="1" applyBorder="1" applyAlignment="1">
      <alignment horizontal="center"/>
    </xf>
    <xf numFmtId="0" fontId="22" fillId="49" borderId="55" xfId="0" applyFont="1" applyFill="1" applyBorder="1"/>
    <xf numFmtId="0" fontId="22" fillId="49" borderId="98" xfId="0" applyFont="1" applyFill="1" applyBorder="1"/>
    <xf numFmtId="0" fontId="22" fillId="49" borderId="56" xfId="0" applyFont="1" applyFill="1" applyBorder="1"/>
    <xf numFmtId="0" fontId="23" fillId="49" borderId="17" xfId="51" applyFont="1" applyFill="1" applyBorder="1" applyAlignment="1">
      <alignment vertical="center"/>
    </xf>
    <xf numFmtId="0" fontId="51" fillId="49" borderId="18" xfId="51" applyFont="1" applyFill="1" applyBorder="1" applyAlignment="1">
      <alignment vertical="center"/>
    </xf>
    <xf numFmtId="0" fontId="51" fillId="49" borderId="19" xfId="51" applyFont="1" applyFill="1" applyBorder="1" applyAlignment="1">
      <alignment vertical="center"/>
    </xf>
    <xf numFmtId="0" fontId="22" fillId="49" borderId="44" xfId="0" applyFont="1" applyFill="1" applyBorder="1"/>
    <xf numFmtId="0" fontId="22" fillId="49" borderId="54" xfId="0" applyFont="1" applyFill="1" applyBorder="1" applyAlignment="1">
      <alignment horizontal="center"/>
    </xf>
    <xf numFmtId="0" fontId="22" fillId="49" borderId="4" xfId="0" applyFont="1" applyFill="1" applyBorder="1"/>
    <xf numFmtId="0" fontId="22" fillId="49" borderId="54" xfId="0" applyFont="1" applyFill="1" applyBorder="1"/>
    <xf numFmtId="0" fontId="51" fillId="49" borderId="1" xfId="51" applyFont="1" applyFill="1" applyBorder="1" applyAlignment="1">
      <alignment vertical="center"/>
    </xf>
    <xf numFmtId="0" fontId="51" fillId="49" borderId="0" xfId="51" applyFont="1" applyFill="1" applyAlignment="1">
      <alignment vertical="center"/>
    </xf>
    <xf numFmtId="0" fontId="51" fillId="49" borderId="15" xfId="51" applyFont="1" applyFill="1" applyBorder="1" applyAlignment="1">
      <alignment vertical="center"/>
    </xf>
    <xf numFmtId="2" fontId="22" fillId="49" borderId="98" xfId="0" applyNumberFormat="1" applyFont="1" applyFill="1" applyBorder="1"/>
    <xf numFmtId="0" fontId="23" fillId="49" borderId="4" xfId="0" applyFont="1" applyFill="1" applyBorder="1"/>
    <xf numFmtId="2" fontId="23" fillId="49" borderId="98" xfId="0" applyNumberFormat="1" applyFont="1" applyFill="1" applyBorder="1"/>
    <xf numFmtId="0" fontId="23" fillId="49" borderId="54" xfId="0" applyFont="1" applyFill="1" applyBorder="1"/>
    <xf numFmtId="0" fontId="51" fillId="49" borderId="99" xfId="51" applyFont="1" applyFill="1" applyBorder="1" applyAlignment="1">
      <alignment vertical="center"/>
    </xf>
    <xf numFmtId="0" fontId="51" fillId="49" borderId="58" xfId="51" applyFont="1" applyFill="1" applyBorder="1" applyAlignment="1">
      <alignment horizontal="left" vertical="center"/>
    </xf>
    <xf numFmtId="0" fontId="51" fillId="49" borderId="100" xfId="51" applyFont="1" applyFill="1" applyBorder="1" applyAlignment="1">
      <alignment vertical="center"/>
    </xf>
    <xf numFmtId="0" fontId="23" fillId="49" borderId="1" xfId="51" applyFont="1" applyFill="1" applyBorder="1" applyAlignment="1">
      <alignment vertical="center"/>
    </xf>
    <xf numFmtId="0" fontId="23" fillId="49" borderId="0" xfId="51" applyFont="1" applyFill="1" applyAlignment="1">
      <alignment vertical="center"/>
    </xf>
    <xf numFmtId="0" fontId="23" fillId="49" borderId="15" xfId="51" applyFont="1" applyFill="1" applyBorder="1" applyAlignment="1">
      <alignment vertical="center"/>
    </xf>
    <xf numFmtId="0" fontId="51" fillId="49" borderId="1" xfId="51" applyFont="1" applyFill="1" applyBorder="1" applyAlignment="1">
      <alignment horizontal="center" vertical="center"/>
    </xf>
    <xf numFmtId="4" fontId="51" fillId="49" borderId="0" xfId="51" applyNumberFormat="1" applyFont="1" applyFill="1" applyAlignment="1">
      <alignment vertical="center"/>
    </xf>
    <xf numFmtId="4" fontId="51" fillId="49" borderId="15" xfId="51" applyNumberFormat="1" applyFont="1" applyFill="1" applyBorder="1" applyAlignment="1">
      <alignment vertical="center"/>
    </xf>
    <xf numFmtId="0" fontId="22" fillId="49" borderId="33" xfId="0" applyFont="1" applyFill="1" applyBorder="1"/>
    <xf numFmtId="0" fontId="22" fillId="49" borderId="94" xfId="0" applyFont="1" applyFill="1" applyBorder="1" applyAlignment="1">
      <alignment horizontal="center"/>
    </xf>
    <xf numFmtId="0" fontId="22" fillId="49" borderId="0" xfId="0" applyFont="1" applyFill="1" applyAlignment="1">
      <alignment horizontal="right"/>
    </xf>
    <xf numFmtId="0" fontId="22" fillId="49" borderId="54" xfId="0" applyFont="1" applyFill="1" applyBorder="1" applyAlignment="1">
      <alignment horizontal="right"/>
    </xf>
    <xf numFmtId="0" fontId="22" fillId="49" borderId="59" xfId="0" applyFont="1" applyFill="1" applyBorder="1"/>
    <xf numFmtId="2" fontId="22" fillId="49" borderId="33" xfId="0" applyNumberFormat="1" applyFont="1" applyFill="1" applyBorder="1"/>
    <xf numFmtId="0" fontId="23" fillId="49" borderId="4" xfId="51" applyFont="1" applyFill="1" applyBorder="1" applyAlignment="1">
      <alignment vertical="center"/>
    </xf>
    <xf numFmtId="0" fontId="51" fillId="49" borderId="98" xfId="51" applyFont="1" applyFill="1" applyBorder="1" applyAlignment="1">
      <alignment horizontal="right" vertical="center"/>
    </xf>
    <xf numFmtId="0" fontId="51" fillId="49" borderId="98" xfId="51" applyFont="1" applyFill="1" applyBorder="1" applyAlignment="1">
      <alignment vertical="center"/>
    </xf>
    <xf numFmtId="0" fontId="23" fillId="49" borderId="98" xfId="51" applyFont="1" applyFill="1" applyBorder="1" applyAlignment="1">
      <alignment horizontal="center" vertical="center"/>
    </xf>
    <xf numFmtId="0" fontId="22" fillId="49" borderId="0" xfId="0" applyFont="1" applyFill="1" applyAlignment="1">
      <alignment vertical="center"/>
    </xf>
    <xf numFmtId="0" fontId="51" fillId="49" borderId="98" xfId="51" applyFont="1" applyFill="1" applyBorder="1" applyAlignment="1">
      <alignment horizontal="center" vertical="center"/>
    </xf>
    <xf numFmtId="0" fontId="51" fillId="49" borderId="0" xfId="51" applyFont="1" applyFill="1" applyAlignment="1">
      <alignment horizontal="left" vertical="center"/>
    </xf>
    <xf numFmtId="0" fontId="51" fillId="49" borderId="77" xfId="51" applyFont="1" applyFill="1" applyBorder="1" applyAlignment="1">
      <alignment horizontal="left" vertical="center"/>
    </xf>
    <xf numFmtId="0" fontId="51" fillId="49" borderId="77" xfId="51" applyFont="1" applyFill="1" applyBorder="1" applyAlignment="1">
      <alignment horizontal="center" vertical="center"/>
    </xf>
    <xf numFmtId="0" fontId="23" fillId="49" borderId="101" xfId="51" applyFont="1" applyFill="1" applyBorder="1" applyAlignment="1">
      <alignment horizontal="left" vertical="center"/>
    </xf>
    <xf numFmtId="0" fontId="23" fillId="49" borderId="102" xfId="51" applyFont="1" applyFill="1" applyBorder="1" applyAlignment="1">
      <alignment horizontal="center" vertical="center"/>
    </xf>
    <xf numFmtId="0" fontId="23" fillId="49" borderId="0" xfId="51" applyFont="1" applyFill="1" applyAlignment="1">
      <alignment horizontal="left" vertical="center"/>
    </xf>
    <xf numFmtId="0" fontId="23" fillId="49" borderId="0" xfId="51" applyFont="1" applyFill="1" applyAlignment="1">
      <alignment horizontal="center" vertical="center"/>
    </xf>
    <xf numFmtId="0" fontId="51" fillId="49" borderId="4" xfId="51" applyFont="1" applyFill="1" applyBorder="1" applyAlignment="1">
      <alignment vertical="center"/>
    </xf>
    <xf numFmtId="4" fontId="51" fillId="49" borderId="98" xfId="51" applyNumberFormat="1" applyFont="1" applyFill="1" applyBorder="1" applyAlignment="1">
      <alignment horizontal="right" vertical="center" indent="1"/>
    </xf>
    <xf numFmtId="0" fontId="51" fillId="49" borderId="77" xfId="51" applyFont="1" applyFill="1" applyBorder="1" applyAlignment="1">
      <alignment vertical="center"/>
    </xf>
    <xf numFmtId="4" fontId="51" fillId="49" borderId="46" xfId="51" applyNumberFormat="1" applyFont="1" applyFill="1" applyBorder="1" applyAlignment="1">
      <alignment horizontal="right" vertical="center" indent="1"/>
    </xf>
    <xf numFmtId="0" fontId="23" fillId="49" borderId="13" xfId="51" applyFont="1" applyFill="1" applyBorder="1" applyAlignment="1">
      <alignment horizontal="right" vertical="center"/>
    </xf>
    <xf numFmtId="4" fontId="23" fillId="49" borderId="14" xfId="51" applyNumberFormat="1" applyFont="1" applyFill="1" applyBorder="1" applyAlignment="1">
      <alignment horizontal="right" vertical="center" indent="1"/>
    </xf>
    <xf numFmtId="4" fontId="51" fillId="49" borderId="33" xfId="51" applyNumberFormat="1" applyFont="1" applyFill="1" applyBorder="1" applyAlignment="1">
      <alignment horizontal="right" vertical="center" indent="1"/>
    </xf>
    <xf numFmtId="0" fontId="23" fillId="49" borderId="0" xfId="51" applyFont="1" applyFill="1" applyAlignment="1">
      <alignment horizontal="center" vertical="center" wrapText="1"/>
    </xf>
    <xf numFmtId="0" fontId="23" fillId="49" borderId="58" xfId="51" applyFont="1" applyFill="1" applyBorder="1" applyAlignment="1">
      <alignment horizontal="center" vertical="center"/>
    </xf>
    <xf numFmtId="0" fontId="51" fillId="49" borderId="55" xfId="51" applyFont="1" applyFill="1" applyBorder="1" applyAlignment="1">
      <alignment horizontal="left" vertical="center"/>
    </xf>
    <xf numFmtId="0" fontId="51" fillId="49" borderId="56" xfId="51" applyFont="1" applyFill="1" applyBorder="1" applyAlignment="1">
      <alignment vertical="center"/>
    </xf>
    <xf numFmtId="0" fontId="23" fillId="49" borderId="77" xfId="51" applyFont="1" applyFill="1" applyBorder="1" applyAlignment="1">
      <alignment horizontal="center" vertical="center"/>
    </xf>
    <xf numFmtId="0" fontId="51" fillId="49" borderId="55" xfId="51" applyFont="1" applyFill="1" applyBorder="1" applyAlignment="1">
      <alignment vertical="center"/>
    </xf>
    <xf numFmtId="0" fontId="51" fillId="49" borderId="9" xfId="51" applyFont="1" applyFill="1" applyBorder="1" applyAlignment="1">
      <alignment vertical="center"/>
    </xf>
    <xf numFmtId="0" fontId="51" fillId="49" borderId="9" xfId="51" applyFont="1" applyFill="1" applyBorder="1" applyAlignment="1">
      <alignment horizontal="left" vertical="center"/>
    </xf>
    <xf numFmtId="0" fontId="51" fillId="49" borderId="56" xfId="51" applyFont="1" applyFill="1" applyBorder="1"/>
    <xf numFmtId="0" fontId="51" fillId="49" borderId="4" xfId="51" applyFont="1" applyFill="1" applyBorder="1" applyAlignment="1">
      <alignment horizontal="left" vertical="center"/>
    </xf>
    <xf numFmtId="0" fontId="51" fillId="49" borderId="54" xfId="51" applyFont="1" applyFill="1" applyBorder="1"/>
    <xf numFmtId="0" fontId="23" fillId="49" borderId="44" xfId="51" applyFont="1" applyFill="1" applyBorder="1" applyAlignment="1">
      <alignment horizontal="center" vertical="center"/>
    </xf>
    <xf numFmtId="0" fontId="51" fillId="49" borderId="54" xfId="51" applyFont="1" applyFill="1" applyBorder="1" applyAlignment="1">
      <alignment vertical="center"/>
    </xf>
    <xf numFmtId="0" fontId="51" fillId="49" borderId="59" xfId="51" applyFont="1" applyFill="1" applyBorder="1" applyAlignment="1">
      <alignment horizontal="left" vertical="center"/>
    </xf>
    <xf numFmtId="0" fontId="51" fillId="49" borderId="94" xfId="51" applyFont="1" applyFill="1" applyBorder="1"/>
    <xf numFmtId="0" fontId="51" fillId="49" borderId="94" xfId="51" applyFont="1" applyFill="1" applyBorder="1" applyAlignment="1">
      <alignment vertical="center"/>
    </xf>
    <xf numFmtId="0" fontId="23" fillId="49" borderId="33" xfId="51" applyFont="1" applyFill="1" applyBorder="1" applyAlignment="1">
      <alignment horizontal="center" vertical="center"/>
    </xf>
    <xf numFmtId="0" fontId="51" fillId="49" borderId="58" xfId="51" applyFont="1" applyFill="1" applyBorder="1" applyAlignment="1">
      <alignment vertical="center"/>
    </xf>
    <xf numFmtId="0" fontId="51" fillId="49" borderId="0" xfId="51" applyFont="1" applyFill="1"/>
    <xf numFmtId="0" fontId="51" fillId="49" borderId="59" xfId="51" applyFont="1" applyFill="1" applyBorder="1" applyAlignment="1">
      <alignment vertical="center"/>
    </xf>
    <xf numFmtId="0" fontId="22" fillId="49" borderId="15" xfId="0" applyFont="1" applyFill="1" applyBorder="1"/>
    <xf numFmtId="0" fontId="51" fillId="49" borderId="16" xfId="51" applyFont="1" applyFill="1" applyBorder="1" applyAlignment="1">
      <alignment horizontal="center" vertical="center"/>
    </xf>
    <xf numFmtId="4" fontId="51" fillId="49" borderId="71" xfId="51" applyNumberFormat="1" applyFont="1" applyFill="1" applyBorder="1" applyAlignment="1">
      <alignment vertical="center"/>
    </xf>
    <xf numFmtId="0" fontId="51" fillId="49" borderId="71" xfId="51" applyFont="1" applyFill="1" applyBorder="1" applyAlignment="1">
      <alignment vertical="center"/>
    </xf>
    <xf numFmtId="0" fontId="22" fillId="49" borderId="70" xfId="0" applyFont="1" applyFill="1" applyBorder="1"/>
    <xf numFmtId="0" fontId="23" fillId="50" borderId="0" xfId="0" applyFont="1" applyFill="1" applyAlignment="1">
      <alignment horizontal="left" vertical="center"/>
    </xf>
    <xf numFmtId="0" fontId="51" fillId="49" borderId="9" xfId="51" applyFont="1" applyFill="1" applyBorder="1" applyAlignment="1">
      <alignment horizontal="center"/>
    </xf>
    <xf numFmtId="0" fontId="22" fillId="49" borderId="9" xfId="0" applyFont="1" applyFill="1" applyBorder="1" applyAlignment="1">
      <alignment horizontal="center"/>
    </xf>
    <xf numFmtId="0" fontId="22" fillId="49" borderId="0" xfId="0" applyFont="1" applyFill="1" applyAlignment="1">
      <alignment horizontal="center"/>
    </xf>
    <xf numFmtId="0" fontId="23" fillId="49" borderId="4" xfId="51" applyFont="1" applyFill="1" applyBorder="1" applyAlignment="1">
      <alignment horizontal="center" vertical="center"/>
    </xf>
    <xf numFmtId="0" fontId="51" fillId="49" borderId="0" xfId="51" applyFont="1" applyFill="1" applyAlignment="1">
      <alignment horizontal="center"/>
    </xf>
    <xf numFmtId="0" fontId="51" fillId="49" borderId="0" xfId="51" applyFont="1" applyFill="1" applyAlignment="1">
      <alignment horizontal="center" vertical="center"/>
    </xf>
    <xf numFmtId="0" fontId="51" fillId="49" borderId="4" xfId="51" applyFont="1" applyFill="1" applyBorder="1" applyAlignment="1">
      <alignment horizontal="center" vertical="center"/>
    </xf>
    <xf numFmtId="4" fontId="51" fillId="49" borderId="0" xfId="51" applyNumberFormat="1" applyFont="1" applyFill="1" applyAlignment="1">
      <alignment horizontal="center"/>
    </xf>
    <xf numFmtId="2" fontId="22" fillId="49" borderId="0" xfId="0" applyNumberFormat="1" applyFont="1" applyFill="1" applyAlignment="1">
      <alignment horizontal="center"/>
    </xf>
    <xf numFmtId="0" fontId="51" fillId="49" borderId="59" xfId="51" applyFont="1" applyFill="1" applyBorder="1" applyAlignment="1">
      <alignment horizontal="center" vertical="center"/>
    </xf>
    <xf numFmtId="4" fontId="51" fillId="49" borderId="108" xfId="51" applyNumberFormat="1" applyFont="1" applyFill="1" applyBorder="1" applyAlignment="1">
      <alignment horizontal="center"/>
    </xf>
    <xf numFmtId="0" fontId="22" fillId="49" borderId="108" xfId="0" applyFont="1" applyFill="1" applyBorder="1" applyAlignment="1">
      <alignment horizontal="center"/>
    </xf>
    <xf numFmtId="2" fontId="22" fillId="49" borderId="108" xfId="0" applyNumberFormat="1" applyFont="1" applyFill="1" applyBorder="1" applyAlignment="1">
      <alignment horizontal="center"/>
    </xf>
    <xf numFmtId="0" fontId="22" fillId="49" borderId="107" xfId="0" applyFont="1" applyFill="1" applyBorder="1" applyAlignment="1">
      <alignment horizontal="center"/>
    </xf>
    <xf numFmtId="0" fontId="2" fillId="49" borderId="77" xfId="0" applyFont="1" applyFill="1" applyBorder="1" applyAlignment="1">
      <alignment vertical="center"/>
    </xf>
    <xf numFmtId="0" fontId="22" fillId="49" borderId="44" xfId="0" applyFont="1" applyFill="1" applyBorder="1" applyAlignment="1">
      <alignment horizontal="left" vertical="center"/>
    </xf>
    <xf numFmtId="0" fontId="2" fillId="49" borderId="17" xfId="51" applyFont="1" applyFill="1" applyBorder="1" applyAlignment="1">
      <alignment vertical="center"/>
    </xf>
    <xf numFmtId="0" fontId="1" fillId="49" borderId="18" xfId="51" applyFont="1" applyFill="1" applyBorder="1" applyAlignment="1">
      <alignment vertical="center"/>
    </xf>
    <xf numFmtId="0" fontId="1" fillId="49" borderId="19" xfId="51" applyFont="1" applyFill="1" applyBorder="1" applyAlignment="1">
      <alignment vertical="center"/>
    </xf>
    <xf numFmtId="0" fontId="1" fillId="49" borderId="1" xfId="51" applyFont="1" applyFill="1" applyBorder="1" applyAlignment="1">
      <alignment vertical="center"/>
    </xf>
    <xf numFmtId="0" fontId="1" fillId="49" borderId="0" xfId="51" applyFont="1" applyFill="1" applyAlignment="1">
      <alignment vertical="center"/>
    </xf>
    <xf numFmtId="0" fontId="1" fillId="49" borderId="15" xfId="51" applyFont="1" applyFill="1" applyBorder="1" applyAlignment="1">
      <alignment vertical="center"/>
    </xf>
    <xf numFmtId="0" fontId="2" fillId="49" borderId="4" xfId="0" applyFont="1" applyFill="1" applyBorder="1"/>
    <xf numFmtId="2" fontId="2" fillId="49" borderId="98" xfId="0" applyNumberFormat="1" applyFont="1" applyFill="1" applyBorder="1"/>
    <xf numFmtId="0" fontId="2" fillId="49" borderId="54" xfId="0" applyFont="1" applyFill="1" applyBorder="1"/>
    <xf numFmtId="0" fontId="1" fillId="49" borderId="99" xfId="51" applyFont="1" applyFill="1" applyBorder="1" applyAlignment="1">
      <alignment vertical="center"/>
    </xf>
    <xf numFmtId="0" fontId="1" fillId="49" borderId="58" xfId="51" applyFont="1" applyFill="1" applyBorder="1" applyAlignment="1">
      <alignment horizontal="left" vertical="center"/>
    </xf>
    <xf numFmtId="0" fontId="1" fillId="49" borderId="100" xfId="51" applyFont="1" applyFill="1" applyBorder="1" applyAlignment="1">
      <alignment vertical="center"/>
    </xf>
    <xf numFmtId="0" fontId="2" fillId="49" borderId="1" xfId="51" applyFont="1" applyFill="1" applyBorder="1" applyAlignment="1">
      <alignment vertical="center"/>
    </xf>
    <xf numFmtId="0" fontId="2" fillId="49" borderId="0" xfId="51" applyFont="1" applyFill="1" applyAlignment="1">
      <alignment vertical="center"/>
    </xf>
    <xf numFmtId="0" fontId="2" fillId="49" borderId="15" xfId="51" applyFont="1" applyFill="1" applyBorder="1" applyAlignment="1">
      <alignment vertical="center"/>
    </xf>
    <xf numFmtId="0" fontId="22" fillId="49" borderId="33" xfId="0" applyFont="1" applyFill="1" applyBorder="1" applyAlignment="1">
      <alignment horizontal="left" vertical="center"/>
    </xf>
    <xf numFmtId="0" fontId="1" fillId="49" borderId="1" xfId="51" applyFont="1" applyFill="1" applyBorder="1" applyAlignment="1">
      <alignment horizontal="center" vertical="center"/>
    </xf>
    <xf numFmtId="4" fontId="1" fillId="49" borderId="0" xfId="51" applyNumberFormat="1" applyFont="1" applyFill="1" applyAlignment="1">
      <alignment vertical="center"/>
    </xf>
    <xf numFmtId="4" fontId="1" fillId="49" borderId="15" xfId="51" applyNumberFormat="1" applyFont="1" applyFill="1" applyBorder="1" applyAlignment="1">
      <alignment vertical="center"/>
    </xf>
    <xf numFmtId="0" fontId="22" fillId="49" borderId="4" xfId="0" applyFont="1" applyFill="1" applyBorder="1" applyAlignment="1">
      <alignment wrapText="1"/>
    </xf>
    <xf numFmtId="0" fontId="2" fillId="49" borderId="4" xfId="51" applyFont="1" applyFill="1" applyBorder="1" applyAlignment="1">
      <alignment vertical="center"/>
    </xf>
    <xf numFmtId="0" fontId="1" fillId="49" borderId="98" xfId="51" applyFont="1" applyFill="1" applyBorder="1" applyAlignment="1">
      <alignment horizontal="right" vertical="center"/>
    </xf>
    <xf numFmtId="0" fontId="1" fillId="49" borderId="98" xfId="51" applyFont="1" applyFill="1" applyBorder="1" applyAlignment="1">
      <alignment vertical="center"/>
    </xf>
    <xf numFmtId="0" fontId="2" fillId="49" borderId="98" xfId="51" applyFont="1" applyFill="1" applyBorder="1" applyAlignment="1">
      <alignment horizontal="center" vertical="center"/>
    </xf>
    <xf numFmtId="0" fontId="1" fillId="49" borderId="98" xfId="51" applyFont="1" applyFill="1" applyBorder="1" applyAlignment="1">
      <alignment horizontal="center" vertical="center"/>
    </xf>
    <xf numFmtId="0" fontId="1" fillId="49" borderId="0" xfId="51" applyFont="1" applyFill="1" applyAlignment="1">
      <alignment horizontal="left" vertical="center"/>
    </xf>
    <xf numFmtId="0" fontId="1" fillId="49" borderId="77" xfId="51" applyFont="1" applyFill="1" applyBorder="1" applyAlignment="1">
      <alignment horizontal="left" vertical="center"/>
    </xf>
    <xf numFmtId="0" fontId="1" fillId="49" borderId="77" xfId="51" applyFont="1" applyFill="1" applyBorder="1" applyAlignment="1">
      <alignment horizontal="center" vertical="center"/>
    </xf>
    <xf numFmtId="0" fontId="2" fillId="49" borderId="101" xfId="51" applyFont="1" applyFill="1" applyBorder="1" applyAlignment="1">
      <alignment horizontal="left" vertical="center"/>
    </xf>
    <xf numFmtId="0" fontId="2" fillId="49" borderId="102" xfId="51" applyFont="1" applyFill="1" applyBorder="1" applyAlignment="1">
      <alignment horizontal="center" vertical="center"/>
    </xf>
    <xf numFmtId="0" fontId="2" fillId="49" borderId="0" xfId="51" applyFont="1" applyFill="1" applyAlignment="1">
      <alignment horizontal="left" vertical="center"/>
    </xf>
    <xf numFmtId="0" fontId="2" fillId="49" borderId="0" xfId="51" applyFont="1" applyFill="1" applyAlignment="1">
      <alignment horizontal="center" vertical="center"/>
    </xf>
    <xf numFmtId="0" fontId="1" fillId="49" borderId="4" xfId="51" applyFont="1" applyFill="1" applyBorder="1" applyAlignment="1">
      <alignment vertical="center"/>
    </xf>
    <xf numFmtId="4" fontId="1" fillId="49" borderId="98" xfId="51" applyNumberFormat="1" applyFont="1" applyFill="1" applyBorder="1" applyAlignment="1">
      <alignment horizontal="right" vertical="center" indent="1"/>
    </xf>
    <xf numFmtId="0" fontId="1" fillId="49" borderId="77" xfId="51" applyFont="1" applyFill="1" applyBorder="1" applyAlignment="1">
      <alignment vertical="center"/>
    </xf>
    <xf numFmtId="4" fontId="1" fillId="49" borderId="77" xfId="51" applyNumberFormat="1" applyFont="1" applyFill="1" applyBorder="1" applyAlignment="1">
      <alignment horizontal="right" vertical="center" indent="1"/>
    </xf>
    <xf numFmtId="0" fontId="2" fillId="49" borderId="13" xfId="51" applyFont="1" applyFill="1" applyBorder="1" applyAlignment="1">
      <alignment horizontal="right" vertical="center"/>
    </xf>
    <xf numFmtId="4" fontId="2" fillId="49" borderId="14" xfId="51" applyNumberFormat="1" applyFont="1" applyFill="1" applyBorder="1" applyAlignment="1">
      <alignment horizontal="right" vertical="center" indent="1"/>
    </xf>
    <xf numFmtId="4" fontId="1" fillId="49" borderId="33" xfId="51" applyNumberFormat="1" applyFont="1" applyFill="1" applyBorder="1" applyAlignment="1">
      <alignment horizontal="right" vertical="center" indent="1"/>
    </xf>
    <xf numFmtId="0" fontId="2" fillId="49" borderId="0" xfId="51" applyFont="1" applyFill="1" applyAlignment="1">
      <alignment horizontal="center" vertical="center" wrapText="1"/>
    </xf>
    <xf numFmtId="0" fontId="2" fillId="49" borderId="58" xfId="51" applyFont="1" applyFill="1" applyBorder="1" applyAlignment="1">
      <alignment horizontal="center" vertical="center"/>
    </xf>
    <xf numFmtId="0" fontId="1" fillId="49" borderId="55" xfId="51" applyFont="1" applyFill="1" applyBorder="1" applyAlignment="1">
      <alignment horizontal="left" vertical="center"/>
    </xf>
    <xf numFmtId="0" fontId="1" fillId="49" borderId="56" xfId="51" applyFont="1" applyFill="1" applyBorder="1" applyAlignment="1">
      <alignment vertical="center"/>
    </xf>
    <xf numFmtId="0" fontId="2" fillId="49" borderId="77" xfId="51" applyFont="1" applyFill="1" applyBorder="1" applyAlignment="1">
      <alignment horizontal="center" vertical="center"/>
    </xf>
    <xf numFmtId="0" fontId="1" fillId="49" borderId="55" xfId="51" applyFont="1" applyFill="1" applyBorder="1" applyAlignment="1">
      <alignment vertical="center"/>
    </xf>
    <xf numFmtId="0" fontId="1" fillId="49" borderId="9" xfId="51" applyFont="1" applyFill="1" applyBorder="1" applyAlignment="1">
      <alignment vertical="center"/>
    </xf>
    <xf numFmtId="0" fontId="1" fillId="49" borderId="9" xfId="51" applyFont="1" applyFill="1" applyBorder="1" applyAlignment="1">
      <alignment horizontal="left" vertical="center"/>
    </xf>
    <xf numFmtId="0" fontId="1" fillId="49" borderId="56" xfId="51" applyFont="1" applyFill="1" applyBorder="1"/>
    <xf numFmtId="0" fontId="1" fillId="49" borderId="4" xfId="51" applyFont="1" applyFill="1" applyBorder="1" applyAlignment="1">
      <alignment horizontal="left" vertical="center"/>
    </xf>
    <xf numFmtId="0" fontId="1" fillId="49" borderId="54" xfId="51" applyFont="1" applyFill="1" applyBorder="1"/>
    <xf numFmtId="0" fontId="2" fillId="49" borderId="44" xfId="51" applyFont="1" applyFill="1" applyBorder="1" applyAlignment="1">
      <alignment horizontal="center" vertical="center"/>
    </xf>
    <xf numFmtId="0" fontId="1" fillId="49" borderId="54" xfId="51" applyFont="1" applyFill="1" applyBorder="1" applyAlignment="1">
      <alignment vertical="center"/>
    </xf>
    <xf numFmtId="0" fontId="1" fillId="49" borderId="59" xfId="51" applyFont="1" applyFill="1" applyBorder="1" applyAlignment="1">
      <alignment horizontal="left" vertical="center"/>
    </xf>
    <xf numFmtId="0" fontId="1" fillId="49" borderId="94" xfId="51" applyFont="1" applyFill="1" applyBorder="1"/>
    <xf numFmtId="0" fontId="1" fillId="49" borderId="94" xfId="51" applyFont="1" applyFill="1" applyBorder="1" applyAlignment="1">
      <alignment vertical="center"/>
    </xf>
    <xf numFmtId="0" fontId="2" fillId="49" borderId="33" xfId="51" applyFont="1" applyFill="1" applyBorder="1" applyAlignment="1">
      <alignment horizontal="center" vertical="center"/>
    </xf>
    <xf numFmtId="0" fontId="1" fillId="49" borderId="58" xfId="51" applyFont="1" applyFill="1" applyBorder="1" applyAlignment="1">
      <alignment vertical="center"/>
    </xf>
    <xf numFmtId="0" fontId="1" fillId="49" borderId="0" xfId="51" applyFont="1" applyFill="1"/>
    <xf numFmtId="0" fontId="1" fillId="49" borderId="59" xfId="51" applyFont="1" applyFill="1" applyBorder="1" applyAlignment="1">
      <alignment vertical="center"/>
    </xf>
    <xf numFmtId="0" fontId="1" fillId="49" borderId="16" xfId="51" applyFont="1" applyFill="1" applyBorder="1" applyAlignment="1">
      <alignment horizontal="center" vertical="center"/>
    </xf>
    <xf numFmtId="4" fontId="1" fillId="49" borderId="71" xfId="51" applyNumberFormat="1" applyFont="1" applyFill="1" applyBorder="1" applyAlignment="1">
      <alignment vertical="center"/>
    </xf>
    <xf numFmtId="0" fontId="1" fillId="49" borderId="71" xfId="51" applyFont="1" applyFill="1" applyBorder="1" applyAlignment="1">
      <alignment vertical="center"/>
    </xf>
    <xf numFmtId="0" fontId="2" fillId="50" borderId="0" xfId="0" applyFont="1" applyFill="1" applyAlignment="1">
      <alignment horizontal="left" vertical="center"/>
    </xf>
    <xf numFmtId="0" fontId="1" fillId="49" borderId="9" xfId="51" applyFont="1" applyFill="1" applyBorder="1" applyAlignment="1">
      <alignment horizontal="center"/>
    </xf>
    <xf numFmtId="0" fontId="1" fillId="49" borderId="0" xfId="51" applyFont="1" applyFill="1" applyAlignment="1">
      <alignment horizontal="center"/>
    </xf>
    <xf numFmtId="0" fontId="1" fillId="49" borderId="0" xfId="51" applyFont="1" applyFill="1" applyAlignment="1">
      <alignment horizontal="center" vertical="center"/>
    </xf>
    <xf numFmtId="0" fontId="1" fillId="49" borderId="4" xfId="51" applyFont="1" applyFill="1" applyBorder="1" applyAlignment="1">
      <alignment horizontal="center" vertical="center"/>
    </xf>
    <xf numFmtId="4" fontId="1" fillId="49" borderId="0" xfId="51" applyNumberFormat="1" applyFont="1" applyFill="1" applyAlignment="1">
      <alignment horizontal="center"/>
    </xf>
    <xf numFmtId="0" fontId="1" fillId="49" borderId="59" xfId="51" applyFont="1" applyFill="1" applyBorder="1" applyAlignment="1">
      <alignment horizontal="center" vertical="center"/>
    </xf>
    <xf numFmtId="4" fontId="1" fillId="49" borderId="58" xfId="51" applyNumberFormat="1" applyFont="1" applyFill="1" applyBorder="1" applyAlignment="1">
      <alignment horizontal="center"/>
    </xf>
    <xf numFmtId="0" fontId="22" fillId="49" borderId="58" xfId="0" applyFont="1" applyFill="1" applyBorder="1" applyAlignment="1">
      <alignment horizontal="center"/>
    </xf>
    <xf numFmtId="2" fontId="22" fillId="49" borderId="58" xfId="0" applyNumberFormat="1" applyFont="1" applyFill="1" applyBorder="1" applyAlignment="1">
      <alignment horizontal="center"/>
    </xf>
    <xf numFmtId="0" fontId="22" fillId="2" borderId="0" xfId="0" applyFont="1" applyFill="1" applyAlignment="1" applyProtection="1">
      <alignment vertical="center"/>
    </xf>
    <xf numFmtId="0" fontId="22" fillId="2" borderId="0" xfId="0" applyNumberFormat="1" applyFont="1" applyFill="1" applyBorder="1" applyAlignment="1" applyProtection="1">
      <alignment vertical="center"/>
    </xf>
    <xf numFmtId="0" fontId="22" fillId="2" borderId="0" xfId="0" applyNumberFormat="1" applyFont="1" applyFill="1" applyBorder="1" applyAlignment="1" applyProtection="1"/>
    <xf numFmtId="0" fontId="22" fillId="2" borderId="0" xfId="0" applyFont="1" applyFill="1" applyAlignment="1" applyProtection="1">
      <alignment horizontal="right" vertical="center"/>
    </xf>
    <xf numFmtId="0" fontId="22" fillId="2" borderId="0" xfId="0" applyNumberFormat="1" applyFont="1" applyFill="1" applyBorder="1" applyAlignment="1" applyProtection="1">
      <alignment vertical="center"/>
      <protection locked="0"/>
    </xf>
    <xf numFmtId="0" fontId="22" fillId="2" borderId="0" xfId="0" applyNumberFormat="1" applyFont="1" applyFill="1" applyBorder="1" applyAlignment="1" applyProtection="1">
      <protection locked="0"/>
    </xf>
    <xf numFmtId="11" fontId="22" fillId="2" borderId="0" xfId="0" applyNumberFormat="1" applyFont="1" applyFill="1" applyProtection="1">
      <protection locked="0"/>
    </xf>
    <xf numFmtId="0" fontId="58" fillId="14" borderId="11" xfId="0" applyFont="1" applyFill="1" applyBorder="1" applyAlignment="1" applyProtection="1">
      <alignment horizontal="center"/>
    </xf>
    <xf numFmtId="11" fontId="22" fillId="2" borderId="0" xfId="0" applyNumberFormat="1" applyFont="1" applyFill="1" applyProtection="1"/>
    <xf numFmtId="0" fontId="22" fillId="13" borderId="0" xfId="0" applyFont="1" applyFill="1" applyProtection="1"/>
    <xf numFmtId="0" fontId="22" fillId="14" borderId="0" xfId="0" applyFont="1" applyFill="1" applyAlignment="1" applyProtection="1">
      <alignment horizontal="center"/>
    </xf>
    <xf numFmtId="0" fontId="58" fillId="14" borderId="0" xfId="0" applyFont="1" applyFill="1" applyAlignment="1" applyProtection="1">
      <alignment horizontal="center"/>
    </xf>
    <xf numFmtId="0" fontId="22" fillId="13" borderId="0" xfId="5" applyFont="1" applyFill="1" applyBorder="1" applyAlignment="1" applyProtection="1">
      <alignment horizontal="center"/>
    </xf>
    <xf numFmtId="0" fontId="22" fillId="13" borderId="0" xfId="0" applyFont="1" applyFill="1" applyAlignment="1" applyProtection="1">
      <alignment horizontal="center"/>
    </xf>
    <xf numFmtId="176" fontId="22" fillId="13" borderId="0" xfId="5" applyNumberFormat="1" applyFont="1" applyFill="1" applyBorder="1" applyProtection="1"/>
    <xf numFmtId="0" fontId="22" fillId="2" borderId="0" xfId="0" applyNumberFormat="1" applyFont="1" applyFill="1" applyProtection="1"/>
    <xf numFmtId="0" fontId="22" fillId="2" borderId="0" xfId="2" applyFont="1" applyFill="1" applyAlignment="1" applyProtection="1"/>
    <xf numFmtId="175" fontId="22" fillId="13" borderId="0" xfId="5" applyNumberFormat="1" applyFont="1" applyFill="1" applyBorder="1" applyProtection="1"/>
    <xf numFmtId="175" fontId="22" fillId="13" borderId="0" xfId="0" applyNumberFormat="1" applyFont="1" applyFill="1" applyProtection="1"/>
    <xf numFmtId="2" fontId="22" fillId="2" borderId="0" xfId="0" applyNumberFormat="1" applyFont="1" applyFill="1" applyAlignment="1" applyProtection="1">
      <alignment horizontal="center"/>
    </xf>
    <xf numFmtId="0" fontId="58" fillId="13" borderId="0" xfId="0" applyFont="1" applyFill="1" applyBorder="1" applyProtection="1"/>
    <xf numFmtId="1" fontId="58" fillId="13" borderId="0" xfId="0" applyNumberFormat="1" applyFont="1" applyFill="1" applyBorder="1" applyProtection="1"/>
    <xf numFmtId="164" fontId="22" fillId="13" borderId="0" xfId="0" applyNumberFormat="1" applyFont="1" applyFill="1" applyBorder="1" applyProtection="1"/>
    <xf numFmtId="177" fontId="22" fillId="2" borderId="0" xfId="0" applyNumberFormat="1" applyFont="1" applyFill="1" applyProtection="1"/>
    <xf numFmtId="192" fontId="22" fillId="2" borderId="0" xfId="0" applyNumberFormat="1" applyFont="1" applyFill="1" applyProtection="1"/>
    <xf numFmtId="164" fontId="22" fillId="13" borderId="0" xfId="0" applyNumberFormat="1" applyFont="1" applyFill="1" applyProtection="1"/>
    <xf numFmtId="11" fontId="22" fillId="13" borderId="0" xfId="0" applyNumberFormat="1" applyFont="1" applyFill="1" applyProtection="1"/>
    <xf numFmtId="0" fontId="22" fillId="13" borderId="0" xfId="0" applyFont="1" applyFill="1" applyBorder="1" applyAlignment="1" applyProtection="1">
      <alignment horizontal="center"/>
    </xf>
    <xf numFmtId="172" fontId="22" fillId="13" borderId="0" xfId="0" applyNumberFormat="1" applyFont="1" applyFill="1" applyProtection="1"/>
    <xf numFmtId="0" fontId="22" fillId="13" borderId="0" xfId="0" applyFont="1" applyFill="1" applyBorder="1" applyProtection="1"/>
    <xf numFmtId="0" fontId="58" fillId="13" borderId="8" xfId="0" applyFont="1" applyFill="1" applyBorder="1" applyProtection="1"/>
    <xf numFmtId="164" fontId="22" fillId="13" borderId="8" xfId="0" applyNumberFormat="1" applyFont="1" applyFill="1" applyBorder="1" applyProtection="1"/>
    <xf numFmtId="172" fontId="22" fillId="13" borderId="8" xfId="0" applyNumberFormat="1" applyFont="1" applyFill="1" applyBorder="1" applyProtection="1"/>
    <xf numFmtId="0" fontId="22" fillId="13" borderId="53" xfId="0" applyFont="1" applyFill="1" applyBorder="1" applyProtection="1"/>
    <xf numFmtId="0" fontId="22" fillId="13" borderId="58" xfId="0" applyFont="1" applyFill="1" applyBorder="1" applyProtection="1"/>
    <xf numFmtId="0" fontId="22" fillId="13" borderId="8" xfId="0" applyFont="1" applyFill="1" applyBorder="1" applyAlignment="1" applyProtection="1">
      <alignment horizontal="center"/>
    </xf>
    <xf numFmtId="0" fontId="22" fillId="14" borderId="8" xfId="0" applyFont="1" applyFill="1" applyBorder="1" applyAlignment="1" applyProtection="1">
      <alignment horizontal="center"/>
    </xf>
    <xf numFmtId="179" fontId="22" fillId="2" borderId="0" xfId="0" applyNumberFormat="1" applyFont="1" applyFill="1" applyProtection="1"/>
    <xf numFmtId="0" fontId="58" fillId="12" borderId="11" xfId="0" applyFont="1" applyFill="1" applyBorder="1" applyAlignment="1" applyProtection="1">
      <alignment horizontal="center"/>
    </xf>
    <xf numFmtId="0" fontId="22" fillId="10" borderId="0" xfId="0" applyFont="1" applyFill="1" applyProtection="1"/>
    <xf numFmtId="0" fontId="22" fillId="10" borderId="0" xfId="4" applyFont="1" applyFill="1" applyBorder="1" applyAlignment="1" applyProtection="1">
      <alignment horizontal="center"/>
    </xf>
    <xf numFmtId="0" fontId="22" fillId="12" borderId="0" xfId="0" applyFont="1" applyFill="1" applyAlignment="1" applyProtection="1">
      <alignment horizontal="center"/>
    </xf>
    <xf numFmtId="176" fontId="22" fillId="2" borderId="0" xfId="0" applyNumberFormat="1" applyFont="1" applyFill="1" applyProtection="1"/>
    <xf numFmtId="0" fontId="22" fillId="10" borderId="8" xfId="0" applyFont="1" applyFill="1" applyBorder="1" applyProtection="1"/>
    <xf numFmtId="0" fontId="22" fillId="10" borderId="8" xfId="4" applyFont="1" applyFill="1" applyBorder="1" applyAlignment="1" applyProtection="1">
      <alignment horizontal="center"/>
    </xf>
    <xf numFmtId="0" fontId="22" fillId="12" borderId="8" xfId="0" applyFont="1" applyFill="1" applyBorder="1" applyAlignment="1" applyProtection="1">
      <alignment horizontal="center"/>
    </xf>
    <xf numFmtId="0" fontId="22" fillId="10" borderId="0" xfId="0" applyFont="1" applyFill="1" applyAlignment="1" applyProtection="1">
      <alignment horizontal="right"/>
    </xf>
    <xf numFmtId="0" fontId="22" fillId="10" borderId="0" xfId="0" applyFont="1" applyFill="1" applyAlignment="1" applyProtection="1">
      <alignment horizontal="center"/>
    </xf>
    <xf numFmtId="0" fontId="58" fillId="12" borderId="0" xfId="0" applyFont="1" applyFill="1" applyAlignment="1" applyProtection="1">
      <alignment horizontal="center"/>
    </xf>
    <xf numFmtId="164" fontId="22" fillId="10" borderId="0" xfId="0" applyNumberFormat="1" applyFont="1" applyFill="1" applyProtection="1"/>
    <xf numFmtId="1" fontId="22" fillId="10" borderId="0" xfId="4" applyNumberFormat="1" applyFont="1" applyFill="1" applyBorder="1" applyAlignment="1" applyProtection="1">
      <alignment horizontal="center"/>
    </xf>
    <xf numFmtId="165" fontId="22" fillId="2" borderId="0" xfId="0" applyNumberFormat="1" applyFont="1" applyFill="1" applyAlignment="1">
      <alignment horizontal="right"/>
    </xf>
    <xf numFmtId="0" fontId="22" fillId="12" borderId="0" xfId="0" applyFont="1" applyFill="1" applyBorder="1" applyProtection="1"/>
    <xf numFmtId="0" fontId="22" fillId="12" borderId="0" xfId="0" applyFont="1" applyFill="1" applyBorder="1" applyAlignment="1" applyProtection="1">
      <alignment horizontal="center"/>
    </xf>
    <xf numFmtId="0" fontId="22" fillId="10" borderId="0" xfId="0" applyFont="1" applyFill="1" applyBorder="1" applyProtection="1"/>
    <xf numFmtId="0" fontId="22" fillId="10" borderId="0" xfId="0" applyFont="1" applyFill="1" applyBorder="1" applyAlignment="1" applyProtection="1">
      <alignment horizontal="center"/>
    </xf>
    <xf numFmtId="173" fontId="22" fillId="10" borderId="0" xfId="4" applyNumberFormat="1" applyFont="1" applyFill="1" applyBorder="1" applyProtection="1"/>
    <xf numFmtId="2" fontId="22" fillId="10" borderId="0" xfId="4" applyNumberFormat="1" applyFont="1" applyFill="1" applyBorder="1" applyProtection="1"/>
    <xf numFmtId="191" fontId="22" fillId="10" borderId="0" xfId="4" applyNumberFormat="1" applyFont="1" applyFill="1" applyBorder="1" applyProtection="1"/>
    <xf numFmtId="164" fontId="22" fillId="10" borderId="0" xfId="0" applyNumberFormat="1" applyFont="1" applyFill="1" applyBorder="1" applyProtection="1"/>
    <xf numFmtId="164" fontId="22" fillId="10" borderId="8" xfId="0" applyNumberFormat="1" applyFont="1" applyFill="1" applyBorder="1" applyProtection="1"/>
    <xf numFmtId="0" fontId="22" fillId="10" borderId="8" xfId="0" applyFont="1" applyFill="1" applyBorder="1" applyAlignment="1" applyProtection="1">
      <alignment horizontal="center"/>
    </xf>
    <xf numFmtId="0" fontId="58" fillId="4" borderId="11" xfId="0" applyFont="1" applyFill="1" applyBorder="1" applyProtection="1"/>
    <xf numFmtId="0" fontId="58" fillId="11" borderId="11" xfId="0" applyFont="1" applyFill="1" applyBorder="1" applyAlignment="1" applyProtection="1">
      <alignment horizontal="center"/>
    </xf>
    <xf numFmtId="165" fontId="22" fillId="2" borderId="0" xfId="0" applyNumberFormat="1" applyFont="1" applyFill="1" applyProtection="1"/>
    <xf numFmtId="0" fontId="22" fillId="4" borderId="0" xfId="0" applyFont="1" applyFill="1" applyProtection="1"/>
    <xf numFmtId="0" fontId="22" fillId="4" borderId="0" xfId="0" applyFont="1" applyFill="1" applyAlignment="1" applyProtection="1">
      <alignment horizontal="center"/>
    </xf>
    <xf numFmtId="0" fontId="58" fillId="11" borderId="0" xfId="0" applyFont="1" applyFill="1" applyAlignment="1" applyProtection="1">
      <alignment horizontal="center"/>
    </xf>
    <xf numFmtId="0" fontId="58" fillId="4" borderId="0" xfId="0" applyFont="1" applyFill="1" applyProtection="1"/>
    <xf numFmtId="0" fontId="22" fillId="4" borderId="0" xfId="0" applyFont="1" applyFill="1" applyAlignment="1" applyProtection="1">
      <alignment horizontal="right"/>
    </xf>
    <xf numFmtId="164" fontId="22" fillId="4" borderId="0" xfId="0" applyNumberFormat="1" applyFont="1" applyFill="1" applyProtection="1"/>
    <xf numFmtId="2" fontId="22" fillId="4" borderId="0" xfId="0" applyNumberFormat="1" applyFont="1" applyFill="1" applyProtection="1"/>
    <xf numFmtId="11" fontId="22" fillId="4" borderId="0" xfId="4" applyNumberFormat="1" applyFont="1" applyFill="1" applyBorder="1" applyAlignment="1" applyProtection="1">
      <alignment horizontal="center" vertical="top" wrapText="1"/>
    </xf>
    <xf numFmtId="186" fontId="22" fillId="4" borderId="0" xfId="0" applyNumberFormat="1" applyFont="1" applyFill="1" applyProtection="1"/>
    <xf numFmtId="172" fontId="22" fillId="4" borderId="0" xfId="0" applyNumberFormat="1" applyFont="1" applyFill="1" applyProtection="1"/>
    <xf numFmtId="11" fontId="22" fillId="4" borderId="0" xfId="0" applyNumberFormat="1" applyFont="1" applyFill="1" applyProtection="1"/>
    <xf numFmtId="0" fontId="58" fillId="4" borderId="0" xfId="0" applyFont="1" applyFill="1" applyAlignment="1" applyProtection="1">
      <alignment horizontal="left"/>
    </xf>
    <xf numFmtId="0" fontId="118" fillId="4" borderId="0" xfId="0" applyFont="1" applyFill="1" applyProtection="1"/>
    <xf numFmtId="0" fontId="22" fillId="4" borderId="71" xfId="0" applyFont="1" applyFill="1" applyBorder="1" applyProtection="1"/>
    <xf numFmtId="0" fontId="22" fillId="4" borderId="0" xfId="0" applyFont="1" applyFill="1" applyAlignment="1" applyProtection="1"/>
    <xf numFmtId="0" fontId="22" fillId="4" borderId="17" xfId="0" applyFont="1" applyFill="1" applyBorder="1" applyAlignment="1" applyProtection="1"/>
    <xf numFmtId="0" fontId="22" fillId="4" borderId="18" xfId="0" applyFont="1" applyFill="1" applyBorder="1" applyAlignment="1" applyProtection="1"/>
    <xf numFmtId="0" fontId="22" fillId="4" borderId="19" xfId="0" applyFont="1" applyFill="1" applyBorder="1" applyAlignment="1" applyProtection="1"/>
    <xf numFmtId="0" fontId="22" fillId="4" borderId="0" xfId="0" applyFont="1" applyFill="1" applyBorder="1" applyAlignment="1" applyProtection="1"/>
    <xf numFmtId="0" fontId="22" fillId="4" borderId="1" xfId="0" applyNumberFormat="1" applyFont="1" applyFill="1" applyBorder="1" applyAlignment="1" applyProtection="1">
      <alignment vertical="center"/>
      <protection locked="0"/>
    </xf>
    <xf numFmtId="0" fontId="22" fillId="4" borderId="15" xfId="0" applyFont="1" applyFill="1" applyBorder="1" applyAlignment="1" applyProtection="1"/>
    <xf numFmtId="11" fontId="22" fillId="4" borderId="0" xfId="0" applyNumberFormat="1" applyFont="1" applyFill="1" applyBorder="1" applyAlignment="1" applyProtection="1"/>
    <xf numFmtId="0" fontId="22" fillId="4" borderId="1" xfId="0" applyNumberFormat="1" applyFont="1" applyFill="1" applyBorder="1" applyAlignment="1" applyProtection="1">
      <protection locked="0"/>
    </xf>
    <xf numFmtId="0" fontId="22" fillId="4" borderId="71" xfId="0" applyFont="1" applyFill="1" applyBorder="1" applyAlignment="1" applyProtection="1"/>
    <xf numFmtId="0" fontId="22" fillId="4" borderId="13" xfId="0" applyFont="1" applyFill="1" applyBorder="1" applyProtection="1"/>
    <xf numFmtId="0" fontId="22" fillId="4" borderId="20" xfId="0" applyFont="1" applyFill="1" applyBorder="1" applyProtection="1"/>
    <xf numFmtId="0" fontId="22" fillId="4" borderId="14" xfId="0" applyFont="1" applyFill="1" applyBorder="1" applyProtection="1"/>
    <xf numFmtId="0" fontId="22" fillId="4" borderId="0" xfId="0" applyFont="1" applyFill="1" applyBorder="1" applyProtection="1"/>
    <xf numFmtId="0" fontId="22" fillId="4" borderId="16" xfId="0" applyFont="1" applyFill="1" applyBorder="1" applyProtection="1"/>
    <xf numFmtId="2" fontId="22" fillId="4" borderId="71" xfId="0" applyNumberFormat="1" applyFont="1" applyFill="1" applyBorder="1" applyProtection="1"/>
    <xf numFmtId="2" fontId="22" fillId="4" borderId="70" xfId="0" applyNumberFormat="1" applyFont="1" applyFill="1" applyBorder="1" applyProtection="1"/>
    <xf numFmtId="2" fontId="22" fillId="4" borderId="0" xfId="0" applyNumberFormat="1" applyFont="1" applyFill="1" applyBorder="1" applyProtection="1"/>
    <xf numFmtId="11" fontId="22" fillId="4" borderId="0" xfId="0" applyNumberFormat="1" applyFont="1" applyFill="1" applyBorder="1" applyProtection="1"/>
    <xf numFmtId="164" fontId="22" fillId="4" borderId="0" xfId="0" applyNumberFormat="1" applyFont="1" applyFill="1" applyBorder="1" applyProtection="1"/>
    <xf numFmtId="0" fontId="58" fillId="2" borderId="0" xfId="0" applyFont="1" applyFill="1" applyProtection="1"/>
    <xf numFmtId="0" fontId="58" fillId="4" borderId="0" xfId="0" applyFont="1" applyFill="1" applyAlignment="1" applyProtection="1"/>
    <xf numFmtId="172" fontId="22" fillId="4" borderId="0" xfId="0" applyNumberFormat="1" applyFont="1" applyFill="1" applyBorder="1" applyProtection="1"/>
    <xf numFmtId="166" fontId="22" fillId="4" borderId="0" xfId="0" applyNumberFormat="1" applyFont="1" applyFill="1" applyProtection="1"/>
    <xf numFmtId="178" fontId="22" fillId="4" borderId="0" xfId="0" applyNumberFormat="1" applyFont="1" applyFill="1" applyProtection="1"/>
    <xf numFmtId="174" fontId="58" fillId="11" borderId="0" xfId="0" applyNumberFormat="1" applyFont="1" applyFill="1" applyAlignment="1" applyProtection="1">
      <alignment horizontal="center"/>
    </xf>
    <xf numFmtId="195" fontId="22" fillId="4" borderId="0" xfId="0" applyNumberFormat="1" applyFont="1" applyFill="1" applyProtection="1"/>
    <xf numFmtId="0" fontId="58" fillId="4" borderId="0" xfId="0" applyFont="1" applyFill="1" applyBorder="1" applyProtection="1"/>
    <xf numFmtId="0" fontId="58" fillId="4" borderId="0" xfId="0" applyFont="1" applyFill="1" applyBorder="1" applyAlignment="1" applyProtection="1">
      <alignment horizontal="center"/>
    </xf>
    <xf numFmtId="0" fontId="22" fillId="4" borderId="0" xfId="0" applyFont="1" applyFill="1" applyBorder="1" applyAlignment="1" applyProtection="1">
      <alignment horizontal="center"/>
    </xf>
    <xf numFmtId="0" fontId="58" fillId="4" borderId="0" xfId="0" applyFont="1" applyFill="1" applyAlignment="1" applyProtection="1">
      <alignment horizontal="center"/>
    </xf>
    <xf numFmtId="164" fontId="58" fillId="4" borderId="0" xfId="0" applyNumberFormat="1" applyFont="1" applyFill="1" applyProtection="1"/>
    <xf numFmtId="173" fontId="22" fillId="4" borderId="0" xfId="0" applyNumberFormat="1" applyFont="1" applyFill="1" applyProtection="1"/>
    <xf numFmtId="172" fontId="22" fillId="4" borderId="0" xfId="0" applyNumberFormat="1" applyFont="1" applyFill="1" applyAlignment="1" applyProtection="1">
      <alignment horizontal="center"/>
    </xf>
    <xf numFmtId="165" fontId="58" fillId="4" borderId="0" xfId="0" applyNumberFormat="1" applyFont="1" applyFill="1" applyAlignment="1" applyProtection="1">
      <alignment horizontal="center"/>
    </xf>
    <xf numFmtId="0" fontId="58" fillId="4" borderId="8" xfId="0" applyFont="1" applyFill="1" applyBorder="1" applyProtection="1"/>
    <xf numFmtId="2" fontId="22" fillId="4" borderId="8" xfId="0" applyNumberFormat="1" applyFont="1" applyFill="1" applyBorder="1" applyProtection="1"/>
    <xf numFmtId="164" fontId="58" fillId="4" borderId="8" xfId="0" applyNumberFormat="1" applyFont="1" applyFill="1" applyBorder="1" applyProtection="1"/>
    <xf numFmtId="164" fontId="22" fillId="4" borderId="8" xfId="0" applyNumberFormat="1" applyFont="1" applyFill="1" applyBorder="1" applyProtection="1"/>
    <xf numFmtId="164" fontId="22" fillId="4" borderId="58" xfId="0" applyNumberFormat="1" applyFont="1" applyFill="1" applyBorder="1" applyProtection="1"/>
    <xf numFmtId="0" fontId="22" fillId="4" borderId="8" xfId="0" applyFont="1" applyFill="1" applyBorder="1" applyAlignment="1" applyProtection="1">
      <alignment horizontal="center"/>
    </xf>
    <xf numFmtId="0" fontId="58" fillId="11" borderId="8" xfId="0" applyFont="1" applyFill="1" applyBorder="1" applyAlignment="1" applyProtection="1">
      <alignment horizontal="center"/>
    </xf>
    <xf numFmtId="0" fontId="58" fillId="15" borderId="11" xfId="0" applyFont="1" applyFill="1" applyBorder="1" applyAlignment="1" applyProtection="1">
      <alignment horizontal="right"/>
    </xf>
    <xf numFmtId="0" fontId="58" fillId="15" borderId="11" xfId="0" applyFont="1" applyFill="1" applyBorder="1" applyAlignment="1" applyProtection="1">
      <alignment horizontal="center"/>
    </xf>
    <xf numFmtId="0" fontId="58" fillId="2" borderId="0" xfId="0" applyFont="1" applyFill="1" applyAlignment="1" applyProtection="1">
      <alignment horizontal="center"/>
    </xf>
    <xf numFmtId="0" fontId="58" fillId="15" borderId="0" xfId="0" applyFont="1" applyFill="1" applyProtection="1"/>
    <xf numFmtId="0" fontId="22" fillId="15" borderId="0" xfId="0" applyFont="1" applyFill="1" applyProtection="1"/>
    <xf numFmtId="0" fontId="22" fillId="15" borderId="0" xfId="0" applyFont="1" applyFill="1" applyAlignment="1" applyProtection="1">
      <alignment horizontal="center"/>
    </xf>
    <xf numFmtId="0" fontId="58" fillId="16" borderId="0" xfId="0" applyFont="1" applyFill="1" applyAlignment="1" applyProtection="1">
      <alignment horizontal="center"/>
    </xf>
    <xf numFmtId="0" fontId="22" fillId="15" borderId="0" xfId="0" applyFont="1" applyFill="1" applyBorder="1" applyProtection="1"/>
    <xf numFmtId="0" fontId="22" fillId="15" borderId="0" xfId="0" applyFont="1" applyFill="1" applyAlignment="1" applyProtection="1">
      <alignment horizontal="right"/>
    </xf>
    <xf numFmtId="175" fontId="22" fillId="15" borderId="0" xfId="0" applyNumberFormat="1" applyFont="1" applyFill="1" applyProtection="1"/>
    <xf numFmtId="0" fontId="58" fillId="15" borderId="10" xfId="0" applyFont="1" applyFill="1" applyBorder="1" applyProtection="1"/>
    <xf numFmtId="0" fontId="58" fillId="15" borderId="12" xfId="0" applyFont="1" applyFill="1" applyBorder="1" applyProtection="1"/>
    <xf numFmtId="0" fontId="58" fillId="15" borderId="0" xfId="0" applyFont="1" applyFill="1" applyBorder="1" applyProtection="1"/>
    <xf numFmtId="176" fontId="22" fillId="15" borderId="0" xfId="0" applyNumberFormat="1" applyFont="1" applyFill="1" applyProtection="1"/>
    <xf numFmtId="0" fontId="22" fillId="15" borderId="4" xfId="0" applyFont="1" applyFill="1" applyBorder="1" applyProtection="1"/>
    <xf numFmtId="0" fontId="22" fillId="15" borderId="5" xfId="0" applyFont="1" applyFill="1" applyBorder="1" applyProtection="1"/>
    <xf numFmtId="166" fontId="22" fillId="15" borderId="0" xfId="0" applyNumberFormat="1" applyFont="1" applyFill="1" applyProtection="1"/>
    <xf numFmtId="0" fontId="58" fillId="15" borderId="4" xfId="0" applyFont="1" applyFill="1" applyBorder="1" applyProtection="1"/>
    <xf numFmtId="166" fontId="22" fillId="15" borderId="0" xfId="0" applyNumberFormat="1" applyFont="1" applyFill="1" applyBorder="1" applyProtection="1"/>
    <xf numFmtId="174" fontId="22" fillId="15" borderId="0" xfId="0" applyNumberFormat="1" applyFont="1" applyFill="1" applyBorder="1" applyProtection="1"/>
    <xf numFmtId="0" fontId="22" fillId="15" borderId="6" xfId="0" applyFont="1" applyFill="1" applyBorder="1" applyProtection="1"/>
    <xf numFmtId="0" fontId="22" fillId="15" borderId="7" xfId="0" applyFont="1" applyFill="1" applyBorder="1" applyProtection="1"/>
    <xf numFmtId="174" fontId="22" fillId="15" borderId="0" xfId="0" applyNumberFormat="1" applyFont="1" applyFill="1" applyProtection="1"/>
    <xf numFmtId="2" fontId="22" fillId="15" borderId="0" xfId="0" applyNumberFormat="1" applyFont="1" applyFill="1" applyBorder="1" applyProtection="1"/>
    <xf numFmtId="2" fontId="22" fillId="15" borderId="0" xfId="0" applyNumberFormat="1" applyFont="1" applyFill="1" applyProtection="1"/>
    <xf numFmtId="165" fontId="22" fillId="15" borderId="0" xfId="0" applyNumberFormat="1" applyFont="1" applyFill="1" applyProtection="1"/>
    <xf numFmtId="0" fontId="22" fillId="15" borderId="0" xfId="0" applyFont="1" applyFill="1" applyBorder="1" applyAlignment="1" applyProtection="1">
      <alignment horizontal="center"/>
    </xf>
    <xf numFmtId="0" fontId="22" fillId="15" borderId="0" xfId="0" applyFont="1" applyFill="1" applyBorder="1" applyAlignment="1" applyProtection="1">
      <alignment horizontal="right"/>
    </xf>
    <xf numFmtId="173" fontId="22" fillId="15" borderId="0" xfId="0" applyNumberFormat="1" applyFont="1" applyFill="1" applyBorder="1" applyProtection="1"/>
    <xf numFmtId="0" fontId="58" fillId="15" borderId="57" xfId="4" applyFont="1" applyFill="1" applyBorder="1" applyAlignment="1" applyProtection="1">
      <alignment horizontal="center" vertical="top" wrapText="1"/>
    </xf>
    <xf numFmtId="166" fontId="22" fillId="2" borderId="0" xfId="0" applyNumberFormat="1" applyFont="1" applyFill="1" applyBorder="1" applyProtection="1"/>
    <xf numFmtId="164" fontId="22" fillId="15" borderId="0" xfId="0" applyNumberFormat="1" applyFont="1" applyFill="1" applyProtection="1"/>
    <xf numFmtId="1" fontId="22" fillId="2" borderId="0" xfId="0" applyNumberFormat="1" applyFont="1" applyFill="1" applyBorder="1" applyProtection="1"/>
    <xf numFmtId="164" fontId="22" fillId="15" borderId="0" xfId="0" applyNumberFormat="1" applyFont="1" applyFill="1" applyAlignment="1" applyProtection="1">
      <alignment horizontal="center"/>
    </xf>
    <xf numFmtId="172" fontId="22" fillId="2" borderId="0" xfId="0" applyNumberFormat="1" applyFont="1" applyFill="1" applyBorder="1" applyAlignment="1" applyProtection="1">
      <alignment horizontal="center"/>
    </xf>
    <xf numFmtId="0" fontId="22" fillId="16" borderId="0" xfId="0" applyFont="1" applyFill="1" applyProtection="1"/>
    <xf numFmtId="164" fontId="22" fillId="15" borderId="0" xfId="0" applyNumberFormat="1" applyFont="1" applyFill="1" applyBorder="1" applyAlignment="1" applyProtection="1"/>
    <xf numFmtId="164" fontId="22" fillId="15" borderId="0" xfId="0" applyNumberFormat="1" applyFont="1" applyFill="1" applyAlignment="1" applyProtection="1"/>
    <xf numFmtId="0" fontId="22" fillId="2" borderId="0" xfId="0" applyFont="1" applyFill="1" applyBorder="1" applyAlignment="1" applyProtection="1">
      <alignment horizontal="center"/>
    </xf>
    <xf numFmtId="11" fontId="22" fillId="15" borderId="0" xfId="0" applyNumberFormat="1" applyFont="1" applyFill="1" applyProtection="1"/>
    <xf numFmtId="166" fontId="22" fillId="2" borderId="0" xfId="0" applyNumberFormat="1" applyFont="1" applyFill="1" applyBorder="1" applyAlignment="1" applyProtection="1">
      <alignment horizontal="center"/>
    </xf>
    <xf numFmtId="164" fontId="22" fillId="15" borderId="0" xfId="0" applyNumberFormat="1" applyFont="1" applyFill="1" applyBorder="1" applyProtection="1"/>
    <xf numFmtId="0" fontId="58" fillId="2" borderId="0" xfId="0" applyFont="1" applyFill="1" applyBorder="1" applyAlignment="1" applyProtection="1">
      <alignment horizontal="center"/>
    </xf>
    <xf numFmtId="0" fontId="58" fillId="16" borderId="0" xfId="0" applyFont="1" applyFill="1" applyAlignment="1" applyProtection="1">
      <alignment horizontal="left"/>
    </xf>
    <xf numFmtId="0" fontId="22" fillId="2" borderId="0" xfId="0" applyFont="1" applyFill="1" applyAlignment="1" applyProtection="1">
      <alignment horizontal="right"/>
    </xf>
    <xf numFmtId="172" fontId="22" fillId="2" borderId="0" xfId="0" applyNumberFormat="1" applyFont="1" applyFill="1" applyProtection="1"/>
    <xf numFmtId="195" fontId="22" fillId="15" borderId="0" xfId="0" applyNumberFormat="1" applyFont="1" applyFill="1" applyProtection="1"/>
    <xf numFmtId="175" fontId="22" fillId="2" borderId="0" xfId="0" applyNumberFormat="1" applyFont="1" applyFill="1" applyProtection="1"/>
    <xf numFmtId="175" fontId="22" fillId="2" borderId="0" xfId="0" applyNumberFormat="1" applyFont="1" applyFill="1" applyAlignment="1" applyProtection="1">
      <alignment horizontal="right"/>
    </xf>
    <xf numFmtId="173" fontId="22" fillId="2" borderId="0" xfId="0" applyNumberFormat="1" applyFont="1" applyFill="1" applyBorder="1" applyProtection="1"/>
    <xf numFmtId="173" fontId="22" fillId="15" borderId="0" xfId="0" applyNumberFormat="1" applyFont="1" applyFill="1" applyProtection="1"/>
    <xf numFmtId="0" fontId="22" fillId="16" borderId="0" xfId="0" applyFont="1" applyFill="1" applyAlignment="1" applyProtection="1">
      <alignment horizontal="center"/>
    </xf>
    <xf numFmtId="166" fontId="22" fillId="2" borderId="0" xfId="0" applyNumberFormat="1" applyFont="1" applyFill="1" applyProtection="1"/>
    <xf numFmtId="11" fontId="22" fillId="15" borderId="0" xfId="0" applyNumberFormat="1" applyFont="1" applyFill="1" applyAlignment="1" applyProtection="1">
      <alignment horizontal="right"/>
    </xf>
    <xf numFmtId="172" fontId="22" fillId="15" borderId="0" xfId="0" applyNumberFormat="1" applyFont="1" applyFill="1" applyProtection="1"/>
    <xf numFmtId="175" fontId="22" fillId="15" borderId="0" xfId="0" applyNumberFormat="1" applyFont="1" applyFill="1" applyBorder="1" applyProtection="1"/>
    <xf numFmtId="0" fontId="58" fillId="16" borderId="0" xfId="0" applyFont="1" applyFill="1" applyBorder="1" applyProtection="1"/>
    <xf numFmtId="172" fontId="22" fillId="15" borderId="0" xfId="0" applyNumberFormat="1" applyFont="1" applyFill="1" applyBorder="1" applyProtection="1"/>
    <xf numFmtId="11" fontId="22" fillId="15" borderId="0" xfId="0" applyNumberFormat="1" applyFont="1" applyFill="1" applyBorder="1" applyProtection="1"/>
    <xf numFmtId="173" fontId="22" fillId="2" borderId="0" xfId="0" applyNumberFormat="1" applyFont="1" applyFill="1" applyProtection="1"/>
    <xf numFmtId="164" fontId="22" fillId="15" borderId="0" xfId="0" applyNumberFormat="1" applyFont="1" applyFill="1" applyAlignment="1" applyProtection="1">
      <alignment horizontal="right"/>
    </xf>
    <xf numFmtId="0" fontId="58" fillId="15" borderId="58" xfId="0" applyFont="1" applyFill="1" applyBorder="1" applyProtection="1"/>
    <xf numFmtId="164" fontId="22" fillId="15" borderId="58" xfId="0" applyNumberFormat="1" applyFont="1" applyFill="1" applyBorder="1" applyProtection="1"/>
    <xf numFmtId="0" fontId="22" fillId="15" borderId="58" xfId="0" applyFont="1" applyFill="1" applyBorder="1" applyProtection="1"/>
    <xf numFmtId="0" fontId="22" fillId="15" borderId="58" xfId="0" applyFont="1" applyFill="1" applyBorder="1" applyAlignment="1" applyProtection="1">
      <alignment horizontal="center"/>
    </xf>
    <xf numFmtId="0" fontId="58" fillId="16" borderId="58" xfId="0" applyFont="1" applyFill="1" applyBorder="1" applyAlignment="1" applyProtection="1">
      <alignment horizontal="center"/>
    </xf>
    <xf numFmtId="0" fontId="58" fillId="21" borderId="0" xfId="74" applyFont="1" applyFill="1" applyBorder="1" applyAlignment="1">
      <alignment horizontal="left"/>
    </xf>
    <xf numFmtId="0" fontId="58" fillId="2" borderId="0" xfId="0" applyFont="1" applyFill="1" applyBorder="1" applyProtection="1"/>
    <xf numFmtId="175" fontId="22" fillId="21" borderId="0" xfId="74" applyNumberFormat="1" applyFont="1" applyFill="1" applyBorder="1" applyAlignment="1">
      <alignment horizontal="center"/>
    </xf>
    <xf numFmtId="0" fontId="58" fillId="21" borderId="0" xfId="74" applyFont="1" applyFill="1" applyBorder="1" applyAlignment="1">
      <alignment horizontal="center" wrapText="1"/>
    </xf>
    <xf numFmtId="166" fontId="58" fillId="21" borderId="0" xfId="74" applyNumberFormat="1" applyFont="1" applyFill="1" applyBorder="1" applyAlignment="1">
      <alignment horizontal="center"/>
    </xf>
    <xf numFmtId="172" fontId="58" fillId="21" borderId="0" xfId="0" applyNumberFormat="1" applyFont="1" applyFill="1" applyAlignment="1" applyProtection="1">
      <alignment horizontal="center"/>
    </xf>
    <xf numFmtId="172" fontId="22" fillId="21" borderId="0" xfId="0" applyNumberFormat="1" applyFont="1" applyFill="1" applyProtection="1"/>
    <xf numFmtId="172" fontId="22" fillId="21" borderId="0" xfId="0" applyNumberFormat="1" applyFont="1" applyFill="1" applyBorder="1" applyProtection="1"/>
    <xf numFmtId="1" fontId="22" fillId="21" borderId="0" xfId="0" applyNumberFormat="1" applyFont="1" applyFill="1" applyAlignment="1" applyProtection="1">
      <alignment horizontal="center"/>
    </xf>
    <xf numFmtId="172" fontId="58" fillId="21" borderId="0" xfId="0" applyNumberFormat="1" applyFont="1" applyFill="1" applyProtection="1"/>
    <xf numFmtId="0" fontId="22" fillId="21" borderId="0" xfId="0" applyFont="1" applyFill="1" applyBorder="1" applyAlignment="1" applyProtection="1">
      <alignment vertical="top" wrapText="1"/>
    </xf>
    <xf numFmtId="0" fontId="58" fillId="21" borderId="0" xfId="0" applyFont="1" applyFill="1" applyBorder="1" applyAlignment="1" applyProtection="1">
      <alignment vertical="top" wrapText="1"/>
    </xf>
    <xf numFmtId="172" fontId="58" fillId="21" borderId="0" xfId="0" applyNumberFormat="1" applyFont="1" applyFill="1" applyBorder="1" applyProtection="1"/>
    <xf numFmtId="2" fontId="22" fillId="21" borderId="0" xfId="0" applyNumberFormat="1" applyFont="1" applyFill="1" applyProtection="1"/>
    <xf numFmtId="0" fontId="58" fillId="21" borderId="10" xfId="0" applyFont="1" applyFill="1" applyBorder="1" applyProtection="1"/>
    <xf numFmtId="0" fontId="22" fillId="21" borderId="11" xfId="0" applyFont="1" applyFill="1" applyBorder="1" applyProtection="1"/>
    <xf numFmtId="0" fontId="22" fillId="21" borderId="12" xfId="0" applyFont="1" applyFill="1" applyBorder="1" applyProtection="1"/>
    <xf numFmtId="0" fontId="58" fillId="21" borderId="6" xfId="0" applyFont="1" applyFill="1" applyBorder="1" applyProtection="1"/>
    <xf numFmtId="0" fontId="58" fillId="21" borderId="8" xfId="0" applyFont="1" applyFill="1" applyBorder="1" applyProtection="1"/>
    <xf numFmtId="0" fontId="58" fillId="21" borderId="8" xfId="0" applyFont="1" applyFill="1" applyBorder="1" applyAlignment="1" applyProtection="1">
      <alignment horizontal="left"/>
    </xf>
    <xf numFmtId="0" fontId="58" fillId="21" borderId="7" xfId="0" applyFont="1" applyFill="1" applyBorder="1" applyProtection="1"/>
    <xf numFmtId="0" fontId="22" fillId="21" borderId="55" xfId="0" applyNumberFormat="1" applyFont="1" applyFill="1" applyBorder="1" applyAlignment="1" applyProtection="1">
      <alignment vertical="center"/>
      <protection locked="0"/>
    </xf>
    <xf numFmtId="0" fontId="22" fillId="21" borderId="0" xfId="0" applyFont="1" applyFill="1" applyBorder="1" applyAlignment="1" applyProtection="1">
      <alignment horizontal="center" vertical="top" wrapText="1"/>
    </xf>
    <xf numFmtId="0" fontId="22" fillId="21" borderId="5" xfId="0" applyFont="1" applyFill="1" applyBorder="1" applyAlignment="1" applyProtection="1">
      <alignment horizontal="right" vertical="top" wrapText="1"/>
    </xf>
    <xf numFmtId="0" fontId="22" fillId="21" borderId="4" xfId="0" applyNumberFormat="1" applyFont="1" applyFill="1" applyBorder="1" applyAlignment="1" applyProtection="1">
      <alignment vertical="center"/>
      <protection locked="0"/>
    </xf>
    <xf numFmtId="0" fontId="22" fillId="21" borderId="5" xfId="0" applyFont="1" applyFill="1" applyBorder="1" applyAlignment="1" applyProtection="1">
      <alignment vertical="top" wrapText="1"/>
    </xf>
    <xf numFmtId="165" fontId="22" fillId="21" borderId="0" xfId="0" applyNumberFormat="1" applyFont="1" applyFill="1" applyAlignment="1" applyProtection="1">
      <alignment horizontal="center"/>
    </xf>
    <xf numFmtId="0" fontId="22" fillId="21" borderId="4" xfId="0" applyNumberFormat="1" applyFont="1" applyFill="1" applyBorder="1" applyAlignment="1" applyProtection="1">
      <protection locked="0"/>
    </xf>
    <xf numFmtId="0" fontId="22" fillId="21" borderId="59" xfId="0" applyNumberFormat="1" applyFont="1" applyFill="1" applyBorder="1" applyAlignment="1" applyProtection="1">
      <alignment vertical="center"/>
      <protection locked="0"/>
    </xf>
    <xf numFmtId="0" fontId="22" fillId="21" borderId="58" xfId="0" applyFont="1" applyFill="1" applyBorder="1" applyAlignment="1" applyProtection="1">
      <alignment horizontal="center" vertical="top" wrapText="1"/>
    </xf>
    <xf numFmtId="0" fontId="22" fillId="21" borderId="94" xfId="0" applyFont="1" applyFill="1" applyBorder="1" applyAlignment="1" applyProtection="1">
      <alignment vertical="top" wrapText="1"/>
    </xf>
    <xf numFmtId="0" fontId="22" fillId="21" borderId="10" xfId="0" applyFont="1" applyFill="1" applyBorder="1" applyProtection="1"/>
    <xf numFmtId="172" fontId="22" fillId="21" borderId="8" xfId="0" applyNumberFormat="1" applyFont="1" applyFill="1" applyBorder="1" applyProtection="1"/>
    <xf numFmtId="0" fontId="22" fillId="24" borderId="0" xfId="0" applyFont="1" applyFill="1" applyAlignment="1" applyProtection="1">
      <alignment horizontal="center"/>
    </xf>
    <xf numFmtId="0" fontId="22" fillId="24" borderId="0" xfId="0" applyFont="1" applyFill="1" applyAlignment="1" applyProtection="1">
      <alignment horizontal="center"/>
      <protection locked="0"/>
    </xf>
    <xf numFmtId="3" fontId="22" fillId="24" borderId="0" xfId="0" applyNumberFormat="1" applyFont="1" applyFill="1" applyAlignment="1" applyProtection="1">
      <alignment horizontal="center"/>
    </xf>
    <xf numFmtId="164" fontId="22" fillId="24" borderId="0" xfId="0" applyNumberFormat="1" applyFont="1" applyFill="1" applyAlignment="1" applyProtection="1">
      <alignment horizontal="center"/>
      <protection locked="0"/>
    </xf>
    <xf numFmtId="2" fontId="22" fillId="24" borderId="0" xfId="0" applyNumberFormat="1" applyFont="1" applyFill="1" applyAlignment="1" applyProtection="1">
      <alignment horizontal="center"/>
      <protection locked="0"/>
    </xf>
    <xf numFmtId="165" fontId="22" fillId="24" borderId="0" xfId="0" applyNumberFormat="1" applyFont="1" applyFill="1" applyAlignment="1" applyProtection="1">
      <alignment horizontal="center"/>
      <protection locked="0"/>
    </xf>
    <xf numFmtId="165" fontId="22" fillId="24" borderId="0" xfId="0" applyNumberFormat="1" applyFont="1" applyFill="1" applyAlignment="1" applyProtection="1">
      <alignment horizontal="center"/>
    </xf>
    <xf numFmtId="176" fontId="22" fillId="24" borderId="0" xfId="0" applyNumberFormat="1" applyFont="1" applyFill="1" applyAlignment="1" applyProtection="1">
      <alignment horizontal="center"/>
      <protection locked="0"/>
    </xf>
    <xf numFmtId="0" fontId="58" fillId="49" borderId="77" xfId="0" applyFont="1" applyFill="1" applyBorder="1" applyAlignment="1">
      <alignment vertical="center"/>
    </xf>
    <xf numFmtId="0" fontId="58" fillId="49" borderId="17" xfId="51" applyFont="1" applyFill="1" applyBorder="1" applyAlignment="1">
      <alignment vertical="center"/>
    </xf>
    <xf numFmtId="0" fontId="22" fillId="49" borderId="18" xfId="51" applyFont="1" applyFill="1" applyBorder="1" applyAlignment="1">
      <alignment vertical="center"/>
    </xf>
    <xf numFmtId="0" fontId="22" fillId="49" borderId="19" xfId="51" applyFont="1" applyFill="1" applyBorder="1" applyAlignment="1">
      <alignment vertical="center"/>
    </xf>
    <xf numFmtId="0" fontId="22" fillId="49" borderId="1" xfId="51" applyFont="1" applyFill="1" applyBorder="1" applyAlignment="1">
      <alignment vertical="center"/>
    </xf>
    <xf numFmtId="0" fontId="22" fillId="49" borderId="0" xfId="51" applyFont="1" applyFill="1" applyAlignment="1">
      <alignment vertical="center"/>
    </xf>
    <xf numFmtId="0" fontId="22" fillId="49" borderId="15" xfId="51" applyFont="1" applyFill="1" applyBorder="1" applyAlignment="1">
      <alignment vertical="center"/>
    </xf>
    <xf numFmtId="0" fontId="58" fillId="49" borderId="4" xfId="0" applyFont="1" applyFill="1" applyBorder="1"/>
    <xf numFmtId="2" fontId="58" fillId="49" borderId="98" xfId="0" applyNumberFormat="1" applyFont="1" applyFill="1" applyBorder="1"/>
    <xf numFmtId="0" fontId="58" fillId="49" borderId="54" xfId="0" applyFont="1" applyFill="1" applyBorder="1"/>
    <xf numFmtId="0" fontId="22" fillId="49" borderId="99" xfId="51" applyFont="1" applyFill="1" applyBorder="1" applyAlignment="1">
      <alignment vertical="center"/>
    </xf>
    <xf numFmtId="0" fontId="22" fillId="49" borderId="58" xfId="51" applyFont="1" applyFill="1" applyBorder="1" applyAlignment="1">
      <alignment horizontal="left" vertical="center"/>
    </xf>
    <xf numFmtId="0" fontId="22" fillId="49" borderId="100" xfId="51" applyFont="1" applyFill="1" applyBorder="1" applyAlignment="1">
      <alignment vertical="center"/>
    </xf>
    <xf numFmtId="0" fontId="58" fillId="49" borderId="1" xfId="51" applyFont="1" applyFill="1" applyBorder="1" applyAlignment="1">
      <alignment vertical="center"/>
    </xf>
    <xf numFmtId="0" fontId="58" fillId="49" borderId="0" xfId="51" applyFont="1" applyFill="1" applyAlignment="1">
      <alignment vertical="center"/>
    </xf>
    <xf numFmtId="0" fontId="58" fillId="49" borderId="15" xfId="51" applyFont="1" applyFill="1" applyBorder="1" applyAlignment="1">
      <alignment vertical="center"/>
    </xf>
    <xf numFmtId="0" fontId="22" fillId="49" borderId="1" xfId="51" applyFont="1" applyFill="1" applyBorder="1" applyAlignment="1">
      <alignment horizontal="center" vertical="center"/>
    </xf>
    <xf numFmtId="4" fontId="22" fillId="49" borderId="0" xfId="51" applyNumberFormat="1" applyFont="1" applyFill="1" applyAlignment="1">
      <alignment vertical="center"/>
    </xf>
    <xf numFmtId="4" fontId="22" fillId="49" borderId="15" xfId="51" applyNumberFormat="1" applyFont="1" applyFill="1" applyBorder="1" applyAlignment="1">
      <alignment vertical="center"/>
    </xf>
    <xf numFmtId="0" fontId="58" fillId="49" borderId="4" xfId="51" applyFont="1" applyFill="1" applyBorder="1" applyAlignment="1">
      <alignment vertical="center"/>
    </xf>
    <xf numFmtId="0" fontId="22" fillId="49" borderId="98" xfId="51" applyFont="1" applyFill="1" applyBorder="1" applyAlignment="1">
      <alignment horizontal="right" vertical="center"/>
    </xf>
    <xf numFmtId="0" fontId="22" fillId="49" borderId="98" xfId="51" applyFont="1" applyFill="1" applyBorder="1" applyAlignment="1">
      <alignment vertical="center"/>
    </xf>
    <xf numFmtId="0" fontId="58" fillId="49" borderId="98" xfId="51" applyFont="1" applyFill="1" applyBorder="1" applyAlignment="1">
      <alignment horizontal="center" vertical="center"/>
    </xf>
    <xf numFmtId="0" fontId="22" fillId="49" borderId="98" xfId="51" applyFont="1" applyFill="1" applyBorder="1" applyAlignment="1">
      <alignment horizontal="center" vertical="center"/>
    </xf>
    <xf numFmtId="0" fontId="22" fillId="49" borderId="0" xfId="51" applyFont="1" applyFill="1" applyAlignment="1">
      <alignment horizontal="left" vertical="center"/>
    </xf>
    <xf numFmtId="0" fontId="22" fillId="49" borderId="77" xfId="51" applyFont="1" applyFill="1" applyBorder="1" applyAlignment="1">
      <alignment horizontal="left" vertical="center"/>
    </xf>
    <xf numFmtId="0" fontId="22" fillId="49" borderId="77" xfId="51" applyFont="1" applyFill="1" applyBorder="1" applyAlignment="1">
      <alignment horizontal="center" vertical="center"/>
    </xf>
    <xf numFmtId="0" fontId="22" fillId="49" borderId="0" xfId="51" applyFont="1" applyFill="1" applyAlignment="1">
      <alignment horizontal="right" vertical="center"/>
    </xf>
    <xf numFmtId="0" fontId="58" fillId="49" borderId="101" xfId="51" applyFont="1" applyFill="1" applyBorder="1" applyAlignment="1">
      <alignment horizontal="left" vertical="center"/>
    </xf>
    <xf numFmtId="0" fontId="58" fillId="49" borderId="102" xfId="51" applyFont="1" applyFill="1" applyBorder="1" applyAlignment="1">
      <alignment horizontal="center" vertical="center"/>
    </xf>
    <xf numFmtId="0" fontId="58" fillId="49" borderId="0" xfId="51" applyFont="1" applyFill="1" applyAlignment="1">
      <alignment horizontal="left" vertical="center"/>
    </xf>
    <xf numFmtId="0" fontId="58" fillId="49" borderId="0" xfId="51" applyFont="1" applyFill="1" applyAlignment="1">
      <alignment horizontal="center" vertical="center"/>
    </xf>
    <xf numFmtId="0" fontId="22" fillId="49" borderId="4" xfId="51" applyFont="1" applyFill="1" applyBorder="1" applyAlignment="1">
      <alignment vertical="center"/>
    </xf>
    <xf numFmtId="4" fontId="22" fillId="49" borderId="98" xfId="51" applyNumberFormat="1" applyFont="1" applyFill="1" applyBorder="1" applyAlignment="1">
      <alignment horizontal="right" vertical="center" indent="1"/>
    </xf>
    <xf numFmtId="0" fontId="22" fillId="49" borderId="77" xfId="51" applyFont="1" applyFill="1" applyBorder="1" applyAlignment="1">
      <alignment vertical="center"/>
    </xf>
    <xf numFmtId="4" fontId="22" fillId="49" borderId="77" xfId="51" applyNumberFormat="1" applyFont="1" applyFill="1" applyBorder="1" applyAlignment="1">
      <alignment horizontal="right" vertical="center" indent="1"/>
    </xf>
    <xf numFmtId="0" fontId="58" fillId="49" borderId="13" xfId="51" applyFont="1" applyFill="1" applyBorder="1" applyAlignment="1">
      <alignment horizontal="right" vertical="center"/>
    </xf>
    <xf numFmtId="4" fontId="58" fillId="49" borderId="14" xfId="51" applyNumberFormat="1" applyFont="1" applyFill="1" applyBorder="1" applyAlignment="1">
      <alignment horizontal="right" vertical="center" indent="1"/>
    </xf>
    <xf numFmtId="4" fontId="22" fillId="49" borderId="33" xfId="51" applyNumberFormat="1" applyFont="1" applyFill="1" applyBorder="1" applyAlignment="1">
      <alignment horizontal="right" vertical="center" indent="1"/>
    </xf>
    <xf numFmtId="0" fontId="58" fillId="49" borderId="0" xfId="51" applyFont="1" applyFill="1" applyAlignment="1">
      <alignment horizontal="center" vertical="center" wrapText="1"/>
    </xf>
    <xf numFmtId="0" fontId="58" fillId="49" borderId="58" xfId="51" applyFont="1" applyFill="1" applyBorder="1" applyAlignment="1">
      <alignment horizontal="center" vertical="center"/>
    </xf>
    <xf numFmtId="0" fontId="22" fillId="49" borderId="55" xfId="51" applyFont="1" applyFill="1" applyBorder="1" applyAlignment="1">
      <alignment horizontal="left" vertical="center"/>
    </xf>
    <xf numFmtId="0" fontId="22" fillId="49" borderId="56" xfId="51" applyFont="1" applyFill="1" applyBorder="1" applyAlignment="1">
      <alignment vertical="center"/>
    </xf>
    <xf numFmtId="0" fontId="58" fillId="49" borderId="77" xfId="51" applyFont="1" applyFill="1" applyBorder="1" applyAlignment="1">
      <alignment horizontal="center" vertical="center"/>
    </xf>
    <xf numFmtId="0" fontId="22" fillId="49" borderId="55" xfId="51" applyFont="1" applyFill="1" applyBorder="1" applyAlignment="1">
      <alignment vertical="center"/>
    </xf>
    <xf numFmtId="0" fontId="22" fillId="49" borderId="9" xfId="51" applyFont="1" applyFill="1" applyBorder="1" applyAlignment="1">
      <alignment vertical="center"/>
    </xf>
    <xf numFmtId="0" fontId="22" fillId="49" borderId="9" xfId="51" applyFont="1" applyFill="1" applyBorder="1" applyAlignment="1">
      <alignment horizontal="left" vertical="center"/>
    </xf>
    <xf numFmtId="0" fontId="22" fillId="49" borderId="56" xfId="51" applyFont="1" applyFill="1" applyBorder="1"/>
    <xf numFmtId="0" fontId="22" fillId="49" borderId="4" xfId="51" applyFont="1" applyFill="1" applyBorder="1" applyAlignment="1">
      <alignment horizontal="left" vertical="center"/>
    </xf>
    <xf numFmtId="0" fontId="22" fillId="49" borderId="54" xfId="51" applyFont="1" applyFill="1" applyBorder="1"/>
    <xf numFmtId="0" fontId="58" fillId="49" borderId="44" xfId="51" applyFont="1" applyFill="1" applyBorder="1" applyAlignment="1">
      <alignment horizontal="center" vertical="center"/>
    </xf>
    <xf numFmtId="0" fontId="22" fillId="49" borderId="54" xfId="51" applyFont="1" applyFill="1" applyBorder="1" applyAlignment="1">
      <alignment vertical="center"/>
    </xf>
    <xf numFmtId="0" fontId="22" fillId="49" borderId="59" xfId="51" applyFont="1" applyFill="1" applyBorder="1" applyAlignment="1">
      <alignment horizontal="left" vertical="center"/>
    </xf>
    <xf numFmtId="0" fontId="22" fillId="49" borderId="94" xfId="51" applyFont="1" applyFill="1" applyBorder="1"/>
    <xf numFmtId="0" fontId="22" fillId="49" borderId="94" xfId="51" applyFont="1" applyFill="1" applyBorder="1" applyAlignment="1">
      <alignment vertical="center"/>
    </xf>
    <xf numFmtId="0" fontId="58" fillId="49" borderId="33" xfId="51" applyFont="1" applyFill="1" applyBorder="1" applyAlignment="1">
      <alignment horizontal="center" vertical="center"/>
    </xf>
    <xf numFmtId="0" fontId="22" fillId="49" borderId="58" xfId="51" applyFont="1" applyFill="1" applyBorder="1" applyAlignment="1">
      <alignment vertical="center"/>
    </xf>
    <xf numFmtId="0" fontId="22" fillId="49" borderId="0" xfId="51" applyFont="1" applyFill="1"/>
    <xf numFmtId="0" fontId="22" fillId="49" borderId="59" xfId="51" applyFont="1" applyFill="1" applyBorder="1" applyAlignment="1">
      <alignment vertical="center"/>
    </xf>
    <xf numFmtId="0" fontId="22" fillId="49" borderId="16" xfId="51" applyFont="1" applyFill="1" applyBorder="1" applyAlignment="1">
      <alignment horizontal="center" vertical="center"/>
    </xf>
    <xf numFmtId="4" fontId="22" fillId="49" borderId="71" xfId="51" applyNumberFormat="1" applyFont="1" applyFill="1" applyBorder="1" applyAlignment="1">
      <alignment vertical="center"/>
    </xf>
    <xf numFmtId="0" fontId="22" fillId="49" borderId="71" xfId="51" applyFont="1" applyFill="1" applyBorder="1" applyAlignment="1">
      <alignment vertical="center"/>
    </xf>
    <xf numFmtId="0" fontId="58" fillId="50" borderId="0" xfId="0" applyFont="1" applyFill="1" applyAlignment="1">
      <alignment horizontal="left" vertical="center"/>
    </xf>
    <xf numFmtId="0" fontId="22" fillId="49" borderId="9" xfId="51" applyFont="1" applyFill="1" applyBorder="1" applyAlignment="1">
      <alignment horizontal="center"/>
    </xf>
    <xf numFmtId="0" fontId="58" fillId="49" borderId="4" xfId="51" applyFont="1" applyFill="1" applyBorder="1" applyAlignment="1">
      <alignment horizontal="center" vertical="center"/>
    </xf>
    <xf numFmtId="0" fontId="22" fillId="49" borderId="0" xfId="51" applyFont="1" applyFill="1" applyAlignment="1">
      <alignment horizontal="center"/>
    </xf>
    <xf numFmtId="0" fontId="22" fillId="49" borderId="0" xfId="51" applyFont="1" applyFill="1" applyAlignment="1">
      <alignment horizontal="center" vertical="center"/>
    </xf>
    <xf numFmtId="0" fontId="22" fillId="49" borderId="4" xfId="51" applyFont="1" applyFill="1" applyBorder="1" applyAlignment="1">
      <alignment horizontal="center" vertical="center"/>
    </xf>
    <xf numFmtId="4" fontId="22" fillId="49" borderId="0" xfId="51" applyNumberFormat="1" applyFont="1" applyFill="1"/>
    <xf numFmtId="2" fontId="22" fillId="49" borderId="0" xfId="0" applyNumberFormat="1" applyFont="1" applyFill="1"/>
    <xf numFmtId="0" fontId="22" fillId="49" borderId="59" xfId="51" applyFont="1" applyFill="1" applyBorder="1" applyAlignment="1">
      <alignment horizontal="center" vertical="center"/>
    </xf>
    <xf numFmtId="4" fontId="22" fillId="49" borderId="58" xfId="51" applyNumberFormat="1" applyFont="1" applyFill="1" applyBorder="1"/>
    <xf numFmtId="0" fontId="22" fillId="49" borderId="58" xfId="0" applyFont="1" applyFill="1" applyBorder="1"/>
    <xf numFmtId="2" fontId="22" fillId="49" borderId="58" xfId="0" applyNumberFormat="1" applyFont="1" applyFill="1" applyBorder="1"/>
    <xf numFmtId="4" fontId="22" fillId="2" borderId="0" xfId="0" applyNumberFormat="1" applyFont="1" applyFill="1" applyProtection="1">
      <protection locked="0"/>
    </xf>
    <xf numFmtId="0" fontId="22" fillId="20" borderId="80" xfId="0" applyFont="1" applyFill="1" applyBorder="1" applyProtection="1"/>
    <xf numFmtId="0" fontId="22" fillId="21" borderId="80" xfId="0" applyFont="1" applyFill="1" applyBorder="1" applyProtection="1"/>
    <xf numFmtId="0" fontId="22" fillId="20" borderId="8" xfId="0" applyFont="1" applyFill="1" applyBorder="1" applyProtection="1"/>
    <xf numFmtId="0" fontId="9" fillId="2" borderId="0" xfId="2" applyFill="1" applyAlignment="1" applyProtection="1">
      <protection locked="0"/>
    </xf>
    <xf numFmtId="0" fontId="89" fillId="2" borderId="0" xfId="0" applyFont="1" applyFill="1" applyProtection="1">
      <protection locked="0"/>
    </xf>
    <xf numFmtId="0" fontId="87" fillId="45" borderId="54" xfId="11" applyFont="1" applyFill="1" applyBorder="1" applyAlignment="1" applyProtection="1">
      <alignment horizontal="left"/>
      <protection locked="0"/>
    </xf>
    <xf numFmtId="0" fontId="0" fillId="2" borderId="0" xfId="0" applyFill="1" applyAlignment="1">
      <alignment horizontal="left" wrapText="1"/>
    </xf>
    <xf numFmtId="0" fontId="0" fillId="2" borderId="0" xfId="0" applyFill="1" applyAlignment="1">
      <alignment wrapText="1"/>
    </xf>
    <xf numFmtId="0" fontId="0" fillId="2" borderId="0" xfId="0" applyFill="1" applyAlignment="1">
      <alignment horizontal="left" vertical="top" wrapText="1"/>
    </xf>
    <xf numFmtId="0" fontId="0" fillId="6" borderId="0" xfId="0" applyFill="1" applyAlignment="1">
      <alignment wrapText="1"/>
    </xf>
    <xf numFmtId="0" fontId="0" fillId="2" borderId="0" xfId="0" applyFont="1" applyFill="1" applyAlignment="1">
      <alignment horizontal="left" wrapText="1"/>
    </xf>
    <xf numFmtId="0" fontId="0" fillId="10" borderId="0" xfId="0" applyFill="1" applyAlignment="1">
      <alignment horizontal="left" wrapText="1"/>
    </xf>
    <xf numFmtId="0" fontId="0" fillId="24" borderId="0" xfId="0" applyFont="1" applyFill="1" applyAlignment="1">
      <alignment horizontal="left"/>
    </xf>
    <xf numFmtId="0" fontId="0" fillId="4" borderId="0" xfId="0" applyFill="1" applyAlignment="1">
      <alignment horizontal="left" wrapText="1"/>
    </xf>
    <xf numFmtId="0" fontId="0" fillId="0" borderId="0" xfId="0" applyAlignment="1">
      <alignment wrapText="1"/>
    </xf>
    <xf numFmtId="0" fontId="0" fillId="5" borderId="0" xfId="0" applyFill="1" applyAlignment="1">
      <alignment horizontal="left"/>
    </xf>
    <xf numFmtId="0" fontId="55" fillId="2" borderId="0" xfId="0" applyFont="1" applyFill="1" applyAlignment="1">
      <alignment horizontal="center" wrapText="1"/>
    </xf>
    <xf numFmtId="0" fontId="54" fillId="2" borderId="0" xfId="0" applyFont="1" applyFill="1" applyAlignment="1">
      <alignment horizontal="center"/>
    </xf>
    <xf numFmtId="0" fontId="30" fillId="2" borderId="0" xfId="0" applyFont="1" applyFill="1" applyBorder="1" applyAlignment="1" applyProtection="1">
      <alignment horizontal="center"/>
      <protection locked="0"/>
    </xf>
    <xf numFmtId="0" fontId="22" fillId="0" borderId="0" xfId="0" applyFont="1" applyFill="1" applyBorder="1" applyAlignment="1" applyProtection="1">
      <alignment horizontal="left"/>
      <protection locked="0"/>
    </xf>
    <xf numFmtId="0" fontId="28" fillId="9" borderId="0" xfId="0" applyFont="1" applyFill="1" applyAlignment="1" applyProtection="1">
      <alignment horizontal="left"/>
      <protection locked="0"/>
    </xf>
    <xf numFmtId="165" fontId="27" fillId="9" borderId="0" xfId="0" applyNumberFormat="1" applyFont="1" applyFill="1" applyBorder="1" applyAlignment="1" applyProtection="1">
      <alignment horizontal="center" vertical="center"/>
    </xf>
    <xf numFmtId="3" fontId="27" fillId="2" borderId="0" xfId="0" applyNumberFormat="1" applyFont="1" applyFill="1" applyBorder="1" applyAlignment="1" applyProtection="1">
      <alignment horizontal="center"/>
      <protection locked="0"/>
    </xf>
    <xf numFmtId="0" fontId="27" fillId="9" borderId="0" xfId="0" applyFont="1" applyFill="1" applyBorder="1" applyAlignment="1" applyProtection="1">
      <alignment horizontal="left"/>
      <protection locked="0"/>
    </xf>
    <xf numFmtId="0" fontId="27" fillId="2" borderId="0" xfId="0" applyFont="1" applyFill="1" applyBorder="1" applyAlignment="1" applyProtection="1">
      <alignment horizontal="center" vertical="center"/>
      <protection locked="0"/>
    </xf>
    <xf numFmtId="165" fontId="27" fillId="2" borderId="0" xfId="0" applyNumberFormat="1" applyFont="1" applyFill="1" applyAlignment="1" applyProtection="1">
      <alignment horizontal="center" vertical="center"/>
      <protection locked="0"/>
    </xf>
    <xf numFmtId="0" fontId="27" fillId="9" borderId="0" xfId="0" applyFont="1" applyFill="1" applyBorder="1" applyAlignment="1" applyProtection="1">
      <alignment horizontal="left"/>
    </xf>
    <xf numFmtId="0" fontId="46" fillId="23" borderId="9" xfId="7" applyFont="1" applyFill="1" applyBorder="1" applyAlignment="1" applyProtection="1">
      <alignment horizontal="center" wrapText="1"/>
    </xf>
    <xf numFmtId="0" fontId="27" fillId="2" borderId="0" xfId="0" applyFont="1" applyFill="1" applyBorder="1" applyAlignment="1" applyProtection="1">
      <alignment horizontal="center"/>
      <protection locked="0"/>
    </xf>
    <xf numFmtId="0" fontId="30" fillId="2" borderId="0" xfId="5" applyFont="1" applyFill="1" applyBorder="1" applyAlignment="1" applyProtection="1">
      <alignment horizontal="center"/>
      <protection locked="0"/>
    </xf>
    <xf numFmtId="0" fontId="30" fillId="0" borderId="0" xfId="0" applyFont="1" applyAlignment="1" applyProtection="1">
      <alignment horizontal="center"/>
      <protection locked="0"/>
    </xf>
    <xf numFmtId="0" fontId="30" fillId="9" borderId="0" xfId="0" applyFont="1" applyFill="1" applyBorder="1" applyAlignment="1">
      <alignment horizontal="left"/>
    </xf>
    <xf numFmtId="0" fontId="9" fillId="46" borderId="78" xfId="2" applyFill="1" applyBorder="1" applyAlignment="1" applyProtection="1">
      <alignment horizontal="center" vertical="center"/>
    </xf>
    <xf numFmtId="0" fontId="9" fillId="46" borderId="56" xfId="2" applyFill="1" applyBorder="1" applyAlignment="1" applyProtection="1">
      <alignment horizontal="center" vertical="center"/>
    </xf>
    <xf numFmtId="0" fontId="9" fillId="46" borderId="59" xfId="2" applyFill="1" applyBorder="1" applyAlignment="1" applyProtection="1">
      <alignment horizontal="center" vertical="center"/>
    </xf>
    <xf numFmtId="0" fontId="9" fillId="46" borderId="107" xfId="2" applyFill="1" applyBorder="1" applyAlignment="1" applyProtection="1">
      <alignment horizontal="center" vertical="center"/>
    </xf>
    <xf numFmtId="0" fontId="30" fillId="9" borderId="0" xfId="0" applyFont="1" applyFill="1" applyAlignment="1" applyProtection="1">
      <alignment horizontal="left"/>
    </xf>
    <xf numFmtId="0" fontId="93" fillId="28" borderId="77" xfId="2" applyFont="1" applyFill="1" applyBorder="1" applyAlignment="1" applyProtection="1">
      <alignment horizontal="center" vertical="center" wrapText="1"/>
    </xf>
    <xf numFmtId="0" fontId="93" fillId="28" borderId="33" xfId="2" applyFont="1" applyFill="1" applyBorder="1" applyAlignment="1" applyProtection="1">
      <alignment horizontal="center" vertical="center" wrapText="1"/>
    </xf>
    <xf numFmtId="0" fontId="28" fillId="9" borderId="9" xfId="0" applyFont="1" applyFill="1" applyBorder="1" applyAlignment="1" applyProtection="1">
      <alignment horizontal="center" vertical="center"/>
      <protection locked="0"/>
    </xf>
    <xf numFmtId="165" fontId="27" fillId="2" borderId="0" xfId="0" applyNumberFormat="1" applyFont="1" applyFill="1" applyBorder="1" applyAlignment="1" applyProtection="1">
      <alignment horizontal="center" vertical="center"/>
      <protection locked="0"/>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left" vertical="center"/>
    </xf>
    <xf numFmtId="0" fontId="53" fillId="2" borderId="0" xfId="0" applyFont="1" applyFill="1" applyAlignment="1" applyProtection="1">
      <alignment horizontal="center" vertical="center" wrapText="1"/>
      <protection locked="0"/>
    </xf>
    <xf numFmtId="1" fontId="28" fillId="9" borderId="9" xfId="0" applyNumberFormat="1" applyFont="1" applyFill="1" applyBorder="1" applyAlignment="1" applyProtection="1">
      <alignment horizontal="center" vertical="center"/>
    </xf>
    <xf numFmtId="0" fontId="27" fillId="9" borderId="0" xfId="0" applyFont="1" applyFill="1" applyBorder="1" applyAlignment="1" applyProtection="1">
      <alignment horizontal="center"/>
    </xf>
    <xf numFmtId="0" fontId="30" fillId="2" borderId="0" xfId="0" applyFont="1" applyFill="1" applyAlignment="1" applyProtection="1">
      <alignment horizontal="center"/>
      <protection locked="0"/>
    </xf>
    <xf numFmtId="0" fontId="29" fillId="18" borderId="56" xfId="0" applyFont="1" applyFill="1" applyBorder="1" applyAlignment="1" applyProtection="1">
      <alignment horizontal="center" vertical="center" wrapText="1" shrinkToFit="1"/>
    </xf>
    <xf numFmtId="0" fontId="29" fillId="18" borderId="7" xfId="0" applyFont="1" applyFill="1" applyBorder="1" applyAlignment="1" applyProtection="1">
      <alignment horizontal="center" vertical="center" wrapText="1" shrinkToFit="1"/>
    </xf>
    <xf numFmtId="0" fontId="29" fillId="18" borderId="9" xfId="0" applyFont="1" applyFill="1" applyBorder="1" applyAlignment="1" applyProtection="1">
      <alignment horizontal="center" vertical="center"/>
    </xf>
    <xf numFmtId="0" fontId="29" fillId="18" borderId="8" xfId="0" applyFont="1" applyFill="1" applyBorder="1" applyAlignment="1" applyProtection="1">
      <alignment horizontal="center" vertical="center"/>
    </xf>
    <xf numFmtId="0" fontId="29" fillId="18" borderId="9" xfId="0" applyFont="1" applyFill="1" applyBorder="1" applyAlignment="1" applyProtection="1">
      <alignment horizontal="center" vertical="center" wrapText="1"/>
    </xf>
    <xf numFmtId="0" fontId="29" fillId="18" borderId="8" xfId="0" applyFont="1" applyFill="1" applyBorder="1" applyAlignment="1" applyProtection="1">
      <alignment horizontal="center" vertical="center" wrapText="1"/>
    </xf>
    <xf numFmtId="0" fontId="29" fillId="18" borderId="58" xfId="0" applyFont="1" applyFill="1" applyBorder="1" applyAlignment="1" applyProtection="1">
      <alignment horizontal="center" vertical="center"/>
    </xf>
    <xf numFmtId="0" fontId="58" fillId="49" borderId="95" xfId="0" applyFont="1" applyFill="1" applyBorder="1" applyAlignment="1">
      <alignment horizontal="left"/>
    </xf>
    <xf numFmtId="0" fontId="58" fillId="49" borderId="96" xfId="0" applyFont="1" applyFill="1" applyBorder="1" applyAlignment="1">
      <alignment horizontal="left"/>
    </xf>
    <xf numFmtId="0" fontId="58" fillId="49" borderId="97" xfId="0" applyFont="1" applyFill="1" applyBorder="1" applyAlignment="1">
      <alignment horizontal="left"/>
    </xf>
    <xf numFmtId="0" fontId="0" fillId="18" borderId="55" xfId="0" applyFill="1" applyBorder="1" applyAlignment="1" applyProtection="1">
      <alignment horizontal="center"/>
    </xf>
    <xf numFmtId="0" fontId="0" fillId="18" borderId="9" xfId="0" applyFill="1" applyBorder="1" applyAlignment="1" applyProtection="1">
      <alignment horizontal="center"/>
    </xf>
    <xf numFmtId="0" fontId="27" fillId="9" borderId="4" xfId="0" applyFont="1" applyFill="1" applyBorder="1" applyAlignment="1" applyProtection="1">
      <alignment horizontal="left" wrapText="1"/>
    </xf>
    <xf numFmtId="0" fontId="30" fillId="9" borderId="0" xfId="0" applyFont="1" applyFill="1" applyBorder="1" applyAlignment="1" applyProtection="1">
      <alignment horizontal="center"/>
      <protection locked="0"/>
    </xf>
    <xf numFmtId="0" fontId="57" fillId="9" borderId="4" xfId="0" applyFont="1" applyFill="1" applyBorder="1" applyAlignment="1" applyProtection="1">
      <alignment horizontal="center" vertical="center" wrapText="1"/>
      <protection locked="0"/>
    </xf>
    <xf numFmtId="0" fontId="57" fillId="9"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left"/>
      <protection locked="0"/>
    </xf>
    <xf numFmtId="0" fontId="63" fillId="28" borderId="77" xfId="0" applyFont="1" applyFill="1" applyBorder="1" applyAlignment="1" applyProtection="1">
      <alignment horizontal="center" vertical="center" wrapText="1"/>
    </xf>
    <xf numFmtId="0" fontId="64" fillId="0" borderId="33" xfId="0" applyFont="1" applyBorder="1" applyAlignment="1">
      <alignment horizontal="center" vertical="center" wrapText="1"/>
    </xf>
    <xf numFmtId="165" fontId="27" fillId="2" borderId="0" xfId="0" applyNumberFormat="1" applyFont="1" applyFill="1" applyBorder="1" applyAlignment="1" applyProtection="1">
      <alignment horizontal="center" vertical="center"/>
    </xf>
    <xf numFmtId="0" fontId="27" fillId="9" borderId="0" xfId="0" applyFont="1" applyFill="1" applyBorder="1" applyAlignment="1" applyProtection="1">
      <alignment horizontal="center" vertical="center"/>
    </xf>
    <xf numFmtId="0" fontId="28" fillId="9" borderId="0" xfId="0" applyFont="1" applyFill="1" applyBorder="1" applyAlignment="1" applyProtection="1">
      <alignment horizontal="center" vertical="center"/>
    </xf>
    <xf numFmtId="0" fontId="28" fillId="9" borderId="9" xfId="0" applyFont="1" applyFill="1" applyBorder="1" applyAlignment="1" applyProtection="1">
      <alignment horizontal="center" vertical="center"/>
    </xf>
    <xf numFmtId="0" fontId="104" fillId="49" borderId="95" xfId="0" applyFont="1" applyFill="1" applyBorder="1" applyAlignment="1">
      <alignment horizontal="left"/>
    </xf>
    <xf numFmtId="0" fontId="104" fillId="49" borderId="96" xfId="0" applyFont="1" applyFill="1" applyBorder="1" applyAlignment="1">
      <alignment horizontal="left"/>
    </xf>
    <xf numFmtId="0" fontId="104" fillId="49" borderId="97" xfId="0" applyFont="1" applyFill="1" applyBorder="1" applyAlignment="1">
      <alignment horizontal="left"/>
    </xf>
    <xf numFmtId="0" fontId="57" fillId="9" borderId="4" xfId="0" applyFont="1" applyFill="1" applyBorder="1" applyAlignment="1" applyProtection="1">
      <alignment horizontal="center" vertical="center" wrapText="1"/>
    </xf>
    <xf numFmtId="0" fontId="57" fillId="9" borderId="0" xfId="0" applyFont="1" applyFill="1" applyBorder="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Font="1" applyFill="1" applyBorder="1" applyAlignment="1" applyProtection="1">
      <alignment horizontal="center" vertical="center"/>
    </xf>
    <xf numFmtId="0" fontId="90" fillId="46" borderId="78" xfId="2" applyFont="1" applyFill="1" applyBorder="1" applyAlignment="1" applyProtection="1">
      <alignment horizontal="center" vertical="center"/>
    </xf>
    <xf numFmtId="0" fontId="90" fillId="46" borderId="56" xfId="2" applyFont="1" applyFill="1" applyBorder="1" applyAlignment="1" applyProtection="1">
      <alignment horizontal="center" vertical="center"/>
    </xf>
    <xf numFmtId="0" fontId="90" fillId="46" borderId="59" xfId="2" applyFont="1" applyFill="1" applyBorder="1" applyAlignment="1" applyProtection="1">
      <alignment horizontal="center" vertical="center"/>
    </xf>
    <xf numFmtId="0" fontId="90" fillId="46" borderId="107" xfId="2" applyFont="1" applyFill="1" applyBorder="1" applyAlignment="1" applyProtection="1">
      <alignment horizontal="center" vertical="center"/>
    </xf>
    <xf numFmtId="3" fontId="27" fillId="2" borderId="0" xfId="0" applyNumberFormat="1" applyFont="1" applyFill="1" applyBorder="1" applyAlignment="1" applyProtection="1">
      <alignment horizontal="center"/>
    </xf>
    <xf numFmtId="0" fontId="30" fillId="2" borderId="0" xfId="0" applyFont="1" applyFill="1" applyBorder="1" applyAlignment="1" applyProtection="1">
      <alignment horizontal="center"/>
    </xf>
    <xf numFmtId="2" fontId="30" fillId="21" borderId="0" xfId="74" applyNumberFormat="1" applyFont="1" applyFill="1" applyBorder="1" applyAlignment="1">
      <alignment horizontal="center"/>
    </xf>
    <xf numFmtId="0" fontId="29" fillId="21" borderId="0" xfId="74" applyFont="1" applyFill="1" applyBorder="1" applyAlignment="1">
      <alignment horizontal="center"/>
    </xf>
    <xf numFmtId="0" fontId="29" fillId="21" borderId="0" xfId="74" applyFont="1" applyFill="1" applyBorder="1" applyAlignment="1">
      <alignment horizontal="left" wrapText="1"/>
    </xf>
    <xf numFmtId="2" fontId="29" fillId="21" borderId="0" xfId="74" applyNumberFormat="1" applyFont="1" applyFill="1" applyBorder="1" applyAlignment="1">
      <alignment horizontal="center"/>
    </xf>
    <xf numFmtId="0" fontId="29" fillId="21" borderId="0" xfId="74" applyFont="1" applyFill="1" applyBorder="1" applyAlignment="1">
      <alignment horizontal="left"/>
    </xf>
    <xf numFmtId="0" fontId="29" fillId="21" borderId="0" xfId="74" applyFont="1" applyFill="1" applyBorder="1" applyAlignment="1">
      <alignment horizontal="center" wrapText="1"/>
    </xf>
    <xf numFmtId="0" fontId="13" fillId="4" borderId="4" xfId="0" applyFont="1" applyFill="1" applyBorder="1" applyAlignment="1" applyProtection="1">
      <alignment horizontal="left"/>
    </xf>
    <xf numFmtId="0" fontId="13" fillId="4" borderId="0" xfId="0" applyFont="1" applyFill="1" applyBorder="1" applyAlignment="1" applyProtection="1">
      <alignment horizontal="left"/>
    </xf>
    <xf numFmtId="0" fontId="13" fillId="6" borderId="6" xfId="0" applyFont="1" applyFill="1" applyBorder="1" applyAlignment="1" applyProtection="1">
      <alignment horizontal="left"/>
    </xf>
    <xf numFmtId="0" fontId="0" fillId="6" borderId="8" xfId="0" applyFill="1" applyBorder="1" applyAlignment="1">
      <alignment horizontal="left"/>
    </xf>
    <xf numFmtId="0" fontId="51" fillId="0" borderId="0" xfId="0" applyFont="1" applyFill="1" applyBorder="1" applyAlignment="1" applyProtection="1">
      <alignment horizontal="left"/>
      <protection locked="0"/>
    </xf>
    <xf numFmtId="0" fontId="13" fillId="6" borderId="4" xfId="0" applyFont="1" applyFill="1" applyBorder="1" applyAlignment="1" applyProtection="1">
      <alignment horizontal="left"/>
    </xf>
    <xf numFmtId="0" fontId="0" fillId="6" borderId="0" xfId="0" applyFill="1" applyAlignment="1">
      <alignment horizontal="left"/>
    </xf>
    <xf numFmtId="0" fontId="13" fillId="6" borderId="2" xfId="0" applyFont="1" applyFill="1" applyBorder="1" applyAlignment="1" applyProtection="1">
      <alignment horizontal="left"/>
    </xf>
    <xf numFmtId="0" fontId="0" fillId="0" borderId="9" xfId="0" applyBorder="1" applyAlignment="1">
      <alignment horizontal="left"/>
    </xf>
    <xf numFmtId="0" fontId="60" fillId="2" borderId="0" xfId="0" applyFont="1" applyFill="1" applyAlignment="1" applyProtection="1">
      <alignment horizontal="center"/>
      <protection locked="0"/>
    </xf>
    <xf numFmtId="0" fontId="62" fillId="46" borderId="34" xfId="2" applyFont="1" applyFill="1" applyBorder="1" applyAlignment="1" applyProtection="1">
      <alignment horizontal="center" vertical="center"/>
    </xf>
    <xf numFmtId="0" fontId="62" fillId="28" borderId="77" xfId="2" quotePrefix="1" applyFont="1" applyFill="1" applyBorder="1" applyAlignment="1" applyProtection="1">
      <alignment horizontal="center" vertical="center" wrapText="1"/>
    </xf>
    <xf numFmtId="0" fontId="62" fillId="28" borderId="33" xfId="2"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59" fillId="2" borderId="0" xfId="0" applyFont="1" applyFill="1" applyBorder="1" applyAlignment="1" applyProtection="1">
      <alignment horizontal="left" vertical="center" wrapText="1"/>
    </xf>
    <xf numFmtId="165" fontId="27" fillId="9" borderId="8" xfId="0" applyNumberFormat="1" applyFont="1" applyFill="1" applyBorder="1" applyAlignment="1" applyProtection="1">
      <alignment horizontal="center" vertical="center"/>
    </xf>
    <xf numFmtId="0" fontId="30" fillId="2" borderId="0" xfId="0" applyFont="1" applyFill="1" applyBorder="1" applyAlignment="1">
      <alignment horizontal="center"/>
    </xf>
    <xf numFmtId="0" fontId="59" fillId="2" borderId="0" xfId="0" applyFont="1" applyFill="1" applyAlignment="1" applyProtection="1">
      <alignment horizontal="left" vertical="center" wrapText="1"/>
      <protection locked="0"/>
    </xf>
    <xf numFmtId="0" fontId="59" fillId="2" borderId="0" xfId="0" applyFont="1" applyFill="1" applyAlignment="1" applyProtection="1">
      <alignment horizontal="left" wrapText="1"/>
      <protection locked="0"/>
    </xf>
    <xf numFmtId="0" fontId="0" fillId="0" borderId="0" xfId="0" applyAlignment="1">
      <alignment horizontal="left" wrapText="1"/>
    </xf>
    <xf numFmtId="0" fontId="115" fillId="49" borderId="95" xfId="0" applyFont="1" applyFill="1" applyBorder="1" applyAlignment="1">
      <alignment horizontal="left"/>
    </xf>
    <xf numFmtId="0" fontId="115" fillId="49" borderId="96" xfId="0" applyFont="1" applyFill="1" applyBorder="1" applyAlignment="1">
      <alignment horizontal="left"/>
    </xf>
    <xf numFmtId="0" fontId="115" fillId="49" borderId="97" xfId="0" applyFont="1" applyFill="1" applyBorder="1" applyAlignment="1">
      <alignment horizontal="left"/>
    </xf>
    <xf numFmtId="2" fontId="22" fillId="21" borderId="0" xfId="74" applyNumberFormat="1" applyFont="1" applyFill="1" applyBorder="1" applyAlignment="1">
      <alignment horizontal="center"/>
    </xf>
    <xf numFmtId="2" fontId="58" fillId="21" borderId="0" xfId="74" applyNumberFormat="1" applyFont="1" applyFill="1" applyBorder="1" applyAlignment="1">
      <alignment horizontal="center"/>
    </xf>
    <xf numFmtId="0" fontId="58" fillId="21" borderId="0" xfId="74" applyFont="1" applyFill="1" applyBorder="1" applyAlignment="1">
      <alignment horizontal="center"/>
    </xf>
    <xf numFmtId="0" fontId="58" fillId="21" borderId="0" xfId="74" applyFont="1" applyFill="1" applyBorder="1" applyAlignment="1">
      <alignment horizontal="left"/>
    </xf>
    <xf numFmtId="0" fontId="58" fillId="21" borderId="0" xfId="74" applyFont="1" applyFill="1" applyBorder="1" applyAlignment="1">
      <alignment horizontal="center" wrapText="1"/>
    </xf>
    <xf numFmtId="0" fontId="27" fillId="2" borderId="0" xfId="0" applyFont="1" applyFill="1" applyBorder="1" applyAlignment="1" applyProtection="1">
      <alignment horizontal="center"/>
    </xf>
    <xf numFmtId="0" fontId="27" fillId="9" borderId="80" xfId="0" applyFont="1" applyFill="1" applyBorder="1" applyAlignment="1" applyProtection="1">
      <alignment horizontal="center" vertical="center"/>
    </xf>
    <xf numFmtId="1" fontId="28" fillId="9" borderId="76" xfId="0" applyNumberFormat="1" applyFont="1" applyFill="1" applyBorder="1" applyAlignment="1" applyProtection="1">
      <alignment horizontal="center" vertical="center"/>
    </xf>
    <xf numFmtId="0" fontId="28" fillId="9" borderId="76" xfId="0" applyFont="1" applyFill="1" applyBorder="1" applyAlignment="1" applyProtection="1">
      <alignment horizontal="center" vertical="center"/>
    </xf>
    <xf numFmtId="165" fontId="27" fillId="9" borderId="80" xfId="0" applyNumberFormat="1" applyFont="1" applyFill="1" applyBorder="1" applyAlignment="1" applyProtection="1">
      <alignment horizontal="center" vertical="center"/>
    </xf>
    <xf numFmtId="165" fontId="27" fillId="9" borderId="108" xfId="0" applyNumberFormat="1" applyFont="1" applyFill="1" applyBorder="1" applyAlignment="1" applyProtection="1">
      <alignment horizontal="center" vertical="center"/>
    </xf>
    <xf numFmtId="0" fontId="46" fillId="23" borderId="76" xfId="7" applyFont="1" applyFill="1" applyBorder="1" applyAlignment="1" applyProtection="1">
      <alignment horizontal="center" wrapText="1"/>
    </xf>
    <xf numFmtId="0" fontId="90" fillId="46" borderId="79" xfId="2" applyFont="1" applyFill="1" applyBorder="1" applyAlignment="1" applyProtection="1">
      <alignment horizontal="center" vertical="center"/>
    </xf>
    <xf numFmtId="0" fontId="30" fillId="9" borderId="0" xfId="0" applyFont="1" applyFill="1" applyBorder="1" applyAlignment="1" applyProtection="1">
      <alignment horizontal="center"/>
    </xf>
    <xf numFmtId="0" fontId="29" fillId="18" borderId="76" xfId="0" applyFont="1" applyFill="1" applyBorder="1" applyAlignment="1" applyProtection="1">
      <alignment horizontal="center" vertical="center"/>
    </xf>
    <xf numFmtId="0" fontId="29" fillId="18" borderId="80" xfId="0" applyFont="1" applyFill="1" applyBorder="1" applyAlignment="1" applyProtection="1">
      <alignment horizontal="center" vertical="center"/>
    </xf>
    <xf numFmtId="0" fontId="29" fillId="18" borderId="107" xfId="0" applyFont="1" applyFill="1" applyBorder="1" applyAlignment="1" applyProtection="1">
      <alignment horizontal="center" vertical="center" wrapText="1" shrinkToFit="1"/>
    </xf>
    <xf numFmtId="0" fontId="28" fillId="20" borderId="80" xfId="0" applyFont="1" applyFill="1" applyBorder="1" applyAlignment="1" applyProtection="1">
      <alignment horizontal="center"/>
    </xf>
    <xf numFmtId="0" fontId="28" fillId="20" borderId="0" xfId="0" applyFont="1" applyFill="1" applyBorder="1" applyAlignment="1" applyProtection="1">
      <alignment horizontal="center"/>
    </xf>
    <xf numFmtId="0" fontId="28" fillId="21" borderId="0" xfId="0" applyFont="1" applyFill="1" applyBorder="1" applyAlignment="1" applyProtection="1">
      <alignment vertical="top" wrapText="1"/>
    </xf>
    <xf numFmtId="0" fontId="22" fillId="0" borderId="0" xfId="0" applyFont="1" applyProtection="1"/>
    <xf numFmtId="0" fontId="29" fillId="18" borderId="76" xfId="0" applyFont="1" applyFill="1" applyBorder="1" applyAlignment="1" applyProtection="1">
      <alignment horizontal="center" vertical="center" wrapText="1"/>
    </xf>
    <xf numFmtId="0" fontId="29" fillId="18" borderId="80" xfId="0" applyFont="1" applyFill="1" applyBorder="1" applyAlignment="1" applyProtection="1">
      <alignment horizontal="center" vertical="center" wrapText="1"/>
    </xf>
    <xf numFmtId="0" fontId="28" fillId="20" borderId="8" xfId="0" applyFont="1" applyFill="1" applyBorder="1" applyAlignment="1" applyProtection="1">
      <alignment horizontal="center"/>
    </xf>
    <xf numFmtId="0" fontId="0" fillId="2" borderId="0" xfId="0" applyFill="1" applyAlignment="1" applyProtection="1">
      <alignment horizontal="center"/>
      <protection locked="0"/>
    </xf>
    <xf numFmtId="0" fontId="2" fillId="48" borderId="23" xfId="0" applyFont="1" applyFill="1" applyBorder="1" applyAlignment="1">
      <alignment horizontal="center" wrapText="1"/>
    </xf>
    <xf numFmtId="0" fontId="2" fillId="48" borderId="22" xfId="0" applyFont="1" applyFill="1" applyBorder="1" applyAlignment="1">
      <alignment horizontal="center" wrapText="1"/>
    </xf>
    <xf numFmtId="0" fontId="2" fillId="25" borderId="47" xfId="0" applyFont="1" applyFill="1" applyBorder="1" applyAlignment="1">
      <alignment horizontal="center" vertical="center" wrapText="1"/>
    </xf>
    <xf numFmtId="0" fontId="2" fillId="25" borderId="21" xfId="0" applyFont="1" applyFill="1" applyBorder="1" applyAlignment="1">
      <alignment horizontal="center" vertical="center" wrapText="1"/>
    </xf>
    <xf numFmtId="0" fontId="2" fillId="25" borderId="22" xfId="0" applyFont="1" applyFill="1" applyBorder="1" applyAlignment="1">
      <alignment horizontal="center" vertical="center" wrapText="1"/>
    </xf>
    <xf numFmtId="0" fontId="2" fillId="25" borderId="48" xfId="0" applyFont="1" applyFill="1" applyBorder="1" applyAlignment="1">
      <alignment horizontal="center" vertical="center" wrapText="1"/>
    </xf>
    <xf numFmtId="0" fontId="2" fillId="25" borderId="24" xfId="0" applyFont="1" applyFill="1" applyBorder="1" applyAlignment="1">
      <alignment horizontal="center" vertical="center" wrapText="1"/>
    </xf>
    <xf numFmtId="0" fontId="2" fillId="25" borderId="25" xfId="0" applyFont="1" applyFill="1" applyBorder="1" applyAlignment="1">
      <alignment horizontal="center" vertical="center" wrapText="1"/>
    </xf>
    <xf numFmtId="0" fontId="2" fillId="25" borderId="23" xfId="0" applyFont="1" applyFill="1" applyBorder="1" applyAlignment="1">
      <alignment horizontal="center" vertical="center" wrapText="1"/>
    </xf>
    <xf numFmtId="0" fontId="2" fillId="25" borderId="26" xfId="0" applyFont="1" applyFill="1" applyBorder="1" applyAlignment="1">
      <alignment horizontal="center" vertical="center" wrapText="1"/>
    </xf>
    <xf numFmtId="0" fontId="111" fillId="28" borderId="0" xfId="2" applyFont="1" applyFill="1" applyAlignment="1" applyProtection="1">
      <alignment horizontal="center" vertical="center"/>
    </xf>
    <xf numFmtId="0" fontId="111" fillId="28" borderId="0" xfId="2" quotePrefix="1" applyFont="1" applyFill="1" applyAlignment="1" applyProtection="1">
      <alignment horizontal="center" vertical="center" wrapText="1"/>
    </xf>
    <xf numFmtId="0" fontId="86" fillId="26" borderId="32" xfId="11" applyFont="1" applyFill="1" applyBorder="1" applyAlignment="1" applyProtection="1">
      <alignment horizontal="center" wrapText="1"/>
    </xf>
    <xf numFmtId="0" fontId="86" fillId="26" borderId="33" xfId="11" applyFont="1" applyFill="1" applyBorder="1" applyAlignment="1" applyProtection="1">
      <alignment horizontal="center" wrapText="1"/>
    </xf>
    <xf numFmtId="0" fontId="86" fillId="26" borderId="10" xfId="11" applyFont="1" applyFill="1" applyBorder="1" applyAlignment="1" applyProtection="1">
      <alignment horizontal="center"/>
    </xf>
    <xf numFmtId="0" fontId="86" fillId="26" borderId="11" xfId="11" applyFont="1" applyFill="1" applyBorder="1" applyAlignment="1" applyProtection="1">
      <alignment horizontal="center"/>
    </xf>
    <xf numFmtId="0" fontId="86" fillId="26" borderId="12" xfId="11" applyFont="1" applyFill="1" applyBorder="1" applyAlignment="1" applyProtection="1">
      <alignment horizontal="center"/>
    </xf>
    <xf numFmtId="0" fontId="10" fillId="2" borderId="32" xfId="0" applyFont="1" applyFill="1" applyBorder="1" applyAlignment="1">
      <alignment horizontal="left" vertical="top" wrapText="1"/>
    </xf>
    <xf numFmtId="0" fontId="10" fillId="2" borderId="44" xfId="0" applyFont="1" applyFill="1" applyBorder="1" applyAlignment="1">
      <alignment horizontal="left" vertical="top" wrapText="1"/>
    </xf>
    <xf numFmtId="0" fontId="10" fillId="2" borderId="33" xfId="0" applyFont="1" applyFill="1" applyBorder="1" applyAlignment="1">
      <alignment horizontal="left" vertical="top" wrapText="1"/>
    </xf>
    <xf numFmtId="0" fontId="86" fillId="2" borderId="10" xfId="11" applyFont="1" applyFill="1" applyBorder="1" applyAlignment="1" applyProtection="1">
      <alignment horizontal="left"/>
    </xf>
    <xf numFmtId="0" fontId="86" fillId="2" borderId="12" xfId="11" applyFont="1" applyFill="1" applyBorder="1" applyAlignment="1" applyProtection="1">
      <alignment horizontal="left"/>
    </xf>
    <xf numFmtId="0" fontId="9" fillId="6" borderId="10" xfId="2" quotePrefix="1" applyFill="1" applyBorder="1" applyAlignment="1" applyProtection="1">
      <alignment horizontal="center"/>
    </xf>
    <xf numFmtId="0" fontId="9" fillId="6" borderId="11" xfId="2" quotePrefix="1" applyFill="1" applyBorder="1" applyAlignment="1" applyProtection="1">
      <alignment horizontal="center"/>
    </xf>
    <xf numFmtId="0" fontId="9" fillId="6" borderId="12" xfId="2" quotePrefix="1" applyFill="1" applyBorder="1" applyAlignment="1" applyProtection="1">
      <alignment horizontal="center"/>
    </xf>
    <xf numFmtId="0" fontId="0" fillId="17" borderId="0" xfId="0" applyFill="1" applyAlignment="1">
      <alignment wrapText="1"/>
    </xf>
    <xf numFmtId="0" fontId="0" fillId="2" borderId="44" xfId="0" applyFill="1" applyBorder="1" applyAlignment="1">
      <alignment horizontal="left" wrapText="1"/>
    </xf>
    <xf numFmtId="0" fontId="0" fillId="2" borderId="33" xfId="0" applyFill="1" applyBorder="1" applyAlignment="1">
      <alignment horizontal="left" wrapText="1"/>
    </xf>
  </cellXfs>
  <cellStyles count="320">
    <cellStyle name="20% - Accent1 2" xfId="12" xr:uid="{00000000-0005-0000-0000-000000000000}"/>
    <cellStyle name="20% - Accent2 2" xfId="13" xr:uid="{00000000-0005-0000-0000-000001000000}"/>
    <cellStyle name="20% - Accent3 2" xfId="14" xr:uid="{00000000-0005-0000-0000-000002000000}"/>
    <cellStyle name="20% - Accent4 2" xfId="15" xr:uid="{00000000-0005-0000-0000-000003000000}"/>
    <cellStyle name="20% - Accent5 2" xfId="16" xr:uid="{00000000-0005-0000-0000-000004000000}"/>
    <cellStyle name="20% - Accent6 2" xfId="17" xr:uid="{00000000-0005-0000-0000-000005000000}"/>
    <cellStyle name="40% - Accent1 2" xfId="18" xr:uid="{00000000-0005-0000-0000-000006000000}"/>
    <cellStyle name="40% - Accent2 2" xfId="19" xr:uid="{00000000-0005-0000-0000-000007000000}"/>
    <cellStyle name="40% - Accent3" xfId="4" builtinId="39"/>
    <cellStyle name="40% - Accent3 2" xfId="20" xr:uid="{00000000-0005-0000-0000-000009000000}"/>
    <cellStyle name="40% - Accent3 3" xfId="68" xr:uid="{00000000-0005-0000-0000-00000A000000}"/>
    <cellStyle name="40% - Accent3 4" xfId="67" xr:uid="{00000000-0005-0000-0000-00000B000000}"/>
    <cellStyle name="40% - Accent4" xfId="5" builtinId="43"/>
    <cellStyle name="40% - Accent4 2" xfId="21" xr:uid="{00000000-0005-0000-0000-00000D000000}"/>
    <cellStyle name="40% - Accent5 2" xfId="22" xr:uid="{00000000-0005-0000-0000-00000E000000}"/>
    <cellStyle name="40% - Accent6 2" xfId="23" xr:uid="{00000000-0005-0000-0000-00000F000000}"/>
    <cellStyle name="60% - Accent1 2" xfId="24" xr:uid="{00000000-0005-0000-0000-000010000000}"/>
    <cellStyle name="60% - Accent2 2" xfId="25" xr:uid="{00000000-0005-0000-0000-000011000000}"/>
    <cellStyle name="60% - Accent3 2" xfId="26" xr:uid="{00000000-0005-0000-0000-000012000000}"/>
    <cellStyle name="60% - Accent4 2" xfId="27" xr:uid="{00000000-0005-0000-0000-000013000000}"/>
    <cellStyle name="60% - Accent5 2" xfId="28" xr:uid="{00000000-0005-0000-0000-000014000000}"/>
    <cellStyle name="60% - Accent6 2" xfId="29" xr:uid="{00000000-0005-0000-0000-000015000000}"/>
    <cellStyle name="Accent1 2" xfId="30" xr:uid="{00000000-0005-0000-0000-000016000000}"/>
    <cellStyle name="Accent2 2" xfId="31" xr:uid="{00000000-0005-0000-0000-000017000000}"/>
    <cellStyle name="Accent3 2" xfId="32" xr:uid="{00000000-0005-0000-0000-000018000000}"/>
    <cellStyle name="Accent4 2" xfId="33" xr:uid="{00000000-0005-0000-0000-000019000000}"/>
    <cellStyle name="Accent5 2" xfId="34" xr:uid="{00000000-0005-0000-0000-00001A000000}"/>
    <cellStyle name="Accent6 2" xfId="35" xr:uid="{00000000-0005-0000-0000-00001B000000}"/>
    <cellStyle name="Bad 2" xfId="36" xr:uid="{00000000-0005-0000-0000-00001C000000}"/>
    <cellStyle name="Calculation 2" xfId="37" xr:uid="{00000000-0005-0000-0000-00001D000000}"/>
    <cellStyle name="Calculation 2 2" xfId="59" xr:uid="{00000000-0005-0000-0000-00001E000000}"/>
    <cellStyle name="Calculation 2 2 2" xfId="102" xr:uid="{00000000-0005-0000-0000-00001F000000}"/>
    <cellStyle name="Calculation 2 2 2 2" xfId="159" xr:uid="{00000000-0005-0000-0000-000020000000}"/>
    <cellStyle name="Calculation 2 2 2 2 2" xfId="279" xr:uid="{CC690E7F-0229-4812-8556-216599790246}"/>
    <cellStyle name="Calculation 2 2 2 3" xfId="183" xr:uid="{00000000-0005-0000-0000-000021000000}"/>
    <cellStyle name="Calculation 2 2 2 3 2" xfId="301" xr:uid="{71489083-8E07-4BAC-8C72-4A7D968ACEE3}"/>
    <cellStyle name="Calculation 2 2 2 4" xfId="229" xr:uid="{CEC4B26E-8498-4152-8DDB-DBC69B862B83}"/>
    <cellStyle name="Calculation 2 2 3" xfId="114" xr:uid="{00000000-0005-0000-0000-000022000000}"/>
    <cellStyle name="Calculation 2 2 3 2" xfId="171" xr:uid="{00000000-0005-0000-0000-000023000000}"/>
    <cellStyle name="Calculation 2 2 3 2 2" xfId="291" xr:uid="{1C8EF277-B6EC-4DDD-92F7-59E45B430635}"/>
    <cellStyle name="Calculation 2 2 3 3" xfId="195" xr:uid="{00000000-0005-0000-0000-000024000000}"/>
    <cellStyle name="Calculation 2 2 3 3 2" xfId="313" xr:uid="{0ACB707C-56A0-4BC6-B1BB-73C1F4FE1353}"/>
    <cellStyle name="Calculation 2 2 3 4" xfId="241" xr:uid="{D7D3432B-8344-4DA3-B592-9C04AF6EAF03}"/>
    <cellStyle name="Calculation 2 2 4" xfId="131" xr:uid="{00000000-0005-0000-0000-000025000000}"/>
    <cellStyle name="Calculation 2 2 4 2" xfId="256" xr:uid="{84922ABE-C6F0-4094-BCBB-5CA09E2E3B42}"/>
    <cellStyle name="Calculation 2 2 5" xfId="122" xr:uid="{00000000-0005-0000-0000-000026000000}"/>
    <cellStyle name="Calculation 2 2 6" xfId="208" xr:uid="{5A634B85-541A-41C9-AF8C-E49734D3A630}"/>
    <cellStyle name="Calculation 2 3" xfId="97" xr:uid="{00000000-0005-0000-0000-000027000000}"/>
    <cellStyle name="Calculation 2 3 2" xfId="154" xr:uid="{00000000-0005-0000-0000-000028000000}"/>
    <cellStyle name="Calculation 2 3 2 2" xfId="274" xr:uid="{11EAE829-ABA9-404B-A5B5-F38FAE248838}"/>
    <cellStyle name="Calculation 2 3 3" xfId="178" xr:uid="{00000000-0005-0000-0000-000029000000}"/>
    <cellStyle name="Calculation 2 3 3 2" xfId="296" xr:uid="{CB01EB3C-9A9D-42EF-A03B-1BDA9999C461}"/>
    <cellStyle name="Calculation 2 3 4" xfId="224" xr:uid="{61EB1578-1399-4F9B-A394-2EF5ED3550DE}"/>
    <cellStyle name="Calculation 2 4" xfId="109" xr:uid="{00000000-0005-0000-0000-00002A000000}"/>
    <cellStyle name="Calculation 2 4 2" xfId="166" xr:uid="{00000000-0005-0000-0000-00002B000000}"/>
    <cellStyle name="Calculation 2 4 2 2" xfId="286" xr:uid="{2E5954EB-9840-4E01-A4F3-E43F27193E28}"/>
    <cellStyle name="Calculation 2 4 3" xfId="190" xr:uid="{00000000-0005-0000-0000-00002C000000}"/>
    <cellStyle name="Calculation 2 4 3 2" xfId="308" xr:uid="{4621643E-C014-4812-9EA7-511DFE9529E9}"/>
    <cellStyle name="Calculation 2 4 4" xfId="236" xr:uid="{B2329F6C-9082-414E-8ED3-856EDB40092D}"/>
    <cellStyle name="Calculation 2 5" xfId="123" xr:uid="{00000000-0005-0000-0000-00002D000000}"/>
    <cellStyle name="Calculation 2 5 2" xfId="248" xr:uid="{A4D45E50-B740-4254-A31B-1F87D933D406}"/>
    <cellStyle name="Calculation 2 6" xfId="205" xr:uid="{CD84A55F-CFB6-4201-AD0D-C950B2004C91}"/>
    <cellStyle name="Check Cell 2" xfId="38" xr:uid="{00000000-0005-0000-0000-00002E000000}"/>
    <cellStyle name="Comma" xfId="6" builtinId="3"/>
    <cellStyle name="Comma 2" xfId="9" xr:uid="{00000000-0005-0000-0000-000030000000}"/>
    <cellStyle name="Comma 2 2" xfId="40" xr:uid="{00000000-0005-0000-0000-000031000000}"/>
    <cellStyle name="Comma 2 2 2" xfId="125" xr:uid="{00000000-0005-0000-0000-000032000000}"/>
    <cellStyle name="Comma 2 2 2 2" xfId="250" xr:uid="{340AD8E4-B0ED-4BB2-9356-F1D463D96402}"/>
    <cellStyle name="Comma 2 2 3" xfId="206" xr:uid="{466EAA33-AE07-43A7-AFB2-1B64D927A80D}"/>
    <cellStyle name="Comma 2 3" xfId="89" xr:uid="{00000000-0005-0000-0000-000033000000}"/>
    <cellStyle name="Comma 2 4" xfId="80" xr:uid="{00000000-0005-0000-0000-000034000000}"/>
    <cellStyle name="Comma 3" xfId="39" xr:uid="{00000000-0005-0000-0000-000035000000}"/>
    <cellStyle name="Comma 3 2" xfId="124" xr:uid="{00000000-0005-0000-0000-000036000000}"/>
    <cellStyle name="Comma 3 2 2" xfId="249" xr:uid="{5290EF38-F842-4C78-BBEB-E07EFE639267}"/>
    <cellStyle name="Comma 4" xfId="69" xr:uid="{00000000-0005-0000-0000-000037000000}"/>
    <cellStyle name="Comma 4 2" xfId="91" xr:uid="{00000000-0005-0000-0000-000038000000}"/>
    <cellStyle name="Comma 4 2 2" xfId="150" xr:uid="{00000000-0005-0000-0000-000039000000}"/>
    <cellStyle name="Comma 4 2 2 2" xfId="272" xr:uid="{94B620C7-8BD2-4161-9AF0-13DF2AF84FB2}"/>
    <cellStyle name="Comma 4 2 3" xfId="222" xr:uid="{5B63038B-4144-4AC8-882B-45A211891020}"/>
    <cellStyle name="Comma 4 3" xfId="81" xr:uid="{00000000-0005-0000-0000-00003A000000}"/>
    <cellStyle name="Comma 4 3 2" xfId="143" xr:uid="{00000000-0005-0000-0000-00003B000000}"/>
    <cellStyle name="Comma 4 3 2 2" xfId="268" xr:uid="{4641CD92-9B07-40A7-9CDE-9674C4015A5D}"/>
    <cellStyle name="Comma 4 3 3" xfId="218" xr:uid="{FFF72E8F-74FB-4563-A41C-11854720DAF6}"/>
    <cellStyle name="Comma 4 4" xfId="138" xr:uid="{00000000-0005-0000-0000-00003C000000}"/>
    <cellStyle name="Comma 4 4 2" xfId="263" xr:uid="{2A1DBCA0-3CFB-4C5E-9301-756E6578A6B8}"/>
    <cellStyle name="Comma 4 5" xfId="213" xr:uid="{37A3530E-1C71-4D88-90CE-59DB0D9413F8}"/>
    <cellStyle name="Comma 5" xfId="87" xr:uid="{00000000-0005-0000-0000-00003D000000}"/>
    <cellStyle name="Comma 5 2" xfId="147" xr:uid="{00000000-0005-0000-0000-00003E000000}"/>
    <cellStyle name="Comma 5 2 2" xfId="271" xr:uid="{DA2C3F23-FAD7-4926-8C80-0F83E984C5A7}"/>
    <cellStyle name="Comma 5 3" xfId="221" xr:uid="{2AB7A037-6C16-41E1-9846-94E201F7D98D}"/>
    <cellStyle name="Comma 6" xfId="120" xr:uid="{00000000-0005-0000-0000-00003F000000}"/>
    <cellStyle name="Comma 6 2" xfId="247" xr:uid="{5319FC05-1C52-4A6E-8A17-FB4A3B20A552}"/>
    <cellStyle name="Comma 7" xfId="200" xr:uid="{81091869-5E7F-4AF7-8EA9-4F6B2AD8977F}"/>
    <cellStyle name="Comma 7 2" xfId="318" xr:uid="{0087A9F6-4BE6-4E05-BDA0-BE051404187F}"/>
    <cellStyle name="Comma 8" xfId="204" xr:uid="{CD2A1361-3260-4C4A-A79B-2F6C1EDF4146}"/>
    <cellStyle name="Currency" xfId="1" builtinId="4"/>
    <cellStyle name="Currency 2" xfId="41" xr:uid="{00000000-0005-0000-0000-000041000000}"/>
    <cellStyle name="Currency 2 2" xfId="126" xr:uid="{00000000-0005-0000-0000-000042000000}"/>
    <cellStyle name="Currency 2 2 2" xfId="251" xr:uid="{A245ED91-6F6F-4CE2-80FE-45767F571852}"/>
    <cellStyle name="Currency 3" xfId="71" xr:uid="{00000000-0005-0000-0000-000043000000}"/>
    <cellStyle name="Currency 3 2" xfId="92" xr:uid="{00000000-0005-0000-0000-000044000000}"/>
    <cellStyle name="Currency 3 2 2" xfId="151" xr:uid="{00000000-0005-0000-0000-000045000000}"/>
    <cellStyle name="Currency 3 2 2 2" xfId="273" xr:uid="{E4CF07FE-E2F6-4C7E-8FAF-03263E644225}"/>
    <cellStyle name="Currency 3 2 3" xfId="223" xr:uid="{5F6CE677-DD37-4B1B-A43E-78090FD37345}"/>
    <cellStyle name="Currency 3 3" xfId="82" xr:uid="{00000000-0005-0000-0000-000046000000}"/>
    <cellStyle name="Currency 3 3 2" xfId="144" xr:uid="{00000000-0005-0000-0000-000047000000}"/>
    <cellStyle name="Currency 3 3 2 2" xfId="269" xr:uid="{0A596811-355C-4E0D-876E-62EF1C54A96F}"/>
    <cellStyle name="Currency 3 3 3" xfId="219" xr:uid="{B860F983-B6B7-4A4D-9286-522AAEF0899A}"/>
    <cellStyle name="Currency 3 4" xfId="140" xr:uid="{00000000-0005-0000-0000-000048000000}"/>
    <cellStyle name="Currency 3 4 2" xfId="265" xr:uid="{1BEF543B-535E-4681-8D20-99BB8C9F7D85}"/>
    <cellStyle name="Currency 3 5" xfId="215" xr:uid="{F2F1ED9D-FF24-49FA-B6C3-84C0C958BBC0}"/>
    <cellStyle name="Currency 4" xfId="70" xr:uid="{00000000-0005-0000-0000-000049000000}"/>
    <cellStyle name="Currency 4 2" xfId="139" xr:uid="{00000000-0005-0000-0000-00004A000000}"/>
    <cellStyle name="Currency 4 2 2" xfId="264" xr:uid="{0F92F31D-A995-4BF6-9829-5EF51D9E316F}"/>
    <cellStyle name="Currency 4 3" xfId="214" xr:uid="{F43BB2E5-4228-45A4-A0B5-60CA275F91F0}"/>
    <cellStyle name="Currency 5" xfId="85" xr:uid="{00000000-0005-0000-0000-00004B000000}"/>
    <cellStyle name="Currency 5 2" xfId="146" xr:uid="{00000000-0005-0000-0000-00004C000000}"/>
    <cellStyle name="Currency 5 2 2" xfId="270" xr:uid="{808FC7F7-D213-45E7-9913-E4B566C61B26}"/>
    <cellStyle name="Currency 5 3" xfId="220" xr:uid="{6C88D508-6962-4257-850E-FBEAD5C6A232}"/>
    <cellStyle name="Currency 6" xfId="119" xr:uid="{00000000-0005-0000-0000-00004D000000}"/>
    <cellStyle name="Currency 6 2" xfId="246" xr:uid="{79DDABE5-2DE6-404C-BFD8-392C7FDBA39C}"/>
    <cellStyle name="Currency 7" xfId="201" xr:uid="{DF4289F4-B951-4D42-98C3-E2EA352FC58B}"/>
    <cellStyle name="Currency 7 2" xfId="319" xr:uid="{EBED2900-5274-43C5-B727-171F40158199}"/>
    <cellStyle name="Currency 8" xfId="203" xr:uid="{69257526-81FC-436C-9387-9351EE0522E7}"/>
    <cellStyle name="Explanatory Text 2" xfId="42" xr:uid="{00000000-0005-0000-0000-00004E000000}"/>
    <cellStyle name="Good 2" xfId="43" xr:uid="{00000000-0005-0000-0000-00004F000000}"/>
    <cellStyle name="Graphics" xfId="8" xr:uid="{00000000-0005-0000-0000-000050000000}"/>
    <cellStyle name="Graphics 2" xfId="88" xr:uid="{00000000-0005-0000-0000-000051000000}"/>
    <cellStyle name="Graphics 3" xfId="83" xr:uid="{00000000-0005-0000-0000-000052000000}"/>
    <cellStyle name="Heading 1 2" xfId="44" xr:uid="{00000000-0005-0000-0000-000053000000}"/>
    <cellStyle name="Heading 2 2" xfId="45" xr:uid="{00000000-0005-0000-0000-000054000000}"/>
    <cellStyle name="Heading 3 2" xfId="46" xr:uid="{00000000-0005-0000-0000-000055000000}"/>
    <cellStyle name="Heading 4 2" xfId="47" xr:uid="{00000000-0005-0000-0000-000056000000}"/>
    <cellStyle name="Hyperlink" xfId="2" builtinId="8"/>
    <cellStyle name="Hyperlink 2" xfId="10" xr:uid="{00000000-0005-0000-0000-000058000000}"/>
    <cellStyle name="Hyperlink 3" xfId="73" xr:uid="{00000000-0005-0000-0000-000059000000}"/>
    <cellStyle name="Hyperlink 4" xfId="72" xr:uid="{00000000-0005-0000-0000-00005A000000}"/>
    <cellStyle name="Input 2" xfId="48" xr:uid="{00000000-0005-0000-0000-00005B000000}"/>
    <cellStyle name="Input 2 2" xfId="60" xr:uid="{00000000-0005-0000-0000-00005C000000}"/>
    <cellStyle name="Input 2 2 2" xfId="103" xr:uid="{00000000-0005-0000-0000-00005D000000}"/>
    <cellStyle name="Input 2 2 2 2" xfId="160" xr:uid="{00000000-0005-0000-0000-00005E000000}"/>
    <cellStyle name="Input 2 2 2 2 2" xfId="280" xr:uid="{06C8CA0F-3235-4288-8EAB-53D99CFC9E78}"/>
    <cellStyle name="Input 2 2 2 3" xfId="184" xr:uid="{00000000-0005-0000-0000-00005F000000}"/>
    <cellStyle name="Input 2 2 2 3 2" xfId="302" xr:uid="{9F227963-B56A-4B4B-B46E-18EECF39D69D}"/>
    <cellStyle name="Input 2 2 2 4" xfId="230" xr:uid="{F7431A1F-9A96-494B-895F-903CA3B60357}"/>
    <cellStyle name="Input 2 2 3" xfId="115" xr:uid="{00000000-0005-0000-0000-000060000000}"/>
    <cellStyle name="Input 2 2 3 2" xfId="172" xr:uid="{00000000-0005-0000-0000-000061000000}"/>
    <cellStyle name="Input 2 2 3 2 2" xfId="292" xr:uid="{A38300B9-FF5C-49FC-A9D1-771F6D896D3E}"/>
    <cellStyle name="Input 2 2 3 3" xfId="196" xr:uid="{00000000-0005-0000-0000-000062000000}"/>
    <cellStyle name="Input 2 2 3 3 2" xfId="314" xr:uid="{6B9EA266-D0B8-44BD-B29F-1463C59CD630}"/>
    <cellStyle name="Input 2 2 3 4" xfId="242" xr:uid="{1716CC5C-1BF2-4860-8CC4-ACA5895FC82A}"/>
    <cellStyle name="Input 2 2 4" xfId="132" xr:uid="{00000000-0005-0000-0000-000063000000}"/>
    <cellStyle name="Input 2 2 4 2" xfId="257" xr:uid="{943C3FB5-7238-417F-911D-2588EB3D408E}"/>
    <cellStyle name="Input 2 2 5" xfId="176" xr:uid="{00000000-0005-0000-0000-000064000000}"/>
    <cellStyle name="Input 2 2 6" xfId="209" xr:uid="{AA7C2733-CFE7-4C06-A1EB-64B5ED952EED}"/>
    <cellStyle name="Input 2 3" xfId="98" xr:uid="{00000000-0005-0000-0000-000065000000}"/>
    <cellStyle name="Input 2 3 2" xfId="155" xr:uid="{00000000-0005-0000-0000-000066000000}"/>
    <cellStyle name="Input 2 3 2 2" xfId="275" xr:uid="{BFA754B4-A6EC-4027-B17B-A8A7F084C7C7}"/>
    <cellStyle name="Input 2 3 3" xfId="179" xr:uid="{00000000-0005-0000-0000-000067000000}"/>
    <cellStyle name="Input 2 3 3 2" xfId="297" xr:uid="{33EDB053-8168-404C-9D97-DBA8554D75E2}"/>
    <cellStyle name="Input 2 3 4" xfId="225" xr:uid="{F8A05005-5AA0-4F3A-95B8-40847E62B605}"/>
    <cellStyle name="Input 2 4" xfId="110" xr:uid="{00000000-0005-0000-0000-000068000000}"/>
    <cellStyle name="Input 2 4 2" xfId="167" xr:uid="{00000000-0005-0000-0000-000069000000}"/>
    <cellStyle name="Input 2 4 2 2" xfId="287" xr:uid="{3A51FF27-CAF4-43FD-A18F-09B69FBB7A78}"/>
    <cellStyle name="Input 2 4 3" xfId="191" xr:uid="{00000000-0005-0000-0000-00006A000000}"/>
    <cellStyle name="Input 2 4 3 2" xfId="309" xr:uid="{D9ACC5B9-81C3-4511-AAC2-594599415BA6}"/>
    <cellStyle name="Input 2 4 4" xfId="237" xr:uid="{80F2C0CD-CC07-4309-AB3D-31C2E9FBCECC}"/>
    <cellStyle name="Input 2 5" xfId="127" xr:uid="{00000000-0005-0000-0000-00006B000000}"/>
    <cellStyle name="Input 2 5 2" xfId="252" xr:uid="{3C5D29B5-FCA4-48C3-A22B-A392C2651C00}"/>
    <cellStyle name="Input 2 6" xfId="207" xr:uid="{9AEE020E-CC2E-47EC-96E8-6554C59303FC}"/>
    <cellStyle name="Linked Cell 2" xfId="49" xr:uid="{00000000-0005-0000-0000-00006C000000}"/>
    <cellStyle name="Neutral 2" xfId="50" xr:uid="{00000000-0005-0000-0000-00006D000000}"/>
    <cellStyle name="Normal" xfId="0" builtinId="0"/>
    <cellStyle name="Normal 2" xfId="7" xr:uid="{00000000-0005-0000-0000-00006F000000}"/>
    <cellStyle name="Normal 2 2" xfId="51" xr:uid="{00000000-0005-0000-0000-000070000000}"/>
    <cellStyle name="Normal 3" xfId="52" xr:uid="{00000000-0005-0000-0000-000071000000}"/>
    <cellStyle name="Normal 4" xfId="11" xr:uid="{00000000-0005-0000-0000-000072000000}"/>
    <cellStyle name="Normal 4 2" xfId="202" xr:uid="{412B2559-66CF-4C07-ABA4-94EA68AE6311}"/>
    <cellStyle name="Normal 5" xfId="74" xr:uid="{00000000-0005-0000-0000-000073000000}"/>
    <cellStyle name="Normal 6" xfId="66" xr:uid="{00000000-0005-0000-0000-000074000000}"/>
    <cellStyle name="Normal 6 2" xfId="79" xr:uid="{00000000-0005-0000-0000-000075000000}"/>
    <cellStyle name="Normal 6 3" xfId="90" xr:uid="{00000000-0005-0000-0000-000076000000}"/>
    <cellStyle name="Normal 6 3 2" xfId="96" xr:uid="{00000000-0005-0000-0000-000077000000}"/>
    <cellStyle name="Normal 6 3 3" xfId="95" xr:uid="{00000000-0005-0000-0000-000078000000}"/>
    <cellStyle name="Normal 6 3 3 2" xfId="153" xr:uid="{00000000-0005-0000-0000-000079000000}"/>
    <cellStyle name="Normal 7" xfId="94" xr:uid="{00000000-0005-0000-0000-00007A000000}"/>
    <cellStyle name="Normal 7 2" xfId="152" xr:uid="{00000000-0005-0000-0000-00007B000000}"/>
    <cellStyle name="Note 2" xfId="53" xr:uid="{00000000-0005-0000-0000-00007C000000}"/>
    <cellStyle name="Note 2 2" xfId="61" xr:uid="{00000000-0005-0000-0000-00007D000000}"/>
    <cellStyle name="Note 2 2 2" xfId="64" xr:uid="{00000000-0005-0000-0000-00007E000000}"/>
    <cellStyle name="Note 2 2 2 2" xfId="75" xr:uid="{00000000-0005-0000-0000-00007F000000}"/>
    <cellStyle name="Note 2 2 2 2 2" xfId="141" xr:uid="{00000000-0005-0000-0000-000080000000}"/>
    <cellStyle name="Note 2 2 2 2 2 2" xfId="266" xr:uid="{709792B5-0E57-4E53-BF2E-373D8BA88AD9}"/>
    <cellStyle name="Note 2 2 2 2 3" xfId="148" xr:uid="{00000000-0005-0000-0000-000081000000}"/>
    <cellStyle name="Note 2 2 2 2 4" xfId="216" xr:uid="{7447A4CD-6239-40DD-9184-960776008BC6}"/>
    <cellStyle name="Note 2 2 2 3" xfId="107" xr:uid="{00000000-0005-0000-0000-000082000000}"/>
    <cellStyle name="Note 2 2 2 3 2" xfId="164" xr:uid="{00000000-0005-0000-0000-000083000000}"/>
    <cellStyle name="Note 2 2 2 3 2 2" xfId="284" xr:uid="{28C2B1C9-4108-4AD0-8FF8-017BABCB17DA}"/>
    <cellStyle name="Note 2 2 2 3 3" xfId="188" xr:uid="{00000000-0005-0000-0000-000084000000}"/>
    <cellStyle name="Note 2 2 2 3 3 2" xfId="306" xr:uid="{CCD59ED8-2C1F-4C0C-B4D0-EED7828F6E76}"/>
    <cellStyle name="Note 2 2 2 3 4" xfId="234" xr:uid="{1B028EA6-7BBB-4E50-8530-8A03ACF67FAA}"/>
    <cellStyle name="Note 2 2 2 4" xfId="136" xr:uid="{00000000-0005-0000-0000-000085000000}"/>
    <cellStyle name="Note 2 2 2 4 2" xfId="261" xr:uid="{ADC4CB00-E4CD-4BED-B810-2F17CB19619D}"/>
    <cellStyle name="Note 2 2 3" xfId="65" xr:uid="{00000000-0005-0000-0000-000086000000}"/>
    <cellStyle name="Note 2 2 3 2" xfId="76" xr:uid="{00000000-0005-0000-0000-000087000000}"/>
    <cellStyle name="Note 2 2 3 2 2" xfId="142" xr:uid="{00000000-0005-0000-0000-000088000000}"/>
    <cellStyle name="Note 2 2 3 2 2 2" xfId="267" xr:uid="{A0125ED1-61B7-4270-B819-24BD7C1B2A62}"/>
    <cellStyle name="Note 2 2 3 2 3" xfId="145" xr:uid="{00000000-0005-0000-0000-000089000000}"/>
    <cellStyle name="Note 2 2 3 2 4" xfId="217" xr:uid="{3F60D8B6-3C26-40E0-A34B-8E72A006E78D}"/>
    <cellStyle name="Note 2 2 3 3" xfId="108" xr:uid="{00000000-0005-0000-0000-00008A000000}"/>
    <cellStyle name="Note 2 2 3 3 2" xfId="165" xr:uid="{00000000-0005-0000-0000-00008B000000}"/>
    <cellStyle name="Note 2 2 3 3 2 2" xfId="285" xr:uid="{DABDBB9D-D312-4290-8052-1821D3CA0739}"/>
    <cellStyle name="Note 2 2 3 3 3" xfId="189" xr:uid="{00000000-0005-0000-0000-00008C000000}"/>
    <cellStyle name="Note 2 2 3 3 3 2" xfId="307" xr:uid="{F72F9B0D-314E-446A-82C3-792570D81405}"/>
    <cellStyle name="Note 2 2 3 3 4" xfId="235" xr:uid="{E223B82E-EBC3-4974-A343-B4F79F595308}"/>
    <cellStyle name="Note 2 2 3 4" xfId="137" xr:uid="{00000000-0005-0000-0000-00008D000000}"/>
    <cellStyle name="Note 2 2 3 4 2" xfId="262" xr:uid="{F732B371-3683-4A9A-A072-7C0CE921393D}"/>
    <cellStyle name="Note 2 2 4" xfId="104" xr:uid="{00000000-0005-0000-0000-00008E000000}"/>
    <cellStyle name="Note 2 2 4 2" xfId="161" xr:uid="{00000000-0005-0000-0000-00008F000000}"/>
    <cellStyle name="Note 2 2 4 2 2" xfId="281" xr:uid="{7C5C3437-7B4E-4339-95E4-E9D68DC331A9}"/>
    <cellStyle name="Note 2 2 4 3" xfId="185" xr:uid="{00000000-0005-0000-0000-000090000000}"/>
    <cellStyle name="Note 2 2 4 3 2" xfId="303" xr:uid="{AD957F3E-8470-4885-9A7A-77E9B88AAEEA}"/>
    <cellStyle name="Note 2 2 4 4" xfId="231" xr:uid="{94E45BBB-6933-431E-AD0E-138B28B2CBB4}"/>
    <cellStyle name="Note 2 2 5" xfId="116" xr:uid="{00000000-0005-0000-0000-000091000000}"/>
    <cellStyle name="Note 2 2 5 2" xfId="173" xr:uid="{00000000-0005-0000-0000-000092000000}"/>
    <cellStyle name="Note 2 2 5 2 2" xfId="293" xr:uid="{B053D126-7BEF-4EAF-B878-7FB5F0851F6F}"/>
    <cellStyle name="Note 2 2 5 3" xfId="197" xr:uid="{00000000-0005-0000-0000-000093000000}"/>
    <cellStyle name="Note 2 2 5 3 2" xfId="315" xr:uid="{70D96116-0D03-4741-8993-D18B91A81D93}"/>
    <cellStyle name="Note 2 2 5 4" xfId="243" xr:uid="{FBCDFB01-7091-4C28-BCE7-47D1FBCAE1D1}"/>
    <cellStyle name="Note 2 2 6" xfId="133" xr:uid="{00000000-0005-0000-0000-000094000000}"/>
    <cellStyle name="Note 2 2 6 2" xfId="258" xr:uid="{8620F263-B17F-427C-A29B-B4233D95F784}"/>
    <cellStyle name="Note 2 2 7" xfId="177" xr:uid="{00000000-0005-0000-0000-000095000000}"/>
    <cellStyle name="Note 2 2 8" xfId="210" xr:uid="{AF4E8DDD-28D3-44DE-801F-C9462EBD38BB}"/>
    <cellStyle name="Note 2 3" xfId="99" xr:uid="{00000000-0005-0000-0000-000096000000}"/>
    <cellStyle name="Note 2 3 2" xfId="156" xr:uid="{00000000-0005-0000-0000-000097000000}"/>
    <cellStyle name="Note 2 3 2 2" xfId="276" xr:uid="{D1369F25-3403-42DF-A851-CD6BA7BC0772}"/>
    <cellStyle name="Note 2 3 3" xfId="180" xr:uid="{00000000-0005-0000-0000-000098000000}"/>
    <cellStyle name="Note 2 3 3 2" xfId="298" xr:uid="{43522143-D0EC-41FC-AE33-3380A8711077}"/>
    <cellStyle name="Note 2 3 4" xfId="226" xr:uid="{FB30BEDC-2021-4179-B837-80B0841D76C1}"/>
    <cellStyle name="Note 2 4" xfId="111" xr:uid="{00000000-0005-0000-0000-000099000000}"/>
    <cellStyle name="Note 2 4 2" xfId="168" xr:uid="{00000000-0005-0000-0000-00009A000000}"/>
    <cellStyle name="Note 2 4 2 2" xfId="288" xr:uid="{8262D6A9-96E5-4147-9D82-B11A094B4BAE}"/>
    <cellStyle name="Note 2 4 3" xfId="192" xr:uid="{00000000-0005-0000-0000-00009B000000}"/>
    <cellStyle name="Note 2 4 3 2" xfId="310" xr:uid="{704BF5A5-617E-426F-996D-216B238A64CC}"/>
    <cellStyle name="Note 2 4 4" xfId="238" xr:uid="{C6752C99-D7CB-4362-BC6C-50FE0A09F2BE}"/>
    <cellStyle name="Note 2 5" xfId="128" xr:uid="{00000000-0005-0000-0000-00009C000000}"/>
    <cellStyle name="Note 2 5 2" xfId="253" xr:uid="{43E3C75D-C565-4787-A980-DCEE1FDCD331}"/>
    <cellStyle name="Output 2" xfId="54" xr:uid="{00000000-0005-0000-0000-00009D000000}"/>
    <cellStyle name="Output 2 2" xfId="62" xr:uid="{00000000-0005-0000-0000-00009E000000}"/>
    <cellStyle name="Output 2 2 2" xfId="105" xr:uid="{00000000-0005-0000-0000-00009F000000}"/>
    <cellStyle name="Output 2 2 2 2" xfId="162" xr:uid="{00000000-0005-0000-0000-0000A0000000}"/>
    <cellStyle name="Output 2 2 2 2 2" xfId="282" xr:uid="{26D85146-CE7B-4958-84DD-6122E18F8665}"/>
    <cellStyle name="Output 2 2 2 3" xfId="186" xr:uid="{00000000-0005-0000-0000-0000A1000000}"/>
    <cellStyle name="Output 2 2 2 3 2" xfId="304" xr:uid="{9BB1FB60-CC25-4885-A607-DC2F9852DC08}"/>
    <cellStyle name="Output 2 2 2 4" xfId="232" xr:uid="{84B6AEE7-6A74-412D-B420-0D7E8CA66E7D}"/>
    <cellStyle name="Output 2 2 3" xfId="117" xr:uid="{00000000-0005-0000-0000-0000A2000000}"/>
    <cellStyle name="Output 2 2 3 2" xfId="174" xr:uid="{00000000-0005-0000-0000-0000A3000000}"/>
    <cellStyle name="Output 2 2 3 2 2" xfId="294" xr:uid="{298BA87C-DFC3-423D-B05E-5F32D5176522}"/>
    <cellStyle name="Output 2 2 3 3" xfId="198" xr:uid="{00000000-0005-0000-0000-0000A4000000}"/>
    <cellStyle name="Output 2 2 3 3 2" xfId="316" xr:uid="{1EC3D1A6-85B1-4B34-A049-B83B58514AEE}"/>
    <cellStyle name="Output 2 2 3 4" xfId="244" xr:uid="{44A1832F-3DC2-41F4-9C78-229CCD7E3632}"/>
    <cellStyle name="Output 2 2 4" xfId="134" xr:uid="{00000000-0005-0000-0000-0000A5000000}"/>
    <cellStyle name="Output 2 2 4 2" xfId="259" xr:uid="{4DCEDBB0-162C-4897-B62A-8FE9896E8D5E}"/>
    <cellStyle name="Output 2 2 5" xfId="121" xr:uid="{00000000-0005-0000-0000-0000A6000000}"/>
    <cellStyle name="Output 2 2 6" xfId="211" xr:uid="{1D6C6799-2EEA-4EBA-A10F-078C2C757EFE}"/>
    <cellStyle name="Output 2 3" xfId="100" xr:uid="{00000000-0005-0000-0000-0000A7000000}"/>
    <cellStyle name="Output 2 3 2" xfId="157" xr:uid="{00000000-0005-0000-0000-0000A8000000}"/>
    <cellStyle name="Output 2 3 2 2" xfId="277" xr:uid="{676C9ED5-F9A6-4E5C-8EF8-89F95BE2E26F}"/>
    <cellStyle name="Output 2 3 3" xfId="181" xr:uid="{00000000-0005-0000-0000-0000A9000000}"/>
    <cellStyle name="Output 2 3 3 2" xfId="299" xr:uid="{C27C7272-1C49-42A9-BA26-30E367832D07}"/>
    <cellStyle name="Output 2 3 4" xfId="227" xr:uid="{8E169E3D-085A-47B6-8920-754F7645C9D4}"/>
    <cellStyle name="Output 2 4" xfId="112" xr:uid="{00000000-0005-0000-0000-0000AA000000}"/>
    <cellStyle name="Output 2 4 2" xfId="169" xr:uid="{00000000-0005-0000-0000-0000AB000000}"/>
    <cellStyle name="Output 2 4 2 2" xfId="289" xr:uid="{5A6852B9-9EE5-4012-83C1-D2DCD9561FE4}"/>
    <cellStyle name="Output 2 4 3" xfId="193" xr:uid="{00000000-0005-0000-0000-0000AC000000}"/>
    <cellStyle name="Output 2 4 3 2" xfId="311" xr:uid="{8D5E8F2C-EAA2-488A-A815-0E423610168C}"/>
    <cellStyle name="Output 2 4 4" xfId="239" xr:uid="{60A4513F-6F96-4920-AE5F-AE6144C61230}"/>
    <cellStyle name="Output 2 5" xfId="129" xr:uid="{00000000-0005-0000-0000-0000AD000000}"/>
    <cellStyle name="Output 2 5 2" xfId="254" xr:uid="{483E067E-8934-4A5F-A046-4444AC2C78DB}"/>
    <cellStyle name="Percent" xfId="3" builtinId="5"/>
    <cellStyle name="Percent 2" xfId="55" xr:uid="{00000000-0005-0000-0000-0000AF000000}"/>
    <cellStyle name="Percent 3" xfId="78" xr:uid="{00000000-0005-0000-0000-0000B0000000}"/>
    <cellStyle name="Percent 3 2" xfId="93" xr:uid="{00000000-0005-0000-0000-0000B1000000}"/>
    <cellStyle name="Percent 3 3" xfId="84" xr:uid="{00000000-0005-0000-0000-0000B2000000}"/>
    <cellStyle name="Percent 4" xfId="77" xr:uid="{00000000-0005-0000-0000-0000B3000000}"/>
    <cellStyle name="Percent 5" xfId="86" xr:uid="{00000000-0005-0000-0000-0000B4000000}"/>
    <cellStyle name="Title 2" xfId="56" xr:uid="{00000000-0005-0000-0000-0000B5000000}"/>
    <cellStyle name="Total 2" xfId="57" xr:uid="{00000000-0005-0000-0000-0000B6000000}"/>
    <cellStyle name="Total 2 2" xfId="63" xr:uid="{00000000-0005-0000-0000-0000B7000000}"/>
    <cellStyle name="Total 2 2 2" xfId="106" xr:uid="{00000000-0005-0000-0000-0000B8000000}"/>
    <cellStyle name="Total 2 2 2 2" xfId="163" xr:uid="{00000000-0005-0000-0000-0000B9000000}"/>
    <cellStyle name="Total 2 2 2 2 2" xfId="283" xr:uid="{4DD477EA-A049-455F-8675-28C97729953A}"/>
    <cellStyle name="Total 2 2 2 3" xfId="187" xr:uid="{00000000-0005-0000-0000-0000BA000000}"/>
    <cellStyle name="Total 2 2 2 3 2" xfId="305" xr:uid="{DC70E4ED-15EC-4BBC-BE1F-F632ED0A245E}"/>
    <cellStyle name="Total 2 2 2 4" xfId="233" xr:uid="{318F8D3B-9EB0-4F10-A5A7-FAC72D306936}"/>
    <cellStyle name="Total 2 2 3" xfId="118" xr:uid="{00000000-0005-0000-0000-0000BB000000}"/>
    <cellStyle name="Total 2 2 3 2" xfId="175" xr:uid="{00000000-0005-0000-0000-0000BC000000}"/>
    <cellStyle name="Total 2 2 3 2 2" xfId="295" xr:uid="{6C3C2E82-D91F-4687-BAA0-7E1DC243D7C0}"/>
    <cellStyle name="Total 2 2 3 3" xfId="199" xr:uid="{00000000-0005-0000-0000-0000BD000000}"/>
    <cellStyle name="Total 2 2 3 3 2" xfId="317" xr:uid="{AC68FA64-C13A-455D-9301-BF9EE26A9FF5}"/>
    <cellStyle name="Total 2 2 3 4" xfId="245" xr:uid="{84943CF9-752E-43AD-BFFA-EC6202B0FC15}"/>
    <cellStyle name="Total 2 2 4" xfId="135" xr:uid="{00000000-0005-0000-0000-0000BE000000}"/>
    <cellStyle name="Total 2 2 4 2" xfId="260" xr:uid="{380F024D-6784-40DC-AB0A-7B84916C25DD}"/>
    <cellStyle name="Total 2 2 5" xfId="149" xr:uid="{00000000-0005-0000-0000-0000BF000000}"/>
    <cellStyle name="Total 2 2 6" xfId="212" xr:uid="{EB25950A-CF5C-4B66-9502-19C7634590B2}"/>
    <cellStyle name="Total 2 3" xfId="101" xr:uid="{00000000-0005-0000-0000-0000C0000000}"/>
    <cellStyle name="Total 2 3 2" xfId="158" xr:uid="{00000000-0005-0000-0000-0000C1000000}"/>
    <cellStyle name="Total 2 3 2 2" xfId="278" xr:uid="{1E8F59D3-B0BF-4753-9900-9786485E002B}"/>
    <cellStyle name="Total 2 3 3" xfId="182" xr:uid="{00000000-0005-0000-0000-0000C2000000}"/>
    <cellStyle name="Total 2 3 3 2" xfId="300" xr:uid="{52892820-61C7-446B-841F-B4D1841118A1}"/>
    <cellStyle name="Total 2 3 4" xfId="228" xr:uid="{17BF0568-B63B-4CEA-905B-5F3C0116D18E}"/>
    <cellStyle name="Total 2 4" xfId="113" xr:uid="{00000000-0005-0000-0000-0000C3000000}"/>
    <cellStyle name="Total 2 4 2" xfId="170" xr:uid="{00000000-0005-0000-0000-0000C4000000}"/>
    <cellStyle name="Total 2 4 2 2" xfId="290" xr:uid="{3446E1DE-497C-4050-B783-479510B59527}"/>
    <cellStyle name="Total 2 4 3" xfId="194" xr:uid="{00000000-0005-0000-0000-0000C5000000}"/>
    <cellStyle name="Total 2 4 3 2" xfId="312" xr:uid="{552255D7-14C5-467D-9B64-94A6FB84DF05}"/>
    <cellStyle name="Total 2 4 4" xfId="240" xr:uid="{4EDEED28-55BF-4FF1-B61C-B196B2DBC7AE}"/>
    <cellStyle name="Total 2 5" xfId="130" xr:uid="{00000000-0005-0000-0000-0000C6000000}"/>
    <cellStyle name="Total 2 5 2" xfId="255" xr:uid="{3E6E2D08-DA72-4C3A-B767-87010F50DDBE}"/>
    <cellStyle name="Warning Text 2" xfId="58" xr:uid="{00000000-0005-0000-0000-0000C7000000}"/>
  </cellStyles>
  <dxfs count="119">
    <dxf>
      <font>
        <b/>
        <i val="0"/>
        <color theme="0"/>
      </font>
      <fill>
        <patternFill>
          <bgColor rgb="FFFF0000"/>
        </patternFill>
      </fill>
    </dxf>
    <dxf>
      <fill>
        <patternFill>
          <bgColor theme="0"/>
        </patternFill>
      </fill>
    </dxf>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ill>
        <patternFill>
          <bgColor theme="0"/>
        </patternFill>
      </fill>
    </dxf>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theme="0" tint="-0.14996795556505021"/>
        </patternFill>
      </fill>
    </dxf>
    <dxf>
      <font>
        <b/>
        <i val="0"/>
        <color theme="0"/>
      </font>
      <fill>
        <patternFill>
          <bgColor rgb="FFFF0000"/>
        </patternFill>
      </fill>
    </dxf>
    <dxf>
      <fill>
        <patternFill>
          <bgColor theme="0"/>
        </patternFill>
      </fill>
    </dxf>
    <dxf>
      <font>
        <b/>
        <i val="0"/>
        <strike val="0"/>
        <color theme="0"/>
      </font>
      <fill>
        <patternFill>
          <bgColor rgb="FFFF0000"/>
        </patternFill>
      </fill>
    </dxf>
    <dxf>
      <font>
        <b/>
        <i val="0"/>
        <strike val="0"/>
        <color theme="1"/>
      </font>
      <fill>
        <patternFill>
          <bgColor rgb="FF92D050"/>
        </patternFill>
      </fill>
    </dxf>
    <dxf>
      <font>
        <b/>
        <i val="0"/>
      </font>
      <fill>
        <patternFill>
          <bgColor rgb="FF92D050"/>
        </patternFill>
      </fill>
    </dxf>
    <dxf>
      <font>
        <b/>
        <i val="0"/>
        <color theme="0"/>
      </font>
      <fill>
        <patternFill>
          <bgColor rgb="FFFF0000"/>
        </patternFill>
      </fill>
    </dxf>
    <dxf>
      <fill>
        <patternFill>
          <bgColor theme="0"/>
        </patternFill>
      </fill>
    </dxf>
    <dxf>
      <font>
        <b val="0"/>
        <i val="0"/>
        <color theme="1"/>
      </font>
      <fill>
        <patternFill>
          <bgColor theme="0"/>
        </patternFill>
      </fill>
    </dxf>
  </dxfs>
  <tableStyles count="0" defaultTableStyle="TableStyleMedium9" defaultPivotStyle="PivotStyleLight16"/>
  <colors>
    <mruColors>
      <color rgb="FFFF66FF"/>
      <color rgb="FFFAFDD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a:t>Your farm</a:t>
            </a:r>
          </a:p>
        </c:rich>
      </c:tx>
      <c:layout>
        <c:manualLayout>
          <c:xMode val="edge"/>
          <c:yMode val="edge"/>
          <c:x val="0.81486307192050955"/>
          <c:y val="3.501230087268041E-2"/>
        </c:manualLayout>
      </c:layout>
      <c:overlay val="0"/>
    </c:title>
    <c:autoTitleDeleted val="0"/>
    <c:plotArea>
      <c:layout>
        <c:manualLayout>
          <c:layoutTarget val="inner"/>
          <c:xMode val="edge"/>
          <c:yMode val="edge"/>
          <c:x val="0.11196683643399818"/>
          <c:y val="3.2383600920521692E-2"/>
          <c:w val="0.88196632689144705"/>
          <c:h val="0.95997982690180261"/>
        </c:manualLayout>
      </c:layout>
      <c:barChart>
        <c:barDir val="col"/>
        <c:grouping val="stacked"/>
        <c:varyColors val="0"/>
        <c:ser>
          <c:idx val="0"/>
          <c:order val="0"/>
          <c:invertIfNegative val="0"/>
          <c:dPt>
            <c:idx val="1"/>
            <c:invertIfNegative val="0"/>
            <c:bubble3D val="0"/>
            <c:spPr>
              <a:solidFill>
                <a:schemeClr val="accent6"/>
              </a:solidFill>
            </c:spPr>
            <c:extLst>
              <c:ext xmlns:c16="http://schemas.microsoft.com/office/drawing/2014/chart" uri="{C3380CC4-5D6E-409C-BE32-E72D297353CC}">
                <c16:uniqueId val="{00000001-B0AA-4796-ABFA-1699BD77FF32}"/>
              </c:ext>
            </c:extLst>
          </c:dPt>
          <c:dPt>
            <c:idx val="2"/>
            <c:invertIfNegative val="0"/>
            <c:bubble3D val="0"/>
            <c:spPr>
              <a:solidFill>
                <a:srgbClr val="FFC000"/>
              </a:solidFill>
              <a:ln>
                <a:solidFill>
                  <a:srgbClr val="FFC000"/>
                </a:solidFill>
              </a:ln>
            </c:spPr>
            <c:extLst>
              <c:ext xmlns:c16="http://schemas.microsoft.com/office/drawing/2014/chart" uri="{C3380CC4-5D6E-409C-BE32-E72D297353CC}">
                <c16:uniqueId val="{00000002-B0AA-4796-ABFA-1699BD77FF32}"/>
              </c:ext>
            </c:extLst>
          </c:dPt>
          <c:dPt>
            <c:idx val="3"/>
            <c:invertIfNegative val="0"/>
            <c:bubble3D val="0"/>
            <c:spPr>
              <a:solidFill>
                <a:schemeClr val="accent1">
                  <a:lumMod val="75000"/>
                </a:schemeClr>
              </a:solidFill>
            </c:spPr>
            <c:extLst>
              <c:ext xmlns:c16="http://schemas.microsoft.com/office/drawing/2014/chart" uri="{C3380CC4-5D6E-409C-BE32-E72D297353CC}">
                <c16:uniqueId val="{00000003-B0AA-4796-ABFA-1699BD77FF32}"/>
              </c:ext>
            </c:extLst>
          </c:dPt>
          <c:dPt>
            <c:idx val="4"/>
            <c:invertIfNegative val="0"/>
            <c:bubble3D val="0"/>
            <c:spPr>
              <a:solidFill>
                <a:srgbClr val="00B050"/>
              </a:solidFill>
            </c:spPr>
            <c:extLst>
              <c:ext xmlns:c16="http://schemas.microsoft.com/office/drawing/2014/chart" uri="{C3380CC4-5D6E-409C-BE32-E72D297353CC}">
                <c16:uniqueId val="{00000004-B0AA-4796-ABFA-1699BD77FF32}"/>
              </c:ext>
            </c:extLst>
          </c:dPt>
          <c:dPt>
            <c:idx val="5"/>
            <c:invertIfNegative val="0"/>
            <c:bubble3D val="0"/>
            <c:spPr>
              <a:solidFill>
                <a:schemeClr val="accent1">
                  <a:lumMod val="50000"/>
                </a:schemeClr>
              </a:solidFill>
            </c:spPr>
            <c:extLst>
              <c:ext xmlns:c16="http://schemas.microsoft.com/office/drawing/2014/chart" uri="{C3380CC4-5D6E-409C-BE32-E72D297353CC}">
                <c16:uniqueId val="{00000005-B0AA-4796-ABFA-1699BD77FF32}"/>
              </c:ext>
            </c:extLst>
          </c:dPt>
          <c:dPt>
            <c:idx val="6"/>
            <c:invertIfNegative val="0"/>
            <c:bubble3D val="0"/>
            <c:spPr>
              <a:solidFill>
                <a:srgbClr val="C00000"/>
              </a:solidFill>
            </c:spPr>
            <c:extLst>
              <c:ext xmlns:c16="http://schemas.microsoft.com/office/drawing/2014/chart" uri="{C3380CC4-5D6E-409C-BE32-E72D297353CC}">
                <c16:uniqueId val="{00000006-B0AA-4796-ABFA-1699BD77FF32}"/>
              </c:ext>
            </c:extLst>
          </c:dPt>
          <c:dPt>
            <c:idx val="7"/>
            <c:invertIfNegative val="0"/>
            <c:bubble3D val="0"/>
            <c:spPr>
              <a:solidFill>
                <a:srgbClr val="92D050"/>
              </a:solidFill>
            </c:spPr>
            <c:extLst>
              <c:ext xmlns:c16="http://schemas.microsoft.com/office/drawing/2014/chart" uri="{C3380CC4-5D6E-409C-BE32-E72D297353CC}">
                <c16:uniqueId val="{00000007-B0AA-4796-ABFA-1699BD77FF32}"/>
              </c:ext>
            </c:extLst>
          </c:dPt>
          <c:dPt>
            <c:idx val="8"/>
            <c:invertIfNegative val="0"/>
            <c:bubble3D val="0"/>
            <c:spPr>
              <a:solidFill>
                <a:srgbClr val="FF66FF"/>
              </a:solidFill>
            </c:spPr>
            <c:extLst>
              <c:ext xmlns:c16="http://schemas.microsoft.com/office/drawing/2014/chart" uri="{C3380CC4-5D6E-409C-BE32-E72D297353CC}">
                <c16:uniqueId val="{00000001-0841-43B9-8E48-0A89EE106990}"/>
              </c:ext>
            </c:extLst>
          </c:dPt>
          <c:dPt>
            <c:idx val="9"/>
            <c:invertIfNegative val="0"/>
            <c:bubble3D val="0"/>
            <c:spPr>
              <a:solidFill>
                <a:schemeClr val="bg2">
                  <a:lumMod val="75000"/>
                </a:schemeClr>
              </a:solidFill>
            </c:spPr>
            <c:extLst>
              <c:ext xmlns:c16="http://schemas.microsoft.com/office/drawing/2014/chart" uri="{C3380CC4-5D6E-409C-BE32-E72D297353CC}">
                <c16:uniqueId val="{00000001-D214-4673-B972-EAEF9CAADB3A}"/>
              </c:ext>
            </c:extLst>
          </c:dPt>
          <c:cat>
            <c:strRef>
              <c:f>'Data for graphs'!$A$2:$A$11</c:f>
              <c:strCache>
                <c:ptCount val="10"/>
                <c:pt idx="0">
                  <c:v>Enteric methane</c:v>
                </c:pt>
                <c:pt idx="1">
                  <c:v>Manure methane</c:v>
                </c:pt>
                <c:pt idx="2">
                  <c:v>Direct N2O animal waste</c:v>
                </c:pt>
                <c:pt idx="3">
                  <c:v>Indirect N2O animal waste</c:v>
                </c:pt>
                <c:pt idx="4">
                  <c:v>Direct N2O N fertiliser</c:v>
                </c:pt>
                <c:pt idx="5">
                  <c:v>Indirect N2O N fertiliser</c:v>
                </c:pt>
                <c:pt idx="6">
                  <c:v>Energy consumption</c:v>
                </c:pt>
                <c:pt idx="7">
                  <c:v>Urea and lime</c:v>
                </c:pt>
                <c:pt idx="8">
                  <c:v>Pre-farm embedded</c:v>
                </c:pt>
                <c:pt idx="9">
                  <c:v>Tree carbon sequestration</c:v>
                </c:pt>
              </c:strCache>
            </c:strRef>
          </c:cat>
          <c:val>
            <c:numRef>
              <c:f>'Data for graphs'!$B$2:$B$11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B0AA-4796-ABFA-1699BD77FF32}"/>
            </c:ext>
          </c:extLst>
        </c:ser>
        <c:dLbls>
          <c:showLegendKey val="0"/>
          <c:showVal val="0"/>
          <c:showCatName val="0"/>
          <c:showSerName val="0"/>
          <c:showPercent val="0"/>
          <c:showBubbleSize val="0"/>
        </c:dLbls>
        <c:gapWidth val="100"/>
        <c:overlap val="100"/>
        <c:axId val="415810512"/>
        <c:axId val="415812592"/>
      </c:barChart>
      <c:catAx>
        <c:axId val="415810512"/>
        <c:scaling>
          <c:orientation val="minMax"/>
        </c:scaling>
        <c:delete val="0"/>
        <c:axPos val="b"/>
        <c:numFmt formatCode="General" sourceLinked="1"/>
        <c:majorTickMark val="out"/>
        <c:minorTickMark val="none"/>
        <c:tickLblPos val="nextTo"/>
        <c:crossAx val="415812592"/>
        <c:crossesAt val="-0.2"/>
        <c:auto val="1"/>
        <c:lblAlgn val="ctr"/>
        <c:lblOffset val="100"/>
        <c:noMultiLvlLbl val="0"/>
      </c:catAx>
      <c:valAx>
        <c:axId val="415812592"/>
        <c:scaling>
          <c:orientation val="minMax"/>
          <c:max val="0.70000000000000007"/>
          <c:min val="-0.2"/>
        </c:scaling>
        <c:delete val="0"/>
        <c:axPos val="l"/>
        <c:majorGridlines/>
        <c:title>
          <c:tx>
            <c:rich>
              <a:bodyPr/>
              <a:lstStyle/>
              <a:p>
                <a:pPr>
                  <a:defRPr/>
                </a:pPr>
                <a:r>
                  <a:rPr lang="en-US"/>
                  <a:t>Percentage of net GHG emissions (%)</a:t>
                </a:r>
              </a:p>
            </c:rich>
          </c:tx>
          <c:overlay val="0"/>
        </c:title>
        <c:numFmt formatCode="0%" sourceLinked="0"/>
        <c:majorTickMark val="out"/>
        <c:minorTickMark val="none"/>
        <c:tickLblPos val="nextTo"/>
        <c:crossAx val="415810512"/>
        <c:crosses val="autoZero"/>
        <c:crossBetween val="between"/>
      </c:valAx>
    </c:plotArea>
    <c:plotVisOnly val="1"/>
    <c:dispBlanksAs val="zero"/>
    <c:showDLblsOverMax val="0"/>
  </c:chart>
  <c:spPr>
    <a:ln>
      <a:noFill/>
    </a:ln>
  </c:spPr>
  <c:txPr>
    <a:bodyPr/>
    <a:lstStyle/>
    <a:p>
      <a:pPr>
        <a:defRPr sz="1100"/>
      </a:pPr>
      <a:endParaRPr lang="en-US"/>
    </a:p>
  </c:txPr>
  <c:printSettings>
    <c:headerFooter/>
    <c:pageMargins b="0.75000000000000699" l="0.70000000000000062" r="0.70000000000000062" t="0.750000000000006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15548631960573"/>
          <c:y val="5.4528607514839303E-2"/>
          <c:w val="0.8629377442927546"/>
          <c:h val="0.61332851890957685"/>
        </c:manualLayout>
      </c:layout>
      <c:barChart>
        <c:barDir val="col"/>
        <c:grouping val="clustered"/>
        <c:varyColors val="0"/>
        <c:ser>
          <c:idx val="0"/>
          <c:order val="0"/>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graphs'!$T$3:$T$6</c:f>
              <c:strCache>
                <c:ptCount val="4"/>
                <c:pt idx="0">
                  <c:v>Carbon credit income</c:v>
                </c:pt>
                <c:pt idx="1">
                  <c:v>Implementation expenses</c:v>
                </c:pt>
                <c:pt idx="2">
                  <c:v>Additional milk income </c:v>
                </c:pt>
                <c:pt idx="3">
                  <c:v>Total farm benefit</c:v>
                </c:pt>
              </c:strCache>
            </c:strRef>
          </c:cat>
          <c:val>
            <c:numRef>
              <c:f>'Data for graphs'!$U$3:$U$6</c:f>
              <c:numCache>
                <c:formatCode>"$"#,##0</c:formatCode>
                <c:ptCount val="4"/>
                <c:pt idx="0">
                  <c:v>0</c:v>
                </c:pt>
                <c:pt idx="1">
                  <c:v>0</c:v>
                </c:pt>
                <c:pt idx="2">
                  <c:v>0</c:v>
                </c:pt>
                <c:pt idx="3">
                  <c:v>0</c:v>
                </c:pt>
              </c:numCache>
            </c:numRef>
          </c:val>
          <c:extLst>
            <c:ext xmlns:c16="http://schemas.microsoft.com/office/drawing/2014/chart" uri="{C3380CC4-5D6E-409C-BE32-E72D297353CC}">
              <c16:uniqueId val="{00000000-554F-4886-A3EF-D0DE49FA495D}"/>
            </c:ext>
          </c:extLst>
        </c:ser>
        <c:dLbls>
          <c:showLegendKey val="0"/>
          <c:showVal val="0"/>
          <c:showCatName val="0"/>
          <c:showSerName val="0"/>
          <c:showPercent val="0"/>
          <c:showBubbleSize val="0"/>
        </c:dLbls>
        <c:gapWidth val="50"/>
        <c:overlap val="-25"/>
        <c:axId val="350665656"/>
        <c:axId val="350666048"/>
      </c:barChart>
      <c:catAx>
        <c:axId val="350665656"/>
        <c:scaling>
          <c:orientation val="minMax"/>
        </c:scaling>
        <c:delete val="0"/>
        <c:axPos val="b"/>
        <c:numFmt formatCode="General" sourceLinked="1"/>
        <c:majorTickMark val="out"/>
        <c:minorTickMark val="none"/>
        <c:tickLblPos val="low"/>
        <c:txPr>
          <a:bodyPr rot="-2700000"/>
          <a:lstStyle/>
          <a:p>
            <a:pPr>
              <a:defRPr sz="1200"/>
            </a:pPr>
            <a:endParaRPr lang="en-US"/>
          </a:p>
        </c:txPr>
        <c:crossAx val="350666048"/>
        <c:crosses val="autoZero"/>
        <c:auto val="1"/>
        <c:lblAlgn val="ctr"/>
        <c:lblOffset val="100"/>
        <c:noMultiLvlLbl val="0"/>
      </c:catAx>
      <c:valAx>
        <c:axId val="350666048"/>
        <c:scaling>
          <c:orientation val="minMax"/>
        </c:scaling>
        <c:delete val="0"/>
        <c:axPos val="l"/>
        <c:title>
          <c:tx>
            <c:rich>
              <a:bodyPr/>
              <a:lstStyle/>
              <a:p>
                <a:pPr>
                  <a:defRPr sz="1100"/>
                </a:pPr>
                <a:r>
                  <a:rPr lang="en-US" sz="1100"/>
                  <a:t>Increase in income and expenses associated with the strategy relative to BAU ($/annum)</a:t>
                </a:r>
              </a:p>
            </c:rich>
          </c:tx>
          <c:layout>
            <c:manualLayout>
              <c:xMode val="edge"/>
              <c:yMode val="edge"/>
              <c:x val="8.0239123732727801E-3"/>
              <c:y val="3.369954209287282E-2"/>
            </c:manualLayout>
          </c:layout>
          <c:overlay val="0"/>
        </c:title>
        <c:numFmt formatCode="\$#,##0" sourceLinked="0"/>
        <c:majorTickMark val="out"/>
        <c:minorTickMark val="none"/>
        <c:tickLblPos val="nextTo"/>
        <c:txPr>
          <a:bodyPr/>
          <a:lstStyle/>
          <a:p>
            <a:pPr>
              <a:defRPr sz="1200"/>
            </a:pPr>
            <a:endParaRPr lang="en-US"/>
          </a:p>
        </c:txPr>
        <c:crossAx val="350665656"/>
        <c:crossesAt val="1"/>
        <c:crossBetween val="between"/>
      </c:valAx>
    </c:plotArea>
    <c:plotVisOnly val="1"/>
    <c:dispBlanksAs val="gap"/>
    <c:showDLblsOverMax val="0"/>
  </c:chart>
  <c:spPr>
    <a:solidFill>
      <a:schemeClr val="bg2"/>
    </a:solidFill>
    <a:ln>
      <a:solidFill>
        <a:schemeClr val="tx1"/>
      </a:solidFill>
    </a:ln>
  </c:spPr>
  <c:printSettings>
    <c:headerFooter/>
    <c:pageMargins b="0.75000000000001421" l="0.70000000000000062" r="0.70000000000000062" t="0.750000000000014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67771888382373258"/>
        </c:manualLayout>
      </c:layout>
      <c:barChart>
        <c:barDir val="col"/>
        <c:grouping val="clustered"/>
        <c:varyColors val="0"/>
        <c:ser>
          <c:idx val="0"/>
          <c:order val="0"/>
          <c:tx>
            <c:strRef>
              <c:f>'Data for graphs'!$Y$2</c:f>
              <c:strCache>
                <c:ptCount val="1"/>
                <c:pt idx="0">
                  <c:v>Change in income &amp; expenses based on reduction in total farm GHG emissions ($ per annum)</c:v>
                </c:pt>
              </c:strCache>
            </c:strRef>
          </c:tx>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graphs'!$X$3:$X$6</c:f>
              <c:strCache>
                <c:ptCount val="4"/>
                <c:pt idx="0">
                  <c:v>Carbon credit income</c:v>
                </c:pt>
                <c:pt idx="1">
                  <c:v>Implementation expenses</c:v>
                </c:pt>
                <c:pt idx="2">
                  <c:v>Additional milk income </c:v>
                </c:pt>
                <c:pt idx="3">
                  <c:v>Total farm benefit</c:v>
                </c:pt>
              </c:strCache>
            </c:strRef>
          </c:cat>
          <c:val>
            <c:numRef>
              <c:f>'Data for graphs'!$Y$3:$Y$6</c:f>
              <c:numCache>
                <c:formatCode>"$"#,##0</c:formatCode>
                <c:ptCount val="4"/>
                <c:pt idx="0">
                  <c:v>0</c:v>
                </c:pt>
                <c:pt idx="1">
                  <c:v>0</c:v>
                </c:pt>
                <c:pt idx="2">
                  <c:v>0</c:v>
                </c:pt>
                <c:pt idx="3">
                  <c:v>0</c:v>
                </c:pt>
              </c:numCache>
            </c:numRef>
          </c:val>
          <c:extLst>
            <c:ext xmlns:c16="http://schemas.microsoft.com/office/drawing/2014/chart" uri="{C3380CC4-5D6E-409C-BE32-E72D297353CC}">
              <c16:uniqueId val="{00000000-4D37-4614-90BF-499B9E6C409B}"/>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67771888382373258"/>
        </c:manualLayout>
      </c:layout>
      <c:barChart>
        <c:barDir val="col"/>
        <c:grouping val="clustered"/>
        <c:varyColors val="0"/>
        <c:ser>
          <c:idx val="0"/>
          <c:order val="0"/>
          <c:tx>
            <c:strRef>
              <c:f>'Data for graphs'!$BA$2</c:f>
              <c:strCache>
                <c:ptCount val="1"/>
                <c:pt idx="0">
                  <c:v>Change in income &amp; expenses based on reduction in total farm GHG emissions ($ per annum)</c:v>
                </c:pt>
              </c:strCache>
            </c:strRef>
          </c:tx>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graphs'!$AZ$3:$AZ$6</c:f>
              <c:strCache>
                <c:ptCount val="4"/>
                <c:pt idx="0">
                  <c:v>Carbon credit income</c:v>
                </c:pt>
                <c:pt idx="1">
                  <c:v>Implementation expenses</c:v>
                </c:pt>
                <c:pt idx="2">
                  <c:v>Additional milk income </c:v>
                </c:pt>
                <c:pt idx="3">
                  <c:v>Total farm benefit</c:v>
                </c:pt>
              </c:strCache>
            </c:strRef>
          </c:cat>
          <c:val>
            <c:numRef>
              <c:f>'Data for graphs'!$BA$3:$BA$6</c:f>
              <c:numCache>
                <c:formatCode>"$"#,##0</c:formatCode>
                <c:ptCount val="4"/>
                <c:pt idx="0">
                  <c:v>#N/A</c:v>
                </c:pt>
                <c:pt idx="1">
                  <c:v>0</c:v>
                </c:pt>
                <c:pt idx="2">
                  <c:v>0</c:v>
                </c:pt>
                <c:pt idx="3">
                  <c:v>#N/A</c:v>
                </c:pt>
              </c:numCache>
            </c:numRef>
          </c:val>
          <c:extLst>
            <c:ext xmlns:c16="http://schemas.microsoft.com/office/drawing/2014/chart" uri="{C3380CC4-5D6E-409C-BE32-E72D297353CC}">
              <c16:uniqueId val="{00000000-19A7-492E-90DE-731D9981C200}"/>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67771888382373258"/>
        </c:manualLayout>
      </c:layout>
      <c:barChart>
        <c:barDir val="col"/>
        <c:grouping val="clustered"/>
        <c:varyColors val="0"/>
        <c:ser>
          <c:idx val="0"/>
          <c:order val="0"/>
          <c:tx>
            <c:strRef>
              <c:f>'Data for graphs'!$BE$2</c:f>
              <c:strCache>
                <c:ptCount val="1"/>
                <c:pt idx="0">
                  <c:v>Change in income &amp; expenses based on reduction in total farm GHG emissions ($ per annum)</c:v>
                </c:pt>
              </c:strCache>
            </c:strRef>
          </c:tx>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graphs'!$BD$3:$BD$6</c:f>
              <c:strCache>
                <c:ptCount val="4"/>
                <c:pt idx="0">
                  <c:v>Carbon credit income</c:v>
                </c:pt>
                <c:pt idx="1">
                  <c:v>Implementation expenses</c:v>
                </c:pt>
                <c:pt idx="2">
                  <c:v>Additional milk income </c:v>
                </c:pt>
                <c:pt idx="3">
                  <c:v>Total farm benefit</c:v>
                </c:pt>
              </c:strCache>
            </c:strRef>
          </c:cat>
          <c:val>
            <c:numRef>
              <c:f>'Data for graphs'!$BE$3:$BE$6</c:f>
              <c:numCache>
                <c:formatCode>"$"#,##0</c:formatCode>
                <c:ptCount val="4"/>
                <c:pt idx="0">
                  <c:v>#N/A</c:v>
                </c:pt>
                <c:pt idx="1">
                  <c:v>184500</c:v>
                </c:pt>
                <c:pt idx="2">
                  <c:v>0</c:v>
                </c:pt>
                <c:pt idx="3">
                  <c:v>#N/A</c:v>
                </c:pt>
              </c:numCache>
            </c:numRef>
          </c:val>
          <c:extLst>
            <c:ext xmlns:c16="http://schemas.microsoft.com/office/drawing/2014/chart" uri="{C3380CC4-5D6E-409C-BE32-E72D297353CC}">
              <c16:uniqueId val="{00000000-4B8D-49AB-9EEB-8B1666485169}"/>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graphs'!$AB$3:$AB$6</c:f>
              <c:strCache>
                <c:ptCount val="4"/>
                <c:pt idx="0">
                  <c:v>Carbon credit income</c:v>
                </c:pt>
                <c:pt idx="1">
                  <c:v>Implementation expenses</c:v>
                </c:pt>
                <c:pt idx="2">
                  <c:v>Additional milk income </c:v>
                </c:pt>
                <c:pt idx="3">
                  <c:v>Total farm benefit</c:v>
                </c:pt>
              </c:strCache>
            </c:strRef>
          </c:cat>
          <c:val>
            <c:numRef>
              <c:f>'Data for graphs'!$AC$3:$AC$6</c:f>
              <c:numCache>
                <c:formatCode>"$"#,##0</c:formatCode>
                <c:ptCount val="4"/>
                <c:pt idx="0">
                  <c:v>0</c:v>
                </c:pt>
                <c:pt idx="1">
                  <c:v>0</c:v>
                </c:pt>
                <c:pt idx="2">
                  <c:v>0</c:v>
                </c:pt>
                <c:pt idx="3">
                  <c:v>0</c:v>
                </c:pt>
              </c:numCache>
            </c:numRef>
          </c:val>
          <c:extLst>
            <c:ext xmlns:c16="http://schemas.microsoft.com/office/drawing/2014/chart" uri="{C3380CC4-5D6E-409C-BE32-E72D297353CC}">
              <c16:uniqueId val="{00000000-1302-4BF9-8F47-1F28577F5A78}"/>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graphs'!$AF$3:$AF$6</c:f>
              <c:strCache>
                <c:ptCount val="4"/>
                <c:pt idx="0">
                  <c:v>Carbon credit income</c:v>
                </c:pt>
                <c:pt idx="1">
                  <c:v>Implementation expenses</c:v>
                </c:pt>
                <c:pt idx="2">
                  <c:v>Additional milk income </c:v>
                </c:pt>
                <c:pt idx="3">
                  <c:v>Total farm benefit</c:v>
                </c:pt>
              </c:strCache>
            </c:strRef>
          </c:cat>
          <c:val>
            <c:numRef>
              <c:f>'Data for graphs'!$AG$3:$AG$6</c:f>
              <c:numCache>
                <c:formatCode>"$"#,##0</c:formatCode>
                <c:ptCount val="4"/>
                <c:pt idx="0">
                  <c:v>0</c:v>
                </c:pt>
                <c:pt idx="1">
                  <c:v>0</c:v>
                </c:pt>
                <c:pt idx="2">
                  <c:v>0</c:v>
                </c:pt>
                <c:pt idx="3">
                  <c:v>0</c:v>
                </c:pt>
              </c:numCache>
            </c:numRef>
          </c:val>
          <c:extLst>
            <c:ext xmlns:c16="http://schemas.microsoft.com/office/drawing/2014/chart" uri="{C3380CC4-5D6E-409C-BE32-E72D297353CC}">
              <c16:uniqueId val="{00000000-5072-4CDE-90F2-513D8D21C273}"/>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'Improved diet DMD by management'!$D$160:$D$210</c:f>
            </c:numRef>
          </c:xVal>
          <c:yVal>
            <c:numRef>
              <c:f>'Improved diet DMD by management'!$H$160:$H$210</c:f>
            </c:numRef>
          </c:yVal>
          <c:smooth val="0"/>
          <c:extLst>
            <c:ext xmlns:c16="http://schemas.microsoft.com/office/drawing/2014/chart" uri="{C3380CC4-5D6E-409C-BE32-E72D297353CC}">
              <c16:uniqueId val="{00000000-23ED-4169-8883-343B5DA95406}"/>
            </c:ext>
          </c:extLst>
        </c:ser>
        <c:dLbls>
          <c:showLegendKey val="0"/>
          <c:showVal val="0"/>
          <c:showCatName val="0"/>
          <c:showSerName val="0"/>
          <c:showPercent val="0"/>
          <c:showBubbleSize val="0"/>
        </c:dLbls>
        <c:axId val="352812640"/>
        <c:axId val="352813032"/>
      </c:scatterChart>
      <c:valAx>
        <c:axId val="352812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2813032"/>
        <c:crosses val="autoZero"/>
        <c:crossBetween val="midCat"/>
      </c:valAx>
      <c:valAx>
        <c:axId val="352813032"/>
        <c:scaling>
          <c:orientation val="minMax"/>
        </c:scaling>
        <c:delete val="0"/>
        <c:axPos val="l"/>
        <c:majorGridlines/>
        <c:numFmt formatCode="General" sourceLinked="1"/>
        <c:majorTickMark val="out"/>
        <c:minorTickMark val="none"/>
        <c:tickLblPos val="nextTo"/>
        <c:crossAx val="352812640"/>
        <c:crosses val="autoZero"/>
        <c:crossBetween val="midCat"/>
      </c:valAx>
    </c:plotArea>
    <c:legend>
      <c:legendPos val="r"/>
      <c:overlay val="0"/>
    </c:legend>
    <c:plotVisOnly val="1"/>
    <c:dispBlanksAs val="gap"/>
    <c:showDLblsOverMax val="0"/>
  </c:chart>
  <c:printSettings>
    <c:headerFooter/>
    <c:pageMargins b="0.75000000000001188" l="0.70000000000000062" r="0.70000000000000062" t="0.750000000000011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graphs'!$AN$3:$AN$6</c:f>
              <c:strCache>
                <c:ptCount val="4"/>
                <c:pt idx="0">
                  <c:v>Carbon credit income</c:v>
                </c:pt>
                <c:pt idx="1">
                  <c:v>Implementation expenses</c:v>
                </c:pt>
                <c:pt idx="2">
                  <c:v>Additional milk income </c:v>
                </c:pt>
                <c:pt idx="3">
                  <c:v>Total farm benefit</c:v>
                </c:pt>
              </c:strCache>
            </c:strRef>
          </c:cat>
          <c:val>
            <c:numRef>
              <c:f>'Data for graphs'!$AO$3:$AO$6</c:f>
              <c:numCache>
                <c:formatCode>"$"#,##0</c:formatCode>
                <c:ptCount val="4"/>
                <c:pt idx="0">
                  <c:v>0</c:v>
                </c:pt>
                <c:pt idx="1">
                  <c:v>5000</c:v>
                </c:pt>
                <c:pt idx="2">
                  <c:v>0</c:v>
                </c:pt>
                <c:pt idx="3">
                  <c:v>0</c:v>
                </c:pt>
              </c:numCache>
            </c:numRef>
          </c:val>
          <c:extLst>
            <c:ext xmlns:c16="http://schemas.microsoft.com/office/drawing/2014/chart" uri="{C3380CC4-5D6E-409C-BE32-E72D297353CC}">
              <c16:uniqueId val="{00000000-5D43-4D90-97E6-CAE00C31F094}"/>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graphs'!$AJ$3:$AJ$6</c:f>
              <c:strCache>
                <c:ptCount val="4"/>
                <c:pt idx="0">
                  <c:v>Carbon credit income</c:v>
                </c:pt>
                <c:pt idx="1">
                  <c:v>Implementation expenses</c:v>
                </c:pt>
                <c:pt idx="2">
                  <c:v>Additional milk income </c:v>
                </c:pt>
                <c:pt idx="3">
                  <c:v>Total farm benefit</c:v>
                </c:pt>
              </c:strCache>
            </c:strRef>
          </c:cat>
          <c:val>
            <c:numRef>
              <c:f>'Data for graphs'!$AK$3:$AK$6</c:f>
              <c:numCache>
                <c:formatCode>"$"#,##0</c:formatCode>
                <c:ptCount val="4"/>
                <c:pt idx="0">
                  <c:v>0</c:v>
                </c:pt>
                <c:pt idx="1">
                  <c:v>0</c:v>
                </c:pt>
                <c:pt idx="2">
                  <c:v>0</c:v>
                </c:pt>
                <c:pt idx="3">
                  <c:v>0</c:v>
                </c:pt>
              </c:numCache>
            </c:numRef>
          </c:val>
          <c:extLst>
            <c:ext xmlns:c16="http://schemas.microsoft.com/office/drawing/2014/chart" uri="{C3380CC4-5D6E-409C-BE32-E72D297353CC}">
              <c16:uniqueId val="{00000000-DD3E-4755-9346-2985866D2908}"/>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graphs'!$AV$3:$AV$6</c:f>
              <c:strCache>
                <c:ptCount val="4"/>
                <c:pt idx="0">
                  <c:v>Carbon credit income</c:v>
                </c:pt>
                <c:pt idx="1">
                  <c:v>Implementation expenses</c:v>
                </c:pt>
                <c:pt idx="2">
                  <c:v>Additional milk income </c:v>
                </c:pt>
                <c:pt idx="3">
                  <c:v>Total farm benefit</c:v>
                </c:pt>
              </c:strCache>
            </c:strRef>
          </c:cat>
          <c:val>
            <c:numRef>
              <c:f>'Data for graphs'!$AW$3:$AW$6</c:f>
              <c:numCache>
                <c:formatCode>"$"#,##0</c:formatCode>
                <c:ptCount val="4"/>
                <c:pt idx="0">
                  <c:v>0</c:v>
                </c:pt>
                <c:pt idx="1">
                  <c:v>0</c:v>
                </c:pt>
                <c:pt idx="2">
                  <c:v>18537.7752</c:v>
                </c:pt>
                <c:pt idx="3">
                  <c:v>18537.7752</c:v>
                </c:pt>
              </c:numCache>
            </c:numRef>
          </c:val>
          <c:extLst>
            <c:ext xmlns:c16="http://schemas.microsoft.com/office/drawing/2014/chart" uri="{C3380CC4-5D6E-409C-BE32-E72D297353CC}">
              <c16:uniqueId val="{00000000-F4BF-4483-8C74-16A25A76F3DC}"/>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a:t>Typical averages</a:t>
            </a:r>
          </a:p>
        </c:rich>
      </c:tx>
      <c:layout>
        <c:manualLayout>
          <c:xMode val="edge"/>
          <c:yMode val="edge"/>
          <c:x val="0.7900178763680088"/>
          <c:y val="4.0083535777406726E-2"/>
        </c:manualLayout>
      </c:layout>
      <c:overlay val="0"/>
    </c:title>
    <c:autoTitleDeleted val="0"/>
    <c:plotArea>
      <c:layout>
        <c:manualLayout>
          <c:layoutTarget val="inner"/>
          <c:xMode val="edge"/>
          <c:yMode val="edge"/>
          <c:x val="9.8584371927284767E-2"/>
          <c:y val="3.2383600920521692E-2"/>
          <c:w val="0.87539938148773278"/>
          <c:h val="0.87769965903261093"/>
        </c:manualLayout>
      </c:layout>
      <c:barChart>
        <c:barDir val="col"/>
        <c:grouping val="stacked"/>
        <c:varyColors val="0"/>
        <c:ser>
          <c:idx val="0"/>
          <c:order val="0"/>
          <c:invertIfNegative val="0"/>
          <c:dPt>
            <c:idx val="1"/>
            <c:invertIfNegative val="0"/>
            <c:bubble3D val="0"/>
            <c:spPr>
              <a:solidFill>
                <a:schemeClr val="accent6"/>
              </a:solidFill>
            </c:spPr>
            <c:extLst>
              <c:ext xmlns:c16="http://schemas.microsoft.com/office/drawing/2014/chart" uri="{C3380CC4-5D6E-409C-BE32-E72D297353CC}">
                <c16:uniqueId val="{00000001-CC05-4CB6-995F-E6ACF2E8CFC7}"/>
              </c:ext>
            </c:extLst>
          </c:dPt>
          <c:dPt>
            <c:idx val="2"/>
            <c:invertIfNegative val="0"/>
            <c:bubble3D val="0"/>
            <c:spPr>
              <a:solidFill>
                <a:srgbClr val="FFC000"/>
              </a:solidFill>
            </c:spPr>
            <c:extLst>
              <c:ext xmlns:c16="http://schemas.microsoft.com/office/drawing/2014/chart" uri="{C3380CC4-5D6E-409C-BE32-E72D297353CC}">
                <c16:uniqueId val="{00000002-CC05-4CB6-995F-E6ACF2E8CFC7}"/>
              </c:ext>
            </c:extLst>
          </c:dPt>
          <c:dPt>
            <c:idx val="3"/>
            <c:invertIfNegative val="0"/>
            <c:bubble3D val="0"/>
            <c:spPr>
              <a:solidFill>
                <a:schemeClr val="tx2">
                  <a:lumMod val="75000"/>
                </a:schemeClr>
              </a:solidFill>
            </c:spPr>
            <c:extLst>
              <c:ext xmlns:c16="http://schemas.microsoft.com/office/drawing/2014/chart" uri="{C3380CC4-5D6E-409C-BE32-E72D297353CC}">
                <c16:uniqueId val="{00000003-CC05-4CB6-995F-E6ACF2E8CFC7}"/>
              </c:ext>
            </c:extLst>
          </c:dPt>
          <c:dPt>
            <c:idx val="4"/>
            <c:invertIfNegative val="0"/>
            <c:bubble3D val="0"/>
            <c:spPr>
              <a:solidFill>
                <a:srgbClr val="00B050"/>
              </a:solidFill>
            </c:spPr>
            <c:extLst>
              <c:ext xmlns:c16="http://schemas.microsoft.com/office/drawing/2014/chart" uri="{C3380CC4-5D6E-409C-BE32-E72D297353CC}">
                <c16:uniqueId val="{00000004-CC05-4CB6-995F-E6ACF2E8CFC7}"/>
              </c:ext>
            </c:extLst>
          </c:dPt>
          <c:dPt>
            <c:idx val="5"/>
            <c:invertIfNegative val="0"/>
            <c:bubble3D val="0"/>
            <c:spPr>
              <a:solidFill>
                <a:schemeClr val="accent1">
                  <a:lumMod val="50000"/>
                </a:schemeClr>
              </a:solidFill>
            </c:spPr>
            <c:extLst>
              <c:ext xmlns:c16="http://schemas.microsoft.com/office/drawing/2014/chart" uri="{C3380CC4-5D6E-409C-BE32-E72D297353CC}">
                <c16:uniqueId val="{00000005-CC05-4CB6-995F-E6ACF2E8CFC7}"/>
              </c:ext>
            </c:extLst>
          </c:dPt>
          <c:dPt>
            <c:idx val="6"/>
            <c:invertIfNegative val="0"/>
            <c:bubble3D val="0"/>
            <c:spPr>
              <a:solidFill>
                <a:srgbClr val="C00000"/>
              </a:solidFill>
            </c:spPr>
            <c:extLst>
              <c:ext xmlns:c16="http://schemas.microsoft.com/office/drawing/2014/chart" uri="{C3380CC4-5D6E-409C-BE32-E72D297353CC}">
                <c16:uniqueId val="{00000006-CC05-4CB6-995F-E6ACF2E8CFC7}"/>
              </c:ext>
            </c:extLst>
          </c:dPt>
          <c:dPt>
            <c:idx val="7"/>
            <c:invertIfNegative val="0"/>
            <c:bubble3D val="0"/>
            <c:spPr>
              <a:solidFill>
                <a:srgbClr val="92D050"/>
              </a:solidFill>
            </c:spPr>
            <c:extLst>
              <c:ext xmlns:c16="http://schemas.microsoft.com/office/drawing/2014/chart" uri="{C3380CC4-5D6E-409C-BE32-E72D297353CC}">
                <c16:uniqueId val="{00000007-CC05-4CB6-995F-E6ACF2E8CFC7}"/>
              </c:ext>
            </c:extLst>
          </c:dPt>
          <c:dPt>
            <c:idx val="8"/>
            <c:invertIfNegative val="0"/>
            <c:bubble3D val="0"/>
            <c:spPr>
              <a:solidFill>
                <a:srgbClr val="FF66FF"/>
              </a:solidFill>
            </c:spPr>
            <c:extLst>
              <c:ext xmlns:c16="http://schemas.microsoft.com/office/drawing/2014/chart" uri="{C3380CC4-5D6E-409C-BE32-E72D297353CC}">
                <c16:uniqueId val="{00000001-45B4-4831-8CE9-4684ABBF6ABD}"/>
              </c:ext>
            </c:extLst>
          </c:dPt>
          <c:dPt>
            <c:idx val="9"/>
            <c:invertIfNegative val="0"/>
            <c:bubble3D val="0"/>
            <c:spPr>
              <a:solidFill>
                <a:schemeClr val="bg2">
                  <a:lumMod val="75000"/>
                </a:schemeClr>
              </a:solidFill>
            </c:spPr>
            <c:extLst>
              <c:ext xmlns:c16="http://schemas.microsoft.com/office/drawing/2014/chart" uri="{C3380CC4-5D6E-409C-BE32-E72D297353CC}">
                <c16:uniqueId val="{0000000A-A935-4758-B6F8-92C21183B110}"/>
              </c:ext>
            </c:extLst>
          </c:dPt>
          <c:cat>
            <c:strRef>
              <c:f>'Data for graphs'!$A$2:$A$11</c:f>
              <c:strCache>
                <c:ptCount val="10"/>
                <c:pt idx="0">
                  <c:v>Enteric methane</c:v>
                </c:pt>
                <c:pt idx="1">
                  <c:v>Manure methane</c:v>
                </c:pt>
                <c:pt idx="2">
                  <c:v>Direct N2O animal waste</c:v>
                </c:pt>
                <c:pt idx="3">
                  <c:v>Indirect N2O animal waste</c:v>
                </c:pt>
                <c:pt idx="4">
                  <c:v>Direct N2O N fertiliser</c:v>
                </c:pt>
                <c:pt idx="5">
                  <c:v>Indirect N2O N fertiliser</c:v>
                </c:pt>
                <c:pt idx="6">
                  <c:v>Energy consumption</c:v>
                </c:pt>
                <c:pt idx="7">
                  <c:v>Urea and lime</c:v>
                </c:pt>
                <c:pt idx="8">
                  <c:v>Pre-farm embedded</c:v>
                </c:pt>
                <c:pt idx="9">
                  <c:v>Tree carbon sequestration</c:v>
                </c:pt>
              </c:strCache>
            </c:strRef>
          </c:cat>
          <c:val>
            <c:numRef>
              <c:f>'Data for graphs'!$E$2:$E$11</c:f>
              <c:numCache>
                <c:formatCode>0%</c:formatCode>
                <c:ptCount val="10"/>
                <c:pt idx="0">
                  <c:v>0.58372167049937007</c:v>
                </c:pt>
                <c:pt idx="1">
                  <c:v>9.4955936395255194E-2</c:v>
                </c:pt>
                <c:pt idx="2">
                  <c:v>4.1239722104155288E-2</c:v>
                </c:pt>
                <c:pt idx="3">
                  <c:v>2.3241057368152771E-2</c:v>
                </c:pt>
                <c:pt idx="4">
                  <c:v>3.2792125617042159E-2</c:v>
                </c:pt>
                <c:pt idx="5">
                  <c:v>1.8354476075361673E-2</c:v>
                </c:pt>
                <c:pt idx="6">
                  <c:v>6.6976970775986966E-2</c:v>
                </c:pt>
                <c:pt idx="7">
                  <c:v>1.7742002444044256E-2</c:v>
                </c:pt>
                <c:pt idx="8">
                  <c:v>0.12097603872063173</c:v>
                </c:pt>
                <c:pt idx="9">
                  <c:v>0</c:v>
                </c:pt>
              </c:numCache>
            </c:numRef>
          </c:val>
          <c:extLst>
            <c:ext xmlns:c16="http://schemas.microsoft.com/office/drawing/2014/chart" uri="{C3380CC4-5D6E-409C-BE32-E72D297353CC}">
              <c16:uniqueId val="{00000008-CC05-4CB6-995F-E6ACF2E8CFC7}"/>
            </c:ext>
          </c:extLst>
        </c:ser>
        <c:dLbls>
          <c:showLegendKey val="0"/>
          <c:showVal val="0"/>
          <c:showCatName val="0"/>
          <c:showSerName val="0"/>
          <c:showPercent val="0"/>
          <c:showBubbleSize val="0"/>
        </c:dLbls>
        <c:gapWidth val="100"/>
        <c:overlap val="100"/>
        <c:axId val="1817496672"/>
        <c:axId val="1817494176"/>
      </c:barChart>
      <c:catAx>
        <c:axId val="1817496672"/>
        <c:scaling>
          <c:orientation val="minMax"/>
        </c:scaling>
        <c:delete val="0"/>
        <c:axPos val="b"/>
        <c:numFmt formatCode="General" sourceLinked="1"/>
        <c:majorTickMark val="out"/>
        <c:minorTickMark val="none"/>
        <c:tickLblPos val="nextTo"/>
        <c:crossAx val="1817494176"/>
        <c:crossesAt val="-0.2"/>
        <c:auto val="1"/>
        <c:lblAlgn val="ctr"/>
        <c:lblOffset val="100"/>
        <c:noMultiLvlLbl val="0"/>
      </c:catAx>
      <c:valAx>
        <c:axId val="1817494176"/>
        <c:scaling>
          <c:orientation val="minMax"/>
          <c:max val="0.70000000000000007"/>
          <c:min val="-0.2"/>
        </c:scaling>
        <c:delete val="0"/>
        <c:axPos val="l"/>
        <c:majorGridlines/>
        <c:title>
          <c:tx>
            <c:rich>
              <a:bodyPr/>
              <a:lstStyle/>
              <a:p>
                <a:pPr>
                  <a:defRPr/>
                </a:pPr>
                <a:r>
                  <a:rPr lang="en-US"/>
                  <a:t>Percentage of net GHG emissions (%)</a:t>
                </a:r>
              </a:p>
            </c:rich>
          </c:tx>
          <c:overlay val="0"/>
        </c:title>
        <c:numFmt formatCode="0%" sourceLinked="1"/>
        <c:majorTickMark val="out"/>
        <c:minorTickMark val="none"/>
        <c:tickLblPos val="nextTo"/>
        <c:crossAx val="1817496672"/>
        <c:crosses val="autoZero"/>
        <c:crossBetween val="between"/>
      </c:valAx>
    </c:plotArea>
    <c:plotVisOnly val="1"/>
    <c:dispBlanksAs val="zero"/>
    <c:showDLblsOverMax val="0"/>
  </c:chart>
  <c:spPr>
    <a:ln>
      <a:noFill/>
    </a:ln>
  </c:spPr>
  <c:txPr>
    <a:bodyPr/>
    <a:lstStyle/>
    <a:p>
      <a:pPr>
        <a:defRPr sz="1100"/>
      </a:pPr>
      <a:endParaRPr lang="en-US"/>
    </a:p>
  </c:txPr>
  <c:printSettings>
    <c:headerFooter/>
    <c:pageMargins b="0.75000000000000699" l="0.70000000000000062" r="0.70000000000000062" t="0.7500000000000069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8789888017091"/>
          <c:y val="7.3499996471096812E-2"/>
          <c:w val="0.85965218816266031"/>
          <c:h val="0.73319387094140798"/>
        </c:manualLayout>
      </c:layout>
      <c:barChart>
        <c:barDir val="col"/>
        <c:grouping val="clustered"/>
        <c:varyColors val="0"/>
        <c:ser>
          <c:idx val="0"/>
          <c:order val="0"/>
          <c:invertIfNegative val="0"/>
          <c:dLbls>
            <c:numFmt formatCode="\$#,##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graphs'!$AR$3:$AR$6</c:f>
              <c:strCache>
                <c:ptCount val="4"/>
                <c:pt idx="0">
                  <c:v>Carbon credit income</c:v>
                </c:pt>
                <c:pt idx="1">
                  <c:v>Implementation expenses</c:v>
                </c:pt>
                <c:pt idx="2">
                  <c:v>Additional milk income </c:v>
                </c:pt>
                <c:pt idx="3">
                  <c:v>Total farm benefit</c:v>
                </c:pt>
              </c:strCache>
            </c:strRef>
          </c:cat>
          <c:val>
            <c:numRef>
              <c:f>'Data for graphs'!$AS$3:$AS$6</c:f>
              <c:numCache>
                <c:formatCode>"$"#,##0</c:formatCode>
                <c:ptCount val="4"/>
                <c:pt idx="0">
                  <c:v>0</c:v>
                </c:pt>
                <c:pt idx="1">
                  <c:v>0</c:v>
                </c:pt>
                <c:pt idx="2">
                  <c:v>0</c:v>
                </c:pt>
                <c:pt idx="3">
                  <c:v>0</c:v>
                </c:pt>
              </c:numCache>
            </c:numRef>
          </c:val>
          <c:extLst>
            <c:ext xmlns:c16="http://schemas.microsoft.com/office/drawing/2014/chart" uri="{C3380CC4-5D6E-409C-BE32-E72D297353CC}">
              <c16:uniqueId val="{00000000-261B-4089-A2A5-65A3370C1B98}"/>
            </c:ext>
          </c:extLst>
        </c:ser>
        <c:dLbls>
          <c:showLegendKey val="0"/>
          <c:showVal val="0"/>
          <c:showCatName val="0"/>
          <c:showSerName val="0"/>
          <c:showPercent val="0"/>
          <c:showBubbleSize val="0"/>
        </c:dLbls>
        <c:gapWidth val="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sz="1200"/>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sz="1200"/>
                </a:pPr>
                <a:r>
                  <a:rPr lang="en-US" sz="1200"/>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txPr>
          <a:bodyPr/>
          <a:lstStyle/>
          <a:p>
            <a:pPr>
              <a:defRPr sz="1200"/>
            </a:pPr>
            <a:endParaRPr lang="en-US"/>
          </a:p>
        </c:txPr>
        <c:crossAx val="346813560"/>
        <c:crossesAt val="1"/>
        <c:crossBetween val="between"/>
      </c:valAx>
    </c:plotArea>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Your farm</a:t>
            </a:r>
          </a:p>
        </c:rich>
      </c:tx>
      <c:layout>
        <c:manualLayout>
          <c:xMode val="edge"/>
          <c:yMode val="edge"/>
          <c:x val="0.81510926892821356"/>
          <c:y val="2.4453701735570505E-2"/>
        </c:manualLayout>
      </c:layout>
      <c:overlay val="0"/>
    </c:title>
    <c:autoTitleDeleted val="0"/>
    <c:plotArea>
      <c:layout>
        <c:manualLayout>
          <c:layoutTarget val="inner"/>
          <c:xMode val="edge"/>
          <c:yMode val="edge"/>
          <c:x val="6.0290575380979324E-2"/>
          <c:y val="3.2383600920521692E-2"/>
          <c:w val="0.92349092817212319"/>
          <c:h val="0.95997982690180261"/>
        </c:manualLayout>
      </c:layout>
      <c:barChart>
        <c:barDir val="col"/>
        <c:grouping val="stacked"/>
        <c:varyColors val="0"/>
        <c:ser>
          <c:idx val="0"/>
          <c:order val="0"/>
          <c:tx>
            <c:strRef>
              <c:f>'Data for graphs'!$C$1</c:f>
              <c:strCache>
                <c:ptCount val="1"/>
                <c:pt idx="0">
                  <c:v>Example baseline farm</c:v>
                </c:pt>
              </c:strCache>
            </c:strRef>
          </c:tx>
          <c:invertIfNegative val="0"/>
          <c:dPt>
            <c:idx val="1"/>
            <c:invertIfNegative val="0"/>
            <c:bubble3D val="0"/>
            <c:spPr>
              <a:solidFill>
                <a:schemeClr val="accent6"/>
              </a:solidFill>
              <a:ln>
                <a:solidFill>
                  <a:schemeClr val="accent6"/>
                </a:solidFill>
              </a:ln>
            </c:spPr>
            <c:extLst>
              <c:ext xmlns:c16="http://schemas.microsoft.com/office/drawing/2014/chart" uri="{C3380CC4-5D6E-409C-BE32-E72D297353CC}">
                <c16:uniqueId val="{00000000-6802-42F6-A1E6-590EC50558DC}"/>
              </c:ext>
            </c:extLst>
          </c:dPt>
          <c:dPt>
            <c:idx val="2"/>
            <c:invertIfNegative val="0"/>
            <c:bubble3D val="0"/>
            <c:spPr>
              <a:solidFill>
                <a:srgbClr val="FFC000"/>
              </a:solidFill>
            </c:spPr>
            <c:extLst>
              <c:ext xmlns:c16="http://schemas.microsoft.com/office/drawing/2014/chart" uri="{C3380CC4-5D6E-409C-BE32-E72D297353CC}">
                <c16:uniqueId val="{00000001-11C7-43DB-AFC3-CFC077556D26}"/>
              </c:ext>
            </c:extLst>
          </c:dPt>
          <c:dPt>
            <c:idx val="3"/>
            <c:invertIfNegative val="0"/>
            <c:bubble3D val="0"/>
            <c:spPr>
              <a:solidFill>
                <a:schemeClr val="accent1">
                  <a:lumMod val="75000"/>
                </a:schemeClr>
              </a:solidFill>
            </c:spPr>
            <c:extLst>
              <c:ext xmlns:c16="http://schemas.microsoft.com/office/drawing/2014/chart" uri="{C3380CC4-5D6E-409C-BE32-E72D297353CC}">
                <c16:uniqueId val="{00000002-11C7-43DB-AFC3-CFC077556D26}"/>
              </c:ext>
            </c:extLst>
          </c:dPt>
          <c:dPt>
            <c:idx val="4"/>
            <c:invertIfNegative val="0"/>
            <c:bubble3D val="0"/>
            <c:spPr>
              <a:solidFill>
                <a:srgbClr val="00B050"/>
              </a:solidFill>
            </c:spPr>
            <c:extLst>
              <c:ext xmlns:c16="http://schemas.microsoft.com/office/drawing/2014/chart" uri="{C3380CC4-5D6E-409C-BE32-E72D297353CC}">
                <c16:uniqueId val="{00000003-11C7-43DB-AFC3-CFC077556D26}"/>
              </c:ext>
            </c:extLst>
          </c:dPt>
          <c:dPt>
            <c:idx val="5"/>
            <c:invertIfNegative val="0"/>
            <c:bubble3D val="0"/>
            <c:spPr>
              <a:solidFill>
                <a:schemeClr val="accent1">
                  <a:lumMod val="50000"/>
                </a:schemeClr>
              </a:solidFill>
            </c:spPr>
            <c:extLst>
              <c:ext xmlns:c16="http://schemas.microsoft.com/office/drawing/2014/chart" uri="{C3380CC4-5D6E-409C-BE32-E72D297353CC}">
                <c16:uniqueId val="{00000005-11C7-43DB-AFC3-CFC077556D26}"/>
              </c:ext>
            </c:extLst>
          </c:dPt>
          <c:dPt>
            <c:idx val="6"/>
            <c:invertIfNegative val="0"/>
            <c:bubble3D val="0"/>
            <c:spPr>
              <a:solidFill>
                <a:srgbClr val="C00000"/>
              </a:solidFill>
            </c:spPr>
            <c:extLst>
              <c:ext xmlns:c16="http://schemas.microsoft.com/office/drawing/2014/chart" uri="{C3380CC4-5D6E-409C-BE32-E72D297353CC}">
                <c16:uniqueId val="{00000004-11C7-43DB-AFC3-CFC077556D26}"/>
              </c:ext>
            </c:extLst>
          </c:dPt>
          <c:dPt>
            <c:idx val="7"/>
            <c:invertIfNegative val="0"/>
            <c:bubble3D val="0"/>
            <c:spPr>
              <a:solidFill>
                <a:srgbClr val="92D050"/>
              </a:solidFill>
            </c:spPr>
            <c:extLst>
              <c:ext xmlns:c16="http://schemas.microsoft.com/office/drawing/2014/chart" uri="{C3380CC4-5D6E-409C-BE32-E72D297353CC}">
                <c16:uniqueId val="{00000001-65D2-42C8-A6C9-B2F26BFC3536}"/>
              </c:ext>
            </c:extLst>
          </c:dPt>
          <c:dPt>
            <c:idx val="8"/>
            <c:invertIfNegative val="0"/>
            <c:bubble3D val="0"/>
            <c:spPr>
              <a:solidFill>
                <a:srgbClr val="FF66FF"/>
              </a:solidFill>
            </c:spPr>
            <c:extLst>
              <c:ext xmlns:c16="http://schemas.microsoft.com/office/drawing/2014/chart" uri="{C3380CC4-5D6E-409C-BE32-E72D297353CC}">
                <c16:uniqueId val="{00000002-65D2-42C8-A6C9-B2F26BFC3536}"/>
              </c:ext>
            </c:extLst>
          </c:dPt>
          <c:dPt>
            <c:idx val="9"/>
            <c:invertIfNegative val="0"/>
            <c:bubble3D val="0"/>
            <c:spPr>
              <a:solidFill>
                <a:schemeClr val="bg2">
                  <a:lumMod val="75000"/>
                </a:schemeClr>
              </a:solidFill>
            </c:spPr>
            <c:extLst>
              <c:ext xmlns:c16="http://schemas.microsoft.com/office/drawing/2014/chart" uri="{C3380CC4-5D6E-409C-BE32-E72D297353CC}">
                <c16:uniqueId val="{00000003-65D2-42C8-A6C9-B2F26BFC3536}"/>
              </c:ext>
            </c:extLst>
          </c:dPt>
          <c:cat>
            <c:strRef>
              <c:f>'Data for graphs'!$A$2:$A$11</c:f>
              <c:strCache>
                <c:ptCount val="10"/>
                <c:pt idx="0">
                  <c:v>Enteric methane</c:v>
                </c:pt>
                <c:pt idx="1">
                  <c:v>Manure methane</c:v>
                </c:pt>
                <c:pt idx="2">
                  <c:v>Direct N2O animal waste</c:v>
                </c:pt>
                <c:pt idx="3">
                  <c:v>Indirect N2O animal waste</c:v>
                </c:pt>
                <c:pt idx="4">
                  <c:v>Direct N2O N fertiliser</c:v>
                </c:pt>
                <c:pt idx="5">
                  <c:v>Indirect N2O N fertiliser</c:v>
                </c:pt>
                <c:pt idx="6">
                  <c:v>Energy consumption</c:v>
                </c:pt>
                <c:pt idx="7">
                  <c:v>Urea and lime</c:v>
                </c:pt>
                <c:pt idx="8">
                  <c:v>Pre-farm embedded</c:v>
                </c:pt>
                <c:pt idx="9">
                  <c:v>Tree carbon sequestration</c:v>
                </c:pt>
              </c:strCache>
            </c:strRef>
          </c:cat>
          <c:val>
            <c:numRef>
              <c:f>'Data for graphs'!$C$2:$C$11</c:f>
              <c:numCache>
                <c:formatCode>0%</c:formatCode>
                <c:ptCount val="10"/>
                <c:pt idx="0">
                  <c:v>0.5648408707137782</c:v>
                </c:pt>
                <c:pt idx="1">
                  <c:v>9.1472826767703103E-2</c:v>
                </c:pt>
                <c:pt idx="2">
                  <c:v>4.5057495544992131E-2</c:v>
                </c:pt>
                <c:pt idx="3">
                  <c:v>3.5494105165983093E-2</c:v>
                </c:pt>
                <c:pt idx="4">
                  <c:v>2.4939663993509175E-2</c:v>
                </c:pt>
                <c:pt idx="5">
                  <c:v>1.9695939769232888E-2</c:v>
                </c:pt>
                <c:pt idx="6">
                  <c:v>6.1230687744466113E-2</c:v>
                </c:pt>
                <c:pt idx="7" formatCode="0.00%">
                  <c:v>4.1684457959910701E-2</c:v>
                </c:pt>
                <c:pt idx="8">
                  <c:v>0.11558395234042437</c:v>
                </c:pt>
                <c:pt idx="9" formatCode="0.00%">
                  <c:v>-8.1974510812508426E-3</c:v>
                </c:pt>
              </c:numCache>
            </c:numRef>
          </c:val>
          <c:extLst>
            <c:ext xmlns:c16="http://schemas.microsoft.com/office/drawing/2014/chart" uri="{C3380CC4-5D6E-409C-BE32-E72D297353CC}">
              <c16:uniqueId val="{00000001-6802-42F6-A1E6-590EC50558DC}"/>
            </c:ext>
          </c:extLst>
        </c:ser>
        <c:dLbls>
          <c:showLegendKey val="0"/>
          <c:showVal val="0"/>
          <c:showCatName val="0"/>
          <c:showSerName val="0"/>
          <c:showPercent val="0"/>
          <c:showBubbleSize val="0"/>
        </c:dLbls>
        <c:gapWidth val="100"/>
        <c:overlap val="100"/>
        <c:axId val="983203648"/>
        <c:axId val="983202816"/>
      </c:barChart>
      <c:catAx>
        <c:axId val="983203648"/>
        <c:scaling>
          <c:orientation val="minMax"/>
        </c:scaling>
        <c:delete val="0"/>
        <c:axPos val="b"/>
        <c:numFmt formatCode="General" sourceLinked="1"/>
        <c:majorTickMark val="out"/>
        <c:minorTickMark val="none"/>
        <c:tickLblPos val="nextTo"/>
        <c:crossAx val="983202816"/>
        <c:crossesAt val="-0.2"/>
        <c:auto val="1"/>
        <c:lblAlgn val="ctr"/>
        <c:lblOffset val="100"/>
        <c:noMultiLvlLbl val="0"/>
      </c:catAx>
      <c:valAx>
        <c:axId val="983202816"/>
        <c:scaling>
          <c:orientation val="minMax"/>
          <c:max val="0.70000000000000007"/>
          <c:min val="-0.2"/>
        </c:scaling>
        <c:delete val="0"/>
        <c:axPos val="l"/>
        <c:majorGridlines/>
        <c:numFmt formatCode="0%" sourceLinked="1"/>
        <c:majorTickMark val="out"/>
        <c:minorTickMark val="none"/>
        <c:tickLblPos val="nextTo"/>
        <c:crossAx val="983203648"/>
        <c:crosses val="autoZero"/>
        <c:crossBetween val="between"/>
      </c:valAx>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Typical averages</a:t>
            </a:r>
          </a:p>
        </c:rich>
      </c:tx>
      <c:layout>
        <c:manualLayout>
          <c:xMode val="edge"/>
          <c:yMode val="edge"/>
          <c:x val="0.75795283932621904"/>
          <c:y val="4.5101784182806394E-2"/>
        </c:manualLayout>
      </c:layout>
      <c:overlay val="0"/>
    </c:title>
    <c:autoTitleDeleted val="0"/>
    <c:plotArea>
      <c:layout>
        <c:manualLayout>
          <c:layoutTarget val="inner"/>
          <c:xMode val="edge"/>
          <c:yMode val="edge"/>
          <c:x val="0.10715301796650346"/>
          <c:y val="2.4680120070476499E-2"/>
          <c:w val="0.89120015337423297"/>
          <c:h val="0.89248936766467935"/>
        </c:manualLayout>
      </c:layout>
      <c:barChart>
        <c:barDir val="col"/>
        <c:grouping val="stacked"/>
        <c:varyColors val="0"/>
        <c:ser>
          <c:idx val="0"/>
          <c:order val="0"/>
          <c:invertIfNegative val="0"/>
          <c:dPt>
            <c:idx val="1"/>
            <c:invertIfNegative val="0"/>
            <c:bubble3D val="0"/>
            <c:spPr>
              <a:solidFill>
                <a:schemeClr val="accent6"/>
              </a:solidFill>
            </c:spPr>
            <c:extLst>
              <c:ext xmlns:c16="http://schemas.microsoft.com/office/drawing/2014/chart" uri="{C3380CC4-5D6E-409C-BE32-E72D297353CC}">
                <c16:uniqueId val="{00000000-DBB3-42B9-A891-843707988A62}"/>
              </c:ext>
            </c:extLst>
          </c:dPt>
          <c:dPt>
            <c:idx val="2"/>
            <c:invertIfNegative val="0"/>
            <c:bubble3D val="0"/>
            <c:spPr>
              <a:solidFill>
                <a:srgbClr val="FFC000"/>
              </a:solidFill>
            </c:spPr>
            <c:extLst>
              <c:ext xmlns:c16="http://schemas.microsoft.com/office/drawing/2014/chart" uri="{C3380CC4-5D6E-409C-BE32-E72D297353CC}">
                <c16:uniqueId val="{00000001-4A5E-4017-A51A-B968D085463D}"/>
              </c:ext>
            </c:extLst>
          </c:dPt>
          <c:dPt>
            <c:idx val="3"/>
            <c:invertIfNegative val="0"/>
            <c:bubble3D val="0"/>
            <c:spPr>
              <a:solidFill>
                <a:schemeClr val="accent1">
                  <a:lumMod val="75000"/>
                </a:schemeClr>
              </a:solidFill>
            </c:spPr>
            <c:extLst>
              <c:ext xmlns:c16="http://schemas.microsoft.com/office/drawing/2014/chart" uri="{C3380CC4-5D6E-409C-BE32-E72D297353CC}">
                <c16:uniqueId val="{00000002-4A5E-4017-A51A-B968D085463D}"/>
              </c:ext>
            </c:extLst>
          </c:dPt>
          <c:dPt>
            <c:idx val="4"/>
            <c:invertIfNegative val="0"/>
            <c:bubble3D val="0"/>
            <c:spPr>
              <a:solidFill>
                <a:srgbClr val="00B050"/>
              </a:solidFill>
            </c:spPr>
            <c:extLst>
              <c:ext xmlns:c16="http://schemas.microsoft.com/office/drawing/2014/chart" uri="{C3380CC4-5D6E-409C-BE32-E72D297353CC}">
                <c16:uniqueId val="{00000003-4A5E-4017-A51A-B968D085463D}"/>
              </c:ext>
            </c:extLst>
          </c:dPt>
          <c:dPt>
            <c:idx val="5"/>
            <c:invertIfNegative val="0"/>
            <c:bubble3D val="0"/>
            <c:spPr>
              <a:solidFill>
                <a:schemeClr val="accent1">
                  <a:lumMod val="50000"/>
                </a:schemeClr>
              </a:solidFill>
            </c:spPr>
            <c:extLst>
              <c:ext xmlns:c16="http://schemas.microsoft.com/office/drawing/2014/chart" uri="{C3380CC4-5D6E-409C-BE32-E72D297353CC}">
                <c16:uniqueId val="{00000004-4A5E-4017-A51A-B968D085463D}"/>
              </c:ext>
            </c:extLst>
          </c:dPt>
          <c:dPt>
            <c:idx val="6"/>
            <c:invertIfNegative val="0"/>
            <c:bubble3D val="0"/>
            <c:spPr>
              <a:solidFill>
                <a:srgbClr val="C00000"/>
              </a:solidFill>
            </c:spPr>
            <c:extLst>
              <c:ext xmlns:c16="http://schemas.microsoft.com/office/drawing/2014/chart" uri="{C3380CC4-5D6E-409C-BE32-E72D297353CC}">
                <c16:uniqueId val="{00000005-4A5E-4017-A51A-B968D085463D}"/>
              </c:ext>
            </c:extLst>
          </c:dPt>
          <c:dPt>
            <c:idx val="7"/>
            <c:invertIfNegative val="0"/>
            <c:bubble3D val="0"/>
            <c:spPr>
              <a:solidFill>
                <a:srgbClr val="92D050"/>
              </a:solidFill>
            </c:spPr>
            <c:extLst>
              <c:ext xmlns:c16="http://schemas.microsoft.com/office/drawing/2014/chart" uri="{C3380CC4-5D6E-409C-BE32-E72D297353CC}">
                <c16:uniqueId val="{00000006-4A5E-4017-A51A-B968D085463D}"/>
              </c:ext>
            </c:extLst>
          </c:dPt>
          <c:dPt>
            <c:idx val="8"/>
            <c:invertIfNegative val="0"/>
            <c:bubble3D val="0"/>
            <c:spPr>
              <a:solidFill>
                <a:srgbClr val="FF66FF"/>
              </a:solidFill>
            </c:spPr>
            <c:extLst>
              <c:ext xmlns:c16="http://schemas.microsoft.com/office/drawing/2014/chart" uri="{C3380CC4-5D6E-409C-BE32-E72D297353CC}">
                <c16:uniqueId val="{00000007-4A5E-4017-A51A-B968D085463D}"/>
              </c:ext>
            </c:extLst>
          </c:dPt>
          <c:dPt>
            <c:idx val="9"/>
            <c:invertIfNegative val="0"/>
            <c:bubble3D val="0"/>
            <c:spPr>
              <a:solidFill>
                <a:schemeClr val="bg2">
                  <a:lumMod val="75000"/>
                </a:schemeClr>
              </a:solidFill>
            </c:spPr>
            <c:extLst>
              <c:ext xmlns:c16="http://schemas.microsoft.com/office/drawing/2014/chart" uri="{C3380CC4-5D6E-409C-BE32-E72D297353CC}">
                <c16:uniqueId val="{00000008-4A5E-4017-A51A-B968D085463D}"/>
              </c:ext>
            </c:extLst>
          </c:dPt>
          <c:cat>
            <c:strRef>
              <c:f>'Data for graphs'!$A$2:$A$11</c:f>
              <c:strCache>
                <c:ptCount val="10"/>
                <c:pt idx="0">
                  <c:v>Enteric methane</c:v>
                </c:pt>
                <c:pt idx="1">
                  <c:v>Manure methane</c:v>
                </c:pt>
                <c:pt idx="2">
                  <c:v>Direct N2O animal waste</c:v>
                </c:pt>
                <c:pt idx="3">
                  <c:v>Indirect N2O animal waste</c:v>
                </c:pt>
                <c:pt idx="4">
                  <c:v>Direct N2O N fertiliser</c:v>
                </c:pt>
                <c:pt idx="5">
                  <c:v>Indirect N2O N fertiliser</c:v>
                </c:pt>
                <c:pt idx="6">
                  <c:v>Energy consumption</c:v>
                </c:pt>
                <c:pt idx="7">
                  <c:v>Urea and lime</c:v>
                </c:pt>
                <c:pt idx="8">
                  <c:v>Pre-farm embedded</c:v>
                </c:pt>
                <c:pt idx="9">
                  <c:v>Tree carbon sequestration</c:v>
                </c:pt>
              </c:strCache>
            </c:strRef>
          </c:cat>
          <c:val>
            <c:numRef>
              <c:f>'Data for graphs'!$E$2:$E$11</c:f>
              <c:numCache>
                <c:formatCode>0%</c:formatCode>
                <c:ptCount val="10"/>
                <c:pt idx="0">
                  <c:v>0.58372167049937007</c:v>
                </c:pt>
                <c:pt idx="1">
                  <c:v>9.4955936395255194E-2</c:v>
                </c:pt>
                <c:pt idx="2">
                  <c:v>4.1239722104155288E-2</c:v>
                </c:pt>
                <c:pt idx="3">
                  <c:v>2.3241057368152771E-2</c:v>
                </c:pt>
                <c:pt idx="4">
                  <c:v>3.2792125617042159E-2</c:v>
                </c:pt>
                <c:pt idx="5">
                  <c:v>1.8354476075361673E-2</c:v>
                </c:pt>
                <c:pt idx="6">
                  <c:v>6.6976970775986966E-2</c:v>
                </c:pt>
                <c:pt idx="7">
                  <c:v>1.7742002444044256E-2</c:v>
                </c:pt>
                <c:pt idx="8">
                  <c:v>0.12097603872063173</c:v>
                </c:pt>
                <c:pt idx="9">
                  <c:v>0</c:v>
                </c:pt>
              </c:numCache>
            </c:numRef>
          </c:val>
          <c:extLst>
            <c:ext xmlns:c16="http://schemas.microsoft.com/office/drawing/2014/chart" uri="{C3380CC4-5D6E-409C-BE32-E72D297353CC}">
              <c16:uniqueId val="{00000001-DBB3-42B9-A891-843707988A62}"/>
            </c:ext>
          </c:extLst>
        </c:ser>
        <c:dLbls>
          <c:showLegendKey val="0"/>
          <c:showVal val="0"/>
          <c:showCatName val="0"/>
          <c:showSerName val="0"/>
          <c:showPercent val="0"/>
          <c:showBubbleSize val="0"/>
        </c:dLbls>
        <c:gapWidth val="100"/>
        <c:overlap val="100"/>
        <c:axId val="760215744"/>
        <c:axId val="760214080"/>
      </c:barChart>
      <c:catAx>
        <c:axId val="760215744"/>
        <c:scaling>
          <c:orientation val="minMax"/>
        </c:scaling>
        <c:delete val="0"/>
        <c:axPos val="b"/>
        <c:numFmt formatCode="General" sourceLinked="1"/>
        <c:majorTickMark val="out"/>
        <c:minorTickMark val="none"/>
        <c:tickLblPos val="nextTo"/>
        <c:crossAx val="760214080"/>
        <c:crossesAt val="-0.2"/>
        <c:auto val="1"/>
        <c:lblAlgn val="ctr"/>
        <c:lblOffset val="100"/>
        <c:noMultiLvlLbl val="0"/>
      </c:catAx>
      <c:valAx>
        <c:axId val="760214080"/>
        <c:scaling>
          <c:orientation val="minMax"/>
          <c:min val="-0.2"/>
        </c:scaling>
        <c:delete val="0"/>
        <c:axPos val="l"/>
        <c:majorGridlines/>
        <c:numFmt formatCode="0%" sourceLinked="1"/>
        <c:majorTickMark val="out"/>
        <c:minorTickMark val="none"/>
        <c:tickLblPos val="nextTo"/>
        <c:crossAx val="760215744"/>
        <c:crosses val="autoZero"/>
        <c:crossBetween val="between"/>
      </c:valAx>
      <c:spPr>
        <a:noFill/>
        <a:ln w="25400">
          <a:noFill/>
        </a:ln>
      </c:spPr>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AU"/>
              <a:t>Carbon sequestration for forests</a:t>
            </a:r>
          </a:p>
        </c:rich>
      </c:tx>
      <c:overlay val="1"/>
    </c:title>
    <c:autoTitleDeleted val="0"/>
    <c:plotArea>
      <c:layout/>
      <c:lineChart>
        <c:grouping val="standard"/>
        <c:varyColors val="0"/>
        <c:ser>
          <c:idx val="0"/>
          <c:order val="0"/>
          <c:tx>
            <c:strRef>
              <c:f>'1990 methodology comparison'!$B$505</c:f>
              <c:strCache>
                <c:ptCount val="1"/>
                <c:pt idx="0">
                  <c:v>High</c:v>
                </c:pt>
              </c:strCache>
            </c:strRef>
          </c:tx>
          <c:val>
            <c:numRef>
              <c:f>'1990 methodology comparison'!$C$505:$AG$505</c:f>
            </c:numRef>
          </c:val>
          <c:smooth val="0"/>
          <c:extLst>
            <c:ext xmlns:c16="http://schemas.microsoft.com/office/drawing/2014/chart" uri="{C3380CC4-5D6E-409C-BE32-E72D297353CC}">
              <c16:uniqueId val="{00000000-B980-488F-947A-6E223FE52E2A}"/>
            </c:ext>
          </c:extLst>
        </c:ser>
        <c:ser>
          <c:idx val="1"/>
          <c:order val="1"/>
          <c:tx>
            <c:strRef>
              <c:f>'1990 methodology comparison'!$B$506</c:f>
              <c:strCache>
                <c:ptCount val="1"/>
                <c:pt idx="0">
                  <c:v>Med-High</c:v>
                </c:pt>
              </c:strCache>
            </c:strRef>
          </c:tx>
          <c:val>
            <c:numRef>
              <c:f>'1990 methodology comparison'!$C$506:$AG$506</c:f>
            </c:numRef>
          </c:val>
          <c:smooth val="0"/>
          <c:extLst>
            <c:ext xmlns:c16="http://schemas.microsoft.com/office/drawing/2014/chart" uri="{C3380CC4-5D6E-409C-BE32-E72D297353CC}">
              <c16:uniqueId val="{00000001-B980-488F-947A-6E223FE52E2A}"/>
            </c:ext>
          </c:extLst>
        </c:ser>
        <c:ser>
          <c:idx val="2"/>
          <c:order val="2"/>
          <c:tx>
            <c:strRef>
              <c:f>'1990 methodology comparison'!$B$507</c:f>
              <c:strCache>
                <c:ptCount val="1"/>
                <c:pt idx="0">
                  <c:v>Med</c:v>
                </c:pt>
              </c:strCache>
            </c:strRef>
          </c:tx>
          <c:val>
            <c:numRef>
              <c:f>'1990 methodology comparison'!$C$507:$AG$507</c:f>
            </c:numRef>
          </c:val>
          <c:smooth val="0"/>
          <c:extLst>
            <c:ext xmlns:c16="http://schemas.microsoft.com/office/drawing/2014/chart" uri="{C3380CC4-5D6E-409C-BE32-E72D297353CC}">
              <c16:uniqueId val="{00000002-B980-488F-947A-6E223FE52E2A}"/>
            </c:ext>
          </c:extLst>
        </c:ser>
        <c:ser>
          <c:idx val="3"/>
          <c:order val="3"/>
          <c:tx>
            <c:strRef>
              <c:f>'1990 methodology comparison'!$B$508</c:f>
              <c:strCache>
                <c:ptCount val="1"/>
                <c:pt idx="0">
                  <c:v>Med-Low</c:v>
                </c:pt>
              </c:strCache>
            </c:strRef>
          </c:tx>
          <c:val>
            <c:numRef>
              <c:f>'1990 methodology comparison'!$C$508:$AG$508</c:f>
            </c:numRef>
          </c:val>
          <c:smooth val="0"/>
          <c:extLst>
            <c:ext xmlns:c16="http://schemas.microsoft.com/office/drawing/2014/chart" uri="{C3380CC4-5D6E-409C-BE32-E72D297353CC}">
              <c16:uniqueId val="{00000003-B980-488F-947A-6E223FE52E2A}"/>
            </c:ext>
          </c:extLst>
        </c:ser>
        <c:ser>
          <c:idx val="4"/>
          <c:order val="4"/>
          <c:tx>
            <c:strRef>
              <c:f>'1990 methodology comparison'!$B$509</c:f>
              <c:strCache>
                <c:ptCount val="1"/>
                <c:pt idx="0">
                  <c:v>Low</c:v>
                </c:pt>
              </c:strCache>
            </c:strRef>
          </c:tx>
          <c:val>
            <c:numRef>
              <c:f>'1990 methodology comparison'!$C$509:$AG$509</c:f>
            </c:numRef>
          </c:val>
          <c:smooth val="0"/>
          <c:extLst>
            <c:ext xmlns:c16="http://schemas.microsoft.com/office/drawing/2014/chart" uri="{C3380CC4-5D6E-409C-BE32-E72D297353CC}">
              <c16:uniqueId val="{00000004-B980-488F-947A-6E223FE52E2A}"/>
            </c:ext>
          </c:extLst>
        </c:ser>
        <c:dLbls>
          <c:showLegendKey val="0"/>
          <c:showVal val="0"/>
          <c:showCatName val="0"/>
          <c:showSerName val="0"/>
          <c:showPercent val="0"/>
          <c:showBubbleSize val="0"/>
        </c:dLbls>
        <c:marker val="1"/>
        <c:smooth val="0"/>
        <c:axId val="346810032"/>
        <c:axId val="346810424"/>
      </c:lineChart>
      <c:catAx>
        <c:axId val="346810032"/>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AU"/>
                  <a:t>Years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6810424"/>
        <c:crosses val="autoZero"/>
        <c:auto val="1"/>
        <c:lblAlgn val="ctr"/>
        <c:lblOffset val="100"/>
        <c:tickLblSkip val="1"/>
        <c:noMultiLvlLbl val="0"/>
      </c:catAx>
      <c:valAx>
        <c:axId val="346810424"/>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AU"/>
                  <a:t>t CO2-e/ha (Inc trees and debris)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6810032"/>
        <c:crosses val="autoZero"/>
        <c:crossBetween val="between"/>
      </c:valAx>
    </c:plotArea>
    <c:legend>
      <c:legendPos val="r"/>
      <c:layout>
        <c:manualLayout>
          <c:xMode val="edge"/>
          <c:yMode val="edge"/>
          <c:x val="0.92304830048179765"/>
          <c:y val="0.30722891566265803"/>
          <c:w val="6.9608446497146412E-2"/>
          <c:h val="0.38554216867470337"/>
        </c:manualLayout>
      </c:layout>
      <c:overlay val="0"/>
      <c:txPr>
        <a:bodyPr/>
        <a:lstStyle/>
        <a:p>
          <a:pPr>
            <a:defRPr sz="101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88097162759601E-2"/>
          <c:y val="3.374411874080422E-2"/>
          <c:w val="0.92281005558715812"/>
          <c:h val="0.84738702323400539"/>
        </c:manualLayout>
      </c:layout>
      <c:barChart>
        <c:barDir val="col"/>
        <c:grouping val="clustered"/>
        <c:varyColors val="0"/>
        <c:ser>
          <c:idx val="1"/>
          <c:order val="0"/>
          <c:tx>
            <c:v>1990 methodology</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graphs'!$L$2:$L$9</c:f>
              <c:strCache>
                <c:ptCount val="8"/>
                <c:pt idx="0">
                  <c:v>Enteric methane</c:v>
                </c:pt>
                <c:pt idx="1">
                  <c:v>Manure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graphs'!$N$2:$N$9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A58-4BB1-B2DA-E4ACD25BAD62}"/>
            </c:ext>
          </c:extLst>
        </c:ser>
        <c:ser>
          <c:idx val="0"/>
          <c:order val="1"/>
          <c:tx>
            <c:v>Current 2022 methodology</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graphs'!$L$2:$L$9</c:f>
              <c:strCache>
                <c:ptCount val="8"/>
                <c:pt idx="0">
                  <c:v>Enteric methane</c:v>
                </c:pt>
                <c:pt idx="1">
                  <c:v>Manure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graphs'!$M$2:$M$9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CA58-4BB1-B2DA-E4ACD25BAD62}"/>
            </c:ext>
          </c:extLst>
        </c:ser>
        <c:dLbls>
          <c:showLegendKey val="0"/>
          <c:showVal val="0"/>
          <c:showCatName val="0"/>
          <c:showSerName val="0"/>
          <c:showPercent val="0"/>
          <c:showBubbleSize val="0"/>
        </c:dLbls>
        <c:gapWidth val="150"/>
        <c:axId val="346811600"/>
        <c:axId val="346811992"/>
      </c:barChart>
      <c:catAx>
        <c:axId val="346811600"/>
        <c:scaling>
          <c:orientation val="minMax"/>
        </c:scaling>
        <c:delete val="0"/>
        <c:axPos val="b"/>
        <c:numFmt formatCode="General" sourceLinked="0"/>
        <c:majorTickMark val="out"/>
        <c:minorTickMark val="none"/>
        <c:tickLblPos val="nextTo"/>
        <c:crossAx val="346811992"/>
        <c:crosses val="autoZero"/>
        <c:auto val="1"/>
        <c:lblAlgn val="ctr"/>
        <c:lblOffset val="100"/>
        <c:noMultiLvlLbl val="0"/>
      </c:catAx>
      <c:valAx>
        <c:axId val="346811992"/>
        <c:scaling>
          <c:orientation val="minMax"/>
        </c:scaling>
        <c:delete val="0"/>
        <c:axPos val="l"/>
        <c:title>
          <c:tx>
            <c:rich>
              <a:bodyPr/>
              <a:lstStyle/>
              <a:p>
                <a:pPr>
                  <a:defRPr/>
                </a:pPr>
                <a:r>
                  <a:rPr lang="en-US"/>
                  <a:t>Percentage of total farm emissions (%)</a:t>
                </a:r>
              </a:p>
            </c:rich>
          </c:tx>
          <c:layout>
            <c:manualLayout>
              <c:xMode val="edge"/>
              <c:yMode val="edge"/>
              <c:x val="6.0836501901140681E-3"/>
              <c:y val="0.26672250157641997"/>
            </c:manualLayout>
          </c:layout>
          <c:overlay val="0"/>
        </c:title>
        <c:numFmt formatCode="0%" sourceLinked="1"/>
        <c:majorTickMark val="out"/>
        <c:minorTickMark val="none"/>
        <c:tickLblPos val="nextTo"/>
        <c:crossAx val="346811600"/>
        <c:crosses val="autoZero"/>
        <c:crossBetween val="between"/>
      </c:valAx>
    </c:plotArea>
    <c:legend>
      <c:legendPos val="r"/>
      <c:layout>
        <c:manualLayout>
          <c:xMode val="edge"/>
          <c:yMode val="edge"/>
          <c:x val="0.71903148608325096"/>
          <c:y val="2.4973079597083218E-2"/>
          <c:w val="0.251564204664531"/>
          <c:h val="0.11227128436460841"/>
        </c:manualLayout>
      </c:layout>
      <c:overlay val="0"/>
      <c:txPr>
        <a:bodyPr/>
        <a:lstStyle/>
        <a:p>
          <a:pPr>
            <a:defRPr sz="16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88097162759601E-2"/>
          <c:y val="3.374411874080422E-2"/>
          <c:w val="0.92281005558715812"/>
          <c:h val="0.84738702323400539"/>
        </c:manualLayout>
      </c:layout>
      <c:barChart>
        <c:barDir val="col"/>
        <c:grouping val="clustered"/>
        <c:varyColors val="0"/>
        <c:ser>
          <c:idx val="1"/>
          <c:order val="0"/>
          <c:tx>
            <c:strRef>
              <c:f>'Data for graphs'!$R$1</c:f>
              <c:strCache>
                <c:ptCount val="1"/>
                <c:pt idx="0">
                  <c:v>2015 methodology</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graphs'!$L$2:$L$9</c:f>
              <c:strCache>
                <c:ptCount val="8"/>
                <c:pt idx="0">
                  <c:v>Enteric methane</c:v>
                </c:pt>
                <c:pt idx="1">
                  <c:v>Manure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graphs'!$R$2:$R$9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912-498C-AA48-B8060836D81B}"/>
            </c:ext>
          </c:extLst>
        </c:ser>
        <c:ser>
          <c:idx val="0"/>
          <c:order val="1"/>
          <c:tx>
            <c:strRef>
              <c:f>'Data for graphs'!$Q$1</c:f>
              <c:strCache>
                <c:ptCount val="1"/>
                <c:pt idx="0">
                  <c:v>Current 2022 methodology</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graphs'!$L$2:$L$9</c:f>
              <c:strCache>
                <c:ptCount val="8"/>
                <c:pt idx="0">
                  <c:v>Enteric methane</c:v>
                </c:pt>
                <c:pt idx="1">
                  <c:v>Manure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graphs'!$Q$2:$Q$9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8912-498C-AA48-B8060836D81B}"/>
            </c:ext>
          </c:extLst>
        </c:ser>
        <c:dLbls>
          <c:showLegendKey val="0"/>
          <c:showVal val="0"/>
          <c:showCatName val="0"/>
          <c:showSerName val="0"/>
          <c:showPercent val="0"/>
          <c:showBubbleSize val="0"/>
        </c:dLbls>
        <c:gapWidth val="150"/>
        <c:axId val="346811600"/>
        <c:axId val="346811992"/>
      </c:barChart>
      <c:catAx>
        <c:axId val="346811600"/>
        <c:scaling>
          <c:orientation val="minMax"/>
        </c:scaling>
        <c:delete val="0"/>
        <c:axPos val="b"/>
        <c:numFmt formatCode="General" sourceLinked="0"/>
        <c:majorTickMark val="out"/>
        <c:minorTickMark val="none"/>
        <c:tickLblPos val="nextTo"/>
        <c:crossAx val="346811992"/>
        <c:crosses val="autoZero"/>
        <c:auto val="1"/>
        <c:lblAlgn val="ctr"/>
        <c:lblOffset val="100"/>
        <c:noMultiLvlLbl val="0"/>
      </c:catAx>
      <c:valAx>
        <c:axId val="346811992"/>
        <c:scaling>
          <c:orientation val="minMax"/>
        </c:scaling>
        <c:delete val="0"/>
        <c:axPos val="l"/>
        <c:title>
          <c:tx>
            <c:rich>
              <a:bodyPr/>
              <a:lstStyle/>
              <a:p>
                <a:pPr>
                  <a:defRPr/>
                </a:pPr>
                <a:r>
                  <a:rPr lang="en-US"/>
                  <a:t>Percentage of total farm emissions (%)</a:t>
                </a:r>
              </a:p>
            </c:rich>
          </c:tx>
          <c:layout>
            <c:manualLayout>
              <c:xMode val="edge"/>
              <c:yMode val="edge"/>
              <c:x val="6.0836501901140681E-3"/>
              <c:y val="0.26672250157641997"/>
            </c:manualLayout>
          </c:layout>
          <c:overlay val="0"/>
        </c:title>
        <c:numFmt formatCode="0%" sourceLinked="1"/>
        <c:majorTickMark val="out"/>
        <c:minorTickMark val="none"/>
        <c:tickLblPos val="nextTo"/>
        <c:crossAx val="346811600"/>
        <c:crosses val="autoZero"/>
        <c:crossBetween val="between"/>
      </c:valAx>
    </c:plotArea>
    <c:legend>
      <c:legendPos val="r"/>
      <c:layout>
        <c:manualLayout>
          <c:xMode val="edge"/>
          <c:yMode val="edge"/>
          <c:x val="0.71903148608325096"/>
          <c:y val="2.4973079597083218E-2"/>
          <c:w val="0.251564204664531"/>
          <c:h val="0.11227128436460841"/>
        </c:manualLayout>
      </c:layout>
      <c:overlay val="0"/>
      <c:txPr>
        <a:bodyPr/>
        <a:lstStyle/>
        <a:p>
          <a:pPr>
            <a:defRPr sz="16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AU"/>
              <a:t>Carbon sequestration for forests</a:t>
            </a:r>
          </a:p>
        </c:rich>
      </c:tx>
      <c:overlay val="1"/>
    </c:title>
    <c:autoTitleDeleted val="0"/>
    <c:plotArea>
      <c:layout/>
      <c:lineChart>
        <c:grouping val="standard"/>
        <c:varyColors val="0"/>
        <c:ser>
          <c:idx val="0"/>
          <c:order val="0"/>
          <c:tx>
            <c:strRef>
              <c:f>'Baseline farm'!$B$525</c:f>
              <c:strCache>
                <c:ptCount val="1"/>
                <c:pt idx="0">
                  <c:v>Diesel </c:v>
                </c:pt>
              </c:strCache>
            </c:strRef>
          </c:tx>
          <c:val>
            <c:numRef>
              <c:f>'Baseline farm'!$C$525:$AG$525</c:f>
              <c:numCache>
                <c:formatCode>General</c:formatCode>
                <c:ptCount val="31"/>
                <c:pt idx="0">
                  <c:v>38.6</c:v>
                </c:pt>
                <c:pt idx="1">
                  <c:v>70.5</c:v>
                </c:pt>
                <c:pt idx="2">
                  <c:v>69.900000000000006</c:v>
                </c:pt>
                <c:pt idx="3">
                  <c:v>0.1</c:v>
                </c:pt>
                <c:pt idx="4">
                  <c:v>0.5</c:v>
                </c:pt>
                <c:pt idx="5">
                  <c:v>3.6</c:v>
                </c:pt>
                <c:pt idx="7" formatCode="0.000000">
                  <c:v>2.7213000000000003</c:v>
                </c:pt>
                <c:pt idx="8" formatCode="0.00">
                  <c:v>2.6981400000000004</c:v>
                </c:pt>
                <c:pt idx="9" formatCode="0.000">
                  <c:v>3.8600000000000001E-3</c:v>
                </c:pt>
                <c:pt idx="10" formatCode="0.000">
                  <c:v>1.9300000000000001E-2</c:v>
                </c:pt>
                <c:pt idx="12" formatCode="0.00">
                  <c:v>0.13896</c:v>
                </c:pt>
              </c:numCache>
            </c:numRef>
          </c:val>
          <c:smooth val="0"/>
          <c:extLst>
            <c:ext xmlns:c16="http://schemas.microsoft.com/office/drawing/2014/chart" uri="{C3380CC4-5D6E-409C-BE32-E72D297353CC}">
              <c16:uniqueId val="{00000000-44F9-4EF6-83ED-74ECC1BDC54C}"/>
            </c:ext>
          </c:extLst>
        </c:ser>
        <c:ser>
          <c:idx val="1"/>
          <c:order val="1"/>
          <c:tx>
            <c:strRef>
              <c:f>'Baseline farm'!$B$526</c:f>
              <c:strCache>
                <c:ptCount val="1"/>
              </c:strCache>
            </c:strRef>
          </c:tx>
          <c:val>
            <c:numRef>
              <c:f>'Baseline farm'!$C$526:$AG$526</c:f>
              <c:numCache>
                <c:formatCode>General</c:formatCode>
                <c:ptCount val="31"/>
              </c:numCache>
            </c:numRef>
          </c:val>
          <c:smooth val="0"/>
          <c:extLst>
            <c:ext xmlns:c16="http://schemas.microsoft.com/office/drawing/2014/chart" uri="{C3380CC4-5D6E-409C-BE32-E72D297353CC}">
              <c16:uniqueId val="{00000001-44F9-4EF6-83ED-74ECC1BDC54C}"/>
            </c:ext>
          </c:extLst>
        </c:ser>
        <c:ser>
          <c:idx val="2"/>
          <c:order val="2"/>
          <c:tx>
            <c:strRef>
              <c:f>'Baseline farm'!$B$527</c:f>
              <c:strCache>
                <c:ptCount val="1"/>
                <c:pt idx="0">
                  <c:v>Fuel type </c:v>
                </c:pt>
              </c:strCache>
            </c:strRef>
          </c:tx>
          <c:val>
            <c:numRef>
              <c:f>'Baseline farm'!$C$527:$AG$527</c:f>
              <c:numCache>
                <c:formatCode>General</c:formatCode>
                <c:ptCount val="31"/>
                <c:pt idx="0">
                  <c:v>0</c:v>
                </c:pt>
                <c:pt idx="1">
                  <c:v>0</c:v>
                </c:pt>
                <c:pt idx="2">
                  <c:v>0</c:v>
                </c:pt>
                <c:pt idx="6">
                  <c:v>0</c:v>
                </c:pt>
                <c:pt idx="9">
                  <c:v>0</c:v>
                </c:pt>
              </c:numCache>
            </c:numRef>
          </c:val>
          <c:smooth val="0"/>
          <c:extLst>
            <c:ext xmlns:c16="http://schemas.microsoft.com/office/drawing/2014/chart" uri="{C3380CC4-5D6E-409C-BE32-E72D297353CC}">
              <c16:uniqueId val="{00000002-44F9-4EF6-83ED-74ECC1BDC54C}"/>
            </c:ext>
          </c:extLst>
        </c:ser>
        <c:ser>
          <c:idx val="3"/>
          <c:order val="3"/>
          <c:tx>
            <c:strRef>
              <c:f>'Baseline farm'!$B$528</c:f>
              <c:strCache>
                <c:ptCount val="1"/>
              </c:strCache>
            </c:strRef>
          </c:tx>
          <c:val>
            <c:numRef>
              <c:f>'Baseline farm'!$C$528:$AG$528</c:f>
              <c:numCache>
                <c:formatCode>General</c:formatCode>
                <c:ptCount val="31"/>
                <c:pt idx="2">
                  <c:v>0</c:v>
                </c:pt>
                <c:pt idx="3">
                  <c:v>0</c:v>
                </c:pt>
                <c:pt idx="4">
                  <c:v>0</c:v>
                </c:pt>
                <c:pt idx="5">
                  <c:v>0</c:v>
                </c:pt>
                <c:pt idx="7">
                  <c:v>0</c:v>
                </c:pt>
              </c:numCache>
            </c:numRef>
          </c:val>
          <c:smooth val="0"/>
          <c:extLst>
            <c:ext xmlns:c16="http://schemas.microsoft.com/office/drawing/2014/chart" uri="{C3380CC4-5D6E-409C-BE32-E72D297353CC}">
              <c16:uniqueId val="{00000003-44F9-4EF6-83ED-74ECC1BDC54C}"/>
            </c:ext>
          </c:extLst>
        </c:ser>
        <c:ser>
          <c:idx val="4"/>
          <c:order val="4"/>
          <c:tx>
            <c:strRef>
              <c:f>'Baseline farm'!$B$529</c:f>
              <c:strCache>
                <c:ptCount val="1"/>
                <c:pt idx="0">
                  <c:v>Diesel</c:v>
                </c:pt>
              </c:strCache>
            </c:strRef>
          </c:tx>
          <c:val>
            <c:numRef>
              <c:f>'Baseline farm'!$C$529:$AG$529</c:f>
              <c:numCache>
                <c:formatCode>General</c:formatCode>
                <c:ptCount val="31"/>
                <c:pt idx="0" formatCode="#,##0">
                  <c:v>0</c:v>
                </c:pt>
                <c:pt idx="1">
                  <c:v>0</c:v>
                </c:pt>
                <c:pt idx="2" formatCode="0.00">
                  <c:v>0</c:v>
                </c:pt>
                <c:pt idx="3" formatCode="0.00">
                  <c:v>0</c:v>
                </c:pt>
                <c:pt idx="4" formatCode="0.00">
                  <c:v>0</c:v>
                </c:pt>
                <c:pt idx="5" formatCode="0.00">
                  <c:v>0</c:v>
                </c:pt>
                <c:pt idx="7" formatCode="0.00">
                  <c:v>0</c:v>
                </c:pt>
                <c:pt idx="9" formatCode="0.00">
                  <c:v>0</c:v>
                </c:pt>
              </c:numCache>
            </c:numRef>
          </c:val>
          <c:smooth val="0"/>
          <c:extLst>
            <c:ext xmlns:c16="http://schemas.microsoft.com/office/drawing/2014/chart" uri="{C3380CC4-5D6E-409C-BE32-E72D297353CC}">
              <c16:uniqueId val="{00000004-44F9-4EF6-83ED-74ECC1BDC54C}"/>
            </c:ext>
          </c:extLst>
        </c:ser>
        <c:dLbls>
          <c:showLegendKey val="0"/>
          <c:showVal val="0"/>
          <c:showCatName val="0"/>
          <c:showSerName val="0"/>
          <c:showPercent val="0"/>
          <c:showBubbleSize val="0"/>
        </c:dLbls>
        <c:marker val="1"/>
        <c:smooth val="0"/>
        <c:axId val="276798272"/>
        <c:axId val="276798664"/>
      </c:lineChart>
      <c:catAx>
        <c:axId val="276798272"/>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AU"/>
                  <a:t>Years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76798664"/>
        <c:crosses val="autoZero"/>
        <c:auto val="1"/>
        <c:lblAlgn val="ctr"/>
        <c:lblOffset val="100"/>
        <c:tickLblSkip val="1"/>
        <c:noMultiLvlLbl val="0"/>
      </c:catAx>
      <c:valAx>
        <c:axId val="276798664"/>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AU"/>
                  <a:t>t CO2-e/ha (Inc trees and debris)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76798272"/>
        <c:crosses val="autoZero"/>
        <c:crossBetween val="between"/>
      </c:valAx>
    </c:plotArea>
    <c:legend>
      <c:legendPos val="r"/>
      <c:layout>
        <c:manualLayout>
          <c:xMode val="edge"/>
          <c:yMode val="edge"/>
          <c:x val="0.92304830048179765"/>
          <c:y val="0.30722891566265803"/>
          <c:w val="6.9608446497146412E-2"/>
          <c:h val="0.38554216867470337"/>
        </c:manualLayout>
      </c:layout>
      <c:overlay val="0"/>
      <c:txPr>
        <a:bodyPr/>
        <a:lstStyle/>
        <a:p>
          <a:pPr>
            <a:defRPr sz="101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707079743085765E-2"/>
          <c:y val="3.8407953626421451E-2"/>
          <c:w val="0.93156625770615886"/>
          <c:h val="0.75116817736419261"/>
        </c:manualLayout>
      </c:layout>
      <c:barChart>
        <c:barDir val="col"/>
        <c:grouping val="clustered"/>
        <c:varyColors val="0"/>
        <c:ser>
          <c:idx val="0"/>
          <c:order val="0"/>
          <c:tx>
            <c:strRef>
              <c:f>'Data for graphs'!$I$1</c:f>
              <c:strCache>
                <c:ptCount val="1"/>
                <c:pt idx="0">
                  <c:v>Baseline farm</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7A28-490F-94F4-A69C40D9F091}"/>
              </c:ext>
            </c:extLst>
          </c:dPt>
          <c:cat>
            <c:multiLvlStrRef>
              <c:f>'Data for graphs'!$G$2:$H$15</c:f>
              <c:multiLvlStrCache>
                <c:ptCount val="14"/>
                <c:lvl>
                  <c:pt idx="0">
                    <c:v>Enteric fermentation</c:v>
                  </c:pt>
                  <c:pt idx="1">
                    <c:v>Manure management</c:v>
                  </c:pt>
                  <c:pt idx="2">
                    <c:v>Dung &amp; urine voided </c:v>
                  </c:pt>
                  <c:pt idx="3">
                    <c:v>Manure during storage and spread</c:v>
                  </c:pt>
                  <c:pt idx="4">
                    <c:v>Indirect N waste</c:v>
                  </c:pt>
                  <c:pt idx="5">
                    <c:v>Direct N fertiliser</c:v>
                  </c:pt>
                  <c:pt idx="6">
                    <c:v>Indirect N fertiliser</c:v>
                  </c:pt>
                  <c:pt idx="7">
                    <c:v>Electricity </c:v>
                  </c:pt>
                  <c:pt idx="8">
                    <c:v>Diesel and unleaded petrol</c:v>
                  </c:pt>
                  <c:pt idx="9">
                    <c:v>Urea and Lime</c:v>
                  </c:pt>
                  <c:pt idx="10">
                    <c:v>Grain/ concentrates</c:v>
                  </c:pt>
                  <c:pt idx="11">
                    <c:v>Forages</c:v>
                  </c:pt>
                  <c:pt idx="12">
                    <c:v>Fertilisers</c:v>
                  </c:pt>
                  <c:pt idx="13">
                    <c:v>Tree plantings (minus)</c:v>
                  </c:pt>
                </c:lvl>
                <c:lvl>
                  <c:pt idx="0">
                    <c:v>Methane</c:v>
                  </c:pt>
                  <c:pt idx="2">
                    <c:v>Nitrous oxide</c:v>
                  </c:pt>
                  <c:pt idx="7">
                    <c:v>Carbon dioxide:</c:v>
                  </c:pt>
                  <c:pt idx="10">
                    <c:v>Pre-farm embedded</c:v>
                  </c:pt>
                  <c:pt idx="13">
                    <c:v>Sequestration</c:v>
                  </c:pt>
                </c:lvl>
              </c:multiLvlStrCache>
            </c:multiLvlStrRef>
          </c:cat>
          <c:val>
            <c:numRef>
              <c:f>'Data for graphs'!$I$2:$I$15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7A28-490F-94F4-A69C40D9F091}"/>
            </c:ext>
          </c:extLst>
        </c:ser>
        <c:ser>
          <c:idx val="1"/>
          <c:order val="1"/>
          <c:tx>
            <c:strRef>
              <c:f>'Data for graphs'!$J$1</c:f>
              <c:strCache>
                <c:ptCount val="1"/>
                <c:pt idx="0">
                  <c:v>Strategy farm</c:v>
                </c:pt>
              </c:strCache>
            </c:strRef>
          </c:tx>
          <c:invertIfNegative val="0"/>
          <c:cat>
            <c:multiLvlStrRef>
              <c:f>'Data for graphs'!$G$2:$H$15</c:f>
              <c:multiLvlStrCache>
                <c:ptCount val="14"/>
                <c:lvl>
                  <c:pt idx="0">
                    <c:v>Enteric fermentation</c:v>
                  </c:pt>
                  <c:pt idx="1">
                    <c:v>Manure management</c:v>
                  </c:pt>
                  <c:pt idx="2">
                    <c:v>Dung &amp; urine voided </c:v>
                  </c:pt>
                  <c:pt idx="3">
                    <c:v>Manure during storage and spread</c:v>
                  </c:pt>
                  <c:pt idx="4">
                    <c:v>Indirect N waste</c:v>
                  </c:pt>
                  <c:pt idx="5">
                    <c:v>Direct N fertiliser</c:v>
                  </c:pt>
                  <c:pt idx="6">
                    <c:v>Indirect N fertiliser</c:v>
                  </c:pt>
                  <c:pt idx="7">
                    <c:v>Electricity </c:v>
                  </c:pt>
                  <c:pt idx="8">
                    <c:v>Diesel and unleaded petrol</c:v>
                  </c:pt>
                  <c:pt idx="9">
                    <c:v>Urea and Lime</c:v>
                  </c:pt>
                  <c:pt idx="10">
                    <c:v>Grain/ concentrates</c:v>
                  </c:pt>
                  <c:pt idx="11">
                    <c:v>Forages</c:v>
                  </c:pt>
                  <c:pt idx="12">
                    <c:v>Fertilisers</c:v>
                  </c:pt>
                  <c:pt idx="13">
                    <c:v>Tree plantings (minus)</c:v>
                  </c:pt>
                </c:lvl>
                <c:lvl>
                  <c:pt idx="0">
                    <c:v>Methane</c:v>
                  </c:pt>
                  <c:pt idx="2">
                    <c:v>Nitrous oxide</c:v>
                  </c:pt>
                  <c:pt idx="7">
                    <c:v>Carbon dioxide:</c:v>
                  </c:pt>
                  <c:pt idx="10">
                    <c:v>Pre-farm embedded</c:v>
                  </c:pt>
                  <c:pt idx="13">
                    <c:v>Sequestration</c:v>
                  </c:pt>
                </c:lvl>
              </c:multiLvlStrCache>
            </c:multiLvlStrRef>
          </c:cat>
          <c:val>
            <c:numRef>
              <c:f>'Data for graphs'!$J$2:$J$15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7A28-490F-94F4-A69C40D9F091}"/>
            </c:ext>
          </c:extLst>
        </c:ser>
        <c:dLbls>
          <c:showLegendKey val="0"/>
          <c:showVal val="0"/>
          <c:showCatName val="0"/>
          <c:showSerName val="0"/>
          <c:showPercent val="0"/>
          <c:showBubbleSize val="0"/>
        </c:dLbls>
        <c:gapWidth val="150"/>
        <c:axId val="347277472"/>
        <c:axId val="350664872"/>
      </c:barChart>
      <c:catAx>
        <c:axId val="347277472"/>
        <c:scaling>
          <c:orientation val="minMax"/>
        </c:scaling>
        <c:delete val="0"/>
        <c:axPos val="b"/>
        <c:numFmt formatCode="General" sourceLinked="0"/>
        <c:majorTickMark val="out"/>
        <c:minorTickMark val="none"/>
        <c:tickLblPos val="nextTo"/>
        <c:crossAx val="350664872"/>
        <c:crosses val="autoZero"/>
        <c:auto val="1"/>
        <c:lblAlgn val="ctr"/>
        <c:lblOffset val="100"/>
        <c:noMultiLvlLbl val="0"/>
      </c:catAx>
      <c:valAx>
        <c:axId val="350664872"/>
        <c:scaling>
          <c:orientation val="minMax"/>
        </c:scaling>
        <c:delete val="0"/>
        <c:axPos val="l"/>
        <c:title>
          <c:tx>
            <c:rich>
              <a:bodyPr/>
              <a:lstStyle/>
              <a:p>
                <a:pPr>
                  <a:defRPr/>
                </a:pPr>
                <a:r>
                  <a:rPr lang="en-US"/>
                  <a:t>Emissions intensity (kg CO</a:t>
                </a:r>
                <a:r>
                  <a:rPr lang="en-US" baseline="-25000"/>
                  <a:t>2</a:t>
                </a:r>
                <a:r>
                  <a:rPr lang="en-US"/>
                  <a:t>e/kg FPCM) after proportion of emissions allocated</a:t>
                </a:r>
                <a:r>
                  <a:rPr lang="en-US" baseline="0"/>
                  <a:t> to meat production</a:t>
                </a:r>
                <a:endParaRPr lang="en-US"/>
              </a:p>
            </c:rich>
          </c:tx>
          <c:layout>
            <c:manualLayout>
              <c:xMode val="edge"/>
              <c:yMode val="edge"/>
              <c:x val="2.0857783569620003E-3"/>
              <c:y val="0.11924798230743343"/>
            </c:manualLayout>
          </c:layout>
          <c:overlay val="0"/>
        </c:title>
        <c:numFmt formatCode="General" sourceLinked="1"/>
        <c:majorTickMark val="out"/>
        <c:minorTickMark val="none"/>
        <c:tickLblPos val="nextTo"/>
        <c:crossAx val="347277472"/>
        <c:crosses val="autoZero"/>
        <c:crossBetween val="between"/>
      </c:valAx>
      <c:spPr>
        <a:noFill/>
        <a:ln w="25400">
          <a:noFill/>
        </a:ln>
      </c:spPr>
    </c:plotArea>
    <c:legend>
      <c:legendPos val="r"/>
      <c:layout>
        <c:manualLayout>
          <c:xMode val="edge"/>
          <c:yMode val="edge"/>
          <c:x val="0.73748092534944765"/>
          <c:y val="7.2788371385881886E-2"/>
          <c:w val="0.175309772324971"/>
          <c:h val="9.7122069406799766E-2"/>
        </c:manualLayout>
      </c:layout>
      <c:overlay val="0"/>
      <c:txPr>
        <a:bodyPr/>
        <a:lstStyle/>
        <a:p>
          <a:pPr>
            <a:defRPr sz="16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Spin" dx="20" fmlaLink="$C$236" inc="25" max="30000" page="10" val="0"/>
</file>

<file path=xl/ctrlProps/ctrlProp10.xml><?xml version="1.0" encoding="utf-8"?>
<formControlPr xmlns="http://schemas.microsoft.com/office/spreadsheetml/2009/9/main" objectType="Spin" dx="16" fmlaLink="$C$57" inc="5" max="365" page="10" val="365"/>
</file>

<file path=xl/ctrlProps/ctrlProp11.xml><?xml version="1.0" encoding="utf-8"?>
<formControlPr xmlns="http://schemas.microsoft.com/office/spreadsheetml/2009/9/main" objectType="Spin" dx="16" fmlaLink="$C$63" max="30000" page="10" val="200"/>
</file>

<file path=xl/ctrlProps/ctrlProp12.xml><?xml version="1.0" encoding="utf-8"?>
<formControlPr xmlns="http://schemas.microsoft.com/office/spreadsheetml/2009/9/main" objectType="Spin" dx="16" fmlaLink="$C$64" max="30000" page="10" val="220"/>
</file>

<file path=xl/ctrlProps/ctrlProp13.xml><?xml version="1.0" encoding="utf-8"?>
<formControlPr xmlns="http://schemas.microsoft.com/office/spreadsheetml/2009/9/main" objectType="Spin" dx="16" fmlaLink="$C$65" inc="2" max="730" page="10" val="482"/>
</file>

<file path=xl/ctrlProps/ctrlProp14.xml><?xml version="1.0" encoding="utf-8"?>
<formControlPr xmlns="http://schemas.microsoft.com/office/spreadsheetml/2009/9/main" objectType="Spin" dx="16" fmlaLink="$C$68" max="30000" page="10" val="60"/>
</file>

<file path=xl/ctrlProps/ctrlProp15.xml><?xml version="1.0" encoding="utf-8"?>
<formControlPr xmlns="http://schemas.microsoft.com/office/spreadsheetml/2009/9/main" objectType="Spin" dx="16" fmlaLink="$C$69" inc="25" max="30000" page="10" val="3000"/>
</file>

<file path=xl/ctrlProps/ctrlProp16.xml><?xml version="1.0" encoding="utf-8"?>
<formControlPr xmlns="http://schemas.microsoft.com/office/spreadsheetml/2009/9/main" objectType="Spin" dx="16" fmlaLink="$C$66" max="150" min="1" page="10" val="65"/>
</file>

<file path=xl/ctrlProps/ctrlProp17.xml><?xml version="1.0" encoding="utf-8"?>
<formControlPr xmlns="http://schemas.microsoft.com/office/spreadsheetml/2009/9/main" objectType="Spin" dx="16" fmlaLink="$C$67" max="12" min="1" page="10" val="4"/>
</file>

<file path=xl/ctrlProps/ctrlProp18.xml><?xml version="1.0" encoding="utf-8"?>
<formControlPr xmlns="http://schemas.microsoft.com/office/spreadsheetml/2009/9/main" objectType="Spin" dx="16" fmlaLink="$C$70" inc="20" max="30000" min="1" page="10" val="50"/>
</file>

<file path=xl/ctrlProps/ctrlProp19.xml><?xml version="1.0" encoding="utf-8"?>
<formControlPr xmlns="http://schemas.microsoft.com/office/spreadsheetml/2009/9/main" objectType="Spin" dx="16" fmlaLink="$C$70" inc="10" max="30000" page="10" val="50"/>
</file>

<file path=xl/ctrlProps/ctrlProp2.xml><?xml version="1.0" encoding="utf-8"?>
<formControlPr xmlns="http://schemas.microsoft.com/office/spreadsheetml/2009/9/main" objectType="Spin" dx="20" fmlaLink="$C$237" inc="25" max="30000" page="10" val="0"/>
</file>

<file path=xl/ctrlProps/ctrlProp20.xml><?xml version="1.0" encoding="utf-8"?>
<formControlPr xmlns="http://schemas.microsoft.com/office/spreadsheetml/2009/9/main" objectType="Spin" dx="16" fmlaLink="$C$50" max="30000" page="10" val="100"/>
</file>

<file path=xl/ctrlProps/ctrlProp21.xml><?xml version="1.0" encoding="utf-8"?>
<formControlPr xmlns="http://schemas.microsoft.com/office/spreadsheetml/2009/9/main" objectType="Spin" dx="16" fmlaLink="$C$51" max="30000" page="10" val="105"/>
</file>

<file path=xl/ctrlProps/ctrlProp22.xml><?xml version="1.0" encoding="utf-8"?>
<formControlPr xmlns="http://schemas.microsoft.com/office/spreadsheetml/2009/9/main" objectType="Spin" dx="16" fmlaLink="#REF!" max="30000" page="10" val="485"/>
</file>

<file path=xl/ctrlProps/ctrlProp23.xml><?xml version="1.0" encoding="utf-8"?>
<formControlPr xmlns="http://schemas.microsoft.com/office/spreadsheetml/2009/9/main" objectType="Spin" dx="16" fmlaLink="$C$53" max="30000" page="10" val="60"/>
</file>

<file path=xl/ctrlProps/ctrlProp24.xml><?xml version="1.0" encoding="utf-8"?>
<formControlPr xmlns="http://schemas.microsoft.com/office/spreadsheetml/2009/9/main" objectType="Spin" dx="16" fmlaLink="$C$54" inc="25" max="30000" page="10" val="3000"/>
</file>

<file path=xl/ctrlProps/ctrlProp25.xml><?xml version="1.0" encoding="utf-8"?>
<formControlPr xmlns="http://schemas.microsoft.com/office/spreadsheetml/2009/9/main" objectType="Spin" dx="16" fmlaLink="#REF!" max="150" min="1" page="10" val="60"/>
</file>

<file path=xl/ctrlProps/ctrlProp26.xml><?xml version="1.0" encoding="utf-8"?>
<formControlPr xmlns="http://schemas.microsoft.com/office/spreadsheetml/2009/9/main" objectType="Spin" dx="16" fmlaLink="#REF!" max="12" min="1" page="10" val="4"/>
</file>

<file path=xl/ctrlProps/ctrlProp27.xml><?xml version="1.0" encoding="utf-8"?>
<formControlPr xmlns="http://schemas.microsoft.com/office/spreadsheetml/2009/9/main" objectType="Spin" dx="16" fmlaLink="$C$52" inc="25" max="30000" page="10" val="1800"/>
</file>

<file path=xl/ctrlProps/ctrlProp28.xml><?xml version="1.0" encoding="utf-8"?>
<formControlPr xmlns="http://schemas.microsoft.com/office/spreadsheetml/2009/9/main" objectType="Spin" dx="16" fmlaLink="$C$83" max="200" page="10" val="40"/>
</file>

<file path=xl/ctrlProps/ctrlProp29.xml><?xml version="1.0" encoding="utf-8"?>
<formControlPr xmlns="http://schemas.microsoft.com/office/spreadsheetml/2009/9/main" objectType="Spin" dx="16" fmlaLink="$C$77" inc="5" max="1000" page="10" val="720"/>
</file>

<file path=xl/ctrlProps/ctrlProp3.xml><?xml version="1.0" encoding="utf-8"?>
<formControlPr xmlns="http://schemas.microsoft.com/office/spreadsheetml/2009/9/main" objectType="Spin" dx="20" fmlaLink="$C$238" inc="5" max="30000" page="10" val="600"/>
</file>

<file path=xl/ctrlProps/ctrlProp30.xml><?xml version="1.0" encoding="utf-8"?>
<formControlPr xmlns="http://schemas.microsoft.com/office/spreadsheetml/2009/9/main" objectType="Spin" dx="16" fmlaLink="$C$84" inc="5" max="1000" page="10" val="800"/>
</file>

<file path=xl/ctrlProps/ctrlProp31.xml><?xml version="1.0" encoding="utf-8"?>
<formControlPr xmlns="http://schemas.microsoft.com/office/spreadsheetml/2009/9/main" objectType="Spin" dx="16" fmlaLink="$C$87" inc="5" max="30000" page="10" val="300"/>
</file>

<file path=xl/ctrlProps/ctrlProp32.xml><?xml version="1.0" encoding="utf-8"?>
<formControlPr xmlns="http://schemas.microsoft.com/office/spreadsheetml/2009/9/main" objectType="Spin" dx="16" fmlaLink="$C$80" inc="5" max="30000" page="10" val="600"/>
</file>

<file path=xl/ctrlProps/ctrlProp33.xml><?xml version="1.0" encoding="utf-8"?>
<formControlPr xmlns="http://schemas.microsoft.com/office/spreadsheetml/2009/9/main" objectType="Spin" dx="16" fmlaLink="$C$82" inc="25" max="30000" page="10" val="3000"/>
</file>

<file path=xl/ctrlProps/ctrlProp34.xml><?xml version="1.0" encoding="utf-8"?>
<formControlPr xmlns="http://schemas.microsoft.com/office/spreadsheetml/2009/9/main" objectType="Spin" dx="16" fmlaLink="$C$88" inc="5" max="365" page="10" val="150"/>
</file>

<file path=xl/ctrlProps/ctrlProp35.xml><?xml version="1.0" encoding="utf-8"?>
<formControlPr xmlns="http://schemas.microsoft.com/office/spreadsheetml/2009/9/main" objectType="Spin" dx="16" fmlaLink="$C$86" max="1000" page="10" val="100"/>
</file>

<file path=xl/ctrlProps/ctrlProp36.xml><?xml version="1.0" encoding="utf-8"?>
<formControlPr xmlns="http://schemas.microsoft.com/office/spreadsheetml/2009/9/main" objectType="Spin" dx="16" fmlaLink="$C$79" inc="5" max="30000" page="10" val="250"/>
</file>

<file path=xl/ctrlProps/ctrlProp37.xml><?xml version="1.0" encoding="utf-8"?>
<formControlPr xmlns="http://schemas.microsoft.com/office/spreadsheetml/2009/9/main" objectType="Spin" dx="16" fmlaLink="$C$75" max="1000" page="10" val="40"/>
</file>

<file path=xl/ctrlProps/ctrlProp38.xml><?xml version="1.0" encoding="utf-8"?>
<formControlPr xmlns="http://schemas.microsoft.com/office/spreadsheetml/2009/9/main" objectType="Spin" dx="16" fmlaLink="$C$76" max="1000" page="10" val="30"/>
</file>

<file path=xl/ctrlProps/ctrlProp39.xml><?xml version="1.0" encoding="utf-8"?>
<formControlPr xmlns="http://schemas.microsoft.com/office/spreadsheetml/2009/9/main" objectType="Spin" dx="16" fmlaLink="#REF!" inc="5" max="30000" page="10" val="180"/>
</file>

<file path=xl/ctrlProps/ctrlProp4.xml><?xml version="1.0" encoding="utf-8"?>
<formControlPr xmlns="http://schemas.microsoft.com/office/spreadsheetml/2009/9/main" objectType="Spin" dx="20" fmlaLink="$C$239" inc="25" max="30000" page="10" val="3000"/>
</file>

<file path=xl/ctrlProps/ctrlProp40.xml><?xml version="1.0" encoding="utf-8"?>
<formControlPr xmlns="http://schemas.microsoft.com/office/spreadsheetml/2009/9/main" objectType="Spin" dx="16" fmlaLink="$C$85" inc="5" max="30000" page="10" val="120"/>
</file>

<file path=xl/ctrlProps/ctrlProp41.xml><?xml version="1.0" encoding="utf-8"?>
<formControlPr xmlns="http://schemas.microsoft.com/office/spreadsheetml/2009/9/main" objectType="Spin" dx="16" fmlaLink="$C$81" inc="5" max="30000" page="10" val="600"/>
</file>

<file path=xl/ctrlProps/ctrlProp42.xml><?xml version="1.0" encoding="utf-8"?>
<formControlPr xmlns="http://schemas.microsoft.com/office/spreadsheetml/2009/9/main" objectType="Spin" dx="16" fmlaLink="$C$78" inc="2" max="1000" page="10" val="170"/>
</file>

<file path=xl/ctrlProps/ctrlProp43.xml><?xml version="1.0" encoding="utf-8"?>
<formControlPr xmlns="http://schemas.microsoft.com/office/spreadsheetml/2009/9/main" objectType="Spin" dx="16" fmlaLink="$C$85" inc="2" max="1000" page="10" val="120"/>
</file>

<file path=xl/ctrlProps/ctrlProp44.xml><?xml version="1.0" encoding="utf-8"?>
<formControlPr xmlns="http://schemas.microsoft.com/office/spreadsheetml/2009/9/main" objectType="Spin" dx="16" fmlaLink="$C$68" max="1000" page="10" val="40"/>
</file>

<file path=xl/ctrlProps/ctrlProp45.xml><?xml version="1.0" encoding="utf-8"?>
<formControlPr xmlns="http://schemas.microsoft.com/office/spreadsheetml/2009/9/main" objectType="Spin" dx="16" fmlaLink="$C$72" max="1000" page="10" val="130"/>
</file>

<file path=xl/ctrlProps/ctrlProp46.xml><?xml version="1.0" encoding="utf-8"?>
<formControlPr xmlns="http://schemas.microsoft.com/office/spreadsheetml/2009/9/main" objectType="Spin" dx="16" fmlaLink="$C$70" inc="5" max="1000" page="10" val="800"/>
</file>

<file path=xl/ctrlProps/ctrlProp47.xml><?xml version="1.0" encoding="utf-8"?>
<formControlPr xmlns="http://schemas.microsoft.com/office/spreadsheetml/2009/9/main" objectType="Spin" dx="16" fmlaLink="$C$73" inc="5" max="365" page="10" val="150"/>
</file>

<file path=xl/ctrlProps/ctrlProp48.xml><?xml version="1.0" encoding="utf-8"?>
<formControlPr xmlns="http://schemas.microsoft.com/office/spreadsheetml/2009/9/main" objectType="Spin" dx="16" fmlaLink="$C$75" inc="5" max="100" page="10" val="80"/>
</file>

<file path=xl/ctrlProps/ctrlProp49.xml><?xml version="1.0" encoding="utf-8"?>
<formControlPr xmlns="http://schemas.microsoft.com/office/spreadsheetml/2009/9/main" objectType="Spin" dx="16" fmlaLink="$C$74" inc="5" max="30000" page="10" val="300"/>
</file>

<file path=xl/ctrlProps/ctrlProp5.xml><?xml version="1.0" encoding="utf-8"?>
<formControlPr xmlns="http://schemas.microsoft.com/office/spreadsheetml/2009/9/main" objectType="Spin" dx="16" fmlaLink="$C$54" inc="2" max="1000" page="10" val="300"/>
</file>

<file path=xl/ctrlProps/ctrlProp50.xml><?xml version="1.0" encoding="utf-8"?>
<formControlPr xmlns="http://schemas.microsoft.com/office/spreadsheetml/2009/9/main" objectType="Spin" dx="16" fmlaLink="$C$76" inc="5" max="30000" page="10" val="600"/>
</file>

<file path=xl/ctrlProps/ctrlProp51.xml><?xml version="1.0" encoding="utf-8"?>
<formControlPr xmlns="http://schemas.microsoft.com/office/spreadsheetml/2009/9/main" objectType="Spin" dx="16" fmlaLink="$C$78" inc="25" max="30000" page="10" val="3000"/>
</file>

<file path=xl/ctrlProps/ctrlProp52.xml><?xml version="1.0" encoding="utf-8"?>
<formControlPr xmlns="http://schemas.microsoft.com/office/spreadsheetml/2009/9/main" objectType="Spin" dx="16" fmlaLink="$C$77" inc="5" max="30000" page="10" val="600"/>
</file>

<file path=xl/ctrlProps/ctrlProp53.xml><?xml version="1.0" encoding="utf-8"?>
<formControlPr xmlns="http://schemas.microsoft.com/office/spreadsheetml/2009/9/main" objectType="Spin" dx="16" fmlaLink="$C$69" max="200" page="10" val="20"/>
</file>

<file path=xl/ctrlProps/ctrlProp54.xml><?xml version="1.0" encoding="utf-8"?>
<formControlPr xmlns="http://schemas.microsoft.com/office/spreadsheetml/2009/9/main" objectType="Spin" dx="16" fmlaLink="$C$71" inc="2" max="1000" page="10" val="120"/>
</file>

<file path=xl/ctrlProps/ctrlProp55.xml><?xml version="1.0" encoding="utf-8"?>
<formControlPr xmlns="http://schemas.microsoft.com/office/spreadsheetml/2009/9/main" objectType="Spin" dx="16" fmlaLink="$C$65" inc="5" max="1000" page="10" val="780"/>
</file>

<file path=xl/ctrlProps/ctrlProp56.xml><?xml version="1.0" encoding="utf-8"?>
<formControlPr xmlns="http://schemas.microsoft.com/office/spreadsheetml/2009/9/main" objectType="Spin" dx="16" fmlaLink="$C$67" inc="5" max="365" page="10" val="365"/>
</file>

<file path=xl/ctrlProps/ctrlProp57.xml><?xml version="1.0" encoding="utf-8"?>
<formControlPr xmlns="http://schemas.microsoft.com/office/spreadsheetml/2009/9/main" objectType="Spin" dx="16" fmlaLink="$C$68" inc="100" max="30000" page="10" val="5000"/>
</file>

<file path=xl/ctrlProps/ctrlProp58.xml><?xml version="1.0" encoding="utf-8"?>
<formControlPr xmlns="http://schemas.microsoft.com/office/spreadsheetml/2009/9/main" objectType="Spin" dx="16" fmlaLink="$C$69" inc="5" max="30000" page="10" val="600"/>
</file>

<file path=xl/ctrlProps/ctrlProp59.xml><?xml version="1.0" encoding="utf-8"?>
<formControlPr xmlns="http://schemas.microsoft.com/office/spreadsheetml/2009/9/main" objectType="Spin" dx="16" fmlaLink="$C$71" inc="25" max="30000" page="10" val="3000"/>
</file>

<file path=xl/ctrlProps/ctrlProp6.xml><?xml version="1.0" encoding="utf-8"?>
<formControlPr xmlns="http://schemas.microsoft.com/office/spreadsheetml/2009/9/main" objectType="Spin" dx="16" fmlaLink="$C$55" max="30000" page="10" val="50"/>
</file>

<file path=xl/ctrlProps/ctrlProp60.xml><?xml version="1.0" encoding="utf-8"?>
<formControlPr xmlns="http://schemas.microsoft.com/office/spreadsheetml/2009/9/main" objectType="Spin" dx="16" fmlaLink="$C$70" inc="5" max="30000" page="10" val="600"/>
</file>

<file path=xl/ctrlProps/ctrlProp61.xml><?xml version="1.0" encoding="utf-8"?>
<formControlPr xmlns="http://schemas.microsoft.com/office/spreadsheetml/2009/9/main" objectType="Spin" dx="16" fmlaLink="$C$66" inc="2" max="1000" page="10" val="170"/>
</file>

<file path=xl/ctrlProps/ctrlProp62.xml><?xml version="1.0" encoding="utf-8"?>
<formControlPr xmlns="http://schemas.microsoft.com/office/spreadsheetml/2009/9/main" objectType="Spin" dx="16" fmlaLink="$C$65" max="100" page="10" val="20"/>
</file>

<file path=xl/ctrlProps/ctrlProp63.xml><?xml version="1.0" encoding="utf-8"?>
<formControlPr xmlns="http://schemas.microsoft.com/office/spreadsheetml/2009/9/main" objectType="Spin" dx="16" fmlaLink="$C$66" inc="5" max="1000" page="10" val="820"/>
</file>

<file path=xl/ctrlProps/ctrlProp64.xml><?xml version="1.0" encoding="utf-8"?>
<formControlPr xmlns="http://schemas.microsoft.com/office/spreadsheetml/2009/9/main" objectType="Spin" dx="16" fmlaLink="$C$68" inc="5" max="100" page="10" val="100"/>
</file>

<file path=xl/ctrlProps/ctrlProp65.xml><?xml version="1.0" encoding="utf-8"?>
<formControlPr xmlns="http://schemas.microsoft.com/office/spreadsheetml/2009/9/main" objectType="Spin" dx="16" fmlaLink="$C$69" inc="5" max="365" page="10" val="150"/>
</file>

<file path=xl/ctrlProps/ctrlProp66.xml><?xml version="1.0" encoding="utf-8"?>
<formControlPr xmlns="http://schemas.microsoft.com/office/spreadsheetml/2009/9/main" objectType="Spin" dx="16" fmlaLink="$C$70" inc="5" max="30000" page="10" val="150"/>
</file>

<file path=xl/ctrlProps/ctrlProp67.xml><?xml version="1.0" encoding="utf-8"?>
<formControlPr xmlns="http://schemas.microsoft.com/office/spreadsheetml/2009/9/main" objectType="Spin" dx="16" fmlaLink="$C$71" inc="5" max="30000" page="10" val="600"/>
</file>

<file path=xl/ctrlProps/ctrlProp68.xml><?xml version="1.0" encoding="utf-8"?>
<formControlPr xmlns="http://schemas.microsoft.com/office/spreadsheetml/2009/9/main" objectType="Spin" dx="16" fmlaLink="$C$73" inc="25" max="30000" page="10" val="3000"/>
</file>

<file path=xl/ctrlProps/ctrlProp69.xml><?xml version="1.0" encoding="utf-8"?>
<formControlPr xmlns="http://schemas.microsoft.com/office/spreadsheetml/2009/9/main" objectType="Spin" dx="16" fmlaLink="$C$72" inc="5" max="30000" page="10" val="600"/>
</file>

<file path=xl/ctrlProps/ctrlProp7.xml><?xml version="1.0" encoding="utf-8"?>
<formControlPr xmlns="http://schemas.microsoft.com/office/spreadsheetml/2009/9/main" objectType="Spin" dx="16" fmlaLink="$C$56" inc="5" max="1000" page="10" val="20"/>
</file>

<file path=xl/ctrlProps/ctrlProp70.xml><?xml version="1.0" encoding="utf-8"?>
<formControlPr xmlns="http://schemas.microsoft.com/office/spreadsheetml/2009/9/main" objectType="Spin" dx="16" fmlaLink="$C$67" inc="2" max="1000" page="10" val="120"/>
</file>

<file path=xl/ctrlProps/ctrlProp71.xml><?xml version="1.0" encoding="utf-8"?>
<formControlPr xmlns="http://schemas.microsoft.com/office/spreadsheetml/2009/9/main" objectType="Spin" dx="16" fmlaLink="$C$71" max="100" page="10" val="100"/>
</file>

<file path=xl/ctrlProps/ctrlProp72.xml><?xml version="1.0" encoding="utf-8"?>
<formControlPr xmlns="http://schemas.microsoft.com/office/spreadsheetml/2009/9/main" objectType="Spin" dx="16" fmlaLink="$C$69" max="100" page="10" val="30"/>
</file>

<file path=xl/ctrlProps/ctrlProp73.xml><?xml version="1.0" encoding="utf-8"?>
<formControlPr xmlns="http://schemas.microsoft.com/office/spreadsheetml/2009/9/main" objectType="Spin" dx="16" fmlaLink="$C$72" max="100" page="10" val="40"/>
</file>

<file path=xl/ctrlProps/ctrlProp74.xml><?xml version="1.0" encoding="utf-8"?>
<formControlPr xmlns="http://schemas.microsoft.com/office/spreadsheetml/2009/9/main" objectType="Spin" dx="16" fmlaLink="$C$73" inc="10" max="10000" page="10" val="1300"/>
</file>

<file path=xl/ctrlProps/ctrlProp75.xml><?xml version="1.0" encoding="utf-8"?>
<formControlPr xmlns="http://schemas.microsoft.com/office/spreadsheetml/2009/9/main" objectType="Spin" dx="16" fmlaLink="$C$74" inc="10" max="10000" page="10" val="1500"/>
</file>

<file path=xl/ctrlProps/ctrlProp76.xml><?xml version="1.0" encoding="utf-8"?>
<formControlPr xmlns="http://schemas.microsoft.com/office/spreadsheetml/2009/9/main" objectType="Spin" dx="16" fmlaLink="$C$75" inc="5" max="5000" page="10" val="200"/>
</file>

<file path=xl/ctrlProps/ctrlProp77.xml><?xml version="1.0" encoding="utf-8"?>
<formControlPr xmlns="http://schemas.microsoft.com/office/spreadsheetml/2009/9/main" objectType="Spin" dx="16" fmlaLink="$C$76" max="10000" page="10" val="100"/>
</file>

<file path=xl/ctrlProps/ctrlProp78.xml><?xml version="1.0" encoding="utf-8"?>
<formControlPr xmlns="http://schemas.microsoft.com/office/spreadsheetml/2009/9/main" objectType="Spin" dx="16" fmlaLink="$C$78" max="100" page="10" val="75"/>
</file>

<file path=xl/ctrlProps/ctrlProp79.xml><?xml version="1.0" encoding="utf-8"?>
<formControlPr xmlns="http://schemas.microsoft.com/office/spreadsheetml/2009/9/main" objectType="Spin" dx="16" fmlaLink="$C$81" inc="25" max="30000" page="10" val="3000"/>
</file>

<file path=xl/ctrlProps/ctrlProp8.xml><?xml version="1.0" encoding="utf-8"?>
<formControlPr xmlns="http://schemas.microsoft.com/office/spreadsheetml/2009/9/main" objectType="Spin" dx="16" fmlaLink="$C$58" max="30000" page="10" val="60"/>
</file>

<file path=xl/ctrlProps/ctrlProp80.xml><?xml version="1.0" encoding="utf-8"?>
<formControlPr xmlns="http://schemas.microsoft.com/office/spreadsheetml/2009/9/main" objectType="Spin" dx="16" fmlaLink="$C$77" max="10000" page="10" val="110"/>
</file>

<file path=xl/ctrlProps/ctrlProp81.xml><?xml version="1.0" encoding="utf-8"?>
<formControlPr xmlns="http://schemas.microsoft.com/office/spreadsheetml/2009/9/main" objectType="Spin" dx="16" fmlaLink="$C$79" inc="5" max="10000" page="10" val="600"/>
</file>

<file path=xl/ctrlProps/ctrlProp82.xml><?xml version="1.0" encoding="utf-8"?>
<formControlPr xmlns="http://schemas.microsoft.com/office/spreadsheetml/2009/9/main" objectType="Spin" dx="16" fmlaLink="$C$80" inc="5" max="30000" page="10" val="600"/>
</file>

<file path=xl/ctrlProps/ctrlProp83.xml><?xml version="1.0" encoding="utf-8"?>
<formControlPr xmlns="http://schemas.microsoft.com/office/spreadsheetml/2009/9/main" objectType="Spin" dx="16" fmlaLink="$C$79" inc="5" max="30000" page="10" val="600"/>
</file>

<file path=xl/ctrlProps/ctrlProp84.xml><?xml version="1.0" encoding="utf-8"?>
<formControlPr xmlns="http://schemas.microsoft.com/office/spreadsheetml/2009/9/main" objectType="Spin" dx="16" fmlaLink="#REF!" inc="5" max="10000" page="10" val="90"/>
</file>

<file path=xl/ctrlProps/ctrlProp85.xml><?xml version="1.0" encoding="utf-8"?>
<formControlPr xmlns="http://schemas.microsoft.com/office/spreadsheetml/2009/9/main" objectType="Spin" dx="16" fmlaLink="$C$60" max="100" page="10" val="85"/>
</file>

<file path=xl/ctrlProps/ctrlProp86.xml><?xml version="1.0" encoding="utf-8"?>
<formControlPr xmlns="http://schemas.microsoft.com/office/spreadsheetml/2009/9/main" objectType="Spin" dx="16" fmlaLink="$C$61" inc="5" max="365" page="10" val="180"/>
</file>

<file path=xl/ctrlProps/ctrlProp87.xml><?xml version="1.0" encoding="utf-8"?>
<formControlPr xmlns="http://schemas.microsoft.com/office/spreadsheetml/2009/9/main" objectType="Spin" dx="16" fmlaLink="$C$62" max="100" page="10" val="30"/>
</file>

<file path=xl/ctrlProps/ctrlProp88.xml><?xml version="1.0" encoding="utf-8"?>
<formControlPr xmlns="http://schemas.microsoft.com/office/spreadsheetml/2009/9/main" objectType="Spin" dx="16" fmlaLink="$C$63" inc="2" max="10000" page="10" val="50"/>
</file>

<file path=xl/ctrlProps/ctrlProp89.xml><?xml version="1.0" encoding="utf-8"?>
<formControlPr xmlns="http://schemas.microsoft.com/office/spreadsheetml/2009/9/main" objectType="Spin" dx="16" fmlaLink="$C$65" inc="25" max="10000" page="10" val="3000"/>
</file>

<file path=xl/ctrlProps/ctrlProp9.xml><?xml version="1.0" encoding="utf-8"?>
<formControlPr xmlns="http://schemas.microsoft.com/office/spreadsheetml/2009/9/main" objectType="Spin" dx="16" fmlaLink="$C$59" inc="25" max="30000" page="10" val="3000"/>
</file>

<file path=xl/ctrlProps/ctrlProp90.xml><?xml version="1.0" encoding="utf-8"?>
<formControlPr xmlns="http://schemas.microsoft.com/office/spreadsheetml/2009/9/main" objectType="Spin" dx="16" fmlaLink="$C$64" inc="5" max="30000" page="10" val="600"/>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Abatement Schematic'!A1"/><Relationship Id="rId7" Type="http://schemas.openxmlformats.org/officeDocument/2006/relationships/image" Target="../media/image4.png"/><Relationship Id="rId2" Type="http://schemas.openxmlformats.org/officeDocument/2006/relationships/hyperlink" Target="#'Example baseline farm'!A1"/><Relationship Id="rId1" Type="http://schemas.openxmlformats.org/officeDocument/2006/relationships/hyperlink" Target="#'Baseline farm'!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Baseline farm'!A1"/></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Baseline farm'!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Baseline farm'!A1"/></Relationships>
</file>

<file path=xl/drawings/_rels/drawing13.xml.rels><?xml version="1.0" encoding="UTF-8" standalone="yes"?>
<Relationships xmlns="http://schemas.openxmlformats.org/package/2006/relationships"><Relationship Id="rId3" Type="http://schemas.openxmlformats.org/officeDocument/2006/relationships/image" Target="../media/image8.emf"/><Relationship Id="rId7" Type="http://schemas.openxmlformats.org/officeDocument/2006/relationships/chart" Target="../charts/chart17.xml"/><Relationship Id="rId2" Type="http://schemas.openxmlformats.org/officeDocument/2006/relationships/image" Target="../media/image7.emf"/><Relationship Id="rId1" Type="http://schemas.openxmlformats.org/officeDocument/2006/relationships/chart" Target="../charts/chart16.xml"/><Relationship Id="rId6" Type="http://schemas.openxmlformats.org/officeDocument/2006/relationships/hyperlink" Target="#'Baseline farm'!A1"/><Relationship Id="rId5" Type="http://schemas.openxmlformats.org/officeDocument/2006/relationships/image" Target="../media/image10.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Baseline farm'!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Baseline farm'!A1"/></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Baseline farm'!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Abatement Schematic'!A1"/><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Baseline farm'!A1"/><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hyperlink" Target="#'Supplementing with dietary fats'!A1"/><Relationship Id="rId13" Type="http://schemas.openxmlformats.org/officeDocument/2006/relationships/hyperlink" Target="#'Extended longevity'!A1"/><Relationship Id="rId3" Type="http://schemas.openxmlformats.org/officeDocument/2006/relationships/hyperlink" Target="#'Animal diet manipulation'!A1"/><Relationship Id="rId7" Type="http://schemas.openxmlformats.org/officeDocument/2006/relationships/hyperlink" Target="#'Replacing Sup with dietary fats'!A1"/><Relationship Id="rId12" Type="http://schemas.openxmlformats.org/officeDocument/2006/relationships/hyperlink" Target="#'Extended lactation'!A1"/><Relationship Id="rId2" Type="http://schemas.openxmlformats.org/officeDocument/2006/relationships/hyperlink" Target="#Feedbase!A1"/><Relationship Id="rId1" Type="http://schemas.openxmlformats.org/officeDocument/2006/relationships/hyperlink" Target="#'Herd and Breeding'!A1"/><Relationship Id="rId6" Type="http://schemas.openxmlformats.org/officeDocument/2006/relationships/hyperlink" Target="#' N inhibitor applied to feed'!A1"/><Relationship Id="rId11" Type="http://schemas.openxmlformats.org/officeDocument/2006/relationships/hyperlink" Target="#'Improved diet DDM by Supplement'!A1"/><Relationship Id="rId5" Type="http://schemas.openxmlformats.org/officeDocument/2006/relationships/hyperlink" Target="#'N fertiliser inhibitor coated'!A1"/><Relationship Id="rId10" Type="http://schemas.openxmlformats.org/officeDocument/2006/relationships/hyperlink" Target="#'Improved diet DMD by management'!A1"/><Relationship Id="rId4" Type="http://schemas.openxmlformats.org/officeDocument/2006/relationships/hyperlink" Target="#'Animal diet'!A1"/><Relationship Id="rId9" Type="http://schemas.openxmlformats.org/officeDocument/2006/relationships/hyperlink" Target="#'Reduce CH4 breeding_management'!A1"/><Relationship Id="rId14" Type="http://schemas.openxmlformats.org/officeDocument/2006/relationships/hyperlink" Target="#'Strategy farm'!A1"/></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hyperlink" Target="#'Baseline farm'!A1"/><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Baseline farm'!A1"/></Relationships>
</file>

<file path=xl/drawings/drawing1.xml><?xml version="1.0" encoding="utf-8"?>
<xdr:wsDr xmlns:xdr="http://schemas.openxmlformats.org/drawingml/2006/spreadsheetDrawing" xmlns:a="http://schemas.openxmlformats.org/drawingml/2006/main">
  <xdr:twoCellAnchor>
    <xdr:from>
      <xdr:col>1</xdr:col>
      <xdr:colOff>259080</xdr:colOff>
      <xdr:row>22</xdr:row>
      <xdr:rowOff>114300</xdr:rowOff>
    </xdr:from>
    <xdr:to>
      <xdr:col>7</xdr:col>
      <xdr:colOff>586740</xdr:colOff>
      <xdr:row>24</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11480" y="3634740"/>
          <a:ext cx="398526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Baseline farm worksheet</a:t>
          </a:r>
          <a:endParaRPr lang="en-AU" sz="1300" b="1">
            <a:solidFill>
              <a:schemeClr val="tx1"/>
            </a:solidFill>
          </a:endParaRPr>
        </a:p>
      </xdr:txBody>
    </xdr:sp>
    <xdr:clientData/>
  </xdr:twoCellAnchor>
  <xdr:twoCellAnchor>
    <xdr:from>
      <xdr:col>8</xdr:col>
      <xdr:colOff>495300</xdr:colOff>
      <xdr:row>22</xdr:row>
      <xdr:rowOff>83820</xdr:rowOff>
    </xdr:from>
    <xdr:to>
      <xdr:col>15</xdr:col>
      <xdr:colOff>205740</xdr:colOff>
      <xdr:row>24</xdr:row>
      <xdr:rowOff>83820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914900" y="3604260"/>
          <a:ext cx="397764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Example worksheet</a:t>
          </a:r>
          <a:endParaRPr lang="en-AU" sz="1300" b="1">
            <a:solidFill>
              <a:schemeClr val="tx1"/>
            </a:solidFill>
          </a:endParaRPr>
        </a:p>
      </xdr:txBody>
    </xdr:sp>
    <xdr:clientData/>
  </xdr:twoCellAnchor>
  <xdr:twoCellAnchor>
    <xdr:from>
      <xdr:col>1</xdr:col>
      <xdr:colOff>259080</xdr:colOff>
      <xdr:row>33</xdr:row>
      <xdr:rowOff>106680</xdr:rowOff>
    </xdr:from>
    <xdr:to>
      <xdr:col>9</xdr:col>
      <xdr:colOff>586740</xdr:colOff>
      <xdr:row>35</xdr:row>
      <xdr:rowOff>106680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11480" y="5090160"/>
          <a:ext cx="520446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Abatement strategies schematic worksheet</a:t>
          </a:r>
          <a:endParaRPr lang="en-AU" sz="1300" b="1">
            <a:solidFill>
              <a:schemeClr val="tx1"/>
            </a:solidFill>
          </a:endParaRPr>
        </a:p>
      </xdr:txBody>
    </xdr:sp>
    <xdr:clientData/>
  </xdr:twoCellAnchor>
  <xdr:twoCellAnchor editAs="oneCell">
    <xdr:from>
      <xdr:col>1</xdr:col>
      <xdr:colOff>53340</xdr:colOff>
      <xdr:row>115</xdr:row>
      <xdr:rowOff>27872</xdr:rowOff>
    </xdr:from>
    <xdr:to>
      <xdr:col>5</xdr:col>
      <xdr:colOff>18394</xdr:colOff>
      <xdr:row>118</xdr:row>
      <xdr:rowOff>142052</xdr:rowOff>
    </xdr:to>
    <xdr:pic>
      <xdr:nvPicPr>
        <xdr:cNvPr id="5" name="Picture 4" descr="C:\Users\karenc1\Desktop\abares_logo.pn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30484"/>
        <a:stretch/>
      </xdr:blipFill>
      <xdr:spPr bwMode="auto">
        <a:xfrm>
          <a:off x="205740" y="21020972"/>
          <a:ext cx="2327254" cy="68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561302</xdr:colOff>
      <xdr:row>78</xdr:row>
      <xdr:rowOff>43815</xdr:rowOff>
    </xdr:from>
    <xdr:to>
      <xdr:col>9</xdr:col>
      <xdr:colOff>306018</xdr:colOff>
      <xdr:row>83</xdr:row>
      <xdr:rowOff>157966</xdr:rowOff>
    </xdr:to>
    <xdr:pic>
      <xdr:nvPicPr>
        <xdr:cNvPr id="10" name="Picture 9">
          <a:extLst>
            <a:ext uri="{FF2B5EF4-FFF2-40B4-BE49-F238E27FC236}">
              <a16:creationId xmlns:a16="http://schemas.microsoft.com/office/drawing/2014/main" id="{00000000-0008-0000-0000-00000A000000}"/>
            </a:ext>
          </a:extLst>
        </xdr:cNvPr>
        <xdr:cNvPicPr>
          <a:picLocks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3141" t="38845" r="33220" b="46806"/>
        <a:stretch/>
      </xdr:blipFill>
      <xdr:spPr bwMode="auto">
        <a:xfrm>
          <a:off x="1894802" y="15102840"/>
          <a:ext cx="3288016" cy="106665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0</xdr:colOff>
      <xdr:row>115</xdr:row>
      <xdr:rowOff>27514</xdr:rowOff>
    </xdr:from>
    <xdr:to>
      <xdr:col>11</xdr:col>
      <xdr:colOff>561750</xdr:colOff>
      <xdr:row>118</xdr:row>
      <xdr:rowOff>142411</xdr:rowOff>
    </xdr:to>
    <xdr:pic>
      <xdr:nvPicPr>
        <xdr:cNvPr id="9" name="Picture 8" descr="mla_logo">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srcRect/>
        <a:stretch>
          <a:fillRect/>
        </a:stretch>
      </xdr:blipFill>
      <xdr:spPr bwMode="auto">
        <a:xfrm>
          <a:off x="4876800" y="21020614"/>
          <a:ext cx="1742850" cy="686397"/>
        </a:xfrm>
        <a:prstGeom prst="rect">
          <a:avLst/>
        </a:prstGeom>
        <a:noFill/>
        <a:ln w="9525">
          <a:noFill/>
          <a:miter lim="800000"/>
          <a:headEnd/>
          <a:tailEnd/>
        </a:ln>
      </xdr:spPr>
    </xdr:pic>
    <xdr:clientData/>
  </xdr:twoCellAnchor>
  <xdr:twoCellAnchor editAs="oneCell">
    <xdr:from>
      <xdr:col>12</xdr:col>
      <xdr:colOff>255945</xdr:colOff>
      <xdr:row>115</xdr:row>
      <xdr:rowOff>27872</xdr:rowOff>
    </xdr:from>
    <xdr:to>
      <xdr:col>15</xdr:col>
      <xdr:colOff>227145</xdr:colOff>
      <xdr:row>118</xdr:row>
      <xdr:rowOff>142052</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04395" y="21020972"/>
          <a:ext cx="1742850" cy="685680"/>
        </a:xfrm>
        <a:prstGeom prst="rect">
          <a:avLst/>
        </a:prstGeom>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304800</xdr:colOff>
      <xdr:row>114</xdr:row>
      <xdr:rowOff>37568</xdr:rowOff>
    </xdr:from>
    <xdr:to>
      <xdr:col>8</xdr:col>
      <xdr:colOff>276225</xdr:colOff>
      <xdr:row>119</xdr:row>
      <xdr:rowOff>132357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2819400" y="20840168"/>
          <a:ext cx="1743075" cy="1047289"/>
        </a:xfrm>
        <a:prstGeom prst="rect">
          <a:avLst/>
        </a:prstGeom>
      </xdr:spPr>
    </xdr:pic>
    <xdr:clientData/>
  </xdr:twoCellAnchor>
  <xdr:twoCellAnchor editAs="oneCell">
    <xdr:from>
      <xdr:col>5</xdr:col>
      <xdr:colOff>431800</xdr:colOff>
      <xdr:row>0</xdr:row>
      <xdr:rowOff>57150</xdr:rowOff>
    </xdr:from>
    <xdr:to>
      <xdr:col>8</xdr:col>
      <xdr:colOff>328930</xdr:colOff>
      <xdr:row>2</xdr:row>
      <xdr:rowOff>342900</xdr:rowOff>
    </xdr:to>
    <xdr:pic>
      <xdr:nvPicPr>
        <xdr:cNvPr id="6" name="Picture 5" descr="Logo, company name&#10;&#10;Description automatically generated">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3054350" y="57150"/>
          <a:ext cx="1744980" cy="1047750"/>
        </a:xfrm>
        <a:prstGeom prst="rect">
          <a:avLst/>
        </a:prstGeom>
      </xdr:spPr>
    </xdr:pic>
    <xdr:clientData/>
  </xdr:twoCellAnchor>
  <xdr:twoCellAnchor editAs="oneCell">
    <xdr:from>
      <xdr:col>10</xdr:col>
      <xdr:colOff>425450</xdr:colOff>
      <xdr:row>0</xdr:row>
      <xdr:rowOff>231458</xdr:rowOff>
    </xdr:from>
    <xdr:to>
      <xdr:col>12</xdr:col>
      <xdr:colOff>407035</xdr:colOff>
      <xdr:row>2</xdr:row>
      <xdr:rowOff>168593</xdr:rowOff>
    </xdr:to>
    <xdr:pic>
      <xdr:nvPicPr>
        <xdr:cNvPr id="7" name="Picture 6" descr="A picture containing text&#10;&#10;Description automatically generated">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6127750" y="231458"/>
          <a:ext cx="1213485" cy="699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676275</xdr:colOff>
      <xdr:row>7</xdr:row>
      <xdr:rowOff>8467</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11667" y="0"/>
          <a:ext cx="16788341" cy="14986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Impact of extended longevity</a:t>
          </a:r>
          <a:r>
            <a:rPr lang="en-AU" sz="2200" b="1" baseline="0"/>
            <a:t> of the milking cow</a:t>
          </a:r>
        </a:p>
        <a:p>
          <a:pPr eaLnBrk="1" fontAlgn="auto" latinLnBrk="0" hangingPunct="1"/>
          <a:r>
            <a:rPr lang="en-AU" sz="1200">
              <a:solidFill>
                <a:schemeClr val="dk1"/>
              </a:solidFill>
              <a:latin typeface="+mn-lt"/>
              <a:ea typeface="+mn-ea"/>
              <a:cs typeface="+mn-cs"/>
            </a:rPr>
            <a:t>This spreadsheet is setup to help producers examine the validity of adopting a program of extending</a:t>
          </a:r>
          <a:r>
            <a:rPr lang="en-AU" sz="1200" baseline="0">
              <a:solidFill>
                <a:schemeClr val="dk1"/>
              </a:solidFill>
              <a:latin typeface="+mn-lt"/>
              <a:ea typeface="+mn-ea"/>
              <a:cs typeface="+mn-cs"/>
            </a:rPr>
            <a:t> the number of lactations per cow so that fewer heifers need retaining every year and its impact on methane and nitrous oxide emissions</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the baseline and strategy farm system's replacement rates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552450</xdr:colOff>
      <xdr:row>41</xdr:row>
      <xdr:rowOff>114300</xdr:rowOff>
    </xdr:from>
    <xdr:to>
      <xdr:col>2</xdr:col>
      <xdr:colOff>1524000</xdr:colOff>
      <xdr:row>44</xdr:row>
      <xdr:rowOff>123825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B00-000004000000}"/>
            </a:ext>
          </a:extLst>
        </xdr:cNvPr>
        <xdr:cNvSpPr txBox="1"/>
      </xdr:nvSpPr>
      <xdr:spPr>
        <a:xfrm>
          <a:off x="762000" y="10210800"/>
          <a:ext cx="699135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a:t>
          </a:r>
          <a:r>
            <a:rPr lang="en-AU" sz="2800" baseline="0"/>
            <a:t> farm </a:t>
          </a:r>
          <a:r>
            <a:rPr lang="en-AU" sz="2800"/>
            <a:t>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14</xdr:row>
          <xdr:rowOff>57150</xdr:rowOff>
        </xdr:from>
        <xdr:to>
          <xdr:col>2</xdr:col>
          <xdr:colOff>1543050</xdr:colOff>
          <xdr:row>14</xdr:row>
          <xdr:rowOff>241300</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0B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16</xdr:row>
          <xdr:rowOff>57150</xdr:rowOff>
        </xdr:from>
        <xdr:to>
          <xdr:col>2</xdr:col>
          <xdr:colOff>1543050</xdr:colOff>
          <xdr:row>16</xdr:row>
          <xdr:rowOff>241300</xdr:rowOff>
        </xdr:to>
        <xdr:sp macro="" textlink="">
          <xdr:nvSpPr>
            <xdr:cNvPr id="36866" name="Spinner 2" hidden="1">
              <a:extLst>
                <a:ext uri="{63B3BB69-23CF-44E3-9099-C40C66FF867C}">
                  <a14:compatExt spid="_x0000_s36866"/>
                </a:ext>
                <a:ext uri="{FF2B5EF4-FFF2-40B4-BE49-F238E27FC236}">
                  <a16:creationId xmlns:a16="http://schemas.microsoft.com/office/drawing/2014/main" id="{00000000-0008-0000-0B00-000002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1022350</xdr:colOff>
          <xdr:row>20</xdr:row>
          <xdr:rowOff>0</xdr:rowOff>
        </xdr:from>
        <xdr:to>
          <xdr:col>2</xdr:col>
          <xdr:colOff>1365250</xdr:colOff>
          <xdr:row>20</xdr:row>
          <xdr:rowOff>0</xdr:rowOff>
        </xdr:to>
        <xdr:sp macro="" textlink="">
          <xdr:nvSpPr>
            <xdr:cNvPr id="36867" name="Spinner 3" hidden="1">
              <a:extLst>
                <a:ext uri="{63B3BB69-23CF-44E3-9099-C40C66FF867C}">
                  <a14:compatExt spid="_x0000_s36867"/>
                </a:ext>
                <a:ext uri="{FF2B5EF4-FFF2-40B4-BE49-F238E27FC236}">
                  <a16:creationId xmlns:a16="http://schemas.microsoft.com/office/drawing/2014/main" id="{00000000-0008-0000-0B00-000003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20</xdr:row>
          <xdr:rowOff>57150</xdr:rowOff>
        </xdr:from>
        <xdr:to>
          <xdr:col>2</xdr:col>
          <xdr:colOff>1543050</xdr:colOff>
          <xdr:row>20</xdr:row>
          <xdr:rowOff>241300</xdr:rowOff>
        </xdr:to>
        <xdr:sp macro="" textlink="">
          <xdr:nvSpPr>
            <xdr:cNvPr id="36868" name="Spinner 4" hidden="1">
              <a:extLst>
                <a:ext uri="{63B3BB69-23CF-44E3-9099-C40C66FF867C}">
                  <a14:compatExt spid="_x0000_s36868"/>
                </a:ext>
                <a:ext uri="{FF2B5EF4-FFF2-40B4-BE49-F238E27FC236}">
                  <a16:creationId xmlns:a16="http://schemas.microsoft.com/office/drawing/2014/main" id="{00000000-0008-0000-0B00-000004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22</xdr:row>
          <xdr:rowOff>57150</xdr:rowOff>
        </xdr:from>
        <xdr:to>
          <xdr:col>2</xdr:col>
          <xdr:colOff>1543050</xdr:colOff>
          <xdr:row>22</xdr:row>
          <xdr:rowOff>241300</xdr:rowOff>
        </xdr:to>
        <xdr:sp macro="" textlink="">
          <xdr:nvSpPr>
            <xdr:cNvPr id="36869" name="Spinner 5" hidden="1">
              <a:extLst>
                <a:ext uri="{63B3BB69-23CF-44E3-9099-C40C66FF867C}">
                  <a14:compatExt spid="_x0000_s36869"/>
                </a:ext>
                <a:ext uri="{FF2B5EF4-FFF2-40B4-BE49-F238E27FC236}">
                  <a16:creationId xmlns:a16="http://schemas.microsoft.com/office/drawing/2014/main" id="{00000000-0008-0000-0B00-000005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1022350</xdr:colOff>
          <xdr:row>20</xdr:row>
          <xdr:rowOff>0</xdr:rowOff>
        </xdr:from>
        <xdr:to>
          <xdr:col>2</xdr:col>
          <xdr:colOff>1365250</xdr:colOff>
          <xdr:row>20</xdr:row>
          <xdr:rowOff>0</xdr:rowOff>
        </xdr:to>
        <xdr:sp macro="" textlink="">
          <xdr:nvSpPr>
            <xdr:cNvPr id="36870" name="Spinner 6" hidden="1">
              <a:extLst>
                <a:ext uri="{63B3BB69-23CF-44E3-9099-C40C66FF867C}">
                  <a14:compatExt spid="_x0000_s36870"/>
                </a:ext>
                <a:ext uri="{FF2B5EF4-FFF2-40B4-BE49-F238E27FC236}">
                  <a16:creationId xmlns:a16="http://schemas.microsoft.com/office/drawing/2014/main" id="{00000000-0008-0000-0B00-000006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20</xdr:row>
          <xdr:rowOff>0</xdr:rowOff>
        </xdr:from>
        <xdr:to>
          <xdr:col>3</xdr:col>
          <xdr:colOff>0</xdr:colOff>
          <xdr:row>20</xdr:row>
          <xdr:rowOff>0</xdr:rowOff>
        </xdr:to>
        <xdr:sp macro="" textlink="">
          <xdr:nvSpPr>
            <xdr:cNvPr id="36871" name="Spinner 7" hidden="1">
              <a:extLst>
                <a:ext uri="{63B3BB69-23CF-44E3-9099-C40C66FF867C}">
                  <a14:compatExt spid="_x0000_s36871"/>
                </a:ext>
                <a:ext uri="{FF2B5EF4-FFF2-40B4-BE49-F238E27FC236}">
                  <a16:creationId xmlns:a16="http://schemas.microsoft.com/office/drawing/2014/main" id="{00000000-0008-0000-0B00-000007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18</xdr:row>
          <xdr:rowOff>57150</xdr:rowOff>
        </xdr:from>
        <xdr:to>
          <xdr:col>2</xdr:col>
          <xdr:colOff>1543050</xdr:colOff>
          <xdr:row>18</xdr:row>
          <xdr:rowOff>241300</xdr:rowOff>
        </xdr:to>
        <xdr:sp macro="" textlink="">
          <xdr:nvSpPr>
            <xdr:cNvPr id="36904" name="Spinner 40" hidden="1">
              <a:extLst>
                <a:ext uri="{63B3BB69-23CF-44E3-9099-C40C66FF867C}">
                  <a14:compatExt spid="_x0000_s36904"/>
                </a:ext>
                <a:ext uri="{FF2B5EF4-FFF2-40B4-BE49-F238E27FC236}">
                  <a16:creationId xmlns:a16="http://schemas.microsoft.com/office/drawing/2014/main" id="{00000000-0008-0000-0B00-000028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7</xdr:row>
      <xdr:rowOff>0</xdr:rowOff>
    </xdr:from>
    <xdr:to>
      <xdr:col>8</xdr:col>
      <xdr:colOff>684695</xdr:colOff>
      <xdr:row>39</xdr:row>
      <xdr:rowOff>22087</xdr:rowOff>
    </xdr:to>
    <xdr:graphicFrame macro="">
      <xdr:nvGraphicFramePr>
        <xdr:cNvPr id="13" name="Chart 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676275</xdr:colOff>
      <xdr:row>11</xdr:row>
      <xdr:rowOff>10885</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28600" y="0"/>
          <a:ext cx="16874218" cy="1861456"/>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dietary fats &amp; oils- replacing supplementation (ERF methodology)</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replacing a percentage of </a:t>
          </a:r>
          <a:r>
            <a:rPr lang="en-AU" sz="1200" baseline="0">
              <a:solidFill>
                <a:schemeClr val="dk1"/>
              </a:solidFill>
              <a:latin typeface="+mn-lt"/>
              <a:ea typeface="+mn-ea"/>
              <a:cs typeface="+mn-cs"/>
            </a:rPr>
            <a:t>supplementary feed with another supplementary feed with a higher dietary fat content</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r>
            <a:rPr lang="en-AU" sz="1200" b="1">
              <a:solidFill>
                <a:schemeClr val="dk1"/>
              </a:solidFill>
              <a:latin typeface="+mn-lt"/>
              <a:ea typeface="+mn-ea"/>
              <a:cs typeface="+mn-cs"/>
            </a:rPr>
            <a:t>NOTE: </a:t>
          </a:r>
          <a:r>
            <a:rPr lang="en-AU" sz="1200" b="0">
              <a:solidFill>
                <a:schemeClr val="dk1"/>
              </a:solidFill>
              <a:latin typeface="+mn-lt"/>
              <a:ea typeface="+mn-ea"/>
              <a:cs typeface="+mn-cs"/>
            </a:rPr>
            <a:t>If the overall dietary fat concentration of the diet goes over 7%, the results will default to zero in the graph indicating that the strategy</a:t>
          </a:r>
          <a:r>
            <a:rPr lang="en-AU" sz="1200" b="0" baseline="0">
              <a:solidFill>
                <a:schemeClr val="dk1"/>
              </a:solidFill>
              <a:latin typeface="+mn-lt"/>
              <a:ea typeface="+mn-ea"/>
              <a:cs typeface="+mn-cs"/>
            </a:rPr>
            <a:t> diet is too high in fat concentration.  While this strategy follows the ERF methodology as closely as possible, the ERFI methodology requires three baseline years to be compared to the abatement strategy and uses farm data to indicate the changes in milk production as a consequence of feeding dietary fats.  There is also a specific ERF methodology calculator which must be used in conjunction with the methodology if a farmer wishes to participate in the ERF methodology.  </a:t>
          </a:r>
          <a:endParaRPr lang="en-AU" sz="1200"/>
        </a:p>
      </xdr:txBody>
    </xdr:sp>
    <xdr:clientData/>
  </xdr:twoCellAnchor>
  <xdr:twoCellAnchor>
    <xdr:from>
      <xdr:col>1</xdr:col>
      <xdr:colOff>558800</xdr:colOff>
      <xdr:row>68</xdr:row>
      <xdr:rowOff>15875</xdr:rowOff>
    </xdr:from>
    <xdr:to>
      <xdr:col>2</xdr:col>
      <xdr:colOff>1673225</xdr:colOff>
      <xdr:row>70</xdr:row>
      <xdr:rowOff>14817</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00000000-0008-0000-0C00-000014000000}"/>
            </a:ext>
          </a:extLst>
        </xdr:cNvPr>
        <xdr:cNvSpPr txBox="1"/>
      </xdr:nvSpPr>
      <xdr:spPr>
        <a:xfrm>
          <a:off x="929217" y="10641542"/>
          <a:ext cx="5834591"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a:t>
          </a:r>
          <a:r>
            <a:rPr lang="en-AU" sz="2800" baseline="0"/>
            <a:t> sheet</a:t>
          </a:r>
          <a:endParaRPr lang="en-AU" sz="2800"/>
        </a:p>
      </xdr:txBody>
    </xdr:sp>
    <xdr:clientData/>
  </xdr:twoCellAnchor>
  <mc:AlternateContent xmlns:mc="http://schemas.openxmlformats.org/markup-compatibility/2006">
    <mc:Choice xmlns:a14="http://schemas.microsoft.com/office/drawing/2010/main" Requires="a14">
      <xdr:twoCellAnchor>
        <xdr:from>
          <xdr:col>2</xdr:col>
          <xdr:colOff>1200150</xdr:colOff>
          <xdr:row>24</xdr:row>
          <xdr:rowOff>50800</xdr:rowOff>
        </xdr:from>
        <xdr:to>
          <xdr:col>2</xdr:col>
          <xdr:colOff>1543050</xdr:colOff>
          <xdr:row>24</xdr:row>
          <xdr:rowOff>228600</xdr:rowOff>
        </xdr:to>
        <xdr:sp macro="" textlink="">
          <xdr:nvSpPr>
            <xdr:cNvPr id="8213" name="Spinner 21" hidden="1">
              <a:extLst>
                <a:ext uri="{63B3BB69-23CF-44E3-9099-C40C66FF867C}">
                  <a14:compatExt spid="_x0000_s8213"/>
                </a:ext>
                <a:ext uri="{FF2B5EF4-FFF2-40B4-BE49-F238E27FC236}">
                  <a16:creationId xmlns:a16="http://schemas.microsoft.com/office/drawing/2014/main" id="{00000000-0008-0000-0C00-00001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26</xdr:row>
          <xdr:rowOff>57150</xdr:rowOff>
        </xdr:from>
        <xdr:to>
          <xdr:col>2</xdr:col>
          <xdr:colOff>1543050</xdr:colOff>
          <xdr:row>26</xdr:row>
          <xdr:rowOff>241300</xdr:rowOff>
        </xdr:to>
        <xdr:sp macro="" textlink="">
          <xdr:nvSpPr>
            <xdr:cNvPr id="8215" name="Spinner 23" hidden="1">
              <a:extLst>
                <a:ext uri="{63B3BB69-23CF-44E3-9099-C40C66FF867C}">
                  <a14:compatExt spid="_x0000_s8215"/>
                </a:ext>
                <a:ext uri="{FF2B5EF4-FFF2-40B4-BE49-F238E27FC236}">
                  <a16:creationId xmlns:a16="http://schemas.microsoft.com/office/drawing/2014/main" id="{00000000-0008-0000-0C00-00001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34</xdr:row>
          <xdr:rowOff>57150</xdr:rowOff>
        </xdr:from>
        <xdr:to>
          <xdr:col>2</xdr:col>
          <xdr:colOff>1543050</xdr:colOff>
          <xdr:row>34</xdr:row>
          <xdr:rowOff>241300</xdr:rowOff>
        </xdr:to>
        <xdr:sp macro="" textlink="">
          <xdr:nvSpPr>
            <xdr:cNvPr id="8219" name="Spinner 27" hidden="1">
              <a:extLst>
                <a:ext uri="{63B3BB69-23CF-44E3-9099-C40C66FF867C}">
                  <a14:compatExt spid="_x0000_s8219"/>
                </a:ext>
                <a:ext uri="{FF2B5EF4-FFF2-40B4-BE49-F238E27FC236}">
                  <a16:creationId xmlns:a16="http://schemas.microsoft.com/office/drawing/2014/main" id="{00000000-0008-0000-0C00-00001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40</xdr:row>
          <xdr:rowOff>57150</xdr:rowOff>
        </xdr:from>
        <xdr:to>
          <xdr:col>2</xdr:col>
          <xdr:colOff>1543050</xdr:colOff>
          <xdr:row>40</xdr:row>
          <xdr:rowOff>241300</xdr:rowOff>
        </xdr:to>
        <xdr:sp macro="" textlink="">
          <xdr:nvSpPr>
            <xdr:cNvPr id="8220" name="Spinner 28" hidden="1">
              <a:extLst>
                <a:ext uri="{63B3BB69-23CF-44E3-9099-C40C66FF867C}">
                  <a14:compatExt spid="_x0000_s8220"/>
                </a:ext>
                <a:ext uri="{FF2B5EF4-FFF2-40B4-BE49-F238E27FC236}">
                  <a16:creationId xmlns:a16="http://schemas.microsoft.com/office/drawing/2014/main" id="{00000000-0008-0000-0C00-00001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44</xdr:row>
          <xdr:rowOff>57150</xdr:rowOff>
        </xdr:from>
        <xdr:to>
          <xdr:col>2</xdr:col>
          <xdr:colOff>1543050</xdr:colOff>
          <xdr:row>44</xdr:row>
          <xdr:rowOff>241300</xdr:rowOff>
        </xdr:to>
        <xdr:sp macro="" textlink="">
          <xdr:nvSpPr>
            <xdr:cNvPr id="8221" name="Spinner 29" hidden="1">
              <a:extLst>
                <a:ext uri="{63B3BB69-23CF-44E3-9099-C40C66FF867C}">
                  <a14:compatExt spid="_x0000_s8221"/>
                </a:ext>
                <a:ext uri="{FF2B5EF4-FFF2-40B4-BE49-F238E27FC236}">
                  <a16:creationId xmlns:a16="http://schemas.microsoft.com/office/drawing/2014/main" id="{00000000-0008-0000-0C00-00001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48</xdr:row>
          <xdr:rowOff>57150</xdr:rowOff>
        </xdr:from>
        <xdr:to>
          <xdr:col>2</xdr:col>
          <xdr:colOff>1543050</xdr:colOff>
          <xdr:row>48</xdr:row>
          <xdr:rowOff>241300</xdr:rowOff>
        </xdr:to>
        <xdr:sp macro="" textlink="">
          <xdr:nvSpPr>
            <xdr:cNvPr id="8222" name="Spinner 30" hidden="1">
              <a:extLst>
                <a:ext uri="{63B3BB69-23CF-44E3-9099-C40C66FF867C}">
                  <a14:compatExt spid="_x0000_s8222"/>
                </a:ext>
                <a:ext uri="{FF2B5EF4-FFF2-40B4-BE49-F238E27FC236}">
                  <a16:creationId xmlns:a16="http://schemas.microsoft.com/office/drawing/2014/main" id="{00000000-0008-0000-0C00-00001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42</xdr:row>
          <xdr:rowOff>57150</xdr:rowOff>
        </xdr:from>
        <xdr:to>
          <xdr:col>2</xdr:col>
          <xdr:colOff>1543050</xdr:colOff>
          <xdr:row>42</xdr:row>
          <xdr:rowOff>241300</xdr:rowOff>
        </xdr:to>
        <xdr:sp macro="" textlink="">
          <xdr:nvSpPr>
            <xdr:cNvPr id="8223" name="Spinner 31" hidden="1">
              <a:extLst>
                <a:ext uri="{63B3BB69-23CF-44E3-9099-C40C66FF867C}">
                  <a14:compatExt spid="_x0000_s8223"/>
                </a:ext>
                <a:ext uri="{FF2B5EF4-FFF2-40B4-BE49-F238E27FC236}">
                  <a16:creationId xmlns:a16="http://schemas.microsoft.com/office/drawing/2014/main" id="{00000000-0008-0000-0C00-00001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38</xdr:row>
          <xdr:rowOff>57150</xdr:rowOff>
        </xdr:from>
        <xdr:to>
          <xdr:col>2</xdr:col>
          <xdr:colOff>1543050</xdr:colOff>
          <xdr:row>38</xdr:row>
          <xdr:rowOff>241300</xdr:rowOff>
        </xdr:to>
        <xdr:sp macro="" textlink="">
          <xdr:nvSpPr>
            <xdr:cNvPr id="8224" name="Spinner 32" hidden="1">
              <a:extLst>
                <a:ext uri="{63B3BB69-23CF-44E3-9099-C40C66FF867C}">
                  <a14:compatExt spid="_x0000_s8224"/>
                </a:ext>
                <a:ext uri="{FF2B5EF4-FFF2-40B4-BE49-F238E27FC236}">
                  <a16:creationId xmlns:a16="http://schemas.microsoft.com/office/drawing/2014/main" id="{00000000-0008-0000-0C00-000020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32</xdr:row>
          <xdr:rowOff>57150</xdr:rowOff>
        </xdr:from>
        <xdr:to>
          <xdr:col>2</xdr:col>
          <xdr:colOff>1543050</xdr:colOff>
          <xdr:row>32</xdr:row>
          <xdr:rowOff>241300</xdr:rowOff>
        </xdr:to>
        <xdr:sp macro="" textlink="">
          <xdr:nvSpPr>
            <xdr:cNvPr id="8228" name="Spinner 36" hidden="1">
              <a:extLst>
                <a:ext uri="{63B3BB69-23CF-44E3-9099-C40C66FF867C}">
                  <a14:compatExt spid="_x0000_s8228"/>
                </a:ext>
                <a:ext uri="{FF2B5EF4-FFF2-40B4-BE49-F238E27FC236}">
                  <a16:creationId xmlns:a16="http://schemas.microsoft.com/office/drawing/2014/main" id="{00000000-0008-0000-0C00-00002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20</xdr:row>
          <xdr:rowOff>57150</xdr:rowOff>
        </xdr:from>
        <xdr:to>
          <xdr:col>2</xdr:col>
          <xdr:colOff>1543050</xdr:colOff>
          <xdr:row>20</xdr:row>
          <xdr:rowOff>241300</xdr:rowOff>
        </xdr:to>
        <xdr:sp macro="" textlink="">
          <xdr:nvSpPr>
            <xdr:cNvPr id="8231" name="Spinner 39" hidden="1">
              <a:extLst>
                <a:ext uri="{63B3BB69-23CF-44E3-9099-C40C66FF867C}">
                  <a14:compatExt spid="_x0000_s8231"/>
                </a:ext>
                <a:ext uri="{FF2B5EF4-FFF2-40B4-BE49-F238E27FC236}">
                  <a16:creationId xmlns:a16="http://schemas.microsoft.com/office/drawing/2014/main" id="{00000000-0008-0000-0C00-00002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30</xdr:row>
          <xdr:rowOff>57150</xdr:rowOff>
        </xdr:from>
        <xdr:to>
          <xdr:col>2</xdr:col>
          <xdr:colOff>1543050</xdr:colOff>
          <xdr:row>30</xdr:row>
          <xdr:rowOff>241300</xdr:rowOff>
        </xdr:to>
        <xdr:sp macro="" textlink="">
          <xdr:nvSpPr>
            <xdr:cNvPr id="8232" name="Spinner 40" hidden="1">
              <a:extLst>
                <a:ext uri="{63B3BB69-23CF-44E3-9099-C40C66FF867C}">
                  <a14:compatExt spid="_x0000_s8232"/>
                </a:ext>
                <a:ext uri="{FF2B5EF4-FFF2-40B4-BE49-F238E27FC236}">
                  <a16:creationId xmlns:a16="http://schemas.microsoft.com/office/drawing/2014/main" id="{00000000-0008-0000-0C00-00002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28</xdr:row>
          <xdr:rowOff>0</xdr:rowOff>
        </xdr:from>
        <xdr:to>
          <xdr:col>3</xdr:col>
          <xdr:colOff>0</xdr:colOff>
          <xdr:row>28</xdr:row>
          <xdr:rowOff>0</xdr:rowOff>
        </xdr:to>
        <xdr:sp macro="" textlink="">
          <xdr:nvSpPr>
            <xdr:cNvPr id="8238" name="Spinner 46" hidden="1">
              <a:extLst>
                <a:ext uri="{63B3BB69-23CF-44E3-9099-C40C66FF867C}">
                  <a14:compatExt spid="_x0000_s8238"/>
                </a:ext>
                <a:ext uri="{FF2B5EF4-FFF2-40B4-BE49-F238E27FC236}">
                  <a16:creationId xmlns:a16="http://schemas.microsoft.com/office/drawing/2014/main" id="{00000000-0008-0000-0C00-00002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36</xdr:row>
          <xdr:rowOff>0</xdr:rowOff>
        </xdr:from>
        <xdr:to>
          <xdr:col>3</xdr:col>
          <xdr:colOff>0</xdr:colOff>
          <xdr:row>36</xdr:row>
          <xdr:rowOff>0</xdr:rowOff>
        </xdr:to>
        <xdr:sp macro="" textlink="">
          <xdr:nvSpPr>
            <xdr:cNvPr id="8239" name="Spinner 47" hidden="1">
              <a:extLst>
                <a:ext uri="{63B3BB69-23CF-44E3-9099-C40C66FF867C}">
                  <a14:compatExt spid="_x0000_s8239"/>
                </a:ext>
                <a:ext uri="{FF2B5EF4-FFF2-40B4-BE49-F238E27FC236}">
                  <a16:creationId xmlns:a16="http://schemas.microsoft.com/office/drawing/2014/main" id="{00000000-0008-0000-0C00-00002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46</xdr:row>
          <xdr:rowOff>57150</xdr:rowOff>
        </xdr:from>
        <xdr:to>
          <xdr:col>2</xdr:col>
          <xdr:colOff>1543050</xdr:colOff>
          <xdr:row>46</xdr:row>
          <xdr:rowOff>241300</xdr:rowOff>
        </xdr:to>
        <xdr:sp macro="" textlink="">
          <xdr:nvSpPr>
            <xdr:cNvPr id="8243" name="Spinner 51" hidden="1">
              <a:extLst>
                <a:ext uri="{63B3BB69-23CF-44E3-9099-C40C66FF867C}">
                  <a14:compatExt spid="_x0000_s8243"/>
                </a:ext>
                <a:ext uri="{FF2B5EF4-FFF2-40B4-BE49-F238E27FC236}">
                  <a16:creationId xmlns:a16="http://schemas.microsoft.com/office/drawing/2014/main" id="{00000000-0008-0000-0C00-00003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28</xdr:row>
          <xdr:rowOff>57150</xdr:rowOff>
        </xdr:from>
        <xdr:to>
          <xdr:col>2</xdr:col>
          <xdr:colOff>1543050</xdr:colOff>
          <xdr:row>28</xdr:row>
          <xdr:rowOff>241300</xdr:rowOff>
        </xdr:to>
        <xdr:sp macro="" textlink="">
          <xdr:nvSpPr>
            <xdr:cNvPr id="8244" name="Spinner 52" hidden="1">
              <a:extLst>
                <a:ext uri="{63B3BB69-23CF-44E3-9099-C40C66FF867C}">
                  <a14:compatExt spid="_x0000_s8244"/>
                </a:ext>
                <a:ext uri="{FF2B5EF4-FFF2-40B4-BE49-F238E27FC236}">
                  <a16:creationId xmlns:a16="http://schemas.microsoft.com/office/drawing/2014/main" id="{00000000-0008-0000-0C00-00003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36</xdr:row>
          <xdr:rowOff>57150</xdr:rowOff>
        </xdr:from>
        <xdr:to>
          <xdr:col>2</xdr:col>
          <xdr:colOff>1543050</xdr:colOff>
          <xdr:row>36</xdr:row>
          <xdr:rowOff>241300</xdr:rowOff>
        </xdr:to>
        <xdr:sp macro="" textlink="">
          <xdr:nvSpPr>
            <xdr:cNvPr id="8245" name="Spinner 53" hidden="1">
              <a:extLst>
                <a:ext uri="{63B3BB69-23CF-44E3-9099-C40C66FF867C}">
                  <a14:compatExt spid="_x0000_s8245"/>
                </a:ext>
                <a:ext uri="{FF2B5EF4-FFF2-40B4-BE49-F238E27FC236}">
                  <a16:creationId xmlns:a16="http://schemas.microsoft.com/office/drawing/2014/main" id="{00000000-0008-0000-0C00-00003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10</xdr:row>
      <xdr:rowOff>186764</xdr:rowOff>
    </xdr:from>
    <xdr:to>
      <xdr:col>8</xdr:col>
      <xdr:colOff>679824</xdr:colOff>
      <xdr:row>64</xdr:row>
      <xdr:rowOff>239058</xdr:rowOff>
    </xdr:to>
    <xdr:graphicFrame macro="">
      <xdr:nvGraphicFramePr>
        <xdr:cNvPr id="21" name="Chart 2">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738187</xdr:colOff>
      <xdr:row>9</xdr:row>
      <xdr:rowOff>16934</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406400" y="0"/>
          <a:ext cx="16655520" cy="1507067"/>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dietary fats &amp; oils- increased supplementation</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feeding supplements with high dietary fats to reduce</a:t>
          </a:r>
          <a:r>
            <a:rPr lang="en-AU" sz="1200" baseline="0">
              <a:solidFill>
                <a:schemeClr val="dk1"/>
              </a:solidFill>
              <a:latin typeface="+mn-lt"/>
              <a:ea typeface="+mn-ea"/>
              <a:cs typeface="+mn-cs"/>
            </a:rPr>
            <a:t> enteric methane production</a:t>
          </a:r>
          <a:r>
            <a:rPr lang="en-AU" sz="1200">
              <a:solidFill>
                <a:schemeClr val="dk1"/>
              </a:solidFill>
              <a:latin typeface="+mn-lt"/>
              <a:ea typeface="+mn-ea"/>
              <a:cs typeface="+mn-cs"/>
            </a:rPr>
            <a:t>.  The spreadsheet provides an estimate of the current enteric methane production per year (t CO</a:t>
          </a:r>
          <a:r>
            <a:rPr lang="en-AU" sz="1200" baseline="-25000">
              <a:solidFill>
                <a:schemeClr val="dk1"/>
              </a:solidFill>
              <a:latin typeface="+mn-lt"/>
              <a:ea typeface="+mn-ea"/>
              <a:cs typeface="+mn-cs"/>
            </a:rPr>
            <a:t>2</a:t>
          </a:r>
          <a:r>
            <a:rPr lang="en-AU" sz="1200">
              <a:solidFill>
                <a:schemeClr val="dk1"/>
              </a:solidFill>
              <a:latin typeface="+mn-lt"/>
              <a:ea typeface="+mn-ea"/>
              <a:cs typeface="+mn-cs"/>
            </a:rPr>
            <a:t>-e) from the milking herd based on herd size, milk production and diet digestibility. This spreadsheet estimates the potential level of abatement that can be achieved and calculates the overall potential economic benefit to the farm</a:t>
          </a:r>
          <a:r>
            <a:rPr lang="en-AU" sz="1100">
              <a:solidFill>
                <a:schemeClr val="dk1"/>
              </a:solidFill>
              <a:effectLst/>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endParaRPr lang="en-AU" sz="1200"/>
        </a:p>
      </xdr:txBody>
    </xdr:sp>
    <xdr:clientData/>
  </xdr:twoCellAnchor>
  <xdr:twoCellAnchor>
    <xdr:from>
      <xdr:col>1</xdr:col>
      <xdr:colOff>1309687</xdr:colOff>
      <xdr:row>57</xdr:row>
      <xdr:rowOff>30956</xdr:rowOff>
    </xdr:from>
    <xdr:to>
      <xdr:col>3</xdr:col>
      <xdr:colOff>21431</xdr:colOff>
      <xdr:row>59</xdr:row>
      <xdr:rowOff>230981</xdr:rowOff>
    </xdr:to>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D00-00000F000000}"/>
            </a:ext>
          </a:extLst>
        </xdr:cNvPr>
        <xdr:cNvSpPr txBox="1"/>
      </xdr:nvSpPr>
      <xdr:spPr>
        <a:xfrm>
          <a:off x="1309687" y="9996487"/>
          <a:ext cx="58674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a:t>
          </a:r>
          <a:r>
            <a:rPr lang="en-AU" sz="2800" baseline="0"/>
            <a:t> farm sheet</a:t>
          </a:r>
          <a:endParaRPr lang="en-AU" sz="2800"/>
        </a:p>
      </xdr:txBody>
    </xdr:sp>
    <xdr:clientData/>
  </xdr:twoCellAnchor>
  <mc:AlternateContent xmlns:mc="http://schemas.openxmlformats.org/markup-compatibility/2006">
    <mc:Choice xmlns:a14="http://schemas.microsoft.com/office/drawing/2010/main" Requires="a14">
      <xdr:twoCellAnchor>
        <xdr:from>
          <xdr:col>2</xdr:col>
          <xdr:colOff>1689100</xdr:colOff>
          <xdr:row>18</xdr:row>
          <xdr:rowOff>50800</xdr:rowOff>
        </xdr:from>
        <xdr:to>
          <xdr:col>2</xdr:col>
          <xdr:colOff>2032000</xdr:colOff>
          <xdr:row>18</xdr:row>
          <xdr:rowOff>228600</xdr:rowOff>
        </xdr:to>
        <xdr:sp macro="" textlink="">
          <xdr:nvSpPr>
            <xdr:cNvPr id="4139" name="Spinner 43" hidden="1">
              <a:extLst>
                <a:ext uri="{63B3BB69-23CF-44E3-9099-C40C66FF867C}">
                  <a14:compatExt spid="_x0000_s4139"/>
                </a:ext>
                <a:ext uri="{FF2B5EF4-FFF2-40B4-BE49-F238E27FC236}">
                  <a16:creationId xmlns:a16="http://schemas.microsoft.com/office/drawing/2014/main" id="{00000000-0008-0000-0D00-00002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26</xdr:row>
          <xdr:rowOff>50800</xdr:rowOff>
        </xdr:from>
        <xdr:to>
          <xdr:col>2</xdr:col>
          <xdr:colOff>2032000</xdr:colOff>
          <xdr:row>26</xdr:row>
          <xdr:rowOff>228600</xdr:rowOff>
        </xdr:to>
        <xdr:sp macro="" textlink="">
          <xdr:nvSpPr>
            <xdr:cNvPr id="4143" name="Spinner 47" hidden="1">
              <a:extLst>
                <a:ext uri="{63B3BB69-23CF-44E3-9099-C40C66FF867C}">
                  <a14:compatExt spid="_x0000_s4143"/>
                </a:ext>
                <a:ext uri="{FF2B5EF4-FFF2-40B4-BE49-F238E27FC236}">
                  <a16:creationId xmlns:a16="http://schemas.microsoft.com/office/drawing/2014/main" id="{00000000-0008-0000-0D00-00002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22</xdr:row>
          <xdr:rowOff>57150</xdr:rowOff>
        </xdr:from>
        <xdr:to>
          <xdr:col>2</xdr:col>
          <xdr:colOff>2032000</xdr:colOff>
          <xdr:row>22</xdr:row>
          <xdr:rowOff>247650</xdr:rowOff>
        </xdr:to>
        <xdr:sp macro="" textlink="">
          <xdr:nvSpPr>
            <xdr:cNvPr id="4144" name="Spinner 48" hidden="1">
              <a:extLst>
                <a:ext uri="{63B3BB69-23CF-44E3-9099-C40C66FF867C}">
                  <a14:compatExt spid="_x0000_s4144"/>
                </a:ext>
                <a:ext uri="{FF2B5EF4-FFF2-40B4-BE49-F238E27FC236}">
                  <a16:creationId xmlns:a16="http://schemas.microsoft.com/office/drawing/2014/main" id="{00000000-0008-0000-0D00-00003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28</xdr:row>
          <xdr:rowOff>50800</xdr:rowOff>
        </xdr:from>
        <xdr:to>
          <xdr:col>2</xdr:col>
          <xdr:colOff>2032000</xdr:colOff>
          <xdr:row>28</xdr:row>
          <xdr:rowOff>228600</xdr:rowOff>
        </xdr:to>
        <xdr:sp macro="" textlink="">
          <xdr:nvSpPr>
            <xdr:cNvPr id="4145" name="Spinner 49" hidden="1">
              <a:extLst>
                <a:ext uri="{63B3BB69-23CF-44E3-9099-C40C66FF867C}">
                  <a14:compatExt spid="_x0000_s4145"/>
                </a:ext>
                <a:ext uri="{FF2B5EF4-FFF2-40B4-BE49-F238E27FC236}">
                  <a16:creationId xmlns:a16="http://schemas.microsoft.com/office/drawing/2014/main" id="{00000000-0008-0000-0D00-00003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32</xdr:row>
          <xdr:rowOff>50800</xdr:rowOff>
        </xdr:from>
        <xdr:to>
          <xdr:col>2</xdr:col>
          <xdr:colOff>2032000</xdr:colOff>
          <xdr:row>32</xdr:row>
          <xdr:rowOff>228600</xdr:rowOff>
        </xdr:to>
        <xdr:sp macro="" textlink="">
          <xdr:nvSpPr>
            <xdr:cNvPr id="4147" name="Spinner 51" hidden="1">
              <a:extLst>
                <a:ext uri="{63B3BB69-23CF-44E3-9099-C40C66FF867C}">
                  <a14:compatExt spid="_x0000_s4147"/>
                </a:ext>
                <a:ext uri="{FF2B5EF4-FFF2-40B4-BE49-F238E27FC236}">
                  <a16:creationId xmlns:a16="http://schemas.microsoft.com/office/drawing/2014/main" id="{00000000-0008-0000-0D00-00003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30</xdr:row>
          <xdr:rowOff>50800</xdr:rowOff>
        </xdr:from>
        <xdr:to>
          <xdr:col>2</xdr:col>
          <xdr:colOff>2032000</xdr:colOff>
          <xdr:row>30</xdr:row>
          <xdr:rowOff>228600</xdr:rowOff>
        </xdr:to>
        <xdr:sp macro="" textlink="">
          <xdr:nvSpPr>
            <xdr:cNvPr id="4148" name="Spinner 52" hidden="1">
              <a:extLst>
                <a:ext uri="{63B3BB69-23CF-44E3-9099-C40C66FF867C}">
                  <a14:compatExt spid="_x0000_s4148"/>
                </a:ext>
                <a:ext uri="{FF2B5EF4-FFF2-40B4-BE49-F238E27FC236}">
                  <a16:creationId xmlns:a16="http://schemas.microsoft.com/office/drawing/2014/main" id="{00000000-0008-0000-0D00-00003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34</xdr:row>
          <xdr:rowOff>50800</xdr:rowOff>
        </xdr:from>
        <xdr:to>
          <xdr:col>2</xdr:col>
          <xdr:colOff>2032000</xdr:colOff>
          <xdr:row>34</xdr:row>
          <xdr:rowOff>228600</xdr:rowOff>
        </xdr:to>
        <xdr:sp macro="" textlink="">
          <xdr:nvSpPr>
            <xdr:cNvPr id="4149" name="Spinner 53" hidden="1">
              <a:extLst>
                <a:ext uri="{63B3BB69-23CF-44E3-9099-C40C66FF867C}">
                  <a14:compatExt spid="_x0000_s4149"/>
                </a:ext>
                <a:ext uri="{FF2B5EF4-FFF2-40B4-BE49-F238E27FC236}">
                  <a16:creationId xmlns:a16="http://schemas.microsoft.com/office/drawing/2014/main" id="{00000000-0008-0000-0D00-00003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38</xdr:row>
          <xdr:rowOff>50800</xdr:rowOff>
        </xdr:from>
        <xdr:to>
          <xdr:col>2</xdr:col>
          <xdr:colOff>2032000</xdr:colOff>
          <xdr:row>38</xdr:row>
          <xdr:rowOff>228600</xdr:rowOff>
        </xdr:to>
        <xdr:sp macro="" textlink="">
          <xdr:nvSpPr>
            <xdr:cNvPr id="4152" name="Spinner 56" hidden="1">
              <a:extLst>
                <a:ext uri="{63B3BB69-23CF-44E3-9099-C40C66FF867C}">
                  <a14:compatExt spid="_x0000_s4152"/>
                </a:ext>
                <a:ext uri="{FF2B5EF4-FFF2-40B4-BE49-F238E27FC236}">
                  <a16:creationId xmlns:a16="http://schemas.microsoft.com/office/drawing/2014/main" id="{00000000-0008-0000-0D00-00003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36</xdr:row>
          <xdr:rowOff>50800</xdr:rowOff>
        </xdr:from>
        <xdr:to>
          <xdr:col>2</xdr:col>
          <xdr:colOff>2032000</xdr:colOff>
          <xdr:row>36</xdr:row>
          <xdr:rowOff>228600</xdr:rowOff>
        </xdr:to>
        <xdr:sp macro="" textlink="">
          <xdr:nvSpPr>
            <xdr:cNvPr id="4166" name="Spinner 70" hidden="1">
              <a:extLst>
                <a:ext uri="{63B3BB69-23CF-44E3-9099-C40C66FF867C}">
                  <a14:compatExt spid="_x0000_s4166"/>
                </a:ext>
                <a:ext uri="{FF2B5EF4-FFF2-40B4-BE49-F238E27FC236}">
                  <a16:creationId xmlns:a16="http://schemas.microsoft.com/office/drawing/2014/main" id="{00000000-0008-0000-0D00-00004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1689100</xdr:colOff>
          <xdr:row>20</xdr:row>
          <xdr:rowOff>57150</xdr:rowOff>
        </xdr:from>
        <xdr:to>
          <xdr:col>2</xdr:col>
          <xdr:colOff>2032000</xdr:colOff>
          <xdr:row>20</xdr:row>
          <xdr:rowOff>228600</xdr:rowOff>
        </xdr:to>
        <xdr:sp macro="" textlink="">
          <xdr:nvSpPr>
            <xdr:cNvPr id="4173" name="Spinner 77" hidden="1">
              <a:extLst>
                <a:ext uri="{63B3BB69-23CF-44E3-9099-C40C66FF867C}">
                  <a14:compatExt spid="_x0000_s4173"/>
                </a:ext>
                <a:ext uri="{FF2B5EF4-FFF2-40B4-BE49-F238E27FC236}">
                  <a16:creationId xmlns:a16="http://schemas.microsoft.com/office/drawing/2014/main" id="{00000000-0008-0000-0D00-00004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1695450</xdr:colOff>
          <xdr:row>24</xdr:row>
          <xdr:rowOff>50800</xdr:rowOff>
        </xdr:from>
        <xdr:to>
          <xdr:col>2</xdr:col>
          <xdr:colOff>2038350</xdr:colOff>
          <xdr:row>24</xdr:row>
          <xdr:rowOff>247650</xdr:rowOff>
        </xdr:to>
        <xdr:sp macro="" textlink="">
          <xdr:nvSpPr>
            <xdr:cNvPr id="4174" name="Spinner 78" hidden="1">
              <a:extLst>
                <a:ext uri="{63B3BB69-23CF-44E3-9099-C40C66FF867C}">
                  <a14:compatExt spid="_x0000_s4174"/>
                </a:ext>
                <a:ext uri="{FF2B5EF4-FFF2-40B4-BE49-F238E27FC236}">
                  <a16:creationId xmlns:a16="http://schemas.microsoft.com/office/drawing/2014/main" id="{00000000-0008-0000-0D00-00004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9</xdr:row>
      <xdr:rowOff>19050</xdr:rowOff>
    </xdr:from>
    <xdr:to>
      <xdr:col>8</xdr:col>
      <xdr:colOff>749300</xdr:colOff>
      <xdr:row>55</xdr:row>
      <xdr:rowOff>1</xdr:rowOff>
    </xdr:to>
    <xdr:graphicFrame macro="">
      <xdr:nvGraphicFramePr>
        <xdr:cNvPr id="17" name="Chart 2">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726281</xdr:colOff>
      <xdr:row>8</xdr:row>
      <xdr:rowOff>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392906" y="0"/>
          <a:ext cx="15990094" cy="15240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10000"/>
            </a:lnSpc>
            <a:spcBef>
              <a:spcPts val="0"/>
            </a:spcBef>
            <a:spcAft>
              <a:spcPts val="0"/>
            </a:spcAft>
            <a:buClrTx/>
            <a:buSzTx/>
            <a:buFontTx/>
            <a:buNone/>
            <a:tabLst/>
            <a:defRPr/>
          </a:pPr>
          <a:r>
            <a:rPr lang="en-AU" sz="2200" b="1" baseline="0">
              <a:solidFill>
                <a:schemeClr val="dk1"/>
              </a:solidFill>
              <a:latin typeface="+mn-lt"/>
              <a:ea typeface="+mn-ea"/>
              <a:cs typeface="+mn-cs"/>
            </a:rPr>
            <a:t>Reducing the GHG emission intensity of milk production by improved management</a:t>
          </a:r>
          <a:endParaRPr lang="en-AU" sz="2200" b="1" baseline="0"/>
        </a:p>
        <a:p>
          <a:pPr eaLnBrk="1" fontAlgn="auto" latinLnBrk="0" hangingPunct="1"/>
          <a:r>
            <a:rPr lang="en-AU" sz="1200">
              <a:solidFill>
                <a:schemeClr val="dk1"/>
              </a:solidFill>
              <a:latin typeface="+mn-lt"/>
              <a:ea typeface="+mn-ea"/>
              <a:cs typeface="+mn-cs"/>
            </a:rPr>
            <a:t>This spreadsheet is setup to help producers examine the validity of adopting the strategy of improving the diet energy</a:t>
          </a:r>
          <a:r>
            <a:rPr lang="en-AU" sz="1200" baseline="0">
              <a:solidFill>
                <a:schemeClr val="dk1"/>
              </a:solidFill>
              <a:latin typeface="+mn-lt"/>
              <a:ea typeface="+mn-ea"/>
              <a:cs typeface="+mn-cs"/>
            </a:rPr>
            <a:t> to protein ratio (digestibility to crude protein ratio)</a:t>
          </a:r>
          <a:r>
            <a:rPr lang="en-AU" sz="1200">
              <a:solidFill>
                <a:schemeClr val="dk1"/>
              </a:solidFill>
              <a:latin typeface="+mn-lt"/>
              <a:ea typeface="+mn-ea"/>
              <a:cs typeface="+mn-cs"/>
            </a:rPr>
            <a:t> through management</a:t>
          </a:r>
          <a:r>
            <a:rPr lang="en-AU" sz="1200" baseline="0">
              <a:solidFill>
                <a:schemeClr val="dk1"/>
              </a:solidFill>
              <a:latin typeface="+mn-lt"/>
              <a:ea typeface="+mn-ea"/>
              <a:cs typeface="+mn-cs"/>
            </a:rPr>
            <a:t> practices </a:t>
          </a:r>
          <a:r>
            <a:rPr lang="en-AU" sz="1200">
              <a:solidFill>
                <a:schemeClr val="dk1"/>
              </a:solidFill>
              <a:latin typeface="+mn-lt"/>
              <a:ea typeface="+mn-ea"/>
              <a:cs typeface="+mn-cs"/>
            </a:rPr>
            <a:t>to assist in </a:t>
          </a:r>
          <a:r>
            <a:rPr lang="en-AU" sz="1200" baseline="0">
              <a:solidFill>
                <a:schemeClr val="dk1"/>
              </a:solidFill>
              <a:latin typeface="+mn-lt"/>
              <a:ea typeface="+mn-ea"/>
              <a:cs typeface="+mn-cs"/>
            </a:rPr>
            <a:t>improving milk production and thus reduce the GHG emissions intensity of milk production</a:t>
          </a:r>
          <a:r>
            <a:rPr lang="en-AU" sz="1200">
              <a:solidFill>
                <a:schemeClr val="dk1"/>
              </a:solidFill>
              <a:latin typeface="+mn-lt"/>
              <a:ea typeface="+mn-ea"/>
              <a:cs typeface="+mn-cs"/>
            </a:rPr>
            <a:t>.  The spreadsheet provides an estimate of the current enteric methane production per year (t CO</a:t>
          </a:r>
          <a:r>
            <a:rPr lang="en-AU" sz="1200" baseline="-25000">
              <a:solidFill>
                <a:schemeClr val="dk1"/>
              </a:solidFill>
              <a:latin typeface="+mn-lt"/>
              <a:ea typeface="+mn-ea"/>
              <a:cs typeface="+mn-cs"/>
            </a:rPr>
            <a:t>2</a:t>
          </a:r>
          <a:r>
            <a:rPr lang="en-AU" sz="1200">
              <a:solidFill>
                <a:schemeClr val="dk1"/>
              </a:solidFill>
              <a:latin typeface="+mn-lt"/>
              <a:ea typeface="+mn-ea"/>
              <a:cs typeface="+mn-cs"/>
            </a:rPr>
            <a:t>-e) from the milking herd based on herd size, milk production and diet digestibility.   This spreadsheet estimates the potential level of abatement that can be achieved and calculates the overall potential economic benefit to the farm</a:t>
          </a:r>
          <a:r>
            <a:rPr lang="en-AU" sz="1100">
              <a:solidFill>
                <a:schemeClr val="dk1"/>
              </a:solidFill>
              <a:effectLst/>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9</xdr:col>
      <xdr:colOff>390525</xdr:colOff>
      <xdr:row>191</xdr:row>
      <xdr:rowOff>19050</xdr:rowOff>
    </xdr:from>
    <xdr:to>
      <xdr:col>13</xdr:col>
      <xdr:colOff>504825</xdr:colOff>
      <xdr:row>205</xdr:row>
      <xdr:rowOff>95250</xdr:rowOff>
    </xdr:to>
    <xdr:graphicFrame macro="">
      <xdr:nvGraphicFramePr>
        <xdr:cNvPr id="5194" name="Chart 3">
          <a:extLst>
            <a:ext uri="{FF2B5EF4-FFF2-40B4-BE49-F238E27FC236}">
              <a16:creationId xmlns:a16="http://schemas.microsoft.com/office/drawing/2014/main" id="{00000000-0008-0000-0E00-00004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1019175</xdr:colOff>
      <xdr:row>219</xdr:row>
      <xdr:rowOff>161925</xdr:rowOff>
    </xdr:from>
    <xdr:to>
      <xdr:col>3</xdr:col>
      <xdr:colOff>2981325</xdr:colOff>
      <xdr:row>257</xdr:row>
      <xdr:rowOff>123825</xdr:rowOff>
    </xdr:to>
    <xdr:grpSp>
      <xdr:nvGrpSpPr>
        <xdr:cNvPr id="5195" name="Group 6">
          <a:extLst>
            <a:ext uri="{FF2B5EF4-FFF2-40B4-BE49-F238E27FC236}">
              <a16:creationId xmlns:a16="http://schemas.microsoft.com/office/drawing/2014/main" id="{00000000-0008-0000-0E00-00004B140000}"/>
            </a:ext>
          </a:extLst>
        </xdr:cNvPr>
        <xdr:cNvGrpSpPr>
          <a:grpSpLocks/>
        </xdr:cNvGrpSpPr>
      </xdr:nvGrpSpPr>
      <xdr:grpSpPr bwMode="auto">
        <a:xfrm>
          <a:off x="1247775" y="12172950"/>
          <a:ext cx="9925050" cy="0"/>
          <a:chOff x="611560" y="188640"/>
          <a:chExt cx="7839075" cy="7203132"/>
        </a:xfrm>
      </xdr:grpSpPr>
      <xdr:pic>
        <xdr:nvPicPr>
          <xdr:cNvPr id="5200" name="Picture 7">
            <a:extLst>
              <a:ext uri="{FF2B5EF4-FFF2-40B4-BE49-F238E27FC236}">
                <a16:creationId xmlns:a16="http://schemas.microsoft.com/office/drawing/2014/main" id="{00000000-0008-0000-0E00-000050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1560" y="188640"/>
            <a:ext cx="7724775" cy="3933825"/>
          </a:xfrm>
          <a:prstGeom prst="rect">
            <a:avLst/>
          </a:prstGeom>
          <a:noFill/>
          <a:ln w="9525">
            <a:noFill/>
            <a:miter lim="800000"/>
            <a:headEnd/>
            <a:tailEnd/>
          </a:ln>
        </xdr:spPr>
      </xdr:pic>
      <xdr:pic>
        <xdr:nvPicPr>
          <xdr:cNvPr id="5201" name="Picture 8">
            <a:extLst>
              <a:ext uri="{FF2B5EF4-FFF2-40B4-BE49-F238E27FC236}">
                <a16:creationId xmlns:a16="http://schemas.microsoft.com/office/drawing/2014/main" id="{00000000-0008-0000-0E00-000051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11560" y="4077072"/>
            <a:ext cx="7839075" cy="3314700"/>
          </a:xfrm>
          <a:prstGeom prst="rect">
            <a:avLst/>
          </a:prstGeom>
          <a:noFill/>
          <a:ln w="9525">
            <a:noFill/>
            <a:miter lim="800000"/>
            <a:headEnd/>
            <a:tailEnd/>
          </a:ln>
        </xdr:spPr>
      </xdr:pic>
    </xdr:grpSp>
    <xdr:clientData/>
  </xdr:twoCellAnchor>
  <xdr:twoCellAnchor>
    <xdr:from>
      <xdr:col>4</xdr:col>
      <xdr:colOff>0</xdr:colOff>
      <xdr:row>219</xdr:row>
      <xdr:rowOff>38100</xdr:rowOff>
    </xdr:from>
    <xdr:to>
      <xdr:col>11</xdr:col>
      <xdr:colOff>266700</xdr:colOff>
      <xdr:row>258</xdr:row>
      <xdr:rowOff>142875</xdr:rowOff>
    </xdr:to>
    <xdr:grpSp>
      <xdr:nvGrpSpPr>
        <xdr:cNvPr id="5196" name="Group 10">
          <a:extLst>
            <a:ext uri="{FF2B5EF4-FFF2-40B4-BE49-F238E27FC236}">
              <a16:creationId xmlns:a16="http://schemas.microsoft.com/office/drawing/2014/main" id="{00000000-0008-0000-0E00-00004C140000}"/>
            </a:ext>
          </a:extLst>
        </xdr:cNvPr>
        <xdr:cNvGrpSpPr>
          <a:grpSpLocks/>
        </xdr:cNvGrpSpPr>
      </xdr:nvGrpSpPr>
      <xdr:grpSpPr bwMode="auto">
        <a:xfrm>
          <a:off x="11404600" y="12172950"/>
          <a:ext cx="8445500" cy="0"/>
          <a:chOff x="467544" y="0"/>
          <a:chExt cx="8066856" cy="7533456"/>
        </a:xfrm>
      </xdr:grpSpPr>
      <xdr:pic>
        <xdr:nvPicPr>
          <xdr:cNvPr id="5198" name="Picture 11">
            <a:extLst>
              <a:ext uri="{FF2B5EF4-FFF2-40B4-BE49-F238E27FC236}">
                <a16:creationId xmlns:a16="http://schemas.microsoft.com/office/drawing/2014/main" id="{00000000-0008-0000-0E00-00004E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67544" y="0"/>
            <a:ext cx="7953375" cy="4048125"/>
          </a:xfrm>
          <a:prstGeom prst="rect">
            <a:avLst/>
          </a:prstGeom>
          <a:noFill/>
          <a:ln w="9525">
            <a:noFill/>
            <a:miter lim="800000"/>
            <a:headEnd/>
            <a:tailEnd/>
          </a:ln>
        </xdr:spPr>
      </xdr:pic>
      <xdr:pic>
        <xdr:nvPicPr>
          <xdr:cNvPr id="5199" name="Picture 12">
            <a:extLst>
              <a:ext uri="{FF2B5EF4-FFF2-40B4-BE49-F238E27FC236}">
                <a16:creationId xmlns:a16="http://schemas.microsoft.com/office/drawing/2014/main" id="{00000000-0008-0000-0E00-00004F1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09600" y="3990156"/>
            <a:ext cx="7924800" cy="3543300"/>
          </a:xfrm>
          <a:prstGeom prst="rect">
            <a:avLst/>
          </a:prstGeom>
          <a:noFill/>
          <a:ln w="9525">
            <a:noFill/>
            <a:miter lim="800000"/>
            <a:headEnd/>
            <a:tailEnd/>
          </a:ln>
        </xdr:spPr>
      </xdr:pic>
    </xdr:grpSp>
    <xdr:clientData/>
  </xdr:twoCellAnchor>
  <xdr:twoCellAnchor>
    <xdr:from>
      <xdr:col>1</xdr:col>
      <xdr:colOff>657225</xdr:colOff>
      <xdr:row>49</xdr:row>
      <xdr:rowOff>104775</xdr:rowOff>
    </xdr:from>
    <xdr:to>
      <xdr:col>3</xdr:col>
      <xdr:colOff>342900</xdr:colOff>
      <xdr:row>52</xdr:row>
      <xdr:rowOff>114300</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00000000-0008-0000-0E00-00000E000000}"/>
            </a:ext>
          </a:extLst>
        </xdr:cNvPr>
        <xdr:cNvSpPr txBox="1"/>
      </xdr:nvSpPr>
      <xdr:spPr>
        <a:xfrm>
          <a:off x="657225" y="7800975"/>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1498600</xdr:colOff>
          <xdr:row>17</xdr:row>
          <xdr:rowOff>57150</xdr:rowOff>
        </xdr:from>
        <xdr:to>
          <xdr:col>2</xdr:col>
          <xdr:colOff>1841500</xdr:colOff>
          <xdr:row>18</xdr:row>
          <xdr:rowOff>0</xdr:rowOff>
        </xdr:to>
        <xdr:sp macro="" textlink="">
          <xdr:nvSpPr>
            <xdr:cNvPr id="5223" name="Spinner 103" hidden="1">
              <a:extLst>
                <a:ext uri="{63B3BB69-23CF-44E3-9099-C40C66FF867C}">
                  <a14:compatExt spid="_x0000_s5223"/>
                </a:ext>
                <a:ext uri="{FF2B5EF4-FFF2-40B4-BE49-F238E27FC236}">
                  <a16:creationId xmlns:a16="http://schemas.microsoft.com/office/drawing/2014/main" id="{00000000-0008-0000-0E00-00006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21</xdr:row>
          <xdr:rowOff>57150</xdr:rowOff>
        </xdr:from>
        <xdr:to>
          <xdr:col>2</xdr:col>
          <xdr:colOff>1828800</xdr:colOff>
          <xdr:row>21</xdr:row>
          <xdr:rowOff>241300</xdr:rowOff>
        </xdr:to>
        <xdr:sp macro="" textlink="">
          <xdr:nvSpPr>
            <xdr:cNvPr id="5224" name="Spinner 104" hidden="1">
              <a:extLst>
                <a:ext uri="{63B3BB69-23CF-44E3-9099-C40C66FF867C}">
                  <a14:compatExt spid="_x0000_s5224"/>
                </a:ext>
                <a:ext uri="{FF2B5EF4-FFF2-40B4-BE49-F238E27FC236}">
                  <a16:creationId xmlns:a16="http://schemas.microsoft.com/office/drawing/2014/main" id="{00000000-0008-0000-0E00-00006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23</xdr:row>
          <xdr:rowOff>57150</xdr:rowOff>
        </xdr:from>
        <xdr:to>
          <xdr:col>2</xdr:col>
          <xdr:colOff>1828800</xdr:colOff>
          <xdr:row>23</xdr:row>
          <xdr:rowOff>241300</xdr:rowOff>
        </xdr:to>
        <xdr:sp macro="" textlink="">
          <xdr:nvSpPr>
            <xdr:cNvPr id="5225" name="Spinner 105" hidden="1">
              <a:extLst>
                <a:ext uri="{63B3BB69-23CF-44E3-9099-C40C66FF867C}">
                  <a14:compatExt spid="_x0000_s5225"/>
                </a:ext>
                <a:ext uri="{FF2B5EF4-FFF2-40B4-BE49-F238E27FC236}">
                  <a16:creationId xmlns:a16="http://schemas.microsoft.com/office/drawing/2014/main" id="{00000000-0008-0000-0E00-00006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25</xdr:row>
          <xdr:rowOff>57150</xdr:rowOff>
        </xdr:from>
        <xdr:to>
          <xdr:col>2</xdr:col>
          <xdr:colOff>1828800</xdr:colOff>
          <xdr:row>25</xdr:row>
          <xdr:rowOff>241300</xdr:rowOff>
        </xdr:to>
        <xdr:sp macro="" textlink="">
          <xdr:nvSpPr>
            <xdr:cNvPr id="5226" name="Spinner 106" hidden="1">
              <a:extLst>
                <a:ext uri="{63B3BB69-23CF-44E3-9099-C40C66FF867C}">
                  <a14:compatExt spid="_x0000_s5226"/>
                </a:ext>
                <a:ext uri="{FF2B5EF4-FFF2-40B4-BE49-F238E27FC236}">
                  <a16:creationId xmlns:a16="http://schemas.microsoft.com/office/drawing/2014/main" id="{00000000-0008-0000-0E00-00006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29</xdr:row>
          <xdr:rowOff>57150</xdr:rowOff>
        </xdr:from>
        <xdr:to>
          <xdr:col>2</xdr:col>
          <xdr:colOff>1828800</xdr:colOff>
          <xdr:row>29</xdr:row>
          <xdr:rowOff>241300</xdr:rowOff>
        </xdr:to>
        <xdr:sp macro="" textlink="">
          <xdr:nvSpPr>
            <xdr:cNvPr id="5228" name="Spinner 108" hidden="1">
              <a:extLst>
                <a:ext uri="{63B3BB69-23CF-44E3-9099-C40C66FF867C}">
                  <a14:compatExt spid="_x0000_s5228"/>
                </a:ext>
                <a:ext uri="{FF2B5EF4-FFF2-40B4-BE49-F238E27FC236}">
                  <a16:creationId xmlns:a16="http://schemas.microsoft.com/office/drawing/2014/main" id="{00000000-0008-0000-0E00-00006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27</xdr:row>
          <xdr:rowOff>57150</xdr:rowOff>
        </xdr:from>
        <xdr:to>
          <xdr:col>2</xdr:col>
          <xdr:colOff>1828800</xdr:colOff>
          <xdr:row>27</xdr:row>
          <xdr:rowOff>241300</xdr:rowOff>
        </xdr:to>
        <xdr:sp macro="" textlink="">
          <xdr:nvSpPr>
            <xdr:cNvPr id="5233" name="Spinner 113" hidden="1">
              <a:extLst>
                <a:ext uri="{63B3BB69-23CF-44E3-9099-C40C66FF867C}">
                  <a14:compatExt spid="_x0000_s5233"/>
                </a:ext>
                <a:ext uri="{FF2B5EF4-FFF2-40B4-BE49-F238E27FC236}">
                  <a16:creationId xmlns:a16="http://schemas.microsoft.com/office/drawing/2014/main" id="{00000000-0008-0000-0E00-00007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19</xdr:row>
          <xdr:rowOff>57150</xdr:rowOff>
        </xdr:from>
        <xdr:to>
          <xdr:col>2</xdr:col>
          <xdr:colOff>1828800</xdr:colOff>
          <xdr:row>20</xdr:row>
          <xdr:rowOff>0</xdr:rowOff>
        </xdr:to>
        <xdr:sp macro="" textlink="">
          <xdr:nvSpPr>
            <xdr:cNvPr id="5242" name="Spinner 122" hidden="1">
              <a:extLst>
                <a:ext uri="{63B3BB69-23CF-44E3-9099-C40C66FF867C}">
                  <a14:compatExt spid="_x0000_s5242"/>
                </a:ext>
                <a:ext uri="{FF2B5EF4-FFF2-40B4-BE49-F238E27FC236}">
                  <a16:creationId xmlns:a16="http://schemas.microsoft.com/office/drawing/2014/main" id="{00000000-0008-0000-0E00-00007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8</xdr:row>
      <xdr:rowOff>0</xdr:rowOff>
    </xdr:from>
    <xdr:to>
      <xdr:col>8</xdr:col>
      <xdr:colOff>743857</xdr:colOff>
      <xdr:row>47</xdr:row>
      <xdr:rowOff>244929</xdr:rowOff>
    </xdr:to>
    <xdr:graphicFrame macro="">
      <xdr:nvGraphicFramePr>
        <xdr:cNvPr id="19" name="Chart 2">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676275</xdr:colOff>
      <xdr:row>9</xdr:row>
      <xdr:rowOff>25400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457200" y="0"/>
          <a:ext cx="15907808" cy="15494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Reducing the GHG emission intensity of milk production by feeding higher quality supplements</a:t>
          </a:r>
        </a:p>
        <a:p>
          <a:pPr eaLnBrk="1" fontAlgn="auto" latinLnBrk="0" hangingPunct="1"/>
          <a:r>
            <a:rPr lang="en-AU" sz="1200">
              <a:solidFill>
                <a:schemeClr val="dk1"/>
              </a:solidFill>
              <a:latin typeface="+mn-lt"/>
              <a:ea typeface="+mn-ea"/>
              <a:cs typeface="+mn-cs"/>
            </a:rPr>
            <a:t>This spreadsheet is setup to help producers examine the validity of adopting the strategy of feeding of  supplements higher in </a:t>
          </a:r>
          <a:r>
            <a:rPr lang="en-AU" sz="1200" baseline="0">
              <a:solidFill>
                <a:schemeClr val="dk1"/>
              </a:solidFill>
              <a:latin typeface="+mn-lt"/>
              <a:ea typeface="+mn-ea"/>
              <a:cs typeface="+mn-cs"/>
            </a:rPr>
            <a:t> digestibility and/or lower in protein to improve milk production and thus reduce the GHG emissions intensity of milk production. </a:t>
          </a:r>
          <a:r>
            <a:rPr lang="en-AU" sz="1200">
              <a:solidFill>
                <a:schemeClr val="dk1"/>
              </a:solidFill>
              <a:latin typeface="+mn-lt"/>
              <a:ea typeface="+mn-ea"/>
              <a:cs typeface="+mn-cs"/>
            </a:rPr>
            <a:t> Improving diet</a:t>
          </a:r>
          <a:r>
            <a:rPr lang="en-AU" sz="1200" baseline="0">
              <a:solidFill>
                <a:schemeClr val="dk1"/>
              </a:solidFill>
              <a:latin typeface="+mn-lt"/>
              <a:ea typeface="+mn-ea"/>
              <a:cs typeface="+mn-cs"/>
            </a:rPr>
            <a:t> digestibility will result in increase diet intake and therefore enteric methane production.  However the improved diet will also supply additional energy to improve milk production and thus dilute the increased GHG emissions.  </a:t>
          </a:r>
          <a:r>
            <a:rPr lang="en-AU" sz="1200">
              <a:solidFill>
                <a:schemeClr val="dk1"/>
              </a:solidFill>
              <a:latin typeface="+mn-lt"/>
              <a:ea typeface="+mn-ea"/>
              <a:cs typeface="+mn-cs"/>
            </a:rPr>
            <a:t>This spreadsheet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energy intake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446314</xdr:colOff>
      <xdr:row>53</xdr:row>
      <xdr:rowOff>9525</xdr:rowOff>
    </xdr:from>
    <xdr:to>
      <xdr:col>2</xdr:col>
      <xdr:colOff>1809750</xdr:colOff>
      <xdr:row>56</xdr:row>
      <xdr:rowOff>19050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F00-000004000000}"/>
            </a:ext>
          </a:extLst>
        </xdr:cNvPr>
        <xdr:cNvSpPr txBox="1"/>
      </xdr:nvSpPr>
      <xdr:spPr>
        <a:xfrm>
          <a:off x="674914" y="11156496"/>
          <a:ext cx="7056665" cy="49938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1238250</xdr:colOff>
          <xdr:row>18</xdr:row>
          <xdr:rowOff>57150</xdr:rowOff>
        </xdr:from>
        <xdr:to>
          <xdr:col>2</xdr:col>
          <xdr:colOff>1581150</xdr:colOff>
          <xdr:row>18</xdr:row>
          <xdr:rowOff>247650</xdr:rowOff>
        </xdr:to>
        <xdr:sp macro="" textlink="">
          <xdr:nvSpPr>
            <xdr:cNvPr id="15402" name="Spinner 42" hidden="1">
              <a:extLst>
                <a:ext uri="{63B3BB69-23CF-44E3-9099-C40C66FF867C}">
                  <a14:compatExt spid="_x0000_s15402"/>
                </a:ext>
                <a:ext uri="{FF2B5EF4-FFF2-40B4-BE49-F238E27FC236}">
                  <a16:creationId xmlns:a16="http://schemas.microsoft.com/office/drawing/2014/main" id="{00000000-0008-0000-0F00-00002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20</xdr:row>
          <xdr:rowOff>57150</xdr:rowOff>
        </xdr:from>
        <xdr:to>
          <xdr:col>2</xdr:col>
          <xdr:colOff>1581150</xdr:colOff>
          <xdr:row>20</xdr:row>
          <xdr:rowOff>247650</xdr:rowOff>
        </xdr:to>
        <xdr:sp macro="" textlink="">
          <xdr:nvSpPr>
            <xdr:cNvPr id="15403" name="Spinner 43" hidden="1">
              <a:extLst>
                <a:ext uri="{63B3BB69-23CF-44E3-9099-C40C66FF867C}">
                  <a14:compatExt spid="_x0000_s15403"/>
                </a:ext>
                <a:ext uri="{FF2B5EF4-FFF2-40B4-BE49-F238E27FC236}">
                  <a16:creationId xmlns:a16="http://schemas.microsoft.com/office/drawing/2014/main" id="{00000000-0008-0000-0F00-00002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24</xdr:row>
          <xdr:rowOff>57150</xdr:rowOff>
        </xdr:from>
        <xdr:to>
          <xdr:col>2</xdr:col>
          <xdr:colOff>1581150</xdr:colOff>
          <xdr:row>24</xdr:row>
          <xdr:rowOff>247650</xdr:rowOff>
        </xdr:to>
        <xdr:sp macro="" textlink="">
          <xdr:nvSpPr>
            <xdr:cNvPr id="15405" name="Spinner 45" hidden="1">
              <a:extLst>
                <a:ext uri="{63B3BB69-23CF-44E3-9099-C40C66FF867C}">
                  <a14:compatExt spid="_x0000_s15405"/>
                </a:ext>
                <a:ext uri="{FF2B5EF4-FFF2-40B4-BE49-F238E27FC236}">
                  <a16:creationId xmlns:a16="http://schemas.microsoft.com/office/drawing/2014/main" id="{00000000-0008-0000-0F00-00002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26</xdr:row>
          <xdr:rowOff>57150</xdr:rowOff>
        </xdr:from>
        <xdr:to>
          <xdr:col>2</xdr:col>
          <xdr:colOff>1581150</xdr:colOff>
          <xdr:row>26</xdr:row>
          <xdr:rowOff>247650</xdr:rowOff>
        </xdr:to>
        <xdr:sp macro="" textlink="">
          <xdr:nvSpPr>
            <xdr:cNvPr id="15409" name="Spinner 49" hidden="1">
              <a:extLst>
                <a:ext uri="{63B3BB69-23CF-44E3-9099-C40C66FF867C}">
                  <a14:compatExt spid="_x0000_s15409"/>
                </a:ext>
                <a:ext uri="{FF2B5EF4-FFF2-40B4-BE49-F238E27FC236}">
                  <a16:creationId xmlns:a16="http://schemas.microsoft.com/office/drawing/2014/main" id="{00000000-0008-0000-0F00-00003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28</xdr:row>
          <xdr:rowOff>57150</xdr:rowOff>
        </xdr:from>
        <xdr:to>
          <xdr:col>2</xdr:col>
          <xdr:colOff>1581150</xdr:colOff>
          <xdr:row>28</xdr:row>
          <xdr:rowOff>241300</xdr:rowOff>
        </xdr:to>
        <xdr:sp macro="" textlink="">
          <xdr:nvSpPr>
            <xdr:cNvPr id="15410" name="Spinner 50" hidden="1">
              <a:extLst>
                <a:ext uri="{63B3BB69-23CF-44E3-9099-C40C66FF867C}">
                  <a14:compatExt spid="_x0000_s15410"/>
                </a:ext>
                <a:ext uri="{FF2B5EF4-FFF2-40B4-BE49-F238E27FC236}">
                  <a16:creationId xmlns:a16="http://schemas.microsoft.com/office/drawing/2014/main" id="{00000000-0008-0000-0F00-00003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30</xdr:row>
          <xdr:rowOff>57150</xdr:rowOff>
        </xdr:from>
        <xdr:to>
          <xdr:col>2</xdr:col>
          <xdr:colOff>1581150</xdr:colOff>
          <xdr:row>30</xdr:row>
          <xdr:rowOff>241300</xdr:rowOff>
        </xdr:to>
        <xdr:sp macro="" textlink="">
          <xdr:nvSpPr>
            <xdr:cNvPr id="15412" name="Spinner 52" hidden="1">
              <a:extLst>
                <a:ext uri="{63B3BB69-23CF-44E3-9099-C40C66FF867C}">
                  <a14:compatExt spid="_x0000_s15412"/>
                </a:ext>
                <a:ext uri="{FF2B5EF4-FFF2-40B4-BE49-F238E27FC236}">
                  <a16:creationId xmlns:a16="http://schemas.microsoft.com/office/drawing/2014/main" id="{00000000-0008-0000-0F00-00003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34</xdr:row>
          <xdr:rowOff>50800</xdr:rowOff>
        </xdr:from>
        <xdr:to>
          <xdr:col>2</xdr:col>
          <xdr:colOff>1581150</xdr:colOff>
          <xdr:row>34</xdr:row>
          <xdr:rowOff>247650</xdr:rowOff>
        </xdr:to>
        <xdr:sp macro="" textlink="">
          <xdr:nvSpPr>
            <xdr:cNvPr id="15414" name="Spinner 54" hidden="1">
              <a:extLst>
                <a:ext uri="{63B3BB69-23CF-44E3-9099-C40C66FF867C}">
                  <a14:compatExt spid="_x0000_s15414"/>
                </a:ext>
                <a:ext uri="{FF2B5EF4-FFF2-40B4-BE49-F238E27FC236}">
                  <a16:creationId xmlns:a16="http://schemas.microsoft.com/office/drawing/2014/main" id="{00000000-0008-0000-0F00-00003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32</xdr:row>
          <xdr:rowOff>57150</xdr:rowOff>
        </xdr:from>
        <xdr:to>
          <xdr:col>2</xdr:col>
          <xdr:colOff>1581150</xdr:colOff>
          <xdr:row>32</xdr:row>
          <xdr:rowOff>247650</xdr:rowOff>
        </xdr:to>
        <xdr:sp macro="" textlink="">
          <xdr:nvSpPr>
            <xdr:cNvPr id="15422" name="Spinner 62" hidden="1">
              <a:extLst>
                <a:ext uri="{63B3BB69-23CF-44E3-9099-C40C66FF867C}">
                  <a14:compatExt spid="_x0000_s15422"/>
                </a:ext>
                <a:ext uri="{FF2B5EF4-FFF2-40B4-BE49-F238E27FC236}">
                  <a16:creationId xmlns:a16="http://schemas.microsoft.com/office/drawing/2014/main" id="{00000000-0008-0000-0F00-00003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22</xdr:row>
          <xdr:rowOff>69850</xdr:rowOff>
        </xdr:from>
        <xdr:to>
          <xdr:col>2</xdr:col>
          <xdr:colOff>1581150</xdr:colOff>
          <xdr:row>23</xdr:row>
          <xdr:rowOff>0</xdr:rowOff>
        </xdr:to>
        <xdr:sp macro="" textlink="">
          <xdr:nvSpPr>
            <xdr:cNvPr id="15425" name="Spinner 65" hidden="1">
              <a:extLst>
                <a:ext uri="{63B3BB69-23CF-44E3-9099-C40C66FF867C}">
                  <a14:compatExt spid="_x0000_s15425"/>
                </a:ext>
                <a:ext uri="{FF2B5EF4-FFF2-40B4-BE49-F238E27FC236}">
                  <a16:creationId xmlns:a16="http://schemas.microsoft.com/office/drawing/2014/main" id="{00000000-0008-0000-0F00-00004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9</xdr:row>
      <xdr:rowOff>0</xdr:rowOff>
    </xdr:from>
    <xdr:to>
      <xdr:col>8</xdr:col>
      <xdr:colOff>666750</xdr:colOff>
      <xdr:row>50</xdr:row>
      <xdr:rowOff>241300</xdr:rowOff>
    </xdr:to>
    <xdr:graphicFrame macro="">
      <xdr:nvGraphicFramePr>
        <xdr:cNvPr id="14" name="Chart 2">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678657</xdr:colOff>
      <xdr:row>7</xdr:row>
      <xdr:rowOff>177800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228600" y="0"/>
          <a:ext cx="16947357" cy="145796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Coating N fertilisers with nitrification inhibitors</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reducing the direct and indirect nitrous oxide</a:t>
          </a:r>
          <a:r>
            <a:rPr lang="en-AU" sz="1200" baseline="0">
              <a:solidFill>
                <a:schemeClr val="dk1"/>
              </a:solidFill>
              <a:latin typeface="+mn-lt"/>
              <a:ea typeface="+mn-ea"/>
              <a:cs typeface="+mn-cs"/>
            </a:rPr>
            <a:t> emissions by coating nitrogen fertilisers  with nitrification inhibitors.  This strategy can potentially result in additional pasture production which could impact on enteric CH4 emissions.  </a:t>
          </a:r>
          <a:r>
            <a:rPr lang="en-AU" sz="1200">
              <a:solidFill>
                <a:schemeClr val="dk1"/>
              </a:solidFill>
              <a:latin typeface="+mn-lt"/>
              <a:ea typeface="+mn-ea"/>
              <a:cs typeface="+mn-cs"/>
            </a:rPr>
            <a:t>This spreadsheet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endParaRPr lang="en-AU" sz="1200"/>
        </a:p>
      </xdr:txBody>
    </xdr:sp>
    <xdr:clientData/>
  </xdr:twoCellAnchor>
  <xdr:twoCellAnchor>
    <xdr:from>
      <xdr:col>1</xdr:col>
      <xdr:colOff>895350</xdr:colOff>
      <xdr:row>54</xdr:row>
      <xdr:rowOff>88102</xdr:rowOff>
    </xdr:from>
    <xdr:to>
      <xdr:col>3</xdr:col>
      <xdr:colOff>9525</xdr:colOff>
      <xdr:row>57</xdr:row>
      <xdr:rowOff>97627</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000-000004000000}"/>
            </a:ext>
          </a:extLst>
        </xdr:cNvPr>
        <xdr:cNvSpPr txBox="1"/>
      </xdr:nvSpPr>
      <xdr:spPr>
        <a:xfrm>
          <a:off x="1123950" y="11236162"/>
          <a:ext cx="6543675" cy="55816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1276350</xdr:colOff>
          <xdr:row>17</xdr:row>
          <xdr:rowOff>31750</xdr:rowOff>
        </xdr:from>
        <xdr:to>
          <xdr:col>2</xdr:col>
          <xdr:colOff>1619250</xdr:colOff>
          <xdr:row>17</xdr:row>
          <xdr:rowOff>209550</xdr:rowOff>
        </xdr:to>
        <xdr:sp macro="" textlink="">
          <xdr:nvSpPr>
            <xdr:cNvPr id="72705" name="Spinner 1" hidden="1">
              <a:extLst>
                <a:ext uri="{63B3BB69-23CF-44E3-9099-C40C66FF867C}">
                  <a14:compatExt spid="_x0000_s72705"/>
                </a:ext>
                <a:ext uri="{FF2B5EF4-FFF2-40B4-BE49-F238E27FC236}">
                  <a16:creationId xmlns:a16="http://schemas.microsoft.com/office/drawing/2014/main" id="{00000000-0008-0000-1000-000001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15</xdr:row>
          <xdr:rowOff>31750</xdr:rowOff>
        </xdr:from>
        <xdr:to>
          <xdr:col>2</xdr:col>
          <xdr:colOff>1619250</xdr:colOff>
          <xdr:row>15</xdr:row>
          <xdr:rowOff>209550</xdr:rowOff>
        </xdr:to>
        <xdr:sp macro="" textlink="">
          <xdr:nvSpPr>
            <xdr:cNvPr id="72706" name="Spinner 2" hidden="1">
              <a:extLst>
                <a:ext uri="{63B3BB69-23CF-44E3-9099-C40C66FF867C}">
                  <a14:compatExt spid="_x0000_s72706"/>
                </a:ext>
                <a:ext uri="{FF2B5EF4-FFF2-40B4-BE49-F238E27FC236}">
                  <a16:creationId xmlns:a16="http://schemas.microsoft.com/office/drawing/2014/main" id="{00000000-0008-0000-1000-000002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19</xdr:row>
          <xdr:rowOff>31750</xdr:rowOff>
        </xdr:from>
        <xdr:to>
          <xdr:col>2</xdr:col>
          <xdr:colOff>1619250</xdr:colOff>
          <xdr:row>19</xdr:row>
          <xdr:rowOff>209550</xdr:rowOff>
        </xdr:to>
        <xdr:sp macro="" textlink="">
          <xdr:nvSpPr>
            <xdr:cNvPr id="72707" name="Spinner 3" hidden="1">
              <a:extLst>
                <a:ext uri="{63B3BB69-23CF-44E3-9099-C40C66FF867C}">
                  <a14:compatExt spid="_x0000_s72707"/>
                </a:ext>
                <a:ext uri="{FF2B5EF4-FFF2-40B4-BE49-F238E27FC236}">
                  <a16:creationId xmlns:a16="http://schemas.microsoft.com/office/drawing/2014/main" id="{00000000-0008-0000-1000-000003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21</xdr:row>
          <xdr:rowOff>31750</xdr:rowOff>
        </xdr:from>
        <xdr:to>
          <xdr:col>2</xdr:col>
          <xdr:colOff>1619250</xdr:colOff>
          <xdr:row>21</xdr:row>
          <xdr:rowOff>209550</xdr:rowOff>
        </xdr:to>
        <xdr:sp macro="" textlink="">
          <xdr:nvSpPr>
            <xdr:cNvPr id="72708" name="Spinner 4" hidden="1">
              <a:extLst>
                <a:ext uri="{63B3BB69-23CF-44E3-9099-C40C66FF867C}">
                  <a14:compatExt spid="_x0000_s72708"/>
                </a:ext>
                <a:ext uri="{FF2B5EF4-FFF2-40B4-BE49-F238E27FC236}">
                  <a16:creationId xmlns:a16="http://schemas.microsoft.com/office/drawing/2014/main" id="{00000000-0008-0000-1000-000004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23</xdr:row>
          <xdr:rowOff>31750</xdr:rowOff>
        </xdr:from>
        <xdr:to>
          <xdr:col>2</xdr:col>
          <xdr:colOff>1619250</xdr:colOff>
          <xdr:row>23</xdr:row>
          <xdr:rowOff>209550</xdr:rowOff>
        </xdr:to>
        <xdr:sp macro="" textlink="">
          <xdr:nvSpPr>
            <xdr:cNvPr id="72709" name="Spinner 5" hidden="1">
              <a:extLst>
                <a:ext uri="{63B3BB69-23CF-44E3-9099-C40C66FF867C}">
                  <a14:compatExt spid="_x0000_s72709"/>
                </a:ext>
                <a:ext uri="{FF2B5EF4-FFF2-40B4-BE49-F238E27FC236}">
                  <a16:creationId xmlns:a16="http://schemas.microsoft.com/office/drawing/2014/main" id="{00000000-0008-0000-1000-000005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25</xdr:row>
          <xdr:rowOff>31750</xdr:rowOff>
        </xdr:from>
        <xdr:to>
          <xdr:col>2</xdr:col>
          <xdr:colOff>1619250</xdr:colOff>
          <xdr:row>25</xdr:row>
          <xdr:rowOff>209550</xdr:rowOff>
        </xdr:to>
        <xdr:sp macro="" textlink="">
          <xdr:nvSpPr>
            <xdr:cNvPr id="72710" name="Spinner 6" hidden="1">
              <a:extLst>
                <a:ext uri="{63B3BB69-23CF-44E3-9099-C40C66FF867C}">
                  <a14:compatExt spid="_x0000_s72710"/>
                </a:ext>
                <a:ext uri="{FF2B5EF4-FFF2-40B4-BE49-F238E27FC236}">
                  <a16:creationId xmlns:a16="http://schemas.microsoft.com/office/drawing/2014/main" id="{00000000-0008-0000-1000-000006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27</xdr:row>
          <xdr:rowOff>31750</xdr:rowOff>
        </xdr:from>
        <xdr:to>
          <xdr:col>2</xdr:col>
          <xdr:colOff>1619250</xdr:colOff>
          <xdr:row>27</xdr:row>
          <xdr:rowOff>209550</xdr:rowOff>
        </xdr:to>
        <xdr:sp macro="" textlink="">
          <xdr:nvSpPr>
            <xdr:cNvPr id="72711" name="Spinner 7" hidden="1">
              <a:extLst>
                <a:ext uri="{63B3BB69-23CF-44E3-9099-C40C66FF867C}">
                  <a14:compatExt spid="_x0000_s72711"/>
                </a:ext>
                <a:ext uri="{FF2B5EF4-FFF2-40B4-BE49-F238E27FC236}">
                  <a16:creationId xmlns:a16="http://schemas.microsoft.com/office/drawing/2014/main" id="{00000000-0008-0000-1000-000007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31</xdr:row>
          <xdr:rowOff>19050</xdr:rowOff>
        </xdr:from>
        <xdr:to>
          <xdr:col>2</xdr:col>
          <xdr:colOff>1619250</xdr:colOff>
          <xdr:row>31</xdr:row>
          <xdr:rowOff>209550</xdr:rowOff>
        </xdr:to>
        <xdr:sp macro="" textlink="">
          <xdr:nvSpPr>
            <xdr:cNvPr id="72712" name="Spinner 8" hidden="1">
              <a:extLst>
                <a:ext uri="{63B3BB69-23CF-44E3-9099-C40C66FF867C}">
                  <a14:compatExt spid="_x0000_s72712"/>
                </a:ext>
                <a:ext uri="{FF2B5EF4-FFF2-40B4-BE49-F238E27FC236}">
                  <a16:creationId xmlns:a16="http://schemas.microsoft.com/office/drawing/2014/main" id="{00000000-0008-0000-1000-000008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37</xdr:row>
          <xdr:rowOff>38100</xdr:rowOff>
        </xdr:from>
        <xdr:to>
          <xdr:col>2</xdr:col>
          <xdr:colOff>1619250</xdr:colOff>
          <xdr:row>37</xdr:row>
          <xdr:rowOff>222250</xdr:rowOff>
        </xdr:to>
        <xdr:sp macro="" textlink="">
          <xdr:nvSpPr>
            <xdr:cNvPr id="72713" name="Spinner 9" hidden="1">
              <a:extLst>
                <a:ext uri="{63B3BB69-23CF-44E3-9099-C40C66FF867C}">
                  <a14:compatExt spid="_x0000_s72713"/>
                </a:ext>
                <a:ext uri="{FF2B5EF4-FFF2-40B4-BE49-F238E27FC236}">
                  <a16:creationId xmlns:a16="http://schemas.microsoft.com/office/drawing/2014/main" id="{00000000-0008-0000-1000-000009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29</xdr:row>
          <xdr:rowOff>31750</xdr:rowOff>
        </xdr:from>
        <xdr:to>
          <xdr:col>2</xdr:col>
          <xdr:colOff>1619250</xdr:colOff>
          <xdr:row>29</xdr:row>
          <xdr:rowOff>209550</xdr:rowOff>
        </xdr:to>
        <xdr:sp macro="" textlink="">
          <xdr:nvSpPr>
            <xdr:cNvPr id="72714" name="Spinner 10" hidden="1">
              <a:extLst>
                <a:ext uri="{63B3BB69-23CF-44E3-9099-C40C66FF867C}">
                  <a14:compatExt spid="_x0000_s72714"/>
                </a:ext>
                <a:ext uri="{FF2B5EF4-FFF2-40B4-BE49-F238E27FC236}">
                  <a16:creationId xmlns:a16="http://schemas.microsoft.com/office/drawing/2014/main" id="{00000000-0008-0000-1000-00000A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1022350</xdr:colOff>
          <xdr:row>35</xdr:row>
          <xdr:rowOff>0</xdr:rowOff>
        </xdr:from>
        <xdr:to>
          <xdr:col>2</xdr:col>
          <xdr:colOff>1365250</xdr:colOff>
          <xdr:row>35</xdr:row>
          <xdr:rowOff>0</xdr:rowOff>
        </xdr:to>
        <xdr:sp macro="" textlink="">
          <xdr:nvSpPr>
            <xdr:cNvPr id="72715" name="Spinner 11" hidden="1">
              <a:extLst>
                <a:ext uri="{63B3BB69-23CF-44E3-9099-C40C66FF867C}">
                  <a14:compatExt spid="_x0000_s72715"/>
                </a:ext>
                <a:ext uri="{FF2B5EF4-FFF2-40B4-BE49-F238E27FC236}">
                  <a16:creationId xmlns:a16="http://schemas.microsoft.com/office/drawing/2014/main" id="{00000000-0008-0000-1000-00000B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35</xdr:row>
          <xdr:rowOff>57150</xdr:rowOff>
        </xdr:from>
        <xdr:to>
          <xdr:col>2</xdr:col>
          <xdr:colOff>1619250</xdr:colOff>
          <xdr:row>35</xdr:row>
          <xdr:rowOff>247650</xdr:rowOff>
        </xdr:to>
        <xdr:sp macro="" textlink="">
          <xdr:nvSpPr>
            <xdr:cNvPr id="72716" name="Spinner 12" hidden="1">
              <a:extLst>
                <a:ext uri="{63B3BB69-23CF-44E3-9099-C40C66FF867C}">
                  <a14:compatExt spid="_x0000_s72716"/>
                </a:ext>
                <a:ext uri="{FF2B5EF4-FFF2-40B4-BE49-F238E27FC236}">
                  <a16:creationId xmlns:a16="http://schemas.microsoft.com/office/drawing/2014/main" id="{00000000-0008-0000-1000-00000C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1270000</xdr:colOff>
          <xdr:row>33</xdr:row>
          <xdr:rowOff>19050</xdr:rowOff>
        </xdr:from>
        <xdr:to>
          <xdr:col>2</xdr:col>
          <xdr:colOff>1612900</xdr:colOff>
          <xdr:row>33</xdr:row>
          <xdr:rowOff>222250</xdr:rowOff>
        </xdr:to>
        <xdr:sp macro="" textlink="">
          <xdr:nvSpPr>
            <xdr:cNvPr id="72717" name="Spinner 13" hidden="1">
              <a:extLst>
                <a:ext uri="{63B3BB69-23CF-44E3-9099-C40C66FF867C}">
                  <a14:compatExt spid="_x0000_s72717"/>
                </a:ext>
                <a:ext uri="{FF2B5EF4-FFF2-40B4-BE49-F238E27FC236}">
                  <a16:creationId xmlns:a16="http://schemas.microsoft.com/office/drawing/2014/main" id="{00000000-0008-0000-1000-00000D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16</xdr:row>
          <xdr:rowOff>0</xdr:rowOff>
        </xdr:from>
        <xdr:to>
          <xdr:col>3</xdr:col>
          <xdr:colOff>12700</xdr:colOff>
          <xdr:row>16</xdr:row>
          <xdr:rowOff>0</xdr:rowOff>
        </xdr:to>
        <xdr:sp macro="" textlink="">
          <xdr:nvSpPr>
            <xdr:cNvPr id="72718" name="Spinner 14" hidden="1">
              <a:extLst>
                <a:ext uri="{63B3BB69-23CF-44E3-9099-C40C66FF867C}">
                  <a14:compatExt spid="_x0000_s72718"/>
                </a:ext>
                <a:ext uri="{FF2B5EF4-FFF2-40B4-BE49-F238E27FC236}">
                  <a16:creationId xmlns:a16="http://schemas.microsoft.com/office/drawing/2014/main" id="{00000000-0008-0000-1000-00000E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8</xdr:row>
      <xdr:rowOff>0</xdr:rowOff>
    </xdr:from>
    <xdr:to>
      <xdr:col>8</xdr:col>
      <xdr:colOff>692150</xdr:colOff>
      <xdr:row>53</xdr:row>
      <xdr:rowOff>0</xdr:rowOff>
    </xdr:to>
    <xdr:graphicFrame macro="">
      <xdr:nvGraphicFramePr>
        <xdr:cNvPr id="19" name="Chart 2">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402166</xdr:colOff>
      <xdr:row>0</xdr:row>
      <xdr:rowOff>0</xdr:rowOff>
    </xdr:from>
    <xdr:to>
      <xdr:col>8</xdr:col>
      <xdr:colOff>709082</xdr:colOff>
      <xdr:row>8</xdr:row>
      <xdr:rowOff>8466</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402166" y="0"/>
          <a:ext cx="15877116" cy="136313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nitrification inhibitors to the milking herd </a:t>
          </a:r>
        </a:p>
        <a:p>
          <a:pPr eaLnBrk="1" fontAlgn="auto" latinLnBrk="0" hangingPunct="1"/>
          <a:r>
            <a:rPr lang="en-AU" sz="1200">
              <a:solidFill>
                <a:schemeClr val="dk1"/>
              </a:solidFill>
              <a:latin typeface="+mn-lt"/>
              <a:ea typeface="+mn-ea"/>
              <a:cs typeface="+mn-cs"/>
            </a:rPr>
            <a:t>This spreadsheet is setup to help producers examine the validity of adopting the strategy of feeding a source of nitrification inhibitor to cows to be</a:t>
          </a:r>
          <a:r>
            <a:rPr lang="en-AU" sz="1200" baseline="0">
              <a:solidFill>
                <a:schemeClr val="dk1"/>
              </a:solidFill>
              <a:latin typeface="+mn-lt"/>
              <a:ea typeface="+mn-ea"/>
              <a:cs typeface="+mn-cs"/>
            </a:rPr>
            <a:t> excreted with the urine to reduce</a:t>
          </a:r>
          <a:r>
            <a:rPr lang="en-AU" sz="1200">
              <a:solidFill>
                <a:schemeClr val="dk1"/>
              </a:solidFill>
              <a:latin typeface="+mn-lt"/>
              <a:ea typeface="+mn-ea"/>
              <a:cs typeface="+mn-cs"/>
            </a:rPr>
            <a:t> direct and indirect nitrous oxide</a:t>
          </a:r>
          <a:r>
            <a:rPr lang="en-AU" sz="1200" baseline="0">
              <a:solidFill>
                <a:schemeClr val="dk1"/>
              </a:solidFill>
              <a:latin typeface="+mn-lt"/>
              <a:ea typeface="+mn-ea"/>
              <a:cs typeface="+mn-cs"/>
            </a:rPr>
            <a:t> emissions from urine patches</a:t>
          </a:r>
          <a:r>
            <a:rPr lang="en-AU" sz="1200" b="1">
              <a:solidFill>
                <a:schemeClr val="dk1"/>
              </a:solidFill>
              <a:latin typeface="+mn-lt"/>
              <a:ea typeface="+mn-ea"/>
              <a:cs typeface="+mn-cs"/>
            </a:rPr>
            <a:t>. </a:t>
          </a:r>
          <a:r>
            <a:rPr lang="en-AU" sz="1200">
              <a:solidFill>
                <a:schemeClr val="dk1"/>
              </a:solidFill>
              <a:latin typeface="+mn-lt"/>
              <a:ea typeface="+mn-ea"/>
              <a:cs typeface="+mn-cs"/>
            </a:rPr>
            <a:t>This spread sheets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828675</xdr:colOff>
      <xdr:row>44</xdr:row>
      <xdr:rowOff>285750</xdr:rowOff>
    </xdr:from>
    <xdr:to>
      <xdr:col>3</xdr:col>
      <xdr:colOff>466725</xdr:colOff>
      <xdr:row>47</xdr:row>
      <xdr:rowOff>171450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828675" y="6724650"/>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17</xdr:row>
          <xdr:rowOff>38100</xdr:rowOff>
        </xdr:from>
        <xdr:to>
          <xdr:col>2</xdr:col>
          <xdr:colOff>1543050</xdr:colOff>
          <xdr:row>17</xdr:row>
          <xdr:rowOff>241300</xdr:rowOff>
        </xdr:to>
        <xdr:sp macro="" textlink="">
          <xdr:nvSpPr>
            <xdr:cNvPr id="7218" name="Spinner 50" hidden="1">
              <a:extLst>
                <a:ext uri="{63B3BB69-23CF-44E3-9099-C40C66FF867C}">
                  <a14:compatExt spid="_x0000_s7218"/>
                </a:ext>
                <a:ext uri="{FF2B5EF4-FFF2-40B4-BE49-F238E27FC236}">
                  <a16:creationId xmlns:a16="http://schemas.microsoft.com/office/drawing/2014/main" id="{00000000-0008-0000-1100-00003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19</xdr:row>
          <xdr:rowOff>31750</xdr:rowOff>
        </xdr:from>
        <xdr:to>
          <xdr:col>2</xdr:col>
          <xdr:colOff>1543050</xdr:colOff>
          <xdr:row>19</xdr:row>
          <xdr:rowOff>228600</xdr:rowOff>
        </xdr:to>
        <xdr:sp macro="" textlink="">
          <xdr:nvSpPr>
            <xdr:cNvPr id="7219" name="Spinner 51" hidden="1">
              <a:extLst>
                <a:ext uri="{63B3BB69-23CF-44E3-9099-C40C66FF867C}">
                  <a14:compatExt spid="_x0000_s7219"/>
                </a:ext>
                <a:ext uri="{FF2B5EF4-FFF2-40B4-BE49-F238E27FC236}">
                  <a16:creationId xmlns:a16="http://schemas.microsoft.com/office/drawing/2014/main" id="{00000000-0008-0000-1100-00003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21</xdr:row>
          <xdr:rowOff>31750</xdr:rowOff>
        </xdr:from>
        <xdr:to>
          <xdr:col>2</xdr:col>
          <xdr:colOff>1543050</xdr:colOff>
          <xdr:row>21</xdr:row>
          <xdr:rowOff>228600</xdr:rowOff>
        </xdr:to>
        <xdr:sp macro="" textlink="">
          <xdr:nvSpPr>
            <xdr:cNvPr id="7220" name="Spinner 52" hidden="1">
              <a:extLst>
                <a:ext uri="{63B3BB69-23CF-44E3-9099-C40C66FF867C}">
                  <a14:compatExt spid="_x0000_s7220"/>
                </a:ext>
                <a:ext uri="{FF2B5EF4-FFF2-40B4-BE49-F238E27FC236}">
                  <a16:creationId xmlns:a16="http://schemas.microsoft.com/office/drawing/2014/main" id="{00000000-0008-0000-1100-00003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23</xdr:row>
          <xdr:rowOff>38100</xdr:rowOff>
        </xdr:from>
        <xdr:to>
          <xdr:col>2</xdr:col>
          <xdr:colOff>1543050</xdr:colOff>
          <xdr:row>24</xdr:row>
          <xdr:rowOff>12700</xdr:rowOff>
        </xdr:to>
        <xdr:sp macro="" textlink="">
          <xdr:nvSpPr>
            <xdr:cNvPr id="7222" name="Spinner 54" hidden="1">
              <a:extLst>
                <a:ext uri="{63B3BB69-23CF-44E3-9099-C40C66FF867C}">
                  <a14:compatExt spid="_x0000_s7222"/>
                </a:ext>
                <a:ext uri="{FF2B5EF4-FFF2-40B4-BE49-F238E27FC236}">
                  <a16:creationId xmlns:a16="http://schemas.microsoft.com/office/drawing/2014/main" id="{00000000-0008-0000-1100-00003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27</xdr:row>
          <xdr:rowOff>50800</xdr:rowOff>
        </xdr:from>
        <xdr:to>
          <xdr:col>2</xdr:col>
          <xdr:colOff>1543050</xdr:colOff>
          <xdr:row>27</xdr:row>
          <xdr:rowOff>247650</xdr:rowOff>
        </xdr:to>
        <xdr:sp macro="" textlink="">
          <xdr:nvSpPr>
            <xdr:cNvPr id="7223" name="Spinner 55" hidden="1">
              <a:extLst>
                <a:ext uri="{63B3BB69-23CF-44E3-9099-C40C66FF867C}">
                  <a14:compatExt spid="_x0000_s7223"/>
                </a:ext>
                <a:ext uri="{FF2B5EF4-FFF2-40B4-BE49-F238E27FC236}">
                  <a16:creationId xmlns:a16="http://schemas.microsoft.com/office/drawing/2014/main" id="{00000000-0008-0000-1100-00003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25</xdr:row>
          <xdr:rowOff>38100</xdr:rowOff>
        </xdr:from>
        <xdr:to>
          <xdr:col>2</xdr:col>
          <xdr:colOff>1543050</xdr:colOff>
          <xdr:row>25</xdr:row>
          <xdr:rowOff>241300</xdr:rowOff>
        </xdr:to>
        <xdr:sp macro="" textlink="">
          <xdr:nvSpPr>
            <xdr:cNvPr id="7238" name="Spinner 70" hidden="1">
              <a:extLst>
                <a:ext uri="{63B3BB69-23CF-44E3-9099-C40C66FF867C}">
                  <a14:compatExt spid="_x0000_s7238"/>
                </a:ext>
                <a:ext uri="{FF2B5EF4-FFF2-40B4-BE49-F238E27FC236}">
                  <a16:creationId xmlns:a16="http://schemas.microsoft.com/office/drawing/2014/main" id="{00000000-0008-0000-1100-00004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8</xdr:row>
      <xdr:rowOff>0</xdr:rowOff>
    </xdr:from>
    <xdr:to>
      <xdr:col>8</xdr:col>
      <xdr:colOff>717550</xdr:colOff>
      <xdr:row>43</xdr:row>
      <xdr:rowOff>19050</xdr:rowOff>
    </xdr:to>
    <xdr:graphicFrame macro="">
      <xdr:nvGraphicFramePr>
        <xdr:cNvPr id="11" name="Chart 2">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50800</xdr:colOff>
      <xdr:row>146</xdr:row>
      <xdr:rowOff>40615</xdr:rowOff>
    </xdr:from>
    <xdr:to>
      <xdr:col>5</xdr:col>
      <xdr:colOff>964406</xdr:colOff>
      <xdr:row>171</xdr:row>
      <xdr:rowOff>178852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174</xdr:row>
      <xdr:rowOff>0</xdr:rowOff>
    </xdr:from>
    <xdr:to>
      <xdr:col>7</xdr:col>
      <xdr:colOff>114300</xdr:colOff>
      <xdr:row>177</xdr:row>
      <xdr:rowOff>32960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228600" y="30127575"/>
          <a:ext cx="1074420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progress to the Abatement Strategy worksheet</a:t>
          </a:r>
        </a:p>
      </xdr:txBody>
    </xdr:sp>
    <xdr:clientData/>
  </xdr:twoCellAnchor>
  <xdr:twoCellAnchor>
    <xdr:from>
      <xdr:col>5</xdr:col>
      <xdr:colOff>1123591</xdr:colOff>
      <xdr:row>145</xdr:row>
      <xdr:rowOff>142799</xdr:rowOff>
    </xdr:from>
    <xdr:to>
      <xdr:col>11</xdr:col>
      <xdr:colOff>1488711</xdr:colOff>
      <xdr:row>173</xdr:row>
      <xdr:rowOff>71438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143</xdr:row>
      <xdr:rowOff>19050</xdr:rowOff>
    </xdr:from>
    <xdr:to>
      <xdr:col>6</xdr:col>
      <xdr:colOff>179293</xdr:colOff>
      <xdr:row>168</xdr:row>
      <xdr:rowOff>112059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2028825</xdr:colOff>
      <xdr:row>172</xdr:row>
      <xdr:rowOff>123825</xdr:rowOff>
    </xdr:from>
    <xdr:to>
      <xdr:col>6</xdr:col>
      <xdr:colOff>714375</xdr:colOff>
      <xdr:row>175</xdr:row>
      <xdr:rowOff>156785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400-000004000000}"/>
            </a:ext>
          </a:extLst>
        </xdr:cNvPr>
        <xdr:cNvSpPr txBox="1"/>
      </xdr:nvSpPr>
      <xdr:spPr>
        <a:xfrm>
          <a:off x="2257425" y="30394275"/>
          <a:ext cx="796290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return to the baseline farm</a:t>
          </a:r>
          <a:r>
            <a:rPr lang="en-AU" sz="2800" baseline="0"/>
            <a:t> worksheet</a:t>
          </a:r>
          <a:endParaRPr lang="en-AU" sz="2800"/>
        </a:p>
      </xdr:txBody>
    </xdr:sp>
    <xdr:clientData/>
  </xdr:twoCellAnchor>
  <xdr:twoCellAnchor>
    <xdr:from>
      <xdr:col>6</xdr:col>
      <xdr:colOff>22411</xdr:colOff>
      <xdr:row>142</xdr:row>
      <xdr:rowOff>165706</xdr:rowOff>
    </xdr:from>
    <xdr:to>
      <xdr:col>11</xdr:col>
      <xdr:colOff>1521011</xdr:colOff>
      <xdr:row>168</xdr:row>
      <xdr:rowOff>106174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161906</xdr:colOff>
      <xdr:row>2</xdr:row>
      <xdr:rowOff>38100</xdr:rowOff>
    </xdr:from>
    <xdr:to>
      <xdr:col>7</xdr:col>
      <xdr:colOff>601125</xdr:colOff>
      <xdr:row>12</xdr:row>
      <xdr:rowOff>113100</xdr:rowOff>
    </xdr:to>
    <xdr:sp macro="" textlink="">
      <xdr:nvSpPr>
        <xdr:cNvPr id="3" name="Oval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983562" y="228600"/>
          <a:ext cx="2868094" cy="19800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a:solidFill>
                <a:schemeClr val="tx1"/>
              </a:solidFill>
              <a:latin typeface="+mn-lt"/>
              <a:ea typeface="+mn-ea"/>
              <a:cs typeface="+mn-cs"/>
            </a:rPr>
            <a:t>Herd and breeding management for reducing enteric methane emissions </a:t>
          </a:r>
        </a:p>
      </xdr:txBody>
    </xdr:sp>
    <xdr:clientData/>
  </xdr:twoCellAnchor>
  <xdr:twoCellAnchor>
    <xdr:from>
      <xdr:col>14</xdr:col>
      <xdr:colOff>511949</xdr:colOff>
      <xdr:row>29</xdr:row>
      <xdr:rowOff>152399</xdr:rowOff>
    </xdr:from>
    <xdr:to>
      <xdr:col>19</xdr:col>
      <xdr:colOff>343950</xdr:colOff>
      <xdr:row>40</xdr:row>
      <xdr:rowOff>36899</xdr:rowOff>
    </xdr:to>
    <xdr:sp macro="" textlink="">
      <xdr:nvSpPr>
        <xdr:cNvPr id="5" name="Oval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9013012" y="5486399"/>
          <a:ext cx="2868094" cy="19800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a:solidFill>
                <a:schemeClr val="tx1"/>
              </a:solidFill>
              <a:latin typeface="+mn-lt"/>
              <a:ea typeface="+mn-ea"/>
              <a:cs typeface="+mn-cs"/>
            </a:rPr>
            <a:t>Feed base management for reducing nitrous oxide emissions </a:t>
          </a:r>
        </a:p>
      </xdr:txBody>
    </xdr:sp>
    <xdr:clientData/>
  </xdr:twoCellAnchor>
  <xdr:twoCellAnchor>
    <xdr:from>
      <xdr:col>15</xdr:col>
      <xdr:colOff>209532</xdr:colOff>
      <xdr:row>1</xdr:row>
      <xdr:rowOff>180976</xdr:rowOff>
    </xdr:from>
    <xdr:to>
      <xdr:col>20</xdr:col>
      <xdr:colOff>41532</xdr:colOff>
      <xdr:row>12</xdr:row>
      <xdr:rowOff>65476</xdr:rowOff>
    </xdr:to>
    <xdr:grpSp>
      <xdr:nvGrpSpPr>
        <xdr:cNvPr id="24" name="Group 5">
          <a:hlinkClick xmlns:r="http://schemas.openxmlformats.org/officeDocument/2006/relationships" r:id="rId3"/>
          <a:extLst>
            <a:ext uri="{FF2B5EF4-FFF2-40B4-BE49-F238E27FC236}">
              <a16:creationId xmlns:a16="http://schemas.microsoft.com/office/drawing/2014/main" id="{00000000-0008-0000-0500-000018000000}"/>
            </a:ext>
          </a:extLst>
        </xdr:cNvPr>
        <xdr:cNvGrpSpPr/>
      </xdr:nvGrpSpPr>
      <xdr:grpSpPr>
        <a:xfrm>
          <a:off x="9829782" y="365126"/>
          <a:ext cx="3038750" cy="1910150"/>
          <a:chOff x="4310728" y="4207"/>
          <a:chExt cx="1894142" cy="1894142"/>
        </a:xfrm>
        <a:solidFill>
          <a:schemeClr val="bg2">
            <a:lumMod val="75000"/>
          </a:schemeClr>
        </a:solidFill>
      </xdr:grpSpPr>
      <xdr:sp macro="" textlink="">
        <xdr:nvSpPr>
          <xdr:cNvPr id="7" name="Oval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329521" y="4206"/>
            <a:ext cx="1898137" cy="1895290"/>
          </a:xfrm>
          <a:prstGeom prst="ellipse">
            <a:avLst/>
          </a:prstGeom>
          <a:grp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en-AU"/>
          </a:p>
        </xdr:txBody>
      </xdr:sp>
      <xdr:sp macro="" textlink="">
        <xdr:nvSpPr>
          <xdr:cNvPr id="8" name="Oval 4">
            <a:extLst>
              <a:ext uri="{FF2B5EF4-FFF2-40B4-BE49-F238E27FC236}">
                <a16:creationId xmlns:a16="http://schemas.microsoft.com/office/drawing/2014/main" id="{00000000-0008-0000-0500-000008000000}"/>
              </a:ext>
            </a:extLst>
          </xdr:cNvPr>
          <xdr:cNvSpPr/>
        </xdr:nvSpPr>
        <xdr:spPr>
          <a:xfrm>
            <a:off x="4636480" y="304901"/>
            <a:ext cx="1315541" cy="132123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2860" tIns="22860" rIns="22860" bIns="22860" numCol="1" spcCol="1270" anchor="ctr" anchorCtr="0">
            <a:noAutofit/>
          </a:bodyPr>
          <a:lstStyle/>
          <a:p>
            <a:pPr algn="ctr"/>
            <a:r>
              <a:rPr lang="en-AU" sz="1600">
                <a:solidFill>
                  <a:schemeClr val="tx1"/>
                </a:solidFill>
                <a:latin typeface="+mn-lt"/>
                <a:ea typeface="+mn-ea"/>
                <a:cs typeface="+mn-cs"/>
              </a:rPr>
              <a:t>Diet manipulation for reducing enteric methane and nitrous oxide emissions </a:t>
            </a:r>
          </a:p>
        </xdr:txBody>
      </xdr:sp>
    </xdr:grpSp>
    <xdr:clientData/>
  </xdr:twoCellAnchor>
  <xdr:twoCellAnchor>
    <xdr:from>
      <xdr:col>8</xdr:col>
      <xdr:colOff>104756</xdr:colOff>
      <xdr:row>13</xdr:row>
      <xdr:rowOff>9525</xdr:rowOff>
    </xdr:from>
    <xdr:to>
      <xdr:col>14</xdr:col>
      <xdr:colOff>540524</xdr:colOff>
      <xdr:row>28</xdr:row>
      <xdr:rowOff>28575</xdr:rowOff>
    </xdr:to>
    <xdr:grpSp>
      <xdr:nvGrpSpPr>
        <xdr:cNvPr id="19533" name="Group 8">
          <a:extLst>
            <a:ext uri="{FF2B5EF4-FFF2-40B4-BE49-F238E27FC236}">
              <a16:creationId xmlns:a16="http://schemas.microsoft.com/office/drawing/2014/main" id="{00000000-0008-0000-0500-00004D4C0000}"/>
            </a:ext>
          </a:extLst>
        </xdr:cNvPr>
        <xdr:cNvGrpSpPr>
          <a:grpSpLocks/>
        </xdr:cNvGrpSpPr>
      </xdr:nvGrpSpPr>
      <xdr:grpSpPr bwMode="auto">
        <a:xfrm>
          <a:off x="5235556" y="2403475"/>
          <a:ext cx="4283868" cy="2781300"/>
          <a:chOff x="4310728" y="4207"/>
          <a:chExt cx="1894142" cy="1894142"/>
        </a:xfrm>
      </xdr:grpSpPr>
      <xdr:sp macro="" textlink="">
        <xdr:nvSpPr>
          <xdr:cNvPr id="10" name="Oval 9">
            <a:extLst>
              <a:ext uri="{FF2B5EF4-FFF2-40B4-BE49-F238E27FC236}">
                <a16:creationId xmlns:a16="http://schemas.microsoft.com/office/drawing/2014/main" id="{00000000-0008-0000-0500-00000A000000}"/>
              </a:ext>
            </a:extLst>
          </xdr:cNvPr>
          <xdr:cNvSpPr/>
        </xdr:nvSpPr>
        <xdr:spPr>
          <a:xfrm>
            <a:off x="4310728" y="4207"/>
            <a:ext cx="1894142" cy="1894142"/>
          </a:xfrm>
          <a:prstGeom prst="ellipse">
            <a:avLst/>
          </a:prstGeom>
          <a:solidFill>
            <a:schemeClr val="accent3">
              <a:lumMod val="7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en-AU"/>
          </a:p>
        </xdr:txBody>
      </xdr:sp>
      <xdr:sp macro="" textlink="">
        <xdr:nvSpPr>
          <xdr:cNvPr id="11" name="Oval 4">
            <a:extLst>
              <a:ext uri="{FF2B5EF4-FFF2-40B4-BE49-F238E27FC236}">
                <a16:creationId xmlns:a16="http://schemas.microsoft.com/office/drawing/2014/main" id="{00000000-0008-0000-0500-00000B000000}"/>
              </a:ext>
            </a:extLst>
          </xdr:cNvPr>
          <xdr:cNvSpPr/>
        </xdr:nvSpPr>
        <xdr:spPr>
          <a:xfrm>
            <a:off x="4588242" y="280175"/>
            <a:ext cx="1339114" cy="134220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22860" tIns="22860" rIns="22860" bIns="22860" numCol="1" spcCol="1270" anchor="ctr" anchorCtr="0">
            <a:noAutofit/>
          </a:bodyPr>
          <a:lstStyle/>
          <a:p>
            <a:pPr algn="ctr"/>
            <a:r>
              <a:rPr lang="en-AU" sz="2400" b="1">
                <a:solidFill>
                  <a:sysClr val="windowText" lastClr="000000"/>
                </a:solidFill>
                <a:latin typeface="+mn-lt"/>
                <a:ea typeface="+mn-ea"/>
                <a:cs typeface="+mn-cs"/>
              </a:rPr>
              <a:t>Evaluating strategies to reduce on farm GHG emissions for dairy farm systems </a:t>
            </a:r>
          </a:p>
        </xdr:txBody>
      </xdr:sp>
    </xdr:grpSp>
    <xdr:clientData/>
  </xdr:twoCellAnchor>
  <xdr:twoCellAnchor>
    <xdr:from>
      <xdr:col>12</xdr:col>
      <xdr:colOff>550048</xdr:colOff>
      <xdr:row>7</xdr:row>
      <xdr:rowOff>28574</xdr:rowOff>
    </xdr:from>
    <xdr:to>
      <xdr:col>16</xdr:col>
      <xdr:colOff>502423</xdr:colOff>
      <xdr:row>35</xdr:row>
      <xdr:rowOff>66675</xdr:rowOff>
    </xdr:to>
    <xdr:sp macro="" textlink="">
      <xdr:nvSpPr>
        <xdr:cNvPr id="12" name="Curved Left Arrow 11">
          <a:extLst>
            <a:ext uri="{FF2B5EF4-FFF2-40B4-BE49-F238E27FC236}">
              <a16:creationId xmlns:a16="http://schemas.microsoft.com/office/drawing/2014/main" id="{00000000-0008-0000-0500-00000C000000}"/>
            </a:ext>
          </a:extLst>
        </xdr:cNvPr>
        <xdr:cNvSpPr/>
      </xdr:nvSpPr>
      <xdr:spPr>
        <a:xfrm>
          <a:off x="7836673" y="1171574"/>
          <a:ext cx="2381250" cy="5372101"/>
        </a:xfrm>
        <a:prstGeom prst="curvedLeftArrow">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AU"/>
        </a:p>
      </xdr:txBody>
    </xdr:sp>
    <xdr:clientData/>
  </xdr:twoCellAnchor>
  <xdr:twoCellAnchor>
    <xdr:from>
      <xdr:col>6</xdr:col>
      <xdr:colOff>200005</xdr:colOff>
      <xdr:row>5</xdr:row>
      <xdr:rowOff>161925</xdr:rowOff>
    </xdr:from>
    <xdr:to>
      <xdr:col>10</xdr:col>
      <xdr:colOff>152380</xdr:colOff>
      <xdr:row>34</xdr:row>
      <xdr:rowOff>9526</xdr:rowOff>
    </xdr:to>
    <xdr:sp macro="" textlink="">
      <xdr:nvSpPr>
        <xdr:cNvPr id="13" name="Curved Left Arrow 12">
          <a:extLst>
            <a:ext uri="{FF2B5EF4-FFF2-40B4-BE49-F238E27FC236}">
              <a16:creationId xmlns:a16="http://schemas.microsoft.com/office/drawing/2014/main" id="{00000000-0008-0000-0500-00000D000000}"/>
            </a:ext>
          </a:extLst>
        </xdr:cNvPr>
        <xdr:cNvSpPr/>
      </xdr:nvSpPr>
      <xdr:spPr>
        <a:xfrm rot="10800000">
          <a:off x="3843318" y="923925"/>
          <a:ext cx="2381250" cy="5372101"/>
        </a:xfrm>
        <a:prstGeom prst="curvedLeftArrow">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AU"/>
        </a:p>
      </xdr:txBody>
    </xdr:sp>
    <xdr:clientData/>
  </xdr:twoCellAnchor>
  <xdr:twoCellAnchor>
    <xdr:from>
      <xdr:col>15</xdr:col>
      <xdr:colOff>471466</xdr:colOff>
      <xdr:row>40</xdr:row>
      <xdr:rowOff>95250</xdr:rowOff>
    </xdr:from>
    <xdr:to>
      <xdr:col>21</xdr:col>
      <xdr:colOff>35699</xdr:colOff>
      <xdr:row>43</xdr:row>
      <xdr:rowOff>28575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500-00000E000000}"/>
            </a:ext>
          </a:extLst>
        </xdr:cNvPr>
        <xdr:cNvSpPr txBox="1"/>
      </xdr:nvSpPr>
      <xdr:spPr>
        <a:xfrm>
          <a:off x="9579747" y="7524750"/>
          <a:ext cx="3207546" cy="504825"/>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solidFill>
                <a:schemeClr val="dk1"/>
              </a:solidFill>
              <a:latin typeface="+mn-lt"/>
              <a:ea typeface="+mn-ea"/>
              <a:cs typeface="+mn-cs"/>
            </a:rPr>
            <a:t>Coating of N fertiliser with an N inhibitor </a:t>
          </a:r>
        </a:p>
      </xdr:txBody>
    </xdr:sp>
    <xdr:clientData/>
  </xdr:twoCellAnchor>
  <xdr:twoCellAnchor>
    <xdr:from>
      <xdr:col>15</xdr:col>
      <xdr:colOff>452416</xdr:colOff>
      <xdr:row>43</xdr:row>
      <xdr:rowOff>154781</xdr:rowOff>
    </xdr:from>
    <xdr:to>
      <xdr:col>21</xdr:col>
      <xdr:colOff>16649</xdr:colOff>
      <xdr:row>46</xdr:row>
      <xdr:rowOff>88106</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500-00000F000000}"/>
            </a:ext>
          </a:extLst>
        </xdr:cNvPr>
        <xdr:cNvSpPr txBox="1"/>
      </xdr:nvSpPr>
      <xdr:spPr>
        <a:xfrm>
          <a:off x="9560697" y="8155781"/>
          <a:ext cx="3207546" cy="504825"/>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solidFill>
                <a:schemeClr val="dk1"/>
              </a:solidFill>
              <a:latin typeface="+mn-lt"/>
              <a:ea typeface="+mn-ea"/>
              <a:cs typeface="+mn-cs"/>
            </a:rPr>
            <a:t>Applying N inhibitors to urine patches </a:t>
          </a:r>
        </a:p>
      </xdr:txBody>
    </xdr:sp>
    <xdr:clientData/>
  </xdr:twoCellAnchor>
  <xdr:twoCellAnchor>
    <xdr:from>
      <xdr:col>17</xdr:col>
      <xdr:colOff>261916</xdr:colOff>
      <xdr:row>12</xdr:row>
      <xdr:rowOff>119063</xdr:rowOff>
    </xdr:from>
    <xdr:to>
      <xdr:col>22</xdr:col>
      <xdr:colOff>95230</xdr:colOff>
      <xdr:row>16</xdr:row>
      <xdr:rowOff>154781</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500-000010000000}"/>
            </a:ext>
          </a:extLst>
        </xdr:cNvPr>
        <xdr:cNvSpPr txBox="1"/>
      </xdr:nvSpPr>
      <xdr:spPr>
        <a:xfrm>
          <a:off x="10584635" y="2214563"/>
          <a:ext cx="2869408" cy="797718"/>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Replace</a:t>
          </a:r>
          <a:r>
            <a:rPr lang="en-AU" sz="1400" baseline="0"/>
            <a:t> supplements in the diet with a source of dietary fats/oils (CFI/ERF/CSF aligned)</a:t>
          </a:r>
          <a:endParaRPr lang="en-AU" sz="1400"/>
        </a:p>
      </xdr:txBody>
    </xdr:sp>
    <xdr:clientData/>
  </xdr:twoCellAnchor>
  <xdr:twoCellAnchor>
    <xdr:from>
      <xdr:col>17</xdr:col>
      <xdr:colOff>261917</xdr:colOff>
      <xdr:row>17</xdr:row>
      <xdr:rowOff>83344</xdr:rowOff>
    </xdr:from>
    <xdr:to>
      <xdr:col>22</xdr:col>
      <xdr:colOff>95231</xdr:colOff>
      <xdr:row>20</xdr:row>
      <xdr:rowOff>107156</xdr:rowOff>
    </xdr:to>
    <xdr:sp macro="" textlink="">
      <xdr:nvSpPr>
        <xdr:cNvPr id="17" name="TextBox 16">
          <a:hlinkClick xmlns:r="http://schemas.openxmlformats.org/officeDocument/2006/relationships" r:id="rId8"/>
          <a:extLst>
            <a:ext uri="{FF2B5EF4-FFF2-40B4-BE49-F238E27FC236}">
              <a16:creationId xmlns:a16="http://schemas.microsoft.com/office/drawing/2014/main" id="{00000000-0008-0000-0500-000011000000}"/>
            </a:ext>
          </a:extLst>
        </xdr:cNvPr>
        <xdr:cNvSpPr txBox="1"/>
      </xdr:nvSpPr>
      <xdr:spPr>
        <a:xfrm>
          <a:off x="10584636" y="3131344"/>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Increase</a:t>
          </a:r>
          <a:r>
            <a:rPr lang="en-AU" sz="1400" baseline="0"/>
            <a:t> diet supplementation  with a source of dietary fats /oils</a:t>
          </a:r>
          <a:endParaRPr lang="en-AU" sz="1400"/>
        </a:p>
      </xdr:txBody>
    </xdr:sp>
    <xdr:clientData/>
  </xdr:twoCellAnchor>
  <xdr:twoCellAnchor>
    <xdr:from>
      <xdr:col>1</xdr:col>
      <xdr:colOff>273827</xdr:colOff>
      <xdr:row>13</xdr:row>
      <xdr:rowOff>119059</xdr:rowOff>
    </xdr:from>
    <xdr:to>
      <xdr:col>6</xdr:col>
      <xdr:colOff>71420</xdr:colOff>
      <xdr:row>16</xdr:row>
      <xdr:rowOff>142871</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00000000-0008-0000-0500-000012000000}"/>
            </a:ext>
          </a:extLst>
        </xdr:cNvPr>
        <xdr:cNvSpPr txBox="1"/>
      </xdr:nvSpPr>
      <xdr:spPr>
        <a:xfrm>
          <a:off x="881046" y="2405059"/>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Reduced enteric methane emissions through breeding or management</a:t>
          </a:r>
        </a:p>
      </xdr:txBody>
    </xdr:sp>
    <xdr:clientData/>
  </xdr:twoCellAnchor>
  <xdr:twoCellAnchor>
    <xdr:from>
      <xdr:col>17</xdr:col>
      <xdr:colOff>261917</xdr:colOff>
      <xdr:row>21</xdr:row>
      <xdr:rowOff>0</xdr:rowOff>
    </xdr:from>
    <xdr:to>
      <xdr:col>22</xdr:col>
      <xdr:colOff>95231</xdr:colOff>
      <xdr:row>24</xdr:row>
      <xdr:rowOff>23812</xdr:rowOff>
    </xdr:to>
    <xdr:sp macro="" textlink="">
      <xdr:nvSpPr>
        <xdr:cNvPr id="19" name="TextBox 18">
          <a:hlinkClick xmlns:r="http://schemas.openxmlformats.org/officeDocument/2006/relationships" r:id="rId10"/>
          <a:extLst>
            <a:ext uri="{FF2B5EF4-FFF2-40B4-BE49-F238E27FC236}">
              <a16:creationId xmlns:a16="http://schemas.microsoft.com/office/drawing/2014/main" id="{00000000-0008-0000-0500-000013000000}"/>
            </a:ext>
          </a:extLst>
        </xdr:cNvPr>
        <xdr:cNvSpPr txBox="1"/>
      </xdr:nvSpPr>
      <xdr:spPr>
        <a:xfrm>
          <a:off x="10584636" y="3810000"/>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Improved</a:t>
          </a:r>
          <a:r>
            <a:rPr lang="en-AU" sz="1400" baseline="0"/>
            <a:t> diet digestibility to protein ratio through management</a:t>
          </a:r>
          <a:endParaRPr lang="en-AU" sz="1400"/>
        </a:p>
      </xdr:txBody>
    </xdr:sp>
    <xdr:clientData/>
  </xdr:twoCellAnchor>
  <xdr:twoCellAnchor>
    <xdr:from>
      <xdr:col>17</xdr:col>
      <xdr:colOff>261918</xdr:colOff>
      <xdr:row>24</xdr:row>
      <xdr:rowOff>107157</xdr:rowOff>
    </xdr:from>
    <xdr:to>
      <xdr:col>22</xdr:col>
      <xdr:colOff>95232</xdr:colOff>
      <xdr:row>27</xdr:row>
      <xdr:rowOff>130969</xdr:rowOff>
    </xdr:to>
    <xdr:sp macro="" textlink="">
      <xdr:nvSpPr>
        <xdr:cNvPr id="20" name="TextBox 19">
          <a:hlinkClick xmlns:r="http://schemas.openxmlformats.org/officeDocument/2006/relationships" r:id="rId11"/>
          <a:extLst>
            <a:ext uri="{FF2B5EF4-FFF2-40B4-BE49-F238E27FC236}">
              <a16:creationId xmlns:a16="http://schemas.microsoft.com/office/drawing/2014/main" id="{00000000-0008-0000-0500-000014000000}"/>
            </a:ext>
          </a:extLst>
        </xdr:cNvPr>
        <xdr:cNvSpPr txBox="1"/>
      </xdr:nvSpPr>
      <xdr:spPr>
        <a:xfrm>
          <a:off x="10584637" y="4488657"/>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Improved</a:t>
          </a:r>
          <a:r>
            <a:rPr lang="en-AU" sz="1400" baseline="0"/>
            <a:t> diet digestibility to protein ratio via supplementary feeding</a:t>
          </a:r>
          <a:endParaRPr lang="en-AU" sz="1400"/>
        </a:p>
      </xdr:txBody>
    </xdr:sp>
    <xdr:clientData/>
  </xdr:twoCellAnchor>
  <xdr:twoCellAnchor>
    <xdr:from>
      <xdr:col>1</xdr:col>
      <xdr:colOff>273838</xdr:colOff>
      <xdr:row>17</xdr:row>
      <xdr:rowOff>95252</xdr:rowOff>
    </xdr:from>
    <xdr:to>
      <xdr:col>6</xdr:col>
      <xdr:colOff>71431</xdr:colOff>
      <xdr:row>20</xdr:row>
      <xdr:rowOff>119064</xdr:rowOff>
    </xdr:to>
    <xdr:sp macro="" textlink="">
      <xdr:nvSpPr>
        <xdr:cNvPr id="22" name="TextBox 21">
          <a:hlinkClick xmlns:r="http://schemas.openxmlformats.org/officeDocument/2006/relationships" r:id="rId12"/>
          <a:extLst>
            <a:ext uri="{FF2B5EF4-FFF2-40B4-BE49-F238E27FC236}">
              <a16:creationId xmlns:a16="http://schemas.microsoft.com/office/drawing/2014/main" id="{00000000-0008-0000-0500-000016000000}"/>
            </a:ext>
          </a:extLst>
        </xdr:cNvPr>
        <xdr:cNvSpPr txBox="1"/>
      </xdr:nvSpPr>
      <xdr:spPr>
        <a:xfrm>
          <a:off x="881057" y="3143252"/>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Extended lactation</a:t>
          </a:r>
          <a:r>
            <a:rPr lang="en-AU" sz="1400" baseline="0"/>
            <a:t> to reduce enteric methane production</a:t>
          </a:r>
          <a:endParaRPr lang="en-AU" sz="1400"/>
        </a:p>
      </xdr:txBody>
    </xdr:sp>
    <xdr:clientData/>
  </xdr:twoCellAnchor>
  <xdr:twoCellAnchor>
    <xdr:from>
      <xdr:col>1</xdr:col>
      <xdr:colOff>273845</xdr:colOff>
      <xdr:row>21</xdr:row>
      <xdr:rowOff>47621</xdr:rowOff>
    </xdr:from>
    <xdr:to>
      <xdr:col>6</xdr:col>
      <xdr:colOff>71438</xdr:colOff>
      <xdr:row>24</xdr:row>
      <xdr:rowOff>71433</xdr:rowOff>
    </xdr:to>
    <xdr:sp macro="" textlink="">
      <xdr:nvSpPr>
        <xdr:cNvPr id="23" name="TextBox 22">
          <a:hlinkClick xmlns:r="http://schemas.openxmlformats.org/officeDocument/2006/relationships" r:id="rId13"/>
          <a:extLst>
            <a:ext uri="{FF2B5EF4-FFF2-40B4-BE49-F238E27FC236}">
              <a16:creationId xmlns:a16="http://schemas.microsoft.com/office/drawing/2014/main" id="{00000000-0008-0000-0500-000017000000}"/>
            </a:ext>
          </a:extLst>
        </xdr:cNvPr>
        <xdr:cNvSpPr txBox="1"/>
      </xdr:nvSpPr>
      <xdr:spPr>
        <a:xfrm>
          <a:off x="881064" y="3857621"/>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Extend</a:t>
          </a:r>
          <a:r>
            <a:rPr lang="en-AU" sz="1400" baseline="0"/>
            <a:t> herd longevity to reduce replacements rates</a:t>
          </a:r>
          <a:endParaRPr lang="en-AU" sz="1400"/>
        </a:p>
      </xdr:txBody>
    </xdr:sp>
    <xdr:clientData/>
  </xdr:twoCellAnchor>
  <xdr:twoCellAnchor>
    <xdr:from>
      <xdr:col>3</xdr:col>
      <xdr:colOff>254000</xdr:colOff>
      <xdr:row>30</xdr:row>
      <xdr:rowOff>152400</xdr:rowOff>
    </xdr:from>
    <xdr:to>
      <xdr:col>8</xdr:col>
      <xdr:colOff>86001</xdr:colOff>
      <xdr:row>41</xdr:row>
      <xdr:rowOff>36900</xdr:rowOff>
    </xdr:to>
    <xdr:sp macro="" textlink="">
      <xdr:nvSpPr>
        <xdr:cNvPr id="26" name="Oval 25">
          <a:hlinkClick xmlns:r="http://schemas.openxmlformats.org/officeDocument/2006/relationships" r:id="rId14"/>
          <a:extLst>
            <a:ext uri="{FF2B5EF4-FFF2-40B4-BE49-F238E27FC236}">
              <a16:creationId xmlns:a16="http://schemas.microsoft.com/office/drawing/2014/main" id="{00000000-0008-0000-0500-00001A000000}"/>
            </a:ext>
          </a:extLst>
        </xdr:cNvPr>
        <xdr:cNvSpPr/>
      </xdr:nvSpPr>
      <xdr:spPr>
        <a:xfrm>
          <a:off x="2120900" y="5308600"/>
          <a:ext cx="2943501" cy="18403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baseline="0">
              <a:solidFill>
                <a:schemeClr val="tx1"/>
              </a:solidFill>
              <a:latin typeface="+mn-lt"/>
              <a:ea typeface="+mn-ea"/>
              <a:cs typeface="+mn-cs"/>
            </a:rPr>
            <a:t>Whole farm abatement strategy</a:t>
          </a:r>
        </a:p>
        <a:p>
          <a:pPr algn="ctr"/>
          <a:r>
            <a:rPr lang="en-AU" sz="1600" baseline="0">
              <a:solidFill>
                <a:schemeClr val="tx1"/>
              </a:solidFill>
              <a:latin typeface="+mn-lt"/>
              <a:ea typeface="+mn-ea"/>
              <a:cs typeface="+mn-cs"/>
            </a:rPr>
            <a:t>(click here) </a:t>
          </a:r>
          <a:endParaRPr lang="en-AU" sz="1600">
            <a:solidFill>
              <a:schemeClr val="tx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342900</xdr:colOff>
      <xdr:row>513</xdr:row>
      <xdr:rowOff>47625</xdr:rowOff>
    </xdr:from>
    <xdr:to>
      <xdr:col>21</xdr:col>
      <xdr:colOff>266700</xdr:colOff>
      <xdr:row>530</xdr:row>
      <xdr:rowOff>9525</xdr:rowOff>
    </xdr:to>
    <xdr:graphicFrame macro="">
      <xdr:nvGraphicFramePr>
        <xdr:cNvPr id="3" name="Chart 6">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2114549</xdr:colOff>
      <xdr:row>141</xdr:row>
      <xdr:rowOff>200024</xdr:rowOff>
    </xdr:from>
    <xdr:to>
      <xdr:col>10</xdr:col>
      <xdr:colOff>180974</xdr:colOff>
      <xdr:row>165</xdr:row>
      <xdr:rowOff>95249</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2114549</xdr:colOff>
      <xdr:row>142</xdr:row>
      <xdr:rowOff>200024</xdr:rowOff>
    </xdr:from>
    <xdr:to>
      <xdr:col>10</xdr:col>
      <xdr:colOff>180974</xdr:colOff>
      <xdr:row>166</xdr:row>
      <xdr:rowOff>95249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342900</xdr:colOff>
      <xdr:row>522</xdr:row>
      <xdr:rowOff>47625</xdr:rowOff>
    </xdr:from>
    <xdr:to>
      <xdr:col>21</xdr:col>
      <xdr:colOff>266700</xdr:colOff>
      <xdr:row>539</xdr:row>
      <xdr:rowOff>9525</xdr:rowOff>
    </xdr:to>
    <xdr:graphicFrame macro="">
      <xdr:nvGraphicFramePr>
        <xdr:cNvPr id="4" name="Chart 6">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857250</xdr:colOff>
      <xdr:row>147</xdr:row>
      <xdr:rowOff>42863</xdr:rowOff>
    </xdr:from>
    <xdr:to>
      <xdr:col>10</xdr:col>
      <xdr:colOff>123825</xdr:colOff>
      <xdr:row>173</xdr:row>
      <xdr:rowOff>119063</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6</xdr:col>
          <xdr:colOff>1327150</xdr:colOff>
          <xdr:row>180</xdr:row>
          <xdr:rowOff>31750</xdr:rowOff>
        </xdr:from>
        <xdr:to>
          <xdr:col>6</xdr:col>
          <xdr:colOff>1803400</xdr:colOff>
          <xdr:row>182</xdr:row>
          <xdr:rowOff>12700</xdr:rowOff>
        </xdr:to>
        <xdr:sp macro="" textlink="">
          <xdr:nvSpPr>
            <xdr:cNvPr id="39034" name="Spinner 122" hidden="1">
              <a:extLst>
                <a:ext uri="{63B3BB69-23CF-44E3-9099-C40C66FF867C}">
                  <a14:compatExt spid="_x0000_s39034"/>
                </a:ext>
                <a:ext uri="{FF2B5EF4-FFF2-40B4-BE49-F238E27FC236}">
                  <a16:creationId xmlns:a16="http://schemas.microsoft.com/office/drawing/2014/main" id="{00000000-0008-0000-0600-00007A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1327150</xdr:colOff>
          <xdr:row>183</xdr:row>
          <xdr:rowOff>12700</xdr:rowOff>
        </xdr:from>
        <xdr:to>
          <xdr:col>6</xdr:col>
          <xdr:colOff>1803400</xdr:colOff>
          <xdr:row>183</xdr:row>
          <xdr:rowOff>279400</xdr:rowOff>
        </xdr:to>
        <xdr:sp macro="" textlink="">
          <xdr:nvSpPr>
            <xdr:cNvPr id="39035" name="Spinner 123" hidden="1">
              <a:extLst>
                <a:ext uri="{63B3BB69-23CF-44E3-9099-C40C66FF867C}">
                  <a14:compatExt spid="_x0000_s39035"/>
                </a:ext>
                <a:ext uri="{FF2B5EF4-FFF2-40B4-BE49-F238E27FC236}">
                  <a16:creationId xmlns:a16="http://schemas.microsoft.com/office/drawing/2014/main" id="{00000000-0008-0000-0600-00007B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1327150</xdr:colOff>
          <xdr:row>185</xdr:row>
          <xdr:rowOff>12700</xdr:rowOff>
        </xdr:from>
        <xdr:to>
          <xdr:col>6</xdr:col>
          <xdr:colOff>1790700</xdr:colOff>
          <xdr:row>185</xdr:row>
          <xdr:rowOff>266700</xdr:rowOff>
        </xdr:to>
        <xdr:sp macro="" textlink="">
          <xdr:nvSpPr>
            <xdr:cNvPr id="39036" name="Spinner 124" hidden="1">
              <a:extLst>
                <a:ext uri="{63B3BB69-23CF-44E3-9099-C40C66FF867C}">
                  <a14:compatExt spid="_x0000_s39036"/>
                </a:ext>
                <a:ext uri="{FF2B5EF4-FFF2-40B4-BE49-F238E27FC236}">
                  <a16:creationId xmlns:a16="http://schemas.microsoft.com/office/drawing/2014/main" id="{00000000-0008-0000-0600-00007C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1327150</xdr:colOff>
          <xdr:row>187</xdr:row>
          <xdr:rowOff>12700</xdr:rowOff>
        </xdr:from>
        <xdr:to>
          <xdr:col>6</xdr:col>
          <xdr:colOff>1790700</xdr:colOff>
          <xdr:row>188</xdr:row>
          <xdr:rowOff>12700</xdr:rowOff>
        </xdr:to>
        <xdr:sp macro="" textlink="">
          <xdr:nvSpPr>
            <xdr:cNvPr id="39037" name="Spinner 125" hidden="1">
              <a:extLst>
                <a:ext uri="{63B3BB69-23CF-44E3-9099-C40C66FF867C}">
                  <a14:compatExt spid="_x0000_s39037"/>
                </a:ext>
                <a:ext uri="{FF2B5EF4-FFF2-40B4-BE49-F238E27FC236}">
                  <a16:creationId xmlns:a16="http://schemas.microsoft.com/office/drawing/2014/main" id="{00000000-0008-0000-0600-00007D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3008312</xdr:colOff>
      <xdr:row>199</xdr:row>
      <xdr:rowOff>0</xdr:rowOff>
    </xdr:from>
    <xdr:to>
      <xdr:col>7</xdr:col>
      <xdr:colOff>0</xdr:colOff>
      <xdr:row>224</xdr:row>
      <xdr:rowOff>0</xdr:rowOff>
    </xdr:to>
    <xdr:graphicFrame macro="">
      <xdr:nvGraphicFramePr>
        <xdr:cNvPr id="7" name="Chart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226</xdr:row>
      <xdr:rowOff>0</xdr:rowOff>
    </xdr:from>
    <xdr:to>
      <xdr:col>7</xdr:col>
      <xdr:colOff>85725</xdr:colOff>
      <xdr:row>229</xdr:row>
      <xdr:rowOff>32960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600-00000B000000}"/>
            </a:ext>
          </a:extLst>
        </xdr:cNvPr>
        <xdr:cNvSpPr txBox="1"/>
      </xdr:nvSpPr>
      <xdr:spPr>
        <a:xfrm>
          <a:off x="3190875" y="40681275"/>
          <a:ext cx="779145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return to the baseline farm</a:t>
          </a:r>
          <a:r>
            <a:rPr lang="en-AU" sz="2800" baseline="0"/>
            <a:t> worksheet</a:t>
          </a:r>
          <a:endParaRPr lang="en-AU" sz="2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9</xdr:row>
      <xdr:rowOff>1</xdr:rowOff>
    </xdr:from>
    <xdr:to>
      <xdr:col>8</xdr:col>
      <xdr:colOff>681036</xdr:colOff>
      <xdr:row>43</xdr:row>
      <xdr:rowOff>1</xdr:rowOff>
    </xdr:to>
    <xdr:graphicFrame macro="">
      <xdr:nvGraphicFramePr>
        <xdr:cNvPr id="2094" name="Chart 2">
          <a:extLst>
            <a:ext uri="{FF2B5EF4-FFF2-40B4-BE49-F238E27FC236}">
              <a16:creationId xmlns:a16="http://schemas.microsoft.com/office/drawing/2014/main" id="{00000000-0008-0000-0900-00002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9</xdr:row>
      <xdr:rowOff>9525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09550" y="0"/>
          <a:ext cx="15916275" cy="1457325"/>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Enteric</a:t>
          </a:r>
          <a:r>
            <a:rPr lang="en-AU" sz="2200" b="1" baseline="0"/>
            <a:t> methane reduction through breeding or management</a:t>
          </a:r>
        </a:p>
        <a:p>
          <a:pPr>
            <a:lnSpc>
              <a:spcPct val="110000"/>
            </a:lnSpc>
          </a:pPr>
          <a:r>
            <a:rPr lang="en-AU" sz="1200">
              <a:solidFill>
                <a:schemeClr val="dk1"/>
              </a:solidFill>
              <a:latin typeface="+mn-lt"/>
              <a:ea typeface="+mn-ea"/>
              <a:cs typeface="+mn-cs"/>
            </a:rPr>
            <a:t>This spreadsheet is setup to help producers examine the validity of </a:t>
          </a:r>
          <a:r>
            <a:rPr lang="en-AU" sz="1200" baseline="0">
              <a:solidFill>
                <a:schemeClr val="dk1"/>
              </a:solidFill>
              <a:latin typeface="+mn-lt"/>
              <a:ea typeface="+mn-ea"/>
              <a:cs typeface="+mn-cs"/>
            </a:rPr>
            <a:t> reducing methane emissions through various management or breeding options.  For example, a breeding option could be stock that have lower enteric CH4 emissions per unit of feed intake.  Management options could include a vaccine or a feed additive such as </a:t>
          </a:r>
          <a:r>
            <a:rPr lang="en-AU" sz="1200" i="1" baseline="0">
              <a:solidFill>
                <a:schemeClr val="dk1"/>
              </a:solidFill>
              <a:latin typeface="+mn-lt"/>
              <a:ea typeface="+mn-ea"/>
              <a:cs typeface="+mn-cs"/>
            </a:rPr>
            <a:t>Asparagopsis </a:t>
          </a:r>
          <a:r>
            <a:rPr lang="en-AU" sz="1200" i="0" baseline="0">
              <a:solidFill>
                <a:schemeClr val="dk1"/>
              </a:solidFill>
              <a:latin typeface="+mn-lt"/>
              <a:ea typeface="+mn-ea"/>
              <a:cs typeface="+mn-cs"/>
            </a:rPr>
            <a:t>or Bovaer® (3-NOP</a:t>
          </a:r>
          <a:r>
            <a:rPr lang="en-AU" sz="1200" i="1" baseline="0">
              <a:solidFill>
                <a:schemeClr val="dk1"/>
              </a:solidFill>
              <a:latin typeface="+mn-lt"/>
              <a:ea typeface="+mn-ea"/>
              <a:cs typeface="+mn-cs"/>
            </a:rPr>
            <a:t>) </a:t>
          </a:r>
          <a:r>
            <a:rPr lang="en-AU" sz="1200" baseline="0">
              <a:solidFill>
                <a:schemeClr val="dk1"/>
              </a:solidFill>
              <a:latin typeface="+mn-lt"/>
              <a:ea typeface="+mn-ea"/>
              <a:cs typeface="+mn-cs"/>
            </a:rPr>
            <a:t>to reduce a proportion of enteric methane being emitted.  If the mode of reducing enteric CH4 is a feed additive which will alter the diet digestibility and/or crude protein content of the diet, use the most appropriate alternative sheet (e.g. Replacing Sup with dietary fats or Improved diet DDM by Supplement). </a:t>
          </a:r>
          <a:r>
            <a:rPr lang="en-AU" sz="1200">
              <a:solidFill>
                <a:schemeClr val="dk1"/>
              </a:solidFill>
              <a:latin typeface="+mn-lt"/>
              <a:ea typeface="+mn-ea"/>
              <a:cs typeface="+mn-cs"/>
            </a:rPr>
            <a:t>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The 'Baseline farm system data relevant to this abatement strategy' green cells are linked to the baseline</a:t>
          </a:r>
          <a:r>
            <a:rPr lang="en-AU" sz="1200" b="0" baseline="0">
              <a:solidFill>
                <a:sysClr val="windowText" lastClr="000000"/>
              </a:solidFill>
              <a:latin typeface="+mn-lt"/>
              <a:ea typeface="+mn-ea"/>
              <a:cs typeface="+mn-cs"/>
            </a:rPr>
            <a:t> farm data entered by the user</a:t>
          </a:r>
          <a:r>
            <a:rPr lang="en-AU" sz="1200" b="0">
              <a:solidFill>
                <a:sysClr val="windowText" lastClr="000000"/>
              </a:solidFill>
              <a:latin typeface="+mn-lt"/>
              <a:ea typeface="+mn-ea"/>
              <a:cs typeface="+mn-cs"/>
            </a:rPr>
            <a:t>.  </a:t>
          </a:r>
          <a:r>
            <a:rPr lang="en-AU" sz="1200">
              <a:solidFill>
                <a:schemeClr val="dk1"/>
              </a:solidFill>
              <a:latin typeface="+mn-lt"/>
              <a:ea typeface="+mn-ea"/>
              <a:cs typeface="+mn-cs"/>
            </a:rPr>
            <a:t>The 'Key variables for the strategy farm' </a:t>
          </a:r>
          <a:r>
            <a:rPr lang="en-AU" sz="1200" baseline="0">
              <a:solidFill>
                <a:schemeClr val="dk1"/>
              </a:solidFill>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latin typeface="+mn-lt"/>
              <a:ea typeface="+mn-ea"/>
              <a:cs typeface="+mn-cs"/>
            </a:rPr>
            <a:t>Details on the data required and any underlining assumptions are given by hovering over the cells marked with a red triangle.</a:t>
          </a:r>
          <a:endParaRPr lang="en-AU" sz="1200"/>
        </a:p>
      </xdr:txBody>
    </xdr:sp>
    <xdr:clientData/>
  </xdr:twoCellAnchor>
  <xdr:twoCellAnchor>
    <xdr:from>
      <xdr:col>1</xdr:col>
      <xdr:colOff>552450</xdr:colOff>
      <xdr:row>45</xdr:row>
      <xdr:rowOff>114300</xdr:rowOff>
    </xdr:from>
    <xdr:to>
      <xdr:col>2</xdr:col>
      <xdr:colOff>1524000</xdr:colOff>
      <xdr:row>48</xdr:row>
      <xdr:rowOff>123825</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900-000006000000}"/>
            </a:ext>
          </a:extLst>
        </xdr:cNvPr>
        <xdr:cNvSpPr txBox="1"/>
      </xdr:nvSpPr>
      <xdr:spPr>
        <a:xfrm>
          <a:off x="552450" y="6591300"/>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17</xdr:row>
          <xdr:rowOff>50800</xdr:rowOff>
        </xdr:from>
        <xdr:to>
          <xdr:col>2</xdr:col>
          <xdr:colOff>1543050</xdr:colOff>
          <xdr:row>17</xdr:row>
          <xdr:rowOff>228600</xdr:rowOff>
        </xdr:to>
        <xdr:sp macro="" textlink="">
          <xdr:nvSpPr>
            <xdr:cNvPr id="2074" name="Spinner 26" hidden="1">
              <a:extLst>
                <a:ext uri="{63B3BB69-23CF-44E3-9099-C40C66FF867C}">
                  <a14:compatExt spid="_x0000_s2074"/>
                </a:ext>
                <a:ext uri="{FF2B5EF4-FFF2-40B4-BE49-F238E27FC236}">
                  <a16:creationId xmlns:a16="http://schemas.microsoft.com/office/drawing/2014/main" id="{00000000-0008-0000-0900-00001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19</xdr:row>
          <xdr:rowOff>50800</xdr:rowOff>
        </xdr:from>
        <xdr:to>
          <xdr:col>2</xdr:col>
          <xdr:colOff>1543050</xdr:colOff>
          <xdr:row>19</xdr:row>
          <xdr:rowOff>228600</xdr:rowOff>
        </xdr:to>
        <xdr:sp macro="" textlink="">
          <xdr:nvSpPr>
            <xdr:cNvPr id="2075" name="Spinner 27" hidden="1">
              <a:extLst>
                <a:ext uri="{63B3BB69-23CF-44E3-9099-C40C66FF867C}">
                  <a14:compatExt spid="_x0000_s2075"/>
                </a:ext>
                <a:ext uri="{FF2B5EF4-FFF2-40B4-BE49-F238E27FC236}">
                  <a16:creationId xmlns:a16="http://schemas.microsoft.com/office/drawing/2014/main" id="{00000000-0008-0000-0900-00001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21</xdr:row>
          <xdr:rowOff>50800</xdr:rowOff>
        </xdr:from>
        <xdr:to>
          <xdr:col>2</xdr:col>
          <xdr:colOff>1543050</xdr:colOff>
          <xdr:row>21</xdr:row>
          <xdr:rowOff>228600</xdr:rowOff>
        </xdr:to>
        <xdr:sp macro="" textlink="">
          <xdr:nvSpPr>
            <xdr:cNvPr id="2076" name="Spinner 28" hidden="1">
              <a:extLst>
                <a:ext uri="{63B3BB69-23CF-44E3-9099-C40C66FF867C}">
                  <a14:compatExt spid="_x0000_s2076"/>
                </a:ext>
                <a:ext uri="{FF2B5EF4-FFF2-40B4-BE49-F238E27FC236}">
                  <a16:creationId xmlns:a16="http://schemas.microsoft.com/office/drawing/2014/main" id="{00000000-0008-0000-0900-00001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25</xdr:row>
          <xdr:rowOff>50800</xdr:rowOff>
        </xdr:from>
        <xdr:to>
          <xdr:col>2</xdr:col>
          <xdr:colOff>1543050</xdr:colOff>
          <xdr:row>25</xdr:row>
          <xdr:rowOff>228600</xdr:rowOff>
        </xdr:to>
        <xdr:sp macro="" textlink="">
          <xdr:nvSpPr>
            <xdr:cNvPr id="2077" name="Spinner 29" hidden="1">
              <a:extLst>
                <a:ext uri="{63B3BB69-23CF-44E3-9099-C40C66FF867C}">
                  <a14:compatExt spid="_x0000_s2077"/>
                </a:ext>
                <a:ext uri="{FF2B5EF4-FFF2-40B4-BE49-F238E27FC236}">
                  <a16:creationId xmlns:a16="http://schemas.microsoft.com/office/drawing/2014/main" id="{00000000-0008-0000-0900-00001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27</xdr:row>
          <xdr:rowOff>50800</xdr:rowOff>
        </xdr:from>
        <xdr:to>
          <xdr:col>2</xdr:col>
          <xdr:colOff>1543050</xdr:colOff>
          <xdr:row>27</xdr:row>
          <xdr:rowOff>228600</xdr:rowOff>
        </xdr:to>
        <xdr:sp macro="" textlink="">
          <xdr:nvSpPr>
            <xdr:cNvPr id="2078" name="Spinner 30" hidden="1">
              <a:extLst>
                <a:ext uri="{63B3BB69-23CF-44E3-9099-C40C66FF867C}">
                  <a14:compatExt spid="_x0000_s2078"/>
                </a:ext>
                <a:ext uri="{FF2B5EF4-FFF2-40B4-BE49-F238E27FC236}">
                  <a16:creationId xmlns:a16="http://schemas.microsoft.com/office/drawing/2014/main" id="{00000000-0008-0000-0900-00001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23</xdr:row>
          <xdr:rowOff>50800</xdr:rowOff>
        </xdr:from>
        <xdr:to>
          <xdr:col>2</xdr:col>
          <xdr:colOff>1543050</xdr:colOff>
          <xdr:row>23</xdr:row>
          <xdr:rowOff>228600</xdr:rowOff>
        </xdr:to>
        <xdr:sp macro="" textlink="">
          <xdr:nvSpPr>
            <xdr:cNvPr id="2081" name="Spinner 33" hidden="1">
              <a:extLst>
                <a:ext uri="{63B3BB69-23CF-44E3-9099-C40C66FF867C}">
                  <a14:compatExt spid="_x0000_s2081"/>
                </a:ext>
                <a:ext uri="{FF2B5EF4-FFF2-40B4-BE49-F238E27FC236}">
                  <a16:creationId xmlns:a16="http://schemas.microsoft.com/office/drawing/2014/main" id="{00000000-0008-0000-0900-00002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676275</xdr:colOff>
      <xdr:row>11</xdr:row>
      <xdr:rowOff>8467</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11667" y="0"/>
          <a:ext cx="18574808" cy="14986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Impact of extended lactations on reducing enteric methane</a:t>
          </a:r>
          <a:r>
            <a:rPr lang="en-AU" sz="2200" b="1" baseline="0"/>
            <a:t> emissions</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a program of extended lactations to</a:t>
          </a:r>
          <a:r>
            <a:rPr lang="en-AU" sz="1200" baseline="0">
              <a:solidFill>
                <a:schemeClr val="dk1"/>
              </a:solidFill>
              <a:latin typeface="+mn-lt"/>
              <a:ea typeface="+mn-ea"/>
              <a:cs typeface="+mn-cs"/>
            </a:rPr>
            <a:t> reduce enteric methane production per cow over her lifetime</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a:t>
          </a:r>
          <a:r>
            <a:rPr lang="en-AU" sz="1200" b="1">
              <a:solidFill>
                <a:sysClr val="windowText" lastClr="000000"/>
              </a:solidFill>
              <a:latin typeface="+mn-lt"/>
              <a:ea typeface="+mn-ea"/>
              <a:cs typeface="+mn-cs"/>
            </a:rPr>
            <a:t>Unlike previous abatement strategies, with this strategy some 'Baseline farm system</a:t>
          </a:r>
          <a:r>
            <a:rPr lang="en-AU" sz="1200" b="1" baseline="0">
              <a:solidFill>
                <a:sysClr val="windowText" lastClr="000000"/>
              </a:solidFill>
              <a:latin typeface="+mn-lt"/>
              <a:ea typeface="+mn-ea"/>
              <a:cs typeface="+mn-cs"/>
            </a:rPr>
            <a:t> data relevant to this abatement strategy' green cells need filling in by the user.  These are the average number of lactation before culling and average daily milk production for the two age groups, they are white cells as opposed to green and refer to the baseline annual calving milking herd</a:t>
          </a:r>
          <a:r>
            <a:rPr lang="en-AU" sz="1200" b="0">
              <a:solidFill>
                <a:sysClr val="windowText" lastClr="000000"/>
              </a:solidFill>
              <a:latin typeface="+mn-lt"/>
              <a:ea typeface="+mn-ea"/>
              <a:cs typeface="+mn-cs"/>
            </a:rPr>
            <a:t>.  The other green</a:t>
          </a:r>
          <a:r>
            <a:rPr lang="en-AU" sz="1200" b="0" baseline="0">
              <a:solidFill>
                <a:sysClr val="windowText" lastClr="000000"/>
              </a:solidFill>
              <a:latin typeface="+mn-lt"/>
              <a:ea typeface="+mn-ea"/>
              <a:cs typeface="+mn-cs"/>
            </a:rPr>
            <a:t> cells are linked to the baseline arm data entered by the user.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r>
            <a:rPr lang="en-AU" sz="1200">
              <a:solidFill>
                <a:schemeClr val="dk1"/>
              </a:solidFill>
              <a:latin typeface="+mn-lt"/>
              <a:ea typeface="+mn-ea"/>
              <a:cs typeface="+mn-cs"/>
            </a:rPr>
            <a:t>Also unlike previous abatement strategies, this one does not determine the implications of altered</a:t>
          </a:r>
          <a:r>
            <a:rPr lang="en-AU" sz="1200" baseline="0">
              <a:solidFill>
                <a:schemeClr val="dk1"/>
              </a:solidFill>
              <a:latin typeface="+mn-lt"/>
              <a:ea typeface="+mn-ea"/>
              <a:cs typeface="+mn-cs"/>
            </a:rPr>
            <a:t> GHG emissions from animal waste (either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or N</a:t>
          </a:r>
          <a:r>
            <a:rPr lang="en-AU" sz="1200" baseline="-25000">
              <a:solidFill>
                <a:schemeClr val="dk1"/>
              </a:solidFill>
              <a:latin typeface="+mn-lt"/>
              <a:ea typeface="+mn-ea"/>
              <a:cs typeface="+mn-cs"/>
            </a:rPr>
            <a:t>2</a:t>
          </a:r>
          <a:r>
            <a:rPr lang="en-AU" sz="1200" baseline="0">
              <a:solidFill>
                <a:schemeClr val="dk1"/>
              </a:solidFill>
              <a:latin typeface="+mn-lt"/>
              <a:ea typeface="+mn-ea"/>
              <a:cs typeface="+mn-cs"/>
            </a:rPr>
            <a:t>O) nor changes to N</a:t>
          </a:r>
          <a:r>
            <a:rPr lang="en-AU" sz="1200" baseline="-25000">
              <a:solidFill>
                <a:schemeClr val="dk1"/>
              </a:solidFill>
              <a:latin typeface="+mn-lt"/>
              <a:ea typeface="+mn-ea"/>
              <a:cs typeface="+mn-cs"/>
            </a:rPr>
            <a:t>2</a:t>
          </a:r>
          <a:r>
            <a:rPr lang="en-AU" sz="1200" baseline="0">
              <a:solidFill>
                <a:schemeClr val="dk1"/>
              </a:solidFill>
              <a:latin typeface="+mn-lt"/>
              <a:ea typeface="+mn-ea"/>
              <a:cs typeface="+mn-cs"/>
            </a:rPr>
            <a:t>O emissions from N fertilisers; the calculations focus solely on changes to enteric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  These are likely to also alter but the method of estimating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 didn't follow the NGGI approach and therefore it was difficult to estimate these non enteric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a:t>
          </a:r>
          <a:endParaRPr lang="en-AU" sz="1200"/>
        </a:p>
      </xdr:txBody>
    </xdr:sp>
    <xdr:clientData/>
  </xdr:twoCellAnchor>
  <xdr:twoCellAnchor>
    <xdr:from>
      <xdr:col>1</xdr:col>
      <xdr:colOff>552450</xdr:colOff>
      <xdr:row>54</xdr:row>
      <xdr:rowOff>114300</xdr:rowOff>
    </xdr:from>
    <xdr:to>
      <xdr:col>2</xdr:col>
      <xdr:colOff>1524000</xdr:colOff>
      <xdr:row>57</xdr:row>
      <xdr:rowOff>123825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A00-000004000000}"/>
            </a:ext>
          </a:extLst>
        </xdr:cNvPr>
        <xdr:cNvSpPr txBox="1"/>
      </xdr:nvSpPr>
      <xdr:spPr>
        <a:xfrm>
          <a:off x="762000" y="9391650"/>
          <a:ext cx="6562725"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1181100</xdr:colOff>
          <xdr:row>21</xdr:row>
          <xdr:rowOff>38100</xdr:rowOff>
        </xdr:from>
        <xdr:to>
          <xdr:col>2</xdr:col>
          <xdr:colOff>1524000</xdr:colOff>
          <xdr:row>21</xdr:row>
          <xdr:rowOff>222250</xdr:rowOff>
        </xdr:to>
        <xdr:sp macro="" textlink="">
          <xdr:nvSpPr>
            <xdr:cNvPr id="32769" name="Spinner 1" hidden="1">
              <a:extLst>
                <a:ext uri="{63B3BB69-23CF-44E3-9099-C40C66FF867C}">
                  <a14:compatExt spid="_x0000_s32769"/>
                </a:ext>
                <a:ext uri="{FF2B5EF4-FFF2-40B4-BE49-F238E27FC236}">
                  <a16:creationId xmlns:a16="http://schemas.microsoft.com/office/drawing/2014/main" id="{00000000-0008-0000-0A00-000001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23</xdr:row>
          <xdr:rowOff>38100</xdr:rowOff>
        </xdr:from>
        <xdr:to>
          <xdr:col>2</xdr:col>
          <xdr:colOff>1524000</xdr:colOff>
          <xdr:row>23</xdr:row>
          <xdr:rowOff>222250</xdr:rowOff>
        </xdr:to>
        <xdr:sp macro="" textlink="">
          <xdr:nvSpPr>
            <xdr:cNvPr id="32770" name="Spinner 2" hidden="1">
              <a:extLst>
                <a:ext uri="{63B3BB69-23CF-44E3-9099-C40C66FF867C}">
                  <a14:compatExt spid="_x0000_s32770"/>
                </a:ext>
                <a:ext uri="{FF2B5EF4-FFF2-40B4-BE49-F238E27FC236}">
                  <a16:creationId xmlns:a16="http://schemas.microsoft.com/office/drawing/2014/main" id="{00000000-0008-0000-0A00-000002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25</xdr:row>
          <xdr:rowOff>19050</xdr:rowOff>
        </xdr:from>
        <xdr:to>
          <xdr:col>2</xdr:col>
          <xdr:colOff>1524000</xdr:colOff>
          <xdr:row>25</xdr:row>
          <xdr:rowOff>222250</xdr:rowOff>
        </xdr:to>
        <xdr:sp macro="" textlink="">
          <xdr:nvSpPr>
            <xdr:cNvPr id="32771" name="Spinner 3" hidden="1">
              <a:extLst>
                <a:ext uri="{63B3BB69-23CF-44E3-9099-C40C66FF867C}">
                  <a14:compatExt spid="_x0000_s32771"/>
                </a:ext>
                <a:ext uri="{FF2B5EF4-FFF2-40B4-BE49-F238E27FC236}">
                  <a16:creationId xmlns:a16="http://schemas.microsoft.com/office/drawing/2014/main" id="{00000000-0008-0000-0A00-000003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33</xdr:row>
          <xdr:rowOff>38100</xdr:rowOff>
        </xdr:from>
        <xdr:to>
          <xdr:col>2</xdr:col>
          <xdr:colOff>1524000</xdr:colOff>
          <xdr:row>33</xdr:row>
          <xdr:rowOff>247650</xdr:rowOff>
        </xdr:to>
        <xdr:sp macro="" textlink="">
          <xdr:nvSpPr>
            <xdr:cNvPr id="32772" name="Spinner 4" hidden="1">
              <a:extLst>
                <a:ext uri="{63B3BB69-23CF-44E3-9099-C40C66FF867C}">
                  <a14:compatExt spid="_x0000_s32772"/>
                </a:ext>
                <a:ext uri="{FF2B5EF4-FFF2-40B4-BE49-F238E27FC236}">
                  <a16:creationId xmlns:a16="http://schemas.microsoft.com/office/drawing/2014/main" id="{00000000-0008-0000-0A00-000004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35</xdr:row>
          <xdr:rowOff>19050</xdr:rowOff>
        </xdr:from>
        <xdr:to>
          <xdr:col>2</xdr:col>
          <xdr:colOff>1524000</xdr:colOff>
          <xdr:row>35</xdr:row>
          <xdr:rowOff>222250</xdr:rowOff>
        </xdr:to>
        <xdr:sp macro="" textlink="">
          <xdr:nvSpPr>
            <xdr:cNvPr id="32773" name="Spinner 5" hidden="1">
              <a:extLst>
                <a:ext uri="{63B3BB69-23CF-44E3-9099-C40C66FF867C}">
                  <a14:compatExt spid="_x0000_s32773"/>
                </a:ext>
                <a:ext uri="{FF2B5EF4-FFF2-40B4-BE49-F238E27FC236}">
                  <a16:creationId xmlns:a16="http://schemas.microsoft.com/office/drawing/2014/main" id="{00000000-0008-0000-0A00-000005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27</xdr:row>
          <xdr:rowOff>38100</xdr:rowOff>
        </xdr:from>
        <xdr:to>
          <xdr:col>2</xdr:col>
          <xdr:colOff>1524000</xdr:colOff>
          <xdr:row>27</xdr:row>
          <xdr:rowOff>241300</xdr:rowOff>
        </xdr:to>
        <xdr:sp macro="" textlink="">
          <xdr:nvSpPr>
            <xdr:cNvPr id="32774" name="Spinner 6" hidden="1">
              <a:extLst>
                <a:ext uri="{63B3BB69-23CF-44E3-9099-C40C66FF867C}">
                  <a14:compatExt spid="_x0000_s32774"/>
                </a:ext>
                <a:ext uri="{FF2B5EF4-FFF2-40B4-BE49-F238E27FC236}">
                  <a16:creationId xmlns:a16="http://schemas.microsoft.com/office/drawing/2014/main" id="{00000000-0008-0000-0A00-000006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1193800</xdr:colOff>
          <xdr:row>29</xdr:row>
          <xdr:rowOff>31750</xdr:rowOff>
        </xdr:from>
        <xdr:to>
          <xdr:col>2</xdr:col>
          <xdr:colOff>1536700</xdr:colOff>
          <xdr:row>29</xdr:row>
          <xdr:rowOff>241300</xdr:rowOff>
        </xdr:to>
        <xdr:sp macro="" textlink="">
          <xdr:nvSpPr>
            <xdr:cNvPr id="32775" name="Spinner 7" hidden="1">
              <a:extLst>
                <a:ext uri="{63B3BB69-23CF-44E3-9099-C40C66FF867C}">
                  <a14:compatExt spid="_x0000_s32775"/>
                </a:ext>
                <a:ext uri="{FF2B5EF4-FFF2-40B4-BE49-F238E27FC236}">
                  <a16:creationId xmlns:a16="http://schemas.microsoft.com/office/drawing/2014/main" id="{00000000-0008-0000-0A00-000007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1193800</xdr:colOff>
          <xdr:row>31</xdr:row>
          <xdr:rowOff>19050</xdr:rowOff>
        </xdr:from>
        <xdr:to>
          <xdr:col>2</xdr:col>
          <xdr:colOff>1536700</xdr:colOff>
          <xdr:row>31</xdr:row>
          <xdr:rowOff>228600</xdr:rowOff>
        </xdr:to>
        <xdr:sp macro="" textlink="">
          <xdr:nvSpPr>
            <xdr:cNvPr id="32825" name="Spinner 57" hidden="1">
              <a:extLst>
                <a:ext uri="{63B3BB69-23CF-44E3-9099-C40C66FF867C}">
                  <a14:compatExt spid="_x0000_s32825"/>
                </a:ext>
                <a:ext uri="{FF2B5EF4-FFF2-40B4-BE49-F238E27FC236}">
                  <a16:creationId xmlns:a16="http://schemas.microsoft.com/office/drawing/2014/main" id="{00000000-0008-0000-0A00-000039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31</xdr:row>
          <xdr:rowOff>38100</xdr:rowOff>
        </xdr:from>
        <xdr:to>
          <xdr:col>2</xdr:col>
          <xdr:colOff>1524000</xdr:colOff>
          <xdr:row>31</xdr:row>
          <xdr:rowOff>241300</xdr:rowOff>
        </xdr:to>
        <xdr:sp macro="" textlink="">
          <xdr:nvSpPr>
            <xdr:cNvPr id="32828" name="Spinner 60" hidden="1">
              <a:extLst>
                <a:ext uri="{63B3BB69-23CF-44E3-9099-C40C66FF867C}">
                  <a14:compatExt spid="_x0000_s32828"/>
                </a:ext>
                <a:ext uri="{FF2B5EF4-FFF2-40B4-BE49-F238E27FC236}">
                  <a16:creationId xmlns:a16="http://schemas.microsoft.com/office/drawing/2014/main" id="{00000000-0008-0000-0A00-00003C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11</xdr:row>
      <xdr:rowOff>0</xdr:rowOff>
    </xdr:from>
    <xdr:to>
      <xdr:col>8</xdr:col>
      <xdr:colOff>673100</xdr:colOff>
      <xdr:row>52</xdr:row>
      <xdr:rowOff>0</xdr:rowOff>
    </xdr:to>
    <xdr:graphicFrame macro="">
      <xdr:nvGraphicFramePr>
        <xdr:cNvPr id="14" name="Chart 2">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enc1\Downloads\DairyBaseData_581_2000662_23-06-11-0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Report"/>
      <sheetName val="Carbon Input"/>
      <sheetName val="Carbon Calculations"/>
      <sheetName val="Carbon Report"/>
      <sheetName val="Select Lists"/>
      <sheetName val="ChangeLog"/>
    </sheetNames>
    <sheetDataSet>
      <sheetData sheetId="0"/>
      <sheetData sheetId="1"/>
      <sheetData sheetId="2">
        <row r="44">
          <cell r="C44">
            <v>80</v>
          </cell>
          <cell r="K44">
            <v>140</v>
          </cell>
          <cell r="M44">
            <v>0</v>
          </cell>
          <cell r="O44">
            <v>0</v>
          </cell>
        </row>
        <row r="45">
          <cell r="C45">
            <v>580</v>
          </cell>
          <cell r="K45">
            <v>600</v>
          </cell>
          <cell r="M45">
            <v>46</v>
          </cell>
          <cell r="O45">
            <v>100</v>
          </cell>
        </row>
      </sheetData>
      <sheetData sheetId="3"/>
      <sheetData sheetId="4">
        <row r="10">
          <cell r="D10">
            <v>0.93881189694755385</v>
          </cell>
        </row>
        <row r="16">
          <cell r="D16">
            <v>6.4481396724682583</v>
          </cell>
        </row>
        <row r="25">
          <cell r="K25">
            <v>48.559735714285715</v>
          </cell>
        </row>
        <row r="26">
          <cell r="K26">
            <v>38.349740000000004</v>
          </cell>
        </row>
        <row r="27">
          <cell r="K27">
            <v>14</v>
          </cell>
        </row>
        <row r="28">
          <cell r="K28">
            <v>17.161560000000001</v>
          </cell>
        </row>
        <row r="29">
          <cell r="K29">
            <v>74.066666666666663</v>
          </cell>
        </row>
        <row r="30">
          <cell r="K30">
            <v>0</v>
          </cell>
        </row>
        <row r="31">
          <cell r="K31">
            <v>0</v>
          </cell>
        </row>
        <row r="32">
          <cell r="K32">
            <v>58.217999999999996</v>
          </cell>
        </row>
        <row r="33">
          <cell r="K33">
            <v>0</v>
          </cell>
        </row>
        <row r="34">
          <cell r="I34">
            <v>611.45940465280898</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6.vml"/><Relationship Id="rId7" Type="http://schemas.openxmlformats.org/officeDocument/2006/relationships/ctrlProp" Target="../ctrlProps/ctrlProp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7.xml"/><Relationship Id="rId5" Type="http://schemas.openxmlformats.org/officeDocument/2006/relationships/ctrlProp" Target="../ctrlProps/ctrlProp6.xml"/><Relationship Id="rId10" Type="http://schemas.openxmlformats.org/officeDocument/2006/relationships/comments" Target="../comments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8.vml"/><Relationship Id="rId7" Type="http://schemas.openxmlformats.org/officeDocument/2006/relationships/ctrlProp" Target="../ctrlProps/ctrlProp23.xml"/><Relationship Id="rId12" Type="http://schemas.openxmlformats.org/officeDocument/2006/relationships/comments" Target="../comments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9.v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11.xml"/><Relationship Id="rId16" Type="http://schemas.openxmlformats.org/officeDocument/2006/relationships/ctrlProp" Target="../ctrlProps/ctrlProp40.xml"/><Relationship Id="rId20" Type="http://schemas.openxmlformats.org/officeDocument/2006/relationships/comments" Target="../comments9.xml"/><Relationship Id="rId1" Type="http://schemas.openxmlformats.org/officeDocument/2006/relationships/printerSettings" Target="../printerSettings/printerSettings12.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10.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5" Type="http://schemas.openxmlformats.org/officeDocument/2006/relationships/comments" Target="../comments10.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11.vml"/><Relationship Id="rId7" Type="http://schemas.openxmlformats.org/officeDocument/2006/relationships/ctrlProp" Target="../ctrlProps/ctrlProp58.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57.xml"/><Relationship Id="rId11" Type="http://schemas.openxmlformats.org/officeDocument/2006/relationships/comments" Target="../comments11.xml"/><Relationship Id="rId5" Type="http://schemas.openxmlformats.org/officeDocument/2006/relationships/ctrlProp" Target="../ctrlProps/ctrlProp56.xml"/><Relationship Id="rId10" Type="http://schemas.openxmlformats.org/officeDocument/2006/relationships/ctrlProp" Target="../ctrlProps/ctrlProp61.xml"/><Relationship Id="rId4" Type="http://schemas.openxmlformats.org/officeDocument/2006/relationships/ctrlProp" Target="../ctrlProps/ctrlProp55.xml"/><Relationship Id="rId9" Type="http://schemas.openxmlformats.org/officeDocument/2006/relationships/ctrlProp" Target="../ctrlProps/ctrlProp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5.xml"/><Relationship Id="rId12" Type="http://schemas.openxmlformats.org/officeDocument/2006/relationships/ctrlProp" Target="../ctrlProps/ctrlProp70.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15.xml"/><Relationship Id="rId16" Type="http://schemas.openxmlformats.org/officeDocument/2006/relationships/ctrlProp" Target="../ctrlProps/ctrlProp83.xml"/><Relationship Id="rId1" Type="http://schemas.openxmlformats.org/officeDocument/2006/relationships/printerSettings" Target="../printerSettings/printerSettings16.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14.vml"/><Relationship Id="rId7" Type="http://schemas.openxmlformats.org/officeDocument/2006/relationships/ctrlProp" Target="../ctrlProps/ctrlProp88.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87.xml"/><Relationship Id="rId5" Type="http://schemas.openxmlformats.org/officeDocument/2006/relationships/ctrlProp" Target="../ctrlProps/ctrlProp86.xml"/><Relationship Id="rId10" Type="http://schemas.openxmlformats.org/officeDocument/2006/relationships/comments" Target="../comments14.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B1:R143"/>
  <sheetViews>
    <sheetView tabSelected="1" workbookViewId="0"/>
  </sheetViews>
  <sheetFormatPr defaultColWidth="8.81640625" defaultRowHeight="14.5" x14ac:dyDescent="0.35"/>
  <cols>
    <col min="1" max="1" width="2.26953125" style="431" customWidth="1"/>
    <col min="2" max="16384" width="8.81640625" style="431"/>
  </cols>
  <sheetData>
    <row r="1" spans="2:18" ht="30" customHeight="1" x14ac:dyDescent="0.35"/>
    <row r="2" spans="2:18" ht="30" customHeight="1" x14ac:dyDescent="0.35">
      <c r="C2" s="2528" t="s">
        <v>1458</v>
      </c>
      <c r="D2" s="2528"/>
      <c r="E2" s="2528"/>
      <c r="F2" s="2528"/>
      <c r="G2" s="2528"/>
      <c r="H2" s="2528"/>
      <c r="I2" s="2528"/>
      <c r="J2" s="2528"/>
      <c r="K2" s="2528"/>
      <c r="L2" s="2528"/>
      <c r="M2" s="2528"/>
      <c r="N2" s="2528"/>
      <c r="O2" s="2528"/>
      <c r="P2" s="2528"/>
      <c r="Q2" s="2528"/>
      <c r="R2" s="2528"/>
    </row>
    <row r="3" spans="2:18" ht="30" customHeight="1" x14ac:dyDescent="0.35">
      <c r="C3" s="2528"/>
      <c r="D3" s="2528"/>
      <c r="E3" s="2528"/>
      <c r="F3" s="2528"/>
      <c r="G3" s="2528"/>
      <c r="H3" s="2528"/>
      <c r="I3" s="2528"/>
      <c r="J3" s="2528"/>
      <c r="K3" s="2528"/>
      <c r="L3" s="2528"/>
      <c r="M3" s="2528"/>
      <c r="N3" s="2528"/>
      <c r="O3" s="2528"/>
      <c r="P3" s="2528"/>
      <c r="Q3" s="2528"/>
      <c r="R3" s="2528"/>
    </row>
    <row r="4" spans="2:18" s="919" customFormat="1" ht="30" customHeight="1" x14ac:dyDescent="0.35">
      <c r="C4" s="2528"/>
      <c r="D4" s="2528"/>
      <c r="E4" s="2528"/>
      <c r="F4" s="2528"/>
      <c r="G4" s="2528"/>
      <c r="H4" s="2528"/>
      <c r="I4" s="2528"/>
      <c r="J4" s="2528"/>
      <c r="K4" s="2528"/>
      <c r="L4" s="2528"/>
      <c r="M4" s="2528"/>
      <c r="N4" s="2528"/>
      <c r="O4" s="2528"/>
      <c r="P4" s="2528"/>
      <c r="Q4" s="2528"/>
      <c r="R4" s="2528"/>
    </row>
    <row r="5" spans="2:18" ht="30" customHeight="1" x14ac:dyDescent="0.35">
      <c r="C5" s="2528"/>
      <c r="D5" s="2528"/>
      <c r="E5" s="2528"/>
      <c r="F5" s="2528"/>
      <c r="G5" s="2528"/>
      <c r="H5" s="2528"/>
      <c r="I5" s="2528"/>
      <c r="J5" s="2528"/>
      <c r="K5" s="2528"/>
      <c r="L5" s="2528"/>
      <c r="M5" s="2528"/>
      <c r="N5" s="2528"/>
      <c r="O5" s="2528"/>
      <c r="P5" s="2528"/>
      <c r="Q5" s="2528"/>
      <c r="R5" s="2528"/>
    </row>
    <row r="7" spans="2:18" ht="18.5" x14ac:dyDescent="0.45">
      <c r="G7" s="2529" t="s">
        <v>2136</v>
      </c>
      <c r="H7" s="2529"/>
      <c r="I7" s="2529"/>
      <c r="J7" s="2529"/>
      <c r="K7" s="2529"/>
    </row>
    <row r="9" spans="2:18" x14ac:dyDescent="0.35">
      <c r="B9" s="676" t="s">
        <v>977</v>
      </c>
    </row>
    <row r="10" spans="2:18" ht="14.5" customHeight="1" x14ac:dyDescent="0.35">
      <c r="B10" s="2518" t="s">
        <v>1566</v>
      </c>
      <c r="C10" s="2518"/>
      <c r="D10" s="2518"/>
      <c r="E10" s="2518"/>
      <c r="F10" s="2518"/>
      <c r="G10" s="2518"/>
      <c r="H10" s="2518"/>
      <c r="I10" s="2518"/>
      <c r="J10" s="2518"/>
      <c r="K10" s="2518"/>
      <c r="L10" s="2518"/>
      <c r="M10" s="2518"/>
      <c r="N10" s="2518"/>
      <c r="O10" s="2518"/>
      <c r="P10" s="2518"/>
      <c r="Q10" s="2518"/>
      <c r="R10" s="2518"/>
    </row>
    <row r="11" spans="2:18" x14ac:dyDescent="0.35">
      <c r="B11" s="2518"/>
      <c r="C11" s="2518"/>
      <c r="D11" s="2518"/>
      <c r="E11" s="2518"/>
      <c r="F11" s="2518"/>
      <c r="G11" s="2518"/>
      <c r="H11" s="2518"/>
      <c r="I11" s="2518"/>
      <c r="J11" s="2518"/>
      <c r="K11" s="2518"/>
      <c r="L11" s="2518"/>
      <c r="M11" s="2518"/>
      <c r="N11" s="2518"/>
      <c r="O11" s="2518"/>
      <c r="P11" s="2518"/>
      <c r="Q11" s="2518"/>
      <c r="R11" s="2518"/>
    </row>
    <row r="12" spans="2:18" x14ac:dyDescent="0.35">
      <c r="B12" s="2518"/>
      <c r="C12" s="2518"/>
      <c r="D12" s="2518"/>
      <c r="E12" s="2518"/>
      <c r="F12" s="2518"/>
      <c r="G12" s="2518"/>
      <c r="H12" s="2518"/>
      <c r="I12" s="2518"/>
      <c r="J12" s="2518"/>
      <c r="K12" s="2518"/>
      <c r="L12" s="2518"/>
      <c r="M12" s="2518"/>
      <c r="N12" s="2518"/>
      <c r="O12" s="2518"/>
      <c r="P12" s="2518"/>
      <c r="Q12" s="2518"/>
      <c r="R12" s="2518"/>
    </row>
    <row r="14" spans="2:18" ht="15" customHeight="1" x14ac:dyDescent="0.35">
      <c r="B14" s="2518" t="s">
        <v>2107</v>
      </c>
      <c r="C14" s="2518"/>
      <c r="D14" s="2518"/>
      <c r="E14" s="2518"/>
      <c r="F14" s="2518"/>
      <c r="G14" s="2518"/>
      <c r="H14" s="2518"/>
      <c r="I14" s="2518"/>
      <c r="J14" s="2518"/>
      <c r="K14" s="2518"/>
      <c r="L14" s="2518"/>
      <c r="M14" s="2518"/>
      <c r="N14" s="2518"/>
      <c r="O14" s="2518"/>
      <c r="P14" s="2518"/>
      <c r="Q14" s="2518"/>
      <c r="R14" s="2518"/>
    </row>
    <row r="15" spans="2:18" x14ac:dyDescent="0.35">
      <c r="B15" s="2518"/>
      <c r="C15" s="2518"/>
      <c r="D15" s="2518"/>
      <c r="E15" s="2518"/>
      <c r="F15" s="2518"/>
      <c r="G15" s="2518"/>
      <c r="H15" s="2518"/>
      <c r="I15" s="2518"/>
      <c r="J15" s="2518"/>
      <c r="K15" s="2518"/>
      <c r="L15" s="2518"/>
      <c r="M15" s="2518"/>
      <c r="N15" s="2518"/>
      <c r="O15" s="2518"/>
      <c r="P15" s="2518"/>
      <c r="Q15" s="2518"/>
      <c r="R15" s="2518"/>
    </row>
    <row r="16" spans="2:18" s="919" customFormat="1" x14ac:dyDescent="0.35">
      <c r="B16" s="2518"/>
      <c r="C16" s="2518"/>
      <c r="D16" s="2518"/>
      <c r="E16" s="2518"/>
      <c r="F16" s="2518"/>
      <c r="G16" s="2518"/>
      <c r="H16" s="2518"/>
      <c r="I16" s="2518"/>
      <c r="J16" s="2518"/>
      <c r="K16" s="2518"/>
      <c r="L16" s="2518"/>
      <c r="M16" s="2518"/>
      <c r="N16" s="2518"/>
      <c r="O16" s="2518"/>
      <c r="P16" s="2518"/>
      <c r="Q16" s="2518"/>
      <c r="R16" s="2518"/>
    </row>
    <row r="17" spans="2:18" ht="19" x14ac:dyDescent="0.45">
      <c r="B17" s="2515" t="s">
        <v>2135</v>
      </c>
      <c r="C17" s="2516"/>
      <c r="D17" s="2516"/>
      <c r="E17" s="2516"/>
      <c r="F17" s="2516"/>
      <c r="G17" s="2516"/>
      <c r="H17" s="2516"/>
      <c r="I17" s="2516"/>
      <c r="J17" s="2516"/>
      <c r="K17" s="2516"/>
      <c r="L17" s="879"/>
    </row>
    <row r="19" spans="2:18" x14ac:dyDescent="0.35">
      <c r="B19" s="676" t="s">
        <v>1468</v>
      </c>
      <c r="C19" s="802"/>
    </row>
    <row r="20" spans="2:18" x14ac:dyDescent="0.35">
      <c r="B20" s="2519" t="s">
        <v>1459</v>
      </c>
      <c r="C20" s="2519"/>
      <c r="D20" s="2519"/>
      <c r="E20" s="2519"/>
      <c r="F20" s="2519"/>
      <c r="G20" s="2519"/>
      <c r="H20" s="2519"/>
      <c r="I20" s="2519"/>
      <c r="J20" s="2519"/>
      <c r="K20" s="2519"/>
      <c r="L20" s="2519"/>
      <c r="M20" s="2519"/>
      <c r="N20" s="2519"/>
      <c r="O20" s="2519"/>
      <c r="P20" s="2519"/>
      <c r="Q20" s="2519"/>
      <c r="R20" s="2519"/>
    </row>
    <row r="21" spans="2:18" x14ac:dyDescent="0.35">
      <c r="B21" s="2519"/>
      <c r="C21" s="2519"/>
      <c r="D21" s="2519"/>
      <c r="E21" s="2519"/>
      <c r="F21" s="2519"/>
      <c r="G21" s="2519"/>
      <c r="H21" s="2519"/>
      <c r="I21" s="2519"/>
      <c r="J21" s="2519"/>
      <c r="K21" s="2519"/>
      <c r="L21" s="2519"/>
      <c r="M21" s="2519"/>
      <c r="N21" s="2519"/>
      <c r="O21" s="2519"/>
      <c r="P21" s="2519"/>
      <c r="Q21" s="2519"/>
      <c r="R21" s="2519"/>
    </row>
    <row r="22" spans="2:18" x14ac:dyDescent="0.35">
      <c r="B22" s="2519"/>
      <c r="C22" s="2519"/>
      <c r="D22" s="2519"/>
      <c r="E22" s="2519"/>
      <c r="F22" s="2519"/>
      <c r="G22" s="2519"/>
      <c r="H22" s="2519"/>
      <c r="I22" s="2519"/>
      <c r="J22" s="2519"/>
      <c r="K22" s="2519"/>
      <c r="L22" s="2519"/>
      <c r="M22" s="2519"/>
      <c r="N22" s="2519"/>
      <c r="O22" s="2519"/>
      <c r="P22" s="2519"/>
      <c r="Q22" s="2519"/>
      <c r="R22" s="2519"/>
    </row>
    <row r="26" spans="2:18" ht="14.5" customHeight="1" x14ac:dyDescent="0.35">
      <c r="B26" s="2520" t="s">
        <v>2108</v>
      </c>
      <c r="C26" s="2520"/>
      <c r="D26" s="2520"/>
      <c r="E26" s="2520"/>
      <c r="F26" s="2520"/>
      <c r="G26" s="2520"/>
      <c r="H26" s="2520"/>
      <c r="I26" s="2520"/>
      <c r="J26" s="2520"/>
      <c r="K26" s="2520"/>
      <c r="L26" s="2520"/>
      <c r="M26" s="2520"/>
      <c r="N26" s="2520"/>
      <c r="O26" s="2520"/>
      <c r="P26" s="2520"/>
      <c r="Q26" s="2520"/>
      <c r="R26" s="2520"/>
    </row>
    <row r="27" spans="2:18" x14ac:dyDescent="0.35">
      <c r="B27" s="2520"/>
      <c r="C27" s="2520"/>
      <c r="D27" s="2520"/>
      <c r="E27" s="2520"/>
      <c r="F27" s="2520"/>
      <c r="G27" s="2520"/>
      <c r="H27" s="2520"/>
      <c r="I27" s="2520"/>
      <c r="J27" s="2520"/>
      <c r="K27" s="2520"/>
      <c r="L27" s="2520"/>
      <c r="M27" s="2520"/>
      <c r="N27" s="2520"/>
      <c r="O27" s="2520"/>
      <c r="P27" s="2520"/>
      <c r="Q27" s="2520"/>
      <c r="R27" s="2520"/>
    </row>
    <row r="28" spans="2:18" x14ac:dyDescent="0.35">
      <c r="B28" s="2520"/>
      <c r="C28" s="2520"/>
      <c r="D28" s="2520"/>
      <c r="E28" s="2520"/>
      <c r="F28" s="2520"/>
      <c r="G28" s="2520"/>
      <c r="H28" s="2520"/>
      <c r="I28" s="2520"/>
      <c r="J28" s="2520"/>
      <c r="K28" s="2520"/>
      <c r="L28" s="2520"/>
      <c r="M28" s="2520"/>
      <c r="N28" s="2520"/>
      <c r="O28" s="2520"/>
      <c r="P28" s="2520"/>
      <c r="Q28" s="2520"/>
      <c r="R28" s="2520"/>
    </row>
    <row r="29" spans="2:18" x14ac:dyDescent="0.35">
      <c r="B29" s="2520"/>
      <c r="C29" s="2520"/>
      <c r="D29" s="2520"/>
      <c r="E29" s="2520"/>
      <c r="F29" s="2520"/>
      <c r="G29" s="2520"/>
      <c r="H29" s="2520"/>
      <c r="I29" s="2520"/>
      <c r="J29" s="2520"/>
      <c r="K29" s="2520"/>
      <c r="L29" s="2520"/>
      <c r="M29" s="2520"/>
      <c r="N29" s="2520"/>
      <c r="O29" s="2520"/>
      <c r="P29" s="2520"/>
      <c r="Q29" s="2520"/>
      <c r="R29" s="2520"/>
    </row>
    <row r="30" spans="2:18" x14ac:dyDescent="0.35">
      <c r="B30" s="2520"/>
      <c r="C30" s="2520"/>
      <c r="D30" s="2520"/>
      <c r="E30" s="2520"/>
      <c r="F30" s="2520"/>
      <c r="G30" s="2520"/>
      <c r="H30" s="2520"/>
      <c r="I30" s="2520"/>
      <c r="J30" s="2520"/>
      <c r="K30" s="2520"/>
      <c r="L30" s="2520"/>
      <c r="M30" s="2520"/>
      <c r="N30" s="2520"/>
      <c r="O30" s="2520"/>
      <c r="P30" s="2520"/>
      <c r="Q30" s="2520"/>
      <c r="R30" s="2520"/>
    </row>
    <row r="31" spans="2:18" x14ac:dyDescent="0.35">
      <c r="B31" s="2520"/>
      <c r="C31" s="2520"/>
      <c r="D31" s="2520"/>
      <c r="E31" s="2520"/>
      <c r="F31" s="2520"/>
      <c r="G31" s="2520"/>
      <c r="H31" s="2520"/>
      <c r="I31" s="2520"/>
      <c r="J31" s="2520"/>
      <c r="K31" s="2520"/>
      <c r="L31" s="2520"/>
      <c r="M31" s="2520"/>
      <c r="N31" s="2520"/>
      <c r="O31" s="2520"/>
      <c r="P31" s="2520"/>
      <c r="Q31" s="2520"/>
      <c r="R31" s="2520"/>
    </row>
    <row r="32" spans="2:18" x14ac:dyDescent="0.35">
      <c r="B32" s="2520"/>
      <c r="C32" s="2520"/>
      <c r="D32" s="2520"/>
      <c r="E32" s="2520"/>
      <c r="F32" s="2520"/>
      <c r="G32" s="2520"/>
      <c r="H32" s="2520"/>
      <c r="I32" s="2520"/>
      <c r="J32" s="2520"/>
      <c r="K32" s="2520"/>
      <c r="L32" s="2520"/>
      <c r="M32" s="2520"/>
      <c r="N32" s="2520"/>
      <c r="O32" s="2520"/>
      <c r="P32" s="2520"/>
      <c r="Q32" s="2520"/>
      <c r="R32" s="2520"/>
    </row>
    <row r="33" spans="2:18" s="919" customFormat="1" x14ac:dyDescent="0.35">
      <c r="B33" s="2520"/>
      <c r="C33" s="2520"/>
      <c r="D33" s="2520"/>
      <c r="E33" s="2520"/>
      <c r="F33" s="2520"/>
      <c r="G33" s="2520"/>
      <c r="H33" s="2520"/>
      <c r="I33" s="2520"/>
      <c r="J33" s="2520"/>
      <c r="K33" s="2520"/>
      <c r="L33" s="2520"/>
      <c r="M33" s="2520"/>
      <c r="N33" s="2520"/>
      <c r="O33" s="2520"/>
      <c r="P33" s="2520"/>
      <c r="Q33" s="2520"/>
      <c r="R33" s="2520"/>
    </row>
    <row r="38" spans="2:18" x14ac:dyDescent="0.35">
      <c r="B38" s="676" t="s">
        <v>983</v>
      </c>
    </row>
    <row r="39" spans="2:18" x14ac:dyDescent="0.35">
      <c r="B39" s="677" t="s">
        <v>982</v>
      </c>
      <c r="C39" s="677"/>
      <c r="D39" s="677"/>
      <c r="E39" s="677"/>
      <c r="F39" s="677"/>
      <c r="G39" s="677"/>
      <c r="H39" s="677"/>
      <c r="I39" s="677"/>
      <c r="J39" s="677"/>
      <c r="K39" s="677"/>
      <c r="L39" s="677"/>
      <c r="M39" s="677"/>
      <c r="N39" s="677"/>
      <c r="O39" s="677"/>
      <c r="P39" s="677"/>
      <c r="Q39" s="677"/>
      <c r="R39" s="677"/>
    </row>
    <row r="40" spans="2:18" x14ac:dyDescent="0.35">
      <c r="B40" s="2518" t="s">
        <v>980</v>
      </c>
      <c r="C40" s="2518"/>
      <c r="D40" s="2518"/>
      <c r="E40" s="2518"/>
      <c r="F40" s="2518"/>
      <c r="G40" s="2518"/>
      <c r="H40" s="2518"/>
      <c r="I40" s="2518"/>
      <c r="J40" s="2518"/>
      <c r="K40" s="2518"/>
      <c r="L40" s="2518"/>
      <c r="M40" s="2518"/>
      <c r="N40" s="2518"/>
      <c r="O40" s="2518"/>
      <c r="P40" s="2518"/>
      <c r="Q40" s="2519"/>
      <c r="R40" s="2519"/>
    </row>
    <row r="41" spans="2:18" x14ac:dyDescent="0.35">
      <c r="B41" s="2518"/>
      <c r="C41" s="2518"/>
      <c r="D41" s="2518"/>
      <c r="E41" s="2518"/>
      <c r="F41" s="2518"/>
      <c r="G41" s="2518"/>
      <c r="H41" s="2518"/>
      <c r="I41" s="2518"/>
      <c r="J41" s="2518"/>
      <c r="K41" s="2518"/>
      <c r="L41" s="2518"/>
      <c r="M41" s="2518"/>
      <c r="N41" s="2518"/>
      <c r="O41" s="2518"/>
      <c r="P41" s="2518"/>
      <c r="Q41" s="2519"/>
      <c r="R41" s="2519"/>
    </row>
    <row r="42" spans="2:18" x14ac:dyDescent="0.35">
      <c r="B42" s="679"/>
      <c r="C42" s="679"/>
      <c r="D42" s="679"/>
      <c r="E42" s="679"/>
      <c r="F42" s="679"/>
      <c r="G42" s="679"/>
      <c r="H42" s="679"/>
      <c r="I42" s="679"/>
      <c r="J42" s="679"/>
      <c r="K42" s="679"/>
      <c r="L42" s="679"/>
      <c r="M42" s="679"/>
      <c r="N42" s="679"/>
      <c r="O42" s="679"/>
      <c r="P42" s="679"/>
      <c r="Q42" s="680"/>
      <c r="R42" s="680"/>
    </row>
    <row r="43" spans="2:18" x14ac:dyDescent="0.35">
      <c r="B43" s="2524" t="s">
        <v>978</v>
      </c>
      <c r="C43" s="2524"/>
      <c r="D43" s="2524"/>
      <c r="E43" s="2524"/>
      <c r="F43" s="2524"/>
      <c r="G43" s="2524"/>
      <c r="H43" s="2524"/>
      <c r="I43" s="2524"/>
      <c r="J43" s="2524"/>
      <c r="K43" s="2524"/>
      <c r="L43" s="2524"/>
      <c r="M43" s="2524"/>
      <c r="N43" s="2524"/>
      <c r="O43" s="2524"/>
      <c r="P43" s="2524"/>
      <c r="Q43" s="2524"/>
      <c r="R43" s="2524"/>
    </row>
    <row r="44" spans="2:18" ht="4.9000000000000004" customHeight="1" x14ac:dyDescent="0.35">
      <c r="B44" s="678"/>
      <c r="C44" s="677"/>
      <c r="D44" s="677"/>
      <c r="E44" s="677"/>
      <c r="F44" s="677"/>
      <c r="G44" s="677"/>
      <c r="H44" s="677"/>
      <c r="I44" s="677"/>
      <c r="J44" s="677"/>
      <c r="K44" s="677"/>
      <c r="L44" s="677"/>
      <c r="M44" s="677"/>
      <c r="N44" s="677"/>
      <c r="O44" s="677"/>
      <c r="P44" s="677"/>
      <c r="Q44" s="677"/>
      <c r="R44" s="677"/>
    </row>
    <row r="45" spans="2:18" ht="14.5" customHeight="1" x14ac:dyDescent="0.35">
      <c r="B45" s="2523" t="s">
        <v>2109</v>
      </c>
      <c r="C45" s="2523"/>
      <c r="D45" s="2523"/>
      <c r="E45" s="2523"/>
      <c r="F45" s="2523"/>
      <c r="G45" s="2523"/>
      <c r="H45" s="2523"/>
      <c r="I45" s="2523"/>
      <c r="J45" s="2523"/>
      <c r="K45" s="2523"/>
      <c r="L45" s="2523"/>
      <c r="M45" s="2523"/>
      <c r="N45" s="2523"/>
      <c r="O45" s="2523"/>
      <c r="P45" s="2523"/>
      <c r="Q45" s="2523"/>
      <c r="R45" s="2523"/>
    </row>
    <row r="46" spans="2:18" ht="14.5" customHeight="1" x14ac:dyDescent="0.35">
      <c r="B46" s="2523"/>
      <c r="C46" s="2523"/>
      <c r="D46" s="2523"/>
      <c r="E46" s="2523"/>
      <c r="F46" s="2523"/>
      <c r="G46" s="2523"/>
      <c r="H46" s="2523"/>
      <c r="I46" s="2523"/>
      <c r="J46" s="2523"/>
      <c r="K46" s="2523"/>
      <c r="L46" s="2523"/>
      <c r="M46" s="2523"/>
      <c r="N46" s="2523"/>
      <c r="O46" s="2523"/>
      <c r="P46" s="2523"/>
      <c r="Q46" s="2523"/>
      <c r="R46" s="2523"/>
    </row>
    <row r="47" spans="2:18" x14ac:dyDescent="0.35">
      <c r="B47" s="2523"/>
      <c r="C47" s="2523"/>
      <c r="D47" s="2523"/>
      <c r="E47" s="2523"/>
      <c r="F47" s="2523"/>
      <c r="G47" s="2523"/>
      <c r="H47" s="2523"/>
      <c r="I47" s="2523"/>
      <c r="J47" s="2523"/>
      <c r="K47" s="2523"/>
      <c r="L47" s="2523"/>
      <c r="M47" s="2523"/>
      <c r="N47" s="2523"/>
      <c r="O47" s="2523"/>
      <c r="P47" s="2523"/>
      <c r="Q47" s="2523"/>
      <c r="R47" s="2523"/>
    </row>
    <row r="48" spans="2:18" x14ac:dyDescent="0.35">
      <c r="B48" s="2523"/>
      <c r="C48" s="2523"/>
      <c r="D48" s="2523"/>
      <c r="E48" s="2523"/>
      <c r="F48" s="2523"/>
      <c r="G48" s="2523"/>
      <c r="H48" s="2523"/>
      <c r="I48" s="2523"/>
      <c r="J48" s="2523"/>
      <c r="K48" s="2523"/>
      <c r="L48" s="2523"/>
      <c r="M48" s="2523"/>
      <c r="N48" s="2523"/>
      <c r="O48" s="2523"/>
      <c r="P48" s="2523"/>
      <c r="Q48" s="2523"/>
      <c r="R48" s="2523"/>
    </row>
    <row r="49" spans="2:18" x14ac:dyDescent="0.35">
      <c r="B49" s="2523"/>
      <c r="C49" s="2523"/>
      <c r="D49" s="2523"/>
      <c r="E49" s="2523"/>
      <c r="F49" s="2523"/>
      <c r="G49" s="2523"/>
      <c r="H49" s="2523"/>
      <c r="I49" s="2523"/>
      <c r="J49" s="2523"/>
      <c r="K49" s="2523"/>
      <c r="L49" s="2523"/>
      <c r="M49" s="2523"/>
      <c r="N49" s="2523"/>
      <c r="O49" s="2523"/>
      <c r="P49" s="2523"/>
      <c r="Q49" s="2523"/>
      <c r="R49" s="2523"/>
    </row>
    <row r="50" spans="2:18" ht="4.9000000000000004" customHeight="1" x14ac:dyDescent="0.35">
      <c r="B50" s="679"/>
      <c r="C50" s="679"/>
      <c r="D50" s="679"/>
      <c r="E50" s="679"/>
      <c r="F50" s="679"/>
      <c r="G50" s="679"/>
      <c r="H50" s="679"/>
      <c r="I50" s="679"/>
      <c r="J50" s="679"/>
      <c r="K50" s="679"/>
      <c r="L50" s="679"/>
      <c r="M50" s="679"/>
      <c r="N50" s="679"/>
      <c r="O50" s="679"/>
      <c r="P50" s="679"/>
      <c r="Q50" s="677"/>
      <c r="R50" s="677"/>
    </row>
    <row r="51" spans="2:18" x14ac:dyDescent="0.35">
      <c r="B51" s="2525" t="s">
        <v>1565</v>
      </c>
      <c r="C51" s="2525"/>
      <c r="D51" s="2525"/>
      <c r="E51" s="2525"/>
      <c r="F51" s="2525"/>
      <c r="G51" s="2525"/>
      <c r="H51" s="2525"/>
      <c r="I51" s="2525"/>
      <c r="J51" s="2525"/>
      <c r="K51" s="2525"/>
      <c r="L51" s="2525"/>
      <c r="M51" s="2525"/>
      <c r="N51" s="2525"/>
      <c r="O51" s="2525"/>
      <c r="P51" s="2525"/>
      <c r="Q51" s="2525"/>
      <c r="R51" s="2525"/>
    </row>
    <row r="52" spans="2:18" x14ac:dyDescent="0.35">
      <c r="B52" s="2525"/>
      <c r="C52" s="2525"/>
      <c r="D52" s="2525"/>
      <c r="E52" s="2525"/>
      <c r="F52" s="2525"/>
      <c r="G52" s="2525"/>
      <c r="H52" s="2525"/>
      <c r="I52" s="2525"/>
      <c r="J52" s="2525"/>
      <c r="K52" s="2525"/>
      <c r="L52" s="2525"/>
      <c r="M52" s="2525"/>
      <c r="N52" s="2525"/>
      <c r="O52" s="2525"/>
      <c r="P52" s="2525"/>
      <c r="Q52" s="2525"/>
      <c r="R52" s="2525"/>
    </row>
    <row r="53" spans="2:18" ht="14.5" customHeight="1" x14ac:dyDescent="0.35">
      <c r="B53" s="2526"/>
      <c r="C53" s="2526"/>
      <c r="D53" s="2526"/>
      <c r="E53" s="2526"/>
      <c r="F53" s="2526"/>
      <c r="G53" s="2526"/>
      <c r="H53" s="2526"/>
      <c r="I53" s="2526"/>
      <c r="J53" s="2526"/>
      <c r="K53" s="2526"/>
      <c r="L53" s="2526"/>
      <c r="M53" s="2526"/>
      <c r="N53" s="2526"/>
      <c r="O53" s="2526"/>
      <c r="P53" s="2526"/>
      <c r="Q53" s="2526"/>
      <c r="R53" s="2526"/>
    </row>
    <row r="54" spans="2:18" ht="4.9000000000000004" customHeight="1" x14ac:dyDescent="0.35"/>
    <row r="55" spans="2:18" ht="14.5" customHeight="1" x14ac:dyDescent="0.35">
      <c r="B55" s="2527" t="s">
        <v>984</v>
      </c>
      <c r="C55" s="2527"/>
      <c r="D55" s="2527"/>
      <c r="E55" s="2527"/>
      <c r="F55" s="2527"/>
      <c r="G55" s="2527"/>
      <c r="H55" s="2527"/>
      <c r="I55" s="2527"/>
      <c r="J55" s="2527"/>
      <c r="K55" s="2527"/>
      <c r="L55" s="2527"/>
      <c r="M55" s="2527"/>
      <c r="N55" s="2527"/>
      <c r="O55" s="2527"/>
      <c r="P55" s="2527"/>
      <c r="Q55" s="2527"/>
      <c r="R55" s="2527"/>
    </row>
    <row r="56" spans="2:18" ht="4.9000000000000004" customHeight="1" x14ac:dyDescent="0.35"/>
    <row r="57" spans="2:18" x14ac:dyDescent="0.35">
      <c r="B57" s="2521" t="s">
        <v>979</v>
      </c>
      <c r="C57" s="2521"/>
      <c r="D57" s="2521"/>
      <c r="E57" s="2521"/>
      <c r="F57" s="2521"/>
      <c r="G57" s="2521"/>
      <c r="H57" s="2521"/>
      <c r="I57" s="2521"/>
      <c r="J57" s="2521"/>
      <c r="K57" s="2521"/>
      <c r="L57" s="2521"/>
      <c r="M57" s="2521"/>
      <c r="N57" s="2521"/>
      <c r="O57" s="2521"/>
      <c r="P57" s="2521"/>
      <c r="Q57" s="2521"/>
      <c r="R57" s="2521"/>
    </row>
    <row r="58" spans="2:18" x14ac:dyDescent="0.35">
      <c r="B58" s="2521"/>
      <c r="C58" s="2521"/>
      <c r="D58" s="2521"/>
      <c r="E58" s="2521"/>
      <c r="F58" s="2521"/>
      <c r="G58" s="2521"/>
      <c r="H58" s="2521"/>
      <c r="I58" s="2521"/>
      <c r="J58" s="2521"/>
      <c r="K58" s="2521"/>
      <c r="L58" s="2521"/>
      <c r="M58" s="2521"/>
      <c r="N58" s="2521"/>
      <c r="O58" s="2521"/>
      <c r="P58" s="2521"/>
      <c r="Q58" s="2521"/>
      <c r="R58" s="2521"/>
    </row>
    <row r="59" spans="2:18" s="919" customFormat="1" x14ac:dyDescent="0.35">
      <c r="B59" s="1709"/>
      <c r="C59" s="1709"/>
      <c r="D59" s="1709"/>
      <c r="E59" s="1709"/>
      <c r="F59" s="1709"/>
      <c r="G59" s="1709"/>
      <c r="H59" s="1709"/>
      <c r="I59" s="1709"/>
      <c r="J59" s="1709"/>
      <c r="K59" s="1709"/>
      <c r="L59" s="1709"/>
      <c r="M59" s="1709"/>
      <c r="N59" s="1709"/>
      <c r="O59" s="1709"/>
      <c r="P59" s="1709"/>
      <c r="Q59" s="1709"/>
      <c r="R59" s="1709"/>
    </row>
    <row r="60" spans="2:18" ht="14.5" customHeight="1" x14ac:dyDescent="0.35">
      <c r="B60" s="2520" t="s">
        <v>2158</v>
      </c>
      <c r="C60" s="2520"/>
      <c r="D60" s="2520"/>
      <c r="E60" s="2520"/>
      <c r="F60" s="2520"/>
      <c r="G60" s="2520"/>
      <c r="H60" s="2520"/>
      <c r="I60" s="2520"/>
      <c r="J60" s="2520"/>
      <c r="K60" s="2520"/>
      <c r="L60" s="2520"/>
      <c r="M60" s="2520"/>
      <c r="N60" s="2520"/>
      <c r="O60" s="2520"/>
      <c r="P60" s="2520"/>
      <c r="Q60" s="2520"/>
      <c r="R60" s="2520"/>
    </row>
    <row r="61" spans="2:18" x14ac:dyDescent="0.35">
      <c r="B61" s="2520"/>
      <c r="C61" s="2520"/>
      <c r="D61" s="2520"/>
      <c r="E61" s="2520"/>
      <c r="F61" s="2520"/>
      <c r="G61" s="2520"/>
      <c r="H61" s="2520"/>
      <c r="I61" s="2520"/>
      <c r="J61" s="2520"/>
      <c r="K61" s="2520"/>
      <c r="L61" s="2520"/>
      <c r="M61" s="2520"/>
      <c r="N61" s="2520"/>
      <c r="O61" s="2520"/>
      <c r="P61" s="2520"/>
      <c r="Q61" s="2520"/>
      <c r="R61" s="2520"/>
    </row>
    <row r="62" spans="2:18" x14ac:dyDescent="0.35">
      <c r="B62" s="2520"/>
      <c r="C62" s="2520"/>
      <c r="D62" s="2520"/>
      <c r="E62" s="2520"/>
      <c r="F62" s="2520"/>
      <c r="G62" s="2520"/>
      <c r="H62" s="2520"/>
      <c r="I62" s="2520"/>
      <c r="J62" s="2520"/>
      <c r="K62" s="2520"/>
      <c r="L62" s="2520"/>
      <c r="M62" s="2520"/>
      <c r="N62" s="2520"/>
      <c r="O62" s="2520"/>
      <c r="P62" s="2520"/>
      <c r="Q62" s="2520"/>
      <c r="R62" s="2520"/>
    </row>
    <row r="63" spans="2:18" x14ac:dyDescent="0.35">
      <c r="B63" s="2520"/>
      <c r="C63" s="2520"/>
      <c r="D63" s="2520"/>
      <c r="E63" s="2520"/>
      <c r="F63" s="2520"/>
      <c r="G63" s="2520"/>
      <c r="H63" s="2520"/>
      <c r="I63" s="2520"/>
      <c r="J63" s="2520"/>
      <c r="K63" s="2520"/>
      <c r="L63" s="2520"/>
      <c r="M63" s="2520"/>
      <c r="N63" s="2520"/>
      <c r="O63" s="2520"/>
      <c r="P63" s="2520"/>
      <c r="Q63" s="2520"/>
      <c r="R63" s="2520"/>
    </row>
    <row r="64" spans="2:18" x14ac:dyDescent="0.35">
      <c r="B64" s="2520"/>
      <c r="C64" s="2520"/>
      <c r="D64" s="2520"/>
      <c r="E64" s="2520"/>
      <c r="F64" s="2520"/>
      <c r="G64" s="2520"/>
      <c r="H64" s="2520"/>
      <c r="I64" s="2520"/>
      <c r="J64" s="2520"/>
      <c r="K64" s="2520"/>
      <c r="L64" s="2520"/>
      <c r="M64" s="2520"/>
      <c r="N64" s="2520"/>
      <c r="O64" s="2520"/>
      <c r="P64" s="2520"/>
      <c r="Q64" s="2520"/>
      <c r="R64" s="2520"/>
    </row>
    <row r="65" spans="2:18" x14ac:dyDescent="0.35">
      <c r="B65" s="2520"/>
      <c r="C65" s="2520"/>
      <c r="D65" s="2520"/>
      <c r="E65" s="2520"/>
      <c r="F65" s="2520"/>
      <c r="G65" s="2520"/>
      <c r="H65" s="2520"/>
      <c r="I65" s="2520"/>
      <c r="J65" s="2520"/>
      <c r="K65" s="2520"/>
      <c r="L65" s="2520"/>
      <c r="M65" s="2520"/>
      <c r="N65" s="2520"/>
      <c r="O65" s="2520"/>
      <c r="P65" s="2520"/>
      <c r="Q65" s="2520"/>
      <c r="R65" s="2520"/>
    </row>
    <row r="66" spans="2:18" x14ac:dyDescent="0.35">
      <c r="B66" s="676"/>
    </row>
    <row r="67" spans="2:18" x14ac:dyDescent="0.35">
      <c r="B67" s="676" t="s">
        <v>985</v>
      </c>
    </row>
    <row r="68" spans="2:18" ht="14.5" customHeight="1" x14ac:dyDescent="0.35">
      <c r="B68" s="2522" t="s">
        <v>2110</v>
      </c>
      <c r="C68" s="2522"/>
      <c r="D68" s="2522"/>
      <c r="E68" s="2522"/>
      <c r="F68" s="2522"/>
      <c r="G68" s="2522"/>
      <c r="H68" s="2522"/>
      <c r="I68" s="2522"/>
      <c r="J68" s="2522"/>
      <c r="K68" s="2522"/>
      <c r="L68" s="2522"/>
      <c r="M68" s="2522"/>
      <c r="N68" s="2522"/>
      <c r="O68" s="2522"/>
      <c r="P68" s="2522"/>
      <c r="Q68" s="2522"/>
      <c r="R68" s="2522"/>
    </row>
    <row r="69" spans="2:18" x14ac:dyDescent="0.35">
      <c r="B69" s="2522"/>
      <c r="C69" s="2522"/>
      <c r="D69" s="2522"/>
      <c r="E69" s="2522"/>
      <c r="F69" s="2522"/>
      <c r="G69" s="2522"/>
      <c r="H69" s="2522"/>
      <c r="I69" s="2522"/>
      <c r="J69" s="2522"/>
      <c r="K69" s="2522"/>
      <c r="L69" s="2522"/>
      <c r="M69" s="2522"/>
      <c r="N69" s="2522"/>
      <c r="O69" s="2522"/>
      <c r="P69" s="2522"/>
      <c r="Q69" s="2522"/>
      <c r="R69" s="2522"/>
    </row>
    <row r="70" spans="2:18" x14ac:dyDescent="0.35">
      <c r="B70" s="2522"/>
      <c r="C70" s="2522"/>
      <c r="D70" s="2522"/>
      <c r="E70" s="2522"/>
      <c r="F70" s="2522"/>
      <c r="G70" s="2522"/>
      <c r="H70" s="2522"/>
      <c r="I70" s="2522"/>
      <c r="J70" s="2522"/>
      <c r="K70" s="2522"/>
      <c r="L70" s="2522"/>
      <c r="M70" s="2522"/>
      <c r="N70" s="2522"/>
      <c r="O70" s="2522"/>
      <c r="P70" s="2522"/>
      <c r="Q70" s="2522"/>
      <c r="R70" s="2522"/>
    </row>
    <row r="71" spans="2:18" x14ac:dyDescent="0.35">
      <c r="B71" s="2522"/>
      <c r="C71" s="2522"/>
      <c r="D71" s="2522"/>
      <c r="E71" s="2522"/>
      <c r="F71" s="2522"/>
      <c r="G71" s="2522"/>
      <c r="H71" s="2522"/>
      <c r="I71" s="2522"/>
      <c r="J71" s="2522"/>
      <c r="K71" s="2522"/>
      <c r="L71" s="2522"/>
      <c r="M71" s="2522"/>
      <c r="N71" s="2522"/>
      <c r="O71" s="2522"/>
      <c r="P71" s="2522"/>
      <c r="Q71" s="2522"/>
      <c r="R71" s="2522"/>
    </row>
    <row r="72" spans="2:18" x14ac:dyDescent="0.35">
      <c r="B72" s="2522"/>
      <c r="C72" s="2522"/>
      <c r="D72" s="2522"/>
      <c r="E72" s="2522"/>
      <c r="F72" s="2522"/>
      <c r="G72" s="2522"/>
      <c r="H72" s="2522"/>
      <c r="I72" s="2522"/>
      <c r="J72" s="2522"/>
      <c r="K72" s="2522"/>
      <c r="L72" s="2522"/>
      <c r="M72" s="2522"/>
      <c r="N72" s="2522"/>
      <c r="O72" s="2522"/>
      <c r="P72" s="2522"/>
      <c r="Q72" s="2522"/>
      <c r="R72" s="2522"/>
    </row>
    <row r="73" spans="2:18" x14ac:dyDescent="0.35">
      <c r="B73" s="2522"/>
      <c r="C73" s="2522"/>
      <c r="D73" s="2522"/>
      <c r="E73" s="2522"/>
      <c r="F73" s="2522"/>
      <c r="G73" s="2522"/>
      <c r="H73" s="2522"/>
      <c r="I73" s="2522"/>
      <c r="J73" s="2522"/>
      <c r="K73" s="2522"/>
      <c r="L73" s="2522"/>
      <c r="M73" s="2522"/>
      <c r="N73" s="2522"/>
      <c r="O73" s="2522"/>
      <c r="P73" s="2522"/>
      <c r="Q73" s="2522"/>
      <c r="R73" s="2522"/>
    </row>
    <row r="74" spans="2:18" x14ac:dyDescent="0.35">
      <c r="B74" s="2522"/>
      <c r="C74" s="2522"/>
      <c r="D74" s="2522"/>
      <c r="E74" s="2522"/>
      <c r="F74" s="2522"/>
      <c r="G74" s="2522"/>
      <c r="H74" s="2522"/>
      <c r="I74" s="2522"/>
      <c r="J74" s="2522"/>
      <c r="K74" s="2522"/>
      <c r="L74" s="2522"/>
      <c r="M74" s="2522"/>
      <c r="N74" s="2522"/>
      <c r="O74" s="2522"/>
      <c r="P74" s="2522"/>
      <c r="Q74" s="2522"/>
      <c r="R74" s="2522"/>
    </row>
    <row r="75" spans="2:18" x14ac:dyDescent="0.35">
      <c r="B75" s="2522"/>
      <c r="C75" s="2522"/>
      <c r="D75" s="2522"/>
      <c r="E75" s="2522"/>
      <c r="F75" s="2522"/>
      <c r="G75" s="2522"/>
      <c r="H75" s="2522"/>
      <c r="I75" s="2522"/>
      <c r="J75" s="2522"/>
      <c r="K75" s="2522"/>
      <c r="L75" s="2522"/>
      <c r="M75" s="2522"/>
      <c r="N75" s="2522"/>
      <c r="O75" s="2522"/>
      <c r="P75" s="2522"/>
      <c r="Q75" s="2522"/>
      <c r="R75" s="2522"/>
    </row>
    <row r="76" spans="2:18" x14ac:dyDescent="0.35">
      <c r="B76" s="2522"/>
      <c r="C76" s="2522"/>
      <c r="D76" s="2522"/>
      <c r="E76" s="2522"/>
      <c r="F76" s="2522"/>
      <c r="G76" s="2522"/>
      <c r="H76" s="2522"/>
      <c r="I76" s="2522"/>
      <c r="J76" s="2522"/>
      <c r="K76" s="2522"/>
      <c r="L76" s="2522"/>
      <c r="M76" s="2522"/>
      <c r="N76" s="2522"/>
      <c r="O76" s="2522"/>
      <c r="P76" s="2522"/>
      <c r="Q76" s="2522"/>
      <c r="R76" s="2522"/>
    </row>
    <row r="77" spans="2:18" s="919" customFormat="1" x14ac:dyDescent="0.35">
      <c r="B77" s="2522"/>
      <c r="C77" s="2522"/>
      <c r="D77" s="2522"/>
      <c r="E77" s="2522"/>
      <c r="F77" s="2522"/>
      <c r="G77" s="2522"/>
      <c r="H77" s="2522"/>
      <c r="I77" s="2522"/>
      <c r="J77" s="2522"/>
      <c r="K77" s="2522"/>
      <c r="L77" s="2522"/>
      <c r="M77" s="2522"/>
      <c r="N77" s="2522"/>
      <c r="O77" s="2522"/>
      <c r="P77" s="2522"/>
      <c r="Q77" s="2522"/>
      <c r="R77" s="2522"/>
    </row>
    <row r="78" spans="2:18" s="919" customFormat="1" x14ac:dyDescent="0.35">
      <c r="B78" s="1598"/>
      <c r="C78" s="1598"/>
      <c r="D78" s="1598"/>
      <c r="E78" s="1598"/>
      <c r="F78" s="1598"/>
      <c r="G78" s="1598"/>
      <c r="H78" s="1598"/>
      <c r="I78" s="1598"/>
      <c r="J78" s="1598"/>
      <c r="K78" s="1598"/>
      <c r="L78" s="1598"/>
      <c r="M78" s="1598"/>
      <c r="N78" s="1598"/>
      <c r="O78" s="1598"/>
      <c r="P78" s="1598"/>
      <c r="Q78" s="1598"/>
      <c r="R78" s="1598"/>
    </row>
    <row r="79" spans="2:18" x14ac:dyDescent="0.35">
      <c r="B79" s="680"/>
      <c r="C79" s="680"/>
      <c r="D79" s="680"/>
      <c r="E79" s="680"/>
      <c r="F79" s="680"/>
      <c r="G79" s="680"/>
      <c r="H79" s="680"/>
      <c r="I79" s="680"/>
      <c r="J79" s="680"/>
      <c r="K79" s="680"/>
      <c r="L79" s="680"/>
      <c r="M79" s="680"/>
      <c r="N79" s="680"/>
      <c r="O79" s="680"/>
      <c r="P79" s="680"/>
      <c r="Q79" s="680"/>
      <c r="R79" s="680"/>
    </row>
    <row r="80" spans="2:18" x14ac:dyDescent="0.35">
      <c r="B80" s="680"/>
      <c r="C80" s="680"/>
      <c r="D80" s="680"/>
      <c r="E80" s="680"/>
      <c r="F80" s="680"/>
      <c r="G80" s="680"/>
      <c r="H80" s="680"/>
      <c r="I80" s="680"/>
      <c r="J80" s="680"/>
      <c r="K80" s="680"/>
      <c r="L80" s="680"/>
      <c r="M80" s="680"/>
      <c r="N80" s="680"/>
      <c r="O80" s="680"/>
      <c r="P80" s="680"/>
      <c r="Q80" s="680"/>
      <c r="R80" s="680"/>
    </row>
    <row r="81" spans="2:18" x14ac:dyDescent="0.35">
      <c r="B81" s="680"/>
      <c r="C81" s="680"/>
      <c r="D81" s="680"/>
      <c r="E81" s="680"/>
      <c r="F81" s="680"/>
      <c r="G81" s="680"/>
      <c r="H81" s="680"/>
      <c r="I81" s="680"/>
      <c r="J81" s="680"/>
      <c r="K81" s="680"/>
      <c r="L81" s="680"/>
      <c r="M81" s="680"/>
      <c r="N81" s="680"/>
      <c r="O81" s="680"/>
      <c r="P81" s="680"/>
      <c r="Q81" s="680"/>
      <c r="R81" s="680"/>
    </row>
    <row r="82" spans="2:18" x14ac:dyDescent="0.35">
      <c r="B82" s="680"/>
      <c r="C82" s="680"/>
      <c r="D82" s="680"/>
      <c r="E82" s="680"/>
      <c r="F82" s="680"/>
      <c r="G82" s="680"/>
      <c r="H82" s="680"/>
      <c r="I82" s="680"/>
      <c r="J82" s="680"/>
      <c r="K82" s="680"/>
      <c r="L82" s="680"/>
      <c r="M82" s="680"/>
      <c r="N82" s="680"/>
      <c r="O82" s="680"/>
      <c r="P82" s="680"/>
      <c r="Q82" s="680"/>
      <c r="R82" s="680"/>
    </row>
    <row r="83" spans="2:18" x14ac:dyDescent="0.35">
      <c r="B83" s="680"/>
      <c r="C83" s="680"/>
      <c r="D83" s="680"/>
      <c r="E83" s="680"/>
      <c r="F83" s="680"/>
      <c r="G83" s="680"/>
      <c r="H83" s="680"/>
      <c r="I83" s="680"/>
      <c r="J83" s="680"/>
      <c r="K83" s="680"/>
      <c r="L83" s="680"/>
      <c r="M83" s="680"/>
      <c r="N83" s="680"/>
      <c r="O83" s="680"/>
      <c r="P83" s="680"/>
      <c r="Q83" s="680"/>
      <c r="R83" s="680"/>
    </row>
    <row r="84" spans="2:18" x14ac:dyDescent="0.35">
      <c r="B84" s="680"/>
      <c r="C84" s="680"/>
      <c r="D84" s="680"/>
      <c r="E84" s="680"/>
      <c r="F84" s="680"/>
      <c r="G84" s="680"/>
      <c r="H84" s="680"/>
      <c r="I84" s="680"/>
      <c r="J84" s="680"/>
      <c r="K84" s="680"/>
      <c r="L84" s="680"/>
      <c r="M84" s="680"/>
      <c r="N84" s="680"/>
      <c r="O84" s="680"/>
      <c r="P84" s="680"/>
      <c r="Q84" s="680"/>
      <c r="R84" s="680"/>
    </row>
    <row r="85" spans="2:18" s="919" customFormat="1" x14ac:dyDescent="0.35">
      <c r="B85" s="1597"/>
      <c r="C85" s="1597"/>
      <c r="D85" s="1597"/>
      <c r="E85" s="1597"/>
      <c r="F85" s="1597"/>
      <c r="G85" s="1597"/>
      <c r="H85" s="1597"/>
      <c r="I85" s="1597"/>
      <c r="J85" s="1597"/>
      <c r="K85" s="1597"/>
      <c r="L85" s="1597"/>
      <c r="M85" s="1597"/>
      <c r="N85" s="1597"/>
      <c r="O85" s="1597"/>
      <c r="P85" s="1597"/>
      <c r="Q85" s="1597"/>
      <c r="R85" s="1597"/>
    </row>
    <row r="86" spans="2:18" ht="14.5" customHeight="1" x14ac:dyDescent="0.35">
      <c r="B86" s="2518" t="s">
        <v>2111</v>
      </c>
      <c r="C86" s="2518"/>
      <c r="D86" s="2518"/>
      <c r="E86" s="2518"/>
      <c r="F86" s="2518"/>
      <c r="G86" s="2518"/>
      <c r="H86" s="2518"/>
      <c r="I86" s="2518"/>
      <c r="J86" s="2518"/>
      <c r="K86" s="2518"/>
      <c r="L86" s="2518"/>
      <c r="M86" s="2518"/>
      <c r="N86" s="2518"/>
      <c r="O86" s="2518"/>
      <c r="P86" s="2518"/>
      <c r="Q86" s="2518"/>
      <c r="R86" s="2518"/>
    </row>
    <row r="87" spans="2:18" x14ac:dyDescent="0.35">
      <c r="B87" s="2518"/>
      <c r="C87" s="2518"/>
      <c r="D87" s="2518"/>
      <c r="E87" s="2518"/>
      <c r="F87" s="2518"/>
      <c r="G87" s="2518"/>
      <c r="H87" s="2518"/>
      <c r="I87" s="2518"/>
      <c r="J87" s="2518"/>
      <c r="K87" s="2518"/>
      <c r="L87" s="2518"/>
      <c r="M87" s="2518"/>
      <c r="N87" s="2518"/>
      <c r="O87" s="2518"/>
      <c r="P87" s="2518"/>
      <c r="Q87" s="2518"/>
      <c r="R87" s="2518"/>
    </row>
    <row r="88" spans="2:18" x14ac:dyDescent="0.35">
      <c r="B88" s="2518"/>
      <c r="C88" s="2518"/>
      <c r="D88" s="2518"/>
      <c r="E88" s="2518"/>
      <c r="F88" s="2518"/>
      <c r="G88" s="2518"/>
      <c r="H88" s="2518"/>
      <c r="I88" s="2518"/>
      <c r="J88" s="2518"/>
      <c r="K88" s="2518"/>
      <c r="L88" s="2518"/>
      <c r="M88" s="2518"/>
      <c r="N88" s="2518"/>
      <c r="O88" s="2518"/>
      <c r="P88" s="2518"/>
      <c r="Q88" s="2518"/>
      <c r="R88" s="2518"/>
    </row>
    <row r="89" spans="2:18" s="919" customFormat="1" x14ac:dyDescent="0.35">
      <c r="B89" s="2518"/>
      <c r="C89" s="2518"/>
      <c r="D89" s="2518"/>
      <c r="E89" s="2518"/>
      <c r="F89" s="2518"/>
      <c r="G89" s="2518"/>
      <c r="H89" s="2518"/>
      <c r="I89" s="2518"/>
      <c r="J89" s="2518"/>
      <c r="K89" s="2518"/>
      <c r="L89" s="2518"/>
      <c r="M89" s="2518"/>
      <c r="N89" s="2518"/>
      <c r="O89" s="2518"/>
      <c r="P89" s="2518"/>
      <c r="Q89" s="2518"/>
      <c r="R89" s="2518"/>
    </row>
    <row r="90" spans="2:18" x14ac:dyDescent="0.35">
      <c r="B90" s="682"/>
      <c r="C90" s="682"/>
      <c r="D90" s="682"/>
      <c r="E90" s="682"/>
      <c r="F90" s="682"/>
      <c r="G90" s="682"/>
      <c r="H90" s="682"/>
      <c r="I90" s="682"/>
      <c r="J90" s="682"/>
      <c r="K90" s="682"/>
      <c r="L90" s="682"/>
      <c r="M90" s="682"/>
      <c r="N90" s="682"/>
      <c r="O90" s="682"/>
      <c r="P90" s="682"/>
      <c r="Q90" s="682"/>
      <c r="R90" s="682"/>
    </row>
    <row r="91" spans="2:18" x14ac:dyDescent="0.35">
      <c r="B91" s="676" t="s">
        <v>1460</v>
      </c>
    </row>
    <row r="92" spans="2:18" x14ac:dyDescent="0.35">
      <c r="B92" s="681" t="s">
        <v>2112</v>
      </c>
    </row>
    <row r="93" spans="2:18" ht="15" customHeight="1" x14ac:dyDescent="0.35">
      <c r="B93" s="2518" t="s">
        <v>2113</v>
      </c>
      <c r="C93" s="2518"/>
      <c r="D93" s="2518"/>
      <c r="E93" s="2518"/>
      <c r="F93" s="2518"/>
      <c r="G93" s="2518"/>
      <c r="H93" s="2518"/>
      <c r="I93" s="2518"/>
      <c r="J93" s="2518"/>
      <c r="K93" s="2518"/>
      <c r="L93" s="2518"/>
      <c r="M93" s="2518"/>
      <c r="N93" s="2518"/>
      <c r="O93" s="2518"/>
      <c r="P93" s="2518"/>
      <c r="Q93" s="2518"/>
      <c r="R93" s="2518"/>
    </row>
    <row r="94" spans="2:18" x14ac:dyDescent="0.35">
      <c r="B94" s="2518"/>
      <c r="C94" s="2518"/>
      <c r="D94" s="2518"/>
      <c r="E94" s="2518"/>
      <c r="F94" s="2518"/>
      <c r="G94" s="2518"/>
      <c r="H94" s="2518"/>
      <c r="I94" s="2518"/>
      <c r="J94" s="2518"/>
      <c r="K94" s="2518"/>
      <c r="L94" s="2518"/>
      <c r="M94" s="2518"/>
      <c r="N94" s="2518"/>
      <c r="O94" s="2518"/>
      <c r="P94" s="2518"/>
      <c r="Q94" s="2518"/>
      <c r="R94" s="2518"/>
    </row>
    <row r="95" spans="2:18" x14ac:dyDescent="0.35">
      <c r="B95" s="2518"/>
      <c r="C95" s="2518"/>
      <c r="D95" s="2518"/>
      <c r="E95" s="2518"/>
      <c r="F95" s="2518"/>
      <c r="G95" s="2518"/>
      <c r="H95" s="2518"/>
      <c r="I95" s="2518"/>
      <c r="J95" s="2518"/>
      <c r="K95" s="2518"/>
      <c r="L95" s="2518"/>
      <c r="M95" s="2518"/>
      <c r="N95" s="2518"/>
      <c r="O95" s="2518"/>
      <c r="P95" s="2518"/>
      <c r="Q95" s="2518"/>
      <c r="R95" s="2518"/>
    </row>
    <row r="96" spans="2:18" x14ac:dyDescent="0.35">
      <c r="B96" s="2518"/>
      <c r="C96" s="2518"/>
      <c r="D96" s="2518"/>
      <c r="E96" s="2518"/>
      <c r="F96" s="2518"/>
      <c r="G96" s="2518"/>
      <c r="H96" s="2518"/>
      <c r="I96" s="2518"/>
      <c r="J96" s="2518"/>
      <c r="K96" s="2518"/>
      <c r="L96" s="2518"/>
      <c r="M96" s="2518"/>
      <c r="N96" s="2518"/>
      <c r="O96" s="2518"/>
      <c r="P96" s="2518"/>
      <c r="Q96" s="2518"/>
      <c r="R96" s="2518"/>
    </row>
    <row r="97" spans="2:18" s="919" customFormat="1" x14ac:dyDescent="0.35">
      <c r="B97" s="1591"/>
      <c r="C97" s="1591"/>
      <c r="D97" s="1591"/>
      <c r="E97" s="1591"/>
      <c r="F97" s="1591"/>
      <c r="G97" s="1591"/>
      <c r="H97" s="1591"/>
      <c r="I97" s="1591"/>
      <c r="J97" s="1591"/>
      <c r="K97" s="1591"/>
      <c r="L97" s="1591"/>
      <c r="M97" s="1591"/>
      <c r="N97" s="1591"/>
      <c r="O97" s="1591"/>
      <c r="P97" s="1591"/>
      <c r="Q97" s="1591"/>
      <c r="R97" s="1591"/>
    </row>
    <row r="98" spans="2:18" x14ac:dyDescent="0.35">
      <c r="B98" s="676" t="s">
        <v>1461</v>
      </c>
    </row>
    <row r="99" spans="2:18" s="919" customFormat="1" x14ac:dyDescent="0.35">
      <c r="B99" s="1237"/>
    </row>
    <row r="100" spans="2:18" s="919" customFormat="1" ht="15" customHeight="1" x14ac:dyDescent="0.35">
      <c r="B100" s="2522" t="s">
        <v>1975</v>
      </c>
      <c r="C100" s="2522"/>
      <c r="D100" s="2522"/>
      <c r="E100" s="2522"/>
      <c r="F100" s="2522"/>
      <c r="G100" s="2522"/>
      <c r="H100" s="2522"/>
      <c r="I100" s="2522"/>
      <c r="J100" s="2522"/>
      <c r="K100" s="2522"/>
      <c r="L100" s="2522"/>
      <c r="M100" s="2522"/>
      <c r="N100" s="2522"/>
      <c r="O100" s="2522"/>
      <c r="P100" s="2522"/>
      <c r="Q100" s="2522"/>
      <c r="R100" s="2522"/>
    </row>
    <row r="101" spans="2:18" s="919" customFormat="1" x14ac:dyDescent="0.35">
      <c r="B101" s="2522"/>
      <c r="C101" s="2522"/>
      <c r="D101" s="2522"/>
      <c r="E101" s="2522"/>
      <c r="F101" s="2522"/>
      <c r="G101" s="2522"/>
      <c r="H101" s="2522"/>
      <c r="I101" s="2522"/>
      <c r="J101" s="2522"/>
      <c r="K101" s="2522"/>
      <c r="L101" s="2522"/>
      <c r="M101" s="2522"/>
      <c r="N101" s="2522"/>
      <c r="O101" s="2522"/>
      <c r="P101" s="2522"/>
      <c r="Q101" s="2522"/>
      <c r="R101" s="2522"/>
    </row>
    <row r="102" spans="2:18" s="919" customFormat="1" x14ac:dyDescent="0.35">
      <c r="B102" s="2522"/>
      <c r="C102" s="2522"/>
      <c r="D102" s="2522"/>
      <c r="E102" s="2522"/>
      <c r="F102" s="2522"/>
      <c r="G102" s="2522"/>
      <c r="H102" s="2522"/>
      <c r="I102" s="2522"/>
      <c r="J102" s="2522"/>
      <c r="K102" s="2522"/>
      <c r="L102" s="2522"/>
      <c r="M102" s="2522"/>
      <c r="N102" s="2522"/>
      <c r="O102" s="2522"/>
      <c r="P102" s="2522"/>
      <c r="Q102" s="2522"/>
      <c r="R102" s="2522"/>
    </row>
    <row r="103" spans="2:18" s="919" customFormat="1" x14ac:dyDescent="0.35">
      <c r="B103" s="1592"/>
      <c r="C103" s="1592"/>
      <c r="D103" s="1592"/>
      <c r="E103" s="1592"/>
      <c r="F103" s="1592"/>
      <c r="G103" s="1592"/>
      <c r="H103" s="1592"/>
      <c r="I103" s="1592"/>
      <c r="J103" s="1592"/>
      <c r="K103" s="1592"/>
      <c r="L103" s="1592"/>
      <c r="M103" s="1592"/>
      <c r="N103" s="1592"/>
      <c r="O103" s="1592"/>
      <c r="P103" s="1592"/>
      <c r="Q103" s="1592"/>
      <c r="R103" s="1592"/>
    </row>
    <row r="104" spans="2:18" s="919" customFormat="1" x14ac:dyDescent="0.35">
      <c r="B104" s="2522" t="s">
        <v>2011</v>
      </c>
      <c r="C104" s="2522"/>
      <c r="D104" s="2522"/>
      <c r="E104" s="2522"/>
      <c r="F104" s="2522"/>
      <c r="G104" s="2522"/>
      <c r="H104" s="2522"/>
      <c r="I104" s="2522"/>
      <c r="J104" s="2522"/>
      <c r="K104" s="2522"/>
      <c r="L104" s="2522"/>
      <c r="M104" s="2522"/>
      <c r="N104" s="2522"/>
      <c r="O104" s="2522"/>
      <c r="P104" s="2522"/>
      <c r="Q104" s="2522"/>
      <c r="R104" s="2522"/>
    </row>
    <row r="105" spans="2:18" s="919" customFormat="1" x14ac:dyDescent="0.35">
      <c r="B105" s="2522"/>
      <c r="C105" s="2522"/>
      <c r="D105" s="2522"/>
      <c r="E105" s="2522"/>
      <c r="F105" s="2522"/>
      <c r="G105" s="2522"/>
      <c r="H105" s="2522"/>
      <c r="I105" s="2522"/>
      <c r="J105" s="2522"/>
      <c r="K105" s="2522"/>
      <c r="L105" s="2522"/>
      <c r="M105" s="2522"/>
      <c r="N105" s="2522"/>
      <c r="O105" s="2522"/>
      <c r="P105" s="2522"/>
      <c r="Q105" s="2522"/>
      <c r="R105" s="2522"/>
    </row>
    <row r="106" spans="2:18" s="919" customFormat="1" x14ac:dyDescent="0.35"/>
    <row r="107" spans="2:18" x14ac:dyDescent="0.35">
      <c r="B107" s="2519" t="s">
        <v>981</v>
      </c>
      <c r="C107" s="2519"/>
      <c r="D107" s="2519"/>
      <c r="E107" s="2519"/>
      <c r="F107" s="2519"/>
      <c r="G107" s="2519"/>
      <c r="H107" s="2519"/>
      <c r="I107" s="2519"/>
      <c r="J107" s="2519"/>
      <c r="K107" s="2519"/>
      <c r="L107" s="2519"/>
      <c r="M107" s="2519"/>
      <c r="N107" s="2519"/>
      <c r="O107" s="2519"/>
      <c r="P107" s="2519"/>
      <c r="Q107" s="2519"/>
      <c r="R107" s="2519"/>
    </row>
    <row r="108" spans="2:18" x14ac:dyDescent="0.35">
      <c r="B108" s="2519"/>
      <c r="C108" s="2519"/>
      <c r="D108" s="2519"/>
      <c r="E108" s="2519"/>
      <c r="F108" s="2519"/>
      <c r="G108" s="2519"/>
      <c r="H108" s="2519"/>
      <c r="I108" s="2519"/>
      <c r="J108" s="2519"/>
      <c r="K108" s="2519"/>
      <c r="L108" s="2519"/>
      <c r="M108" s="2519"/>
      <c r="N108" s="2519"/>
      <c r="O108" s="2519"/>
      <c r="P108" s="2519"/>
      <c r="Q108" s="2519"/>
      <c r="R108" s="2519"/>
    </row>
    <row r="109" spans="2:18" ht="14.5" customHeight="1" x14ac:dyDescent="0.35">
      <c r="B109" s="2518" t="s">
        <v>1462</v>
      </c>
      <c r="C109" s="2518"/>
      <c r="D109" s="2518"/>
      <c r="E109" s="2518"/>
      <c r="F109" s="2518"/>
      <c r="G109" s="2518"/>
      <c r="H109" s="2518"/>
      <c r="I109" s="2518"/>
      <c r="J109" s="2518"/>
      <c r="K109" s="2518"/>
      <c r="L109" s="2518"/>
      <c r="M109" s="2518"/>
      <c r="N109" s="2518"/>
      <c r="O109" s="2518"/>
      <c r="P109" s="2518"/>
      <c r="Q109" s="2518"/>
      <c r="R109" s="2518"/>
    </row>
    <row r="110" spans="2:18" x14ac:dyDescent="0.35">
      <c r="B110" s="2518"/>
      <c r="C110" s="2518"/>
      <c r="D110" s="2518"/>
      <c r="E110" s="2518"/>
      <c r="F110" s="2518"/>
      <c r="G110" s="2518"/>
      <c r="H110" s="2518"/>
      <c r="I110" s="2518"/>
      <c r="J110" s="2518"/>
      <c r="K110" s="2518"/>
      <c r="L110" s="2518"/>
      <c r="M110" s="2518"/>
      <c r="N110" s="2518"/>
      <c r="O110" s="2518"/>
      <c r="P110" s="2518"/>
      <c r="Q110" s="2518"/>
      <c r="R110" s="2518"/>
    </row>
    <row r="111" spans="2:18" x14ac:dyDescent="0.35">
      <c r="B111" s="2518"/>
      <c r="C111" s="2518"/>
      <c r="D111" s="2518"/>
      <c r="E111" s="2518"/>
      <c r="F111" s="2518"/>
      <c r="G111" s="2518"/>
      <c r="H111" s="2518"/>
      <c r="I111" s="2518"/>
      <c r="J111" s="2518"/>
      <c r="K111" s="2518"/>
      <c r="L111" s="2518"/>
      <c r="M111" s="2518"/>
      <c r="N111" s="2518"/>
      <c r="O111" s="2518"/>
      <c r="P111" s="2518"/>
      <c r="Q111" s="2518"/>
      <c r="R111" s="2518"/>
    </row>
    <row r="112" spans="2:18" x14ac:dyDescent="0.35">
      <c r="B112" s="2518"/>
      <c r="C112" s="2518"/>
      <c r="D112" s="2518"/>
      <c r="E112" s="2518"/>
      <c r="F112" s="2518"/>
      <c r="G112" s="2518"/>
      <c r="H112" s="2518"/>
      <c r="I112" s="2518"/>
      <c r="J112" s="2518"/>
      <c r="K112" s="2518"/>
      <c r="L112" s="2518"/>
      <c r="M112" s="2518"/>
      <c r="N112" s="2518"/>
      <c r="O112" s="2518"/>
      <c r="P112" s="2518"/>
      <c r="Q112" s="2518"/>
      <c r="R112" s="2518"/>
    </row>
    <row r="113" spans="2:18" x14ac:dyDescent="0.35">
      <c r="B113" s="2518"/>
      <c r="C113" s="2518"/>
      <c r="D113" s="2518"/>
      <c r="E113" s="2518"/>
      <c r="F113" s="2518"/>
      <c r="G113" s="2518"/>
      <c r="H113" s="2518"/>
      <c r="I113" s="2518"/>
      <c r="J113" s="2518"/>
      <c r="K113" s="2518"/>
      <c r="L113" s="2518"/>
      <c r="M113" s="2518"/>
      <c r="N113" s="2518"/>
      <c r="O113" s="2518"/>
      <c r="P113" s="2518"/>
      <c r="Q113" s="2518"/>
      <c r="R113" s="2518"/>
    </row>
    <row r="114" spans="2:18" x14ac:dyDescent="0.35">
      <c r="B114" s="2518"/>
      <c r="C114" s="2518"/>
      <c r="D114" s="2518"/>
      <c r="E114" s="2518"/>
      <c r="F114" s="2518"/>
      <c r="G114" s="2518"/>
      <c r="H114" s="2518"/>
      <c r="I114" s="2518"/>
      <c r="J114" s="2518"/>
      <c r="K114" s="2518"/>
      <c r="L114" s="2518"/>
      <c r="M114" s="2518"/>
      <c r="N114" s="2518"/>
      <c r="O114" s="2518"/>
      <c r="P114" s="2518"/>
      <c r="Q114" s="2518"/>
      <c r="R114" s="2518"/>
    </row>
    <row r="116" spans="2:18" x14ac:dyDescent="0.35">
      <c r="J116" s="919"/>
      <c r="K116" s="919"/>
      <c r="L116" s="919"/>
      <c r="M116" s="919"/>
    </row>
    <row r="122" spans="2:18" s="919" customFormat="1" x14ac:dyDescent="0.35"/>
    <row r="124" spans="2:18" x14ac:dyDescent="0.35">
      <c r="B124" s="1237" t="s">
        <v>1560</v>
      </c>
    </row>
    <row r="125" spans="2:18" x14ac:dyDescent="0.35">
      <c r="B125" s="681" t="s">
        <v>1469</v>
      </c>
    </row>
    <row r="126" spans="2:18" ht="16.5" x14ac:dyDescent="0.45">
      <c r="B126" s="431" t="s">
        <v>1561</v>
      </c>
    </row>
    <row r="127" spans="2:18" x14ac:dyDescent="0.35">
      <c r="B127" s="431" t="s">
        <v>1535</v>
      </c>
    </row>
    <row r="128" spans="2:18" x14ac:dyDescent="0.35">
      <c r="B128" s="431" t="s">
        <v>1536</v>
      </c>
    </row>
    <row r="129" spans="2:2" x14ac:dyDescent="0.35">
      <c r="B129" s="431" t="s">
        <v>1562</v>
      </c>
    </row>
    <row r="130" spans="2:2" x14ac:dyDescent="0.35">
      <c r="B130" s="919" t="s">
        <v>1563</v>
      </c>
    </row>
    <row r="131" spans="2:2" x14ac:dyDescent="0.35">
      <c r="B131" s="431" t="s">
        <v>1564</v>
      </c>
    </row>
    <row r="132" spans="2:2" x14ac:dyDescent="0.35">
      <c r="B132" s="431" t="s">
        <v>2159</v>
      </c>
    </row>
    <row r="133" spans="2:2" x14ac:dyDescent="0.35">
      <c r="B133" s="431" t="s">
        <v>1537</v>
      </c>
    </row>
    <row r="134" spans="2:2" x14ac:dyDescent="0.35">
      <c r="B134" s="771" t="s">
        <v>1992</v>
      </c>
    </row>
    <row r="135" spans="2:2" s="919" customFormat="1" x14ac:dyDescent="0.35">
      <c r="B135" s="919" t="s">
        <v>1993</v>
      </c>
    </row>
    <row r="136" spans="2:2" x14ac:dyDescent="0.35">
      <c r="B136" s="431" t="s">
        <v>2105</v>
      </c>
    </row>
    <row r="137" spans="2:2" ht="16.5" x14ac:dyDescent="0.45">
      <c r="B137" s="431" t="s">
        <v>2119</v>
      </c>
    </row>
    <row r="138" spans="2:2" x14ac:dyDescent="0.35">
      <c r="B138" s="771" t="s">
        <v>2120</v>
      </c>
    </row>
    <row r="139" spans="2:2" x14ac:dyDescent="0.35">
      <c r="B139" s="431" t="s">
        <v>1980</v>
      </c>
    </row>
    <row r="140" spans="2:2" x14ac:dyDescent="0.35">
      <c r="B140" s="431" t="s">
        <v>1994</v>
      </c>
    </row>
    <row r="143" spans="2:2" x14ac:dyDescent="0.35">
      <c r="B143" s="1237"/>
    </row>
  </sheetData>
  <sheetProtection algorithmName="SHA-512" hashValue="8bX64UliclHglaSqqV7yO9lr0vIAO9ZHiDYYLPC5sCxCNna7M1pgJOkoQDgX94xwnYfvw/ey5ivTZBxWtTiuhQ==" saltValue="VG36AiqNr/oPnUhwJc//pg==" spinCount="100000" sheet="1" objects="1" scenarios="1"/>
  <mergeCells count="20">
    <mergeCell ref="B26:R33"/>
    <mergeCell ref="C2:R5"/>
    <mergeCell ref="G7:K7"/>
    <mergeCell ref="B20:R22"/>
    <mergeCell ref="B10:R12"/>
    <mergeCell ref="B14:R16"/>
    <mergeCell ref="B109:R114"/>
    <mergeCell ref="B40:R41"/>
    <mergeCell ref="B107:R108"/>
    <mergeCell ref="B60:R65"/>
    <mergeCell ref="B57:R58"/>
    <mergeCell ref="B100:R102"/>
    <mergeCell ref="B93:R96"/>
    <mergeCell ref="B104:R105"/>
    <mergeCell ref="B86:R89"/>
    <mergeCell ref="B68:R77"/>
    <mergeCell ref="B45:R49"/>
    <mergeCell ref="B43:R43"/>
    <mergeCell ref="B51:R53"/>
    <mergeCell ref="B55:R5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IW296"/>
  <sheetViews>
    <sheetView zoomScaleNormal="100" workbookViewId="0"/>
  </sheetViews>
  <sheetFormatPr defaultColWidth="16.7265625" defaultRowHeight="14.5" x14ac:dyDescent="0.35"/>
  <cols>
    <col min="1" max="1" width="3.26953125" style="18" customWidth="1"/>
    <col min="2" max="2" width="83.81640625" style="18" customWidth="1"/>
    <col min="3" max="3" width="25.7265625" style="18" customWidth="1"/>
    <col min="4" max="4" width="46" style="18" customWidth="1"/>
    <col min="5" max="8" width="16.7265625" style="18"/>
    <col min="9" max="45" width="16.7265625" style="432"/>
    <col min="46" max="16384" width="16.7265625" style="18"/>
  </cols>
  <sheetData>
    <row r="1" spans="1:3" x14ac:dyDescent="0.35">
      <c r="A1" s="17"/>
    </row>
    <row r="2" spans="1:3" x14ac:dyDescent="0.35">
      <c r="A2" s="17"/>
    </row>
    <row r="3" spans="1:3" x14ac:dyDescent="0.35">
      <c r="A3" s="17"/>
    </row>
    <row r="4" spans="1:3" x14ac:dyDescent="0.35">
      <c r="A4" s="17"/>
    </row>
    <row r="5" spans="1:3" x14ac:dyDescent="0.35">
      <c r="A5" s="17"/>
    </row>
    <row r="6" spans="1:3" x14ac:dyDescent="0.35">
      <c r="A6" s="17"/>
    </row>
    <row r="7" spans="1:3" x14ac:dyDescent="0.35">
      <c r="A7" s="17"/>
    </row>
    <row r="8" spans="1:3" x14ac:dyDescent="0.35">
      <c r="A8" s="17"/>
    </row>
    <row r="9" spans="1:3" x14ac:dyDescent="0.35">
      <c r="A9" s="432"/>
    </row>
    <row r="10" spans="1:3" ht="20.149999999999999" customHeight="1" x14ac:dyDescent="0.35">
      <c r="A10" s="17"/>
      <c r="B10" s="511" t="s">
        <v>946</v>
      </c>
      <c r="C10" s="510"/>
    </row>
    <row r="11" spans="1:3" ht="20.149999999999999" customHeight="1" x14ac:dyDescent="0.35">
      <c r="A11" s="432"/>
      <c r="B11" s="171" t="s">
        <v>698</v>
      </c>
      <c r="C11" s="140">
        <f>'Baseline farm'!D19</f>
        <v>0</v>
      </c>
    </row>
    <row r="12" spans="1:3" ht="20.149999999999999" customHeight="1" x14ac:dyDescent="0.35">
      <c r="A12" s="17"/>
      <c r="B12" s="171" t="s">
        <v>427</v>
      </c>
      <c r="C12" s="7">
        <f>'Baseline farm'!D21</f>
        <v>0</v>
      </c>
    </row>
    <row r="13" spans="1:3" ht="20.149999999999999" hidden="1" customHeight="1" x14ac:dyDescent="0.35">
      <c r="A13" s="17"/>
      <c r="B13" s="171" t="s">
        <v>15</v>
      </c>
      <c r="C13" s="8">
        <v>0</v>
      </c>
    </row>
    <row r="14" spans="1:3" ht="20.149999999999999" customHeight="1" x14ac:dyDescent="0.35">
      <c r="A14" s="17"/>
      <c r="B14" s="171" t="s">
        <v>428</v>
      </c>
      <c r="C14" s="8" t="e">
        <f>'Baseline farm'!H35</f>
        <v>#DIV/0!</v>
      </c>
    </row>
    <row r="15" spans="1:3" ht="20.149999999999999" customHeight="1" x14ac:dyDescent="0.35">
      <c r="A15" s="17"/>
      <c r="B15" s="171" t="s">
        <v>476</v>
      </c>
      <c r="C15" s="7">
        <f>'Baseline farm'!D35</f>
        <v>0</v>
      </c>
    </row>
    <row r="16" spans="1:3" ht="20.149999999999999" customHeight="1" x14ac:dyDescent="0.35">
      <c r="A16" s="17"/>
      <c r="B16" s="171" t="s">
        <v>720</v>
      </c>
      <c r="C16" s="8" t="e">
        <f>'Baseline farm'!F44</f>
        <v>#DIV/0!</v>
      </c>
    </row>
    <row r="17" spans="1:257" ht="20.149999999999999" customHeight="1" x14ac:dyDescent="0.35">
      <c r="A17" s="432"/>
      <c r="B17" s="512" t="s">
        <v>947</v>
      </c>
      <c r="C17" s="332"/>
    </row>
    <row r="18" spans="1:257" ht="20.149999999999999" customHeight="1" x14ac:dyDescent="0.35">
      <c r="A18" s="17"/>
      <c r="B18" s="172" t="s">
        <v>659</v>
      </c>
      <c r="C18" s="658">
        <f>C54/10</f>
        <v>30</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row>
    <row r="19" spans="1:257" s="17" customFormat="1" ht="5.15" customHeight="1" x14ac:dyDescent="0.35">
      <c r="B19" s="172"/>
      <c r="C19" s="30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row>
    <row r="20" spans="1:257" ht="20.149999999999999" customHeight="1" x14ac:dyDescent="0.35">
      <c r="A20" s="17"/>
      <c r="B20" s="172" t="s">
        <v>63</v>
      </c>
      <c r="C20" s="659">
        <f>C55/10</f>
        <v>5</v>
      </c>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row>
    <row r="21" spans="1:257" s="17" customFormat="1" ht="5.15" customHeight="1" x14ac:dyDescent="0.35">
      <c r="B21" s="172"/>
      <c r="C21" s="173"/>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row>
    <row r="22" spans="1:257" ht="20.149999999999999" customHeight="1" x14ac:dyDescent="0.35">
      <c r="A22" s="17"/>
      <c r="B22" s="172" t="s">
        <v>53</v>
      </c>
      <c r="C22" s="658">
        <f>C56/10</f>
        <v>2</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s="17" customFormat="1" ht="5.15" customHeight="1" x14ac:dyDescent="0.35">
      <c r="B23" s="172"/>
      <c r="C23" s="301"/>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ht="20.149999999999999" customHeight="1" x14ac:dyDescent="0.35">
      <c r="A24" s="17"/>
      <c r="B24" s="172" t="s">
        <v>794</v>
      </c>
      <c r="C24" s="660">
        <f>C57/1</f>
        <v>365</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s="17" customFormat="1" ht="5.15" customHeight="1" x14ac:dyDescent="0.35">
      <c r="B25" s="172"/>
      <c r="C25" s="303"/>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row>
    <row r="26" spans="1:257" ht="20.149999999999999" customHeight="1" x14ac:dyDescent="0.35">
      <c r="A26" s="17"/>
      <c r="B26" s="172" t="s">
        <v>117</v>
      </c>
      <c r="C26" s="659">
        <f>C58/100</f>
        <v>0.6</v>
      </c>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row>
    <row r="27" spans="1:257" s="17" customFormat="1" ht="5.15" customHeight="1" x14ac:dyDescent="0.35">
      <c r="B27" s="172"/>
      <c r="C27" s="173"/>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row>
    <row r="28" spans="1:257" ht="20.149999999999999" customHeight="1" x14ac:dyDescent="0.35">
      <c r="A28" s="17"/>
      <c r="B28" s="172" t="s">
        <v>70</v>
      </c>
      <c r="C28" s="659">
        <f>C59/100</f>
        <v>30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row>
    <row r="29" spans="1:257" ht="5.15" customHeight="1" x14ac:dyDescent="0.35">
      <c r="A29" s="17"/>
      <c r="B29" s="172"/>
      <c r="C29" s="173"/>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row>
    <row r="30" spans="1:257" ht="20.149999999999999" customHeight="1" x14ac:dyDescent="0.35">
      <c r="A30" s="17"/>
      <c r="B30" s="513" t="s">
        <v>948</v>
      </c>
      <c r="C30" s="514"/>
    </row>
    <row r="31" spans="1:257" ht="20.149999999999999" customHeight="1" x14ac:dyDescent="0.35">
      <c r="A31" s="432"/>
      <c r="B31" s="174" t="s">
        <v>747</v>
      </c>
      <c r="C31" s="10" t="e">
        <f>C136*C11*C24</f>
        <v>#DIV/0!</v>
      </c>
    </row>
    <row r="32" spans="1:257" ht="20.149999999999999" customHeight="1" x14ac:dyDescent="0.35">
      <c r="A32" s="17"/>
      <c r="B32" s="175" t="s">
        <v>949</v>
      </c>
      <c r="C32" s="11"/>
    </row>
    <row r="33" spans="1:8" ht="20.149999999999999" customHeight="1" x14ac:dyDescent="0.35">
      <c r="A33" s="17"/>
      <c r="B33" s="409" t="s">
        <v>82</v>
      </c>
      <c r="C33" s="410" t="e">
        <f>(C99-C130)</f>
        <v>#DIV/0!</v>
      </c>
    </row>
    <row r="34" spans="1:8" ht="20.149999999999999" customHeight="1" x14ac:dyDescent="0.35">
      <c r="A34" s="17"/>
      <c r="B34" s="409" t="s">
        <v>456</v>
      </c>
      <c r="C34" s="410">
        <v>0</v>
      </c>
    </row>
    <row r="35" spans="1:8" ht="20.149999999999999" customHeight="1" x14ac:dyDescent="0.35">
      <c r="A35" s="17"/>
      <c r="B35" s="409" t="s">
        <v>457</v>
      </c>
      <c r="C35" s="410">
        <v>0</v>
      </c>
    </row>
    <row r="36" spans="1:8" ht="20.149999999999999" customHeight="1" x14ac:dyDescent="0.35">
      <c r="A36" s="17"/>
      <c r="B36" s="409" t="s">
        <v>197</v>
      </c>
      <c r="C36" s="410">
        <v>0</v>
      </c>
    </row>
    <row r="37" spans="1:8" ht="20.149999999999999" customHeight="1" x14ac:dyDescent="0.35">
      <c r="A37" s="17"/>
      <c r="B37" s="409" t="s">
        <v>198</v>
      </c>
      <c r="C37" s="410" t="e">
        <f>SUM(C33:C36)</f>
        <v>#DIV/0!</v>
      </c>
    </row>
    <row r="38" spans="1:8" ht="20.149999999999999" customHeight="1" x14ac:dyDescent="0.35">
      <c r="A38" s="17"/>
      <c r="B38" s="411" t="s">
        <v>944</v>
      </c>
      <c r="C38" s="412" t="e">
        <f>IF(C37&gt;0,C37*C28,0)</f>
        <v>#DIV/0!</v>
      </c>
    </row>
    <row r="39" spans="1:8" ht="20.149999999999999" customHeight="1" x14ac:dyDescent="0.35">
      <c r="A39" s="17"/>
      <c r="B39" s="411" t="s">
        <v>945</v>
      </c>
      <c r="C39" s="412">
        <f>C20*C11</f>
        <v>0</v>
      </c>
    </row>
    <row r="40" spans="1:8" ht="20.149999999999999" customHeight="1" x14ac:dyDescent="0.35">
      <c r="A40" s="17"/>
      <c r="B40" s="411" t="s">
        <v>18</v>
      </c>
      <c r="C40" s="413" t="e">
        <f>IF(C38&gt;1,C38-C39,C39*-1)</f>
        <v>#DIV/0!</v>
      </c>
    </row>
    <row r="41" spans="1:8" ht="20.149999999999999" customHeight="1" x14ac:dyDescent="0.35">
      <c r="A41" s="17"/>
      <c r="B41" s="411" t="s">
        <v>88</v>
      </c>
      <c r="C41" s="412" t="e">
        <f>C26*C24*C11*C136</f>
        <v>#DIV/0!</v>
      </c>
    </row>
    <row r="42" spans="1:8" ht="20.149999999999999" customHeight="1" x14ac:dyDescent="0.35">
      <c r="A42" s="17"/>
      <c r="B42" s="411" t="s">
        <v>17</v>
      </c>
      <c r="C42" s="412" t="e">
        <f>IF(C38&gt;1,C38-C39+C41,C41-C39)</f>
        <v>#DIV/0!</v>
      </c>
    </row>
    <row r="43" spans="1:8" ht="20.149999999999999" customHeight="1" x14ac:dyDescent="0.35">
      <c r="A43" s="17"/>
      <c r="B43" s="1703" t="s">
        <v>950</v>
      </c>
      <c r="C43" s="1704" t="e">
        <f>C68</f>
        <v>#DIV/0!</v>
      </c>
    </row>
    <row r="44" spans="1:8" ht="20.149999999999999" customHeight="1" x14ac:dyDescent="0.35">
      <c r="A44" s="17"/>
      <c r="B44" s="17"/>
      <c r="C44" s="17"/>
      <c r="D44" s="17"/>
      <c r="E44" s="17"/>
      <c r="F44" s="17"/>
      <c r="G44" s="17"/>
      <c r="H44" s="17"/>
    </row>
    <row r="45" spans="1:8" s="432" customFormat="1" x14ac:dyDescent="0.35">
      <c r="B45" s="138"/>
      <c r="C45" s="139"/>
    </row>
    <row r="46" spans="1:8" s="432" customFormat="1" x14ac:dyDescent="0.35">
      <c r="B46" s="138"/>
      <c r="C46" s="139"/>
    </row>
    <row r="47" spans="1:8" s="432" customFormat="1" x14ac:dyDescent="0.35">
      <c r="B47" s="138"/>
      <c r="C47" s="139"/>
      <c r="D47"/>
    </row>
    <row r="48" spans="1:8" s="432" customFormat="1" x14ac:dyDescent="0.35">
      <c r="B48" s="138"/>
      <c r="C48" s="139"/>
    </row>
    <row r="49" spans="2:6" s="432" customFormat="1" x14ac:dyDescent="0.35">
      <c r="B49" s="138"/>
      <c r="C49" s="139"/>
    </row>
    <row r="50" spans="2:6" s="432" customFormat="1" x14ac:dyDescent="0.35">
      <c r="B50" s="138"/>
      <c r="C50" s="139"/>
    </row>
    <row r="51" spans="2:6" ht="23" x14ac:dyDescent="0.5">
      <c r="B51" s="26"/>
      <c r="C51" s="25"/>
      <c r="F51" s="383"/>
    </row>
    <row r="52" spans="2:6" ht="23" hidden="1" x14ac:dyDescent="0.5">
      <c r="B52" s="26"/>
      <c r="C52" s="25"/>
      <c r="F52" s="379"/>
    </row>
    <row r="53" spans="2:6" hidden="1" x14ac:dyDescent="0.35">
      <c r="B53" s="27" t="s">
        <v>150</v>
      </c>
      <c r="C53" s="28"/>
      <c r="D53" s="29"/>
    </row>
    <row r="54" spans="2:6" hidden="1" x14ac:dyDescent="0.35">
      <c r="B54" s="24" t="s">
        <v>113</v>
      </c>
      <c r="C54" s="30">
        <v>300</v>
      </c>
      <c r="D54" s="48"/>
    </row>
    <row r="55" spans="2:6" hidden="1" x14ac:dyDescent="0.35">
      <c r="B55" s="24" t="s">
        <v>114</v>
      </c>
      <c r="C55" s="30">
        <v>50</v>
      </c>
      <c r="D55" s="29"/>
    </row>
    <row r="56" spans="2:6" hidden="1" x14ac:dyDescent="0.35">
      <c r="B56" s="24" t="s">
        <v>53</v>
      </c>
      <c r="C56" s="30">
        <v>20</v>
      </c>
      <c r="D56" s="29"/>
    </row>
    <row r="57" spans="2:6" hidden="1" x14ac:dyDescent="0.35">
      <c r="B57" s="24" t="s">
        <v>699</v>
      </c>
      <c r="C57" s="30">
        <v>365</v>
      </c>
      <c r="D57" s="29"/>
    </row>
    <row r="58" spans="2:6" hidden="1" x14ac:dyDescent="0.35">
      <c r="B58" s="24" t="s">
        <v>107</v>
      </c>
      <c r="C58" s="31">
        <v>60</v>
      </c>
      <c r="D58" s="29"/>
    </row>
    <row r="59" spans="2:6" hidden="1" x14ac:dyDescent="0.35">
      <c r="B59" s="24" t="s">
        <v>108</v>
      </c>
      <c r="C59" s="31">
        <v>3000</v>
      </c>
      <c r="D59" s="29"/>
    </row>
    <row r="60" spans="2:6" hidden="1" x14ac:dyDescent="0.35">
      <c r="B60" s="24"/>
      <c r="C60" s="31"/>
      <c r="D60" s="29"/>
    </row>
    <row r="61" spans="2:6" ht="15.5" hidden="1" x14ac:dyDescent="0.35">
      <c r="B61" s="27" t="s">
        <v>140</v>
      </c>
      <c r="C61" s="168" t="s">
        <v>660</v>
      </c>
      <c r="D61" s="169"/>
    </row>
    <row r="62" spans="2:6" hidden="1" x14ac:dyDescent="0.35">
      <c r="B62" s="24" t="s">
        <v>2077</v>
      </c>
      <c r="C62" s="32" t="e">
        <f>C38</f>
        <v>#DIV/0!</v>
      </c>
      <c r="D62" s="33"/>
    </row>
    <row r="63" spans="2:6" hidden="1" x14ac:dyDescent="0.35">
      <c r="B63" s="24" t="s">
        <v>109</v>
      </c>
      <c r="C63" s="32">
        <f>C39</f>
        <v>0</v>
      </c>
      <c r="D63" s="33"/>
    </row>
    <row r="64" spans="2:6" hidden="1" x14ac:dyDescent="0.35">
      <c r="B64" s="24" t="s">
        <v>110</v>
      </c>
      <c r="C64" s="32" t="e">
        <f>C41</f>
        <v>#DIV/0!</v>
      </c>
      <c r="D64" s="33"/>
    </row>
    <row r="65" spans="2:4" hidden="1" x14ac:dyDescent="0.35">
      <c r="B65" s="24" t="s">
        <v>21</v>
      </c>
      <c r="C65" s="32" t="e">
        <f>C42</f>
        <v>#DIV/0!</v>
      </c>
      <c r="D65" s="34"/>
    </row>
    <row r="66" spans="2:4" hidden="1" x14ac:dyDescent="0.35">
      <c r="B66" s="24"/>
      <c r="C66" s="32"/>
      <c r="D66" s="34"/>
    </row>
    <row r="67" spans="2:4" hidden="1" x14ac:dyDescent="0.35">
      <c r="B67" s="24" t="s">
        <v>722</v>
      </c>
      <c r="C67" s="32" t="e">
        <f>C11*C14*C15</f>
        <v>#DIV/0!</v>
      </c>
      <c r="D67" s="34" t="s">
        <v>723</v>
      </c>
    </row>
    <row r="68" spans="2:4" hidden="1" x14ac:dyDescent="0.35">
      <c r="B68" s="24" t="s">
        <v>2076</v>
      </c>
      <c r="C68" s="35" t="e">
        <f>C65/C69</f>
        <v>#DIV/0!</v>
      </c>
      <c r="D68" s="29"/>
    </row>
    <row r="69" spans="2:4" hidden="1" x14ac:dyDescent="0.35">
      <c r="B69" s="24" t="s">
        <v>102</v>
      </c>
      <c r="C69" s="36" t="e">
        <f>C67*C26</f>
        <v>#DIV/0!</v>
      </c>
      <c r="D69" s="29"/>
    </row>
    <row r="70" spans="2:4" hidden="1" x14ac:dyDescent="0.35">
      <c r="B70" s="29"/>
      <c r="C70" s="37"/>
      <c r="D70" s="29"/>
    </row>
    <row r="71" spans="2:4" hidden="1" x14ac:dyDescent="0.35">
      <c r="B71" s="27" t="s">
        <v>154</v>
      </c>
      <c r="C71" s="37"/>
      <c r="D71" s="29"/>
    </row>
    <row r="72" spans="2:4" hidden="1" x14ac:dyDescent="0.35">
      <c r="B72" s="24" t="s">
        <v>0</v>
      </c>
      <c r="C72" s="38"/>
      <c r="D72" s="29"/>
    </row>
    <row r="73" spans="2:4" ht="16" hidden="1" x14ac:dyDescent="0.35">
      <c r="B73" s="24" t="s">
        <v>1</v>
      </c>
      <c r="C73" s="39" t="s">
        <v>151</v>
      </c>
      <c r="D73" s="29"/>
    </row>
    <row r="74" spans="2:4" hidden="1" x14ac:dyDescent="0.35">
      <c r="B74" s="24" t="s">
        <v>1</v>
      </c>
      <c r="C74" s="40" t="e">
        <f>(1.185+(0.00454*C12)-(0.0000026*(C12)^2)+((0.315*C13)))^2*1.1+C78</f>
        <v>#DIV/0!</v>
      </c>
      <c r="D74" s="29"/>
    </row>
    <row r="75" spans="2:4" hidden="1" x14ac:dyDescent="0.35">
      <c r="B75" s="24"/>
      <c r="C75" s="38"/>
      <c r="D75" s="29"/>
    </row>
    <row r="76" spans="2:4" ht="15" hidden="1" x14ac:dyDescent="0.4">
      <c r="B76" s="24" t="s">
        <v>2</v>
      </c>
      <c r="C76" s="39" t="s">
        <v>1378</v>
      </c>
      <c r="D76" s="29"/>
    </row>
    <row r="77" spans="2:4" hidden="1" x14ac:dyDescent="0.35">
      <c r="B77" s="41" t="s">
        <v>3</v>
      </c>
      <c r="C77" s="38"/>
      <c r="D77" s="29"/>
    </row>
    <row r="78" spans="2:4" hidden="1" x14ac:dyDescent="0.35">
      <c r="B78" s="24"/>
      <c r="C78" s="42" t="e">
        <f>((C14*1.03*C15/365)*3.054)/0.6/((0.00795*C16)-0.0014)/18.4</f>
        <v>#DIV/0!</v>
      </c>
      <c r="D78" s="29"/>
    </row>
    <row r="79" spans="2:4" hidden="1" x14ac:dyDescent="0.35">
      <c r="B79" s="24"/>
      <c r="C79" s="38"/>
      <c r="D79" s="29"/>
    </row>
    <row r="80" spans="2:4" hidden="1" x14ac:dyDescent="0.35">
      <c r="B80" s="24" t="s">
        <v>4</v>
      </c>
      <c r="C80" s="39" t="s">
        <v>5</v>
      </c>
      <c r="D80" s="29"/>
    </row>
    <row r="81" spans="2:4" hidden="1" x14ac:dyDescent="0.35">
      <c r="B81" s="24"/>
      <c r="C81" s="38"/>
      <c r="D81" s="29"/>
    </row>
    <row r="82" spans="2:4" hidden="1" x14ac:dyDescent="0.35">
      <c r="B82" s="24"/>
      <c r="C82" s="42" t="e">
        <f>(C74*18.4)</f>
        <v>#DIV/0!</v>
      </c>
      <c r="D82" s="29"/>
    </row>
    <row r="83" spans="2:4" hidden="1" x14ac:dyDescent="0.35">
      <c r="B83" s="24"/>
      <c r="C83" s="38"/>
      <c r="D83" s="29"/>
    </row>
    <row r="84" spans="2:4" hidden="1" x14ac:dyDescent="0.35">
      <c r="B84" s="24" t="s">
        <v>6</v>
      </c>
      <c r="C84" s="39" t="s">
        <v>7</v>
      </c>
      <c r="D84" s="29"/>
    </row>
    <row r="85" spans="2:4" hidden="1" x14ac:dyDescent="0.35">
      <c r="B85" s="24"/>
      <c r="C85" s="40" t="e">
        <f>C74/(1.185+(0.00454*C12)-(0.0000026*(C12)^2)+(0.315*0))^2</f>
        <v>#DIV/0!</v>
      </c>
      <c r="D85" s="29"/>
    </row>
    <row r="86" spans="2:4" hidden="1" x14ac:dyDescent="0.35">
      <c r="B86" s="24"/>
      <c r="C86" s="38"/>
      <c r="D86" s="29"/>
    </row>
    <row r="87" spans="2:4" hidden="1" x14ac:dyDescent="0.35">
      <c r="B87" s="24" t="s">
        <v>8</v>
      </c>
      <c r="C87" s="39" t="s">
        <v>9</v>
      </c>
      <c r="D87" s="29"/>
    </row>
    <row r="88" spans="2:4" hidden="1" x14ac:dyDescent="0.35">
      <c r="B88" s="24" t="s">
        <v>153</v>
      </c>
      <c r="C88" s="38"/>
      <c r="D88" s="29"/>
    </row>
    <row r="89" spans="2:4" hidden="1" x14ac:dyDescent="0.35">
      <c r="B89" s="24"/>
      <c r="C89" s="42" t="e">
        <f>1.3+(0.112*C16)+C85*(2.37-(0.05*C16))</f>
        <v>#DIV/0!</v>
      </c>
      <c r="D89" s="29"/>
    </row>
    <row r="90" spans="2:4" hidden="1" x14ac:dyDescent="0.35">
      <c r="B90" s="24"/>
      <c r="C90" s="38"/>
      <c r="D90" s="29"/>
    </row>
    <row r="91" spans="2:4" hidden="1" x14ac:dyDescent="0.35">
      <c r="B91" s="24" t="s">
        <v>10</v>
      </c>
      <c r="C91" s="39" t="s">
        <v>1523</v>
      </c>
      <c r="D91" s="29"/>
    </row>
    <row r="92" spans="2:4" hidden="1" x14ac:dyDescent="0.35">
      <c r="B92" s="24"/>
      <c r="C92" s="38"/>
      <c r="D92" s="29"/>
    </row>
    <row r="93" spans="2:4" hidden="1" x14ac:dyDescent="0.35">
      <c r="B93" s="27" t="s">
        <v>11</v>
      </c>
      <c r="C93" s="43" t="e">
        <f>20.7*C74/1000</f>
        <v>#DIV/0!</v>
      </c>
      <c r="D93" s="29"/>
    </row>
    <row r="94" spans="2:4" hidden="1" x14ac:dyDescent="0.35">
      <c r="B94" s="29"/>
      <c r="C94" s="176"/>
      <c r="D94" s="29"/>
    </row>
    <row r="95" spans="2:4" hidden="1" x14ac:dyDescent="0.35">
      <c r="B95" s="27"/>
      <c r="C95" s="24"/>
      <c r="D95" s="29"/>
    </row>
    <row r="96" spans="2:4" hidden="1" x14ac:dyDescent="0.35">
      <c r="B96" s="24"/>
      <c r="C96" s="24"/>
      <c r="D96" s="29"/>
    </row>
    <row r="97" spans="2:13" hidden="1" x14ac:dyDescent="0.35">
      <c r="B97" s="24" t="s">
        <v>12</v>
      </c>
      <c r="C97" s="32">
        <f>C11</f>
        <v>0</v>
      </c>
      <c r="D97" s="29"/>
    </row>
    <row r="98" spans="2:13" hidden="1" x14ac:dyDescent="0.35">
      <c r="B98" s="24" t="s">
        <v>54</v>
      </c>
      <c r="C98" s="44" t="e">
        <f>C93*C97*365</f>
        <v>#DIV/0!</v>
      </c>
      <c r="D98" s="29" t="s">
        <v>748</v>
      </c>
    </row>
    <row r="99" spans="2:13" hidden="1" x14ac:dyDescent="0.35">
      <c r="B99" s="27" t="s">
        <v>1525</v>
      </c>
      <c r="C99" s="45" t="e">
        <f>C98*'Emission factors'!C4/1000</f>
        <v>#DIV/0!</v>
      </c>
      <c r="D99" s="29" t="s">
        <v>1524</v>
      </c>
    </row>
    <row r="100" spans="2:13" hidden="1" x14ac:dyDescent="0.35">
      <c r="B100" s="29"/>
      <c r="C100" s="29"/>
      <c r="D100" s="46"/>
    </row>
    <row r="101" spans="2:13" hidden="1" x14ac:dyDescent="0.35">
      <c r="B101" s="29"/>
      <c r="C101" s="29"/>
      <c r="D101" s="29"/>
    </row>
    <row r="102" spans="2:13" hidden="1" x14ac:dyDescent="0.35">
      <c r="B102" s="177" t="s">
        <v>155</v>
      </c>
      <c r="C102" s="29"/>
      <c r="D102" s="29"/>
      <c r="K102" s="488"/>
      <c r="L102" s="488"/>
      <c r="M102" s="488"/>
    </row>
    <row r="103" spans="2:13" hidden="1" x14ac:dyDescent="0.35">
      <c r="B103" s="24" t="s">
        <v>0</v>
      </c>
      <c r="C103" s="24"/>
      <c r="D103" s="29"/>
      <c r="K103" s="488"/>
      <c r="L103" s="488"/>
      <c r="M103" s="488"/>
    </row>
    <row r="104" spans="2:13" ht="16" hidden="1" x14ac:dyDescent="0.35">
      <c r="B104" s="24" t="s">
        <v>1</v>
      </c>
      <c r="C104" s="178" t="s">
        <v>151</v>
      </c>
      <c r="D104" s="29"/>
      <c r="K104" s="488"/>
      <c r="L104" s="488"/>
      <c r="M104" s="488"/>
    </row>
    <row r="105" spans="2:13" hidden="1" x14ac:dyDescent="0.35">
      <c r="B105" s="24" t="s">
        <v>1</v>
      </c>
      <c r="C105" s="40" t="e">
        <f>C74</f>
        <v>#DIV/0!</v>
      </c>
      <c r="D105" s="29"/>
      <c r="K105" s="488"/>
      <c r="L105" s="488"/>
      <c r="M105" s="488"/>
    </row>
    <row r="106" spans="2:13" hidden="1" x14ac:dyDescent="0.35">
      <c r="B106" s="24"/>
      <c r="C106" s="24"/>
      <c r="D106" s="29"/>
    </row>
    <row r="107" spans="2:13" ht="15" hidden="1" x14ac:dyDescent="0.4">
      <c r="B107" s="24" t="s">
        <v>2</v>
      </c>
      <c r="C107" s="178" t="s">
        <v>152</v>
      </c>
      <c r="D107" s="29"/>
    </row>
    <row r="108" spans="2:13" hidden="1" x14ac:dyDescent="0.35">
      <c r="B108" s="41" t="s">
        <v>3</v>
      </c>
      <c r="C108" s="24"/>
      <c r="D108" s="29"/>
    </row>
    <row r="109" spans="2:13" hidden="1" x14ac:dyDescent="0.35">
      <c r="B109" s="24"/>
      <c r="C109" s="42" t="e">
        <f>C78</f>
        <v>#DIV/0!</v>
      </c>
      <c r="D109" s="29"/>
    </row>
    <row r="110" spans="2:13" hidden="1" x14ac:dyDescent="0.35">
      <c r="B110" s="24"/>
      <c r="C110" s="24"/>
      <c r="D110" s="29"/>
    </row>
    <row r="111" spans="2:13" hidden="1" x14ac:dyDescent="0.35">
      <c r="B111" s="24" t="s">
        <v>4</v>
      </c>
      <c r="C111" s="178" t="s">
        <v>5</v>
      </c>
      <c r="D111" s="29"/>
    </row>
    <row r="112" spans="2:13" hidden="1" x14ac:dyDescent="0.35">
      <c r="B112" s="24"/>
      <c r="C112" s="24"/>
      <c r="D112" s="29"/>
    </row>
    <row r="113" spans="2:7" hidden="1" x14ac:dyDescent="0.35">
      <c r="B113" s="24"/>
      <c r="C113" s="42" t="e">
        <f>C82</f>
        <v>#DIV/0!</v>
      </c>
      <c r="D113" s="51"/>
    </row>
    <row r="114" spans="2:7" hidden="1" x14ac:dyDescent="0.35">
      <c r="B114" s="24"/>
      <c r="C114" s="24"/>
      <c r="D114" s="29"/>
    </row>
    <row r="115" spans="2:7" hidden="1" x14ac:dyDescent="0.35">
      <c r="B115" s="24" t="s">
        <v>6</v>
      </c>
      <c r="C115" s="178" t="s">
        <v>7</v>
      </c>
      <c r="D115" s="29"/>
    </row>
    <row r="116" spans="2:7" hidden="1" x14ac:dyDescent="0.35">
      <c r="B116" s="24"/>
      <c r="C116" s="40" t="e">
        <f>C85</f>
        <v>#DIV/0!</v>
      </c>
      <c r="D116" s="29"/>
      <c r="F116" s="180"/>
    </row>
    <row r="117" spans="2:7" hidden="1" x14ac:dyDescent="0.35">
      <c r="B117" s="24"/>
      <c r="C117" s="24"/>
      <c r="D117" s="29"/>
    </row>
    <row r="118" spans="2:7" hidden="1" x14ac:dyDescent="0.35">
      <c r="B118" s="24" t="s">
        <v>8</v>
      </c>
      <c r="C118" s="178" t="s">
        <v>9</v>
      </c>
      <c r="D118" s="29"/>
    </row>
    <row r="119" spans="2:7" hidden="1" x14ac:dyDescent="0.35">
      <c r="B119" s="24" t="s">
        <v>153</v>
      </c>
      <c r="C119" s="24"/>
      <c r="D119" s="29"/>
    </row>
    <row r="120" spans="2:7" hidden="1" x14ac:dyDescent="0.35">
      <c r="B120" s="24"/>
      <c r="C120" s="42" t="e">
        <f>((C89*(100-C18)/100*C24/365))+((C89*(365-C24)/365))</f>
        <v>#DIV/0!</v>
      </c>
      <c r="D120" s="29"/>
      <c r="E120" s="179"/>
      <c r="F120" s="180"/>
    </row>
    <row r="121" spans="2:7" hidden="1" x14ac:dyDescent="0.35">
      <c r="B121" s="24"/>
      <c r="C121" s="24"/>
      <c r="D121" s="29"/>
      <c r="E121" s="179"/>
      <c r="G121" s="180"/>
    </row>
    <row r="122" spans="2:7" hidden="1" x14ac:dyDescent="0.35">
      <c r="B122" s="24" t="s">
        <v>10</v>
      </c>
      <c r="C122" s="39" t="s">
        <v>1523</v>
      </c>
      <c r="D122" s="29">
        <f>20.7*0.7*365/365</f>
        <v>14.489999999999998</v>
      </c>
    </row>
    <row r="123" spans="2:7" hidden="1" x14ac:dyDescent="0.35">
      <c r="B123" s="24"/>
      <c r="C123" s="24"/>
      <c r="D123" s="29"/>
    </row>
    <row r="124" spans="2:7" hidden="1" x14ac:dyDescent="0.35">
      <c r="B124" s="27" t="s">
        <v>11</v>
      </c>
      <c r="C124" s="43" t="e">
        <f>20.7*C105/1000*(100-C18)%</f>
        <v>#DIV/0!</v>
      </c>
      <c r="D124" s="40" t="s">
        <v>1352</v>
      </c>
    </row>
    <row r="125" spans="2:7" hidden="1" x14ac:dyDescent="0.35">
      <c r="B125" s="29"/>
      <c r="C125" s="46"/>
      <c r="D125" s="29"/>
    </row>
    <row r="126" spans="2:7" hidden="1" x14ac:dyDescent="0.35">
      <c r="B126" s="27"/>
      <c r="C126" s="24"/>
      <c r="D126" s="29"/>
    </row>
    <row r="127" spans="2:7" hidden="1" x14ac:dyDescent="0.35">
      <c r="B127" s="24"/>
      <c r="C127" s="24"/>
      <c r="D127" s="29"/>
    </row>
    <row r="128" spans="2:7" hidden="1" x14ac:dyDescent="0.35">
      <c r="B128" s="24" t="s">
        <v>12</v>
      </c>
      <c r="C128" s="32">
        <f>C11</f>
        <v>0</v>
      </c>
      <c r="D128" s="29"/>
    </row>
    <row r="129" spans="2:45" hidden="1" x14ac:dyDescent="0.35">
      <c r="B129" s="24" t="s">
        <v>54</v>
      </c>
      <c r="C129" s="44" t="e">
        <f>C124*C128*365</f>
        <v>#DIV/0!</v>
      </c>
      <c r="D129" s="29" t="s">
        <v>1351</v>
      </c>
    </row>
    <row r="130" spans="2:45" hidden="1" x14ac:dyDescent="0.35">
      <c r="B130" s="27" t="s">
        <v>1525</v>
      </c>
      <c r="C130" s="45" t="e">
        <f>(((C129*'Emission factors'!C4/1000)*C24/365)+((C98*'Emission factors'!C4/1000)*(365-C24)/365))</f>
        <v>#DIV/0!</v>
      </c>
      <c r="D130" s="29" t="s">
        <v>1524</v>
      </c>
      <c r="E130" s="181"/>
    </row>
    <row r="131" spans="2:45" hidden="1" x14ac:dyDescent="0.35">
      <c r="B131" s="29"/>
      <c r="C131" s="29"/>
      <c r="D131" s="46"/>
    </row>
    <row r="132" spans="2:45" hidden="1" x14ac:dyDescent="0.35">
      <c r="B132" s="29"/>
      <c r="C132" s="29"/>
      <c r="D132" s="46"/>
    </row>
    <row r="133" spans="2:45" hidden="1" x14ac:dyDescent="0.35">
      <c r="B133" s="48" t="s">
        <v>159</v>
      </c>
      <c r="C133" s="29"/>
      <c r="D133" s="46"/>
    </row>
    <row r="134" spans="2:45" hidden="1" x14ac:dyDescent="0.35">
      <c r="B134" s="24" t="s">
        <v>755</v>
      </c>
      <c r="C134" s="49" t="e">
        <f>(C89-C120)/100*C113*C22/100</f>
        <v>#DIV/0!</v>
      </c>
      <c r="D134" s="29" t="s">
        <v>141</v>
      </c>
    </row>
    <row r="135" spans="2:45" hidden="1" x14ac:dyDescent="0.35">
      <c r="B135" s="24" t="s">
        <v>55</v>
      </c>
      <c r="C135" s="50">
        <v>5.5</v>
      </c>
      <c r="D135" s="29" t="s">
        <v>2123</v>
      </c>
    </row>
    <row r="136" spans="2:45" hidden="1" x14ac:dyDescent="0.35">
      <c r="B136" s="24" t="s">
        <v>56</v>
      </c>
      <c r="C136" s="49" t="e">
        <f>C134/C135</f>
        <v>#DIV/0!</v>
      </c>
      <c r="D136" s="29" t="s">
        <v>200</v>
      </c>
    </row>
    <row r="137" spans="2:45" hidden="1" x14ac:dyDescent="0.35">
      <c r="B137" s="24" t="s">
        <v>752</v>
      </c>
      <c r="C137" s="49" t="e">
        <f>(C136*C24*C11)*(0.02534+(0.1226*'Baseline farm'!R206)+(0.0776*'Baseline farm'!R207))</f>
        <v>#DIV/0!</v>
      </c>
      <c r="D137" s="29"/>
    </row>
    <row r="138" spans="2:45" hidden="1" x14ac:dyDescent="0.35">
      <c r="B138" s="24"/>
      <c r="C138" s="49"/>
      <c r="D138" s="29"/>
    </row>
    <row r="139" spans="2:45" hidden="1" x14ac:dyDescent="0.35">
      <c r="B139" s="48"/>
      <c r="C139" s="49"/>
      <c r="D139" s="29"/>
      <c r="E139" s="179"/>
    </row>
    <row r="140" spans="2:45" s="290" customFormat="1" hidden="1" x14ac:dyDescent="0.35">
      <c r="B140" s="24"/>
      <c r="C140" s="50"/>
      <c r="D140" s="29"/>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row>
    <row r="141" spans="2:45" s="290" customFormat="1" hidden="1" x14ac:dyDescent="0.35">
      <c r="B141" s="24"/>
      <c r="C141" s="403"/>
      <c r="D141" s="29"/>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row>
    <row r="142" spans="2:45" s="290" customFormat="1" hidden="1" x14ac:dyDescent="0.35">
      <c r="B142" s="24"/>
      <c r="C142" s="49"/>
      <c r="D142" s="29"/>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row>
    <row r="143" spans="2:45" s="290" customFormat="1" hidden="1" x14ac:dyDescent="0.35">
      <c r="B143" s="24"/>
      <c r="C143" s="50"/>
      <c r="D143" s="29"/>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row>
    <row r="144" spans="2:45" s="290" customFormat="1" hidden="1" x14ac:dyDescent="0.35">
      <c r="B144" s="24"/>
      <c r="C144" s="403"/>
      <c r="D144" s="29"/>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row>
    <row r="145" spans="2:45" s="290" customFormat="1" hidden="1" x14ac:dyDescent="0.35">
      <c r="B145" s="24"/>
      <c r="C145" s="49"/>
      <c r="D145" s="29"/>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row>
    <row r="146" spans="2:45" s="290" customFormat="1" hidden="1" x14ac:dyDescent="0.35">
      <c r="B146" s="24"/>
      <c r="C146" s="49"/>
      <c r="D146" s="29"/>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row>
    <row r="147" spans="2:45" s="290" customFormat="1" hidden="1" x14ac:dyDescent="0.35">
      <c r="B147" s="24"/>
      <c r="C147" s="49"/>
      <c r="D147" s="29"/>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row>
    <row r="148" spans="2:45" s="29" customFormat="1" ht="15" hidden="1" customHeight="1" x14ac:dyDescent="0.3">
      <c r="B148" s="27"/>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row>
    <row r="149" spans="2:45" s="29" customFormat="1" ht="15" hidden="1" customHeight="1" x14ac:dyDescent="0.3">
      <c r="B149" s="24"/>
      <c r="C149" s="49"/>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row>
    <row r="150" spans="2:45" s="29" customFormat="1" ht="15" hidden="1" customHeight="1" x14ac:dyDescent="0.3">
      <c r="C150" s="403"/>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row>
    <row r="151" spans="2:45" s="29" customFormat="1" ht="15" hidden="1" customHeight="1" x14ac:dyDescent="0.3">
      <c r="C151" s="403"/>
      <c r="D151" s="51"/>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row>
    <row r="152" spans="2:45" s="29" customFormat="1" ht="15" hidden="1" customHeight="1" x14ac:dyDescent="0.3">
      <c r="C152" s="5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row>
    <row r="153" spans="2:45" s="29" customFormat="1" ht="15" hidden="1" customHeight="1" x14ac:dyDescent="0.3">
      <c r="C153" s="53"/>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row>
    <row r="154" spans="2:45" hidden="1" x14ac:dyDescent="0.35"/>
    <row r="155" spans="2:45" hidden="1" x14ac:dyDescent="0.35"/>
    <row r="156" spans="2:45" s="432" customFormat="1" hidden="1" x14ac:dyDescent="0.35">
      <c r="C156" s="490"/>
    </row>
    <row r="157" spans="2:45" s="432" customFormat="1" hidden="1" x14ac:dyDescent="0.35">
      <c r="C157" s="492"/>
    </row>
    <row r="158" spans="2:45" s="432" customFormat="1" hidden="1" x14ac:dyDescent="0.35"/>
    <row r="159" spans="2:45" s="432" customFormat="1" hidden="1" x14ac:dyDescent="0.35"/>
    <row r="160" spans="2:45" s="432" customFormat="1" hidden="1" x14ac:dyDescent="0.35"/>
    <row r="161" spans="3:3" s="432" customFormat="1" hidden="1" x14ac:dyDescent="0.35">
      <c r="C161" s="486"/>
    </row>
    <row r="162" spans="3:3" s="432" customFormat="1" hidden="1" x14ac:dyDescent="0.35"/>
    <row r="163" spans="3:3" s="432" customFormat="1" hidden="1" x14ac:dyDescent="0.35"/>
    <row r="164" spans="3:3" s="432" customFormat="1" hidden="1" x14ac:dyDescent="0.35"/>
    <row r="165" spans="3:3" s="432" customFormat="1" hidden="1" x14ac:dyDescent="0.35"/>
    <row r="166" spans="3:3" s="432" customFormat="1" hidden="1" x14ac:dyDescent="0.35"/>
    <row r="167" spans="3:3" s="432" customFormat="1" hidden="1" x14ac:dyDescent="0.35"/>
    <row r="168" spans="3:3" s="432" customFormat="1" hidden="1" x14ac:dyDescent="0.35"/>
    <row r="169" spans="3:3" s="432" customFormat="1" hidden="1" x14ac:dyDescent="0.35"/>
    <row r="170" spans="3:3" s="432" customFormat="1" hidden="1" x14ac:dyDescent="0.35"/>
    <row r="171" spans="3:3" s="432" customFormat="1" hidden="1" x14ac:dyDescent="0.35"/>
    <row r="172" spans="3:3" s="432" customFormat="1" hidden="1" x14ac:dyDescent="0.35"/>
    <row r="173" spans="3:3" s="432" customFormat="1" hidden="1" x14ac:dyDescent="0.35"/>
    <row r="174" spans="3:3" s="432" customFormat="1" hidden="1" x14ac:dyDescent="0.35"/>
    <row r="175" spans="3:3" s="432" customFormat="1" hidden="1" x14ac:dyDescent="0.35"/>
    <row r="176" spans="3:3" s="432" customFormat="1" hidden="1" x14ac:dyDescent="0.35"/>
    <row r="177" s="432" customFormat="1" hidden="1" x14ac:dyDescent="0.35"/>
    <row r="178" s="432" customFormat="1" hidden="1" x14ac:dyDescent="0.35"/>
    <row r="179" s="432" customFormat="1" hidden="1" x14ac:dyDescent="0.35"/>
    <row r="180" s="432" customFormat="1" hidden="1" x14ac:dyDescent="0.35"/>
    <row r="181" s="432" customFormat="1" hidden="1" x14ac:dyDescent="0.35"/>
    <row r="182" s="432" customFormat="1" hidden="1" x14ac:dyDescent="0.35"/>
    <row r="183" s="432" customFormat="1" hidden="1" x14ac:dyDescent="0.35"/>
    <row r="184" s="432" customFormat="1" hidden="1" x14ac:dyDescent="0.35"/>
    <row r="185" s="432" customFormat="1" x14ac:dyDescent="0.35"/>
    <row r="186" s="432" customFormat="1" x14ac:dyDescent="0.35"/>
    <row r="187" s="432" customFormat="1" x14ac:dyDescent="0.35"/>
    <row r="188" s="432" customFormat="1" x14ac:dyDescent="0.35"/>
    <row r="189" s="432" customFormat="1" x14ac:dyDescent="0.35"/>
    <row r="190" s="432" customFormat="1" x14ac:dyDescent="0.35"/>
    <row r="191" s="432" customFormat="1" x14ac:dyDescent="0.35"/>
    <row r="192" s="432" customFormat="1" x14ac:dyDescent="0.35"/>
    <row r="193" s="432" customFormat="1" x14ac:dyDescent="0.35"/>
    <row r="194" s="432" customFormat="1" x14ac:dyDescent="0.35"/>
    <row r="195" s="432" customFormat="1" x14ac:dyDescent="0.35"/>
    <row r="196" s="432" customFormat="1" x14ac:dyDescent="0.35"/>
    <row r="197" s="432" customFormat="1" x14ac:dyDescent="0.35"/>
    <row r="198" s="432" customFormat="1" x14ac:dyDescent="0.35"/>
    <row r="199" s="432" customFormat="1" x14ac:dyDescent="0.35"/>
    <row r="200" s="432" customFormat="1" x14ac:dyDescent="0.35"/>
    <row r="201" s="432" customFormat="1" x14ac:dyDescent="0.35"/>
    <row r="202" s="432" customFormat="1" x14ac:dyDescent="0.35"/>
    <row r="203" s="432" customFormat="1" x14ac:dyDescent="0.35"/>
    <row r="204" s="432" customFormat="1" x14ac:dyDescent="0.35"/>
    <row r="205" s="432" customFormat="1" x14ac:dyDescent="0.35"/>
    <row r="206" s="432" customFormat="1" x14ac:dyDescent="0.35"/>
    <row r="207" s="432" customFormat="1" x14ac:dyDescent="0.35"/>
    <row r="208" s="432" customFormat="1" x14ac:dyDescent="0.35"/>
    <row r="209" s="432" customFormat="1" x14ac:dyDescent="0.35"/>
    <row r="210" s="432" customFormat="1" x14ac:dyDescent="0.35"/>
    <row r="211" s="432" customFormat="1" x14ac:dyDescent="0.35"/>
    <row r="212" s="432" customFormat="1" x14ac:dyDescent="0.35"/>
    <row r="213" s="432" customFormat="1" x14ac:dyDescent="0.35"/>
    <row r="214" s="432" customFormat="1" x14ac:dyDescent="0.35"/>
    <row r="215" s="432" customFormat="1" x14ac:dyDescent="0.35"/>
    <row r="216" s="432" customFormat="1" x14ac:dyDescent="0.35"/>
    <row r="217" s="432" customFormat="1" x14ac:dyDescent="0.35"/>
    <row r="218" s="432" customFormat="1" x14ac:dyDescent="0.35"/>
    <row r="219" s="432" customFormat="1" x14ac:dyDescent="0.35"/>
    <row r="220" s="432" customFormat="1" x14ac:dyDescent="0.35"/>
    <row r="221" s="432" customFormat="1" x14ac:dyDescent="0.35"/>
    <row r="222" s="432" customFormat="1" x14ac:dyDescent="0.35"/>
    <row r="223" s="432" customFormat="1" x14ac:dyDescent="0.35"/>
    <row r="224" s="432" customFormat="1" x14ac:dyDescent="0.35"/>
    <row r="225" s="432" customFormat="1" x14ac:dyDescent="0.35"/>
    <row r="226" s="432" customFormat="1" x14ac:dyDescent="0.35"/>
    <row r="227" s="432" customFormat="1" x14ac:dyDescent="0.35"/>
    <row r="228" s="432" customFormat="1" x14ac:dyDescent="0.35"/>
    <row r="229" s="432" customFormat="1" x14ac:dyDescent="0.35"/>
    <row r="230" s="432" customFormat="1" x14ac:dyDescent="0.35"/>
    <row r="231" s="432" customFormat="1" x14ac:dyDescent="0.35"/>
    <row r="232" s="432" customFormat="1" x14ac:dyDescent="0.35"/>
    <row r="233" s="432" customFormat="1" x14ac:dyDescent="0.35"/>
    <row r="234" s="432" customFormat="1" x14ac:dyDescent="0.35"/>
    <row r="235" s="432" customFormat="1" x14ac:dyDescent="0.35"/>
    <row r="236" s="432" customFormat="1" x14ac:dyDescent="0.35"/>
    <row r="237" s="432" customFormat="1" x14ac:dyDescent="0.35"/>
    <row r="238" s="432" customFormat="1" x14ac:dyDescent="0.35"/>
    <row r="239" s="432" customFormat="1" x14ac:dyDescent="0.35"/>
    <row r="240" s="432" customFormat="1" x14ac:dyDescent="0.35"/>
    <row r="241" s="432" customFormat="1" x14ac:dyDescent="0.35"/>
    <row r="242" s="432" customFormat="1" x14ac:dyDescent="0.35"/>
    <row r="243" s="432" customFormat="1" x14ac:dyDescent="0.35"/>
    <row r="244" s="432" customFormat="1" x14ac:dyDescent="0.35"/>
    <row r="245" s="432" customFormat="1" x14ac:dyDescent="0.35"/>
    <row r="246" s="432" customFormat="1" x14ac:dyDescent="0.35"/>
    <row r="247" s="432" customFormat="1" x14ac:dyDescent="0.35"/>
    <row r="248" s="432" customFormat="1" x14ac:dyDescent="0.35"/>
    <row r="249" s="432" customFormat="1" x14ac:dyDescent="0.35"/>
    <row r="250" s="432" customFormat="1" x14ac:dyDescent="0.35"/>
    <row r="251" s="432" customFormat="1" x14ac:dyDescent="0.35"/>
    <row r="252" s="432" customFormat="1" x14ac:dyDescent="0.35"/>
    <row r="253" s="432" customFormat="1" x14ac:dyDescent="0.35"/>
    <row r="254" s="432" customFormat="1" x14ac:dyDescent="0.35"/>
    <row r="255" s="432" customFormat="1" x14ac:dyDescent="0.35"/>
    <row r="256" s="432" customFormat="1" x14ac:dyDescent="0.35"/>
    <row r="257" s="432" customFormat="1" x14ac:dyDescent="0.35"/>
    <row r="258" s="432" customFormat="1" x14ac:dyDescent="0.35"/>
    <row r="259" s="432" customFormat="1" x14ac:dyDescent="0.35"/>
    <row r="260" s="432" customFormat="1" x14ac:dyDescent="0.35"/>
    <row r="261" s="432" customFormat="1" x14ac:dyDescent="0.35"/>
    <row r="262" s="432" customFormat="1" x14ac:dyDescent="0.35"/>
    <row r="263" s="432" customFormat="1" x14ac:dyDescent="0.35"/>
    <row r="264" s="432" customFormat="1" x14ac:dyDescent="0.35"/>
    <row r="265" s="432" customFormat="1" x14ac:dyDescent="0.35"/>
    <row r="266" s="432" customFormat="1" x14ac:dyDescent="0.35"/>
    <row r="267" s="432" customFormat="1" x14ac:dyDescent="0.35"/>
    <row r="268" s="432" customFormat="1" x14ac:dyDescent="0.35"/>
    <row r="269" s="432" customFormat="1" x14ac:dyDescent="0.35"/>
    <row r="270" s="432" customFormat="1" x14ac:dyDescent="0.35"/>
    <row r="271" s="432" customFormat="1" x14ac:dyDescent="0.35"/>
    <row r="272" s="432" customFormat="1" x14ac:dyDescent="0.35"/>
    <row r="273" s="432" customFormat="1" x14ac:dyDescent="0.35"/>
    <row r="274" s="432" customFormat="1" x14ac:dyDescent="0.35"/>
    <row r="275" s="432" customFormat="1" x14ac:dyDescent="0.35"/>
    <row r="276" s="432" customFormat="1" x14ac:dyDescent="0.35"/>
    <row r="277" s="432" customFormat="1" x14ac:dyDescent="0.35"/>
    <row r="278" s="432" customFormat="1" x14ac:dyDescent="0.35"/>
    <row r="279" s="432" customFormat="1" x14ac:dyDescent="0.35"/>
    <row r="280" s="432" customFormat="1" x14ac:dyDescent="0.35"/>
    <row r="281" s="432" customFormat="1" x14ac:dyDescent="0.35"/>
    <row r="282" s="432" customFormat="1" x14ac:dyDescent="0.35"/>
    <row r="283" s="432" customFormat="1" x14ac:dyDescent="0.35"/>
    <row r="284" s="432" customFormat="1" x14ac:dyDescent="0.35"/>
    <row r="285" s="432" customFormat="1" x14ac:dyDescent="0.35"/>
    <row r="286" s="432" customFormat="1" x14ac:dyDescent="0.35"/>
    <row r="287" s="432" customFormat="1" x14ac:dyDescent="0.35"/>
    <row r="288" s="432" customFormat="1" x14ac:dyDescent="0.35"/>
    <row r="289" s="432" customFormat="1" x14ac:dyDescent="0.35"/>
    <row r="290" s="432" customFormat="1" x14ac:dyDescent="0.35"/>
    <row r="291" s="432" customFormat="1" x14ac:dyDescent="0.35"/>
    <row r="292" s="432" customFormat="1" x14ac:dyDescent="0.35"/>
    <row r="293" s="432" customFormat="1" x14ac:dyDescent="0.35"/>
    <row r="294" s="432" customFormat="1" x14ac:dyDescent="0.35"/>
    <row r="295" s="432" customFormat="1" x14ac:dyDescent="0.35"/>
    <row r="296" s="432" customFormat="1" x14ac:dyDescent="0.35"/>
  </sheetData>
  <sheetProtection algorithmName="SHA-512" hashValue="hGWuVlot06y4CWEagNtg1ea9cAEvD2bLf1UV37O9gxmqZu4XFM1+CzjVT3TUIPK5DBNDfSQtkJBhOQguuoMO/A==" saltValue="T8Ay6J5s03p//7BooQTexA=="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4" r:id="rId4" name="Spinner 26">
              <controlPr defaultSize="0" autoPict="0">
                <anchor moveWithCells="1" sizeWithCells="1">
                  <from>
                    <xdr:col>2</xdr:col>
                    <xdr:colOff>1200150</xdr:colOff>
                    <xdr:row>17</xdr:row>
                    <xdr:rowOff>50800</xdr:rowOff>
                  </from>
                  <to>
                    <xdr:col>2</xdr:col>
                    <xdr:colOff>1543050</xdr:colOff>
                    <xdr:row>17</xdr:row>
                    <xdr:rowOff>228600</xdr:rowOff>
                  </to>
                </anchor>
              </controlPr>
            </control>
          </mc:Choice>
        </mc:AlternateContent>
        <mc:AlternateContent xmlns:mc="http://schemas.openxmlformats.org/markup-compatibility/2006">
          <mc:Choice Requires="x14">
            <control shapeId="2075" r:id="rId5" name="Spinner 27">
              <controlPr defaultSize="0" autoPict="0">
                <anchor moveWithCells="1" sizeWithCells="1">
                  <from>
                    <xdr:col>2</xdr:col>
                    <xdr:colOff>1200150</xdr:colOff>
                    <xdr:row>19</xdr:row>
                    <xdr:rowOff>50800</xdr:rowOff>
                  </from>
                  <to>
                    <xdr:col>2</xdr:col>
                    <xdr:colOff>1543050</xdr:colOff>
                    <xdr:row>19</xdr:row>
                    <xdr:rowOff>228600</xdr:rowOff>
                  </to>
                </anchor>
              </controlPr>
            </control>
          </mc:Choice>
        </mc:AlternateContent>
        <mc:AlternateContent xmlns:mc="http://schemas.openxmlformats.org/markup-compatibility/2006">
          <mc:Choice Requires="x14">
            <control shapeId="2076" r:id="rId6" name="Spinner 28">
              <controlPr defaultSize="0" autoPict="0">
                <anchor moveWithCells="1" sizeWithCells="1">
                  <from>
                    <xdr:col>2</xdr:col>
                    <xdr:colOff>1200150</xdr:colOff>
                    <xdr:row>21</xdr:row>
                    <xdr:rowOff>50800</xdr:rowOff>
                  </from>
                  <to>
                    <xdr:col>2</xdr:col>
                    <xdr:colOff>1543050</xdr:colOff>
                    <xdr:row>21</xdr:row>
                    <xdr:rowOff>228600</xdr:rowOff>
                  </to>
                </anchor>
              </controlPr>
            </control>
          </mc:Choice>
        </mc:AlternateContent>
        <mc:AlternateContent xmlns:mc="http://schemas.openxmlformats.org/markup-compatibility/2006">
          <mc:Choice Requires="x14">
            <control shapeId="2077" r:id="rId7" name="Spinner 29">
              <controlPr defaultSize="0" autoPict="0">
                <anchor moveWithCells="1" sizeWithCells="1">
                  <from>
                    <xdr:col>2</xdr:col>
                    <xdr:colOff>1200150</xdr:colOff>
                    <xdr:row>25</xdr:row>
                    <xdr:rowOff>50800</xdr:rowOff>
                  </from>
                  <to>
                    <xdr:col>2</xdr:col>
                    <xdr:colOff>1543050</xdr:colOff>
                    <xdr:row>25</xdr:row>
                    <xdr:rowOff>228600</xdr:rowOff>
                  </to>
                </anchor>
              </controlPr>
            </control>
          </mc:Choice>
        </mc:AlternateContent>
        <mc:AlternateContent xmlns:mc="http://schemas.openxmlformats.org/markup-compatibility/2006">
          <mc:Choice Requires="x14">
            <control shapeId="2078" r:id="rId8" name="Spinner 30">
              <controlPr defaultSize="0" autoPict="0">
                <anchor moveWithCells="1" sizeWithCells="1">
                  <from>
                    <xdr:col>2</xdr:col>
                    <xdr:colOff>1200150</xdr:colOff>
                    <xdr:row>27</xdr:row>
                    <xdr:rowOff>50800</xdr:rowOff>
                  </from>
                  <to>
                    <xdr:col>2</xdr:col>
                    <xdr:colOff>1543050</xdr:colOff>
                    <xdr:row>27</xdr:row>
                    <xdr:rowOff>228600</xdr:rowOff>
                  </to>
                </anchor>
              </controlPr>
            </control>
          </mc:Choice>
        </mc:AlternateContent>
        <mc:AlternateContent xmlns:mc="http://schemas.openxmlformats.org/markup-compatibility/2006">
          <mc:Choice Requires="x14">
            <control shapeId="2081" r:id="rId9" name="Spinner 33">
              <controlPr defaultSize="0" autoPict="0">
                <anchor moveWithCells="1" sizeWithCells="1">
                  <from>
                    <xdr:col>2</xdr:col>
                    <xdr:colOff>1200150</xdr:colOff>
                    <xdr:row>23</xdr:row>
                    <xdr:rowOff>50800</xdr:rowOff>
                  </from>
                  <to>
                    <xdr:col>2</xdr:col>
                    <xdr:colOff>1543050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IW1535"/>
  <sheetViews>
    <sheetView zoomScaleNormal="100" workbookViewId="0"/>
  </sheetViews>
  <sheetFormatPr defaultColWidth="16.7265625" defaultRowHeight="14.5" x14ac:dyDescent="0.35"/>
  <cols>
    <col min="1" max="1" width="3.26953125" style="18" customWidth="1"/>
    <col min="2" max="2" width="90.26953125" style="18" customWidth="1"/>
    <col min="3" max="8" width="24.7265625" style="18" customWidth="1"/>
    <col min="9" max="9" width="24.7265625" style="432" customWidth="1"/>
    <col min="10" max="10" width="25.7265625" style="432" customWidth="1"/>
    <col min="11" max="58" width="16.7265625" style="432"/>
    <col min="59" max="16384" width="16.7265625" style="18"/>
  </cols>
  <sheetData>
    <row r="1" spans="1:3" x14ac:dyDescent="0.35">
      <c r="A1" s="17"/>
    </row>
    <row r="2" spans="1:3" x14ac:dyDescent="0.35">
      <c r="A2" s="17"/>
    </row>
    <row r="3" spans="1:3" x14ac:dyDescent="0.35">
      <c r="A3" s="17"/>
    </row>
    <row r="4" spans="1:3" x14ac:dyDescent="0.35">
      <c r="A4" s="17"/>
    </row>
    <row r="5" spans="1:3" x14ac:dyDescent="0.35">
      <c r="A5" s="17"/>
    </row>
    <row r="6" spans="1:3" x14ac:dyDescent="0.35">
      <c r="A6" s="17"/>
    </row>
    <row r="7" spans="1:3" x14ac:dyDescent="0.35">
      <c r="A7" s="17"/>
    </row>
    <row r="8" spans="1:3" x14ac:dyDescent="0.35">
      <c r="A8" s="17"/>
    </row>
    <row r="9" spans="1:3" x14ac:dyDescent="0.35">
      <c r="A9" s="17"/>
    </row>
    <row r="10" spans="1:3" x14ac:dyDescent="0.35">
      <c r="A10" s="432"/>
    </row>
    <row r="11" spans="1:3" x14ac:dyDescent="0.35">
      <c r="A11" s="432"/>
    </row>
    <row r="12" spans="1:3" ht="20.149999999999999" customHeight="1" x14ac:dyDescent="0.35">
      <c r="A12" s="17"/>
      <c r="B12" s="511" t="s">
        <v>946</v>
      </c>
      <c r="C12" s="510"/>
    </row>
    <row r="13" spans="1:3" ht="20.149999999999999" customHeight="1" x14ac:dyDescent="0.35">
      <c r="A13" s="432"/>
      <c r="B13" s="171" t="s">
        <v>698</v>
      </c>
      <c r="C13" s="140">
        <f>'Baseline farm'!D19</f>
        <v>0</v>
      </c>
    </row>
    <row r="14" spans="1:3" ht="20.149999999999999" customHeight="1" x14ac:dyDescent="0.35">
      <c r="A14" s="17"/>
      <c r="B14" s="171" t="s">
        <v>475</v>
      </c>
      <c r="C14" s="7">
        <f>'Baseline farm'!D21</f>
        <v>0</v>
      </c>
    </row>
    <row r="15" spans="1:3" ht="20.149999999999999" customHeight="1" x14ac:dyDescent="0.35">
      <c r="A15" s="17"/>
      <c r="B15" s="171" t="s">
        <v>975</v>
      </c>
      <c r="C15" s="672">
        <v>21</v>
      </c>
    </row>
    <row r="16" spans="1:3" ht="20.149999999999999" customHeight="1" x14ac:dyDescent="0.35">
      <c r="A16" s="17"/>
      <c r="B16" s="171" t="s">
        <v>976</v>
      </c>
      <c r="C16" s="672">
        <v>23</v>
      </c>
    </row>
    <row r="17" spans="1:257" ht="20.149999999999999" customHeight="1" x14ac:dyDescent="0.35">
      <c r="A17" s="17"/>
      <c r="B17" s="171" t="s">
        <v>476</v>
      </c>
      <c r="C17" s="7">
        <f>'Baseline farm'!D35</f>
        <v>0</v>
      </c>
    </row>
    <row r="18" spans="1:257" ht="20.149999999999999" customHeight="1" x14ac:dyDescent="0.35">
      <c r="A18" s="17"/>
      <c r="B18" s="171" t="s">
        <v>988</v>
      </c>
      <c r="C18" s="674">
        <v>6</v>
      </c>
      <c r="K18" s="879"/>
    </row>
    <row r="19" spans="1:257" ht="20.149999999999999" customHeight="1" x14ac:dyDescent="0.35">
      <c r="A19" s="17"/>
      <c r="B19" s="512" t="s">
        <v>947</v>
      </c>
      <c r="C19" s="4"/>
    </row>
    <row r="20" spans="1:257" ht="20.149999999999999" customHeight="1" x14ac:dyDescent="0.35">
      <c r="A20" s="17"/>
      <c r="B20" s="287" t="s">
        <v>1009</v>
      </c>
      <c r="C20" s="673">
        <v>44378</v>
      </c>
    </row>
    <row r="21" spans="1:257" ht="5.15" customHeight="1" x14ac:dyDescent="0.35">
      <c r="A21" s="17"/>
      <c r="B21" s="287"/>
      <c r="C21" s="331"/>
    </row>
    <row r="22" spans="1:257" ht="20.149999999999999" customHeight="1" x14ac:dyDescent="0.35">
      <c r="A22" s="17"/>
      <c r="B22" s="287" t="s">
        <v>478</v>
      </c>
      <c r="C22" s="672">
        <f>C63/10</f>
        <v>20</v>
      </c>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s="17" customFormat="1" ht="5.15" customHeight="1" x14ac:dyDescent="0.35">
      <c r="B23" s="287"/>
      <c r="C23" s="21"/>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432"/>
      <c r="AY23" s="432"/>
      <c r="AZ23" s="432"/>
      <c r="BA23" s="432"/>
      <c r="BB23" s="432"/>
      <c r="BC23" s="432"/>
      <c r="BD23" s="432"/>
      <c r="BE23" s="432"/>
      <c r="BF23" s="432"/>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ht="20.149999999999999" customHeight="1" x14ac:dyDescent="0.35">
      <c r="A24" s="17"/>
      <c r="B24" s="287" t="s">
        <v>479</v>
      </c>
      <c r="C24" s="672">
        <f>C64/10</f>
        <v>22</v>
      </c>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s="17" customFormat="1" ht="5.15" customHeight="1" x14ac:dyDescent="0.35">
      <c r="B25" s="287"/>
      <c r="C25" s="2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2"/>
      <c r="BA25" s="432"/>
      <c r="BB25" s="432"/>
      <c r="BC25" s="432"/>
      <c r="BD25" s="432"/>
      <c r="BE25" s="432"/>
      <c r="BF25" s="432"/>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row>
    <row r="26" spans="1:257" ht="20.149999999999999" customHeight="1" x14ac:dyDescent="0.35">
      <c r="A26" s="17"/>
      <c r="B26" s="287" t="s">
        <v>542</v>
      </c>
      <c r="C26" s="674">
        <f>C65/1</f>
        <v>482</v>
      </c>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row>
    <row r="27" spans="1:257" s="17" customFormat="1" ht="5.15" customHeight="1" x14ac:dyDescent="0.35">
      <c r="B27" s="287"/>
      <c r="C27" s="19"/>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row>
    <row r="28" spans="1:257" ht="20.149999999999999" customHeight="1" x14ac:dyDescent="0.35">
      <c r="A28" s="17"/>
      <c r="B28" s="287" t="s">
        <v>766</v>
      </c>
      <c r="C28" s="674">
        <f>C66/1</f>
        <v>65</v>
      </c>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row>
    <row r="29" spans="1:257" ht="5.15" customHeight="1" x14ac:dyDescent="0.35">
      <c r="A29" s="17"/>
      <c r="B29" s="287"/>
      <c r="C29" s="23"/>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row>
    <row r="30" spans="1:257" ht="20.149999999999999" customHeight="1" x14ac:dyDescent="0.35">
      <c r="A30" s="17"/>
      <c r="B30" s="287" t="s">
        <v>543</v>
      </c>
      <c r="C30" s="674">
        <f>C67/1</f>
        <v>4</v>
      </c>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row>
    <row r="31" spans="1:257" s="17" customFormat="1" ht="4.1500000000000004" customHeight="1" x14ac:dyDescent="0.35">
      <c r="B31" s="287"/>
      <c r="C31" s="23"/>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row>
    <row r="32" spans="1:257" s="432" customFormat="1" ht="20.149999999999999" customHeight="1" x14ac:dyDescent="0.35">
      <c r="B32" s="287" t="s">
        <v>986</v>
      </c>
      <c r="C32" s="674">
        <f>C70</f>
        <v>50</v>
      </c>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row>
    <row r="33" spans="1:257" s="432" customFormat="1" ht="5.15" customHeight="1" x14ac:dyDescent="0.35">
      <c r="B33" s="287"/>
      <c r="C33" s="23"/>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row>
    <row r="34" spans="1:257" ht="20.149999999999999" customHeight="1" x14ac:dyDescent="0.35">
      <c r="A34" s="17"/>
      <c r="B34" s="172" t="s">
        <v>117</v>
      </c>
      <c r="C34" s="675">
        <f>C68/100</f>
        <v>0.6</v>
      </c>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row>
    <row r="35" spans="1:257" s="17" customFormat="1" ht="5.15" customHeight="1" x14ac:dyDescent="0.35">
      <c r="B35" s="287"/>
      <c r="C35" s="2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row>
    <row r="36" spans="1:257" ht="20.149999999999999" customHeight="1" x14ac:dyDescent="0.35">
      <c r="A36" s="17"/>
      <c r="B36" s="172" t="s">
        <v>70</v>
      </c>
      <c r="C36" s="675">
        <f>C69/100</f>
        <v>30</v>
      </c>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row>
    <row r="37" spans="1:257" ht="5.15" customHeight="1" x14ac:dyDescent="0.35">
      <c r="A37" s="17"/>
      <c r="B37" s="287"/>
      <c r="C37" s="22"/>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row>
    <row r="38" spans="1:257" ht="20.149999999999999" customHeight="1" x14ac:dyDescent="0.35">
      <c r="A38" s="17"/>
      <c r="B38" s="513" t="s">
        <v>948</v>
      </c>
      <c r="C38" s="514"/>
    </row>
    <row r="39" spans="1:257" ht="20.149999999999999" customHeight="1" x14ac:dyDescent="0.35">
      <c r="A39" s="432"/>
      <c r="B39" s="271" t="s">
        <v>532</v>
      </c>
      <c r="C39" s="517">
        <f>D124-C124</f>
        <v>42401.271236799999</v>
      </c>
    </row>
    <row r="40" spans="1:257" ht="20.149999999999999" customHeight="1" x14ac:dyDescent="0.35">
      <c r="A40" s="17"/>
      <c r="B40" s="174" t="s">
        <v>533</v>
      </c>
      <c r="C40" s="405">
        <f>D128*C13</f>
        <v>0</v>
      </c>
    </row>
    <row r="41" spans="1:257" ht="20.149999999999999" customHeight="1" x14ac:dyDescent="0.35">
      <c r="A41" s="17"/>
      <c r="B41" s="175" t="s">
        <v>949</v>
      </c>
      <c r="C41" s="11"/>
    </row>
    <row r="42" spans="1:257" ht="20.149999999999999" customHeight="1" x14ac:dyDescent="0.35">
      <c r="A42" s="17"/>
      <c r="B42" s="409" t="s">
        <v>82</v>
      </c>
      <c r="C42" s="410" t="e">
        <f>D135</f>
        <v>#N/A</v>
      </c>
    </row>
    <row r="43" spans="1:257" ht="20.149999999999999" customHeight="1" x14ac:dyDescent="0.35">
      <c r="A43" s="17"/>
      <c r="B43" s="409" t="s">
        <v>456</v>
      </c>
      <c r="C43" s="410">
        <v>0</v>
      </c>
    </row>
    <row r="44" spans="1:257" ht="20.149999999999999" customHeight="1" x14ac:dyDescent="0.35">
      <c r="A44" s="17"/>
      <c r="B44" s="409" t="s">
        <v>457</v>
      </c>
      <c r="C44" s="410">
        <v>0</v>
      </c>
    </row>
    <row r="45" spans="1:257" ht="20.149999999999999" customHeight="1" x14ac:dyDescent="0.35">
      <c r="A45" s="17"/>
      <c r="B45" s="409" t="s">
        <v>197</v>
      </c>
      <c r="C45" s="410">
        <v>0</v>
      </c>
    </row>
    <row r="46" spans="1:257" ht="20.149999999999999" customHeight="1" x14ac:dyDescent="0.35">
      <c r="A46" s="17"/>
      <c r="B46" s="409" t="s">
        <v>198</v>
      </c>
      <c r="C46" s="410" t="e">
        <f>SUM(C42:C45)</f>
        <v>#N/A</v>
      </c>
    </row>
    <row r="47" spans="1:257" ht="20.149999999999999" customHeight="1" x14ac:dyDescent="0.35">
      <c r="A47" s="17"/>
      <c r="B47" s="411" t="s">
        <v>944</v>
      </c>
      <c r="C47" s="412" t="e">
        <f>C42*C36</f>
        <v>#N/A</v>
      </c>
    </row>
    <row r="48" spans="1:257" ht="20.149999999999999" customHeight="1" x14ac:dyDescent="0.35">
      <c r="A48" s="17"/>
      <c r="B48" s="411" t="s">
        <v>945</v>
      </c>
      <c r="C48" s="412">
        <f>IF(C15="",0,IF(C16="",0,(C32*(365/(C26+C28)))*C13))</f>
        <v>0</v>
      </c>
    </row>
    <row r="49" spans="1:8" ht="20.149999999999999" customHeight="1" x14ac:dyDescent="0.35">
      <c r="A49" s="17"/>
      <c r="B49" s="411" t="s">
        <v>18</v>
      </c>
      <c r="C49" s="413" t="e">
        <f>IF(C47&gt;1,C47-C48,C48*-1)</f>
        <v>#N/A</v>
      </c>
    </row>
    <row r="50" spans="1:8" ht="20.149999999999999" customHeight="1" x14ac:dyDescent="0.35">
      <c r="A50" s="17"/>
      <c r="B50" s="411" t="s">
        <v>88</v>
      </c>
      <c r="C50" s="412">
        <f>C40*C34</f>
        <v>0</v>
      </c>
    </row>
    <row r="51" spans="1:8" ht="20.149999999999999" customHeight="1" x14ac:dyDescent="0.35">
      <c r="A51" s="17"/>
      <c r="B51" s="411" t="s">
        <v>17</v>
      </c>
      <c r="C51" s="412" t="e">
        <f>IF(C47&gt;1,C47-C48+C50,C50-C48)</f>
        <v>#N/A</v>
      </c>
    </row>
    <row r="52" spans="1:8" ht="20.149999999999999" customHeight="1" x14ac:dyDescent="0.35">
      <c r="A52" s="17"/>
      <c r="B52" s="1703" t="s">
        <v>950</v>
      </c>
      <c r="C52" s="1704" t="e">
        <f>C80</f>
        <v>#N/A</v>
      </c>
    </row>
    <row r="53" spans="1:8" x14ac:dyDescent="0.35">
      <c r="A53" s="17"/>
      <c r="B53" s="17"/>
      <c r="C53" s="17"/>
      <c r="D53" s="17"/>
      <c r="E53" s="17"/>
      <c r="F53" s="17"/>
      <c r="G53" s="17"/>
      <c r="H53" s="17"/>
    </row>
    <row r="54" spans="1:8" s="432" customFormat="1" x14ac:dyDescent="0.35">
      <c r="B54" s="138"/>
      <c r="C54" s="139"/>
    </row>
    <row r="55" spans="1:8" s="432" customFormat="1" x14ac:dyDescent="0.35">
      <c r="B55" s="138"/>
      <c r="C55" s="139"/>
    </row>
    <row r="56" spans="1:8" s="432" customFormat="1" x14ac:dyDescent="0.35">
      <c r="B56" s="138"/>
      <c r="C56" s="139"/>
    </row>
    <row r="57" spans="1:8" s="432" customFormat="1" x14ac:dyDescent="0.35">
      <c r="B57" s="138"/>
      <c r="C57" s="139"/>
    </row>
    <row r="58" spans="1:8" s="432" customFormat="1" x14ac:dyDescent="0.35">
      <c r="B58" s="138"/>
      <c r="C58" s="139"/>
    </row>
    <row r="59" spans="1:8" s="432" customFormat="1" x14ac:dyDescent="0.35">
      <c r="B59" s="138"/>
      <c r="C59" s="139"/>
    </row>
    <row r="60" spans="1:8" s="432" customFormat="1" ht="23" x14ac:dyDescent="0.5">
      <c r="B60" s="485"/>
      <c r="C60" s="139"/>
    </row>
    <row r="61" spans="1:8" s="432" customFormat="1" ht="23" hidden="1" x14ac:dyDescent="0.5">
      <c r="B61" s="485"/>
      <c r="C61" s="139"/>
      <c r="D61" s="597"/>
    </row>
    <row r="62" spans="1:8" s="432" customFormat="1" hidden="1" x14ac:dyDescent="0.35">
      <c r="B62" s="519" t="s">
        <v>150</v>
      </c>
      <c r="C62" s="518"/>
      <c r="D62" s="142"/>
    </row>
    <row r="63" spans="1:8" s="432" customFormat="1" hidden="1" x14ac:dyDescent="0.35">
      <c r="B63" s="138" t="s">
        <v>478</v>
      </c>
      <c r="C63" s="586">
        <v>200</v>
      </c>
      <c r="D63" s="142"/>
    </row>
    <row r="64" spans="1:8" s="432" customFormat="1" hidden="1" x14ac:dyDescent="0.35">
      <c r="B64" s="138" t="s">
        <v>479</v>
      </c>
      <c r="C64" s="586">
        <v>220</v>
      </c>
      <c r="D64" s="142"/>
    </row>
    <row r="65" spans="2:4" s="432" customFormat="1" hidden="1" x14ac:dyDescent="0.35">
      <c r="B65" s="138" t="s">
        <v>480</v>
      </c>
      <c r="C65" s="586">
        <v>482</v>
      </c>
      <c r="D65" s="142"/>
    </row>
    <row r="66" spans="2:4" s="432" customFormat="1" hidden="1" x14ac:dyDescent="0.35">
      <c r="B66" s="138" t="s">
        <v>481</v>
      </c>
      <c r="C66" s="558">
        <v>65</v>
      </c>
      <c r="D66" s="142"/>
    </row>
    <row r="67" spans="2:4" s="432" customFormat="1" hidden="1" x14ac:dyDescent="0.35">
      <c r="B67" s="138" t="s">
        <v>477</v>
      </c>
      <c r="C67" s="558">
        <v>4</v>
      </c>
      <c r="D67" s="142"/>
    </row>
    <row r="68" spans="2:4" s="142" customFormat="1" ht="13" hidden="1" x14ac:dyDescent="0.3">
      <c r="B68" s="138" t="s">
        <v>81</v>
      </c>
      <c r="C68" s="587">
        <v>60</v>
      </c>
    </row>
    <row r="69" spans="2:4" s="142" customFormat="1" ht="13" hidden="1" x14ac:dyDescent="0.3">
      <c r="B69" s="138" t="s">
        <v>70</v>
      </c>
      <c r="C69" s="587">
        <v>3000</v>
      </c>
    </row>
    <row r="70" spans="2:4" s="142" customFormat="1" ht="13" hidden="1" x14ac:dyDescent="0.3">
      <c r="B70" s="138" t="s">
        <v>987</v>
      </c>
      <c r="C70" s="587">
        <v>50</v>
      </c>
    </row>
    <row r="71" spans="2:4" s="142" customFormat="1" ht="13" hidden="1" x14ac:dyDescent="0.3">
      <c r="B71" s="138"/>
      <c r="C71" s="521"/>
    </row>
    <row r="72" spans="2:4" s="142" customFormat="1" ht="13" hidden="1" x14ac:dyDescent="0.3">
      <c r="B72" s="138"/>
      <c r="C72" s="521"/>
    </row>
    <row r="73" spans="2:4" s="432" customFormat="1" ht="15.5" hidden="1" x14ac:dyDescent="0.35">
      <c r="B73" s="519" t="s">
        <v>140</v>
      </c>
      <c r="C73" s="588" t="s">
        <v>660</v>
      </c>
      <c r="D73" s="318"/>
    </row>
    <row r="74" spans="2:4" s="432" customFormat="1" hidden="1" x14ac:dyDescent="0.35">
      <c r="B74" s="138" t="s">
        <v>2077</v>
      </c>
      <c r="C74" s="566" t="e">
        <f>C47</f>
        <v>#N/A</v>
      </c>
      <c r="D74" s="589"/>
    </row>
    <row r="75" spans="2:4" s="432" customFormat="1" hidden="1" x14ac:dyDescent="0.35">
      <c r="B75" s="138" t="s">
        <v>109</v>
      </c>
      <c r="C75" s="566">
        <f>C48</f>
        <v>0</v>
      </c>
      <c r="D75" s="589"/>
    </row>
    <row r="76" spans="2:4" s="432" customFormat="1" hidden="1" x14ac:dyDescent="0.35">
      <c r="B76" s="138" t="s">
        <v>110</v>
      </c>
      <c r="C76" s="566">
        <f>C50</f>
        <v>0</v>
      </c>
      <c r="D76" s="589"/>
    </row>
    <row r="77" spans="2:4" s="432" customFormat="1" hidden="1" x14ac:dyDescent="0.35">
      <c r="B77" s="138" t="s">
        <v>21</v>
      </c>
      <c r="C77" s="566" t="e">
        <f>C51</f>
        <v>#N/A</v>
      </c>
      <c r="D77" s="590"/>
    </row>
    <row r="78" spans="2:4" s="432" customFormat="1" hidden="1" x14ac:dyDescent="0.35">
      <c r="B78" s="138"/>
      <c r="C78" s="566"/>
      <c r="D78" s="590"/>
    </row>
    <row r="79" spans="2:4" s="432" customFormat="1" hidden="1" x14ac:dyDescent="0.35">
      <c r="B79" s="138"/>
      <c r="C79" s="566"/>
      <c r="D79" s="590"/>
    </row>
    <row r="80" spans="2:4" s="432" customFormat="1" hidden="1" x14ac:dyDescent="0.35">
      <c r="B80" s="24" t="s">
        <v>2076</v>
      </c>
      <c r="C80" s="591" t="e">
        <f>C77/C81</f>
        <v>#N/A</v>
      </c>
      <c r="D80" s="142"/>
    </row>
    <row r="81" spans="2:17" s="432" customFormat="1" hidden="1" x14ac:dyDescent="0.35">
      <c r="B81" s="138" t="s">
        <v>102</v>
      </c>
      <c r="C81" s="592" t="e">
        <f>(((C15*C13*1/C18)+(C16*C13*((C18-1)/6)))/C13)*C13*C17*C34</f>
        <v>#DIV/0!</v>
      </c>
      <c r="D81" s="142"/>
    </row>
    <row r="82" spans="2:17" s="432" customFormat="1" hidden="1" x14ac:dyDescent="0.35">
      <c r="B82" s="142"/>
      <c r="C82" s="560"/>
      <c r="D82" s="142"/>
    </row>
    <row r="83" spans="2:17" s="432" customFormat="1" hidden="1" x14ac:dyDescent="0.35">
      <c r="B83" s="519"/>
      <c r="C83" s="560"/>
      <c r="D83" s="142"/>
    </row>
    <row r="84" spans="2:17" s="432" customFormat="1" hidden="1" x14ac:dyDescent="0.35">
      <c r="B84" s="138"/>
      <c r="C84" s="562"/>
      <c r="D84" s="142"/>
    </row>
    <row r="85" spans="2:17" s="432" customFormat="1" hidden="1" x14ac:dyDescent="0.35">
      <c r="C85" s="593" t="s">
        <v>536</v>
      </c>
      <c r="D85" s="593" t="s">
        <v>493</v>
      </c>
      <c r="F85" s="432" t="s">
        <v>494</v>
      </c>
    </row>
    <row r="86" spans="2:17" s="432" customFormat="1" hidden="1" x14ac:dyDescent="0.35">
      <c r="B86" s="432" t="s">
        <v>495</v>
      </c>
      <c r="C86" s="594">
        <f>C20</f>
        <v>44378</v>
      </c>
      <c r="D86" s="594">
        <f>C86</f>
        <v>44378</v>
      </c>
      <c r="E86" s="594"/>
      <c r="F86" s="432" t="s">
        <v>536</v>
      </c>
      <c r="G86" s="432" t="s">
        <v>493</v>
      </c>
      <c r="K86" s="432" t="s">
        <v>496</v>
      </c>
      <c r="O86" s="432" t="s">
        <v>537</v>
      </c>
    </row>
    <row r="87" spans="2:17" s="432" customFormat="1" hidden="1" x14ac:dyDescent="0.35">
      <c r="B87" s="432" t="s">
        <v>497</v>
      </c>
      <c r="C87" s="595">
        <f>C88*0.9</f>
        <v>0</v>
      </c>
      <c r="D87" s="595">
        <f>D88*0.9</f>
        <v>0</v>
      </c>
      <c r="E87" s="316" t="s">
        <v>498</v>
      </c>
      <c r="F87" s="432">
        <f>ROUND(C87/50,0)*50</f>
        <v>0</v>
      </c>
      <c r="G87" s="432">
        <f>ROUND(D87/50,0)*50</f>
        <v>0</v>
      </c>
      <c r="K87" s="432" t="s">
        <v>538</v>
      </c>
      <c r="L87" s="432" t="s">
        <v>499</v>
      </c>
    </row>
    <row r="88" spans="2:17" s="432" customFormat="1" hidden="1" x14ac:dyDescent="0.35">
      <c r="B88" s="432" t="s">
        <v>500</v>
      </c>
      <c r="C88" s="595">
        <f>C14</f>
        <v>0</v>
      </c>
      <c r="D88" s="595">
        <f>C88</f>
        <v>0</v>
      </c>
      <c r="E88" s="432" t="s">
        <v>541</v>
      </c>
      <c r="F88" s="432">
        <f>ROUND(C88/50,0)*50</f>
        <v>0</v>
      </c>
      <c r="G88" s="432">
        <f>ROUND(D88/50,0)*50</f>
        <v>0</v>
      </c>
      <c r="K88" s="432">
        <v>100</v>
      </c>
      <c r="L88" s="432">
        <v>17</v>
      </c>
      <c r="O88" s="432" t="s">
        <v>501</v>
      </c>
      <c r="P88" s="432" t="s">
        <v>499</v>
      </c>
      <c r="Q88" s="432" t="s">
        <v>502</v>
      </c>
    </row>
    <row r="89" spans="2:17" s="432" customFormat="1" hidden="1" x14ac:dyDescent="0.35">
      <c r="B89" s="432" t="s">
        <v>503</v>
      </c>
      <c r="C89" s="595">
        <f>C17</f>
        <v>0</v>
      </c>
      <c r="D89" s="595">
        <f>C26</f>
        <v>482</v>
      </c>
      <c r="K89" s="432">
        <f>K88+50</f>
        <v>150</v>
      </c>
      <c r="L89" s="432">
        <v>22</v>
      </c>
      <c r="O89" s="432" t="s">
        <v>504</v>
      </c>
      <c r="P89" s="432">
        <v>8</v>
      </c>
      <c r="Q89" s="432">
        <f>P89*30</f>
        <v>240</v>
      </c>
    </row>
    <row r="90" spans="2:17" s="432" customFormat="1" hidden="1" x14ac:dyDescent="0.35">
      <c r="B90" s="432" t="s">
        <v>505</v>
      </c>
      <c r="C90" s="432">
        <f>365-C89</f>
        <v>365</v>
      </c>
      <c r="D90" s="595">
        <f>C28</f>
        <v>65</v>
      </c>
      <c r="K90" s="432">
        <f t="shared" ref="K90:K102" si="0">K89+50</f>
        <v>200</v>
      </c>
      <c r="L90" s="432">
        <v>27</v>
      </c>
      <c r="O90" s="432" t="s">
        <v>506</v>
      </c>
      <c r="P90" s="432">
        <v>10</v>
      </c>
      <c r="Q90" s="432">
        <f>P90*30</f>
        <v>300</v>
      </c>
    </row>
    <row r="91" spans="2:17" s="432" customFormat="1" hidden="1" x14ac:dyDescent="0.35">
      <c r="B91" s="432" t="s">
        <v>507</v>
      </c>
      <c r="C91" s="316">
        <f>C15</f>
        <v>21</v>
      </c>
      <c r="D91" s="316">
        <f>C22</f>
        <v>20</v>
      </c>
      <c r="E91" s="316"/>
      <c r="K91" s="432">
        <f t="shared" si="0"/>
        <v>250</v>
      </c>
      <c r="L91" s="432">
        <v>31</v>
      </c>
      <c r="O91" s="432" t="s">
        <v>508</v>
      </c>
      <c r="P91" s="432">
        <v>15</v>
      </c>
      <c r="Q91" s="432">
        <f>P91*30</f>
        <v>450</v>
      </c>
    </row>
    <row r="92" spans="2:17" s="432" customFormat="1" hidden="1" x14ac:dyDescent="0.35">
      <c r="B92" s="432" t="s">
        <v>509</v>
      </c>
      <c r="C92" s="316">
        <f>C91*C89</f>
        <v>0</v>
      </c>
      <c r="D92" s="316">
        <f>D91*D89</f>
        <v>9640</v>
      </c>
      <c r="E92" s="316"/>
      <c r="K92" s="432">
        <f t="shared" si="0"/>
        <v>300</v>
      </c>
      <c r="L92" s="432">
        <v>36</v>
      </c>
      <c r="O92" s="432" t="s">
        <v>510</v>
      </c>
      <c r="P92" s="432">
        <v>20</v>
      </c>
      <c r="Q92" s="432">
        <f>P92*30</f>
        <v>600</v>
      </c>
    </row>
    <row r="93" spans="2:17" s="432" customFormat="1" hidden="1" x14ac:dyDescent="0.35">
      <c r="B93" s="432" t="s">
        <v>511</v>
      </c>
      <c r="C93" s="316">
        <f>C16</f>
        <v>23</v>
      </c>
      <c r="D93" s="316">
        <f>C24</f>
        <v>22</v>
      </c>
      <c r="E93" s="316"/>
      <c r="G93" s="595"/>
      <c r="K93" s="432">
        <f t="shared" si="0"/>
        <v>350</v>
      </c>
      <c r="L93" s="432">
        <v>40</v>
      </c>
      <c r="O93" s="432" t="s">
        <v>512</v>
      </c>
      <c r="Q93" s="432">
        <f>SUM(Q89:Q92)</f>
        <v>1590</v>
      </c>
    </row>
    <row r="94" spans="2:17" s="432" customFormat="1" hidden="1" x14ac:dyDescent="0.35">
      <c r="B94" s="432" t="s">
        <v>513</v>
      </c>
      <c r="C94" s="316">
        <f>C93*C89</f>
        <v>0</v>
      </c>
      <c r="D94" s="316">
        <f>D93*D89</f>
        <v>10604</v>
      </c>
      <c r="E94" s="316"/>
      <c r="K94" s="432">
        <f t="shared" si="0"/>
        <v>400</v>
      </c>
      <c r="L94" s="432">
        <v>45</v>
      </c>
    </row>
    <row r="95" spans="2:17" s="432" customFormat="1" hidden="1" x14ac:dyDescent="0.35">
      <c r="B95" s="432" t="s">
        <v>514</v>
      </c>
      <c r="C95" s="595">
        <f>C18</f>
        <v>6</v>
      </c>
      <c r="D95" s="595">
        <f>C30</f>
        <v>4</v>
      </c>
      <c r="E95" s="316"/>
      <c r="G95" s="879"/>
      <c r="K95" s="432">
        <f t="shared" si="0"/>
        <v>450</v>
      </c>
      <c r="L95" s="432">
        <v>49</v>
      </c>
    </row>
    <row r="96" spans="2:17" s="432" customFormat="1" hidden="1" x14ac:dyDescent="0.35">
      <c r="B96" s="432" t="s">
        <v>1376</v>
      </c>
      <c r="C96" s="432">
        <f>(C92+(C95-1)*C94*1.03)*(0.2534+(0.1226*'Baseline farm'!$R$206)+(0.0776*'Baseline farm'!$R$207))</f>
        <v>0</v>
      </c>
      <c r="D96" s="432">
        <f>(D92+(D95-1)*D94*1.03)*(0.2534+(0.1226*'Baseline farm'!$R$206)+(0.0776*'Baseline farm'!$R$207))</f>
        <v>42401.271236799999</v>
      </c>
      <c r="G96" s="879"/>
      <c r="K96" s="432">
        <f t="shared" si="0"/>
        <v>500</v>
      </c>
      <c r="L96" s="432">
        <v>54</v>
      </c>
    </row>
    <row r="97" spans="2:12" s="432" customFormat="1" hidden="1" x14ac:dyDescent="0.35">
      <c r="B97" s="432" t="s">
        <v>515</v>
      </c>
      <c r="C97" s="594">
        <f>C86+(C95*(C89+C90))-C90</f>
        <v>46203</v>
      </c>
      <c r="D97" s="594">
        <f>D86+(D95*(D89+D90))-D90</f>
        <v>46501</v>
      </c>
      <c r="E97" s="594"/>
      <c r="G97" s="879"/>
      <c r="K97" s="432">
        <f t="shared" si="0"/>
        <v>550</v>
      </c>
      <c r="L97" s="432">
        <v>59</v>
      </c>
    </row>
    <row r="98" spans="2:12" s="432" customFormat="1" hidden="1" x14ac:dyDescent="0.35">
      <c r="B98" s="432" t="s">
        <v>539</v>
      </c>
      <c r="C98" s="432" t="e">
        <f>VLOOKUP(F87,$K$88:$L$102,2,TRUE)</f>
        <v>#N/A</v>
      </c>
      <c r="D98" s="432" t="e">
        <f>VLOOKUP(G87,$K$88:$L$102,2,TRUE)</f>
        <v>#N/A</v>
      </c>
      <c r="G98" s="879"/>
      <c r="K98" s="432">
        <f t="shared" si="0"/>
        <v>600</v>
      </c>
      <c r="L98" s="432">
        <v>63</v>
      </c>
    </row>
    <row r="99" spans="2:12" s="432" customFormat="1" hidden="1" x14ac:dyDescent="0.35">
      <c r="B99" s="432" t="s">
        <v>640</v>
      </c>
      <c r="C99" s="316" t="e">
        <f>C98*(C89+C90)</f>
        <v>#N/A</v>
      </c>
      <c r="D99" s="316" t="e">
        <f>D98*(D89+D90)</f>
        <v>#N/A</v>
      </c>
      <c r="E99" s="316"/>
      <c r="G99" s="879"/>
      <c r="K99" s="432">
        <f t="shared" si="0"/>
        <v>650</v>
      </c>
      <c r="L99" s="432">
        <v>68</v>
      </c>
    </row>
    <row r="100" spans="2:12" s="432" customFormat="1" hidden="1" x14ac:dyDescent="0.35">
      <c r="B100" s="432" t="s">
        <v>516</v>
      </c>
      <c r="C100" s="432">
        <f>44*(C88-C87)</f>
        <v>0</v>
      </c>
      <c r="D100" s="432">
        <f>44*(D88-D87)</f>
        <v>0</v>
      </c>
      <c r="K100" s="432">
        <f t="shared" si="0"/>
        <v>700</v>
      </c>
      <c r="L100" s="432">
        <v>72</v>
      </c>
    </row>
    <row r="101" spans="2:12" s="432" customFormat="1" hidden="1" x14ac:dyDescent="0.35">
      <c r="B101" s="432" t="s">
        <v>517</v>
      </c>
      <c r="C101" s="432">
        <f>C92*5.5</f>
        <v>0</v>
      </c>
      <c r="D101" s="432">
        <f>D92*5.5</f>
        <v>53020</v>
      </c>
      <c r="K101" s="432">
        <f t="shared" si="0"/>
        <v>750</v>
      </c>
      <c r="L101" s="432">
        <v>77</v>
      </c>
    </row>
    <row r="102" spans="2:12" s="432" customFormat="1" hidden="1" x14ac:dyDescent="0.35">
      <c r="B102" s="432" t="s">
        <v>534</v>
      </c>
      <c r="C102" s="432">
        <f>(C97-C86)-C89-C90</f>
        <v>1460</v>
      </c>
      <c r="D102" s="432">
        <f>(D97-D86)-D89-D90</f>
        <v>1576</v>
      </c>
      <c r="K102" s="432">
        <f t="shared" si="0"/>
        <v>800</v>
      </c>
      <c r="L102" s="432">
        <v>81</v>
      </c>
    </row>
    <row r="103" spans="2:12" s="432" customFormat="1" hidden="1" x14ac:dyDescent="0.35">
      <c r="B103" s="432" t="s">
        <v>535</v>
      </c>
      <c r="C103" s="432" t="e">
        <f>VLOOKUP(F88,$K$88:$L$102,2,TRUE)*C102</f>
        <v>#N/A</v>
      </c>
      <c r="D103" s="432" t="e">
        <f>VLOOKUP(G88,$K$88:$L$102,2,TRUE)*D102</f>
        <v>#N/A</v>
      </c>
    </row>
    <row r="104" spans="2:12" s="432" customFormat="1" hidden="1" x14ac:dyDescent="0.35">
      <c r="B104" s="432" t="s">
        <v>518</v>
      </c>
      <c r="C104" s="432">
        <f>5.5*C94*(C95-1)</f>
        <v>0</v>
      </c>
      <c r="D104" s="432">
        <f>5.5*D94*(D95-1)</f>
        <v>174966</v>
      </c>
    </row>
    <row r="105" spans="2:12" s="432" customFormat="1" hidden="1" x14ac:dyDescent="0.35">
      <c r="B105" s="432" t="s">
        <v>519</v>
      </c>
      <c r="C105" s="432">
        <f>C95*Q93</f>
        <v>9540</v>
      </c>
      <c r="D105" s="432">
        <f>D95*Q93</f>
        <v>6360</v>
      </c>
    </row>
    <row r="106" spans="2:12" s="432" customFormat="1" hidden="1" x14ac:dyDescent="0.35">
      <c r="B106" s="432" t="s">
        <v>520</v>
      </c>
      <c r="C106" s="316" t="e">
        <f>C121+C99+C100+C101+C103+C104+C105</f>
        <v>#N/A</v>
      </c>
      <c r="D106" s="596" t="e">
        <f>D121+D99+D100+D101+D103+D104+D105</f>
        <v>#N/A</v>
      </c>
      <c r="E106" s="316"/>
      <c r="G106" s="316"/>
    </row>
    <row r="107" spans="2:12" s="432" customFormat="1" hidden="1" x14ac:dyDescent="0.35">
      <c r="B107" s="432" t="s">
        <v>521</v>
      </c>
      <c r="C107" s="316" t="e">
        <f>C106/C96</f>
        <v>#N/A</v>
      </c>
      <c r="D107" s="316" t="e">
        <f>D106/D96</f>
        <v>#N/A</v>
      </c>
      <c r="E107" s="316"/>
      <c r="G107" s="316"/>
    </row>
    <row r="108" spans="2:12" s="432" customFormat="1" hidden="1" x14ac:dyDescent="0.35">
      <c r="B108" s="432" t="s">
        <v>522</v>
      </c>
      <c r="C108" s="316" t="e">
        <f>C106*18.4/11</f>
        <v>#N/A</v>
      </c>
      <c r="D108" s="316" t="e">
        <f>D106*18.4/11</f>
        <v>#N/A</v>
      </c>
      <c r="E108" s="316"/>
      <c r="G108" s="316"/>
    </row>
    <row r="109" spans="2:12" s="432" customFormat="1" hidden="1" x14ac:dyDescent="0.35">
      <c r="B109" s="432" t="s">
        <v>523</v>
      </c>
      <c r="C109" s="432" t="e">
        <f>6.5/100*C108/55.22</f>
        <v>#N/A</v>
      </c>
      <c r="D109" s="432" t="e">
        <f>6.5/100*D108/55.22</f>
        <v>#N/A</v>
      </c>
    </row>
    <row r="110" spans="2:12" s="432" customFormat="1" hidden="1" x14ac:dyDescent="0.35">
      <c r="B110" s="432" t="s">
        <v>524</v>
      </c>
      <c r="C110" s="432" t="e">
        <f>C109/1000</f>
        <v>#N/A</v>
      </c>
      <c r="D110" s="432" t="e">
        <f>D109/1000</f>
        <v>#N/A</v>
      </c>
    </row>
    <row r="111" spans="2:12" s="432" customFormat="1" hidden="1" x14ac:dyDescent="0.35">
      <c r="B111" s="432" t="s">
        <v>525</v>
      </c>
      <c r="C111" s="432" t="e">
        <f>C110*'Emission factors'!C4</f>
        <v>#N/A</v>
      </c>
      <c r="D111" s="432" t="e">
        <f>D110*'Emission factors'!C4</f>
        <v>#N/A</v>
      </c>
    </row>
    <row r="112" spans="2:12" s="432" customFormat="1" hidden="1" x14ac:dyDescent="0.35">
      <c r="B112" s="491" t="s">
        <v>1112</v>
      </c>
      <c r="C112" s="491" t="e">
        <f>C111*1000/C96</f>
        <v>#N/A</v>
      </c>
      <c r="D112" s="491" t="e">
        <f>D111*1000/D96</f>
        <v>#N/A</v>
      </c>
    </row>
    <row r="113" spans="2:5" s="432" customFormat="1" hidden="1" x14ac:dyDescent="0.35"/>
    <row r="114" spans="2:5" s="432" customFormat="1" hidden="1" x14ac:dyDescent="0.35">
      <c r="B114" s="597"/>
      <c r="C114" s="597"/>
      <c r="D114" s="598"/>
    </row>
    <row r="115" spans="2:5" s="432" customFormat="1" hidden="1" x14ac:dyDescent="0.35">
      <c r="B115" s="597"/>
      <c r="C115" s="597"/>
      <c r="D115" s="599"/>
    </row>
    <row r="116" spans="2:5" s="432" customFormat="1" hidden="1" x14ac:dyDescent="0.35">
      <c r="B116" s="597" t="s">
        <v>554</v>
      </c>
    </row>
    <row r="117" spans="2:5" s="432" customFormat="1" hidden="1" x14ac:dyDescent="0.35">
      <c r="B117" s="432" t="s">
        <v>526</v>
      </c>
      <c r="C117" s="432">
        <f>C13</f>
        <v>0</v>
      </c>
      <c r="D117" s="432">
        <f>C117</f>
        <v>0</v>
      </c>
    </row>
    <row r="118" spans="2:5" s="432" customFormat="1" hidden="1" x14ac:dyDescent="0.35">
      <c r="B118" s="432" t="s">
        <v>527</v>
      </c>
      <c r="C118" s="432">
        <f>C117/(C97-C86)</f>
        <v>0</v>
      </c>
      <c r="D118" s="432">
        <f>D117/(D97-D86)</f>
        <v>0</v>
      </c>
    </row>
    <row r="119" spans="2:5" s="432" customFormat="1" hidden="1" x14ac:dyDescent="0.35">
      <c r="B119" s="432" t="s">
        <v>528</v>
      </c>
      <c r="C119" s="432" t="e">
        <f>C158/(C153-C151)</f>
        <v>#N/A</v>
      </c>
      <c r="D119" s="432" t="e">
        <f>C158/(C153-C151)</f>
        <v>#N/A</v>
      </c>
    </row>
    <row r="120" spans="2:5" s="432" customFormat="1" hidden="1" x14ac:dyDescent="0.35">
      <c r="B120" s="432" t="s">
        <v>529</v>
      </c>
      <c r="C120" s="432" t="e">
        <f>C119*C118</f>
        <v>#N/A</v>
      </c>
      <c r="D120" s="432" t="e">
        <f>D119*D118</f>
        <v>#N/A</v>
      </c>
    </row>
    <row r="121" spans="2:5" s="432" customFormat="1" hidden="1" x14ac:dyDescent="0.35">
      <c r="B121" s="432" t="s">
        <v>530</v>
      </c>
      <c r="C121" s="595" t="e">
        <f>C120*(C153-C151)</f>
        <v>#N/A</v>
      </c>
      <c r="D121" s="595" t="e">
        <f>D120*(C153-C151)</f>
        <v>#N/A</v>
      </c>
    </row>
    <row r="122" spans="2:5" s="432" customFormat="1" hidden="1" x14ac:dyDescent="0.35">
      <c r="E122" s="595"/>
    </row>
    <row r="123" spans="2:5" s="432" customFormat="1" hidden="1" x14ac:dyDescent="0.35">
      <c r="B123" s="138"/>
      <c r="C123" s="600"/>
      <c r="D123" s="142"/>
    </row>
    <row r="124" spans="2:5" s="432" customFormat="1" hidden="1" x14ac:dyDescent="0.35">
      <c r="B124" s="601" t="s">
        <v>1377</v>
      </c>
      <c r="C124" s="602">
        <f>C96</f>
        <v>0</v>
      </c>
      <c r="D124" s="602">
        <f>D96</f>
        <v>42401.271236799999</v>
      </c>
    </row>
    <row r="125" spans="2:5" s="432" customFormat="1" hidden="1" x14ac:dyDescent="0.35">
      <c r="B125" s="601" t="s">
        <v>544</v>
      </c>
      <c r="C125" s="603">
        <f>C97-C86</f>
        <v>1825</v>
      </c>
      <c r="D125" s="603">
        <f>D97-D86</f>
        <v>2123</v>
      </c>
    </row>
    <row r="126" spans="2:5" s="432" customFormat="1" hidden="1" x14ac:dyDescent="0.35">
      <c r="B126" s="601" t="s">
        <v>545</v>
      </c>
      <c r="C126" s="604">
        <f>C124/C125</f>
        <v>0</v>
      </c>
      <c r="D126" s="605">
        <f>D124/D125</f>
        <v>19.972336899105041</v>
      </c>
    </row>
    <row r="127" spans="2:5" s="432" customFormat="1" hidden="1" x14ac:dyDescent="0.35">
      <c r="B127" s="601" t="s">
        <v>553</v>
      </c>
      <c r="C127" s="604">
        <f>C126*365</f>
        <v>0</v>
      </c>
      <c r="D127" s="604">
        <f>D126*365</f>
        <v>7289.90296817334</v>
      </c>
    </row>
    <row r="128" spans="2:5" s="432" customFormat="1" hidden="1" x14ac:dyDescent="0.35">
      <c r="B128" s="606" t="s">
        <v>546</v>
      </c>
      <c r="D128" s="607">
        <f>D127-C127</f>
        <v>7289.90296817334</v>
      </c>
    </row>
    <row r="129" spans="2:6" s="432" customFormat="1" hidden="1" x14ac:dyDescent="0.35">
      <c r="B129" s="138"/>
      <c r="C129" s="600"/>
      <c r="D129" s="142"/>
    </row>
    <row r="130" spans="2:6" s="610" customFormat="1" hidden="1" x14ac:dyDescent="0.35">
      <c r="B130" s="608" t="s">
        <v>547</v>
      </c>
      <c r="C130" s="609" t="e">
        <f>C112*C124</f>
        <v>#N/A</v>
      </c>
      <c r="D130" s="609" t="e">
        <f>D112*D124</f>
        <v>#N/A</v>
      </c>
    </row>
    <row r="131" spans="2:6" s="610" customFormat="1" hidden="1" x14ac:dyDescent="0.35">
      <c r="B131" s="608" t="s">
        <v>548</v>
      </c>
      <c r="C131" s="609" t="e">
        <f>C130/C125</f>
        <v>#N/A</v>
      </c>
      <c r="D131" s="609" t="e">
        <f>D130/D125</f>
        <v>#N/A</v>
      </c>
    </row>
    <row r="132" spans="2:6" s="610" customFormat="1" hidden="1" x14ac:dyDescent="0.35">
      <c r="B132" s="608" t="s">
        <v>549</v>
      </c>
      <c r="C132" s="609" t="e">
        <f>C131*365</f>
        <v>#N/A</v>
      </c>
      <c r="D132" s="609" t="e">
        <f>D131*365</f>
        <v>#N/A</v>
      </c>
    </row>
    <row r="133" spans="2:6" s="610" customFormat="1" hidden="1" x14ac:dyDescent="0.35">
      <c r="B133" s="608" t="s">
        <v>550</v>
      </c>
      <c r="C133" s="609" t="e">
        <f>C132*C117</f>
        <v>#N/A</v>
      </c>
      <c r="D133" s="609" t="e">
        <f>D132*D117</f>
        <v>#N/A</v>
      </c>
    </row>
    <row r="134" spans="2:6" s="610" customFormat="1" hidden="1" x14ac:dyDescent="0.35">
      <c r="B134" s="608" t="s">
        <v>551</v>
      </c>
      <c r="C134" s="601"/>
      <c r="D134" s="604" t="e">
        <f>C133-D133</f>
        <v>#N/A</v>
      </c>
    </row>
    <row r="135" spans="2:6" s="610" customFormat="1" hidden="1" x14ac:dyDescent="0.35">
      <c r="B135" s="611" t="s">
        <v>552</v>
      </c>
      <c r="C135" s="601"/>
      <c r="D135" s="597" t="e">
        <f>D134/1000</f>
        <v>#N/A</v>
      </c>
    </row>
    <row r="136" spans="2:6" s="610" customFormat="1" hidden="1" x14ac:dyDescent="0.35">
      <c r="B136" s="608"/>
      <c r="C136" s="601"/>
      <c r="D136" s="491"/>
    </row>
    <row r="137" spans="2:6" s="610" customFormat="1" hidden="1" x14ac:dyDescent="0.35">
      <c r="B137" s="608" t="s">
        <v>753</v>
      </c>
      <c r="C137" s="601"/>
      <c r="D137" s="491" t="e">
        <f>C112-D112</f>
        <v>#N/A</v>
      </c>
      <c r="F137" s="138"/>
    </row>
    <row r="138" spans="2:6" s="610" customFormat="1" hidden="1" x14ac:dyDescent="0.35">
      <c r="B138" s="491" t="s">
        <v>754</v>
      </c>
      <c r="C138" s="601"/>
      <c r="D138" s="491">
        <f>D127*365</f>
        <v>2660814.5833832691</v>
      </c>
      <c r="F138" s="142"/>
    </row>
    <row r="139" spans="2:6" s="610" customFormat="1" hidden="1" x14ac:dyDescent="0.35">
      <c r="B139" s="491" t="s">
        <v>787</v>
      </c>
      <c r="C139" s="601"/>
      <c r="D139" s="1599" t="e">
        <f>D138*D137</f>
        <v>#N/A</v>
      </c>
      <c r="F139" s="142"/>
    </row>
    <row r="140" spans="2:6" s="610" customFormat="1" hidden="1" x14ac:dyDescent="0.35">
      <c r="B140" s="491" t="s">
        <v>788</v>
      </c>
      <c r="C140" s="601"/>
      <c r="D140" s="1599" t="e">
        <f>D139/365</f>
        <v>#N/A</v>
      </c>
      <c r="F140" s="142"/>
    </row>
    <row r="141" spans="2:6" s="610" customFormat="1" hidden="1" x14ac:dyDescent="0.35">
      <c r="B141" s="491" t="s">
        <v>789</v>
      </c>
      <c r="C141" s="601"/>
      <c r="D141" s="1599">
        <v>365</v>
      </c>
      <c r="F141" s="142"/>
    </row>
    <row r="142" spans="2:6" s="610" customFormat="1" hidden="1" x14ac:dyDescent="0.35">
      <c r="B142" s="491" t="s">
        <v>790</v>
      </c>
      <c r="C142" s="601"/>
      <c r="D142" s="1599" t="e">
        <f>D141*D140</f>
        <v>#N/A</v>
      </c>
      <c r="F142" s="142"/>
    </row>
    <row r="143" spans="2:6" s="432" customFormat="1" hidden="1" x14ac:dyDescent="0.35">
      <c r="B143" s="491" t="s">
        <v>199</v>
      </c>
      <c r="C143" s="601"/>
      <c r="D143" s="1600">
        <f>C36</f>
        <v>30</v>
      </c>
      <c r="F143" s="142"/>
    </row>
    <row r="144" spans="2:6" s="432" customFormat="1" hidden="1" x14ac:dyDescent="0.35">
      <c r="B144" s="491"/>
      <c r="C144" s="601"/>
      <c r="D144" s="1601"/>
      <c r="F144" s="142"/>
    </row>
    <row r="145" spans="2:15" s="432" customFormat="1" hidden="1" x14ac:dyDescent="0.35">
      <c r="B145" s="613"/>
      <c r="C145" s="612"/>
      <c r="D145" s="576"/>
    </row>
    <row r="146" spans="2:15" s="432" customFormat="1" hidden="1" x14ac:dyDescent="0.35">
      <c r="B146" s="613"/>
      <c r="C146" s="612"/>
      <c r="D146" s="576"/>
    </row>
    <row r="147" spans="2:15" s="432" customFormat="1" hidden="1" x14ac:dyDescent="0.35">
      <c r="B147" s="613"/>
      <c r="C147" s="612"/>
      <c r="D147" s="576"/>
    </row>
    <row r="148" spans="2:15" s="432" customFormat="1" hidden="1" x14ac:dyDescent="0.35">
      <c r="B148" s="613"/>
      <c r="C148" s="612"/>
      <c r="D148" s="576"/>
    </row>
    <row r="149" spans="2:15" s="432" customFormat="1" hidden="1" x14ac:dyDescent="0.35">
      <c r="B149" s="614"/>
      <c r="C149" s="615"/>
      <c r="D149" s="576"/>
    </row>
    <row r="150" spans="2:15" s="432" customFormat="1" hidden="1" x14ac:dyDescent="0.35">
      <c r="B150" s="491"/>
      <c r="C150" s="491"/>
      <c r="D150" s="491"/>
      <c r="G150" s="432" t="s">
        <v>482</v>
      </c>
      <c r="H150" s="432" t="s">
        <v>483</v>
      </c>
      <c r="L150" s="2648" t="s">
        <v>484</v>
      </c>
      <c r="M150" s="2648"/>
      <c r="N150" s="2648"/>
      <c r="O150" s="2648"/>
    </row>
    <row r="151" spans="2:15" s="432" customFormat="1" hidden="1" x14ac:dyDescent="0.35">
      <c r="B151" s="432" t="s">
        <v>485</v>
      </c>
      <c r="C151" s="594">
        <f>C20</f>
        <v>44378</v>
      </c>
      <c r="E151" s="594">
        <f>C151</f>
        <v>44378</v>
      </c>
      <c r="F151" s="316">
        <f>C152</f>
        <v>0</v>
      </c>
      <c r="G151" s="316">
        <f>ROUND(F151,-2)</f>
        <v>0</v>
      </c>
      <c r="H151" s="432" t="e">
        <f>VLOOKUP(G151,$K$151:$O$157,MATCH($C$156,$K$151:$O$151,0),0)</f>
        <v>#N/A</v>
      </c>
      <c r="K151" s="432" t="s">
        <v>486</v>
      </c>
      <c r="L151" s="432">
        <v>0.4</v>
      </c>
      <c r="M151" s="432">
        <v>0.5</v>
      </c>
      <c r="N151" s="432">
        <v>0.6</v>
      </c>
      <c r="O151" s="432">
        <v>0.7</v>
      </c>
    </row>
    <row r="152" spans="2:15" s="432" customFormat="1" hidden="1" x14ac:dyDescent="0.35">
      <c r="B152" s="432" t="s">
        <v>540</v>
      </c>
      <c r="C152" s="316">
        <f>C14*0.075</f>
        <v>0</v>
      </c>
      <c r="E152" s="594">
        <f>IF(E151&lt;$C$153,E151+1,$C$153)</f>
        <v>44379</v>
      </c>
      <c r="F152" s="316">
        <f>IF(E151&lt;$C$153,F151+C$155,F151)</f>
        <v>0</v>
      </c>
      <c r="G152" s="316">
        <f t="shared" ref="G152:G215" si="1">ROUND(F152,-2)</f>
        <v>0</v>
      </c>
      <c r="H152" s="432">
        <f>IF(F152&gt;F151,(VLOOKUP(G152,$K$151:$O$157,MATCH($C$156,$K$151:$O$151,0),0)),0)</f>
        <v>0</v>
      </c>
      <c r="K152" s="432">
        <v>0</v>
      </c>
      <c r="L152" s="432">
        <v>28</v>
      </c>
      <c r="M152" s="432">
        <v>30</v>
      </c>
      <c r="N152" s="432">
        <v>33</v>
      </c>
      <c r="O152" s="432">
        <v>36</v>
      </c>
    </row>
    <row r="153" spans="2:15" s="432" customFormat="1" hidden="1" x14ac:dyDescent="0.35">
      <c r="B153" s="432" t="s">
        <v>487</v>
      </c>
      <c r="C153" s="594">
        <f>C151+730</f>
        <v>45108</v>
      </c>
      <c r="E153" s="594">
        <f t="shared" ref="E153:E216" si="2">IF(E152&lt;$C$153,E152+1,$C$153)</f>
        <v>44380</v>
      </c>
      <c r="F153" s="316">
        <f t="shared" ref="F153:F216" si="3">IF(E152&lt;$C$153,F152+C$155,F152)</f>
        <v>0</v>
      </c>
      <c r="G153" s="316">
        <f t="shared" si="1"/>
        <v>0</v>
      </c>
      <c r="H153" s="432">
        <f t="shared" ref="H153:H216" si="4">IF(F153&gt;F152,(VLOOKUP(G153,$K$151:$O$157,MATCH($C$156,$K$151:$O$151,0),0)),0)</f>
        <v>0</v>
      </c>
      <c r="K153" s="432">
        <v>100</v>
      </c>
      <c r="L153" s="432">
        <v>28</v>
      </c>
      <c r="M153" s="432">
        <v>30</v>
      </c>
      <c r="N153" s="432">
        <v>33</v>
      </c>
      <c r="O153" s="432">
        <v>36</v>
      </c>
    </row>
    <row r="154" spans="2:15" s="432" customFormat="1" hidden="1" x14ac:dyDescent="0.35">
      <c r="B154" s="432" t="s">
        <v>488</v>
      </c>
      <c r="C154" s="432">
        <f>C14*0.9</f>
        <v>0</v>
      </c>
      <c r="E154" s="594">
        <f t="shared" si="2"/>
        <v>44381</v>
      </c>
      <c r="F154" s="316">
        <f t="shared" si="3"/>
        <v>0</v>
      </c>
      <c r="G154" s="316">
        <f t="shared" si="1"/>
        <v>0</v>
      </c>
      <c r="H154" s="432">
        <f t="shared" si="4"/>
        <v>0</v>
      </c>
      <c r="K154" s="432">
        <v>200</v>
      </c>
      <c r="L154" s="432">
        <v>42</v>
      </c>
      <c r="M154" s="432">
        <v>45</v>
      </c>
      <c r="N154" s="432">
        <v>48</v>
      </c>
      <c r="O154" s="432">
        <v>51</v>
      </c>
    </row>
    <row r="155" spans="2:15" s="432" customFormat="1" hidden="1" x14ac:dyDescent="0.35">
      <c r="B155" s="432" t="s">
        <v>489</v>
      </c>
      <c r="C155" s="316">
        <f>(C154-C152)/(C153-C151)</f>
        <v>0</v>
      </c>
      <c r="E155" s="594">
        <f t="shared" si="2"/>
        <v>44382</v>
      </c>
      <c r="F155" s="316">
        <f t="shared" si="3"/>
        <v>0</v>
      </c>
      <c r="G155" s="316">
        <f t="shared" si="1"/>
        <v>0</v>
      </c>
      <c r="H155" s="432">
        <f t="shared" si="4"/>
        <v>0</v>
      </c>
      <c r="K155" s="432">
        <v>300</v>
      </c>
      <c r="L155" s="432">
        <v>56</v>
      </c>
      <c r="M155" s="432">
        <v>60</v>
      </c>
      <c r="N155" s="432">
        <v>64</v>
      </c>
      <c r="O155" s="432">
        <v>68</v>
      </c>
    </row>
    <row r="156" spans="2:15" s="432" customFormat="1" hidden="1" x14ac:dyDescent="0.35">
      <c r="B156" s="432" t="s">
        <v>490</v>
      </c>
      <c r="C156" s="316">
        <f>ROUND(C155,1)</f>
        <v>0</v>
      </c>
      <c r="E156" s="594">
        <f t="shared" si="2"/>
        <v>44383</v>
      </c>
      <c r="F156" s="316">
        <f t="shared" si="3"/>
        <v>0</v>
      </c>
      <c r="G156" s="316">
        <f t="shared" si="1"/>
        <v>0</v>
      </c>
      <c r="H156" s="432">
        <f t="shared" si="4"/>
        <v>0</v>
      </c>
      <c r="K156" s="432">
        <v>400</v>
      </c>
      <c r="L156" s="432">
        <v>75</v>
      </c>
      <c r="M156" s="432">
        <v>79</v>
      </c>
      <c r="N156" s="432">
        <v>84</v>
      </c>
      <c r="O156" s="432">
        <v>89</v>
      </c>
    </row>
    <row r="157" spans="2:15" s="432" customFormat="1" hidden="1" x14ac:dyDescent="0.35">
      <c r="B157" s="432" t="s">
        <v>531</v>
      </c>
      <c r="C157" s="316">
        <f>Q93</f>
        <v>1590</v>
      </c>
      <c r="E157" s="594">
        <f t="shared" si="2"/>
        <v>44384</v>
      </c>
      <c r="F157" s="316">
        <f t="shared" si="3"/>
        <v>0</v>
      </c>
      <c r="G157" s="316">
        <f t="shared" si="1"/>
        <v>0</v>
      </c>
      <c r="H157" s="432">
        <f t="shared" si="4"/>
        <v>0</v>
      </c>
      <c r="K157" s="432">
        <v>500</v>
      </c>
      <c r="L157" s="432">
        <v>91</v>
      </c>
      <c r="M157" s="432">
        <v>95</v>
      </c>
      <c r="N157" s="432">
        <v>99</v>
      </c>
      <c r="O157" s="432">
        <v>103</v>
      </c>
    </row>
    <row r="158" spans="2:15" s="432" customFormat="1" hidden="1" x14ac:dyDescent="0.35">
      <c r="B158" s="432" t="s">
        <v>491</v>
      </c>
      <c r="C158" s="316" t="e">
        <f>H1281+C157</f>
        <v>#N/A</v>
      </c>
      <c r="E158" s="594">
        <f t="shared" si="2"/>
        <v>44385</v>
      </c>
      <c r="F158" s="316">
        <f t="shared" si="3"/>
        <v>0</v>
      </c>
      <c r="G158" s="316">
        <f t="shared" si="1"/>
        <v>0</v>
      </c>
      <c r="H158" s="432">
        <f t="shared" si="4"/>
        <v>0</v>
      </c>
    </row>
    <row r="159" spans="2:15" s="432" customFormat="1" hidden="1" x14ac:dyDescent="0.35">
      <c r="E159" s="594">
        <f t="shared" si="2"/>
        <v>44386</v>
      </c>
      <c r="F159" s="316">
        <f t="shared" si="3"/>
        <v>0</v>
      </c>
      <c r="G159" s="316">
        <f t="shared" si="1"/>
        <v>0</v>
      </c>
      <c r="H159" s="432">
        <f t="shared" si="4"/>
        <v>0</v>
      </c>
    </row>
    <row r="160" spans="2:15" s="432" customFormat="1" hidden="1" x14ac:dyDescent="0.35">
      <c r="E160" s="594">
        <f t="shared" si="2"/>
        <v>44387</v>
      </c>
      <c r="F160" s="316">
        <f t="shared" si="3"/>
        <v>0</v>
      </c>
      <c r="G160" s="316">
        <f t="shared" si="1"/>
        <v>0</v>
      </c>
      <c r="H160" s="432">
        <f t="shared" si="4"/>
        <v>0</v>
      </c>
    </row>
    <row r="161" spans="5:13" s="432" customFormat="1" hidden="1" x14ac:dyDescent="0.35">
      <c r="E161" s="594">
        <f t="shared" si="2"/>
        <v>44388</v>
      </c>
      <c r="F161" s="316">
        <f t="shared" si="3"/>
        <v>0</v>
      </c>
      <c r="G161" s="316">
        <f t="shared" si="1"/>
        <v>0</v>
      </c>
      <c r="H161" s="432">
        <f t="shared" si="4"/>
        <v>0</v>
      </c>
    </row>
    <row r="162" spans="5:13" s="432" customFormat="1" hidden="1" x14ac:dyDescent="0.35">
      <c r="E162" s="594">
        <f t="shared" si="2"/>
        <v>44389</v>
      </c>
      <c r="F162" s="316">
        <f t="shared" si="3"/>
        <v>0</v>
      </c>
      <c r="G162" s="316">
        <f t="shared" si="1"/>
        <v>0</v>
      </c>
      <c r="H162" s="432">
        <f t="shared" si="4"/>
        <v>0</v>
      </c>
    </row>
    <row r="163" spans="5:13" s="432" customFormat="1" hidden="1" x14ac:dyDescent="0.35">
      <c r="E163" s="594">
        <f t="shared" si="2"/>
        <v>44390</v>
      </c>
      <c r="F163" s="316">
        <f t="shared" si="3"/>
        <v>0</v>
      </c>
      <c r="G163" s="316">
        <f t="shared" si="1"/>
        <v>0</v>
      </c>
      <c r="H163" s="432">
        <f t="shared" si="4"/>
        <v>0</v>
      </c>
    </row>
    <row r="164" spans="5:13" s="432" customFormat="1" hidden="1" x14ac:dyDescent="0.35">
      <c r="E164" s="594">
        <f t="shared" si="2"/>
        <v>44391</v>
      </c>
      <c r="F164" s="316">
        <f t="shared" si="3"/>
        <v>0</v>
      </c>
      <c r="G164" s="316">
        <f t="shared" si="1"/>
        <v>0</v>
      </c>
      <c r="H164" s="432">
        <f t="shared" si="4"/>
        <v>0</v>
      </c>
      <c r="M164" s="594"/>
    </row>
    <row r="165" spans="5:13" s="432" customFormat="1" hidden="1" x14ac:dyDescent="0.35">
      <c r="E165" s="594">
        <f t="shared" si="2"/>
        <v>44392</v>
      </c>
      <c r="F165" s="316">
        <f t="shared" si="3"/>
        <v>0</v>
      </c>
      <c r="G165" s="316">
        <f t="shared" si="1"/>
        <v>0</v>
      </c>
      <c r="H165" s="432">
        <f t="shared" si="4"/>
        <v>0</v>
      </c>
    </row>
    <row r="166" spans="5:13" s="432" customFormat="1" hidden="1" x14ac:dyDescent="0.35">
      <c r="E166" s="594">
        <f t="shared" si="2"/>
        <v>44393</v>
      </c>
      <c r="F166" s="316">
        <f t="shared" si="3"/>
        <v>0</v>
      </c>
      <c r="G166" s="316">
        <f t="shared" si="1"/>
        <v>0</v>
      </c>
      <c r="H166" s="432">
        <f t="shared" si="4"/>
        <v>0</v>
      </c>
    </row>
    <row r="167" spans="5:13" s="432" customFormat="1" hidden="1" x14ac:dyDescent="0.35">
      <c r="E167" s="594">
        <f t="shared" si="2"/>
        <v>44394</v>
      </c>
      <c r="F167" s="316">
        <f t="shared" si="3"/>
        <v>0</v>
      </c>
      <c r="G167" s="316">
        <f t="shared" si="1"/>
        <v>0</v>
      </c>
      <c r="H167" s="432">
        <f t="shared" si="4"/>
        <v>0</v>
      </c>
    </row>
    <row r="168" spans="5:13" s="432" customFormat="1" hidden="1" x14ac:dyDescent="0.35">
      <c r="E168" s="594">
        <f t="shared" si="2"/>
        <v>44395</v>
      </c>
      <c r="F168" s="316">
        <f t="shared" si="3"/>
        <v>0</v>
      </c>
      <c r="G168" s="316">
        <f t="shared" si="1"/>
        <v>0</v>
      </c>
      <c r="H168" s="432">
        <f t="shared" si="4"/>
        <v>0</v>
      </c>
    </row>
    <row r="169" spans="5:13" s="432" customFormat="1" hidden="1" x14ac:dyDescent="0.35">
      <c r="E169" s="594">
        <f t="shared" si="2"/>
        <v>44396</v>
      </c>
      <c r="F169" s="316">
        <f t="shared" si="3"/>
        <v>0</v>
      </c>
      <c r="G169" s="316">
        <f t="shared" si="1"/>
        <v>0</v>
      </c>
      <c r="H169" s="432">
        <f t="shared" si="4"/>
        <v>0</v>
      </c>
    </row>
    <row r="170" spans="5:13" s="432" customFormat="1" hidden="1" x14ac:dyDescent="0.35">
      <c r="E170" s="594">
        <f t="shared" si="2"/>
        <v>44397</v>
      </c>
      <c r="F170" s="316">
        <f t="shared" si="3"/>
        <v>0</v>
      </c>
      <c r="G170" s="316">
        <f t="shared" si="1"/>
        <v>0</v>
      </c>
      <c r="H170" s="432">
        <f t="shared" si="4"/>
        <v>0</v>
      </c>
    </row>
    <row r="171" spans="5:13" s="432" customFormat="1" hidden="1" x14ac:dyDescent="0.35">
      <c r="E171" s="594">
        <f t="shared" si="2"/>
        <v>44398</v>
      </c>
      <c r="F171" s="316">
        <f t="shared" si="3"/>
        <v>0</v>
      </c>
      <c r="G171" s="316">
        <f t="shared" si="1"/>
        <v>0</v>
      </c>
      <c r="H171" s="432">
        <f t="shared" si="4"/>
        <v>0</v>
      </c>
    </row>
    <row r="172" spans="5:13" s="432" customFormat="1" hidden="1" x14ac:dyDescent="0.35">
      <c r="E172" s="594">
        <f t="shared" si="2"/>
        <v>44399</v>
      </c>
      <c r="F172" s="316">
        <f t="shared" si="3"/>
        <v>0</v>
      </c>
      <c r="G172" s="316">
        <f t="shared" si="1"/>
        <v>0</v>
      </c>
      <c r="H172" s="432">
        <f t="shared" si="4"/>
        <v>0</v>
      </c>
    </row>
    <row r="173" spans="5:13" s="432" customFormat="1" hidden="1" x14ac:dyDescent="0.35">
      <c r="E173" s="594">
        <f t="shared" si="2"/>
        <v>44400</v>
      </c>
      <c r="F173" s="316">
        <f t="shared" si="3"/>
        <v>0</v>
      </c>
      <c r="G173" s="316">
        <f t="shared" si="1"/>
        <v>0</v>
      </c>
      <c r="H173" s="432">
        <f t="shared" si="4"/>
        <v>0</v>
      </c>
    </row>
    <row r="174" spans="5:13" s="432" customFormat="1" hidden="1" x14ac:dyDescent="0.35">
      <c r="E174" s="594">
        <f t="shared" si="2"/>
        <v>44401</v>
      </c>
      <c r="F174" s="316">
        <f t="shared" si="3"/>
        <v>0</v>
      </c>
      <c r="G174" s="316">
        <f t="shared" si="1"/>
        <v>0</v>
      </c>
      <c r="H174" s="432">
        <f t="shared" si="4"/>
        <v>0</v>
      </c>
    </row>
    <row r="175" spans="5:13" s="432" customFormat="1" hidden="1" x14ac:dyDescent="0.35">
      <c r="E175" s="594">
        <f t="shared" si="2"/>
        <v>44402</v>
      </c>
      <c r="F175" s="316">
        <f t="shared" si="3"/>
        <v>0</v>
      </c>
      <c r="G175" s="316">
        <f t="shared" si="1"/>
        <v>0</v>
      </c>
      <c r="H175" s="432">
        <f t="shared" si="4"/>
        <v>0</v>
      </c>
    </row>
    <row r="176" spans="5:13" s="432" customFormat="1" hidden="1" x14ac:dyDescent="0.35">
      <c r="E176" s="594">
        <f t="shared" si="2"/>
        <v>44403</v>
      </c>
      <c r="F176" s="316">
        <f t="shared" si="3"/>
        <v>0</v>
      </c>
      <c r="G176" s="316">
        <f t="shared" si="1"/>
        <v>0</v>
      </c>
      <c r="H176" s="432">
        <f t="shared" si="4"/>
        <v>0</v>
      </c>
    </row>
    <row r="177" spans="5:8" s="432" customFormat="1" hidden="1" x14ac:dyDescent="0.35">
      <c r="E177" s="594">
        <f t="shared" si="2"/>
        <v>44404</v>
      </c>
      <c r="F177" s="316">
        <f t="shared" si="3"/>
        <v>0</v>
      </c>
      <c r="G177" s="316">
        <f t="shared" si="1"/>
        <v>0</v>
      </c>
      <c r="H177" s="432">
        <f t="shared" si="4"/>
        <v>0</v>
      </c>
    </row>
    <row r="178" spans="5:8" s="432" customFormat="1" hidden="1" x14ac:dyDescent="0.35">
      <c r="E178" s="594">
        <f t="shared" si="2"/>
        <v>44405</v>
      </c>
      <c r="F178" s="316">
        <f t="shared" si="3"/>
        <v>0</v>
      </c>
      <c r="G178" s="316">
        <f t="shared" si="1"/>
        <v>0</v>
      </c>
      <c r="H178" s="432">
        <f t="shared" si="4"/>
        <v>0</v>
      </c>
    </row>
    <row r="179" spans="5:8" s="432" customFormat="1" hidden="1" x14ac:dyDescent="0.35">
      <c r="E179" s="594">
        <f t="shared" si="2"/>
        <v>44406</v>
      </c>
      <c r="F179" s="316">
        <f t="shared" si="3"/>
        <v>0</v>
      </c>
      <c r="G179" s="316">
        <f t="shared" si="1"/>
        <v>0</v>
      </c>
      <c r="H179" s="432">
        <f t="shared" si="4"/>
        <v>0</v>
      </c>
    </row>
    <row r="180" spans="5:8" s="432" customFormat="1" hidden="1" x14ac:dyDescent="0.35">
      <c r="E180" s="594">
        <f t="shared" si="2"/>
        <v>44407</v>
      </c>
      <c r="F180" s="316">
        <f t="shared" si="3"/>
        <v>0</v>
      </c>
      <c r="G180" s="316">
        <f t="shared" si="1"/>
        <v>0</v>
      </c>
      <c r="H180" s="432">
        <f t="shared" si="4"/>
        <v>0</v>
      </c>
    </row>
    <row r="181" spans="5:8" s="432" customFormat="1" hidden="1" x14ac:dyDescent="0.35">
      <c r="E181" s="594">
        <f t="shared" si="2"/>
        <v>44408</v>
      </c>
      <c r="F181" s="316">
        <f t="shared" si="3"/>
        <v>0</v>
      </c>
      <c r="G181" s="316">
        <f t="shared" si="1"/>
        <v>0</v>
      </c>
      <c r="H181" s="432">
        <f t="shared" si="4"/>
        <v>0</v>
      </c>
    </row>
    <row r="182" spans="5:8" s="432" customFormat="1" hidden="1" x14ac:dyDescent="0.35">
      <c r="E182" s="594">
        <f t="shared" si="2"/>
        <v>44409</v>
      </c>
      <c r="F182" s="316">
        <f t="shared" si="3"/>
        <v>0</v>
      </c>
      <c r="G182" s="316">
        <f t="shared" si="1"/>
        <v>0</v>
      </c>
      <c r="H182" s="432">
        <f t="shared" si="4"/>
        <v>0</v>
      </c>
    </row>
    <row r="183" spans="5:8" s="432" customFormat="1" hidden="1" x14ac:dyDescent="0.35">
      <c r="E183" s="594">
        <f t="shared" si="2"/>
        <v>44410</v>
      </c>
      <c r="F183" s="316">
        <f t="shared" si="3"/>
        <v>0</v>
      </c>
      <c r="G183" s="316">
        <f t="shared" si="1"/>
        <v>0</v>
      </c>
      <c r="H183" s="432">
        <f t="shared" si="4"/>
        <v>0</v>
      </c>
    </row>
    <row r="184" spans="5:8" s="432" customFormat="1" hidden="1" x14ac:dyDescent="0.35">
      <c r="E184" s="594">
        <f t="shared" si="2"/>
        <v>44411</v>
      </c>
      <c r="F184" s="316">
        <f t="shared" si="3"/>
        <v>0</v>
      </c>
      <c r="G184" s="316">
        <f t="shared" si="1"/>
        <v>0</v>
      </c>
      <c r="H184" s="432">
        <f t="shared" si="4"/>
        <v>0</v>
      </c>
    </row>
    <row r="185" spans="5:8" s="432" customFormat="1" hidden="1" x14ac:dyDescent="0.35">
      <c r="E185" s="594">
        <f t="shared" si="2"/>
        <v>44412</v>
      </c>
      <c r="F185" s="316">
        <f t="shared" si="3"/>
        <v>0</v>
      </c>
      <c r="G185" s="316">
        <f t="shared" si="1"/>
        <v>0</v>
      </c>
      <c r="H185" s="432">
        <f t="shared" si="4"/>
        <v>0</v>
      </c>
    </row>
    <row r="186" spans="5:8" s="432" customFormat="1" hidden="1" x14ac:dyDescent="0.35">
      <c r="E186" s="594">
        <f t="shared" si="2"/>
        <v>44413</v>
      </c>
      <c r="F186" s="316">
        <f t="shared" si="3"/>
        <v>0</v>
      </c>
      <c r="G186" s="316">
        <f t="shared" si="1"/>
        <v>0</v>
      </c>
      <c r="H186" s="432">
        <f t="shared" si="4"/>
        <v>0</v>
      </c>
    </row>
    <row r="187" spans="5:8" s="432" customFormat="1" hidden="1" x14ac:dyDescent="0.35">
      <c r="E187" s="594">
        <f t="shared" si="2"/>
        <v>44414</v>
      </c>
      <c r="F187" s="316">
        <f t="shared" si="3"/>
        <v>0</v>
      </c>
      <c r="G187" s="316">
        <f t="shared" si="1"/>
        <v>0</v>
      </c>
      <c r="H187" s="432">
        <f t="shared" si="4"/>
        <v>0</v>
      </c>
    </row>
    <row r="188" spans="5:8" s="432" customFormat="1" hidden="1" x14ac:dyDescent="0.35">
      <c r="E188" s="594">
        <f t="shared" si="2"/>
        <v>44415</v>
      </c>
      <c r="F188" s="316">
        <f t="shared" si="3"/>
        <v>0</v>
      </c>
      <c r="G188" s="316">
        <f t="shared" si="1"/>
        <v>0</v>
      </c>
      <c r="H188" s="432">
        <f t="shared" si="4"/>
        <v>0</v>
      </c>
    </row>
    <row r="189" spans="5:8" s="432" customFormat="1" hidden="1" x14ac:dyDescent="0.35">
      <c r="E189" s="594">
        <f t="shared" si="2"/>
        <v>44416</v>
      </c>
      <c r="F189" s="316">
        <f t="shared" si="3"/>
        <v>0</v>
      </c>
      <c r="G189" s="316">
        <f t="shared" si="1"/>
        <v>0</v>
      </c>
      <c r="H189" s="432">
        <f t="shared" si="4"/>
        <v>0</v>
      </c>
    </row>
    <row r="190" spans="5:8" s="432" customFormat="1" hidden="1" x14ac:dyDescent="0.35">
      <c r="E190" s="594">
        <f t="shared" si="2"/>
        <v>44417</v>
      </c>
      <c r="F190" s="316">
        <f t="shared" si="3"/>
        <v>0</v>
      </c>
      <c r="G190" s="316">
        <f t="shared" si="1"/>
        <v>0</v>
      </c>
      <c r="H190" s="432">
        <f t="shared" si="4"/>
        <v>0</v>
      </c>
    </row>
    <row r="191" spans="5:8" s="432" customFormat="1" hidden="1" x14ac:dyDescent="0.35">
      <c r="E191" s="594">
        <f t="shared" si="2"/>
        <v>44418</v>
      </c>
      <c r="F191" s="316">
        <f t="shared" si="3"/>
        <v>0</v>
      </c>
      <c r="G191" s="316">
        <f t="shared" si="1"/>
        <v>0</v>
      </c>
      <c r="H191" s="432">
        <f t="shared" si="4"/>
        <v>0</v>
      </c>
    </row>
    <row r="192" spans="5:8" s="432" customFormat="1" hidden="1" x14ac:dyDescent="0.35">
      <c r="E192" s="594">
        <f t="shared" si="2"/>
        <v>44419</v>
      </c>
      <c r="F192" s="316">
        <f t="shared" si="3"/>
        <v>0</v>
      </c>
      <c r="G192" s="316">
        <f t="shared" si="1"/>
        <v>0</v>
      </c>
      <c r="H192" s="432">
        <f t="shared" si="4"/>
        <v>0</v>
      </c>
    </row>
    <row r="193" spans="5:8" s="432" customFormat="1" hidden="1" x14ac:dyDescent="0.35">
      <c r="E193" s="594">
        <f t="shared" si="2"/>
        <v>44420</v>
      </c>
      <c r="F193" s="316">
        <f t="shared" si="3"/>
        <v>0</v>
      </c>
      <c r="G193" s="316">
        <f t="shared" si="1"/>
        <v>0</v>
      </c>
      <c r="H193" s="432">
        <f t="shared" si="4"/>
        <v>0</v>
      </c>
    </row>
    <row r="194" spans="5:8" s="432" customFormat="1" hidden="1" x14ac:dyDescent="0.35">
      <c r="E194" s="594">
        <f t="shared" si="2"/>
        <v>44421</v>
      </c>
      <c r="F194" s="316">
        <f t="shared" si="3"/>
        <v>0</v>
      </c>
      <c r="G194" s="316">
        <f t="shared" si="1"/>
        <v>0</v>
      </c>
      <c r="H194" s="432">
        <f t="shared" si="4"/>
        <v>0</v>
      </c>
    </row>
    <row r="195" spans="5:8" s="432" customFormat="1" hidden="1" x14ac:dyDescent="0.35">
      <c r="E195" s="594">
        <f t="shared" si="2"/>
        <v>44422</v>
      </c>
      <c r="F195" s="316">
        <f t="shared" si="3"/>
        <v>0</v>
      </c>
      <c r="G195" s="316">
        <f t="shared" si="1"/>
        <v>0</v>
      </c>
      <c r="H195" s="432">
        <f t="shared" si="4"/>
        <v>0</v>
      </c>
    </row>
    <row r="196" spans="5:8" s="432" customFormat="1" hidden="1" x14ac:dyDescent="0.35">
      <c r="E196" s="594">
        <f t="shared" si="2"/>
        <v>44423</v>
      </c>
      <c r="F196" s="316">
        <f t="shared" si="3"/>
        <v>0</v>
      </c>
      <c r="G196" s="316">
        <f t="shared" si="1"/>
        <v>0</v>
      </c>
      <c r="H196" s="432">
        <f t="shared" si="4"/>
        <v>0</v>
      </c>
    </row>
    <row r="197" spans="5:8" s="432" customFormat="1" hidden="1" x14ac:dyDescent="0.35">
      <c r="E197" s="594">
        <f t="shared" si="2"/>
        <v>44424</v>
      </c>
      <c r="F197" s="316">
        <f t="shared" si="3"/>
        <v>0</v>
      </c>
      <c r="G197" s="316">
        <f t="shared" si="1"/>
        <v>0</v>
      </c>
      <c r="H197" s="432">
        <f t="shared" si="4"/>
        <v>0</v>
      </c>
    </row>
    <row r="198" spans="5:8" s="432" customFormat="1" hidden="1" x14ac:dyDescent="0.35">
      <c r="E198" s="594">
        <f t="shared" si="2"/>
        <v>44425</v>
      </c>
      <c r="F198" s="316">
        <f t="shared" si="3"/>
        <v>0</v>
      </c>
      <c r="G198" s="316">
        <f t="shared" si="1"/>
        <v>0</v>
      </c>
      <c r="H198" s="432">
        <f t="shared" si="4"/>
        <v>0</v>
      </c>
    </row>
    <row r="199" spans="5:8" s="432" customFormat="1" hidden="1" x14ac:dyDescent="0.35">
      <c r="E199" s="594">
        <f t="shared" si="2"/>
        <v>44426</v>
      </c>
      <c r="F199" s="316">
        <f t="shared" si="3"/>
        <v>0</v>
      </c>
      <c r="G199" s="316">
        <f t="shared" si="1"/>
        <v>0</v>
      </c>
      <c r="H199" s="432">
        <f t="shared" si="4"/>
        <v>0</v>
      </c>
    </row>
    <row r="200" spans="5:8" s="432" customFormat="1" hidden="1" x14ac:dyDescent="0.35">
      <c r="E200" s="594">
        <f t="shared" si="2"/>
        <v>44427</v>
      </c>
      <c r="F200" s="316">
        <f t="shared" si="3"/>
        <v>0</v>
      </c>
      <c r="G200" s="316">
        <f t="shared" si="1"/>
        <v>0</v>
      </c>
      <c r="H200" s="432">
        <f t="shared" si="4"/>
        <v>0</v>
      </c>
    </row>
    <row r="201" spans="5:8" s="432" customFormat="1" hidden="1" x14ac:dyDescent="0.35">
      <c r="E201" s="594">
        <f t="shared" si="2"/>
        <v>44428</v>
      </c>
      <c r="F201" s="316">
        <f t="shared" si="3"/>
        <v>0</v>
      </c>
      <c r="G201" s="316">
        <f t="shared" si="1"/>
        <v>0</v>
      </c>
      <c r="H201" s="432">
        <f t="shared" si="4"/>
        <v>0</v>
      </c>
    </row>
    <row r="202" spans="5:8" s="432" customFormat="1" hidden="1" x14ac:dyDescent="0.35">
      <c r="E202" s="594">
        <f t="shared" si="2"/>
        <v>44429</v>
      </c>
      <c r="F202" s="316">
        <f t="shared" si="3"/>
        <v>0</v>
      </c>
      <c r="G202" s="316">
        <f t="shared" si="1"/>
        <v>0</v>
      </c>
      <c r="H202" s="432">
        <f t="shared" si="4"/>
        <v>0</v>
      </c>
    </row>
    <row r="203" spans="5:8" s="432" customFormat="1" hidden="1" x14ac:dyDescent="0.35">
      <c r="E203" s="594">
        <f t="shared" si="2"/>
        <v>44430</v>
      </c>
      <c r="F203" s="316">
        <f t="shared" si="3"/>
        <v>0</v>
      </c>
      <c r="G203" s="316">
        <f t="shared" si="1"/>
        <v>0</v>
      </c>
      <c r="H203" s="432">
        <f t="shared" si="4"/>
        <v>0</v>
      </c>
    </row>
    <row r="204" spans="5:8" s="432" customFormat="1" hidden="1" x14ac:dyDescent="0.35">
      <c r="E204" s="594">
        <f t="shared" si="2"/>
        <v>44431</v>
      </c>
      <c r="F204" s="316">
        <f t="shared" si="3"/>
        <v>0</v>
      </c>
      <c r="G204" s="316">
        <f t="shared" si="1"/>
        <v>0</v>
      </c>
      <c r="H204" s="432">
        <f t="shared" si="4"/>
        <v>0</v>
      </c>
    </row>
    <row r="205" spans="5:8" s="432" customFormat="1" hidden="1" x14ac:dyDescent="0.35">
      <c r="E205" s="594">
        <f t="shared" si="2"/>
        <v>44432</v>
      </c>
      <c r="F205" s="316">
        <f t="shared" si="3"/>
        <v>0</v>
      </c>
      <c r="G205" s="316">
        <f t="shared" si="1"/>
        <v>0</v>
      </c>
      <c r="H205" s="432">
        <f t="shared" si="4"/>
        <v>0</v>
      </c>
    </row>
    <row r="206" spans="5:8" s="432" customFormat="1" hidden="1" x14ac:dyDescent="0.35">
      <c r="E206" s="594">
        <f t="shared" si="2"/>
        <v>44433</v>
      </c>
      <c r="F206" s="316">
        <f t="shared" si="3"/>
        <v>0</v>
      </c>
      <c r="G206" s="316">
        <f t="shared" si="1"/>
        <v>0</v>
      </c>
      <c r="H206" s="432">
        <f t="shared" si="4"/>
        <v>0</v>
      </c>
    </row>
    <row r="207" spans="5:8" s="432" customFormat="1" hidden="1" x14ac:dyDescent="0.35">
      <c r="E207" s="594">
        <f t="shared" si="2"/>
        <v>44434</v>
      </c>
      <c r="F207" s="316">
        <f t="shared" si="3"/>
        <v>0</v>
      </c>
      <c r="G207" s="316">
        <f t="shared" si="1"/>
        <v>0</v>
      </c>
      <c r="H207" s="432">
        <f t="shared" si="4"/>
        <v>0</v>
      </c>
    </row>
    <row r="208" spans="5:8" s="432" customFormat="1" hidden="1" x14ac:dyDescent="0.35">
      <c r="E208" s="594">
        <f t="shared" si="2"/>
        <v>44435</v>
      </c>
      <c r="F208" s="316">
        <f t="shared" si="3"/>
        <v>0</v>
      </c>
      <c r="G208" s="316">
        <f t="shared" si="1"/>
        <v>0</v>
      </c>
      <c r="H208" s="432">
        <f t="shared" si="4"/>
        <v>0</v>
      </c>
    </row>
    <row r="209" spans="2:15" s="432" customFormat="1" hidden="1" x14ac:dyDescent="0.35">
      <c r="E209" s="594">
        <f t="shared" si="2"/>
        <v>44436</v>
      </c>
      <c r="F209" s="316">
        <f t="shared" si="3"/>
        <v>0</v>
      </c>
      <c r="G209" s="316">
        <f t="shared" si="1"/>
        <v>0</v>
      </c>
      <c r="H209" s="432">
        <f t="shared" si="4"/>
        <v>0</v>
      </c>
    </row>
    <row r="210" spans="2:15" s="432" customFormat="1" hidden="1" x14ac:dyDescent="0.35">
      <c r="E210" s="594">
        <f t="shared" si="2"/>
        <v>44437</v>
      </c>
      <c r="F210" s="316">
        <f t="shared" si="3"/>
        <v>0</v>
      </c>
      <c r="G210" s="316">
        <f t="shared" si="1"/>
        <v>0</v>
      </c>
      <c r="H210" s="432">
        <f t="shared" si="4"/>
        <v>0</v>
      </c>
    </row>
    <row r="211" spans="2:15" s="432" customFormat="1" hidden="1" x14ac:dyDescent="0.35">
      <c r="E211" s="594">
        <f t="shared" si="2"/>
        <v>44438</v>
      </c>
      <c r="F211" s="316">
        <f t="shared" si="3"/>
        <v>0</v>
      </c>
      <c r="G211" s="316">
        <f t="shared" si="1"/>
        <v>0</v>
      </c>
      <c r="H211" s="432">
        <f t="shared" si="4"/>
        <v>0</v>
      </c>
    </row>
    <row r="212" spans="2:15" s="432" customFormat="1" hidden="1" x14ac:dyDescent="0.35">
      <c r="E212" s="594">
        <f t="shared" si="2"/>
        <v>44439</v>
      </c>
      <c r="F212" s="316">
        <f t="shared" si="3"/>
        <v>0</v>
      </c>
      <c r="G212" s="316">
        <f t="shared" si="1"/>
        <v>0</v>
      </c>
      <c r="H212" s="432">
        <f t="shared" si="4"/>
        <v>0</v>
      </c>
    </row>
    <row r="213" spans="2:15" s="432" customFormat="1" hidden="1" x14ac:dyDescent="0.35">
      <c r="E213" s="594">
        <f t="shared" si="2"/>
        <v>44440</v>
      </c>
      <c r="F213" s="316">
        <f t="shared" si="3"/>
        <v>0</v>
      </c>
      <c r="G213" s="316">
        <f t="shared" si="1"/>
        <v>0</v>
      </c>
      <c r="H213" s="432">
        <f t="shared" si="4"/>
        <v>0</v>
      </c>
    </row>
    <row r="214" spans="2:15" s="432" customFormat="1" hidden="1" x14ac:dyDescent="0.35">
      <c r="E214" s="594">
        <f t="shared" si="2"/>
        <v>44441</v>
      </c>
      <c r="F214" s="316">
        <f t="shared" si="3"/>
        <v>0</v>
      </c>
      <c r="G214" s="316">
        <f t="shared" si="1"/>
        <v>0</v>
      </c>
      <c r="H214" s="432">
        <f t="shared" si="4"/>
        <v>0</v>
      </c>
    </row>
    <row r="215" spans="2:15" s="432" customFormat="1" hidden="1" x14ac:dyDescent="0.35">
      <c r="E215" s="594">
        <f t="shared" si="2"/>
        <v>44442</v>
      </c>
      <c r="F215" s="316">
        <f t="shared" si="3"/>
        <v>0</v>
      </c>
      <c r="G215" s="316">
        <f t="shared" si="1"/>
        <v>0</v>
      </c>
      <c r="H215" s="432">
        <f t="shared" si="4"/>
        <v>0</v>
      </c>
    </row>
    <row r="216" spans="2:15" s="432" customFormat="1" hidden="1" x14ac:dyDescent="0.35">
      <c r="E216" s="594">
        <f t="shared" si="2"/>
        <v>44443</v>
      </c>
      <c r="F216" s="316">
        <f t="shared" si="3"/>
        <v>0</v>
      </c>
      <c r="G216" s="316">
        <f t="shared" ref="G216:G279" si="5">ROUND(F216,-2)</f>
        <v>0</v>
      </c>
      <c r="H216" s="432">
        <f t="shared" si="4"/>
        <v>0</v>
      </c>
    </row>
    <row r="217" spans="2:15" s="432" customFormat="1" hidden="1" x14ac:dyDescent="0.35">
      <c r="E217" s="594">
        <f t="shared" ref="E217:E280" si="6">IF(E216&lt;$C$153,E216+1,$C$153)</f>
        <v>44444</v>
      </c>
      <c r="F217" s="316">
        <f t="shared" ref="F217:F280" si="7">IF(E216&lt;$C$153,F216+C$155,F216)</f>
        <v>0</v>
      </c>
      <c r="G217" s="316">
        <f t="shared" si="5"/>
        <v>0</v>
      </c>
      <c r="H217" s="432">
        <f t="shared" ref="H217:H280" si="8">IF(F217&gt;F216,(VLOOKUP(G217,$K$151:$O$157,MATCH($C$156,$K$151:$O$151,0),0)),0)</f>
        <v>0</v>
      </c>
    </row>
    <row r="218" spans="2:15" s="432" customFormat="1" hidden="1" x14ac:dyDescent="0.35">
      <c r="E218" s="594">
        <f t="shared" si="6"/>
        <v>44445</v>
      </c>
      <c r="F218" s="316">
        <f t="shared" si="7"/>
        <v>0</v>
      </c>
      <c r="G218" s="316">
        <f t="shared" si="5"/>
        <v>0</v>
      </c>
      <c r="H218" s="432">
        <f t="shared" si="8"/>
        <v>0</v>
      </c>
    </row>
    <row r="219" spans="2:15" s="432" customFormat="1" hidden="1" x14ac:dyDescent="0.35">
      <c r="E219" s="594">
        <f t="shared" si="6"/>
        <v>44446</v>
      </c>
      <c r="F219" s="316">
        <f t="shared" si="7"/>
        <v>0</v>
      </c>
      <c r="G219" s="316">
        <f t="shared" si="5"/>
        <v>0</v>
      </c>
      <c r="H219" s="432">
        <f t="shared" si="8"/>
        <v>0</v>
      </c>
    </row>
    <row r="220" spans="2:15" s="432" customFormat="1" hidden="1" x14ac:dyDescent="0.35">
      <c r="E220" s="594">
        <f t="shared" si="6"/>
        <v>44447</v>
      </c>
      <c r="F220" s="316">
        <f t="shared" si="7"/>
        <v>0</v>
      </c>
      <c r="G220" s="316">
        <f t="shared" si="5"/>
        <v>0</v>
      </c>
      <c r="H220" s="432">
        <f t="shared" si="8"/>
        <v>0</v>
      </c>
    </row>
    <row r="221" spans="2:15" s="432" customFormat="1" hidden="1" x14ac:dyDescent="0.35">
      <c r="E221" s="594">
        <f t="shared" si="6"/>
        <v>44448</v>
      </c>
      <c r="F221" s="316">
        <f t="shared" si="7"/>
        <v>0</v>
      </c>
      <c r="G221" s="316">
        <f t="shared" si="5"/>
        <v>0</v>
      </c>
      <c r="H221" s="432">
        <f t="shared" si="8"/>
        <v>0</v>
      </c>
    </row>
    <row r="222" spans="2:15" s="432" customFormat="1" hidden="1" x14ac:dyDescent="0.35">
      <c r="E222" s="594">
        <f t="shared" si="6"/>
        <v>44449</v>
      </c>
      <c r="F222" s="316">
        <f t="shared" si="7"/>
        <v>0</v>
      </c>
      <c r="G222" s="316">
        <f t="shared" si="5"/>
        <v>0</v>
      </c>
      <c r="H222" s="432">
        <f t="shared" si="8"/>
        <v>0</v>
      </c>
    </row>
    <row r="223" spans="2:15" s="432" customFormat="1" hidden="1" x14ac:dyDescent="0.35">
      <c r="E223" s="594">
        <f t="shared" si="6"/>
        <v>44450</v>
      </c>
      <c r="F223" s="316">
        <f t="shared" si="7"/>
        <v>0</v>
      </c>
      <c r="G223" s="316">
        <f t="shared" si="5"/>
        <v>0</v>
      </c>
      <c r="H223" s="432">
        <f t="shared" si="8"/>
        <v>0</v>
      </c>
    </row>
    <row r="224" spans="2:15" s="142" customFormat="1" hidden="1" x14ac:dyDescent="0.35">
      <c r="B224" s="432"/>
      <c r="C224" s="432"/>
      <c r="D224" s="432"/>
      <c r="E224" s="594">
        <f t="shared" si="6"/>
        <v>44451</v>
      </c>
      <c r="F224" s="316">
        <f t="shared" si="7"/>
        <v>0</v>
      </c>
      <c r="G224" s="316">
        <f t="shared" si="5"/>
        <v>0</v>
      </c>
      <c r="H224" s="432">
        <f t="shared" si="8"/>
        <v>0</v>
      </c>
      <c r="I224" s="432"/>
      <c r="J224" s="432"/>
      <c r="K224" s="432"/>
      <c r="L224" s="432"/>
      <c r="M224" s="432"/>
      <c r="N224" s="432"/>
      <c r="O224" s="432"/>
    </row>
    <row r="225" spans="2:15" s="142" customFormat="1" hidden="1" x14ac:dyDescent="0.35">
      <c r="B225" s="432"/>
      <c r="C225" s="432"/>
      <c r="D225" s="432"/>
      <c r="E225" s="594">
        <f t="shared" si="6"/>
        <v>44452</v>
      </c>
      <c r="F225" s="316">
        <f t="shared" si="7"/>
        <v>0</v>
      </c>
      <c r="G225" s="316">
        <f t="shared" si="5"/>
        <v>0</v>
      </c>
      <c r="H225" s="432">
        <f t="shared" si="8"/>
        <v>0</v>
      </c>
      <c r="I225" s="432"/>
      <c r="J225" s="432"/>
      <c r="K225" s="432"/>
      <c r="L225" s="432"/>
      <c r="M225" s="432"/>
      <c r="N225" s="432"/>
      <c r="O225" s="432"/>
    </row>
    <row r="226" spans="2:15" s="142" customFormat="1" hidden="1" x14ac:dyDescent="0.35">
      <c r="B226" s="432"/>
      <c r="C226" s="432"/>
      <c r="D226" s="432"/>
      <c r="E226" s="594">
        <f t="shared" si="6"/>
        <v>44453</v>
      </c>
      <c r="F226" s="316">
        <f t="shared" si="7"/>
        <v>0</v>
      </c>
      <c r="G226" s="316">
        <f t="shared" si="5"/>
        <v>0</v>
      </c>
      <c r="H226" s="432">
        <f t="shared" si="8"/>
        <v>0</v>
      </c>
      <c r="I226" s="432"/>
      <c r="J226" s="432"/>
      <c r="K226" s="432"/>
      <c r="L226" s="432"/>
      <c r="M226" s="432"/>
      <c r="N226" s="432"/>
      <c r="O226" s="432"/>
    </row>
    <row r="227" spans="2:15" s="142" customFormat="1" hidden="1" x14ac:dyDescent="0.35">
      <c r="B227" s="432"/>
      <c r="C227" s="432"/>
      <c r="D227" s="432"/>
      <c r="E227" s="594">
        <f t="shared" si="6"/>
        <v>44454</v>
      </c>
      <c r="F227" s="316">
        <f t="shared" si="7"/>
        <v>0</v>
      </c>
      <c r="G227" s="316">
        <f t="shared" si="5"/>
        <v>0</v>
      </c>
      <c r="H227" s="432">
        <f t="shared" si="8"/>
        <v>0</v>
      </c>
      <c r="I227" s="432"/>
      <c r="J227" s="432"/>
      <c r="K227" s="432"/>
      <c r="L227" s="432"/>
      <c r="M227" s="432"/>
      <c r="N227" s="432"/>
      <c r="O227" s="432"/>
    </row>
    <row r="228" spans="2:15" s="142" customFormat="1" hidden="1" x14ac:dyDescent="0.35">
      <c r="B228" s="432"/>
      <c r="C228" s="432"/>
      <c r="D228" s="432"/>
      <c r="E228" s="594">
        <f t="shared" si="6"/>
        <v>44455</v>
      </c>
      <c r="F228" s="316">
        <f t="shared" si="7"/>
        <v>0</v>
      </c>
      <c r="G228" s="316">
        <f t="shared" si="5"/>
        <v>0</v>
      </c>
      <c r="H228" s="432">
        <f t="shared" si="8"/>
        <v>0</v>
      </c>
      <c r="I228" s="432"/>
      <c r="J228" s="432"/>
      <c r="K228" s="432"/>
      <c r="L228" s="432"/>
      <c r="M228" s="432"/>
      <c r="N228" s="432"/>
      <c r="O228" s="432"/>
    </row>
    <row r="229" spans="2:15" s="142" customFormat="1" hidden="1" x14ac:dyDescent="0.35">
      <c r="B229" s="432"/>
      <c r="C229" s="432"/>
      <c r="D229" s="432"/>
      <c r="E229" s="594">
        <f t="shared" si="6"/>
        <v>44456</v>
      </c>
      <c r="F229" s="316">
        <f t="shared" si="7"/>
        <v>0</v>
      </c>
      <c r="G229" s="316">
        <f t="shared" si="5"/>
        <v>0</v>
      </c>
      <c r="H229" s="432">
        <f t="shared" si="8"/>
        <v>0</v>
      </c>
      <c r="I229" s="432"/>
      <c r="J229" s="432"/>
      <c r="K229" s="432"/>
      <c r="L229" s="432"/>
      <c r="M229" s="432"/>
      <c r="N229" s="432"/>
      <c r="O229" s="432"/>
    </row>
    <row r="230" spans="2:15" s="142" customFormat="1" hidden="1" x14ac:dyDescent="0.35">
      <c r="B230" s="432"/>
      <c r="C230" s="432"/>
      <c r="D230" s="432"/>
      <c r="E230" s="594">
        <f t="shared" si="6"/>
        <v>44457</v>
      </c>
      <c r="F230" s="316">
        <f t="shared" si="7"/>
        <v>0</v>
      </c>
      <c r="G230" s="316">
        <f t="shared" si="5"/>
        <v>0</v>
      </c>
      <c r="H230" s="432">
        <f t="shared" si="8"/>
        <v>0</v>
      </c>
      <c r="I230" s="432"/>
      <c r="J230" s="432"/>
      <c r="K230" s="432"/>
      <c r="L230" s="432"/>
      <c r="M230" s="432"/>
      <c r="N230" s="432"/>
      <c r="O230" s="432"/>
    </row>
    <row r="231" spans="2:15" s="142" customFormat="1" hidden="1" x14ac:dyDescent="0.35">
      <c r="B231" s="432"/>
      <c r="C231" s="432"/>
      <c r="D231" s="432"/>
      <c r="E231" s="594">
        <f t="shared" si="6"/>
        <v>44458</v>
      </c>
      <c r="F231" s="316">
        <f t="shared" si="7"/>
        <v>0</v>
      </c>
      <c r="G231" s="316">
        <f t="shared" si="5"/>
        <v>0</v>
      </c>
      <c r="H231" s="432">
        <f t="shared" si="8"/>
        <v>0</v>
      </c>
      <c r="I231" s="432"/>
      <c r="J231" s="432"/>
      <c r="K231" s="432"/>
      <c r="L231" s="432"/>
      <c r="M231" s="432"/>
      <c r="N231" s="432"/>
      <c r="O231" s="432"/>
    </row>
    <row r="232" spans="2:15" s="432" customFormat="1" hidden="1" x14ac:dyDescent="0.35">
      <c r="E232" s="594">
        <f t="shared" si="6"/>
        <v>44459</v>
      </c>
      <c r="F232" s="316">
        <f t="shared" si="7"/>
        <v>0</v>
      </c>
      <c r="G232" s="316">
        <f t="shared" si="5"/>
        <v>0</v>
      </c>
      <c r="H232" s="432">
        <f t="shared" si="8"/>
        <v>0</v>
      </c>
    </row>
    <row r="233" spans="2:15" s="432" customFormat="1" hidden="1" x14ac:dyDescent="0.35">
      <c r="E233" s="594">
        <f t="shared" si="6"/>
        <v>44460</v>
      </c>
      <c r="F233" s="316">
        <f t="shared" si="7"/>
        <v>0</v>
      </c>
      <c r="G233" s="316">
        <f t="shared" si="5"/>
        <v>0</v>
      </c>
      <c r="H233" s="432">
        <f t="shared" si="8"/>
        <v>0</v>
      </c>
    </row>
    <row r="234" spans="2:15" s="432" customFormat="1" hidden="1" x14ac:dyDescent="0.35">
      <c r="E234" s="594">
        <f t="shared" si="6"/>
        <v>44461</v>
      </c>
      <c r="F234" s="316">
        <f t="shared" si="7"/>
        <v>0</v>
      </c>
      <c r="G234" s="316">
        <f t="shared" si="5"/>
        <v>0</v>
      </c>
      <c r="H234" s="432">
        <f t="shared" si="8"/>
        <v>0</v>
      </c>
    </row>
    <row r="235" spans="2:15" s="432" customFormat="1" hidden="1" x14ac:dyDescent="0.35">
      <c r="E235" s="594">
        <f t="shared" si="6"/>
        <v>44462</v>
      </c>
      <c r="F235" s="316">
        <f t="shared" si="7"/>
        <v>0</v>
      </c>
      <c r="G235" s="316">
        <f t="shared" si="5"/>
        <v>0</v>
      </c>
      <c r="H235" s="432">
        <f t="shared" si="8"/>
        <v>0</v>
      </c>
    </row>
    <row r="236" spans="2:15" s="432" customFormat="1" hidden="1" x14ac:dyDescent="0.35">
      <c r="E236" s="594">
        <f t="shared" si="6"/>
        <v>44463</v>
      </c>
      <c r="F236" s="316">
        <f t="shared" si="7"/>
        <v>0</v>
      </c>
      <c r="G236" s="316">
        <f t="shared" si="5"/>
        <v>0</v>
      </c>
      <c r="H236" s="432">
        <f t="shared" si="8"/>
        <v>0</v>
      </c>
    </row>
    <row r="237" spans="2:15" s="432" customFormat="1" hidden="1" x14ac:dyDescent="0.35">
      <c r="E237" s="594">
        <f t="shared" si="6"/>
        <v>44464</v>
      </c>
      <c r="F237" s="316">
        <f t="shared" si="7"/>
        <v>0</v>
      </c>
      <c r="G237" s="316">
        <f t="shared" si="5"/>
        <v>0</v>
      </c>
      <c r="H237" s="432">
        <f t="shared" si="8"/>
        <v>0</v>
      </c>
    </row>
    <row r="238" spans="2:15" s="432" customFormat="1" hidden="1" x14ac:dyDescent="0.35">
      <c r="E238" s="594">
        <f t="shared" si="6"/>
        <v>44465</v>
      </c>
      <c r="F238" s="316">
        <f t="shared" si="7"/>
        <v>0</v>
      </c>
      <c r="G238" s="316">
        <f t="shared" si="5"/>
        <v>0</v>
      </c>
      <c r="H238" s="432">
        <f t="shared" si="8"/>
        <v>0</v>
      </c>
    </row>
    <row r="239" spans="2:15" s="432" customFormat="1" hidden="1" x14ac:dyDescent="0.35">
      <c r="E239" s="594">
        <f t="shared" si="6"/>
        <v>44466</v>
      </c>
      <c r="F239" s="316">
        <f t="shared" si="7"/>
        <v>0</v>
      </c>
      <c r="G239" s="316">
        <f t="shared" si="5"/>
        <v>0</v>
      </c>
      <c r="H239" s="432">
        <f t="shared" si="8"/>
        <v>0</v>
      </c>
    </row>
    <row r="240" spans="2:15" s="432" customFormat="1" hidden="1" x14ac:dyDescent="0.35">
      <c r="E240" s="594">
        <f t="shared" si="6"/>
        <v>44467</v>
      </c>
      <c r="F240" s="316">
        <f t="shared" si="7"/>
        <v>0</v>
      </c>
      <c r="G240" s="316">
        <f t="shared" si="5"/>
        <v>0</v>
      </c>
      <c r="H240" s="432">
        <f t="shared" si="8"/>
        <v>0</v>
      </c>
    </row>
    <row r="241" spans="5:8" s="432" customFormat="1" hidden="1" x14ac:dyDescent="0.35">
      <c r="E241" s="594">
        <f t="shared" si="6"/>
        <v>44468</v>
      </c>
      <c r="F241" s="316">
        <f t="shared" si="7"/>
        <v>0</v>
      </c>
      <c r="G241" s="316">
        <f t="shared" si="5"/>
        <v>0</v>
      </c>
      <c r="H241" s="432">
        <f t="shared" si="8"/>
        <v>0</v>
      </c>
    </row>
    <row r="242" spans="5:8" s="432" customFormat="1" hidden="1" x14ac:dyDescent="0.35">
      <c r="E242" s="594">
        <f t="shared" si="6"/>
        <v>44469</v>
      </c>
      <c r="F242" s="316">
        <f t="shared" si="7"/>
        <v>0</v>
      </c>
      <c r="G242" s="316">
        <f t="shared" si="5"/>
        <v>0</v>
      </c>
      <c r="H242" s="432">
        <f t="shared" si="8"/>
        <v>0</v>
      </c>
    </row>
    <row r="243" spans="5:8" s="432" customFormat="1" hidden="1" x14ac:dyDescent="0.35">
      <c r="E243" s="594">
        <f t="shared" si="6"/>
        <v>44470</v>
      </c>
      <c r="F243" s="316">
        <f t="shared" si="7"/>
        <v>0</v>
      </c>
      <c r="G243" s="316">
        <f t="shared" si="5"/>
        <v>0</v>
      </c>
      <c r="H243" s="432">
        <f t="shared" si="8"/>
        <v>0</v>
      </c>
    </row>
    <row r="244" spans="5:8" s="432" customFormat="1" hidden="1" x14ac:dyDescent="0.35">
      <c r="E244" s="594">
        <f t="shared" si="6"/>
        <v>44471</v>
      </c>
      <c r="F244" s="316">
        <f t="shared" si="7"/>
        <v>0</v>
      </c>
      <c r="G244" s="316">
        <f t="shared" si="5"/>
        <v>0</v>
      </c>
      <c r="H244" s="432">
        <f t="shared" si="8"/>
        <v>0</v>
      </c>
    </row>
    <row r="245" spans="5:8" s="432" customFormat="1" hidden="1" x14ac:dyDescent="0.35">
      <c r="E245" s="594">
        <f t="shared" si="6"/>
        <v>44472</v>
      </c>
      <c r="F245" s="316">
        <f t="shared" si="7"/>
        <v>0</v>
      </c>
      <c r="G245" s="316">
        <f t="shared" si="5"/>
        <v>0</v>
      </c>
      <c r="H245" s="432">
        <f t="shared" si="8"/>
        <v>0</v>
      </c>
    </row>
    <row r="246" spans="5:8" s="432" customFormat="1" hidden="1" x14ac:dyDescent="0.35">
      <c r="E246" s="594">
        <f t="shared" si="6"/>
        <v>44473</v>
      </c>
      <c r="F246" s="316">
        <f t="shared" si="7"/>
        <v>0</v>
      </c>
      <c r="G246" s="316">
        <f t="shared" si="5"/>
        <v>0</v>
      </c>
      <c r="H246" s="432">
        <f t="shared" si="8"/>
        <v>0</v>
      </c>
    </row>
    <row r="247" spans="5:8" s="432" customFormat="1" hidden="1" x14ac:dyDescent="0.35">
      <c r="E247" s="594">
        <f t="shared" si="6"/>
        <v>44474</v>
      </c>
      <c r="F247" s="316">
        <f t="shared" si="7"/>
        <v>0</v>
      </c>
      <c r="G247" s="316">
        <f t="shared" si="5"/>
        <v>0</v>
      </c>
      <c r="H247" s="432">
        <f t="shared" si="8"/>
        <v>0</v>
      </c>
    </row>
    <row r="248" spans="5:8" s="432" customFormat="1" hidden="1" x14ac:dyDescent="0.35">
      <c r="E248" s="594">
        <f t="shared" si="6"/>
        <v>44475</v>
      </c>
      <c r="F248" s="316">
        <f t="shared" si="7"/>
        <v>0</v>
      </c>
      <c r="G248" s="316">
        <f t="shared" si="5"/>
        <v>0</v>
      </c>
      <c r="H248" s="432">
        <f t="shared" si="8"/>
        <v>0</v>
      </c>
    </row>
    <row r="249" spans="5:8" s="432" customFormat="1" hidden="1" x14ac:dyDescent="0.35">
      <c r="E249" s="594">
        <f t="shared" si="6"/>
        <v>44476</v>
      </c>
      <c r="F249" s="316">
        <f t="shared" si="7"/>
        <v>0</v>
      </c>
      <c r="G249" s="316">
        <f t="shared" si="5"/>
        <v>0</v>
      </c>
      <c r="H249" s="432">
        <f t="shared" si="8"/>
        <v>0</v>
      </c>
    </row>
    <row r="250" spans="5:8" s="432" customFormat="1" hidden="1" x14ac:dyDescent="0.35">
      <c r="E250" s="594">
        <f t="shared" si="6"/>
        <v>44477</v>
      </c>
      <c r="F250" s="316">
        <f t="shared" si="7"/>
        <v>0</v>
      </c>
      <c r="G250" s="316">
        <f t="shared" si="5"/>
        <v>0</v>
      </c>
      <c r="H250" s="432">
        <f t="shared" si="8"/>
        <v>0</v>
      </c>
    </row>
    <row r="251" spans="5:8" s="432" customFormat="1" hidden="1" x14ac:dyDescent="0.35">
      <c r="E251" s="594">
        <f t="shared" si="6"/>
        <v>44478</v>
      </c>
      <c r="F251" s="316">
        <f t="shared" si="7"/>
        <v>0</v>
      </c>
      <c r="G251" s="316">
        <f t="shared" si="5"/>
        <v>0</v>
      </c>
      <c r="H251" s="432">
        <f t="shared" si="8"/>
        <v>0</v>
      </c>
    </row>
    <row r="252" spans="5:8" s="432" customFormat="1" hidden="1" x14ac:dyDescent="0.35">
      <c r="E252" s="594">
        <f t="shared" si="6"/>
        <v>44479</v>
      </c>
      <c r="F252" s="316">
        <f t="shared" si="7"/>
        <v>0</v>
      </c>
      <c r="G252" s="316">
        <f t="shared" si="5"/>
        <v>0</v>
      </c>
      <c r="H252" s="432">
        <f t="shared" si="8"/>
        <v>0</v>
      </c>
    </row>
    <row r="253" spans="5:8" s="432" customFormat="1" hidden="1" x14ac:dyDescent="0.35">
      <c r="E253" s="594">
        <f t="shared" si="6"/>
        <v>44480</v>
      </c>
      <c r="F253" s="316">
        <f t="shared" si="7"/>
        <v>0</v>
      </c>
      <c r="G253" s="316">
        <f t="shared" si="5"/>
        <v>0</v>
      </c>
      <c r="H253" s="432">
        <f t="shared" si="8"/>
        <v>0</v>
      </c>
    </row>
    <row r="254" spans="5:8" s="432" customFormat="1" hidden="1" x14ac:dyDescent="0.35">
      <c r="E254" s="594">
        <f t="shared" si="6"/>
        <v>44481</v>
      </c>
      <c r="F254" s="316">
        <f t="shared" si="7"/>
        <v>0</v>
      </c>
      <c r="G254" s="316">
        <f t="shared" si="5"/>
        <v>0</v>
      </c>
      <c r="H254" s="432">
        <f t="shared" si="8"/>
        <v>0</v>
      </c>
    </row>
    <row r="255" spans="5:8" s="432" customFormat="1" hidden="1" x14ac:dyDescent="0.35">
      <c r="E255" s="594">
        <f t="shared" si="6"/>
        <v>44482</v>
      </c>
      <c r="F255" s="316">
        <f t="shared" si="7"/>
        <v>0</v>
      </c>
      <c r="G255" s="316">
        <f t="shared" si="5"/>
        <v>0</v>
      </c>
      <c r="H255" s="432">
        <f t="shared" si="8"/>
        <v>0</v>
      </c>
    </row>
    <row r="256" spans="5:8" s="432" customFormat="1" hidden="1" x14ac:dyDescent="0.35">
      <c r="E256" s="594">
        <f t="shared" si="6"/>
        <v>44483</v>
      </c>
      <c r="F256" s="316">
        <f t="shared" si="7"/>
        <v>0</v>
      </c>
      <c r="G256" s="316">
        <f t="shared" si="5"/>
        <v>0</v>
      </c>
      <c r="H256" s="432">
        <f t="shared" si="8"/>
        <v>0</v>
      </c>
    </row>
    <row r="257" spans="5:8" s="432" customFormat="1" hidden="1" x14ac:dyDescent="0.35">
      <c r="E257" s="594">
        <f t="shared" si="6"/>
        <v>44484</v>
      </c>
      <c r="F257" s="316">
        <f t="shared" si="7"/>
        <v>0</v>
      </c>
      <c r="G257" s="316">
        <f t="shared" si="5"/>
        <v>0</v>
      </c>
      <c r="H257" s="432">
        <f t="shared" si="8"/>
        <v>0</v>
      </c>
    </row>
    <row r="258" spans="5:8" s="432" customFormat="1" hidden="1" x14ac:dyDescent="0.35">
      <c r="E258" s="594">
        <f t="shared" si="6"/>
        <v>44485</v>
      </c>
      <c r="F258" s="316">
        <f t="shared" si="7"/>
        <v>0</v>
      </c>
      <c r="G258" s="316">
        <f t="shared" si="5"/>
        <v>0</v>
      </c>
      <c r="H258" s="432">
        <f t="shared" si="8"/>
        <v>0</v>
      </c>
    </row>
    <row r="259" spans="5:8" s="432" customFormat="1" hidden="1" x14ac:dyDescent="0.35">
      <c r="E259" s="594">
        <f t="shared" si="6"/>
        <v>44486</v>
      </c>
      <c r="F259" s="316">
        <f t="shared" si="7"/>
        <v>0</v>
      </c>
      <c r="G259" s="316">
        <f t="shared" si="5"/>
        <v>0</v>
      </c>
      <c r="H259" s="432">
        <f t="shared" si="8"/>
        <v>0</v>
      </c>
    </row>
    <row r="260" spans="5:8" s="432" customFormat="1" hidden="1" x14ac:dyDescent="0.35">
      <c r="E260" s="594">
        <f t="shared" si="6"/>
        <v>44487</v>
      </c>
      <c r="F260" s="316">
        <f t="shared" si="7"/>
        <v>0</v>
      </c>
      <c r="G260" s="316">
        <f t="shared" si="5"/>
        <v>0</v>
      </c>
      <c r="H260" s="432">
        <f t="shared" si="8"/>
        <v>0</v>
      </c>
    </row>
    <row r="261" spans="5:8" s="432" customFormat="1" hidden="1" x14ac:dyDescent="0.35">
      <c r="E261" s="594">
        <f t="shared" si="6"/>
        <v>44488</v>
      </c>
      <c r="F261" s="316">
        <f t="shared" si="7"/>
        <v>0</v>
      </c>
      <c r="G261" s="316">
        <f t="shared" si="5"/>
        <v>0</v>
      </c>
      <c r="H261" s="432">
        <f t="shared" si="8"/>
        <v>0</v>
      </c>
    </row>
    <row r="262" spans="5:8" s="432" customFormat="1" hidden="1" x14ac:dyDescent="0.35">
      <c r="E262" s="594">
        <f t="shared" si="6"/>
        <v>44489</v>
      </c>
      <c r="F262" s="316">
        <f t="shared" si="7"/>
        <v>0</v>
      </c>
      <c r="G262" s="316">
        <f t="shared" si="5"/>
        <v>0</v>
      </c>
      <c r="H262" s="432">
        <f t="shared" si="8"/>
        <v>0</v>
      </c>
    </row>
    <row r="263" spans="5:8" s="432" customFormat="1" hidden="1" x14ac:dyDescent="0.35">
      <c r="E263" s="594">
        <f t="shared" si="6"/>
        <v>44490</v>
      </c>
      <c r="F263" s="316">
        <f t="shared" si="7"/>
        <v>0</v>
      </c>
      <c r="G263" s="316">
        <f t="shared" si="5"/>
        <v>0</v>
      </c>
      <c r="H263" s="432">
        <f t="shared" si="8"/>
        <v>0</v>
      </c>
    </row>
    <row r="264" spans="5:8" s="432" customFormat="1" hidden="1" x14ac:dyDescent="0.35">
      <c r="E264" s="594">
        <f t="shared" si="6"/>
        <v>44491</v>
      </c>
      <c r="F264" s="316">
        <f t="shared" si="7"/>
        <v>0</v>
      </c>
      <c r="G264" s="316">
        <f t="shared" si="5"/>
        <v>0</v>
      </c>
      <c r="H264" s="432">
        <f t="shared" si="8"/>
        <v>0</v>
      </c>
    </row>
    <row r="265" spans="5:8" s="432" customFormat="1" hidden="1" x14ac:dyDescent="0.35">
      <c r="E265" s="594">
        <f t="shared" si="6"/>
        <v>44492</v>
      </c>
      <c r="F265" s="316">
        <f t="shared" si="7"/>
        <v>0</v>
      </c>
      <c r="G265" s="316">
        <f t="shared" si="5"/>
        <v>0</v>
      </c>
      <c r="H265" s="432">
        <f t="shared" si="8"/>
        <v>0</v>
      </c>
    </row>
    <row r="266" spans="5:8" s="432" customFormat="1" hidden="1" x14ac:dyDescent="0.35">
      <c r="E266" s="594">
        <f t="shared" si="6"/>
        <v>44493</v>
      </c>
      <c r="F266" s="316">
        <f t="shared" si="7"/>
        <v>0</v>
      </c>
      <c r="G266" s="316">
        <f t="shared" si="5"/>
        <v>0</v>
      </c>
      <c r="H266" s="432">
        <f t="shared" si="8"/>
        <v>0</v>
      </c>
    </row>
    <row r="267" spans="5:8" s="432" customFormat="1" hidden="1" x14ac:dyDescent="0.35">
      <c r="E267" s="594">
        <f t="shared" si="6"/>
        <v>44494</v>
      </c>
      <c r="F267" s="316">
        <f t="shared" si="7"/>
        <v>0</v>
      </c>
      <c r="G267" s="316">
        <f t="shared" si="5"/>
        <v>0</v>
      </c>
      <c r="H267" s="432">
        <f t="shared" si="8"/>
        <v>0</v>
      </c>
    </row>
    <row r="268" spans="5:8" s="432" customFormat="1" hidden="1" x14ac:dyDescent="0.35">
      <c r="E268" s="594">
        <f t="shared" si="6"/>
        <v>44495</v>
      </c>
      <c r="F268" s="316">
        <f t="shared" si="7"/>
        <v>0</v>
      </c>
      <c r="G268" s="316">
        <f t="shared" si="5"/>
        <v>0</v>
      </c>
      <c r="H268" s="432">
        <f t="shared" si="8"/>
        <v>0</v>
      </c>
    </row>
    <row r="269" spans="5:8" s="432" customFormat="1" hidden="1" x14ac:dyDescent="0.35">
      <c r="E269" s="594">
        <f t="shared" si="6"/>
        <v>44496</v>
      </c>
      <c r="F269" s="316">
        <f t="shared" si="7"/>
        <v>0</v>
      </c>
      <c r="G269" s="316">
        <f t="shared" si="5"/>
        <v>0</v>
      </c>
      <c r="H269" s="432">
        <f t="shared" si="8"/>
        <v>0</v>
      </c>
    </row>
    <row r="270" spans="5:8" s="432" customFormat="1" hidden="1" x14ac:dyDescent="0.35">
      <c r="E270" s="594">
        <f t="shared" si="6"/>
        <v>44497</v>
      </c>
      <c r="F270" s="316">
        <f t="shared" si="7"/>
        <v>0</v>
      </c>
      <c r="G270" s="316">
        <f t="shared" si="5"/>
        <v>0</v>
      </c>
      <c r="H270" s="432">
        <f t="shared" si="8"/>
        <v>0</v>
      </c>
    </row>
    <row r="271" spans="5:8" s="432" customFormat="1" hidden="1" x14ac:dyDescent="0.35">
      <c r="E271" s="594">
        <f t="shared" si="6"/>
        <v>44498</v>
      </c>
      <c r="F271" s="316">
        <f t="shared" si="7"/>
        <v>0</v>
      </c>
      <c r="G271" s="316">
        <f t="shared" si="5"/>
        <v>0</v>
      </c>
      <c r="H271" s="432">
        <f t="shared" si="8"/>
        <v>0</v>
      </c>
    </row>
    <row r="272" spans="5:8" s="432" customFormat="1" hidden="1" x14ac:dyDescent="0.35">
      <c r="E272" s="594">
        <f t="shared" si="6"/>
        <v>44499</v>
      </c>
      <c r="F272" s="316">
        <f t="shared" si="7"/>
        <v>0</v>
      </c>
      <c r="G272" s="316">
        <f t="shared" si="5"/>
        <v>0</v>
      </c>
      <c r="H272" s="432">
        <f t="shared" si="8"/>
        <v>0</v>
      </c>
    </row>
    <row r="273" spans="5:8" s="432" customFormat="1" hidden="1" x14ac:dyDescent="0.35">
      <c r="E273" s="594">
        <f t="shared" si="6"/>
        <v>44500</v>
      </c>
      <c r="F273" s="316">
        <f t="shared" si="7"/>
        <v>0</v>
      </c>
      <c r="G273" s="316">
        <f t="shared" si="5"/>
        <v>0</v>
      </c>
      <c r="H273" s="432">
        <f t="shared" si="8"/>
        <v>0</v>
      </c>
    </row>
    <row r="274" spans="5:8" s="432" customFormat="1" hidden="1" x14ac:dyDescent="0.35">
      <c r="E274" s="594">
        <f t="shared" si="6"/>
        <v>44501</v>
      </c>
      <c r="F274" s="316">
        <f t="shared" si="7"/>
        <v>0</v>
      </c>
      <c r="G274" s="316">
        <f t="shared" si="5"/>
        <v>0</v>
      </c>
      <c r="H274" s="432">
        <f t="shared" si="8"/>
        <v>0</v>
      </c>
    </row>
    <row r="275" spans="5:8" s="432" customFormat="1" hidden="1" x14ac:dyDescent="0.35">
      <c r="E275" s="594">
        <f t="shared" si="6"/>
        <v>44502</v>
      </c>
      <c r="F275" s="316">
        <f t="shared" si="7"/>
        <v>0</v>
      </c>
      <c r="G275" s="316">
        <f t="shared" si="5"/>
        <v>0</v>
      </c>
      <c r="H275" s="432">
        <f t="shared" si="8"/>
        <v>0</v>
      </c>
    </row>
    <row r="276" spans="5:8" s="432" customFormat="1" hidden="1" x14ac:dyDescent="0.35">
      <c r="E276" s="594">
        <f t="shared" si="6"/>
        <v>44503</v>
      </c>
      <c r="F276" s="316">
        <f t="shared" si="7"/>
        <v>0</v>
      </c>
      <c r="G276" s="316">
        <f t="shared" si="5"/>
        <v>0</v>
      </c>
      <c r="H276" s="432">
        <f t="shared" si="8"/>
        <v>0</v>
      </c>
    </row>
    <row r="277" spans="5:8" s="432" customFormat="1" hidden="1" x14ac:dyDescent="0.35">
      <c r="E277" s="594">
        <f t="shared" si="6"/>
        <v>44504</v>
      </c>
      <c r="F277" s="316">
        <f t="shared" si="7"/>
        <v>0</v>
      </c>
      <c r="G277" s="316">
        <f t="shared" si="5"/>
        <v>0</v>
      </c>
      <c r="H277" s="432">
        <f t="shared" si="8"/>
        <v>0</v>
      </c>
    </row>
    <row r="278" spans="5:8" s="432" customFormat="1" hidden="1" x14ac:dyDescent="0.35">
      <c r="E278" s="594">
        <f t="shared" si="6"/>
        <v>44505</v>
      </c>
      <c r="F278" s="316">
        <f t="shared" si="7"/>
        <v>0</v>
      </c>
      <c r="G278" s="316">
        <f t="shared" si="5"/>
        <v>0</v>
      </c>
      <c r="H278" s="432">
        <f t="shared" si="8"/>
        <v>0</v>
      </c>
    </row>
    <row r="279" spans="5:8" s="432" customFormat="1" hidden="1" x14ac:dyDescent="0.35">
      <c r="E279" s="594">
        <f t="shared" si="6"/>
        <v>44506</v>
      </c>
      <c r="F279" s="316">
        <f t="shared" si="7"/>
        <v>0</v>
      </c>
      <c r="G279" s="316">
        <f t="shared" si="5"/>
        <v>0</v>
      </c>
      <c r="H279" s="432">
        <f t="shared" si="8"/>
        <v>0</v>
      </c>
    </row>
    <row r="280" spans="5:8" s="432" customFormat="1" hidden="1" x14ac:dyDescent="0.35">
      <c r="E280" s="594">
        <f t="shared" si="6"/>
        <v>44507</v>
      </c>
      <c r="F280" s="316">
        <f t="shared" si="7"/>
        <v>0</v>
      </c>
      <c r="G280" s="316">
        <f t="shared" ref="G280:G343" si="9">ROUND(F280,-2)</f>
        <v>0</v>
      </c>
      <c r="H280" s="432">
        <f t="shared" si="8"/>
        <v>0</v>
      </c>
    </row>
    <row r="281" spans="5:8" s="432" customFormat="1" hidden="1" x14ac:dyDescent="0.35">
      <c r="E281" s="594">
        <f t="shared" ref="E281:E344" si="10">IF(E280&lt;$C$153,E280+1,$C$153)</f>
        <v>44508</v>
      </c>
      <c r="F281" s="316">
        <f t="shared" ref="F281:F344" si="11">IF(E280&lt;$C$153,F280+C$155,F280)</f>
        <v>0</v>
      </c>
      <c r="G281" s="316">
        <f t="shared" si="9"/>
        <v>0</v>
      </c>
      <c r="H281" s="432">
        <f t="shared" ref="H281:H344" si="12">IF(F281&gt;F280,(VLOOKUP(G281,$K$151:$O$157,MATCH($C$156,$K$151:$O$151,0),0)),0)</f>
        <v>0</v>
      </c>
    </row>
    <row r="282" spans="5:8" s="432" customFormat="1" hidden="1" x14ac:dyDescent="0.35">
      <c r="E282" s="594">
        <f t="shared" si="10"/>
        <v>44509</v>
      </c>
      <c r="F282" s="316">
        <f t="shared" si="11"/>
        <v>0</v>
      </c>
      <c r="G282" s="316">
        <f t="shared" si="9"/>
        <v>0</v>
      </c>
      <c r="H282" s="432">
        <f t="shared" si="12"/>
        <v>0</v>
      </c>
    </row>
    <row r="283" spans="5:8" s="432" customFormat="1" hidden="1" x14ac:dyDescent="0.35">
      <c r="E283" s="594">
        <f t="shared" si="10"/>
        <v>44510</v>
      </c>
      <c r="F283" s="316">
        <f t="shared" si="11"/>
        <v>0</v>
      </c>
      <c r="G283" s="316">
        <f t="shared" si="9"/>
        <v>0</v>
      </c>
      <c r="H283" s="432">
        <f t="shared" si="12"/>
        <v>0</v>
      </c>
    </row>
    <row r="284" spans="5:8" s="432" customFormat="1" hidden="1" x14ac:dyDescent="0.35">
      <c r="E284" s="594">
        <f t="shared" si="10"/>
        <v>44511</v>
      </c>
      <c r="F284" s="316">
        <f t="shared" si="11"/>
        <v>0</v>
      </c>
      <c r="G284" s="316">
        <f t="shared" si="9"/>
        <v>0</v>
      </c>
      <c r="H284" s="432">
        <f t="shared" si="12"/>
        <v>0</v>
      </c>
    </row>
    <row r="285" spans="5:8" s="432" customFormat="1" hidden="1" x14ac:dyDescent="0.35">
      <c r="E285" s="594">
        <f t="shared" si="10"/>
        <v>44512</v>
      </c>
      <c r="F285" s="316">
        <f t="shared" si="11"/>
        <v>0</v>
      </c>
      <c r="G285" s="316">
        <f t="shared" si="9"/>
        <v>0</v>
      </c>
      <c r="H285" s="432">
        <f t="shared" si="12"/>
        <v>0</v>
      </c>
    </row>
    <row r="286" spans="5:8" s="432" customFormat="1" hidden="1" x14ac:dyDescent="0.35">
      <c r="E286" s="594">
        <f t="shared" si="10"/>
        <v>44513</v>
      </c>
      <c r="F286" s="316">
        <f t="shared" si="11"/>
        <v>0</v>
      </c>
      <c r="G286" s="316">
        <f t="shared" si="9"/>
        <v>0</v>
      </c>
      <c r="H286" s="432">
        <f t="shared" si="12"/>
        <v>0</v>
      </c>
    </row>
    <row r="287" spans="5:8" s="432" customFormat="1" hidden="1" x14ac:dyDescent="0.35">
      <c r="E287" s="594">
        <f t="shared" si="10"/>
        <v>44514</v>
      </c>
      <c r="F287" s="316">
        <f t="shared" si="11"/>
        <v>0</v>
      </c>
      <c r="G287" s="316">
        <f t="shared" si="9"/>
        <v>0</v>
      </c>
      <c r="H287" s="432">
        <f t="shared" si="12"/>
        <v>0</v>
      </c>
    </row>
    <row r="288" spans="5:8" s="432" customFormat="1" hidden="1" x14ac:dyDescent="0.35">
      <c r="E288" s="594">
        <f t="shared" si="10"/>
        <v>44515</v>
      </c>
      <c r="F288" s="316">
        <f t="shared" si="11"/>
        <v>0</v>
      </c>
      <c r="G288" s="316">
        <f t="shared" si="9"/>
        <v>0</v>
      </c>
      <c r="H288" s="432">
        <f t="shared" si="12"/>
        <v>0</v>
      </c>
    </row>
    <row r="289" spans="5:8" s="432" customFormat="1" hidden="1" x14ac:dyDescent="0.35">
      <c r="E289" s="594">
        <f t="shared" si="10"/>
        <v>44516</v>
      </c>
      <c r="F289" s="316">
        <f t="shared" si="11"/>
        <v>0</v>
      </c>
      <c r="G289" s="316">
        <f t="shared" si="9"/>
        <v>0</v>
      </c>
      <c r="H289" s="432">
        <f t="shared" si="12"/>
        <v>0</v>
      </c>
    </row>
    <row r="290" spans="5:8" s="432" customFormat="1" hidden="1" x14ac:dyDescent="0.35">
      <c r="E290" s="594">
        <f t="shared" si="10"/>
        <v>44517</v>
      </c>
      <c r="F290" s="316">
        <f t="shared" si="11"/>
        <v>0</v>
      </c>
      <c r="G290" s="316">
        <f t="shared" si="9"/>
        <v>0</v>
      </c>
      <c r="H290" s="432">
        <f t="shared" si="12"/>
        <v>0</v>
      </c>
    </row>
    <row r="291" spans="5:8" s="432" customFormat="1" hidden="1" x14ac:dyDescent="0.35">
      <c r="E291" s="594">
        <f t="shared" si="10"/>
        <v>44518</v>
      </c>
      <c r="F291" s="316">
        <f t="shared" si="11"/>
        <v>0</v>
      </c>
      <c r="G291" s="316">
        <f t="shared" si="9"/>
        <v>0</v>
      </c>
      <c r="H291" s="432">
        <f t="shared" si="12"/>
        <v>0</v>
      </c>
    </row>
    <row r="292" spans="5:8" s="432" customFormat="1" hidden="1" x14ac:dyDescent="0.35">
      <c r="E292" s="594">
        <f t="shared" si="10"/>
        <v>44519</v>
      </c>
      <c r="F292" s="316">
        <f t="shared" si="11"/>
        <v>0</v>
      </c>
      <c r="G292" s="316">
        <f t="shared" si="9"/>
        <v>0</v>
      </c>
      <c r="H292" s="432">
        <f t="shared" si="12"/>
        <v>0</v>
      </c>
    </row>
    <row r="293" spans="5:8" s="432" customFormat="1" hidden="1" x14ac:dyDescent="0.35">
      <c r="E293" s="594">
        <f t="shared" si="10"/>
        <v>44520</v>
      </c>
      <c r="F293" s="316">
        <f t="shared" si="11"/>
        <v>0</v>
      </c>
      <c r="G293" s="316">
        <f t="shared" si="9"/>
        <v>0</v>
      </c>
      <c r="H293" s="432">
        <f t="shared" si="12"/>
        <v>0</v>
      </c>
    </row>
    <row r="294" spans="5:8" s="432" customFormat="1" hidden="1" x14ac:dyDescent="0.35">
      <c r="E294" s="594">
        <f t="shared" si="10"/>
        <v>44521</v>
      </c>
      <c r="F294" s="316">
        <f t="shared" si="11"/>
        <v>0</v>
      </c>
      <c r="G294" s="316">
        <f t="shared" si="9"/>
        <v>0</v>
      </c>
      <c r="H294" s="432">
        <f t="shared" si="12"/>
        <v>0</v>
      </c>
    </row>
    <row r="295" spans="5:8" s="432" customFormat="1" hidden="1" x14ac:dyDescent="0.35">
      <c r="E295" s="594">
        <f t="shared" si="10"/>
        <v>44522</v>
      </c>
      <c r="F295" s="316">
        <f t="shared" si="11"/>
        <v>0</v>
      </c>
      <c r="G295" s="316">
        <f t="shared" si="9"/>
        <v>0</v>
      </c>
      <c r="H295" s="432">
        <f t="shared" si="12"/>
        <v>0</v>
      </c>
    </row>
    <row r="296" spans="5:8" s="432" customFormat="1" hidden="1" x14ac:dyDescent="0.35">
      <c r="E296" s="594">
        <f t="shared" si="10"/>
        <v>44523</v>
      </c>
      <c r="F296" s="316">
        <f t="shared" si="11"/>
        <v>0</v>
      </c>
      <c r="G296" s="316">
        <f t="shared" si="9"/>
        <v>0</v>
      </c>
      <c r="H296" s="432">
        <f t="shared" si="12"/>
        <v>0</v>
      </c>
    </row>
    <row r="297" spans="5:8" s="432" customFormat="1" hidden="1" x14ac:dyDescent="0.35">
      <c r="E297" s="594">
        <f t="shared" si="10"/>
        <v>44524</v>
      </c>
      <c r="F297" s="316">
        <f t="shared" si="11"/>
        <v>0</v>
      </c>
      <c r="G297" s="316">
        <f t="shared" si="9"/>
        <v>0</v>
      </c>
      <c r="H297" s="432">
        <f t="shared" si="12"/>
        <v>0</v>
      </c>
    </row>
    <row r="298" spans="5:8" s="432" customFormat="1" hidden="1" x14ac:dyDescent="0.35">
      <c r="E298" s="594">
        <f t="shared" si="10"/>
        <v>44525</v>
      </c>
      <c r="F298" s="316">
        <f t="shared" si="11"/>
        <v>0</v>
      </c>
      <c r="G298" s="316">
        <f t="shared" si="9"/>
        <v>0</v>
      </c>
      <c r="H298" s="432">
        <f t="shared" si="12"/>
        <v>0</v>
      </c>
    </row>
    <row r="299" spans="5:8" s="432" customFormat="1" hidden="1" x14ac:dyDescent="0.35">
      <c r="E299" s="594">
        <f t="shared" si="10"/>
        <v>44526</v>
      </c>
      <c r="F299" s="316">
        <f t="shared" si="11"/>
        <v>0</v>
      </c>
      <c r="G299" s="316">
        <f t="shared" si="9"/>
        <v>0</v>
      </c>
      <c r="H299" s="432">
        <f t="shared" si="12"/>
        <v>0</v>
      </c>
    </row>
    <row r="300" spans="5:8" s="432" customFormat="1" hidden="1" x14ac:dyDescent="0.35">
      <c r="E300" s="594">
        <f t="shared" si="10"/>
        <v>44527</v>
      </c>
      <c r="F300" s="316">
        <f t="shared" si="11"/>
        <v>0</v>
      </c>
      <c r="G300" s="316">
        <f t="shared" si="9"/>
        <v>0</v>
      </c>
      <c r="H300" s="432">
        <f t="shared" si="12"/>
        <v>0</v>
      </c>
    </row>
    <row r="301" spans="5:8" s="432" customFormat="1" hidden="1" x14ac:dyDescent="0.35">
      <c r="E301" s="594">
        <f t="shared" si="10"/>
        <v>44528</v>
      </c>
      <c r="F301" s="316">
        <f t="shared" si="11"/>
        <v>0</v>
      </c>
      <c r="G301" s="316">
        <f t="shared" si="9"/>
        <v>0</v>
      </c>
      <c r="H301" s="432">
        <f t="shared" si="12"/>
        <v>0</v>
      </c>
    </row>
    <row r="302" spans="5:8" s="432" customFormat="1" hidden="1" x14ac:dyDescent="0.35">
      <c r="E302" s="594">
        <f t="shared" si="10"/>
        <v>44529</v>
      </c>
      <c r="F302" s="316">
        <f t="shared" si="11"/>
        <v>0</v>
      </c>
      <c r="G302" s="316">
        <f t="shared" si="9"/>
        <v>0</v>
      </c>
      <c r="H302" s="432">
        <f t="shared" si="12"/>
        <v>0</v>
      </c>
    </row>
    <row r="303" spans="5:8" s="432" customFormat="1" hidden="1" x14ac:dyDescent="0.35">
      <c r="E303" s="594">
        <f t="shared" si="10"/>
        <v>44530</v>
      </c>
      <c r="F303" s="316">
        <f t="shared" si="11"/>
        <v>0</v>
      </c>
      <c r="G303" s="316">
        <f t="shared" si="9"/>
        <v>0</v>
      </c>
      <c r="H303" s="432">
        <f t="shared" si="12"/>
        <v>0</v>
      </c>
    </row>
    <row r="304" spans="5:8" s="432" customFormat="1" hidden="1" x14ac:dyDescent="0.35">
      <c r="E304" s="594">
        <f t="shared" si="10"/>
        <v>44531</v>
      </c>
      <c r="F304" s="316">
        <f t="shared" si="11"/>
        <v>0</v>
      </c>
      <c r="G304" s="316">
        <f t="shared" si="9"/>
        <v>0</v>
      </c>
      <c r="H304" s="432">
        <f t="shared" si="12"/>
        <v>0</v>
      </c>
    </row>
    <row r="305" spans="5:8" s="432" customFormat="1" hidden="1" x14ac:dyDescent="0.35">
      <c r="E305" s="594">
        <f t="shared" si="10"/>
        <v>44532</v>
      </c>
      <c r="F305" s="316">
        <f t="shared" si="11"/>
        <v>0</v>
      </c>
      <c r="G305" s="316">
        <f t="shared" si="9"/>
        <v>0</v>
      </c>
      <c r="H305" s="432">
        <f t="shared" si="12"/>
        <v>0</v>
      </c>
    </row>
    <row r="306" spans="5:8" s="432" customFormat="1" hidden="1" x14ac:dyDescent="0.35">
      <c r="E306" s="594">
        <f t="shared" si="10"/>
        <v>44533</v>
      </c>
      <c r="F306" s="316">
        <f t="shared" si="11"/>
        <v>0</v>
      </c>
      <c r="G306" s="316">
        <f t="shared" si="9"/>
        <v>0</v>
      </c>
      <c r="H306" s="432">
        <f t="shared" si="12"/>
        <v>0</v>
      </c>
    </row>
    <row r="307" spans="5:8" s="432" customFormat="1" hidden="1" x14ac:dyDescent="0.35">
      <c r="E307" s="594">
        <f t="shared" si="10"/>
        <v>44534</v>
      </c>
      <c r="F307" s="316">
        <f t="shared" si="11"/>
        <v>0</v>
      </c>
      <c r="G307" s="316">
        <f t="shared" si="9"/>
        <v>0</v>
      </c>
      <c r="H307" s="432">
        <f t="shared" si="12"/>
        <v>0</v>
      </c>
    </row>
    <row r="308" spans="5:8" s="432" customFormat="1" hidden="1" x14ac:dyDescent="0.35">
      <c r="E308" s="594">
        <f t="shared" si="10"/>
        <v>44535</v>
      </c>
      <c r="F308" s="316">
        <f t="shared" si="11"/>
        <v>0</v>
      </c>
      <c r="G308" s="316">
        <f t="shared" si="9"/>
        <v>0</v>
      </c>
      <c r="H308" s="432">
        <f t="shared" si="12"/>
        <v>0</v>
      </c>
    </row>
    <row r="309" spans="5:8" s="432" customFormat="1" hidden="1" x14ac:dyDescent="0.35">
      <c r="E309" s="594">
        <f t="shared" si="10"/>
        <v>44536</v>
      </c>
      <c r="F309" s="316">
        <f t="shared" si="11"/>
        <v>0</v>
      </c>
      <c r="G309" s="316">
        <f t="shared" si="9"/>
        <v>0</v>
      </c>
      <c r="H309" s="432">
        <f t="shared" si="12"/>
        <v>0</v>
      </c>
    </row>
    <row r="310" spans="5:8" s="432" customFormat="1" hidden="1" x14ac:dyDescent="0.35">
      <c r="E310" s="594">
        <f t="shared" si="10"/>
        <v>44537</v>
      </c>
      <c r="F310" s="316">
        <f t="shared" si="11"/>
        <v>0</v>
      </c>
      <c r="G310" s="316">
        <f t="shared" si="9"/>
        <v>0</v>
      </c>
      <c r="H310" s="432">
        <f t="shared" si="12"/>
        <v>0</v>
      </c>
    </row>
    <row r="311" spans="5:8" s="432" customFormat="1" hidden="1" x14ac:dyDescent="0.35">
      <c r="E311" s="594">
        <f t="shared" si="10"/>
        <v>44538</v>
      </c>
      <c r="F311" s="316">
        <f t="shared" si="11"/>
        <v>0</v>
      </c>
      <c r="G311" s="316">
        <f t="shared" si="9"/>
        <v>0</v>
      </c>
      <c r="H311" s="432">
        <f t="shared" si="12"/>
        <v>0</v>
      </c>
    </row>
    <row r="312" spans="5:8" s="432" customFormat="1" hidden="1" x14ac:dyDescent="0.35">
      <c r="E312" s="594">
        <f t="shared" si="10"/>
        <v>44539</v>
      </c>
      <c r="F312" s="316">
        <f t="shared" si="11"/>
        <v>0</v>
      </c>
      <c r="G312" s="316">
        <f t="shared" si="9"/>
        <v>0</v>
      </c>
      <c r="H312" s="432">
        <f t="shared" si="12"/>
        <v>0</v>
      </c>
    </row>
    <row r="313" spans="5:8" s="432" customFormat="1" hidden="1" x14ac:dyDescent="0.35">
      <c r="E313" s="594">
        <f t="shared" si="10"/>
        <v>44540</v>
      </c>
      <c r="F313" s="316">
        <f t="shared" si="11"/>
        <v>0</v>
      </c>
      <c r="G313" s="316">
        <f t="shared" si="9"/>
        <v>0</v>
      </c>
      <c r="H313" s="432">
        <f t="shared" si="12"/>
        <v>0</v>
      </c>
    </row>
    <row r="314" spans="5:8" s="432" customFormat="1" hidden="1" x14ac:dyDescent="0.35">
      <c r="E314" s="594">
        <f t="shared" si="10"/>
        <v>44541</v>
      </c>
      <c r="F314" s="316">
        <f t="shared" si="11"/>
        <v>0</v>
      </c>
      <c r="G314" s="316">
        <f t="shared" si="9"/>
        <v>0</v>
      </c>
      <c r="H314" s="432">
        <f t="shared" si="12"/>
        <v>0</v>
      </c>
    </row>
    <row r="315" spans="5:8" s="432" customFormat="1" hidden="1" x14ac:dyDescent="0.35">
      <c r="E315" s="594">
        <f t="shared" si="10"/>
        <v>44542</v>
      </c>
      <c r="F315" s="316">
        <f t="shared" si="11"/>
        <v>0</v>
      </c>
      <c r="G315" s="316">
        <f t="shared" si="9"/>
        <v>0</v>
      </c>
      <c r="H315" s="432">
        <f t="shared" si="12"/>
        <v>0</v>
      </c>
    </row>
    <row r="316" spans="5:8" s="432" customFormat="1" hidden="1" x14ac:dyDescent="0.35">
      <c r="E316" s="594">
        <f t="shared" si="10"/>
        <v>44543</v>
      </c>
      <c r="F316" s="316">
        <f t="shared" si="11"/>
        <v>0</v>
      </c>
      <c r="G316" s="316">
        <f t="shared" si="9"/>
        <v>0</v>
      </c>
      <c r="H316" s="432">
        <f t="shared" si="12"/>
        <v>0</v>
      </c>
    </row>
    <row r="317" spans="5:8" s="432" customFormat="1" hidden="1" x14ac:dyDescent="0.35">
      <c r="E317" s="594">
        <f t="shared" si="10"/>
        <v>44544</v>
      </c>
      <c r="F317" s="316">
        <f t="shared" si="11"/>
        <v>0</v>
      </c>
      <c r="G317" s="316">
        <f t="shared" si="9"/>
        <v>0</v>
      </c>
      <c r="H317" s="432">
        <f t="shared" si="12"/>
        <v>0</v>
      </c>
    </row>
    <row r="318" spans="5:8" s="432" customFormat="1" hidden="1" x14ac:dyDescent="0.35">
      <c r="E318" s="594">
        <f t="shared" si="10"/>
        <v>44545</v>
      </c>
      <c r="F318" s="316">
        <f t="shared" si="11"/>
        <v>0</v>
      </c>
      <c r="G318" s="316">
        <f t="shared" si="9"/>
        <v>0</v>
      </c>
      <c r="H318" s="432">
        <f t="shared" si="12"/>
        <v>0</v>
      </c>
    </row>
    <row r="319" spans="5:8" s="432" customFormat="1" hidden="1" x14ac:dyDescent="0.35">
      <c r="E319" s="594">
        <f t="shared" si="10"/>
        <v>44546</v>
      </c>
      <c r="F319" s="316">
        <f t="shared" si="11"/>
        <v>0</v>
      </c>
      <c r="G319" s="316">
        <f t="shared" si="9"/>
        <v>0</v>
      </c>
      <c r="H319" s="432">
        <f t="shared" si="12"/>
        <v>0</v>
      </c>
    </row>
    <row r="320" spans="5:8" s="432" customFormat="1" hidden="1" x14ac:dyDescent="0.35">
      <c r="E320" s="594">
        <f t="shared" si="10"/>
        <v>44547</v>
      </c>
      <c r="F320" s="316">
        <f t="shared" si="11"/>
        <v>0</v>
      </c>
      <c r="G320" s="316">
        <f t="shared" si="9"/>
        <v>0</v>
      </c>
      <c r="H320" s="432">
        <f t="shared" si="12"/>
        <v>0</v>
      </c>
    </row>
    <row r="321" spans="5:8" s="432" customFormat="1" hidden="1" x14ac:dyDescent="0.35">
      <c r="E321" s="594">
        <f t="shared" si="10"/>
        <v>44548</v>
      </c>
      <c r="F321" s="316">
        <f t="shared" si="11"/>
        <v>0</v>
      </c>
      <c r="G321" s="316">
        <f t="shared" si="9"/>
        <v>0</v>
      </c>
      <c r="H321" s="432">
        <f t="shared" si="12"/>
        <v>0</v>
      </c>
    </row>
    <row r="322" spans="5:8" s="432" customFormat="1" hidden="1" x14ac:dyDescent="0.35">
      <c r="E322" s="594">
        <f t="shared" si="10"/>
        <v>44549</v>
      </c>
      <c r="F322" s="316">
        <f t="shared" si="11"/>
        <v>0</v>
      </c>
      <c r="G322" s="316">
        <f t="shared" si="9"/>
        <v>0</v>
      </c>
      <c r="H322" s="432">
        <f t="shared" si="12"/>
        <v>0</v>
      </c>
    </row>
    <row r="323" spans="5:8" s="432" customFormat="1" hidden="1" x14ac:dyDescent="0.35">
      <c r="E323" s="594">
        <f t="shared" si="10"/>
        <v>44550</v>
      </c>
      <c r="F323" s="316">
        <f t="shared" si="11"/>
        <v>0</v>
      </c>
      <c r="G323" s="316">
        <f t="shared" si="9"/>
        <v>0</v>
      </c>
      <c r="H323" s="432">
        <f t="shared" si="12"/>
        <v>0</v>
      </c>
    </row>
    <row r="324" spans="5:8" s="432" customFormat="1" hidden="1" x14ac:dyDescent="0.35">
      <c r="E324" s="594">
        <f t="shared" si="10"/>
        <v>44551</v>
      </c>
      <c r="F324" s="316">
        <f t="shared" si="11"/>
        <v>0</v>
      </c>
      <c r="G324" s="316">
        <f t="shared" si="9"/>
        <v>0</v>
      </c>
      <c r="H324" s="432">
        <f t="shared" si="12"/>
        <v>0</v>
      </c>
    </row>
    <row r="325" spans="5:8" s="432" customFormat="1" hidden="1" x14ac:dyDescent="0.35">
      <c r="E325" s="594">
        <f t="shared" si="10"/>
        <v>44552</v>
      </c>
      <c r="F325" s="316">
        <f t="shared" si="11"/>
        <v>0</v>
      </c>
      <c r="G325" s="316">
        <f t="shared" si="9"/>
        <v>0</v>
      </c>
      <c r="H325" s="432">
        <f t="shared" si="12"/>
        <v>0</v>
      </c>
    </row>
    <row r="326" spans="5:8" s="432" customFormat="1" hidden="1" x14ac:dyDescent="0.35">
      <c r="E326" s="594">
        <f t="shared" si="10"/>
        <v>44553</v>
      </c>
      <c r="F326" s="316">
        <f t="shared" si="11"/>
        <v>0</v>
      </c>
      <c r="G326" s="316">
        <f t="shared" si="9"/>
        <v>0</v>
      </c>
      <c r="H326" s="432">
        <f t="shared" si="12"/>
        <v>0</v>
      </c>
    </row>
    <row r="327" spans="5:8" s="432" customFormat="1" hidden="1" x14ac:dyDescent="0.35">
      <c r="E327" s="594">
        <f t="shared" si="10"/>
        <v>44554</v>
      </c>
      <c r="F327" s="316">
        <f t="shared" si="11"/>
        <v>0</v>
      </c>
      <c r="G327" s="316">
        <f t="shared" si="9"/>
        <v>0</v>
      </c>
      <c r="H327" s="432">
        <f t="shared" si="12"/>
        <v>0</v>
      </c>
    </row>
    <row r="328" spans="5:8" s="432" customFormat="1" hidden="1" x14ac:dyDescent="0.35">
      <c r="E328" s="594">
        <f t="shared" si="10"/>
        <v>44555</v>
      </c>
      <c r="F328" s="316">
        <f t="shared" si="11"/>
        <v>0</v>
      </c>
      <c r="G328" s="316">
        <f t="shared" si="9"/>
        <v>0</v>
      </c>
      <c r="H328" s="432">
        <f t="shared" si="12"/>
        <v>0</v>
      </c>
    </row>
    <row r="329" spans="5:8" s="432" customFormat="1" hidden="1" x14ac:dyDescent="0.35">
      <c r="E329" s="594">
        <f t="shared" si="10"/>
        <v>44556</v>
      </c>
      <c r="F329" s="316">
        <f t="shared" si="11"/>
        <v>0</v>
      </c>
      <c r="G329" s="316">
        <f t="shared" si="9"/>
        <v>0</v>
      </c>
      <c r="H329" s="432">
        <f t="shared" si="12"/>
        <v>0</v>
      </c>
    </row>
    <row r="330" spans="5:8" s="432" customFormat="1" hidden="1" x14ac:dyDescent="0.35">
      <c r="E330" s="594">
        <f t="shared" si="10"/>
        <v>44557</v>
      </c>
      <c r="F330" s="316">
        <f t="shared" si="11"/>
        <v>0</v>
      </c>
      <c r="G330" s="316">
        <f t="shared" si="9"/>
        <v>0</v>
      </c>
      <c r="H330" s="432">
        <f t="shared" si="12"/>
        <v>0</v>
      </c>
    </row>
    <row r="331" spans="5:8" s="432" customFormat="1" hidden="1" x14ac:dyDescent="0.35">
      <c r="E331" s="594">
        <f t="shared" si="10"/>
        <v>44558</v>
      </c>
      <c r="F331" s="316">
        <f t="shared" si="11"/>
        <v>0</v>
      </c>
      <c r="G331" s="316">
        <f t="shared" si="9"/>
        <v>0</v>
      </c>
      <c r="H331" s="432">
        <f t="shared" si="12"/>
        <v>0</v>
      </c>
    </row>
    <row r="332" spans="5:8" s="432" customFormat="1" hidden="1" x14ac:dyDescent="0.35">
      <c r="E332" s="594">
        <f t="shared" si="10"/>
        <v>44559</v>
      </c>
      <c r="F332" s="316">
        <f t="shared" si="11"/>
        <v>0</v>
      </c>
      <c r="G332" s="316">
        <f t="shared" si="9"/>
        <v>0</v>
      </c>
      <c r="H332" s="432">
        <f t="shared" si="12"/>
        <v>0</v>
      </c>
    </row>
    <row r="333" spans="5:8" s="432" customFormat="1" hidden="1" x14ac:dyDescent="0.35">
      <c r="E333" s="594">
        <f t="shared" si="10"/>
        <v>44560</v>
      </c>
      <c r="F333" s="316">
        <f t="shared" si="11"/>
        <v>0</v>
      </c>
      <c r="G333" s="316">
        <f t="shared" si="9"/>
        <v>0</v>
      </c>
      <c r="H333" s="432">
        <f t="shared" si="12"/>
        <v>0</v>
      </c>
    </row>
    <row r="334" spans="5:8" s="432" customFormat="1" hidden="1" x14ac:dyDescent="0.35">
      <c r="E334" s="594">
        <f t="shared" si="10"/>
        <v>44561</v>
      </c>
      <c r="F334" s="316">
        <f t="shared" si="11"/>
        <v>0</v>
      </c>
      <c r="G334" s="316">
        <f t="shared" si="9"/>
        <v>0</v>
      </c>
      <c r="H334" s="432">
        <f t="shared" si="12"/>
        <v>0</v>
      </c>
    </row>
    <row r="335" spans="5:8" s="432" customFormat="1" hidden="1" x14ac:dyDescent="0.35">
      <c r="E335" s="594">
        <f t="shared" si="10"/>
        <v>44562</v>
      </c>
      <c r="F335" s="316">
        <f t="shared" si="11"/>
        <v>0</v>
      </c>
      <c r="G335" s="316">
        <f t="shared" si="9"/>
        <v>0</v>
      </c>
      <c r="H335" s="432">
        <f t="shared" si="12"/>
        <v>0</v>
      </c>
    </row>
    <row r="336" spans="5:8" s="432" customFormat="1" hidden="1" x14ac:dyDescent="0.35">
      <c r="E336" s="594">
        <f t="shared" si="10"/>
        <v>44563</v>
      </c>
      <c r="F336" s="316">
        <f t="shared" si="11"/>
        <v>0</v>
      </c>
      <c r="G336" s="316">
        <f t="shared" si="9"/>
        <v>0</v>
      </c>
      <c r="H336" s="432">
        <f t="shared" si="12"/>
        <v>0</v>
      </c>
    </row>
    <row r="337" spans="5:8" s="432" customFormat="1" hidden="1" x14ac:dyDescent="0.35">
      <c r="E337" s="594">
        <f t="shared" si="10"/>
        <v>44564</v>
      </c>
      <c r="F337" s="316">
        <f t="shared" si="11"/>
        <v>0</v>
      </c>
      <c r="G337" s="316">
        <f t="shared" si="9"/>
        <v>0</v>
      </c>
      <c r="H337" s="432">
        <f t="shared" si="12"/>
        <v>0</v>
      </c>
    </row>
    <row r="338" spans="5:8" s="432" customFormat="1" hidden="1" x14ac:dyDescent="0.35">
      <c r="E338" s="594">
        <f t="shared" si="10"/>
        <v>44565</v>
      </c>
      <c r="F338" s="316">
        <f t="shared" si="11"/>
        <v>0</v>
      </c>
      <c r="G338" s="316">
        <f t="shared" si="9"/>
        <v>0</v>
      </c>
      <c r="H338" s="432">
        <f t="shared" si="12"/>
        <v>0</v>
      </c>
    </row>
    <row r="339" spans="5:8" s="432" customFormat="1" hidden="1" x14ac:dyDescent="0.35">
      <c r="E339" s="594">
        <f t="shared" si="10"/>
        <v>44566</v>
      </c>
      <c r="F339" s="316">
        <f t="shared" si="11"/>
        <v>0</v>
      </c>
      <c r="G339" s="316">
        <f t="shared" si="9"/>
        <v>0</v>
      </c>
      <c r="H339" s="432">
        <f t="shared" si="12"/>
        <v>0</v>
      </c>
    </row>
    <row r="340" spans="5:8" s="432" customFormat="1" hidden="1" x14ac:dyDescent="0.35">
      <c r="E340" s="594">
        <f t="shared" si="10"/>
        <v>44567</v>
      </c>
      <c r="F340" s="316">
        <f t="shared" si="11"/>
        <v>0</v>
      </c>
      <c r="G340" s="316">
        <f t="shared" si="9"/>
        <v>0</v>
      </c>
      <c r="H340" s="432">
        <f t="shared" si="12"/>
        <v>0</v>
      </c>
    </row>
    <row r="341" spans="5:8" s="432" customFormat="1" hidden="1" x14ac:dyDescent="0.35">
      <c r="E341" s="594">
        <f t="shared" si="10"/>
        <v>44568</v>
      </c>
      <c r="F341" s="316">
        <f t="shared" si="11"/>
        <v>0</v>
      </c>
      <c r="G341" s="316">
        <f t="shared" si="9"/>
        <v>0</v>
      </c>
      <c r="H341" s="432">
        <f t="shared" si="12"/>
        <v>0</v>
      </c>
    </row>
    <row r="342" spans="5:8" s="432" customFormat="1" hidden="1" x14ac:dyDescent="0.35">
      <c r="E342" s="594">
        <f t="shared" si="10"/>
        <v>44569</v>
      </c>
      <c r="F342" s="316">
        <f t="shared" si="11"/>
        <v>0</v>
      </c>
      <c r="G342" s="316">
        <f t="shared" si="9"/>
        <v>0</v>
      </c>
      <c r="H342" s="432">
        <f t="shared" si="12"/>
        <v>0</v>
      </c>
    </row>
    <row r="343" spans="5:8" s="432" customFormat="1" hidden="1" x14ac:dyDescent="0.35">
      <c r="E343" s="594">
        <f t="shared" si="10"/>
        <v>44570</v>
      </c>
      <c r="F343" s="316">
        <f t="shared" si="11"/>
        <v>0</v>
      </c>
      <c r="G343" s="316">
        <f t="shared" si="9"/>
        <v>0</v>
      </c>
      <c r="H343" s="432">
        <f t="shared" si="12"/>
        <v>0</v>
      </c>
    </row>
    <row r="344" spans="5:8" s="432" customFormat="1" hidden="1" x14ac:dyDescent="0.35">
      <c r="E344" s="594">
        <f t="shared" si="10"/>
        <v>44571</v>
      </c>
      <c r="F344" s="316">
        <f t="shared" si="11"/>
        <v>0</v>
      </c>
      <c r="G344" s="316">
        <f t="shared" ref="G344:G407" si="13">ROUND(F344,-2)</f>
        <v>0</v>
      </c>
      <c r="H344" s="432">
        <f t="shared" si="12"/>
        <v>0</v>
      </c>
    </row>
    <row r="345" spans="5:8" s="432" customFormat="1" hidden="1" x14ac:dyDescent="0.35">
      <c r="E345" s="594">
        <f t="shared" ref="E345:E408" si="14">IF(E344&lt;$C$153,E344+1,$C$153)</f>
        <v>44572</v>
      </c>
      <c r="F345" s="316">
        <f t="shared" ref="F345:F408" si="15">IF(E344&lt;$C$153,F344+C$155,F344)</f>
        <v>0</v>
      </c>
      <c r="G345" s="316">
        <f t="shared" si="13"/>
        <v>0</v>
      </c>
      <c r="H345" s="432">
        <f t="shared" ref="H345:H408" si="16">IF(F345&gt;F344,(VLOOKUP(G345,$K$151:$O$157,MATCH($C$156,$K$151:$O$151,0),0)),0)</f>
        <v>0</v>
      </c>
    </row>
    <row r="346" spans="5:8" s="432" customFormat="1" hidden="1" x14ac:dyDescent="0.35">
      <c r="E346" s="594">
        <f t="shared" si="14"/>
        <v>44573</v>
      </c>
      <c r="F346" s="316">
        <f t="shared" si="15"/>
        <v>0</v>
      </c>
      <c r="G346" s="316">
        <f t="shared" si="13"/>
        <v>0</v>
      </c>
      <c r="H346" s="432">
        <f t="shared" si="16"/>
        <v>0</v>
      </c>
    </row>
    <row r="347" spans="5:8" s="432" customFormat="1" hidden="1" x14ac:dyDescent="0.35">
      <c r="E347" s="594">
        <f t="shared" si="14"/>
        <v>44574</v>
      </c>
      <c r="F347" s="316">
        <f t="shared" si="15"/>
        <v>0</v>
      </c>
      <c r="G347" s="316">
        <f t="shared" si="13"/>
        <v>0</v>
      </c>
      <c r="H347" s="432">
        <f t="shared" si="16"/>
        <v>0</v>
      </c>
    </row>
    <row r="348" spans="5:8" s="432" customFormat="1" hidden="1" x14ac:dyDescent="0.35">
      <c r="E348" s="594">
        <f t="shared" si="14"/>
        <v>44575</v>
      </c>
      <c r="F348" s="316">
        <f t="shared" si="15"/>
        <v>0</v>
      </c>
      <c r="G348" s="316">
        <f t="shared" si="13"/>
        <v>0</v>
      </c>
      <c r="H348" s="432">
        <f t="shared" si="16"/>
        <v>0</v>
      </c>
    </row>
    <row r="349" spans="5:8" s="432" customFormat="1" hidden="1" x14ac:dyDescent="0.35">
      <c r="E349" s="594">
        <f t="shared" si="14"/>
        <v>44576</v>
      </c>
      <c r="F349" s="316">
        <f t="shared" si="15"/>
        <v>0</v>
      </c>
      <c r="G349" s="316">
        <f t="shared" si="13"/>
        <v>0</v>
      </c>
      <c r="H349" s="432">
        <f t="shared" si="16"/>
        <v>0</v>
      </c>
    </row>
    <row r="350" spans="5:8" s="432" customFormat="1" hidden="1" x14ac:dyDescent="0.35">
      <c r="E350" s="594">
        <f t="shared" si="14"/>
        <v>44577</v>
      </c>
      <c r="F350" s="316">
        <f t="shared" si="15"/>
        <v>0</v>
      </c>
      <c r="G350" s="316">
        <f t="shared" si="13"/>
        <v>0</v>
      </c>
      <c r="H350" s="432">
        <f t="shared" si="16"/>
        <v>0</v>
      </c>
    </row>
    <row r="351" spans="5:8" s="432" customFormat="1" hidden="1" x14ac:dyDescent="0.35">
      <c r="E351" s="594">
        <f t="shared" si="14"/>
        <v>44578</v>
      </c>
      <c r="F351" s="316">
        <f t="shared" si="15"/>
        <v>0</v>
      </c>
      <c r="G351" s="316">
        <f t="shared" si="13"/>
        <v>0</v>
      </c>
      <c r="H351" s="432">
        <f t="shared" si="16"/>
        <v>0</v>
      </c>
    </row>
    <row r="352" spans="5:8" s="432" customFormat="1" hidden="1" x14ac:dyDescent="0.35">
      <c r="E352" s="594">
        <f t="shared" si="14"/>
        <v>44579</v>
      </c>
      <c r="F352" s="316">
        <f t="shared" si="15"/>
        <v>0</v>
      </c>
      <c r="G352" s="316">
        <f t="shared" si="13"/>
        <v>0</v>
      </c>
      <c r="H352" s="432">
        <f t="shared" si="16"/>
        <v>0</v>
      </c>
    </row>
    <row r="353" spans="5:8" s="432" customFormat="1" hidden="1" x14ac:dyDescent="0.35">
      <c r="E353" s="594">
        <f t="shared" si="14"/>
        <v>44580</v>
      </c>
      <c r="F353" s="316">
        <f t="shared" si="15"/>
        <v>0</v>
      </c>
      <c r="G353" s="316">
        <f t="shared" si="13"/>
        <v>0</v>
      </c>
      <c r="H353" s="432">
        <f t="shared" si="16"/>
        <v>0</v>
      </c>
    </row>
    <row r="354" spans="5:8" s="432" customFormat="1" hidden="1" x14ac:dyDescent="0.35">
      <c r="E354" s="594">
        <f t="shared" si="14"/>
        <v>44581</v>
      </c>
      <c r="F354" s="316">
        <f t="shared" si="15"/>
        <v>0</v>
      </c>
      <c r="G354" s="316">
        <f t="shared" si="13"/>
        <v>0</v>
      </c>
      <c r="H354" s="432">
        <f t="shared" si="16"/>
        <v>0</v>
      </c>
    </row>
    <row r="355" spans="5:8" s="432" customFormat="1" hidden="1" x14ac:dyDescent="0.35">
      <c r="E355" s="594">
        <f t="shared" si="14"/>
        <v>44582</v>
      </c>
      <c r="F355" s="316">
        <f t="shared" si="15"/>
        <v>0</v>
      </c>
      <c r="G355" s="316">
        <f t="shared" si="13"/>
        <v>0</v>
      </c>
      <c r="H355" s="432">
        <f t="shared" si="16"/>
        <v>0</v>
      </c>
    </row>
    <row r="356" spans="5:8" s="432" customFormat="1" hidden="1" x14ac:dyDescent="0.35">
      <c r="E356" s="594">
        <f t="shared" si="14"/>
        <v>44583</v>
      </c>
      <c r="F356" s="316">
        <f t="shared" si="15"/>
        <v>0</v>
      </c>
      <c r="G356" s="316">
        <f t="shared" si="13"/>
        <v>0</v>
      </c>
      <c r="H356" s="432">
        <f t="shared" si="16"/>
        <v>0</v>
      </c>
    </row>
    <row r="357" spans="5:8" s="432" customFormat="1" hidden="1" x14ac:dyDescent="0.35">
      <c r="E357" s="594">
        <f t="shared" si="14"/>
        <v>44584</v>
      </c>
      <c r="F357" s="316">
        <f t="shared" si="15"/>
        <v>0</v>
      </c>
      <c r="G357" s="316">
        <f t="shared" si="13"/>
        <v>0</v>
      </c>
      <c r="H357" s="432">
        <f t="shared" si="16"/>
        <v>0</v>
      </c>
    </row>
    <row r="358" spans="5:8" s="432" customFormat="1" hidden="1" x14ac:dyDescent="0.35">
      <c r="E358" s="594">
        <f t="shared" si="14"/>
        <v>44585</v>
      </c>
      <c r="F358" s="316">
        <f t="shared" si="15"/>
        <v>0</v>
      </c>
      <c r="G358" s="316">
        <f t="shared" si="13"/>
        <v>0</v>
      </c>
      <c r="H358" s="432">
        <f t="shared" si="16"/>
        <v>0</v>
      </c>
    </row>
    <row r="359" spans="5:8" s="432" customFormat="1" hidden="1" x14ac:dyDescent="0.35">
      <c r="E359" s="594">
        <f t="shared" si="14"/>
        <v>44586</v>
      </c>
      <c r="F359" s="316">
        <f t="shared" si="15"/>
        <v>0</v>
      </c>
      <c r="G359" s="316">
        <f t="shared" si="13"/>
        <v>0</v>
      </c>
      <c r="H359" s="432">
        <f t="shared" si="16"/>
        <v>0</v>
      </c>
    </row>
    <row r="360" spans="5:8" s="432" customFormat="1" hidden="1" x14ac:dyDescent="0.35">
      <c r="E360" s="594">
        <f t="shared" si="14"/>
        <v>44587</v>
      </c>
      <c r="F360" s="316">
        <f t="shared" si="15"/>
        <v>0</v>
      </c>
      <c r="G360" s="316">
        <f t="shared" si="13"/>
        <v>0</v>
      </c>
      <c r="H360" s="432">
        <f t="shared" si="16"/>
        <v>0</v>
      </c>
    </row>
    <row r="361" spans="5:8" s="432" customFormat="1" hidden="1" x14ac:dyDescent="0.35">
      <c r="E361" s="594">
        <f t="shared" si="14"/>
        <v>44588</v>
      </c>
      <c r="F361" s="316">
        <f t="shared" si="15"/>
        <v>0</v>
      </c>
      <c r="G361" s="316">
        <f t="shared" si="13"/>
        <v>0</v>
      </c>
      <c r="H361" s="432">
        <f t="shared" si="16"/>
        <v>0</v>
      </c>
    </row>
    <row r="362" spans="5:8" s="432" customFormat="1" hidden="1" x14ac:dyDescent="0.35">
      <c r="E362" s="594">
        <f t="shared" si="14"/>
        <v>44589</v>
      </c>
      <c r="F362" s="316">
        <f t="shared" si="15"/>
        <v>0</v>
      </c>
      <c r="G362" s="316">
        <f t="shared" si="13"/>
        <v>0</v>
      </c>
      <c r="H362" s="432">
        <f t="shared" si="16"/>
        <v>0</v>
      </c>
    </row>
    <row r="363" spans="5:8" s="432" customFormat="1" hidden="1" x14ac:dyDescent="0.35">
      <c r="E363" s="594">
        <f t="shared" si="14"/>
        <v>44590</v>
      </c>
      <c r="F363" s="316">
        <f t="shared" si="15"/>
        <v>0</v>
      </c>
      <c r="G363" s="316">
        <f t="shared" si="13"/>
        <v>0</v>
      </c>
      <c r="H363" s="432">
        <f t="shared" si="16"/>
        <v>0</v>
      </c>
    </row>
    <row r="364" spans="5:8" s="432" customFormat="1" hidden="1" x14ac:dyDescent="0.35">
      <c r="E364" s="594">
        <f t="shared" si="14"/>
        <v>44591</v>
      </c>
      <c r="F364" s="316">
        <f t="shared" si="15"/>
        <v>0</v>
      </c>
      <c r="G364" s="316">
        <f t="shared" si="13"/>
        <v>0</v>
      </c>
      <c r="H364" s="432">
        <f t="shared" si="16"/>
        <v>0</v>
      </c>
    </row>
    <row r="365" spans="5:8" s="432" customFormat="1" hidden="1" x14ac:dyDescent="0.35">
      <c r="E365" s="594">
        <f t="shared" si="14"/>
        <v>44592</v>
      </c>
      <c r="F365" s="316">
        <f t="shared" si="15"/>
        <v>0</v>
      </c>
      <c r="G365" s="316">
        <f t="shared" si="13"/>
        <v>0</v>
      </c>
      <c r="H365" s="432">
        <f t="shared" si="16"/>
        <v>0</v>
      </c>
    </row>
    <row r="366" spans="5:8" s="432" customFormat="1" hidden="1" x14ac:dyDescent="0.35">
      <c r="E366" s="594">
        <f t="shared" si="14"/>
        <v>44593</v>
      </c>
      <c r="F366" s="316">
        <f t="shared" si="15"/>
        <v>0</v>
      </c>
      <c r="G366" s="316">
        <f t="shared" si="13"/>
        <v>0</v>
      </c>
      <c r="H366" s="432">
        <f t="shared" si="16"/>
        <v>0</v>
      </c>
    </row>
    <row r="367" spans="5:8" s="432" customFormat="1" hidden="1" x14ac:dyDescent="0.35">
      <c r="E367" s="594">
        <f t="shared" si="14"/>
        <v>44594</v>
      </c>
      <c r="F367" s="316">
        <f t="shared" si="15"/>
        <v>0</v>
      </c>
      <c r="G367" s="316">
        <f t="shared" si="13"/>
        <v>0</v>
      </c>
      <c r="H367" s="432">
        <f t="shared" si="16"/>
        <v>0</v>
      </c>
    </row>
    <row r="368" spans="5:8" s="432" customFormat="1" hidden="1" x14ac:dyDescent="0.35">
      <c r="E368" s="594">
        <f t="shared" si="14"/>
        <v>44595</v>
      </c>
      <c r="F368" s="316">
        <f t="shared" si="15"/>
        <v>0</v>
      </c>
      <c r="G368" s="316">
        <f t="shared" si="13"/>
        <v>0</v>
      </c>
      <c r="H368" s="432">
        <f t="shared" si="16"/>
        <v>0</v>
      </c>
    </row>
    <row r="369" spans="5:8" s="432" customFormat="1" hidden="1" x14ac:dyDescent="0.35">
      <c r="E369" s="594">
        <f t="shared" si="14"/>
        <v>44596</v>
      </c>
      <c r="F369" s="316">
        <f t="shared" si="15"/>
        <v>0</v>
      </c>
      <c r="G369" s="316">
        <f t="shared" si="13"/>
        <v>0</v>
      </c>
      <c r="H369" s="432">
        <f t="shared" si="16"/>
        <v>0</v>
      </c>
    </row>
    <row r="370" spans="5:8" s="432" customFormat="1" hidden="1" x14ac:dyDescent="0.35">
      <c r="E370" s="594">
        <f t="shared" si="14"/>
        <v>44597</v>
      </c>
      <c r="F370" s="316">
        <f t="shared" si="15"/>
        <v>0</v>
      </c>
      <c r="G370" s="316">
        <f t="shared" si="13"/>
        <v>0</v>
      </c>
      <c r="H370" s="432">
        <f t="shared" si="16"/>
        <v>0</v>
      </c>
    </row>
    <row r="371" spans="5:8" s="432" customFormat="1" hidden="1" x14ac:dyDescent="0.35">
      <c r="E371" s="594">
        <f t="shared" si="14"/>
        <v>44598</v>
      </c>
      <c r="F371" s="316">
        <f t="shared" si="15"/>
        <v>0</v>
      </c>
      <c r="G371" s="316">
        <f t="shared" si="13"/>
        <v>0</v>
      </c>
      <c r="H371" s="432">
        <f t="shared" si="16"/>
        <v>0</v>
      </c>
    </row>
    <row r="372" spans="5:8" s="432" customFormat="1" hidden="1" x14ac:dyDescent="0.35">
      <c r="E372" s="594">
        <f t="shared" si="14"/>
        <v>44599</v>
      </c>
      <c r="F372" s="316">
        <f t="shared" si="15"/>
        <v>0</v>
      </c>
      <c r="G372" s="316">
        <f t="shared" si="13"/>
        <v>0</v>
      </c>
      <c r="H372" s="432">
        <f t="shared" si="16"/>
        <v>0</v>
      </c>
    </row>
    <row r="373" spans="5:8" s="432" customFormat="1" hidden="1" x14ac:dyDescent="0.35">
      <c r="E373" s="594">
        <f t="shared" si="14"/>
        <v>44600</v>
      </c>
      <c r="F373" s="316">
        <f t="shared" si="15"/>
        <v>0</v>
      </c>
      <c r="G373" s="316">
        <f t="shared" si="13"/>
        <v>0</v>
      </c>
      <c r="H373" s="432">
        <f t="shared" si="16"/>
        <v>0</v>
      </c>
    </row>
    <row r="374" spans="5:8" s="432" customFormat="1" hidden="1" x14ac:dyDescent="0.35">
      <c r="E374" s="594">
        <f t="shared" si="14"/>
        <v>44601</v>
      </c>
      <c r="F374" s="316">
        <f t="shared" si="15"/>
        <v>0</v>
      </c>
      <c r="G374" s="316">
        <f t="shared" si="13"/>
        <v>0</v>
      </c>
      <c r="H374" s="432">
        <f t="shared" si="16"/>
        <v>0</v>
      </c>
    </row>
    <row r="375" spans="5:8" s="432" customFormat="1" hidden="1" x14ac:dyDescent="0.35">
      <c r="E375" s="594">
        <f t="shared" si="14"/>
        <v>44602</v>
      </c>
      <c r="F375" s="316">
        <f t="shared" si="15"/>
        <v>0</v>
      </c>
      <c r="G375" s="316">
        <f t="shared" si="13"/>
        <v>0</v>
      </c>
      <c r="H375" s="432">
        <f t="shared" si="16"/>
        <v>0</v>
      </c>
    </row>
    <row r="376" spans="5:8" s="432" customFormat="1" hidden="1" x14ac:dyDescent="0.35">
      <c r="E376" s="594">
        <f t="shared" si="14"/>
        <v>44603</v>
      </c>
      <c r="F376" s="316">
        <f t="shared" si="15"/>
        <v>0</v>
      </c>
      <c r="G376" s="316">
        <f t="shared" si="13"/>
        <v>0</v>
      </c>
      <c r="H376" s="432">
        <f t="shared" si="16"/>
        <v>0</v>
      </c>
    </row>
    <row r="377" spans="5:8" s="432" customFormat="1" hidden="1" x14ac:dyDescent="0.35">
      <c r="E377" s="594">
        <f t="shared" si="14"/>
        <v>44604</v>
      </c>
      <c r="F377" s="316">
        <f t="shared" si="15"/>
        <v>0</v>
      </c>
      <c r="G377" s="316">
        <f t="shared" si="13"/>
        <v>0</v>
      </c>
      <c r="H377" s="432">
        <f t="shared" si="16"/>
        <v>0</v>
      </c>
    </row>
    <row r="378" spans="5:8" s="432" customFormat="1" hidden="1" x14ac:dyDescent="0.35">
      <c r="E378" s="594">
        <f t="shared" si="14"/>
        <v>44605</v>
      </c>
      <c r="F378" s="316">
        <f t="shared" si="15"/>
        <v>0</v>
      </c>
      <c r="G378" s="316">
        <f t="shared" si="13"/>
        <v>0</v>
      </c>
      <c r="H378" s="432">
        <f t="shared" si="16"/>
        <v>0</v>
      </c>
    </row>
    <row r="379" spans="5:8" s="432" customFormat="1" hidden="1" x14ac:dyDescent="0.35">
      <c r="E379" s="594">
        <f t="shared" si="14"/>
        <v>44606</v>
      </c>
      <c r="F379" s="316">
        <f t="shared" si="15"/>
        <v>0</v>
      </c>
      <c r="G379" s="316">
        <f t="shared" si="13"/>
        <v>0</v>
      </c>
      <c r="H379" s="432">
        <f t="shared" si="16"/>
        <v>0</v>
      </c>
    </row>
    <row r="380" spans="5:8" s="432" customFormat="1" hidden="1" x14ac:dyDescent="0.35">
      <c r="E380" s="594">
        <f t="shared" si="14"/>
        <v>44607</v>
      </c>
      <c r="F380" s="316">
        <f t="shared" si="15"/>
        <v>0</v>
      </c>
      <c r="G380" s="316">
        <f t="shared" si="13"/>
        <v>0</v>
      </c>
      <c r="H380" s="432">
        <f t="shared" si="16"/>
        <v>0</v>
      </c>
    </row>
    <row r="381" spans="5:8" s="432" customFormat="1" hidden="1" x14ac:dyDescent="0.35">
      <c r="E381" s="594">
        <f t="shared" si="14"/>
        <v>44608</v>
      </c>
      <c r="F381" s="316">
        <f t="shared" si="15"/>
        <v>0</v>
      </c>
      <c r="G381" s="316">
        <f t="shared" si="13"/>
        <v>0</v>
      </c>
      <c r="H381" s="432">
        <f t="shared" si="16"/>
        <v>0</v>
      </c>
    </row>
    <row r="382" spans="5:8" s="432" customFormat="1" hidden="1" x14ac:dyDescent="0.35">
      <c r="E382" s="594">
        <f t="shared" si="14"/>
        <v>44609</v>
      </c>
      <c r="F382" s="316">
        <f t="shared" si="15"/>
        <v>0</v>
      </c>
      <c r="G382" s="316">
        <f t="shared" si="13"/>
        <v>0</v>
      </c>
      <c r="H382" s="432">
        <f t="shared" si="16"/>
        <v>0</v>
      </c>
    </row>
    <row r="383" spans="5:8" s="432" customFormat="1" hidden="1" x14ac:dyDescent="0.35">
      <c r="E383" s="594">
        <f t="shared" si="14"/>
        <v>44610</v>
      </c>
      <c r="F383" s="316">
        <f t="shared" si="15"/>
        <v>0</v>
      </c>
      <c r="G383" s="316">
        <f t="shared" si="13"/>
        <v>0</v>
      </c>
      <c r="H383" s="432">
        <f t="shared" si="16"/>
        <v>0</v>
      </c>
    </row>
    <row r="384" spans="5:8" s="432" customFormat="1" hidden="1" x14ac:dyDescent="0.35">
      <c r="E384" s="594">
        <f t="shared" si="14"/>
        <v>44611</v>
      </c>
      <c r="F384" s="316">
        <f t="shared" si="15"/>
        <v>0</v>
      </c>
      <c r="G384" s="316">
        <f t="shared" si="13"/>
        <v>0</v>
      </c>
      <c r="H384" s="432">
        <f t="shared" si="16"/>
        <v>0</v>
      </c>
    </row>
    <row r="385" spans="5:8" s="432" customFormat="1" hidden="1" x14ac:dyDescent="0.35">
      <c r="E385" s="594">
        <f t="shared" si="14"/>
        <v>44612</v>
      </c>
      <c r="F385" s="316">
        <f t="shared" si="15"/>
        <v>0</v>
      </c>
      <c r="G385" s="316">
        <f t="shared" si="13"/>
        <v>0</v>
      </c>
      <c r="H385" s="432">
        <f t="shared" si="16"/>
        <v>0</v>
      </c>
    </row>
    <row r="386" spans="5:8" s="432" customFormat="1" hidden="1" x14ac:dyDescent="0.35">
      <c r="E386" s="594">
        <f t="shared" si="14"/>
        <v>44613</v>
      </c>
      <c r="F386" s="316">
        <f t="shared" si="15"/>
        <v>0</v>
      </c>
      <c r="G386" s="316">
        <f t="shared" si="13"/>
        <v>0</v>
      </c>
      <c r="H386" s="432">
        <f t="shared" si="16"/>
        <v>0</v>
      </c>
    </row>
    <row r="387" spans="5:8" s="432" customFormat="1" hidden="1" x14ac:dyDescent="0.35">
      <c r="E387" s="594">
        <f t="shared" si="14"/>
        <v>44614</v>
      </c>
      <c r="F387" s="316">
        <f t="shared" si="15"/>
        <v>0</v>
      </c>
      <c r="G387" s="316">
        <f t="shared" si="13"/>
        <v>0</v>
      </c>
      <c r="H387" s="432">
        <f t="shared" si="16"/>
        <v>0</v>
      </c>
    </row>
    <row r="388" spans="5:8" s="432" customFormat="1" hidden="1" x14ac:dyDescent="0.35">
      <c r="E388" s="594">
        <f t="shared" si="14"/>
        <v>44615</v>
      </c>
      <c r="F388" s="316">
        <f t="shared" si="15"/>
        <v>0</v>
      </c>
      <c r="G388" s="316">
        <f t="shared" si="13"/>
        <v>0</v>
      </c>
      <c r="H388" s="432">
        <f t="shared" si="16"/>
        <v>0</v>
      </c>
    </row>
    <row r="389" spans="5:8" s="432" customFormat="1" hidden="1" x14ac:dyDescent="0.35">
      <c r="E389" s="594">
        <f t="shared" si="14"/>
        <v>44616</v>
      </c>
      <c r="F389" s="316">
        <f t="shared" si="15"/>
        <v>0</v>
      </c>
      <c r="G389" s="316">
        <f t="shared" si="13"/>
        <v>0</v>
      </c>
      <c r="H389" s="432">
        <f t="shared" si="16"/>
        <v>0</v>
      </c>
    </row>
    <row r="390" spans="5:8" s="432" customFormat="1" hidden="1" x14ac:dyDescent="0.35">
      <c r="E390" s="594">
        <f t="shared" si="14"/>
        <v>44617</v>
      </c>
      <c r="F390" s="316">
        <f t="shared" si="15"/>
        <v>0</v>
      </c>
      <c r="G390" s="316">
        <f t="shared" si="13"/>
        <v>0</v>
      </c>
      <c r="H390" s="432">
        <f t="shared" si="16"/>
        <v>0</v>
      </c>
    </row>
    <row r="391" spans="5:8" s="432" customFormat="1" hidden="1" x14ac:dyDescent="0.35">
      <c r="E391" s="594">
        <f t="shared" si="14"/>
        <v>44618</v>
      </c>
      <c r="F391" s="316">
        <f t="shared" si="15"/>
        <v>0</v>
      </c>
      <c r="G391" s="316">
        <f t="shared" si="13"/>
        <v>0</v>
      </c>
      <c r="H391" s="432">
        <f t="shared" si="16"/>
        <v>0</v>
      </c>
    </row>
    <row r="392" spans="5:8" s="432" customFormat="1" hidden="1" x14ac:dyDescent="0.35">
      <c r="E392" s="594">
        <f t="shared" si="14"/>
        <v>44619</v>
      </c>
      <c r="F392" s="316">
        <f t="shared" si="15"/>
        <v>0</v>
      </c>
      <c r="G392" s="316">
        <f t="shared" si="13"/>
        <v>0</v>
      </c>
      <c r="H392" s="432">
        <f t="shared" si="16"/>
        <v>0</v>
      </c>
    </row>
    <row r="393" spans="5:8" s="432" customFormat="1" hidden="1" x14ac:dyDescent="0.35">
      <c r="E393" s="594">
        <f t="shared" si="14"/>
        <v>44620</v>
      </c>
      <c r="F393" s="316">
        <f t="shared" si="15"/>
        <v>0</v>
      </c>
      <c r="G393" s="316">
        <f t="shared" si="13"/>
        <v>0</v>
      </c>
      <c r="H393" s="432">
        <f t="shared" si="16"/>
        <v>0</v>
      </c>
    </row>
    <row r="394" spans="5:8" s="432" customFormat="1" hidden="1" x14ac:dyDescent="0.35">
      <c r="E394" s="594">
        <f t="shared" si="14"/>
        <v>44621</v>
      </c>
      <c r="F394" s="316">
        <f t="shared" si="15"/>
        <v>0</v>
      </c>
      <c r="G394" s="316">
        <f t="shared" si="13"/>
        <v>0</v>
      </c>
      <c r="H394" s="432">
        <f t="shared" si="16"/>
        <v>0</v>
      </c>
    </row>
    <row r="395" spans="5:8" s="432" customFormat="1" hidden="1" x14ac:dyDescent="0.35">
      <c r="E395" s="594">
        <f t="shared" si="14"/>
        <v>44622</v>
      </c>
      <c r="F395" s="316">
        <f t="shared" si="15"/>
        <v>0</v>
      </c>
      <c r="G395" s="316">
        <f t="shared" si="13"/>
        <v>0</v>
      </c>
      <c r="H395" s="432">
        <f t="shared" si="16"/>
        <v>0</v>
      </c>
    </row>
    <row r="396" spans="5:8" s="432" customFormat="1" hidden="1" x14ac:dyDescent="0.35">
      <c r="E396" s="594">
        <f t="shared" si="14"/>
        <v>44623</v>
      </c>
      <c r="F396" s="316">
        <f t="shared" si="15"/>
        <v>0</v>
      </c>
      <c r="G396" s="316">
        <f t="shared" si="13"/>
        <v>0</v>
      </c>
      <c r="H396" s="432">
        <f t="shared" si="16"/>
        <v>0</v>
      </c>
    </row>
    <row r="397" spans="5:8" s="432" customFormat="1" hidden="1" x14ac:dyDescent="0.35">
      <c r="E397" s="594">
        <f t="shared" si="14"/>
        <v>44624</v>
      </c>
      <c r="F397" s="316">
        <f t="shared" si="15"/>
        <v>0</v>
      </c>
      <c r="G397" s="316">
        <f t="shared" si="13"/>
        <v>0</v>
      </c>
      <c r="H397" s="432">
        <f t="shared" si="16"/>
        <v>0</v>
      </c>
    </row>
    <row r="398" spans="5:8" s="432" customFormat="1" hidden="1" x14ac:dyDescent="0.35">
      <c r="E398" s="594">
        <f t="shared" si="14"/>
        <v>44625</v>
      </c>
      <c r="F398" s="316">
        <f t="shared" si="15"/>
        <v>0</v>
      </c>
      <c r="G398" s="316">
        <f t="shared" si="13"/>
        <v>0</v>
      </c>
      <c r="H398" s="432">
        <f t="shared" si="16"/>
        <v>0</v>
      </c>
    </row>
    <row r="399" spans="5:8" s="432" customFormat="1" hidden="1" x14ac:dyDescent="0.35">
      <c r="E399" s="594">
        <f t="shared" si="14"/>
        <v>44626</v>
      </c>
      <c r="F399" s="316">
        <f t="shared" si="15"/>
        <v>0</v>
      </c>
      <c r="G399" s="316">
        <f t="shared" si="13"/>
        <v>0</v>
      </c>
      <c r="H399" s="432">
        <f t="shared" si="16"/>
        <v>0</v>
      </c>
    </row>
    <row r="400" spans="5:8" s="432" customFormat="1" hidden="1" x14ac:dyDescent="0.35">
      <c r="E400" s="594">
        <f t="shared" si="14"/>
        <v>44627</v>
      </c>
      <c r="F400" s="316">
        <f t="shared" si="15"/>
        <v>0</v>
      </c>
      <c r="G400" s="316">
        <f t="shared" si="13"/>
        <v>0</v>
      </c>
      <c r="H400" s="432">
        <f t="shared" si="16"/>
        <v>0</v>
      </c>
    </row>
    <row r="401" spans="5:8" s="432" customFormat="1" hidden="1" x14ac:dyDescent="0.35">
      <c r="E401" s="594">
        <f t="shared" si="14"/>
        <v>44628</v>
      </c>
      <c r="F401" s="316">
        <f t="shared" si="15"/>
        <v>0</v>
      </c>
      <c r="G401" s="316">
        <f t="shared" si="13"/>
        <v>0</v>
      </c>
      <c r="H401" s="432">
        <f t="shared" si="16"/>
        <v>0</v>
      </c>
    </row>
    <row r="402" spans="5:8" s="432" customFormat="1" hidden="1" x14ac:dyDescent="0.35">
      <c r="E402" s="594">
        <f t="shared" si="14"/>
        <v>44629</v>
      </c>
      <c r="F402" s="316">
        <f t="shared" si="15"/>
        <v>0</v>
      </c>
      <c r="G402" s="316">
        <f t="shared" si="13"/>
        <v>0</v>
      </c>
      <c r="H402" s="432">
        <f t="shared" si="16"/>
        <v>0</v>
      </c>
    </row>
    <row r="403" spans="5:8" s="432" customFormat="1" hidden="1" x14ac:dyDescent="0.35">
      <c r="E403" s="594">
        <f t="shared" si="14"/>
        <v>44630</v>
      </c>
      <c r="F403" s="316">
        <f t="shared" si="15"/>
        <v>0</v>
      </c>
      <c r="G403" s="316">
        <f t="shared" si="13"/>
        <v>0</v>
      </c>
      <c r="H403" s="432">
        <f t="shared" si="16"/>
        <v>0</v>
      </c>
    </row>
    <row r="404" spans="5:8" s="432" customFormat="1" hidden="1" x14ac:dyDescent="0.35">
      <c r="E404" s="594">
        <f t="shared" si="14"/>
        <v>44631</v>
      </c>
      <c r="F404" s="316">
        <f t="shared" si="15"/>
        <v>0</v>
      </c>
      <c r="G404" s="316">
        <f t="shared" si="13"/>
        <v>0</v>
      </c>
      <c r="H404" s="432">
        <f t="shared" si="16"/>
        <v>0</v>
      </c>
    </row>
    <row r="405" spans="5:8" s="432" customFormat="1" hidden="1" x14ac:dyDescent="0.35">
      <c r="E405" s="594">
        <f t="shared" si="14"/>
        <v>44632</v>
      </c>
      <c r="F405" s="316">
        <f t="shared" si="15"/>
        <v>0</v>
      </c>
      <c r="G405" s="316">
        <f t="shared" si="13"/>
        <v>0</v>
      </c>
      <c r="H405" s="432">
        <f t="shared" si="16"/>
        <v>0</v>
      </c>
    </row>
    <row r="406" spans="5:8" s="432" customFormat="1" hidden="1" x14ac:dyDescent="0.35">
      <c r="E406" s="594">
        <f t="shared" si="14"/>
        <v>44633</v>
      </c>
      <c r="F406" s="316">
        <f t="shared" si="15"/>
        <v>0</v>
      </c>
      <c r="G406" s="316">
        <f t="shared" si="13"/>
        <v>0</v>
      </c>
      <c r="H406" s="432">
        <f t="shared" si="16"/>
        <v>0</v>
      </c>
    </row>
    <row r="407" spans="5:8" s="432" customFormat="1" hidden="1" x14ac:dyDescent="0.35">
      <c r="E407" s="594">
        <f t="shared" si="14"/>
        <v>44634</v>
      </c>
      <c r="F407" s="316">
        <f t="shared" si="15"/>
        <v>0</v>
      </c>
      <c r="G407" s="316">
        <f t="shared" si="13"/>
        <v>0</v>
      </c>
      <c r="H407" s="432">
        <f t="shared" si="16"/>
        <v>0</v>
      </c>
    </row>
    <row r="408" spans="5:8" s="432" customFormat="1" hidden="1" x14ac:dyDescent="0.35">
      <c r="E408" s="594">
        <f t="shared" si="14"/>
        <v>44635</v>
      </c>
      <c r="F408" s="316">
        <f t="shared" si="15"/>
        <v>0</v>
      </c>
      <c r="G408" s="316">
        <f t="shared" ref="G408:G471" si="17">ROUND(F408,-2)</f>
        <v>0</v>
      </c>
      <c r="H408" s="432">
        <f t="shared" si="16"/>
        <v>0</v>
      </c>
    </row>
    <row r="409" spans="5:8" s="432" customFormat="1" hidden="1" x14ac:dyDescent="0.35">
      <c r="E409" s="594">
        <f t="shared" ref="E409:E472" si="18">IF(E408&lt;$C$153,E408+1,$C$153)</f>
        <v>44636</v>
      </c>
      <c r="F409" s="316">
        <f t="shared" ref="F409:F472" si="19">IF(E408&lt;$C$153,F408+C$155,F408)</f>
        <v>0</v>
      </c>
      <c r="G409" s="316">
        <f t="shared" si="17"/>
        <v>0</v>
      </c>
      <c r="H409" s="432">
        <f t="shared" ref="H409:H472" si="20">IF(F409&gt;F408,(VLOOKUP(G409,$K$151:$O$157,MATCH($C$156,$K$151:$O$151,0),0)),0)</f>
        <v>0</v>
      </c>
    </row>
    <row r="410" spans="5:8" s="432" customFormat="1" hidden="1" x14ac:dyDescent="0.35">
      <c r="E410" s="594">
        <f t="shared" si="18"/>
        <v>44637</v>
      </c>
      <c r="F410" s="316">
        <f t="shared" si="19"/>
        <v>0</v>
      </c>
      <c r="G410" s="316">
        <f t="shared" si="17"/>
        <v>0</v>
      </c>
      <c r="H410" s="432">
        <f t="shared" si="20"/>
        <v>0</v>
      </c>
    </row>
    <row r="411" spans="5:8" s="432" customFormat="1" hidden="1" x14ac:dyDescent="0.35">
      <c r="E411" s="594">
        <f t="shared" si="18"/>
        <v>44638</v>
      </c>
      <c r="F411" s="316">
        <f t="shared" si="19"/>
        <v>0</v>
      </c>
      <c r="G411" s="316">
        <f t="shared" si="17"/>
        <v>0</v>
      </c>
      <c r="H411" s="432">
        <f t="shared" si="20"/>
        <v>0</v>
      </c>
    </row>
    <row r="412" spans="5:8" s="432" customFormat="1" hidden="1" x14ac:dyDescent="0.35">
      <c r="E412" s="594">
        <f t="shared" si="18"/>
        <v>44639</v>
      </c>
      <c r="F412" s="316">
        <f t="shared" si="19"/>
        <v>0</v>
      </c>
      <c r="G412" s="316">
        <f t="shared" si="17"/>
        <v>0</v>
      </c>
      <c r="H412" s="432">
        <f t="shared" si="20"/>
        <v>0</v>
      </c>
    </row>
    <row r="413" spans="5:8" s="432" customFormat="1" hidden="1" x14ac:dyDescent="0.35">
      <c r="E413" s="594">
        <f t="shared" si="18"/>
        <v>44640</v>
      </c>
      <c r="F413" s="316">
        <f t="shared" si="19"/>
        <v>0</v>
      </c>
      <c r="G413" s="316">
        <f t="shared" si="17"/>
        <v>0</v>
      </c>
      <c r="H413" s="432">
        <f t="shared" si="20"/>
        <v>0</v>
      </c>
    </row>
    <row r="414" spans="5:8" s="432" customFormat="1" hidden="1" x14ac:dyDescent="0.35">
      <c r="E414" s="594">
        <f t="shared" si="18"/>
        <v>44641</v>
      </c>
      <c r="F414" s="316">
        <f t="shared" si="19"/>
        <v>0</v>
      </c>
      <c r="G414" s="316">
        <f t="shared" si="17"/>
        <v>0</v>
      </c>
      <c r="H414" s="432">
        <f t="shared" si="20"/>
        <v>0</v>
      </c>
    </row>
    <row r="415" spans="5:8" s="432" customFormat="1" hidden="1" x14ac:dyDescent="0.35">
      <c r="E415" s="594">
        <f t="shared" si="18"/>
        <v>44642</v>
      </c>
      <c r="F415" s="316">
        <f t="shared" si="19"/>
        <v>0</v>
      </c>
      <c r="G415" s="316">
        <f t="shared" si="17"/>
        <v>0</v>
      </c>
      <c r="H415" s="432">
        <f t="shared" si="20"/>
        <v>0</v>
      </c>
    </row>
    <row r="416" spans="5:8" s="432" customFormat="1" hidden="1" x14ac:dyDescent="0.35">
      <c r="E416" s="594">
        <f t="shared" si="18"/>
        <v>44643</v>
      </c>
      <c r="F416" s="316">
        <f t="shared" si="19"/>
        <v>0</v>
      </c>
      <c r="G416" s="316">
        <f t="shared" si="17"/>
        <v>0</v>
      </c>
      <c r="H416" s="432">
        <f t="shared" si="20"/>
        <v>0</v>
      </c>
    </row>
    <row r="417" spans="5:8" s="432" customFormat="1" hidden="1" x14ac:dyDescent="0.35">
      <c r="E417" s="594">
        <f t="shared" si="18"/>
        <v>44644</v>
      </c>
      <c r="F417" s="316">
        <f t="shared" si="19"/>
        <v>0</v>
      </c>
      <c r="G417" s="316">
        <f t="shared" si="17"/>
        <v>0</v>
      </c>
      <c r="H417" s="432">
        <f t="shared" si="20"/>
        <v>0</v>
      </c>
    </row>
    <row r="418" spans="5:8" s="432" customFormat="1" hidden="1" x14ac:dyDescent="0.35">
      <c r="E418" s="594">
        <f t="shared" si="18"/>
        <v>44645</v>
      </c>
      <c r="F418" s="316">
        <f t="shared" si="19"/>
        <v>0</v>
      </c>
      <c r="G418" s="316">
        <f t="shared" si="17"/>
        <v>0</v>
      </c>
      <c r="H418" s="432">
        <f t="shared" si="20"/>
        <v>0</v>
      </c>
    </row>
    <row r="419" spans="5:8" s="432" customFormat="1" hidden="1" x14ac:dyDescent="0.35">
      <c r="E419" s="594">
        <f t="shared" si="18"/>
        <v>44646</v>
      </c>
      <c r="F419" s="316">
        <f t="shared" si="19"/>
        <v>0</v>
      </c>
      <c r="G419" s="316">
        <f t="shared" si="17"/>
        <v>0</v>
      </c>
      <c r="H419" s="432">
        <f t="shared" si="20"/>
        <v>0</v>
      </c>
    </row>
    <row r="420" spans="5:8" s="432" customFormat="1" hidden="1" x14ac:dyDescent="0.35">
      <c r="E420" s="594">
        <f t="shared" si="18"/>
        <v>44647</v>
      </c>
      <c r="F420" s="316">
        <f t="shared" si="19"/>
        <v>0</v>
      </c>
      <c r="G420" s="316">
        <f t="shared" si="17"/>
        <v>0</v>
      </c>
      <c r="H420" s="432">
        <f t="shared" si="20"/>
        <v>0</v>
      </c>
    </row>
    <row r="421" spans="5:8" s="432" customFormat="1" hidden="1" x14ac:dyDescent="0.35">
      <c r="E421" s="594">
        <f t="shared" si="18"/>
        <v>44648</v>
      </c>
      <c r="F421" s="316">
        <f t="shared" si="19"/>
        <v>0</v>
      </c>
      <c r="G421" s="316">
        <f t="shared" si="17"/>
        <v>0</v>
      </c>
      <c r="H421" s="432">
        <f t="shared" si="20"/>
        <v>0</v>
      </c>
    </row>
    <row r="422" spans="5:8" s="432" customFormat="1" hidden="1" x14ac:dyDescent="0.35">
      <c r="E422" s="594">
        <f t="shared" si="18"/>
        <v>44649</v>
      </c>
      <c r="F422" s="316">
        <f t="shared" si="19"/>
        <v>0</v>
      </c>
      <c r="G422" s="316">
        <f t="shared" si="17"/>
        <v>0</v>
      </c>
      <c r="H422" s="432">
        <f t="shared" si="20"/>
        <v>0</v>
      </c>
    </row>
    <row r="423" spans="5:8" s="432" customFormat="1" hidden="1" x14ac:dyDescent="0.35">
      <c r="E423" s="594">
        <f t="shared" si="18"/>
        <v>44650</v>
      </c>
      <c r="F423" s="316">
        <f t="shared" si="19"/>
        <v>0</v>
      </c>
      <c r="G423" s="316">
        <f t="shared" si="17"/>
        <v>0</v>
      </c>
      <c r="H423" s="432">
        <f t="shared" si="20"/>
        <v>0</v>
      </c>
    </row>
    <row r="424" spans="5:8" s="432" customFormat="1" hidden="1" x14ac:dyDescent="0.35">
      <c r="E424" s="594">
        <f t="shared" si="18"/>
        <v>44651</v>
      </c>
      <c r="F424" s="316">
        <f t="shared" si="19"/>
        <v>0</v>
      </c>
      <c r="G424" s="316">
        <f t="shared" si="17"/>
        <v>0</v>
      </c>
      <c r="H424" s="432">
        <f t="shared" si="20"/>
        <v>0</v>
      </c>
    </row>
    <row r="425" spans="5:8" s="432" customFormat="1" hidden="1" x14ac:dyDescent="0.35">
      <c r="E425" s="594">
        <f t="shared" si="18"/>
        <v>44652</v>
      </c>
      <c r="F425" s="316">
        <f t="shared" si="19"/>
        <v>0</v>
      </c>
      <c r="G425" s="316">
        <f t="shared" si="17"/>
        <v>0</v>
      </c>
      <c r="H425" s="432">
        <f t="shared" si="20"/>
        <v>0</v>
      </c>
    </row>
    <row r="426" spans="5:8" s="432" customFormat="1" hidden="1" x14ac:dyDescent="0.35">
      <c r="E426" s="594">
        <f t="shared" si="18"/>
        <v>44653</v>
      </c>
      <c r="F426" s="316">
        <f t="shared" si="19"/>
        <v>0</v>
      </c>
      <c r="G426" s="316">
        <f t="shared" si="17"/>
        <v>0</v>
      </c>
      <c r="H426" s="432">
        <f t="shared" si="20"/>
        <v>0</v>
      </c>
    </row>
    <row r="427" spans="5:8" s="432" customFormat="1" hidden="1" x14ac:dyDescent="0.35">
      <c r="E427" s="594">
        <f t="shared" si="18"/>
        <v>44654</v>
      </c>
      <c r="F427" s="316">
        <f t="shared" si="19"/>
        <v>0</v>
      </c>
      <c r="G427" s="316">
        <f t="shared" si="17"/>
        <v>0</v>
      </c>
      <c r="H427" s="432">
        <f t="shared" si="20"/>
        <v>0</v>
      </c>
    </row>
    <row r="428" spans="5:8" s="432" customFormat="1" hidden="1" x14ac:dyDescent="0.35">
      <c r="E428" s="594">
        <f t="shared" si="18"/>
        <v>44655</v>
      </c>
      <c r="F428" s="316">
        <f t="shared" si="19"/>
        <v>0</v>
      </c>
      <c r="G428" s="316">
        <f t="shared" si="17"/>
        <v>0</v>
      </c>
      <c r="H428" s="432">
        <f t="shared" si="20"/>
        <v>0</v>
      </c>
    </row>
    <row r="429" spans="5:8" s="432" customFormat="1" hidden="1" x14ac:dyDescent="0.35">
      <c r="E429" s="594">
        <f t="shared" si="18"/>
        <v>44656</v>
      </c>
      <c r="F429" s="316">
        <f t="shared" si="19"/>
        <v>0</v>
      </c>
      <c r="G429" s="316">
        <f t="shared" si="17"/>
        <v>0</v>
      </c>
      <c r="H429" s="432">
        <f t="shared" si="20"/>
        <v>0</v>
      </c>
    </row>
    <row r="430" spans="5:8" s="432" customFormat="1" hidden="1" x14ac:dyDescent="0.35">
      <c r="E430" s="594">
        <f t="shared" si="18"/>
        <v>44657</v>
      </c>
      <c r="F430" s="316">
        <f t="shared" si="19"/>
        <v>0</v>
      </c>
      <c r="G430" s="316">
        <f t="shared" si="17"/>
        <v>0</v>
      </c>
      <c r="H430" s="432">
        <f t="shared" si="20"/>
        <v>0</v>
      </c>
    </row>
    <row r="431" spans="5:8" s="432" customFormat="1" hidden="1" x14ac:dyDescent="0.35">
      <c r="E431" s="594">
        <f t="shared" si="18"/>
        <v>44658</v>
      </c>
      <c r="F431" s="316">
        <f t="shared" si="19"/>
        <v>0</v>
      </c>
      <c r="G431" s="316">
        <f t="shared" si="17"/>
        <v>0</v>
      </c>
      <c r="H431" s="432">
        <f t="shared" si="20"/>
        <v>0</v>
      </c>
    </row>
    <row r="432" spans="5:8" s="432" customFormat="1" hidden="1" x14ac:dyDescent="0.35">
      <c r="E432" s="594">
        <f t="shared" si="18"/>
        <v>44659</v>
      </c>
      <c r="F432" s="316">
        <f t="shared" si="19"/>
        <v>0</v>
      </c>
      <c r="G432" s="316">
        <f t="shared" si="17"/>
        <v>0</v>
      </c>
      <c r="H432" s="432">
        <f t="shared" si="20"/>
        <v>0</v>
      </c>
    </row>
    <row r="433" spans="5:8" s="432" customFormat="1" hidden="1" x14ac:dyDescent="0.35">
      <c r="E433" s="594">
        <f t="shared" si="18"/>
        <v>44660</v>
      </c>
      <c r="F433" s="316">
        <f t="shared" si="19"/>
        <v>0</v>
      </c>
      <c r="G433" s="316">
        <f t="shared" si="17"/>
        <v>0</v>
      </c>
      <c r="H433" s="432">
        <f t="shared" si="20"/>
        <v>0</v>
      </c>
    </row>
    <row r="434" spans="5:8" s="432" customFormat="1" hidden="1" x14ac:dyDescent="0.35">
      <c r="E434" s="594">
        <f t="shared" si="18"/>
        <v>44661</v>
      </c>
      <c r="F434" s="316">
        <f t="shared" si="19"/>
        <v>0</v>
      </c>
      <c r="G434" s="316">
        <f t="shared" si="17"/>
        <v>0</v>
      </c>
      <c r="H434" s="432">
        <f t="shared" si="20"/>
        <v>0</v>
      </c>
    </row>
    <row r="435" spans="5:8" s="432" customFormat="1" hidden="1" x14ac:dyDescent="0.35">
      <c r="E435" s="594">
        <f t="shared" si="18"/>
        <v>44662</v>
      </c>
      <c r="F435" s="316">
        <f t="shared" si="19"/>
        <v>0</v>
      </c>
      <c r="G435" s="316">
        <f t="shared" si="17"/>
        <v>0</v>
      </c>
      <c r="H435" s="432">
        <f t="shared" si="20"/>
        <v>0</v>
      </c>
    </row>
    <row r="436" spans="5:8" s="432" customFormat="1" hidden="1" x14ac:dyDescent="0.35">
      <c r="E436" s="594">
        <f t="shared" si="18"/>
        <v>44663</v>
      </c>
      <c r="F436" s="316">
        <f t="shared" si="19"/>
        <v>0</v>
      </c>
      <c r="G436" s="316">
        <f t="shared" si="17"/>
        <v>0</v>
      </c>
      <c r="H436" s="432">
        <f t="shared" si="20"/>
        <v>0</v>
      </c>
    </row>
    <row r="437" spans="5:8" s="432" customFormat="1" hidden="1" x14ac:dyDescent="0.35">
      <c r="E437" s="594">
        <f t="shared" si="18"/>
        <v>44664</v>
      </c>
      <c r="F437" s="316">
        <f t="shared" si="19"/>
        <v>0</v>
      </c>
      <c r="G437" s="316">
        <f t="shared" si="17"/>
        <v>0</v>
      </c>
      <c r="H437" s="432">
        <f t="shared" si="20"/>
        <v>0</v>
      </c>
    </row>
    <row r="438" spans="5:8" s="432" customFormat="1" hidden="1" x14ac:dyDescent="0.35">
      <c r="E438" s="594">
        <f t="shared" si="18"/>
        <v>44665</v>
      </c>
      <c r="F438" s="316">
        <f t="shared" si="19"/>
        <v>0</v>
      </c>
      <c r="G438" s="316">
        <f t="shared" si="17"/>
        <v>0</v>
      </c>
      <c r="H438" s="432">
        <f t="shared" si="20"/>
        <v>0</v>
      </c>
    </row>
    <row r="439" spans="5:8" s="432" customFormat="1" hidden="1" x14ac:dyDescent="0.35">
      <c r="E439" s="594">
        <f t="shared" si="18"/>
        <v>44666</v>
      </c>
      <c r="F439" s="316">
        <f t="shared" si="19"/>
        <v>0</v>
      </c>
      <c r="G439" s="316">
        <f t="shared" si="17"/>
        <v>0</v>
      </c>
      <c r="H439" s="432">
        <f t="shared" si="20"/>
        <v>0</v>
      </c>
    </row>
    <row r="440" spans="5:8" s="432" customFormat="1" hidden="1" x14ac:dyDescent="0.35">
      <c r="E440" s="594">
        <f t="shared" si="18"/>
        <v>44667</v>
      </c>
      <c r="F440" s="316">
        <f t="shared" si="19"/>
        <v>0</v>
      </c>
      <c r="G440" s="316">
        <f t="shared" si="17"/>
        <v>0</v>
      </c>
      <c r="H440" s="432">
        <f t="shared" si="20"/>
        <v>0</v>
      </c>
    </row>
    <row r="441" spans="5:8" s="432" customFormat="1" hidden="1" x14ac:dyDescent="0.35">
      <c r="E441" s="594">
        <f t="shared" si="18"/>
        <v>44668</v>
      </c>
      <c r="F441" s="316">
        <f t="shared" si="19"/>
        <v>0</v>
      </c>
      <c r="G441" s="316">
        <f t="shared" si="17"/>
        <v>0</v>
      </c>
      <c r="H441" s="432">
        <f t="shared" si="20"/>
        <v>0</v>
      </c>
    </row>
    <row r="442" spans="5:8" s="432" customFormat="1" hidden="1" x14ac:dyDescent="0.35">
      <c r="E442" s="594">
        <f t="shared" si="18"/>
        <v>44669</v>
      </c>
      <c r="F442" s="316">
        <f t="shared" si="19"/>
        <v>0</v>
      </c>
      <c r="G442" s="316">
        <f t="shared" si="17"/>
        <v>0</v>
      </c>
      <c r="H442" s="432">
        <f t="shared" si="20"/>
        <v>0</v>
      </c>
    </row>
    <row r="443" spans="5:8" s="432" customFormat="1" hidden="1" x14ac:dyDescent="0.35">
      <c r="E443" s="594">
        <f t="shared" si="18"/>
        <v>44670</v>
      </c>
      <c r="F443" s="316">
        <f t="shared" si="19"/>
        <v>0</v>
      </c>
      <c r="G443" s="316">
        <f t="shared" si="17"/>
        <v>0</v>
      </c>
      <c r="H443" s="432">
        <f t="shared" si="20"/>
        <v>0</v>
      </c>
    </row>
    <row r="444" spans="5:8" s="432" customFormat="1" hidden="1" x14ac:dyDescent="0.35">
      <c r="E444" s="594">
        <f t="shared" si="18"/>
        <v>44671</v>
      </c>
      <c r="F444" s="316">
        <f t="shared" si="19"/>
        <v>0</v>
      </c>
      <c r="G444" s="316">
        <f t="shared" si="17"/>
        <v>0</v>
      </c>
      <c r="H444" s="432">
        <f t="shared" si="20"/>
        <v>0</v>
      </c>
    </row>
    <row r="445" spans="5:8" s="432" customFormat="1" hidden="1" x14ac:dyDescent="0.35">
      <c r="E445" s="594">
        <f t="shared" si="18"/>
        <v>44672</v>
      </c>
      <c r="F445" s="316">
        <f t="shared" si="19"/>
        <v>0</v>
      </c>
      <c r="G445" s="316">
        <f t="shared" si="17"/>
        <v>0</v>
      </c>
      <c r="H445" s="432">
        <f t="shared" si="20"/>
        <v>0</v>
      </c>
    </row>
    <row r="446" spans="5:8" s="432" customFormat="1" hidden="1" x14ac:dyDescent="0.35">
      <c r="E446" s="594">
        <f t="shared" si="18"/>
        <v>44673</v>
      </c>
      <c r="F446" s="316">
        <f t="shared" si="19"/>
        <v>0</v>
      </c>
      <c r="G446" s="316">
        <f t="shared" si="17"/>
        <v>0</v>
      </c>
      <c r="H446" s="432">
        <f t="shared" si="20"/>
        <v>0</v>
      </c>
    </row>
    <row r="447" spans="5:8" s="432" customFormat="1" hidden="1" x14ac:dyDescent="0.35">
      <c r="E447" s="594">
        <f t="shared" si="18"/>
        <v>44674</v>
      </c>
      <c r="F447" s="316">
        <f t="shared" si="19"/>
        <v>0</v>
      </c>
      <c r="G447" s="316">
        <f t="shared" si="17"/>
        <v>0</v>
      </c>
      <c r="H447" s="432">
        <f t="shared" si="20"/>
        <v>0</v>
      </c>
    </row>
    <row r="448" spans="5:8" s="432" customFormat="1" hidden="1" x14ac:dyDescent="0.35">
      <c r="E448" s="594">
        <f t="shared" si="18"/>
        <v>44675</v>
      </c>
      <c r="F448" s="316">
        <f t="shared" si="19"/>
        <v>0</v>
      </c>
      <c r="G448" s="316">
        <f t="shared" si="17"/>
        <v>0</v>
      </c>
      <c r="H448" s="432">
        <f t="shared" si="20"/>
        <v>0</v>
      </c>
    </row>
    <row r="449" spans="5:8" s="432" customFormat="1" hidden="1" x14ac:dyDescent="0.35">
      <c r="E449" s="594">
        <f t="shared" si="18"/>
        <v>44676</v>
      </c>
      <c r="F449" s="316">
        <f t="shared" si="19"/>
        <v>0</v>
      </c>
      <c r="G449" s="316">
        <f t="shared" si="17"/>
        <v>0</v>
      </c>
      <c r="H449" s="432">
        <f t="shared" si="20"/>
        <v>0</v>
      </c>
    </row>
    <row r="450" spans="5:8" s="432" customFormat="1" hidden="1" x14ac:dyDescent="0.35">
      <c r="E450" s="594">
        <f t="shared" si="18"/>
        <v>44677</v>
      </c>
      <c r="F450" s="316">
        <f t="shared" si="19"/>
        <v>0</v>
      </c>
      <c r="G450" s="316">
        <f t="shared" si="17"/>
        <v>0</v>
      </c>
      <c r="H450" s="432">
        <f t="shared" si="20"/>
        <v>0</v>
      </c>
    </row>
    <row r="451" spans="5:8" s="432" customFormat="1" hidden="1" x14ac:dyDescent="0.35">
      <c r="E451" s="594">
        <f t="shared" si="18"/>
        <v>44678</v>
      </c>
      <c r="F451" s="316">
        <f t="shared" si="19"/>
        <v>0</v>
      </c>
      <c r="G451" s="316">
        <f t="shared" si="17"/>
        <v>0</v>
      </c>
      <c r="H451" s="432">
        <f t="shared" si="20"/>
        <v>0</v>
      </c>
    </row>
    <row r="452" spans="5:8" s="432" customFormat="1" hidden="1" x14ac:dyDescent="0.35">
      <c r="E452" s="594">
        <f t="shared" si="18"/>
        <v>44679</v>
      </c>
      <c r="F452" s="316">
        <f t="shared" si="19"/>
        <v>0</v>
      </c>
      <c r="G452" s="316">
        <f t="shared" si="17"/>
        <v>0</v>
      </c>
      <c r="H452" s="432">
        <f t="shared" si="20"/>
        <v>0</v>
      </c>
    </row>
    <row r="453" spans="5:8" s="432" customFormat="1" hidden="1" x14ac:dyDescent="0.35">
      <c r="E453" s="594">
        <f t="shared" si="18"/>
        <v>44680</v>
      </c>
      <c r="F453" s="316">
        <f t="shared" si="19"/>
        <v>0</v>
      </c>
      <c r="G453" s="316">
        <f t="shared" si="17"/>
        <v>0</v>
      </c>
      <c r="H453" s="432">
        <f t="shared" si="20"/>
        <v>0</v>
      </c>
    </row>
    <row r="454" spans="5:8" s="432" customFormat="1" hidden="1" x14ac:dyDescent="0.35">
      <c r="E454" s="594">
        <f t="shared" si="18"/>
        <v>44681</v>
      </c>
      <c r="F454" s="316">
        <f t="shared" si="19"/>
        <v>0</v>
      </c>
      <c r="G454" s="316">
        <f t="shared" si="17"/>
        <v>0</v>
      </c>
      <c r="H454" s="432">
        <f t="shared" si="20"/>
        <v>0</v>
      </c>
    </row>
    <row r="455" spans="5:8" s="432" customFormat="1" hidden="1" x14ac:dyDescent="0.35">
      <c r="E455" s="594">
        <f t="shared" si="18"/>
        <v>44682</v>
      </c>
      <c r="F455" s="316">
        <f t="shared" si="19"/>
        <v>0</v>
      </c>
      <c r="G455" s="316">
        <f t="shared" si="17"/>
        <v>0</v>
      </c>
      <c r="H455" s="432">
        <f t="shared" si="20"/>
        <v>0</v>
      </c>
    </row>
    <row r="456" spans="5:8" s="432" customFormat="1" hidden="1" x14ac:dyDescent="0.35">
      <c r="E456" s="594">
        <f t="shared" si="18"/>
        <v>44683</v>
      </c>
      <c r="F456" s="316">
        <f t="shared" si="19"/>
        <v>0</v>
      </c>
      <c r="G456" s="316">
        <f t="shared" si="17"/>
        <v>0</v>
      </c>
      <c r="H456" s="432">
        <f t="shared" si="20"/>
        <v>0</v>
      </c>
    </row>
    <row r="457" spans="5:8" s="432" customFormat="1" hidden="1" x14ac:dyDescent="0.35">
      <c r="E457" s="594">
        <f t="shared" si="18"/>
        <v>44684</v>
      </c>
      <c r="F457" s="316">
        <f t="shared" si="19"/>
        <v>0</v>
      </c>
      <c r="G457" s="316">
        <f t="shared" si="17"/>
        <v>0</v>
      </c>
      <c r="H457" s="432">
        <f t="shared" si="20"/>
        <v>0</v>
      </c>
    </row>
    <row r="458" spans="5:8" s="432" customFormat="1" hidden="1" x14ac:dyDescent="0.35">
      <c r="E458" s="594">
        <f t="shared" si="18"/>
        <v>44685</v>
      </c>
      <c r="F458" s="316">
        <f t="shared" si="19"/>
        <v>0</v>
      </c>
      <c r="G458" s="316">
        <f t="shared" si="17"/>
        <v>0</v>
      </c>
      <c r="H458" s="432">
        <f t="shared" si="20"/>
        <v>0</v>
      </c>
    </row>
    <row r="459" spans="5:8" s="432" customFormat="1" hidden="1" x14ac:dyDescent="0.35">
      <c r="E459" s="594">
        <f t="shared" si="18"/>
        <v>44686</v>
      </c>
      <c r="F459" s="316">
        <f t="shared" si="19"/>
        <v>0</v>
      </c>
      <c r="G459" s="316">
        <f t="shared" si="17"/>
        <v>0</v>
      </c>
      <c r="H459" s="432">
        <f t="shared" si="20"/>
        <v>0</v>
      </c>
    </row>
    <row r="460" spans="5:8" s="432" customFormat="1" hidden="1" x14ac:dyDescent="0.35">
      <c r="E460" s="594">
        <f t="shared" si="18"/>
        <v>44687</v>
      </c>
      <c r="F460" s="316">
        <f t="shared" si="19"/>
        <v>0</v>
      </c>
      <c r="G460" s="316">
        <f t="shared" si="17"/>
        <v>0</v>
      </c>
      <c r="H460" s="432">
        <f t="shared" si="20"/>
        <v>0</v>
      </c>
    </row>
    <row r="461" spans="5:8" s="432" customFormat="1" hidden="1" x14ac:dyDescent="0.35">
      <c r="E461" s="594">
        <f t="shared" si="18"/>
        <v>44688</v>
      </c>
      <c r="F461" s="316">
        <f t="shared" si="19"/>
        <v>0</v>
      </c>
      <c r="G461" s="316">
        <f t="shared" si="17"/>
        <v>0</v>
      </c>
      <c r="H461" s="432">
        <f t="shared" si="20"/>
        <v>0</v>
      </c>
    </row>
    <row r="462" spans="5:8" s="432" customFormat="1" hidden="1" x14ac:dyDescent="0.35">
      <c r="E462" s="594">
        <f t="shared" si="18"/>
        <v>44689</v>
      </c>
      <c r="F462" s="316">
        <f t="shared" si="19"/>
        <v>0</v>
      </c>
      <c r="G462" s="316">
        <f t="shared" si="17"/>
        <v>0</v>
      </c>
      <c r="H462" s="432">
        <f t="shared" si="20"/>
        <v>0</v>
      </c>
    </row>
    <row r="463" spans="5:8" s="432" customFormat="1" hidden="1" x14ac:dyDescent="0.35">
      <c r="E463" s="594">
        <f t="shared" si="18"/>
        <v>44690</v>
      </c>
      <c r="F463" s="316">
        <f t="shared" si="19"/>
        <v>0</v>
      </c>
      <c r="G463" s="316">
        <f t="shared" si="17"/>
        <v>0</v>
      </c>
      <c r="H463" s="432">
        <f t="shared" si="20"/>
        <v>0</v>
      </c>
    </row>
    <row r="464" spans="5:8" s="432" customFormat="1" hidden="1" x14ac:dyDescent="0.35">
      <c r="E464" s="594">
        <f t="shared" si="18"/>
        <v>44691</v>
      </c>
      <c r="F464" s="316">
        <f t="shared" si="19"/>
        <v>0</v>
      </c>
      <c r="G464" s="316">
        <f t="shared" si="17"/>
        <v>0</v>
      </c>
      <c r="H464" s="432">
        <f t="shared" si="20"/>
        <v>0</v>
      </c>
    </row>
    <row r="465" spans="5:8" s="432" customFormat="1" hidden="1" x14ac:dyDescent="0.35">
      <c r="E465" s="594">
        <f t="shared" si="18"/>
        <v>44692</v>
      </c>
      <c r="F465" s="316">
        <f t="shared" si="19"/>
        <v>0</v>
      </c>
      <c r="G465" s="316">
        <f t="shared" si="17"/>
        <v>0</v>
      </c>
      <c r="H465" s="432">
        <f t="shared" si="20"/>
        <v>0</v>
      </c>
    </row>
    <row r="466" spans="5:8" s="432" customFormat="1" hidden="1" x14ac:dyDescent="0.35">
      <c r="E466" s="594">
        <f t="shared" si="18"/>
        <v>44693</v>
      </c>
      <c r="F466" s="316">
        <f t="shared" si="19"/>
        <v>0</v>
      </c>
      <c r="G466" s="316">
        <f t="shared" si="17"/>
        <v>0</v>
      </c>
      <c r="H466" s="432">
        <f t="shared" si="20"/>
        <v>0</v>
      </c>
    </row>
    <row r="467" spans="5:8" s="432" customFormat="1" hidden="1" x14ac:dyDescent="0.35">
      <c r="E467" s="594">
        <f t="shared" si="18"/>
        <v>44694</v>
      </c>
      <c r="F467" s="316">
        <f t="shared" si="19"/>
        <v>0</v>
      </c>
      <c r="G467" s="316">
        <f t="shared" si="17"/>
        <v>0</v>
      </c>
      <c r="H467" s="432">
        <f t="shared" si="20"/>
        <v>0</v>
      </c>
    </row>
    <row r="468" spans="5:8" s="432" customFormat="1" hidden="1" x14ac:dyDescent="0.35">
      <c r="E468" s="594">
        <f t="shared" si="18"/>
        <v>44695</v>
      </c>
      <c r="F468" s="316">
        <f t="shared" si="19"/>
        <v>0</v>
      </c>
      <c r="G468" s="316">
        <f t="shared" si="17"/>
        <v>0</v>
      </c>
      <c r="H468" s="432">
        <f t="shared" si="20"/>
        <v>0</v>
      </c>
    </row>
    <row r="469" spans="5:8" s="432" customFormat="1" hidden="1" x14ac:dyDescent="0.35">
      <c r="E469" s="594">
        <f t="shared" si="18"/>
        <v>44696</v>
      </c>
      <c r="F469" s="316">
        <f t="shared" si="19"/>
        <v>0</v>
      </c>
      <c r="G469" s="316">
        <f t="shared" si="17"/>
        <v>0</v>
      </c>
      <c r="H469" s="432">
        <f t="shared" si="20"/>
        <v>0</v>
      </c>
    </row>
    <row r="470" spans="5:8" s="432" customFormat="1" hidden="1" x14ac:dyDescent="0.35">
      <c r="E470" s="594">
        <f t="shared" si="18"/>
        <v>44697</v>
      </c>
      <c r="F470" s="316">
        <f t="shared" si="19"/>
        <v>0</v>
      </c>
      <c r="G470" s="316">
        <f t="shared" si="17"/>
        <v>0</v>
      </c>
      <c r="H470" s="432">
        <f t="shared" si="20"/>
        <v>0</v>
      </c>
    </row>
    <row r="471" spans="5:8" s="432" customFormat="1" hidden="1" x14ac:dyDescent="0.35">
      <c r="E471" s="594">
        <f t="shared" si="18"/>
        <v>44698</v>
      </c>
      <c r="F471" s="316">
        <f t="shared" si="19"/>
        <v>0</v>
      </c>
      <c r="G471" s="316">
        <f t="shared" si="17"/>
        <v>0</v>
      </c>
      <c r="H471" s="432">
        <f t="shared" si="20"/>
        <v>0</v>
      </c>
    </row>
    <row r="472" spans="5:8" s="432" customFormat="1" hidden="1" x14ac:dyDescent="0.35">
      <c r="E472" s="594">
        <f t="shared" si="18"/>
        <v>44699</v>
      </c>
      <c r="F472" s="316">
        <f t="shared" si="19"/>
        <v>0</v>
      </c>
      <c r="G472" s="316">
        <f t="shared" ref="G472:G535" si="21">ROUND(F472,-2)</f>
        <v>0</v>
      </c>
      <c r="H472" s="432">
        <f t="shared" si="20"/>
        <v>0</v>
      </c>
    </row>
    <row r="473" spans="5:8" s="432" customFormat="1" hidden="1" x14ac:dyDescent="0.35">
      <c r="E473" s="594">
        <f t="shared" ref="E473:E536" si="22">IF(E472&lt;$C$153,E472+1,$C$153)</f>
        <v>44700</v>
      </c>
      <c r="F473" s="316">
        <f t="shared" ref="F473:F536" si="23">IF(E472&lt;$C$153,F472+C$155,F472)</f>
        <v>0</v>
      </c>
      <c r="G473" s="316">
        <f t="shared" si="21"/>
        <v>0</v>
      </c>
      <c r="H473" s="432">
        <f t="shared" ref="H473:H536" si="24">IF(F473&gt;F472,(VLOOKUP(G473,$K$151:$O$157,MATCH($C$156,$K$151:$O$151,0),0)),0)</f>
        <v>0</v>
      </c>
    </row>
    <row r="474" spans="5:8" s="432" customFormat="1" hidden="1" x14ac:dyDescent="0.35">
      <c r="E474" s="594">
        <f t="shared" si="22"/>
        <v>44701</v>
      </c>
      <c r="F474" s="316">
        <f t="shared" si="23"/>
        <v>0</v>
      </c>
      <c r="G474" s="316">
        <f t="shared" si="21"/>
        <v>0</v>
      </c>
      <c r="H474" s="432">
        <f t="shared" si="24"/>
        <v>0</v>
      </c>
    </row>
    <row r="475" spans="5:8" s="432" customFormat="1" hidden="1" x14ac:dyDescent="0.35">
      <c r="E475" s="594">
        <f t="shared" si="22"/>
        <v>44702</v>
      </c>
      <c r="F475" s="316">
        <f t="shared" si="23"/>
        <v>0</v>
      </c>
      <c r="G475" s="316">
        <f t="shared" si="21"/>
        <v>0</v>
      </c>
      <c r="H475" s="432">
        <f t="shared" si="24"/>
        <v>0</v>
      </c>
    </row>
    <row r="476" spans="5:8" s="432" customFormat="1" hidden="1" x14ac:dyDescent="0.35">
      <c r="E476" s="594">
        <f t="shared" si="22"/>
        <v>44703</v>
      </c>
      <c r="F476" s="316">
        <f t="shared" si="23"/>
        <v>0</v>
      </c>
      <c r="G476" s="316">
        <f t="shared" si="21"/>
        <v>0</v>
      </c>
      <c r="H476" s="432">
        <f t="shared" si="24"/>
        <v>0</v>
      </c>
    </row>
    <row r="477" spans="5:8" s="432" customFormat="1" hidden="1" x14ac:dyDescent="0.35">
      <c r="E477" s="594">
        <f t="shared" si="22"/>
        <v>44704</v>
      </c>
      <c r="F477" s="316">
        <f t="shared" si="23"/>
        <v>0</v>
      </c>
      <c r="G477" s="316">
        <f t="shared" si="21"/>
        <v>0</v>
      </c>
      <c r="H477" s="432">
        <f t="shared" si="24"/>
        <v>0</v>
      </c>
    </row>
    <row r="478" spans="5:8" s="432" customFormat="1" hidden="1" x14ac:dyDescent="0.35">
      <c r="E478" s="594">
        <f t="shared" si="22"/>
        <v>44705</v>
      </c>
      <c r="F478" s="316">
        <f t="shared" si="23"/>
        <v>0</v>
      </c>
      <c r="G478" s="316">
        <f t="shared" si="21"/>
        <v>0</v>
      </c>
      <c r="H478" s="432">
        <f t="shared" si="24"/>
        <v>0</v>
      </c>
    </row>
    <row r="479" spans="5:8" s="432" customFormat="1" hidden="1" x14ac:dyDescent="0.35">
      <c r="E479" s="594">
        <f t="shared" si="22"/>
        <v>44706</v>
      </c>
      <c r="F479" s="316">
        <f t="shared" si="23"/>
        <v>0</v>
      </c>
      <c r="G479" s="316">
        <f t="shared" si="21"/>
        <v>0</v>
      </c>
      <c r="H479" s="432">
        <f t="shared" si="24"/>
        <v>0</v>
      </c>
    </row>
    <row r="480" spans="5:8" s="432" customFormat="1" hidden="1" x14ac:dyDescent="0.35">
      <c r="E480" s="594">
        <f t="shared" si="22"/>
        <v>44707</v>
      </c>
      <c r="F480" s="316">
        <f t="shared" si="23"/>
        <v>0</v>
      </c>
      <c r="G480" s="316">
        <f t="shared" si="21"/>
        <v>0</v>
      </c>
      <c r="H480" s="432">
        <f t="shared" si="24"/>
        <v>0</v>
      </c>
    </row>
    <row r="481" spans="5:8" s="432" customFormat="1" hidden="1" x14ac:dyDescent="0.35">
      <c r="E481" s="594">
        <f t="shared" si="22"/>
        <v>44708</v>
      </c>
      <c r="F481" s="316">
        <f t="shared" si="23"/>
        <v>0</v>
      </c>
      <c r="G481" s="316">
        <f t="shared" si="21"/>
        <v>0</v>
      </c>
      <c r="H481" s="432">
        <f t="shared" si="24"/>
        <v>0</v>
      </c>
    </row>
    <row r="482" spans="5:8" s="432" customFormat="1" hidden="1" x14ac:dyDescent="0.35">
      <c r="E482" s="594">
        <f t="shared" si="22"/>
        <v>44709</v>
      </c>
      <c r="F482" s="316">
        <f t="shared" si="23"/>
        <v>0</v>
      </c>
      <c r="G482" s="316">
        <f t="shared" si="21"/>
        <v>0</v>
      </c>
      <c r="H482" s="432">
        <f t="shared" si="24"/>
        <v>0</v>
      </c>
    </row>
    <row r="483" spans="5:8" s="432" customFormat="1" hidden="1" x14ac:dyDescent="0.35">
      <c r="E483" s="594">
        <f t="shared" si="22"/>
        <v>44710</v>
      </c>
      <c r="F483" s="316">
        <f t="shared" si="23"/>
        <v>0</v>
      </c>
      <c r="G483" s="316">
        <f t="shared" si="21"/>
        <v>0</v>
      </c>
      <c r="H483" s="432">
        <f t="shared" si="24"/>
        <v>0</v>
      </c>
    </row>
    <row r="484" spans="5:8" s="432" customFormat="1" hidden="1" x14ac:dyDescent="0.35">
      <c r="E484" s="594">
        <f t="shared" si="22"/>
        <v>44711</v>
      </c>
      <c r="F484" s="316">
        <f t="shared" si="23"/>
        <v>0</v>
      </c>
      <c r="G484" s="316">
        <f t="shared" si="21"/>
        <v>0</v>
      </c>
      <c r="H484" s="432">
        <f t="shared" si="24"/>
        <v>0</v>
      </c>
    </row>
    <row r="485" spans="5:8" s="432" customFormat="1" hidden="1" x14ac:dyDescent="0.35">
      <c r="E485" s="594">
        <f t="shared" si="22"/>
        <v>44712</v>
      </c>
      <c r="F485" s="316">
        <f t="shared" si="23"/>
        <v>0</v>
      </c>
      <c r="G485" s="316">
        <f t="shared" si="21"/>
        <v>0</v>
      </c>
      <c r="H485" s="432">
        <f t="shared" si="24"/>
        <v>0</v>
      </c>
    </row>
    <row r="486" spans="5:8" s="432" customFormat="1" hidden="1" x14ac:dyDescent="0.35">
      <c r="E486" s="594">
        <f t="shared" si="22"/>
        <v>44713</v>
      </c>
      <c r="F486" s="316">
        <f t="shared" si="23"/>
        <v>0</v>
      </c>
      <c r="G486" s="316">
        <f t="shared" si="21"/>
        <v>0</v>
      </c>
      <c r="H486" s="432">
        <f t="shared" si="24"/>
        <v>0</v>
      </c>
    </row>
    <row r="487" spans="5:8" s="432" customFormat="1" hidden="1" x14ac:dyDescent="0.35">
      <c r="E487" s="594">
        <f t="shared" si="22"/>
        <v>44714</v>
      </c>
      <c r="F487" s="316">
        <f t="shared" si="23"/>
        <v>0</v>
      </c>
      <c r="G487" s="316">
        <f t="shared" si="21"/>
        <v>0</v>
      </c>
      <c r="H487" s="432">
        <f t="shared" si="24"/>
        <v>0</v>
      </c>
    </row>
    <row r="488" spans="5:8" s="432" customFormat="1" hidden="1" x14ac:dyDescent="0.35">
      <c r="E488" s="594">
        <f t="shared" si="22"/>
        <v>44715</v>
      </c>
      <c r="F488" s="316">
        <f t="shared" si="23"/>
        <v>0</v>
      </c>
      <c r="G488" s="316">
        <f t="shared" si="21"/>
        <v>0</v>
      </c>
      <c r="H488" s="432">
        <f t="shared" si="24"/>
        <v>0</v>
      </c>
    </row>
    <row r="489" spans="5:8" s="432" customFormat="1" hidden="1" x14ac:dyDescent="0.35">
      <c r="E489" s="594">
        <f t="shared" si="22"/>
        <v>44716</v>
      </c>
      <c r="F489" s="316">
        <f t="shared" si="23"/>
        <v>0</v>
      </c>
      <c r="G489" s="316">
        <f t="shared" si="21"/>
        <v>0</v>
      </c>
      <c r="H489" s="432">
        <f t="shared" si="24"/>
        <v>0</v>
      </c>
    </row>
    <row r="490" spans="5:8" s="432" customFormat="1" hidden="1" x14ac:dyDescent="0.35">
      <c r="E490" s="594">
        <f t="shared" si="22"/>
        <v>44717</v>
      </c>
      <c r="F490" s="316">
        <f t="shared" si="23"/>
        <v>0</v>
      </c>
      <c r="G490" s="316">
        <f t="shared" si="21"/>
        <v>0</v>
      </c>
      <c r="H490" s="432">
        <f t="shared" si="24"/>
        <v>0</v>
      </c>
    </row>
    <row r="491" spans="5:8" s="432" customFormat="1" hidden="1" x14ac:dyDescent="0.35">
      <c r="E491" s="594">
        <f t="shared" si="22"/>
        <v>44718</v>
      </c>
      <c r="F491" s="316">
        <f t="shared" si="23"/>
        <v>0</v>
      </c>
      <c r="G491" s="316">
        <f t="shared" si="21"/>
        <v>0</v>
      </c>
      <c r="H491" s="432">
        <f t="shared" si="24"/>
        <v>0</v>
      </c>
    </row>
    <row r="492" spans="5:8" s="432" customFormat="1" hidden="1" x14ac:dyDescent="0.35">
      <c r="E492" s="594">
        <f t="shared" si="22"/>
        <v>44719</v>
      </c>
      <c r="F492" s="316">
        <f t="shared" si="23"/>
        <v>0</v>
      </c>
      <c r="G492" s="316">
        <f t="shared" si="21"/>
        <v>0</v>
      </c>
      <c r="H492" s="432">
        <f t="shared" si="24"/>
        <v>0</v>
      </c>
    </row>
    <row r="493" spans="5:8" s="432" customFormat="1" hidden="1" x14ac:dyDescent="0.35">
      <c r="E493" s="594">
        <f t="shared" si="22"/>
        <v>44720</v>
      </c>
      <c r="F493" s="316">
        <f t="shared" si="23"/>
        <v>0</v>
      </c>
      <c r="G493" s="316">
        <f t="shared" si="21"/>
        <v>0</v>
      </c>
      <c r="H493" s="432">
        <f t="shared" si="24"/>
        <v>0</v>
      </c>
    </row>
    <row r="494" spans="5:8" s="432" customFormat="1" hidden="1" x14ac:dyDescent="0.35">
      <c r="E494" s="594">
        <f t="shared" si="22"/>
        <v>44721</v>
      </c>
      <c r="F494" s="316">
        <f t="shared" si="23"/>
        <v>0</v>
      </c>
      <c r="G494" s="316">
        <f t="shared" si="21"/>
        <v>0</v>
      </c>
      <c r="H494" s="432">
        <f t="shared" si="24"/>
        <v>0</v>
      </c>
    </row>
    <row r="495" spans="5:8" s="432" customFormat="1" hidden="1" x14ac:dyDescent="0.35">
      <c r="E495" s="594">
        <f t="shared" si="22"/>
        <v>44722</v>
      </c>
      <c r="F495" s="316">
        <f t="shared" si="23"/>
        <v>0</v>
      </c>
      <c r="G495" s="316">
        <f t="shared" si="21"/>
        <v>0</v>
      </c>
      <c r="H495" s="432">
        <f t="shared" si="24"/>
        <v>0</v>
      </c>
    </row>
    <row r="496" spans="5:8" s="432" customFormat="1" hidden="1" x14ac:dyDescent="0.35">
      <c r="E496" s="594">
        <f t="shared" si="22"/>
        <v>44723</v>
      </c>
      <c r="F496" s="316">
        <f t="shared" si="23"/>
        <v>0</v>
      </c>
      <c r="G496" s="316">
        <f t="shared" si="21"/>
        <v>0</v>
      </c>
      <c r="H496" s="432">
        <f t="shared" si="24"/>
        <v>0</v>
      </c>
    </row>
    <row r="497" spans="5:8" s="432" customFormat="1" hidden="1" x14ac:dyDescent="0.35">
      <c r="E497" s="594">
        <f t="shared" si="22"/>
        <v>44724</v>
      </c>
      <c r="F497" s="316">
        <f t="shared" si="23"/>
        <v>0</v>
      </c>
      <c r="G497" s="316">
        <f t="shared" si="21"/>
        <v>0</v>
      </c>
      <c r="H497" s="432">
        <f t="shared" si="24"/>
        <v>0</v>
      </c>
    </row>
    <row r="498" spans="5:8" s="432" customFormat="1" hidden="1" x14ac:dyDescent="0.35">
      <c r="E498" s="594">
        <f t="shared" si="22"/>
        <v>44725</v>
      </c>
      <c r="F498" s="316">
        <f t="shared" si="23"/>
        <v>0</v>
      </c>
      <c r="G498" s="316">
        <f t="shared" si="21"/>
        <v>0</v>
      </c>
      <c r="H498" s="432">
        <f t="shared" si="24"/>
        <v>0</v>
      </c>
    </row>
    <row r="499" spans="5:8" s="432" customFormat="1" hidden="1" x14ac:dyDescent="0.35">
      <c r="E499" s="594">
        <f t="shared" si="22"/>
        <v>44726</v>
      </c>
      <c r="F499" s="316">
        <f t="shared" si="23"/>
        <v>0</v>
      </c>
      <c r="G499" s="316">
        <f t="shared" si="21"/>
        <v>0</v>
      </c>
      <c r="H499" s="432">
        <f t="shared" si="24"/>
        <v>0</v>
      </c>
    </row>
    <row r="500" spans="5:8" s="432" customFormat="1" hidden="1" x14ac:dyDescent="0.35">
      <c r="E500" s="594">
        <f t="shared" si="22"/>
        <v>44727</v>
      </c>
      <c r="F500" s="316">
        <f t="shared" si="23"/>
        <v>0</v>
      </c>
      <c r="G500" s="316">
        <f t="shared" si="21"/>
        <v>0</v>
      </c>
      <c r="H500" s="432">
        <f t="shared" si="24"/>
        <v>0</v>
      </c>
    </row>
    <row r="501" spans="5:8" s="432" customFormat="1" hidden="1" x14ac:dyDescent="0.35">
      <c r="E501" s="594">
        <f t="shared" si="22"/>
        <v>44728</v>
      </c>
      <c r="F501" s="316">
        <f t="shared" si="23"/>
        <v>0</v>
      </c>
      <c r="G501" s="316">
        <f t="shared" si="21"/>
        <v>0</v>
      </c>
      <c r="H501" s="432">
        <f t="shared" si="24"/>
        <v>0</v>
      </c>
    </row>
    <row r="502" spans="5:8" s="432" customFormat="1" hidden="1" x14ac:dyDescent="0.35">
      <c r="E502" s="594">
        <f t="shared" si="22"/>
        <v>44729</v>
      </c>
      <c r="F502" s="316">
        <f t="shared" si="23"/>
        <v>0</v>
      </c>
      <c r="G502" s="316">
        <f t="shared" si="21"/>
        <v>0</v>
      </c>
      <c r="H502" s="432">
        <f t="shared" si="24"/>
        <v>0</v>
      </c>
    </row>
    <row r="503" spans="5:8" s="432" customFormat="1" hidden="1" x14ac:dyDescent="0.35">
      <c r="E503" s="594">
        <f t="shared" si="22"/>
        <v>44730</v>
      </c>
      <c r="F503" s="316">
        <f t="shared" si="23"/>
        <v>0</v>
      </c>
      <c r="G503" s="316">
        <f t="shared" si="21"/>
        <v>0</v>
      </c>
      <c r="H503" s="432">
        <f t="shared" si="24"/>
        <v>0</v>
      </c>
    </row>
    <row r="504" spans="5:8" s="432" customFormat="1" hidden="1" x14ac:dyDescent="0.35">
      <c r="E504" s="594">
        <f t="shared" si="22"/>
        <v>44731</v>
      </c>
      <c r="F504" s="316">
        <f t="shared" si="23"/>
        <v>0</v>
      </c>
      <c r="G504" s="316">
        <f t="shared" si="21"/>
        <v>0</v>
      </c>
      <c r="H504" s="432">
        <f t="shared" si="24"/>
        <v>0</v>
      </c>
    </row>
    <row r="505" spans="5:8" s="432" customFormat="1" hidden="1" x14ac:dyDescent="0.35">
      <c r="E505" s="594">
        <f t="shared" si="22"/>
        <v>44732</v>
      </c>
      <c r="F505" s="316">
        <f t="shared" si="23"/>
        <v>0</v>
      </c>
      <c r="G505" s="316">
        <f t="shared" si="21"/>
        <v>0</v>
      </c>
      <c r="H505" s="432">
        <f t="shared" si="24"/>
        <v>0</v>
      </c>
    </row>
    <row r="506" spans="5:8" s="432" customFormat="1" hidden="1" x14ac:dyDescent="0.35">
      <c r="E506" s="594">
        <f t="shared" si="22"/>
        <v>44733</v>
      </c>
      <c r="F506" s="316">
        <f t="shared" si="23"/>
        <v>0</v>
      </c>
      <c r="G506" s="316">
        <f t="shared" si="21"/>
        <v>0</v>
      </c>
      <c r="H506" s="432">
        <f t="shared" si="24"/>
        <v>0</v>
      </c>
    </row>
    <row r="507" spans="5:8" s="432" customFormat="1" hidden="1" x14ac:dyDescent="0.35">
      <c r="E507" s="594">
        <f t="shared" si="22"/>
        <v>44734</v>
      </c>
      <c r="F507" s="316">
        <f t="shared" si="23"/>
        <v>0</v>
      </c>
      <c r="G507" s="316">
        <f t="shared" si="21"/>
        <v>0</v>
      </c>
      <c r="H507" s="432">
        <f t="shared" si="24"/>
        <v>0</v>
      </c>
    </row>
    <row r="508" spans="5:8" s="432" customFormat="1" hidden="1" x14ac:dyDescent="0.35">
      <c r="E508" s="594">
        <f t="shared" si="22"/>
        <v>44735</v>
      </c>
      <c r="F508" s="316">
        <f t="shared" si="23"/>
        <v>0</v>
      </c>
      <c r="G508" s="316">
        <f t="shared" si="21"/>
        <v>0</v>
      </c>
      <c r="H508" s="432">
        <f t="shared" si="24"/>
        <v>0</v>
      </c>
    </row>
    <row r="509" spans="5:8" s="432" customFormat="1" hidden="1" x14ac:dyDescent="0.35">
      <c r="E509" s="594">
        <f t="shared" si="22"/>
        <v>44736</v>
      </c>
      <c r="F509" s="316">
        <f t="shared" si="23"/>
        <v>0</v>
      </c>
      <c r="G509" s="316">
        <f t="shared" si="21"/>
        <v>0</v>
      </c>
      <c r="H509" s="432">
        <f t="shared" si="24"/>
        <v>0</v>
      </c>
    </row>
    <row r="510" spans="5:8" s="432" customFormat="1" hidden="1" x14ac:dyDescent="0.35">
      <c r="E510" s="594">
        <f t="shared" si="22"/>
        <v>44737</v>
      </c>
      <c r="F510" s="316">
        <f t="shared" si="23"/>
        <v>0</v>
      </c>
      <c r="G510" s="316">
        <f t="shared" si="21"/>
        <v>0</v>
      </c>
      <c r="H510" s="432">
        <f t="shared" si="24"/>
        <v>0</v>
      </c>
    </row>
    <row r="511" spans="5:8" s="432" customFormat="1" hidden="1" x14ac:dyDescent="0.35">
      <c r="E511" s="594">
        <f t="shared" si="22"/>
        <v>44738</v>
      </c>
      <c r="F511" s="316">
        <f t="shared" si="23"/>
        <v>0</v>
      </c>
      <c r="G511" s="316">
        <f t="shared" si="21"/>
        <v>0</v>
      </c>
      <c r="H511" s="432">
        <f t="shared" si="24"/>
        <v>0</v>
      </c>
    </row>
    <row r="512" spans="5:8" s="432" customFormat="1" hidden="1" x14ac:dyDescent="0.35">
      <c r="E512" s="594">
        <f t="shared" si="22"/>
        <v>44739</v>
      </c>
      <c r="F512" s="316">
        <f t="shared" si="23"/>
        <v>0</v>
      </c>
      <c r="G512" s="316">
        <f t="shared" si="21"/>
        <v>0</v>
      </c>
      <c r="H512" s="432">
        <f t="shared" si="24"/>
        <v>0</v>
      </c>
    </row>
    <row r="513" spans="5:8" s="432" customFormat="1" hidden="1" x14ac:dyDescent="0.35">
      <c r="E513" s="594">
        <f t="shared" si="22"/>
        <v>44740</v>
      </c>
      <c r="F513" s="316">
        <f t="shared" si="23"/>
        <v>0</v>
      </c>
      <c r="G513" s="316">
        <f t="shared" si="21"/>
        <v>0</v>
      </c>
      <c r="H513" s="432">
        <f t="shared" si="24"/>
        <v>0</v>
      </c>
    </row>
    <row r="514" spans="5:8" s="432" customFormat="1" hidden="1" x14ac:dyDescent="0.35">
      <c r="E514" s="594">
        <f t="shared" si="22"/>
        <v>44741</v>
      </c>
      <c r="F514" s="316">
        <f t="shared" si="23"/>
        <v>0</v>
      </c>
      <c r="G514" s="316">
        <f t="shared" si="21"/>
        <v>0</v>
      </c>
      <c r="H514" s="432">
        <f t="shared" si="24"/>
        <v>0</v>
      </c>
    </row>
    <row r="515" spans="5:8" s="432" customFormat="1" hidden="1" x14ac:dyDescent="0.35">
      <c r="E515" s="594">
        <f t="shared" si="22"/>
        <v>44742</v>
      </c>
      <c r="F515" s="316">
        <f t="shared" si="23"/>
        <v>0</v>
      </c>
      <c r="G515" s="316">
        <f t="shared" si="21"/>
        <v>0</v>
      </c>
      <c r="H515" s="432">
        <f t="shared" si="24"/>
        <v>0</v>
      </c>
    </row>
    <row r="516" spans="5:8" s="432" customFormat="1" hidden="1" x14ac:dyDescent="0.35">
      <c r="E516" s="594">
        <f t="shared" si="22"/>
        <v>44743</v>
      </c>
      <c r="F516" s="316">
        <f t="shared" si="23"/>
        <v>0</v>
      </c>
      <c r="G516" s="316">
        <f t="shared" si="21"/>
        <v>0</v>
      </c>
      <c r="H516" s="432">
        <f t="shared" si="24"/>
        <v>0</v>
      </c>
    </row>
    <row r="517" spans="5:8" s="432" customFormat="1" hidden="1" x14ac:dyDescent="0.35">
      <c r="E517" s="594">
        <f t="shared" si="22"/>
        <v>44744</v>
      </c>
      <c r="F517" s="316">
        <f t="shared" si="23"/>
        <v>0</v>
      </c>
      <c r="G517" s="316">
        <f t="shared" si="21"/>
        <v>0</v>
      </c>
      <c r="H517" s="432">
        <f t="shared" si="24"/>
        <v>0</v>
      </c>
    </row>
    <row r="518" spans="5:8" s="432" customFormat="1" hidden="1" x14ac:dyDescent="0.35">
      <c r="E518" s="594">
        <f t="shared" si="22"/>
        <v>44745</v>
      </c>
      <c r="F518" s="316">
        <f t="shared" si="23"/>
        <v>0</v>
      </c>
      <c r="G518" s="316">
        <f t="shared" si="21"/>
        <v>0</v>
      </c>
      <c r="H518" s="432">
        <f t="shared" si="24"/>
        <v>0</v>
      </c>
    </row>
    <row r="519" spans="5:8" s="432" customFormat="1" hidden="1" x14ac:dyDescent="0.35">
      <c r="E519" s="594">
        <f t="shared" si="22"/>
        <v>44746</v>
      </c>
      <c r="F519" s="316">
        <f t="shared" si="23"/>
        <v>0</v>
      </c>
      <c r="G519" s="316">
        <f t="shared" si="21"/>
        <v>0</v>
      </c>
      <c r="H519" s="432">
        <f t="shared" si="24"/>
        <v>0</v>
      </c>
    </row>
    <row r="520" spans="5:8" s="432" customFormat="1" hidden="1" x14ac:dyDescent="0.35">
      <c r="E520" s="594">
        <f t="shared" si="22"/>
        <v>44747</v>
      </c>
      <c r="F520" s="316">
        <f t="shared" si="23"/>
        <v>0</v>
      </c>
      <c r="G520" s="316">
        <f t="shared" si="21"/>
        <v>0</v>
      </c>
      <c r="H520" s="432">
        <f t="shared" si="24"/>
        <v>0</v>
      </c>
    </row>
    <row r="521" spans="5:8" s="432" customFormat="1" hidden="1" x14ac:dyDescent="0.35">
      <c r="E521" s="594">
        <f t="shared" si="22"/>
        <v>44748</v>
      </c>
      <c r="F521" s="316">
        <f t="shared" si="23"/>
        <v>0</v>
      </c>
      <c r="G521" s="316">
        <f t="shared" si="21"/>
        <v>0</v>
      </c>
      <c r="H521" s="432">
        <f t="shared" si="24"/>
        <v>0</v>
      </c>
    </row>
    <row r="522" spans="5:8" s="432" customFormat="1" hidden="1" x14ac:dyDescent="0.35">
      <c r="E522" s="594">
        <f t="shared" si="22"/>
        <v>44749</v>
      </c>
      <c r="F522" s="316">
        <f t="shared" si="23"/>
        <v>0</v>
      </c>
      <c r="G522" s="316">
        <f t="shared" si="21"/>
        <v>0</v>
      </c>
      <c r="H522" s="432">
        <f t="shared" si="24"/>
        <v>0</v>
      </c>
    </row>
    <row r="523" spans="5:8" s="432" customFormat="1" hidden="1" x14ac:dyDescent="0.35">
      <c r="E523" s="594">
        <f t="shared" si="22"/>
        <v>44750</v>
      </c>
      <c r="F523" s="316">
        <f t="shared" si="23"/>
        <v>0</v>
      </c>
      <c r="G523" s="316">
        <f t="shared" si="21"/>
        <v>0</v>
      </c>
      <c r="H523" s="432">
        <f t="shared" si="24"/>
        <v>0</v>
      </c>
    </row>
    <row r="524" spans="5:8" s="432" customFormat="1" hidden="1" x14ac:dyDescent="0.35">
      <c r="E524" s="594">
        <f t="shared" si="22"/>
        <v>44751</v>
      </c>
      <c r="F524" s="316">
        <f t="shared" si="23"/>
        <v>0</v>
      </c>
      <c r="G524" s="316">
        <f t="shared" si="21"/>
        <v>0</v>
      </c>
      <c r="H524" s="432">
        <f t="shared" si="24"/>
        <v>0</v>
      </c>
    </row>
    <row r="525" spans="5:8" s="432" customFormat="1" hidden="1" x14ac:dyDescent="0.35">
      <c r="E525" s="594">
        <f t="shared" si="22"/>
        <v>44752</v>
      </c>
      <c r="F525" s="316">
        <f t="shared" si="23"/>
        <v>0</v>
      </c>
      <c r="G525" s="316">
        <f t="shared" si="21"/>
        <v>0</v>
      </c>
      <c r="H525" s="432">
        <f t="shared" si="24"/>
        <v>0</v>
      </c>
    </row>
    <row r="526" spans="5:8" s="432" customFormat="1" hidden="1" x14ac:dyDescent="0.35">
      <c r="E526" s="594">
        <f t="shared" si="22"/>
        <v>44753</v>
      </c>
      <c r="F526" s="316">
        <f t="shared" si="23"/>
        <v>0</v>
      </c>
      <c r="G526" s="316">
        <f t="shared" si="21"/>
        <v>0</v>
      </c>
      <c r="H526" s="432">
        <f t="shared" si="24"/>
        <v>0</v>
      </c>
    </row>
    <row r="527" spans="5:8" s="432" customFormat="1" hidden="1" x14ac:dyDescent="0.35">
      <c r="E527" s="594">
        <f t="shared" si="22"/>
        <v>44754</v>
      </c>
      <c r="F527" s="316">
        <f t="shared" si="23"/>
        <v>0</v>
      </c>
      <c r="G527" s="316">
        <f t="shared" si="21"/>
        <v>0</v>
      </c>
      <c r="H527" s="432">
        <f t="shared" si="24"/>
        <v>0</v>
      </c>
    </row>
    <row r="528" spans="5:8" s="432" customFormat="1" hidden="1" x14ac:dyDescent="0.35">
      <c r="E528" s="594">
        <f t="shared" si="22"/>
        <v>44755</v>
      </c>
      <c r="F528" s="316">
        <f t="shared" si="23"/>
        <v>0</v>
      </c>
      <c r="G528" s="316">
        <f t="shared" si="21"/>
        <v>0</v>
      </c>
      <c r="H528" s="432">
        <f t="shared" si="24"/>
        <v>0</v>
      </c>
    </row>
    <row r="529" spans="5:8" s="432" customFormat="1" hidden="1" x14ac:dyDescent="0.35">
      <c r="E529" s="594">
        <f t="shared" si="22"/>
        <v>44756</v>
      </c>
      <c r="F529" s="316">
        <f t="shared" si="23"/>
        <v>0</v>
      </c>
      <c r="G529" s="316">
        <f t="shared" si="21"/>
        <v>0</v>
      </c>
      <c r="H529" s="432">
        <f t="shared" si="24"/>
        <v>0</v>
      </c>
    </row>
    <row r="530" spans="5:8" s="432" customFormat="1" hidden="1" x14ac:dyDescent="0.35">
      <c r="E530" s="594">
        <f t="shared" si="22"/>
        <v>44757</v>
      </c>
      <c r="F530" s="316">
        <f t="shared" si="23"/>
        <v>0</v>
      </c>
      <c r="G530" s="316">
        <f t="shared" si="21"/>
        <v>0</v>
      </c>
      <c r="H530" s="432">
        <f t="shared" si="24"/>
        <v>0</v>
      </c>
    </row>
    <row r="531" spans="5:8" s="432" customFormat="1" hidden="1" x14ac:dyDescent="0.35">
      <c r="E531" s="594">
        <f t="shared" si="22"/>
        <v>44758</v>
      </c>
      <c r="F531" s="316">
        <f t="shared" si="23"/>
        <v>0</v>
      </c>
      <c r="G531" s="316">
        <f t="shared" si="21"/>
        <v>0</v>
      </c>
      <c r="H531" s="432">
        <f t="shared" si="24"/>
        <v>0</v>
      </c>
    </row>
    <row r="532" spans="5:8" s="432" customFormat="1" hidden="1" x14ac:dyDescent="0.35">
      <c r="E532" s="594">
        <f t="shared" si="22"/>
        <v>44759</v>
      </c>
      <c r="F532" s="316">
        <f t="shared" si="23"/>
        <v>0</v>
      </c>
      <c r="G532" s="316">
        <f t="shared" si="21"/>
        <v>0</v>
      </c>
      <c r="H532" s="432">
        <f t="shared" si="24"/>
        <v>0</v>
      </c>
    </row>
    <row r="533" spans="5:8" s="432" customFormat="1" hidden="1" x14ac:dyDescent="0.35">
      <c r="E533" s="594">
        <f t="shared" si="22"/>
        <v>44760</v>
      </c>
      <c r="F533" s="316">
        <f t="shared" si="23"/>
        <v>0</v>
      </c>
      <c r="G533" s="316">
        <f t="shared" si="21"/>
        <v>0</v>
      </c>
      <c r="H533" s="432">
        <f t="shared" si="24"/>
        <v>0</v>
      </c>
    </row>
    <row r="534" spans="5:8" s="432" customFormat="1" hidden="1" x14ac:dyDescent="0.35">
      <c r="E534" s="594">
        <f t="shared" si="22"/>
        <v>44761</v>
      </c>
      <c r="F534" s="316">
        <f t="shared" si="23"/>
        <v>0</v>
      </c>
      <c r="G534" s="316">
        <f t="shared" si="21"/>
        <v>0</v>
      </c>
      <c r="H534" s="432">
        <f t="shared" si="24"/>
        <v>0</v>
      </c>
    </row>
    <row r="535" spans="5:8" s="432" customFormat="1" hidden="1" x14ac:dyDescent="0.35">
      <c r="E535" s="594">
        <f t="shared" si="22"/>
        <v>44762</v>
      </c>
      <c r="F535" s="316">
        <f t="shared" si="23"/>
        <v>0</v>
      </c>
      <c r="G535" s="316">
        <f t="shared" si="21"/>
        <v>0</v>
      </c>
      <c r="H535" s="432">
        <f t="shared" si="24"/>
        <v>0</v>
      </c>
    </row>
    <row r="536" spans="5:8" s="432" customFormat="1" hidden="1" x14ac:dyDescent="0.35">
      <c r="E536" s="594">
        <f t="shared" si="22"/>
        <v>44763</v>
      </c>
      <c r="F536" s="316">
        <f t="shared" si="23"/>
        <v>0</v>
      </c>
      <c r="G536" s="316">
        <f t="shared" ref="G536:G599" si="25">ROUND(F536,-2)</f>
        <v>0</v>
      </c>
      <c r="H536" s="432">
        <f t="shared" si="24"/>
        <v>0</v>
      </c>
    </row>
    <row r="537" spans="5:8" s="432" customFormat="1" hidden="1" x14ac:dyDescent="0.35">
      <c r="E537" s="594">
        <f t="shared" ref="E537:E600" si="26">IF(E536&lt;$C$153,E536+1,$C$153)</f>
        <v>44764</v>
      </c>
      <c r="F537" s="316">
        <f t="shared" ref="F537:F600" si="27">IF(E536&lt;$C$153,F536+C$155,F536)</f>
        <v>0</v>
      </c>
      <c r="G537" s="316">
        <f t="shared" si="25"/>
        <v>0</v>
      </c>
      <c r="H537" s="432">
        <f t="shared" ref="H537:H600" si="28">IF(F537&gt;F536,(VLOOKUP(G537,$K$151:$O$157,MATCH($C$156,$K$151:$O$151,0),0)),0)</f>
        <v>0</v>
      </c>
    </row>
    <row r="538" spans="5:8" s="432" customFormat="1" hidden="1" x14ac:dyDescent="0.35">
      <c r="E538" s="594">
        <f t="shared" si="26"/>
        <v>44765</v>
      </c>
      <c r="F538" s="316">
        <f t="shared" si="27"/>
        <v>0</v>
      </c>
      <c r="G538" s="316">
        <f t="shared" si="25"/>
        <v>0</v>
      </c>
      <c r="H538" s="432">
        <f t="shared" si="28"/>
        <v>0</v>
      </c>
    </row>
    <row r="539" spans="5:8" s="432" customFormat="1" hidden="1" x14ac:dyDescent="0.35">
      <c r="E539" s="594">
        <f t="shared" si="26"/>
        <v>44766</v>
      </c>
      <c r="F539" s="316">
        <f t="shared" si="27"/>
        <v>0</v>
      </c>
      <c r="G539" s="316">
        <f t="shared" si="25"/>
        <v>0</v>
      </c>
      <c r="H539" s="432">
        <f t="shared" si="28"/>
        <v>0</v>
      </c>
    </row>
    <row r="540" spans="5:8" s="432" customFormat="1" hidden="1" x14ac:dyDescent="0.35">
      <c r="E540" s="594">
        <f t="shared" si="26"/>
        <v>44767</v>
      </c>
      <c r="F540" s="316">
        <f t="shared" si="27"/>
        <v>0</v>
      </c>
      <c r="G540" s="316">
        <f t="shared" si="25"/>
        <v>0</v>
      </c>
      <c r="H540" s="432">
        <f t="shared" si="28"/>
        <v>0</v>
      </c>
    </row>
    <row r="541" spans="5:8" s="432" customFormat="1" hidden="1" x14ac:dyDescent="0.35">
      <c r="E541" s="594">
        <f t="shared" si="26"/>
        <v>44768</v>
      </c>
      <c r="F541" s="316">
        <f t="shared" si="27"/>
        <v>0</v>
      </c>
      <c r="G541" s="316">
        <f t="shared" si="25"/>
        <v>0</v>
      </c>
      <c r="H541" s="432">
        <f t="shared" si="28"/>
        <v>0</v>
      </c>
    </row>
    <row r="542" spans="5:8" s="432" customFormat="1" hidden="1" x14ac:dyDescent="0.35">
      <c r="E542" s="594">
        <f t="shared" si="26"/>
        <v>44769</v>
      </c>
      <c r="F542" s="316">
        <f t="shared" si="27"/>
        <v>0</v>
      </c>
      <c r="G542" s="316">
        <f t="shared" si="25"/>
        <v>0</v>
      </c>
      <c r="H542" s="432">
        <f t="shared" si="28"/>
        <v>0</v>
      </c>
    </row>
    <row r="543" spans="5:8" s="432" customFormat="1" hidden="1" x14ac:dyDescent="0.35">
      <c r="E543" s="594">
        <f t="shared" si="26"/>
        <v>44770</v>
      </c>
      <c r="F543" s="316">
        <f t="shared" si="27"/>
        <v>0</v>
      </c>
      <c r="G543" s="316">
        <f t="shared" si="25"/>
        <v>0</v>
      </c>
      <c r="H543" s="432">
        <f t="shared" si="28"/>
        <v>0</v>
      </c>
    </row>
    <row r="544" spans="5:8" s="432" customFormat="1" hidden="1" x14ac:dyDescent="0.35">
      <c r="E544" s="594">
        <f t="shared" si="26"/>
        <v>44771</v>
      </c>
      <c r="F544" s="316">
        <f t="shared" si="27"/>
        <v>0</v>
      </c>
      <c r="G544" s="316">
        <f t="shared" si="25"/>
        <v>0</v>
      </c>
      <c r="H544" s="432">
        <f t="shared" si="28"/>
        <v>0</v>
      </c>
    </row>
    <row r="545" spans="5:8" s="432" customFormat="1" hidden="1" x14ac:dyDescent="0.35">
      <c r="E545" s="594">
        <f t="shared" si="26"/>
        <v>44772</v>
      </c>
      <c r="F545" s="316">
        <f t="shared" si="27"/>
        <v>0</v>
      </c>
      <c r="G545" s="316">
        <f t="shared" si="25"/>
        <v>0</v>
      </c>
      <c r="H545" s="432">
        <f t="shared" si="28"/>
        <v>0</v>
      </c>
    </row>
    <row r="546" spans="5:8" s="432" customFormat="1" hidden="1" x14ac:dyDescent="0.35">
      <c r="E546" s="594">
        <f t="shared" si="26"/>
        <v>44773</v>
      </c>
      <c r="F546" s="316">
        <f t="shared" si="27"/>
        <v>0</v>
      </c>
      <c r="G546" s="316">
        <f t="shared" si="25"/>
        <v>0</v>
      </c>
      <c r="H546" s="432">
        <f t="shared" si="28"/>
        <v>0</v>
      </c>
    </row>
    <row r="547" spans="5:8" s="432" customFormat="1" hidden="1" x14ac:dyDescent="0.35">
      <c r="E547" s="594">
        <f t="shared" si="26"/>
        <v>44774</v>
      </c>
      <c r="F547" s="316">
        <f t="shared" si="27"/>
        <v>0</v>
      </c>
      <c r="G547" s="316">
        <f t="shared" si="25"/>
        <v>0</v>
      </c>
      <c r="H547" s="432">
        <f t="shared" si="28"/>
        <v>0</v>
      </c>
    </row>
    <row r="548" spans="5:8" s="432" customFormat="1" hidden="1" x14ac:dyDescent="0.35">
      <c r="E548" s="594">
        <f t="shared" si="26"/>
        <v>44775</v>
      </c>
      <c r="F548" s="316">
        <f t="shared" si="27"/>
        <v>0</v>
      </c>
      <c r="G548" s="316">
        <f t="shared" si="25"/>
        <v>0</v>
      </c>
      <c r="H548" s="432">
        <f t="shared" si="28"/>
        <v>0</v>
      </c>
    </row>
    <row r="549" spans="5:8" s="432" customFormat="1" hidden="1" x14ac:dyDescent="0.35">
      <c r="E549" s="594">
        <f t="shared" si="26"/>
        <v>44776</v>
      </c>
      <c r="F549" s="316">
        <f t="shared" si="27"/>
        <v>0</v>
      </c>
      <c r="G549" s="316">
        <f t="shared" si="25"/>
        <v>0</v>
      </c>
      <c r="H549" s="432">
        <f t="shared" si="28"/>
        <v>0</v>
      </c>
    </row>
    <row r="550" spans="5:8" s="432" customFormat="1" hidden="1" x14ac:dyDescent="0.35">
      <c r="E550" s="594">
        <f t="shared" si="26"/>
        <v>44777</v>
      </c>
      <c r="F550" s="316">
        <f t="shared" si="27"/>
        <v>0</v>
      </c>
      <c r="G550" s="316">
        <f t="shared" si="25"/>
        <v>0</v>
      </c>
      <c r="H550" s="432">
        <f t="shared" si="28"/>
        <v>0</v>
      </c>
    </row>
    <row r="551" spans="5:8" s="432" customFormat="1" hidden="1" x14ac:dyDescent="0.35">
      <c r="E551" s="594">
        <f t="shared" si="26"/>
        <v>44778</v>
      </c>
      <c r="F551" s="316">
        <f t="shared" si="27"/>
        <v>0</v>
      </c>
      <c r="G551" s="316">
        <f t="shared" si="25"/>
        <v>0</v>
      </c>
      <c r="H551" s="432">
        <f t="shared" si="28"/>
        <v>0</v>
      </c>
    </row>
    <row r="552" spans="5:8" s="432" customFormat="1" hidden="1" x14ac:dyDescent="0.35">
      <c r="E552" s="594">
        <f t="shared" si="26"/>
        <v>44779</v>
      </c>
      <c r="F552" s="316">
        <f t="shared" si="27"/>
        <v>0</v>
      </c>
      <c r="G552" s="316">
        <f t="shared" si="25"/>
        <v>0</v>
      </c>
      <c r="H552" s="432">
        <f t="shared" si="28"/>
        <v>0</v>
      </c>
    </row>
    <row r="553" spans="5:8" s="432" customFormat="1" hidden="1" x14ac:dyDescent="0.35">
      <c r="E553" s="594">
        <f t="shared" si="26"/>
        <v>44780</v>
      </c>
      <c r="F553" s="316">
        <f t="shared" si="27"/>
        <v>0</v>
      </c>
      <c r="G553" s="316">
        <f t="shared" si="25"/>
        <v>0</v>
      </c>
      <c r="H553" s="432">
        <f t="shared" si="28"/>
        <v>0</v>
      </c>
    </row>
    <row r="554" spans="5:8" s="432" customFormat="1" hidden="1" x14ac:dyDescent="0.35">
      <c r="E554" s="594">
        <f t="shared" si="26"/>
        <v>44781</v>
      </c>
      <c r="F554" s="316">
        <f t="shared" si="27"/>
        <v>0</v>
      </c>
      <c r="G554" s="316">
        <f t="shared" si="25"/>
        <v>0</v>
      </c>
      <c r="H554" s="432">
        <f t="shared" si="28"/>
        <v>0</v>
      </c>
    </row>
    <row r="555" spans="5:8" s="432" customFormat="1" hidden="1" x14ac:dyDescent="0.35">
      <c r="E555" s="594">
        <f t="shared" si="26"/>
        <v>44782</v>
      </c>
      <c r="F555" s="316">
        <f t="shared" si="27"/>
        <v>0</v>
      </c>
      <c r="G555" s="316">
        <f t="shared" si="25"/>
        <v>0</v>
      </c>
      <c r="H555" s="432">
        <f t="shared" si="28"/>
        <v>0</v>
      </c>
    </row>
    <row r="556" spans="5:8" s="432" customFormat="1" hidden="1" x14ac:dyDescent="0.35">
      <c r="E556" s="594">
        <f t="shared" si="26"/>
        <v>44783</v>
      </c>
      <c r="F556" s="316">
        <f t="shared" si="27"/>
        <v>0</v>
      </c>
      <c r="G556" s="316">
        <f t="shared" si="25"/>
        <v>0</v>
      </c>
      <c r="H556" s="432">
        <f t="shared" si="28"/>
        <v>0</v>
      </c>
    </row>
    <row r="557" spans="5:8" s="432" customFormat="1" hidden="1" x14ac:dyDescent="0.35">
      <c r="E557" s="594">
        <f t="shared" si="26"/>
        <v>44784</v>
      </c>
      <c r="F557" s="316">
        <f t="shared" si="27"/>
        <v>0</v>
      </c>
      <c r="G557" s="316">
        <f t="shared" si="25"/>
        <v>0</v>
      </c>
      <c r="H557" s="432">
        <f t="shared" si="28"/>
        <v>0</v>
      </c>
    </row>
    <row r="558" spans="5:8" s="432" customFormat="1" hidden="1" x14ac:dyDescent="0.35">
      <c r="E558" s="594">
        <f t="shared" si="26"/>
        <v>44785</v>
      </c>
      <c r="F558" s="316">
        <f t="shared" si="27"/>
        <v>0</v>
      </c>
      <c r="G558" s="316">
        <f t="shared" si="25"/>
        <v>0</v>
      </c>
      <c r="H558" s="432">
        <f t="shared" si="28"/>
        <v>0</v>
      </c>
    </row>
    <row r="559" spans="5:8" s="432" customFormat="1" hidden="1" x14ac:dyDescent="0.35">
      <c r="E559" s="594">
        <f t="shared" si="26"/>
        <v>44786</v>
      </c>
      <c r="F559" s="316">
        <f t="shared" si="27"/>
        <v>0</v>
      </c>
      <c r="G559" s="316">
        <f t="shared" si="25"/>
        <v>0</v>
      </c>
      <c r="H559" s="432">
        <f t="shared" si="28"/>
        <v>0</v>
      </c>
    </row>
    <row r="560" spans="5:8" s="432" customFormat="1" hidden="1" x14ac:dyDescent="0.35">
      <c r="E560" s="594">
        <f t="shared" si="26"/>
        <v>44787</v>
      </c>
      <c r="F560" s="316">
        <f t="shared" si="27"/>
        <v>0</v>
      </c>
      <c r="G560" s="316">
        <f t="shared" si="25"/>
        <v>0</v>
      </c>
      <c r="H560" s="432">
        <f t="shared" si="28"/>
        <v>0</v>
      </c>
    </row>
    <row r="561" spans="5:8" s="432" customFormat="1" hidden="1" x14ac:dyDescent="0.35">
      <c r="E561" s="594">
        <f t="shared" si="26"/>
        <v>44788</v>
      </c>
      <c r="F561" s="316">
        <f t="shared" si="27"/>
        <v>0</v>
      </c>
      <c r="G561" s="316">
        <f t="shared" si="25"/>
        <v>0</v>
      </c>
      <c r="H561" s="432">
        <f t="shared" si="28"/>
        <v>0</v>
      </c>
    </row>
    <row r="562" spans="5:8" s="432" customFormat="1" hidden="1" x14ac:dyDescent="0.35">
      <c r="E562" s="594">
        <f t="shared" si="26"/>
        <v>44789</v>
      </c>
      <c r="F562" s="316">
        <f t="shared" si="27"/>
        <v>0</v>
      </c>
      <c r="G562" s="316">
        <f t="shared" si="25"/>
        <v>0</v>
      </c>
      <c r="H562" s="432">
        <f t="shared" si="28"/>
        <v>0</v>
      </c>
    </row>
    <row r="563" spans="5:8" s="432" customFormat="1" hidden="1" x14ac:dyDescent="0.35">
      <c r="E563" s="594">
        <f t="shared" si="26"/>
        <v>44790</v>
      </c>
      <c r="F563" s="316">
        <f t="shared" si="27"/>
        <v>0</v>
      </c>
      <c r="G563" s="316">
        <f t="shared" si="25"/>
        <v>0</v>
      </c>
      <c r="H563" s="432">
        <f t="shared" si="28"/>
        <v>0</v>
      </c>
    </row>
    <row r="564" spans="5:8" s="432" customFormat="1" hidden="1" x14ac:dyDescent="0.35">
      <c r="E564" s="594">
        <f t="shared" si="26"/>
        <v>44791</v>
      </c>
      <c r="F564" s="316">
        <f t="shared" si="27"/>
        <v>0</v>
      </c>
      <c r="G564" s="316">
        <f t="shared" si="25"/>
        <v>0</v>
      </c>
      <c r="H564" s="432">
        <f t="shared" si="28"/>
        <v>0</v>
      </c>
    </row>
    <row r="565" spans="5:8" s="432" customFormat="1" hidden="1" x14ac:dyDescent="0.35">
      <c r="E565" s="594">
        <f t="shared" si="26"/>
        <v>44792</v>
      </c>
      <c r="F565" s="316">
        <f t="shared" si="27"/>
        <v>0</v>
      </c>
      <c r="G565" s="316">
        <f t="shared" si="25"/>
        <v>0</v>
      </c>
      <c r="H565" s="432">
        <f t="shared" si="28"/>
        <v>0</v>
      </c>
    </row>
    <row r="566" spans="5:8" s="432" customFormat="1" hidden="1" x14ac:dyDescent="0.35">
      <c r="E566" s="594">
        <f t="shared" si="26"/>
        <v>44793</v>
      </c>
      <c r="F566" s="316">
        <f t="shared" si="27"/>
        <v>0</v>
      </c>
      <c r="G566" s="316">
        <f t="shared" si="25"/>
        <v>0</v>
      </c>
      <c r="H566" s="432">
        <f t="shared" si="28"/>
        <v>0</v>
      </c>
    </row>
    <row r="567" spans="5:8" s="432" customFormat="1" hidden="1" x14ac:dyDescent="0.35">
      <c r="E567" s="594">
        <f t="shared" si="26"/>
        <v>44794</v>
      </c>
      <c r="F567" s="316">
        <f t="shared" si="27"/>
        <v>0</v>
      </c>
      <c r="G567" s="316">
        <f t="shared" si="25"/>
        <v>0</v>
      </c>
      <c r="H567" s="432">
        <f t="shared" si="28"/>
        <v>0</v>
      </c>
    </row>
    <row r="568" spans="5:8" s="432" customFormat="1" hidden="1" x14ac:dyDescent="0.35">
      <c r="E568" s="594">
        <f t="shared" si="26"/>
        <v>44795</v>
      </c>
      <c r="F568" s="316">
        <f t="shared" si="27"/>
        <v>0</v>
      </c>
      <c r="G568" s="316">
        <f t="shared" si="25"/>
        <v>0</v>
      </c>
      <c r="H568" s="432">
        <f t="shared" si="28"/>
        <v>0</v>
      </c>
    </row>
    <row r="569" spans="5:8" s="432" customFormat="1" hidden="1" x14ac:dyDescent="0.35">
      <c r="E569" s="594">
        <f t="shared" si="26"/>
        <v>44796</v>
      </c>
      <c r="F569" s="316">
        <f t="shared" si="27"/>
        <v>0</v>
      </c>
      <c r="G569" s="316">
        <f t="shared" si="25"/>
        <v>0</v>
      </c>
      <c r="H569" s="432">
        <f t="shared" si="28"/>
        <v>0</v>
      </c>
    </row>
    <row r="570" spans="5:8" s="432" customFormat="1" hidden="1" x14ac:dyDescent="0.35">
      <c r="E570" s="594">
        <f t="shared" si="26"/>
        <v>44797</v>
      </c>
      <c r="F570" s="316">
        <f t="shared" si="27"/>
        <v>0</v>
      </c>
      <c r="G570" s="316">
        <f t="shared" si="25"/>
        <v>0</v>
      </c>
      <c r="H570" s="432">
        <f t="shared" si="28"/>
        <v>0</v>
      </c>
    </row>
    <row r="571" spans="5:8" s="432" customFormat="1" hidden="1" x14ac:dyDescent="0.35">
      <c r="E571" s="594">
        <f t="shared" si="26"/>
        <v>44798</v>
      </c>
      <c r="F571" s="316">
        <f t="shared" si="27"/>
        <v>0</v>
      </c>
      <c r="G571" s="316">
        <f t="shared" si="25"/>
        <v>0</v>
      </c>
      <c r="H571" s="432">
        <f t="shared" si="28"/>
        <v>0</v>
      </c>
    </row>
    <row r="572" spans="5:8" s="432" customFormat="1" hidden="1" x14ac:dyDescent="0.35">
      <c r="E572" s="594">
        <f t="shared" si="26"/>
        <v>44799</v>
      </c>
      <c r="F572" s="316">
        <f t="shared" si="27"/>
        <v>0</v>
      </c>
      <c r="G572" s="316">
        <f t="shared" si="25"/>
        <v>0</v>
      </c>
      <c r="H572" s="432">
        <f t="shared" si="28"/>
        <v>0</v>
      </c>
    </row>
    <row r="573" spans="5:8" s="432" customFormat="1" hidden="1" x14ac:dyDescent="0.35">
      <c r="E573" s="594">
        <f t="shared" si="26"/>
        <v>44800</v>
      </c>
      <c r="F573" s="316">
        <f t="shared" si="27"/>
        <v>0</v>
      </c>
      <c r="G573" s="316">
        <f t="shared" si="25"/>
        <v>0</v>
      </c>
      <c r="H573" s="432">
        <f t="shared" si="28"/>
        <v>0</v>
      </c>
    </row>
    <row r="574" spans="5:8" s="432" customFormat="1" hidden="1" x14ac:dyDescent="0.35">
      <c r="E574" s="594">
        <f t="shared" si="26"/>
        <v>44801</v>
      </c>
      <c r="F574" s="316">
        <f t="shared" si="27"/>
        <v>0</v>
      </c>
      <c r="G574" s="316">
        <f t="shared" si="25"/>
        <v>0</v>
      </c>
      <c r="H574" s="432">
        <f t="shared" si="28"/>
        <v>0</v>
      </c>
    </row>
    <row r="575" spans="5:8" s="432" customFormat="1" hidden="1" x14ac:dyDescent="0.35">
      <c r="E575" s="594">
        <f t="shared" si="26"/>
        <v>44802</v>
      </c>
      <c r="F575" s="316">
        <f t="shared" si="27"/>
        <v>0</v>
      </c>
      <c r="G575" s="316">
        <f t="shared" si="25"/>
        <v>0</v>
      </c>
      <c r="H575" s="432">
        <f t="shared" si="28"/>
        <v>0</v>
      </c>
    </row>
    <row r="576" spans="5:8" s="432" customFormat="1" hidden="1" x14ac:dyDescent="0.35">
      <c r="E576" s="594">
        <f t="shared" si="26"/>
        <v>44803</v>
      </c>
      <c r="F576" s="316">
        <f t="shared" si="27"/>
        <v>0</v>
      </c>
      <c r="G576" s="316">
        <f t="shared" si="25"/>
        <v>0</v>
      </c>
      <c r="H576" s="432">
        <f t="shared" si="28"/>
        <v>0</v>
      </c>
    </row>
    <row r="577" spans="5:8" s="432" customFormat="1" hidden="1" x14ac:dyDescent="0.35">
      <c r="E577" s="594">
        <f t="shared" si="26"/>
        <v>44804</v>
      </c>
      <c r="F577" s="316">
        <f t="shared" si="27"/>
        <v>0</v>
      </c>
      <c r="G577" s="316">
        <f t="shared" si="25"/>
        <v>0</v>
      </c>
      <c r="H577" s="432">
        <f t="shared" si="28"/>
        <v>0</v>
      </c>
    </row>
    <row r="578" spans="5:8" s="432" customFormat="1" hidden="1" x14ac:dyDescent="0.35">
      <c r="E578" s="594">
        <f t="shared" si="26"/>
        <v>44805</v>
      </c>
      <c r="F578" s="316">
        <f t="shared" si="27"/>
        <v>0</v>
      </c>
      <c r="G578" s="316">
        <f t="shared" si="25"/>
        <v>0</v>
      </c>
      <c r="H578" s="432">
        <f t="shared" si="28"/>
        <v>0</v>
      </c>
    </row>
    <row r="579" spans="5:8" s="432" customFormat="1" hidden="1" x14ac:dyDescent="0.35">
      <c r="E579" s="594">
        <f t="shared" si="26"/>
        <v>44806</v>
      </c>
      <c r="F579" s="316">
        <f t="shared" si="27"/>
        <v>0</v>
      </c>
      <c r="G579" s="316">
        <f t="shared" si="25"/>
        <v>0</v>
      </c>
      <c r="H579" s="432">
        <f t="shared" si="28"/>
        <v>0</v>
      </c>
    </row>
    <row r="580" spans="5:8" s="432" customFormat="1" hidden="1" x14ac:dyDescent="0.35">
      <c r="E580" s="594">
        <f t="shared" si="26"/>
        <v>44807</v>
      </c>
      <c r="F580" s="316">
        <f t="shared" si="27"/>
        <v>0</v>
      </c>
      <c r="G580" s="316">
        <f t="shared" si="25"/>
        <v>0</v>
      </c>
      <c r="H580" s="432">
        <f t="shared" si="28"/>
        <v>0</v>
      </c>
    </row>
    <row r="581" spans="5:8" s="432" customFormat="1" hidden="1" x14ac:dyDescent="0.35">
      <c r="E581" s="594">
        <f t="shared" si="26"/>
        <v>44808</v>
      </c>
      <c r="F581" s="316">
        <f t="shared" si="27"/>
        <v>0</v>
      </c>
      <c r="G581" s="316">
        <f t="shared" si="25"/>
        <v>0</v>
      </c>
      <c r="H581" s="432">
        <f t="shared" si="28"/>
        <v>0</v>
      </c>
    </row>
    <row r="582" spans="5:8" s="432" customFormat="1" hidden="1" x14ac:dyDescent="0.35">
      <c r="E582" s="594">
        <f t="shared" si="26"/>
        <v>44809</v>
      </c>
      <c r="F582" s="316">
        <f t="shared" si="27"/>
        <v>0</v>
      </c>
      <c r="G582" s="316">
        <f t="shared" si="25"/>
        <v>0</v>
      </c>
      <c r="H582" s="432">
        <f t="shared" si="28"/>
        <v>0</v>
      </c>
    </row>
    <row r="583" spans="5:8" s="432" customFormat="1" hidden="1" x14ac:dyDescent="0.35">
      <c r="E583" s="594">
        <f t="shared" si="26"/>
        <v>44810</v>
      </c>
      <c r="F583" s="316">
        <f t="shared" si="27"/>
        <v>0</v>
      </c>
      <c r="G583" s="316">
        <f t="shared" si="25"/>
        <v>0</v>
      </c>
      <c r="H583" s="432">
        <f t="shared" si="28"/>
        <v>0</v>
      </c>
    </row>
    <row r="584" spans="5:8" s="432" customFormat="1" hidden="1" x14ac:dyDescent="0.35">
      <c r="E584" s="594">
        <f t="shared" si="26"/>
        <v>44811</v>
      </c>
      <c r="F584" s="316">
        <f t="shared" si="27"/>
        <v>0</v>
      </c>
      <c r="G584" s="316">
        <f t="shared" si="25"/>
        <v>0</v>
      </c>
      <c r="H584" s="432">
        <f t="shared" si="28"/>
        <v>0</v>
      </c>
    </row>
    <row r="585" spans="5:8" s="432" customFormat="1" hidden="1" x14ac:dyDescent="0.35">
      <c r="E585" s="594">
        <f t="shared" si="26"/>
        <v>44812</v>
      </c>
      <c r="F585" s="316">
        <f t="shared" si="27"/>
        <v>0</v>
      </c>
      <c r="G585" s="316">
        <f t="shared" si="25"/>
        <v>0</v>
      </c>
      <c r="H585" s="432">
        <f t="shared" si="28"/>
        <v>0</v>
      </c>
    </row>
    <row r="586" spans="5:8" s="432" customFormat="1" hidden="1" x14ac:dyDescent="0.35">
      <c r="E586" s="594">
        <f t="shared" si="26"/>
        <v>44813</v>
      </c>
      <c r="F586" s="316">
        <f t="shared" si="27"/>
        <v>0</v>
      </c>
      <c r="G586" s="316">
        <f t="shared" si="25"/>
        <v>0</v>
      </c>
      <c r="H586" s="432">
        <f t="shared" si="28"/>
        <v>0</v>
      </c>
    </row>
    <row r="587" spans="5:8" s="432" customFormat="1" hidden="1" x14ac:dyDescent="0.35">
      <c r="E587" s="594">
        <f t="shared" si="26"/>
        <v>44814</v>
      </c>
      <c r="F587" s="316">
        <f t="shared" si="27"/>
        <v>0</v>
      </c>
      <c r="G587" s="316">
        <f t="shared" si="25"/>
        <v>0</v>
      </c>
      <c r="H587" s="432">
        <f t="shared" si="28"/>
        <v>0</v>
      </c>
    </row>
    <row r="588" spans="5:8" s="432" customFormat="1" hidden="1" x14ac:dyDescent="0.35">
      <c r="E588" s="594">
        <f t="shared" si="26"/>
        <v>44815</v>
      </c>
      <c r="F588" s="316">
        <f t="shared" si="27"/>
        <v>0</v>
      </c>
      <c r="G588" s="316">
        <f t="shared" si="25"/>
        <v>0</v>
      </c>
      <c r="H588" s="432">
        <f t="shared" si="28"/>
        <v>0</v>
      </c>
    </row>
    <row r="589" spans="5:8" s="432" customFormat="1" hidden="1" x14ac:dyDescent="0.35">
      <c r="E589" s="594">
        <f t="shared" si="26"/>
        <v>44816</v>
      </c>
      <c r="F589" s="316">
        <f t="shared" si="27"/>
        <v>0</v>
      </c>
      <c r="G589" s="316">
        <f t="shared" si="25"/>
        <v>0</v>
      </c>
      <c r="H589" s="432">
        <f t="shared" si="28"/>
        <v>0</v>
      </c>
    </row>
    <row r="590" spans="5:8" s="432" customFormat="1" hidden="1" x14ac:dyDescent="0.35">
      <c r="E590" s="594">
        <f t="shared" si="26"/>
        <v>44817</v>
      </c>
      <c r="F590" s="316">
        <f t="shared" si="27"/>
        <v>0</v>
      </c>
      <c r="G590" s="316">
        <f t="shared" si="25"/>
        <v>0</v>
      </c>
      <c r="H590" s="432">
        <f t="shared" si="28"/>
        <v>0</v>
      </c>
    </row>
    <row r="591" spans="5:8" s="432" customFormat="1" hidden="1" x14ac:dyDescent="0.35">
      <c r="E591" s="594">
        <f t="shared" si="26"/>
        <v>44818</v>
      </c>
      <c r="F591" s="316">
        <f t="shared" si="27"/>
        <v>0</v>
      </c>
      <c r="G591" s="316">
        <f t="shared" si="25"/>
        <v>0</v>
      </c>
      <c r="H591" s="432">
        <f t="shared" si="28"/>
        <v>0</v>
      </c>
    </row>
    <row r="592" spans="5:8" s="432" customFormat="1" hidden="1" x14ac:dyDescent="0.35">
      <c r="E592" s="594">
        <f t="shared" si="26"/>
        <v>44819</v>
      </c>
      <c r="F592" s="316">
        <f t="shared" si="27"/>
        <v>0</v>
      </c>
      <c r="G592" s="316">
        <f t="shared" si="25"/>
        <v>0</v>
      </c>
      <c r="H592" s="432">
        <f t="shared" si="28"/>
        <v>0</v>
      </c>
    </row>
    <row r="593" spans="5:8" s="432" customFormat="1" hidden="1" x14ac:dyDescent="0.35">
      <c r="E593" s="594">
        <f t="shared" si="26"/>
        <v>44820</v>
      </c>
      <c r="F593" s="316">
        <f t="shared" si="27"/>
        <v>0</v>
      </c>
      <c r="G593" s="316">
        <f t="shared" si="25"/>
        <v>0</v>
      </c>
      <c r="H593" s="432">
        <f t="shared" si="28"/>
        <v>0</v>
      </c>
    </row>
    <row r="594" spans="5:8" s="432" customFormat="1" hidden="1" x14ac:dyDescent="0.35">
      <c r="E594" s="594">
        <f t="shared" si="26"/>
        <v>44821</v>
      </c>
      <c r="F594" s="316">
        <f t="shared" si="27"/>
        <v>0</v>
      </c>
      <c r="G594" s="316">
        <f t="shared" si="25"/>
        <v>0</v>
      </c>
      <c r="H594" s="432">
        <f t="shared" si="28"/>
        <v>0</v>
      </c>
    </row>
    <row r="595" spans="5:8" s="432" customFormat="1" hidden="1" x14ac:dyDescent="0.35">
      <c r="E595" s="594">
        <f t="shared" si="26"/>
        <v>44822</v>
      </c>
      <c r="F595" s="316">
        <f t="shared" si="27"/>
        <v>0</v>
      </c>
      <c r="G595" s="316">
        <f t="shared" si="25"/>
        <v>0</v>
      </c>
      <c r="H595" s="432">
        <f t="shared" si="28"/>
        <v>0</v>
      </c>
    </row>
    <row r="596" spans="5:8" s="432" customFormat="1" hidden="1" x14ac:dyDescent="0.35">
      <c r="E596" s="594">
        <f t="shared" si="26"/>
        <v>44823</v>
      </c>
      <c r="F596" s="316">
        <f t="shared" si="27"/>
        <v>0</v>
      </c>
      <c r="G596" s="316">
        <f t="shared" si="25"/>
        <v>0</v>
      </c>
      <c r="H596" s="432">
        <f t="shared" si="28"/>
        <v>0</v>
      </c>
    </row>
    <row r="597" spans="5:8" s="432" customFormat="1" hidden="1" x14ac:dyDescent="0.35">
      <c r="E597" s="594">
        <f t="shared" si="26"/>
        <v>44824</v>
      </c>
      <c r="F597" s="316">
        <f t="shared" si="27"/>
        <v>0</v>
      </c>
      <c r="G597" s="316">
        <f t="shared" si="25"/>
        <v>0</v>
      </c>
      <c r="H597" s="432">
        <f t="shared" si="28"/>
        <v>0</v>
      </c>
    </row>
    <row r="598" spans="5:8" s="432" customFormat="1" hidden="1" x14ac:dyDescent="0.35">
      <c r="E598" s="594">
        <f t="shared" si="26"/>
        <v>44825</v>
      </c>
      <c r="F598" s="316">
        <f t="shared" si="27"/>
        <v>0</v>
      </c>
      <c r="G598" s="316">
        <f t="shared" si="25"/>
        <v>0</v>
      </c>
      <c r="H598" s="432">
        <f t="shared" si="28"/>
        <v>0</v>
      </c>
    </row>
    <row r="599" spans="5:8" s="432" customFormat="1" hidden="1" x14ac:dyDescent="0.35">
      <c r="E599" s="594">
        <f t="shared" si="26"/>
        <v>44826</v>
      </c>
      <c r="F599" s="316">
        <f t="shared" si="27"/>
        <v>0</v>
      </c>
      <c r="G599" s="316">
        <f t="shared" si="25"/>
        <v>0</v>
      </c>
      <c r="H599" s="432">
        <f t="shared" si="28"/>
        <v>0</v>
      </c>
    </row>
    <row r="600" spans="5:8" s="432" customFormat="1" hidden="1" x14ac:dyDescent="0.35">
      <c r="E600" s="594">
        <f t="shared" si="26"/>
        <v>44827</v>
      </c>
      <c r="F600" s="316">
        <f t="shared" si="27"/>
        <v>0</v>
      </c>
      <c r="G600" s="316">
        <f t="shared" ref="G600:G663" si="29">ROUND(F600,-2)</f>
        <v>0</v>
      </c>
      <c r="H600" s="432">
        <f t="shared" si="28"/>
        <v>0</v>
      </c>
    </row>
    <row r="601" spans="5:8" s="432" customFormat="1" hidden="1" x14ac:dyDescent="0.35">
      <c r="E601" s="594">
        <f t="shared" ref="E601:E664" si="30">IF(E600&lt;$C$153,E600+1,$C$153)</f>
        <v>44828</v>
      </c>
      <c r="F601" s="316">
        <f t="shared" ref="F601:F664" si="31">IF(E600&lt;$C$153,F600+C$155,F600)</f>
        <v>0</v>
      </c>
      <c r="G601" s="316">
        <f t="shared" si="29"/>
        <v>0</v>
      </c>
      <c r="H601" s="432">
        <f t="shared" ref="H601:H664" si="32">IF(F601&gt;F600,(VLOOKUP(G601,$K$151:$O$157,MATCH($C$156,$K$151:$O$151,0),0)),0)</f>
        <v>0</v>
      </c>
    </row>
    <row r="602" spans="5:8" s="432" customFormat="1" hidden="1" x14ac:dyDescent="0.35">
      <c r="E602" s="594">
        <f t="shared" si="30"/>
        <v>44829</v>
      </c>
      <c r="F602" s="316">
        <f t="shared" si="31"/>
        <v>0</v>
      </c>
      <c r="G602" s="316">
        <f t="shared" si="29"/>
        <v>0</v>
      </c>
      <c r="H602" s="432">
        <f t="shared" si="32"/>
        <v>0</v>
      </c>
    </row>
    <row r="603" spans="5:8" s="432" customFormat="1" hidden="1" x14ac:dyDescent="0.35">
      <c r="E603" s="594">
        <f t="shared" si="30"/>
        <v>44830</v>
      </c>
      <c r="F603" s="316">
        <f t="shared" si="31"/>
        <v>0</v>
      </c>
      <c r="G603" s="316">
        <f t="shared" si="29"/>
        <v>0</v>
      </c>
      <c r="H603" s="432">
        <f t="shared" si="32"/>
        <v>0</v>
      </c>
    </row>
    <row r="604" spans="5:8" s="432" customFormat="1" hidden="1" x14ac:dyDescent="0.35">
      <c r="E604" s="594">
        <f t="shared" si="30"/>
        <v>44831</v>
      </c>
      <c r="F604" s="316">
        <f t="shared" si="31"/>
        <v>0</v>
      </c>
      <c r="G604" s="316">
        <f t="shared" si="29"/>
        <v>0</v>
      </c>
      <c r="H604" s="432">
        <f t="shared" si="32"/>
        <v>0</v>
      </c>
    </row>
    <row r="605" spans="5:8" s="432" customFormat="1" hidden="1" x14ac:dyDescent="0.35">
      <c r="E605" s="594">
        <f t="shared" si="30"/>
        <v>44832</v>
      </c>
      <c r="F605" s="316">
        <f t="shared" si="31"/>
        <v>0</v>
      </c>
      <c r="G605" s="316">
        <f t="shared" si="29"/>
        <v>0</v>
      </c>
      <c r="H605" s="432">
        <f t="shared" si="32"/>
        <v>0</v>
      </c>
    </row>
    <row r="606" spans="5:8" s="432" customFormat="1" hidden="1" x14ac:dyDescent="0.35">
      <c r="E606" s="594">
        <f t="shared" si="30"/>
        <v>44833</v>
      </c>
      <c r="F606" s="316">
        <f t="shared" si="31"/>
        <v>0</v>
      </c>
      <c r="G606" s="316">
        <f t="shared" si="29"/>
        <v>0</v>
      </c>
      <c r="H606" s="432">
        <f t="shared" si="32"/>
        <v>0</v>
      </c>
    </row>
    <row r="607" spans="5:8" s="432" customFormat="1" hidden="1" x14ac:dyDescent="0.35">
      <c r="E607" s="594">
        <f t="shared" si="30"/>
        <v>44834</v>
      </c>
      <c r="F607" s="316">
        <f t="shared" si="31"/>
        <v>0</v>
      </c>
      <c r="G607" s="316">
        <f t="shared" si="29"/>
        <v>0</v>
      </c>
      <c r="H607" s="432">
        <f t="shared" si="32"/>
        <v>0</v>
      </c>
    </row>
    <row r="608" spans="5:8" s="432" customFormat="1" hidden="1" x14ac:dyDescent="0.35">
      <c r="E608" s="594">
        <f t="shared" si="30"/>
        <v>44835</v>
      </c>
      <c r="F608" s="316">
        <f t="shared" si="31"/>
        <v>0</v>
      </c>
      <c r="G608" s="316">
        <f t="shared" si="29"/>
        <v>0</v>
      </c>
      <c r="H608" s="432">
        <f t="shared" si="32"/>
        <v>0</v>
      </c>
    </row>
    <row r="609" spans="5:8" s="432" customFormat="1" hidden="1" x14ac:dyDescent="0.35">
      <c r="E609" s="594">
        <f t="shared" si="30"/>
        <v>44836</v>
      </c>
      <c r="F609" s="316">
        <f t="shared" si="31"/>
        <v>0</v>
      </c>
      <c r="G609" s="316">
        <f t="shared" si="29"/>
        <v>0</v>
      </c>
      <c r="H609" s="432">
        <f t="shared" si="32"/>
        <v>0</v>
      </c>
    </row>
    <row r="610" spans="5:8" s="432" customFormat="1" hidden="1" x14ac:dyDescent="0.35">
      <c r="E610" s="594">
        <f t="shared" si="30"/>
        <v>44837</v>
      </c>
      <c r="F610" s="316">
        <f t="shared" si="31"/>
        <v>0</v>
      </c>
      <c r="G610" s="316">
        <f t="shared" si="29"/>
        <v>0</v>
      </c>
      <c r="H610" s="432">
        <f t="shared" si="32"/>
        <v>0</v>
      </c>
    </row>
    <row r="611" spans="5:8" s="432" customFormat="1" hidden="1" x14ac:dyDescent="0.35">
      <c r="E611" s="594">
        <f t="shared" si="30"/>
        <v>44838</v>
      </c>
      <c r="F611" s="316">
        <f t="shared" si="31"/>
        <v>0</v>
      </c>
      <c r="G611" s="316">
        <f t="shared" si="29"/>
        <v>0</v>
      </c>
      <c r="H611" s="432">
        <f t="shared" si="32"/>
        <v>0</v>
      </c>
    </row>
    <row r="612" spans="5:8" s="432" customFormat="1" hidden="1" x14ac:dyDescent="0.35">
      <c r="E612" s="594">
        <f t="shared" si="30"/>
        <v>44839</v>
      </c>
      <c r="F612" s="316">
        <f t="shared" si="31"/>
        <v>0</v>
      </c>
      <c r="G612" s="316">
        <f t="shared" si="29"/>
        <v>0</v>
      </c>
      <c r="H612" s="432">
        <f t="shared" si="32"/>
        <v>0</v>
      </c>
    </row>
    <row r="613" spans="5:8" s="432" customFormat="1" hidden="1" x14ac:dyDescent="0.35">
      <c r="E613" s="594">
        <f t="shared" si="30"/>
        <v>44840</v>
      </c>
      <c r="F613" s="316">
        <f t="shared" si="31"/>
        <v>0</v>
      </c>
      <c r="G613" s="316">
        <f t="shared" si="29"/>
        <v>0</v>
      </c>
      <c r="H613" s="432">
        <f t="shared" si="32"/>
        <v>0</v>
      </c>
    </row>
    <row r="614" spans="5:8" s="432" customFormat="1" hidden="1" x14ac:dyDescent="0.35">
      <c r="E614" s="594">
        <f t="shared" si="30"/>
        <v>44841</v>
      </c>
      <c r="F614" s="316">
        <f t="shared" si="31"/>
        <v>0</v>
      </c>
      <c r="G614" s="316">
        <f t="shared" si="29"/>
        <v>0</v>
      </c>
      <c r="H614" s="432">
        <f t="shared" si="32"/>
        <v>0</v>
      </c>
    </row>
    <row r="615" spans="5:8" s="432" customFormat="1" hidden="1" x14ac:dyDescent="0.35">
      <c r="E615" s="594">
        <f t="shared" si="30"/>
        <v>44842</v>
      </c>
      <c r="F615" s="316">
        <f t="shared" si="31"/>
        <v>0</v>
      </c>
      <c r="G615" s="316">
        <f t="shared" si="29"/>
        <v>0</v>
      </c>
      <c r="H615" s="432">
        <f t="shared" si="32"/>
        <v>0</v>
      </c>
    </row>
    <row r="616" spans="5:8" s="432" customFormat="1" hidden="1" x14ac:dyDescent="0.35">
      <c r="E616" s="594">
        <f t="shared" si="30"/>
        <v>44843</v>
      </c>
      <c r="F616" s="316">
        <f t="shared" si="31"/>
        <v>0</v>
      </c>
      <c r="G616" s="316">
        <f t="shared" si="29"/>
        <v>0</v>
      </c>
      <c r="H616" s="432">
        <f t="shared" si="32"/>
        <v>0</v>
      </c>
    </row>
    <row r="617" spans="5:8" s="432" customFormat="1" hidden="1" x14ac:dyDescent="0.35">
      <c r="E617" s="594">
        <f t="shared" si="30"/>
        <v>44844</v>
      </c>
      <c r="F617" s="316">
        <f t="shared" si="31"/>
        <v>0</v>
      </c>
      <c r="G617" s="316">
        <f t="shared" si="29"/>
        <v>0</v>
      </c>
      <c r="H617" s="432">
        <f t="shared" si="32"/>
        <v>0</v>
      </c>
    </row>
    <row r="618" spans="5:8" s="432" customFormat="1" hidden="1" x14ac:dyDescent="0.35">
      <c r="E618" s="594">
        <f t="shared" si="30"/>
        <v>44845</v>
      </c>
      <c r="F618" s="316">
        <f t="shared" si="31"/>
        <v>0</v>
      </c>
      <c r="G618" s="316">
        <f t="shared" si="29"/>
        <v>0</v>
      </c>
      <c r="H618" s="432">
        <f t="shared" si="32"/>
        <v>0</v>
      </c>
    </row>
    <row r="619" spans="5:8" s="432" customFormat="1" hidden="1" x14ac:dyDescent="0.35">
      <c r="E619" s="594">
        <f t="shared" si="30"/>
        <v>44846</v>
      </c>
      <c r="F619" s="316">
        <f t="shared" si="31"/>
        <v>0</v>
      </c>
      <c r="G619" s="316">
        <f t="shared" si="29"/>
        <v>0</v>
      </c>
      <c r="H619" s="432">
        <f t="shared" si="32"/>
        <v>0</v>
      </c>
    </row>
    <row r="620" spans="5:8" s="432" customFormat="1" hidden="1" x14ac:dyDescent="0.35">
      <c r="E620" s="594">
        <f t="shared" si="30"/>
        <v>44847</v>
      </c>
      <c r="F620" s="316">
        <f t="shared" si="31"/>
        <v>0</v>
      </c>
      <c r="G620" s="316">
        <f t="shared" si="29"/>
        <v>0</v>
      </c>
      <c r="H620" s="432">
        <f t="shared" si="32"/>
        <v>0</v>
      </c>
    </row>
    <row r="621" spans="5:8" s="432" customFormat="1" hidden="1" x14ac:dyDescent="0.35">
      <c r="E621" s="594">
        <f t="shared" si="30"/>
        <v>44848</v>
      </c>
      <c r="F621" s="316">
        <f t="shared" si="31"/>
        <v>0</v>
      </c>
      <c r="G621" s="316">
        <f t="shared" si="29"/>
        <v>0</v>
      </c>
      <c r="H621" s="432">
        <f t="shared" si="32"/>
        <v>0</v>
      </c>
    </row>
    <row r="622" spans="5:8" s="432" customFormat="1" hidden="1" x14ac:dyDescent="0.35">
      <c r="E622" s="594">
        <f t="shared" si="30"/>
        <v>44849</v>
      </c>
      <c r="F622" s="316">
        <f t="shared" si="31"/>
        <v>0</v>
      </c>
      <c r="G622" s="316">
        <f t="shared" si="29"/>
        <v>0</v>
      </c>
      <c r="H622" s="432">
        <f t="shared" si="32"/>
        <v>0</v>
      </c>
    </row>
    <row r="623" spans="5:8" s="432" customFormat="1" hidden="1" x14ac:dyDescent="0.35">
      <c r="E623" s="594">
        <f t="shared" si="30"/>
        <v>44850</v>
      </c>
      <c r="F623" s="316">
        <f t="shared" si="31"/>
        <v>0</v>
      </c>
      <c r="G623" s="316">
        <f t="shared" si="29"/>
        <v>0</v>
      </c>
      <c r="H623" s="432">
        <f t="shared" si="32"/>
        <v>0</v>
      </c>
    </row>
    <row r="624" spans="5:8" s="432" customFormat="1" hidden="1" x14ac:dyDescent="0.35">
      <c r="E624" s="594">
        <f t="shared" si="30"/>
        <v>44851</v>
      </c>
      <c r="F624" s="316">
        <f t="shared" si="31"/>
        <v>0</v>
      </c>
      <c r="G624" s="316">
        <f t="shared" si="29"/>
        <v>0</v>
      </c>
      <c r="H624" s="432">
        <f t="shared" si="32"/>
        <v>0</v>
      </c>
    </row>
    <row r="625" spans="5:8" s="432" customFormat="1" hidden="1" x14ac:dyDescent="0.35">
      <c r="E625" s="594">
        <f t="shared" si="30"/>
        <v>44852</v>
      </c>
      <c r="F625" s="316">
        <f t="shared" si="31"/>
        <v>0</v>
      </c>
      <c r="G625" s="316">
        <f t="shared" si="29"/>
        <v>0</v>
      </c>
      <c r="H625" s="432">
        <f t="shared" si="32"/>
        <v>0</v>
      </c>
    </row>
    <row r="626" spans="5:8" s="432" customFormat="1" hidden="1" x14ac:dyDescent="0.35">
      <c r="E626" s="594">
        <f t="shared" si="30"/>
        <v>44853</v>
      </c>
      <c r="F626" s="316">
        <f t="shared" si="31"/>
        <v>0</v>
      </c>
      <c r="G626" s="316">
        <f t="shared" si="29"/>
        <v>0</v>
      </c>
      <c r="H626" s="432">
        <f t="shared" si="32"/>
        <v>0</v>
      </c>
    </row>
    <row r="627" spans="5:8" s="432" customFormat="1" hidden="1" x14ac:dyDescent="0.35">
      <c r="E627" s="594">
        <f t="shared" si="30"/>
        <v>44854</v>
      </c>
      <c r="F627" s="316">
        <f t="shared" si="31"/>
        <v>0</v>
      </c>
      <c r="G627" s="316">
        <f t="shared" si="29"/>
        <v>0</v>
      </c>
      <c r="H627" s="432">
        <f t="shared" si="32"/>
        <v>0</v>
      </c>
    </row>
    <row r="628" spans="5:8" s="432" customFormat="1" hidden="1" x14ac:dyDescent="0.35">
      <c r="E628" s="594">
        <f t="shared" si="30"/>
        <v>44855</v>
      </c>
      <c r="F628" s="316">
        <f t="shared" si="31"/>
        <v>0</v>
      </c>
      <c r="G628" s="316">
        <f t="shared" si="29"/>
        <v>0</v>
      </c>
      <c r="H628" s="432">
        <f t="shared" si="32"/>
        <v>0</v>
      </c>
    </row>
    <row r="629" spans="5:8" s="432" customFormat="1" hidden="1" x14ac:dyDescent="0.35">
      <c r="E629" s="594">
        <f t="shared" si="30"/>
        <v>44856</v>
      </c>
      <c r="F629" s="316">
        <f t="shared" si="31"/>
        <v>0</v>
      </c>
      <c r="G629" s="316">
        <f t="shared" si="29"/>
        <v>0</v>
      </c>
      <c r="H629" s="432">
        <f t="shared" si="32"/>
        <v>0</v>
      </c>
    </row>
    <row r="630" spans="5:8" s="432" customFormat="1" hidden="1" x14ac:dyDescent="0.35">
      <c r="E630" s="594">
        <f t="shared" si="30"/>
        <v>44857</v>
      </c>
      <c r="F630" s="316">
        <f t="shared" si="31"/>
        <v>0</v>
      </c>
      <c r="G630" s="316">
        <f t="shared" si="29"/>
        <v>0</v>
      </c>
      <c r="H630" s="432">
        <f t="shared" si="32"/>
        <v>0</v>
      </c>
    </row>
    <row r="631" spans="5:8" s="432" customFormat="1" hidden="1" x14ac:dyDescent="0.35">
      <c r="E631" s="594">
        <f t="shared" si="30"/>
        <v>44858</v>
      </c>
      <c r="F631" s="316">
        <f t="shared" si="31"/>
        <v>0</v>
      </c>
      <c r="G631" s="316">
        <f t="shared" si="29"/>
        <v>0</v>
      </c>
      <c r="H631" s="432">
        <f t="shared" si="32"/>
        <v>0</v>
      </c>
    </row>
    <row r="632" spans="5:8" s="432" customFormat="1" hidden="1" x14ac:dyDescent="0.35">
      <c r="E632" s="594">
        <f t="shared" si="30"/>
        <v>44859</v>
      </c>
      <c r="F632" s="316">
        <f t="shared" si="31"/>
        <v>0</v>
      </c>
      <c r="G632" s="316">
        <f t="shared" si="29"/>
        <v>0</v>
      </c>
      <c r="H632" s="432">
        <f t="shared" si="32"/>
        <v>0</v>
      </c>
    </row>
    <row r="633" spans="5:8" s="432" customFormat="1" hidden="1" x14ac:dyDescent="0.35">
      <c r="E633" s="594">
        <f t="shared" si="30"/>
        <v>44860</v>
      </c>
      <c r="F633" s="316">
        <f t="shared" si="31"/>
        <v>0</v>
      </c>
      <c r="G633" s="316">
        <f t="shared" si="29"/>
        <v>0</v>
      </c>
      <c r="H633" s="432">
        <f t="shared" si="32"/>
        <v>0</v>
      </c>
    </row>
    <row r="634" spans="5:8" s="432" customFormat="1" hidden="1" x14ac:dyDescent="0.35">
      <c r="E634" s="594">
        <f t="shared" si="30"/>
        <v>44861</v>
      </c>
      <c r="F634" s="316">
        <f t="shared" si="31"/>
        <v>0</v>
      </c>
      <c r="G634" s="316">
        <f t="shared" si="29"/>
        <v>0</v>
      </c>
      <c r="H634" s="432">
        <f t="shared" si="32"/>
        <v>0</v>
      </c>
    </row>
    <row r="635" spans="5:8" s="432" customFormat="1" hidden="1" x14ac:dyDescent="0.35">
      <c r="E635" s="594">
        <f t="shared" si="30"/>
        <v>44862</v>
      </c>
      <c r="F635" s="316">
        <f t="shared" si="31"/>
        <v>0</v>
      </c>
      <c r="G635" s="316">
        <f t="shared" si="29"/>
        <v>0</v>
      </c>
      <c r="H635" s="432">
        <f t="shared" si="32"/>
        <v>0</v>
      </c>
    </row>
    <row r="636" spans="5:8" s="432" customFormat="1" hidden="1" x14ac:dyDescent="0.35">
      <c r="E636" s="594">
        <f t="shared" si="30"/>
        <v>44863</v>
      </c>
      <c r="F636" s="316">
        <f t="shared" si="31"/>
        <v>0</v>
      </c>
      <c r="G636" s="316">
        <f t="shared" si="29"/>
        <v>0</v>
      </c>
      <c r="H636" s="432">
        <f t="shared" si="32"/>
        <v>0</v>
      </c>
    </row>
    <row r="637" spans="5:8" s="432" customFormat="1" hidden="1" x14ac:dyDescent="0.35">
      <c r="E637" s="594">
        <f t="shared" si="30"/>
        <v>44864</v>
      </c>
      <c r="F637" s="316">
        <f t="shared" si="31"/>
        <v>0</v>
      </c>
      <c r="G637" s="316">
        <f t="shared" si="29"/>
        <v>0</v>
      </c>
      <c r="H637" s="432">
        <f t="shared" si="32"/>
        <v>0</v>
      </c>
    </row>
    <row r="638" spans="5:8" s="432" customFormat="1" hidden="1" x14ac:dyDescent="0.35">
      <c r="E638" s="594">
        <f t="shared" si="30"/>
        <v>44865</v>
      </c>
      <c r="F638" s="316">
        <f t="shared" si="31"/>
        <v>0</v>
      </c>
      <c r="G638" s="316">
        <f t="shared" si="29"/>
        <v>0</v>
      </c>
      <c r="H638" s="432">
        <f t="shared" si="32"/>
        <v>0</v>
      </c>
    </row>
    <row r="639" spans="5:8" s="432" customFormat="1" hidden="1" x14ac:dyDescent="0.35">
      <c r="E639" s="594">
        <f t="shared" si="30"/>
        <v>44866</v>
      </c>
      <c r="F639" s="316">
        <f t="shared" si="31"/>
        <v>0</v>
      </c>
      <c r="G639" s="316">
        <f t="shared" si="29"/>
        <v>0</v>
      </c>
      <c r="H639" s="432">
        <f t="shared" si="32"/>
        <v>0</v>
      </c>
    </row>
    <row r="640" spans="5:8" s="432" customFormat="1" hidden="1" x14ac:dyDescent="0.35">
      <c r="E640" s="594">
        <f t="shared" si="30"/>
        <v>44867</v>
      </c>
      <c r="F640" s="316">
        <f t="shared" si="31"/>
        <v>0</v>
      </c>
      <c r="G640" s="316">
        <f t="shared" si="29"/>
        <v>0</v>
      </c>
      <c r="H640" s="432">
        <f t="shared" si="32"/>
        <v>0</v>
      </c>
    </row>
    <row r="641" spans="5:8" s="432" customFormat="1" hidden="1" x14ac:dyDescent="0.35">
      <c r="E641" s="594">
        <f t="shared" si="30"/>
        <v>44868</v>
      </c>
      <c r="F641" s="316">
        <f t="shared" si="31"/>
        <v>0</v>
      </c>
      <c r="G641" s="316">
        <f t="shared" si="29"/>
        <v>0</v>
      </c>
      <c r="H641" s="432">
        <f t="shared" si="32"/>
        <v>0</v>
      </c>
    </row>
    <row r="642" spans="5:8" s="432" customFormat="1" hidden="1" x14ac:dyDescent="0.35">
      <c r="E642" s="594">
        <f t="shared" si="30"/>
        <v>44869</v>
      </c>
      <c r="F642" s="316">
        <f t="shared" si="31"/>
        <v>0</v>
      </c>
      <c r="G642" s="316">
        <f t="shared" si="29"/>
        <v>0</v>
      </c>
      <c r="H642" s="432">
        <f t="shared" si="32"/>
        <v>0</v>
      </c>
    </row>
    <row r="643" spans="5:8" s="432" customFormat="1" hidden="1" x14ac:dyDescent="0.35">
      <c r="E643" s="594">
        <f t="shared" si="30"/>
        <v>44870</v>
      </c>
      <c r="F643" s="316">
        <f t="shared" si="31"/>
        <v>0</v>
      </c>
      <c r="G643" s="316">
        <f t="shared" si="29"/>
        <v>0</v>
      </c>
      <c r="H643" s="432">
        <f t="shared" si="32"/>
        <v>0</v>
      </c>
    </row>
    <row r="644" spans="5:8" s="432" customFormat="1" hidden="1" x14ac:dyDescent="0.35">
      <c r="E644" s="594">
        <f t="shared" si="30"/>
        <v>44871</v>
      </c>
      <c r="F644" s="316">
        <f t="shared" si="31"/>
        <v>0</v>
      </c>
      <c r="G644" s="316">
        <f t="shared" si="29"/>
        <v>0</v>
      </c>
      <c r="H644" s="432">
        <f t="shared" si="32"/>
        <v>0</v>
      </c>
    </row>
    <row r="645" spans="5:8" s="432" customFormat="1" hidden="1" x14ac:dyDescent="0.35">
      <c r="E645" s="594">
        <f t="shared" si="30"/>
        <v>44872</v>
      </c>
      <c r="F645" s="316">
        <f t="shared" si="31"/>
        <v>0</v>
      </c>
      <c r="G645" s="316">
        <f t="shared" si="29"/>
        <v>0</v>
      </c>
      <c r="H645" s="432">
        <f t="shared" si="32"/>
        <v>0</v>
      </c>
    </row>
    <row r="646" spans="5:8" s="432" customFormat="1" hidden="1" x14ac:dyDescent="0.35">
      <c r="E646" s="594">
        <f t="shared" si="30"/>
        <v>44873</v>
      </c>
      <c r="F646" s="316">
        <f t="shared" si="31"/>
        <v>0</v>
      </c>
      <c r="G646" s="316">
        <f t="shared" si="29"/>
        <v>0</v>
      </c>
      <c r="H646" s="432">
        <f t="shared" si="32"/>
        <v>0</v>
      </c>
    </row>
    <row r="647" spans="5:8" s="432" customFormat="1" hidden="1" x14ac:dyDescent="0.35">
      <c r="E647" s="594">
        <f t="shared" si="30"/>
        <v>44874</v>
      </c>
      <c r="F647" s="316">
        <f t="shared" si="31"/>
        <v>0</v>
      </c>
      <c r="G647" s="316">
        <f t="shared" si="29"/>
        <v>0</v>
      </c>
      <c r="H647" s="432">
        <f t="shared" si="32"/>
        <v>0</v>
      </c>
    </row>
    <row r="648" spans="5:8" s="432" customFormat="1" hidden="1" x14ac:dyDescent="0.35">
      <c r="E648" s="594">
        <f t="shared" si="30"/>
        <v>44875</v>
      </c>
      <c r="F648" s="316">
        <f t="shared" si="31"/>
        <v>0</v>
      </c>
      <c r="G648" s="316">
        <f t="shared" si="29"/>
        <v>0</v>
      </c>
      <c r="H648" s="432">
        <f t="shared" si="32"/>
        <v>0</v>
      </c>
    </row>
    <row r="649" spans="5:8" s="432" customFormat="1" hidden="1" x14ac:dyDescent="0.35">
      <c r="E649" s="594">
        <f t="shared" si="30"/>
        <v>44876</v>
      </c>
      <c r="F649" s="316">
        <f t="shared" si="31"/>
        <v>0</v>
      </c>
      <c r="G649" s="316">
        <f t="shared" si="29"/>
        <v>0</v>
      </c>
      <c r="H649" s="432">
        <f t="shared" si="32"/>
        <v>0</v>
      </c>
    </row>
    <row r="650" spans="5:8" s="432" customFormat="1" hidden="1" x14ac:dyDescent="0.35">
      <c r="E650" s="594">
        <f t="shared" si="30"/>
        <v>44877</v>
      </c>
      <c r="F650" s="316">
        <f t="shared" si="31"/>
        <v>0</v>
      </c>
      <c r="G650" s="316">
        <f t="shared" si="29"/>
        <v>0</v>
      </c>
      <c r="H650" s="432">
        <f t="shared" si="32"/>
        <v>0</v>
      </c>
    </row>
    <row r="651" spans="5:8" s="432" customFormat="1" hidden="1" x14ac:dyDescent="0.35">
      <c r="E651" s="594">
        <f t="shared" si="30"/>
        <v>44878</v>
      </c>
      <c r="F651" s="316">
        <f t="shared" si="31"/>
        <v>0</v>
      </c>
      <c r="G651" s="316">
        <f t="shared" si="29"/>
        <v>0</v>
      </c>
      <c r="H651" s="432">
        <f t="shared" si="32"/>
        <v>0</v>
      </c>
    </row>
    <row r="652" spans="5:8" s="432" customFormat="1" hidden="1" x14ac:dyDescent="0.35">
      <c r="E652" s="594">
        <f t="shared" si="30"/>
        <v>44879</v>
      </c>
      <c r="F652" s="316">
        <f t="shared" si="31"/>
        <v>0</v>
      </c>
      <c r="G652" s="316">
        <f t="shared" si="29"/>
        <v>0</v>
      </c>
      <c r="H652" s="432">
        <f t="shared" si="32"/>
        <v>0</v>
      </c>
    </row>
    <row r="653" spans="5:8" s="432" customFormat="1" hidden="1" x14ac:dyDescent="0.35">
      <c r="E653" s="594">
        <f t="shared" si="30"/>
        <v>44880</v>
      </c>
      <c r="F653" s="316">
        <f t="shared" si="31"/>
        <v>0</v>
      </c>
      <c r="G653" s="316">
        <f t="shared" si="29"/>
        <v>0</v>
      </c>
      <c r="H653" s="432">
        <f t="shared" si="32"/>
        <v>0</v>
      </c>
    </row>
    <row r="654" spans="5:8" s="432" customFormat="1" hidden="1" x14ac:dyDescent="0.35">
      <c r="E654" s="594">
        <f t="shared" si="30"/>
        <v>44881</v>
      </c>
      <c r="F654" s="316">
        <f t="shared" si="31"/>
        <v>0</v>
      </c>
      <c r="G654" s="316">
        <f t="shared" si="29"/>
        <v>0</v>
      </c>
      <c r="H654" s="432">
        <f t="shared" si="32"/>
        <v>0</v>
      </c>
    </row>
    <row r="655" spans="5:8" s="432" customFormat="1" hidden="1" x14ac:dyDescent="0.35">
      <c r="E655" s="594">
        <f t="shared" si="30"/>
        <v>44882</v>
      </c>
      <c r="F655" s="316">
        <f t="shared" si="31"/>
        <v>0</v>
      </c>
      <c r="G655" s="316">
        <f t="shared" si="29"/>
        <v>0</v>
      </c>
      <c r="H655" s="432">
        <f t="shared" si="32"/>
        <v>0</v>
      </c>
    </row>
    <row r="656" spans="5:8" s="432" customFormat="1" hidden="1" x14ac:dyDescent="0.35">
      <c r="E656" s="594">
        <f t="shared" si="30"/>
        <v>44883</v>
      </c>
      <c r="F656" s="316">
        <f t="shared" si="31"/>
        <v>0</v>
      </c>
      <c r="G656" s="316">
        <f t="shared" si="29"/>
        <v>0</v>
      </c>
      <c r="H656" s="432">
        <f t="shared" si="32"/>
        <v>0</v>
      </c>
    </row>
    <row r="657" spans="5:8" s="432" customFormat="1" hidden="1" x14ac:dyDescent="0.35">
      <c r="E657" s="594">
        <f t="shared" si="30"/>
        <v>44884</v>
      </c>
      <c r="F657" s="316">
        <f t="shared" si="31"/>
        <v>0</v>
      </c>
      <c r="G657" s="316">
        <f t="shared" si="29"/>
        <v>0</v>
      </c>
      <c r="H657" s="432">
        <f t="shared" si="32"/>
        <v>0</v>
      </c>
    </row>
    <row r="658" spans="5:8" s="432" customFormat="1" hidden="1" x14ac:dyDescent="0.35">
      <c r="E658" s="594">
        <f t="shared" si="30"/>
        <v>44885</v>
      </c>
      <c r="F658" s="316">
        <f t="shared" si="31"/>
        <v>0</v>
      </c>
      <c r="G658" s="316">
        <f t="shared" si="29"/>
        <v>0</v>
      </c>
      <c r="H658" s="432">
        <f t="shared" si="32"/>
        <v>0</v>
      </c>
    </row>
    <row r="659" spans="5:8" s="432" customFormat="1" hidden="1" x14ac:dyDescent="0.35">
      <c r="E659" s="594">
        <f t="shared" si="30"/>
        <v>44886</v>
      </c>
      <c r="F659" s="316">
        <f t="shared" si="31"/>
        <v>0</v>
      </c>
      <c r="G659" s="316">
        <f t="shared" si="29"/>
        <v>0</v>
      </c>
      <c r="H659" s="432">
        <f t="shared" si="32"/>
        <v>0</v>
      </c>
    </row>
    <row r="660" spans="5:8" s="432" customFormat="1" hidden="1" x14ac:dyDescent="0.35">
      <c r="E660" s="594">
        <f t="shared" si="30"/>
        <v>44887</v>
      </c>
      <c r="F660" s="316">
        <f t="shared" si="31"/>
        <v>0</v>
      </c>
      <c r="G660" s="316">
        <f t="shared" si="29"/>
        <v>0</v>
      </c>
      <c r="H660" s="432">
        <f t="shared" si="32"/>
        <v>0</v>
      </c>
    </row>
    <row r="661" spans="5:8" s="432" customFormat="1" hidden="1" x14ac:dyDescent="0.35">
      <c r="E661" s="594">
        <f t="shared" si="30"/>
        <v>44888</v>
      </c>
      <c r="F661" s="316">
        <f t="shared" si="31"/>
        <v>0</v>
      </c>
      <c r="G661" s="316">
        <f t="shared" si="29"/>
        <v>0</v>
      </c>
      <c r="H661" s="432">
        <f t="shared" si="32"/>
        <v>0</v>
      </c>
    </row>
    <row r="662" spans="5:8" s="432" customFormat="1" hidden="1" x14ac:dyDescent="0.35">
      <c r="E662" s="594">
        <f t="shared" si="30"/>
        <v>44889</v>
      </c>
      <c r="F662" s="316">
        <f t="shared" si="31"/>
        <v>0</v>
      </c>
      <c r="G662" s="316">
        <f t="shared" si="29"/>
        <v>0</v>
      </c>
      <c r="H662" s="432">
        <f t="shared" si="32"/>
        <v>0</v>
      </c>
    </row>
    <row r="663" spans="5:8" s="432" customFormat="1" hidden="1" x14ac:dyDescent="0.35">
      <c r="E663" s="594">
        <f t="shared" si="30"/>
        <v>44890</v>
      </c>
      <c r="F663" s="316">
        <f t="shared" si="31"/>
        <v>0</v>
      </c>
      <c r="G663" s="316">
        <f t="shared" si="29"/>
        <v>0</v>
      </c>
      <c r="H663" s="432">
        <f t="shared" si="32"/>
        <v>0</v>
      </c>
    </row>
    <row r="664" spans="5:8" s="432" customFormat="1" hidden="1" x14ac:dyDescent="0.35">
      <c r="E664" s="594">
        <f t="shared" si="30"/>
        <v>44891</v>
      </c>
      <c r="F664" s="316">
        <f t="shared" si="31"/>
        <v>0</v>
      </c>
      <c r="G664" s="316">
        <f t="shared" ref="G664:G727" si="33">ROUND(F664,-2)</f>
        <v>0</v>
      </c>
      <c r="H664" s="432">
        <f t="shared" si="32"/>
        <v>0</v>
      </c>
    </row>
    <row r="665" spans="5:8" s="432" customFormat="1" hidden="1" x14ac:dyDescent="0.35">
      <c r="E665" s="594">
        <f t="shared" ref="E665:E728" si="34">IF(E664&lt;$C$153,E664+1,$C$153)</f>
        <v>44892</v>
      </c>
      <c r="F665" s="316">
        <f t="shared" ref="F665:F728" si="35">IF(E664&lt;$C$153,F664+C$155,F664)</f>
        <v>0</v>
      </c>
      <c r="G665" s="316">
        <f t="shared" si="33"/>
        <v>0</v>
      </c>
      <c r="H665" s="432">
        <f t="shared" ref="H665:H728" si="36">IF(F665&gt;F664,(VLOOKUP(G665,$K$151:$O$157,MATCH($C$156,$K$151:$O$151,0),0)),0)</f>
        <v>0</v>
      </c>
    </row>
    <row r="666" spans="5:8" s="432" customFormat="1" hidden="1" x14ac:dyDescent="0.35">
      <c r="E666" s="594">
        <f t="shared" si="34"/>
        <v>44893</v>
      </c>
      <c r="F666" s="316">
        <f t="shared" si="35"/>
        <v>0</v>
      </c>
      <c r="G666" s="316">
        <f t="shared" si="33"/>
        <v>0</v>
      </c>
      <c r="H666" s="432">
        <f t="shared" si="36"/>
        <v>0</v>
      </c>
    </row>
    <row r="667" spans="5:8" s="432" customFormat="1" hidden="1" x14ac:dyDescent="0.35">
      <c r="E667" s="594">
        <f t="shared" si="34"/>
        <v>44894</v>
      </c>
      <c r="F667" s="316">
        <f t="shared" si="35"/>
        <v>0</v>
      </c>
      <c r="G667" s="316">
        <f t="shared" si="33"/>
        <v>0</v>
      </c>
      <c r="H667" s="432">
        <f t="shared" si="36"/>
        <v>0</v>
      </c>
    </row>
    <row r="668" spans="5:8" s="432" customFormat="1" hidden="1" x14ac:dyDescent="0.35">
      <c r="E668" s="594">
        <f t="shared" si="34"/>
        <v>44895</v>
      </c>
      <c r="F668" s="316">
        <f t="shared" si="35"/>
        <v>0</v>
      </c>
      <c r="G668" s="316">
        <f t="shared" si="33"/>
        <v>0</v>
      </c>
      <c r="H668" s="432">
        <f t="shared" si="36"/>
        <v>0</v>
      </c>
    </row>
    <row r="669" spans="5:8" s="432" customFormat="1" hidden="1" x14ac:dyDescent="0.35">
      <c r="E669" s="594">
        <f t="shared" si="34"/>
        <v>44896</v>
      </c>
      <c r="F669" s="316">
        <f t="shared" si="35"/>
        <v>0</v>
      </c>
      <c r="G669" s="316">
        <f t="shared" si="33"/>
        <v>0</v>
      </c>
      <c r="H669" s="432">
        <f t="shared" si="36"/>
        <v>0</v>
      </c>
    </row>
    <row r="670" spans="5:8" s="432" customFormat="1" hidden="1" x14ac:dyDescent="0.35">
      <c r="E670" s="594">
        <f t="shared" si="34"/>
        <v>44897</v>
      </c>
      <c r="F670" s="316">
        <f t="shared" si="35"/>
        <v>0</v>
      </c>
      <c r="G670" s="316">
        <f t="shared" si="33"/>
        <v>0</v>
      </c>
      <c r="H670" s="432">
        <f t="shared" si="36"/>
        <v>0</v>
      </c>
    </row>
    <row r="671" spans="5:8" s="432" customFormat="1" hidden="1" x14ac:dyDescent="0.35">
      <c r="E671" s="594">
        <f t="shared" si="34"/>
        <v>44898</v>
      </c>
      <c r="F671" s="316">
        <f t="shared" si="35"/>
        <v>0</v>
      </c>
      <c r="G671" s="316">
        <f t="shared" si="33"/>
        <v>0</v>
      </c>
      <c r="H671" s="432">
        <f t="shared" si="36"/>
        <v>0</v>
      </c>
    </row>
    <row r="672" spans="5:8" s="432" customFormat="1" hidden="1" x14ac:dyDescent="0.35">
      <c r="E672" s="594">
        <f t="shared" si="34"/>
        <v>44899</v>
      </c>
      <c r="F672" s="316">
        <f t="shared" si="35"/>
        <v>0</v>
      </c>
      <c r="G672" s="316">
        <f t="shared" si="33"/>
        <v>0</v>
      </c>
      <c r="H672" s="432">
        <f t="shared" si="36"/>
        <v>0</v>
      </c>
    </row>
    <row r="673" spans="5:8" s="432" customFormat="1" hidden="1" x14ac:dyDescent="0.35">
      <c r="E673" s="594">
        <f t="shared" si="34"/>
        <v>44900</v>
      </c>
      <c r="F673" s="316">
        <f t="shared" si="35"/>
        <v>0</v>
      </c>
      <c r="G673" s="316">
        <f t="shared" si="33"/>
        <v>0</v>
      </c>
      <c r="H673" s="432">
        <f t="shared" si="36"/>
        <v>0</v>
      </c>
    </row>
    <row r="674" spans="5:8" s="432" customFormat="1" hidden="1" x14ac:dyDescent="0.35">
      <c r="E674" s="594">
        <f t="shared" si="34"/>
        <v>44901</v>
      </c>
      <c r="F674" s="316">
        <f t="shared" si="35"/>
        <v>0</v>
      </c>
      <c r="G674" s="316">
        <f t="shared" si="33"/>
        <v>0</v>
      </c>
      <c r="H674" s="432">
        <f t="shared" si="36"/>
        <v>0</v>
      </c>
    </row>
    <row r="675" spans="5:8" s="432" customFormat="1" hidden="1" x14ac:dyDescent="0.35">
      <c r="E675" s="594">
        <f t="shared" si="34"/>
        <v>44902</v>
      </c>
      <c r="F675" s="316">
        <f t="shared" si="35"/>
        <v>0</v>
      </c>
      <c r="G675" s="316">
        <f t="shared" si="33"/>
        <v>0</v>
      </c>
      <c r="H675" s="432">
        <f t="shared" si="36"/>
        <v>0</v>
      </c>
    </row>
    <row r="676" spans="5:8" s="432" customFormat="1" hidden="1" x14ac:dyDescent="0.35">
      <c r="E676" s="594">
        <f t="shared" si="34"/>
        <v>44903</v>
      </c>
      <c r="F676" s="316">
        <f t="shared" si="35"/>
        <v>0</v>
      </c>
      <c r="G676" s="316">
        <f t="shared" si="33"/>
        <v>0</v>
      </c>
      <c r="H676" s="432">
        <f t="shared" si="36"/>
        <v>0</v>
      </c>
    </row>
    <row r="677" spans="5:8" s="432" customFormat="1" hidden="1" x14ac:dyDescent="0.35">
      <c r="E677" s="594">
        <f t="shared" si="34"/>
        <v>44904</v>
      </c>
      <c r="F677" s="316">
        <f t="shared" si="35"/>
        <v>0</v>
      </c>
      <c r="G677" s="316">
        <f t="shared" si="33"/>
        <v>0</v>
      </c>
      <c r="H677" s="432">
        <f t="shared" si="36"/>
        <v>0</v>
      </c>
    </row>
    <row r="678" spans="5:8" s="432" customFormat="1" hidden="1" x14ac:dyDescent="0.35">
      <c r="E678" s="594">
        <f t="shared" si="34"/>
        <v>44905</v>
      </c>
      <c r="F678" s="316">
        <f t="shared" si="35"/>
        <v>0</v>
      </c>
      <c r="G678" s="316">
        <f t="shared" si="33"/>
        <v>0</v>
      </c>
      <c r="H678" s="432">
        <f t="shared" si="36"/>
        <v>0</v>
      </c>
    </row>
    <row r="679" spans="5:8" s="432" customFormat="1" hidden="1" x14ac:dyDescent="0.35">
      <c r="E679" s="594">
        <f t="shared" si="34"/>
        <v>44906</v>
      </c>
      <c r="F679" s="316">
        <f t="shared" si="35"/>
        <v>0</v>
      </c>
      <c r="G679" s="316">
        <f t="shared" si="33"/>
        <v>0</v>
      </c>
      <c r="H679" s="432">
        <f t="shared" si="36"/>
        <v>0</v>
      </c>
    </row>
    <row r="680" spans="5:8" s="432" customFormat="1" hidden="1" x14ac:dyDescent="0.35">
      <c r="E680" s="594">
        <f t="shared" si="34"/>
        <v>44907</v>
      </c>
      <c r="F680" s="316">
        <f t="shared" si="35"/>
        <v>0</v>
      </c>
      <c r="G680" s="316">
        <f t="shared" si="33"/>
        <v>0</v>
      </c>
      <c r="H680" s="432">
        <f t="shared" si="36"/>
        <v>0</v>
      </c>
    </row>
    <row r="681" spans="5:8" s="432" customFormat="1" hidden="1" x14ac:dyDescent="0.35">
      <c r="E681" s="594">
        <f t="shared" si="34"/>
        <v>44908</v>
      </c>
      <c r="F681" s="316">
        <f t="shared" si="35"/>
        <v>0</v>
      </c>
      <c r="G681" s="316">
        <f t="shared" si="33"/>
        <v>0</v>
      </c>
      <c r="H681" s="432">
        <f t="shared" si="36"/>
        <v>0</v>
      </c>
    </row>
    <row r="682" spans="5:8" s="432" customFormat="1" hidden="1" x14ac:dyDescent="0.35">
      <c r="E682" s="594">
        <f t="shared" si="34"/>
        <v>44909</v>
      </c>
      <c r="F682" s="316">
        <f t="shared" si="35"/>
        <v>0</v>
      </c>
      <c r="G682" s="316">
        <f t="shared" si="33"/>
        <v>0</v>
      </c>
      <c r="H682" s="432">
        <f t="shared" si="36"/>
        <v>0</v>
      </c>
    </row>
    <row r="683" spans="5:8" s="432" customFormat="1" hidden="1" x14ac:dyDescent="0.35">
      <c r="E683" s="594">
        <f t="shared" si="34"/>
        <v>44910</v>
      </c>
      <c r="F683" s="316">
        <f t="shared" si="35"/>
        <v>0</v>
      </c>
      <c r="G683" s="316">
        <f t="shared" si="33"/>
        <v>0</v>
      </c>
      <c r="H683" s="432">
        <f t="shared" si="36"/>
        <v>0</v>
      </c>
    </row>
    <row r="684" spans="5:8" s="432" customFormat="1" hidden="1" x14ac:dyDescent="0.35">
      <c r="E684" s="594">
        <f t="shared" si="34"/>
        <v>44911</v>
      </c>
      <c r="F684" s="316">
        <f t="shared" si="35"/>
        <v>0</v>
      </c>
      <c r="G684" s="316">
        <f t="shared" si="33"/>
        <v>0</v>
      </c>
      <c r="H684" s="432">
        <f t="shared" si="36"/>
        <v>0</v>
      </c>
    </row>
    <row r="685" spans="5:8" s="432" customFormat="1" hidden="1" x14ac:dyDescent="0.35">
      <c r="E685" s="594">
        <f t="shared" si="34"/>
        <v>44912</v>
      </c>
      <c r="F685" s="316">
        <f t="shared" si="35"/>
        <v>0</v>
      </c>
      <c r="G685" s="316">
        <f t="shared" si="33"/>
        <v>0</v>
      </c>
      <c r="H685" s="432">
        <f t="shared" si="36"/>
        <v>0</v>
      </c>
    </row>
    <row r="686" spans="5:8" s="432" customFormat="1" hidden="1" x14ac:dyDescent="0.35">
      <c r="E686" s="594">
        <f t="shared" si="34"/>
        <v>44913</v>
      </c>
      <c r="F686" s="316">
        <f t="shared" si="35"/>
        <v>0</v>
      </c>
      <c r="G686" s="316">
        <f t="shared" si="33"/>
        <v>0</v>
      </c>
      <c r="H686" s="432">
        <f t="shared" si="36"/>
        <v>0</v>
      </c>
    </row>
    <row r="687" spans="5:8" s="432" customFormat="1" hidden="1" x14ac:dyDescent="0.35">
      <c r="E687" s="594">
        <f t="shared" si="34"/>
        <v>44914</v>
      </c>
      <c r="F687" s="316">
        <f t="shared" si="35"/>
        <v>0</v>
      </c>
      <c r="G687" s="316">
        <f t="shared" si="33"/>
        <v>0</v>
      </c>
      <c r="H687" s="432">
        <f t="shared" si="36"/>
        <v>0</v>
      </c>
    </row>
    <row r="688" spans="5:8" s="432" customFormat="1" hidden="1" x14ac:dyDescent="0.35">
      <c r="E688" s="594">
        <f t="shared" si="34"/>
        <v>44915</v>
      </c>
      <c r="F688" s="316">
        <f t="shared" si="35"/>
        <v>0</v>
      </c>
      <c r="G688" s="316">
        <f t="shared" si="33"/>
        <v>0</v>
      </c>
      <c r="H688" s="432">
        <f t="shared" si="36"/>
        <v>0</v>
      </c>
    </row>
    <row r="689" spans="5:8" s="432" customFormat="1" hidden="1" x14ac:dyDescent="0.35">
      <c r="E689" s="594">
        <f t="shared" si="34"/>
        <v>44916</v>
      </c>
      <c r="F689" s="316">
        <f t="shared" si="35"/>
        <v>0</v>
      </c>
      <c r="G689" s="316">
        <f t="shared" si="33"/>
        <v>0</v>
      </c>
      <c r="H689" s="432">
        <f t="shared" si="36"/>
        <v>0</v>
      </c>
    </row>
    <row r="690" spans="5:8" s="432" customFormat="1" hidden="1" x14ac:dyDescent="0.35">
      <c r="E690" s="594">
        <f t="shared" si="34"/>
        <v>44917</v>
      </c>
      <c r="F690" s="316">
        <f t="shared" si="35"/>
        <v>0</v>
      </c>
      <c r="G690" s="316">
        <f t="shared" si="33"/>
        <v>0</v>
      </c>
      <c r="H690" s="432">
        <f t="shared" si="36"/>
        <v>0</v>
      </c>
    </row>
    <row r="691" spans="5:8" s="432" customFormat="1" hidden="1" x14ac:dyDescent="0.35">
      <c r="E691" s="594">
        <f t="shared" si="34"/>
        <v>44918</v>
      </c>
      <c r="F691" s="316">
        <f t="shared" si="35"/>
        <v>0</v>
      </c>
      <c r="G691" s="316">
        <f t="shared" si="33"/>
        <v>0</v>
      </c>
      <c r="H691" s="432">
        <f t="shared" si="36"/>
        <v>0</v>
      </c>
    </row>
    <row r="692" spans="5:8" s="432" customFormat="1" hidden="1" x14ac:dyDescent="0.35">
      <c r="E692" s="594">
        <f t="shared" si="34"/>
        <v>44919</v>
      </c>
      <c r="F692" s="316">
        <f t="shared" si="35"/>
        <v>0</v>
      </c>
      <c r="G692" s="316">
        <f t="shared" si="33"/>
        <v>0</v>
      </c>
      <c r="H692" s="432">
        <f t="shared" si="36"/>
        <v>0</v>
      </c>
    </row>
    <row r="693" spans="5:8" s="432" customFormat="1" hidden="1" x14ac:dyDescent="0.35">
      <c r="E693" s="594">
        <f t="shared" si="34"/>
        <v>44920</v>
      </c>
      <c r="F693" s="316">
        <f t="shared" si="35"/>
        <v>0</v>
      </c>
      <c r="G693" s="316">
        <f t="shared" si="33"/>
        <v>0</v>
      </c>
      <c r="H693" s="432">
        <f t="shared" si="36"/>
        <v>0</v>
      </c>
    </row>
    <row r="694" spans="5:8" s="432" customFormat="1" hidden="1" x14ac:dyDescent="0.35">
      <c r="E694" s="594">
        <f t="shared" si="34"/>
        <v>44921</v>
      </c>
      <c r="F694" s="316">
        <f t="shared" si="35"/>
        <v>0</v>
      </c>
      <c r="G694" s="316">
        <f t="shared" si="33"/>
        <v>0</v>
      </c>
      <c r="H694" s="432">
        <f t="shared" si="36"/>
        <v>0</v>
      </c>
    </row>
    <row r="695" spans="5:8" s="432" customFormat="1" hidden="1" x14ac:dyDescent="0.35">
      <c r="E695" s="594">
        <f t="shared" si="34"/>
        <v>44922</v>
      </c>
      <c r="F695" s="316">
        <f t="shared" si="35"/>
        <v>0</v>
      </c>
      <c r="G695" s="316">
        <f t="shared" si="33"/>
        <v>0</v>
      </c>
      <c r="H695" s="432">
        <f t="shared" si="36"/>
        <v>0</v>
      </c>
    </row>
    <row r="696" spans="5:8" s="432" customFormat="1" hidden="1" x14ac:dyDescent="0.35">
      <c r="E696" s="594">
        <f t="shared" si="34"/>
        <v>44923</v>
      </c>
      <c r="F696" s="316">
        <f t="shared" si="35"/>
        <v>0</v>
      </c>
      <c r="G696" s="316">
        <f t="shared" si="33"/>
        <v>0</v>
      </c>
      <c r="H696" s="432">
        <f t="shared" si="36"/>
        <v>0</v>
      </c>
    </row>
    <row r="697" spans="5:8" s="432" customFormat="1" hidden="1" x14ac:dyDescent="0.35">
      <c r="E697" s="594">
        <f t="shared" si="34"/>
        <v>44924</v>
      </c>
      <c r="F697" s="316">
        <f t="shared" si="35"/>
        <v>0</v>
      </c>
      <c r="G697" s="316">
        <f t="shared" si="33"/>
        <v>0</v>
      </c>
      <c r="H697" s="432">
        <f t="shared" si="36"/>
        <v>0</v>
      </c>
    </row>
    <row r="698" spans="5:8" s="432" customFormat="1" hidden="1" x14ac:dyDescent="0.35">
      <c r="E698" s="594">
        <f t="shared" si="34"/>
        <v>44925</v>
      </c>
      <c r="F698" s="316">
        <f t="shared" si="35"/>
        <v>0</v>
      </c>
      <c r="G698" s="316">
        <f t="shared" si="33"/>
        <v>0</v>
      </c>
      <c r="H698" s="432">
        <f t="shared" si="36"/>
        <v>0</v>
      </c>
    </row>
    <row r="699" spans="5:8" s="432" customFormat="1" hidden="1" x14ac:dyDescent="0.35">
      <c r="E699" s="594">
        <f t="shared" si="34"/>
        <v>44926</v>
      </c>
      <c r="F699" s="316">
        <f t="shared" si="35"/>
        <v>0</v>
      </c>
      <c r="G699" s="316">
        <f t="shared" si="33"/>
        <v>0</v>
      </c>
      <c r="H699" s="432">
        <f t="shared" si="36"/>
        <v>0</v>
      </c>
    </row>
    <row r="700" spans="5:8" s="432" customFormat="1" hidden="1" x14ac:dyDescent="0.35">
      <c r="E700" s="594">
        <f t="shared" si="34"/>
        <v>44927</v>
      </c>
      <c r="F700" s="316">
        <f t="shared" si="35"/>
        <v>0</v>
      </c>
      <c r="G700" s="316">
        <f t="shared" si="33"/>
        <v>0</v>
      </c>
      <c r="H700" s="432">
        <f t="shared" si="36"/>
        <v>0</v>
      </c>
    </row>
    <row r="701" spans="5:8" s="432" customFormat="1" hidden="1" x14ac:dyDescent="0.35">
      <c r="E701" s="594">
        <f t="shared" si="34"/>
        <v>44928</v>
      </c>
      <c r="F701" s="316">
        <f t="shared" si="35"/>
        <v>0</v>
      </c>
      <c r="G701" s="316">
        <f t="shared" si="33"/>
        <v>0</v>
      </c>
      <c r="H701" s="432">
        <f t="shared" si="36"/>
        <v>0</v>
      </c>
    </row>
    <row r="702" spans="5:8" s="432" customFormat="1" hidden="1" x14ac:dyDescent="0.35">
      <c r="E702" s="594">
        <f t="shared" si="34"/>
        <v>44929</v>
      </c>
      <c r="F702" s="316">
        <f t="shared" si="35"/>
        <v>0</v>
      </c>
      <c r="G702" s="316">
        <f t="shared" si="33"/>
        <v>0</v>
      </c>
      <c r="H702" s="432">
        <f t="shared" si="36"/>
        <v>0</v>
      </c>
    </row>
    <row r="703" spans="5:8" s="432" customFormat="1" hidden="1" x14ac:dyDescent="0.35">
      <c r="E703" s="594">
        <f t="shared" si="34"/>
        <v>44930</v>
      </c>
      <c r="F703" s="316">
        <f t="shared" si="35"/>
        <v>0</v>
      </c>
      <c r="G703" s="316">
        <f t="shared" si="33"/>
        <v>0</v>
      </c>
      <c r="H703" s="432">
        <f t="shared" si="36"/>
        <v>0</v>
      </c>
    </row>
    <row r="704" spans="5:8" s="432" customFormat="1" hidden="1" x14ac:dyDescent="0.35">
      <c r="E704" s="594">
        <f t="shared" si="34"/>
        <v>44931</v>
      </c>
      <c r="F704" s="316">
        <f t="shared" si="35"/>
        <v>0</v>
      </c>
      <c r="G704" s="316">
        <f t="shared" si="33"/>
        <v>0</v>
      </c>
      <c r="H704" s="432">
        <f t="shared" si="36"/>
        <v>0</v>
      </c>
    </row>
    <row r="705" spans="5:8" s="432" customFormat="1" hidden="1" x14ac:dyDescent="0.35">
      <c r="E705" s="594">
        <f t="shared" si="34"/>
        <v>44932</v>
      </c>
      <c r="F705" s="316">
        <f t="shared" si="35"/>
        <v>0</v>
      </c>
      <c r="G705" s="316">
        <f t="shared" si="33"/>
        <v>0</v>
      </c>
      <c r="H705" s="432">
        <f t="shared" si="36"/>
        <v>0</v>
      </c>
    </row>
    <row r="706" spans="5:8" s="432" customFormat="1" hidden="1" x14ac:dyDescent="0.35">
      <c r="E706" s="594">
        <f t="shared" si="34"/>
        <v>44933</v>
      </c>
      <c r="F706" s="316">
        <f t="shared" si="35"/>
        <v>0</v>
      </c>
      <c r="G706" s="316">
        <f t="shared" si="33"/>
        <v>0</v>
      </c>
      <c r="H706" s="432">
        <f t="shared" si="36"/>
        <v>0</v>
      </c>
    </row>
    <row r="707" spans="5:8" s="432" customFormat="1" hidden="1" x14ac:dyDescent="0.35">
      <c r="E707" s="594">
        <f t="shared" si="34"/>
        <v>44934</v>
      </c>
      <c r="F707" s="316">
        <f t="shared" si="35"/>
        <v>0</v>
      </c>
      <c r="G707" s="316">
        <f t="shared" si="33"/>
        <v>0</v>
      </c>
      <c r="H707" s="432">
        <f t="shared" si="36"/>
        <v>0</v>
      </c>
    </row>
    <row r="708" spans="5:8" s="432" customFormat="1" hidden="1" x14ac:dyDescent="0.35">
      <c r="E708" s="594">
        <f t="shared" si="34"/>
        <v>44935</v>
      </c>
      <c r="F708" s="316">
        <f t="shared" si="35"/>
        <v>0</v>
      </c>
      <c r="G708" s="316">
        <f t="shared" si="33"/>
        <v>0</v>
      </c>
      <c r="H708" s="432">
        <f t="shared" si="36"/>
        <v>0</v>
      </c>
    </row>
    <row r="709" spans="5:8" s="432" customFormat="1" hidden="1" x14ac:dyDescent="0.35">
      <c r="E709" s="594">
        <f t="shared" si="34"/>
        <v>44936</v>
      </c>
      <c r="F709" s="316">
        <f t="shared" si="35"/>
        <v>0</v>
      </c>
      <c r="G709" s="316">
        <f t="shared" si="33"/>
        <v>0</v>
      </c>
      <c r="H709" s="432">
        <f t="shared" si="36"/>
        <v>0</v>
      </c>
    </row>
    <row r="710" spans="5:8" s="432" customFormat="1" hidden="1" x14ac:dyDescent="0.35">
      <c r="E710" s="594">
        <f t="shared" si="34"/>
        <v>44937</v>
      </c>
      <c r="F710" s="316">
        <f t="shared" si="35"/>
        <v>0</v>
      </c>
      <c r="G710" s="316">
        <f t="shared" si="33"/>
        <v>0</v>
      </c>
      <c r="H710" s="432">
        <f t="shared" si="36"/>
        <v>0</v>
      </c>
    </row>
    <row r="711" spans="5:8" s="432" customFormat="1" hidden="1" x14ac:dyDescent="0.35">
      <c r="E711" s="594">
        <f t="shared" si="34"/>
        <v>44938</v>
      </c>
      <c r="F711" s="316">
        <f t="shared" si="35"/>
        <v>0</v>
      </c>
      <c r="G711" s="316">
        <f t="shared" si="33"/>
        <v>0</v>
      </c>
      <c r="H711" s="432">
        <f t="shared" si="36"/>
        <v>0</v>
      </c>
    </row>
    <row r="712" spans="5:8" s="432" customFormat="1" hidden="1" x14ac:dyDescent="0.35">
      <c r="E712" s="594">
        <f t="shared" si="34"/>
        <v>44939</v>
      </c>
      <c r="F712" s="316">
        <f t="shared" si="35"/>
        <v>0</v>
      </c>
      <c r="G712" s="316">
        <f t="shared" si="33"/>
        <v>0</v>
      </c>
      <c r="H712" s="432">
        <f t="shared" si="36"/>
        <v>0</v>
      </c>
    </row>
    <row r="713" spans="5:8" s="432" customFormat="1" hidden="1" x14ac:dyDescent="0.35">
      <c r="E713" s="594">
        <f t="shared" si="34"/>
        <v>44940</v>
      </c>
      <c r="F713" s="316">
        <f t="shared" si="35"/>
        <v>0</v>
      </c>
      <c r="G713" s="316">
        <f t="shared" si="33"/>
        <v>0</v>
      </c>
      <c r="H713" s="432">
        <f t="shared" si="36"/>
        <v>0</v>
      </c>
    </row>
    <row r="714" spans="5:8" s="432" customFormat="1" hidden="1" x14ac:dyDescent="0.35">
      <c r="E714" s="594">
        <f t="shared" si="34"/>
        <v>44941</v>
      </c>
      <c r="F714" s="316">
        <f t="shared" si="35"/>
        <v>0</v>
      </c>
      <c r="G714" s="316">
        <f t="shared" si="33"/>
        <v>0</v>
      </c>
      <c r="H714" s="432">
        <f t="shared" si="36"/>
        <v>0</v>
      </c>
    </row>
    <row r="715" spans="5:8" s="432" customFormat="1" hidden="1" x14ac:dyDescent="0.35">
      <c r="E715" s="594">
        <f t="shared" si="34"/>
        <v>44942</v>
      </c>
      <c r="F715" s="316">
        <f t="shared" si="35"/>
        <v>0</v>
      </c>
      <c r="G715" s="316">
        <f t="shared" si="33"/>
        <v>0</v>
      </c>
      <c r="H715" s="432">
        <f t="shared" si="36"/>
        <v>0</v>
      </c>
    </row>
    <row r="716" spans="5:8" s="432" customFormat="1" hidden="1" x14ac:dyDescent="0.35">
      <c r="E716" s="594">
        <f t="shared" si="34"/>
        <v>44943</v>
      </c>
      <c r="F716" s="316">
        <f t="shared" si="35"/>
        <v>0</v>
      </c>
      <c r="G716" s="316">
        <f t="shared" si="33"/>
        <v>0</v>
      </c>
      <c r="H716" s="432">
        <f t="shared" si="36"/>
        <v>0</v>
      </c>
    </row>
    <row r="717" spans="5:8" s="432" customFormat="1" hidden="1" x14ac:dyDescent="0.35">
      <c r="E717" s="594">
        <f t="shared" si="34"/>
        <v>44944</v>
      </c>
      <c r="F717" s="316">
        <f t="shared" si="35"/>
        <v>0</v>
      </c>
      <c r="G717" s="316">
        <f t="shared" si="33"/>
        <v>0</v>
      </c>
      <c r="H717" s="432">
        <f t="shared" si="36"/>
        <v>0</v>
      </c>
    </row>
    <row r="718" spans="5:8" s="432" customFormat="1" hidden="1" x14ac:dyDescent="0.35">
      <c r="E718" s="594">
        <f t="shared" si="34"/>
        <v>44945</v>
      </c>
      <c r="F718" s="316">
        <f t="shared" si="35"/>
        <v>0</v>
      </c>
      <c r="G718" s="316">
        <f t="shared" si="33"/>
        <v>0</v>
      </c>
      <c r="H718" s="432">
        <f t="shared" si="36"/>
        <v>0</v>
      </c>
    </row>
    <row r="719" spans="5:8" s="432" customFormat="1" hidden="1" x14ac:dyDescent="0.35">
      <c r="E719" s="594">
        <f t="shared" si="34"/>
        <v>44946</v>
      </c>
      <c r="F719" s="316">
        <f t="shared" si="35"/>
        <v>0</v>
      </c>
      <c r="G719" s="316">
        <f t="shared" si="33"/>
        <v>0</v>
      </c>
      <c r="H719" s="432">
        <f t="shared" si="36"/>
        <v>0</v>
      </c>
    </row>
    <row r="720" spans="5:8" s="432" customFormat="1" hidden="1" x14ac:dyDescent="0.35">
      <c r="E720" s="594">
        <f t="shared" si="34"/>
        <v>44947</v>
      </c>
      <c r="F720" s="316">
        <f t="shared" si="35"/>
        <v>0</v>
      </c>
      <c r="G720" s="316">
        <f t="shared" si="33"/>
        <v>0</v>
      </c>
      <c r="H720" s="432">
        <f t="shared" si="36"/>
        <v>0</v>
      </c>
    </row>
    <row r="721" spans="5:8" s="432" customFormat="1" hidden="1" x14ac:dyDescent="0.35">
      <c r="E721" s="594">
        <f t="shared" si="34"/>
        <v>44948</v>
      </c>
      <c r="F721" s="316">
        <f t="shared" si="35"/>
        <v>0</v>
      </c>
      <c r="G721" s="316">
        <f t="shared" si="33"/>
        <v>0</v>
      </c>
      <c r="H721" s="432">
        <f t="shared" si="36"/>
        <v>0</v>
      </c>
    </row>
    <row r="722" spans="5:8" s="432" customFormat="1" hidden="1" x14ac:dyDescent="0.35">
      <c r="E722" s="594">
        <f t="shared" si="34"/>
        <v>44949</v>
      </c>
      <c r="F722" s="316">
        <f t="shared" si="35"/>
        <v>0</v>
      </c>
      <c r="G722" s="316">
        <f t="shared" si="33"/>
        <v>0</v>
      </c>
      <c r="H722" s="432">
        <f t="shared" si="36"/>
        <v>0</v>
      </c>
    </row>
    <row r="723" spans="5:8" s="432" customFormat="1" hidden="1" x14ac:dyDescent="0.35">
      <c r="E723" s="594">
        <f t="shared" si="34"/>
        <v>44950</v>
      </c>
      <c r="F723" s="316">
        <f t="shared" si="35"/>
        <v>0</v>
      </c>
      <c r="G723" s="316">
        <f t="shared" si="33"/>
        <v>0</v>
      </c>
      <c r="H723" s="432">
        <f t="shared" si="36"/>
        <v>0</v>
      </c>
    </row>
    <row r="724" spans="5:8" s="432" customFormat="1" hidden="1" x14ac:dyDescent="0.35">
      <c r="E724" s="594">
        <f t="shared" si="34"/>
        <v>44951</v>
      </c>
      <c r="F724" s="316">
        <f t="shared" si="35"/>
        <v>0</v>
      </c>
      <c r="G724" s="316">
        <f t="shared" si="33"/>
        <v>0</v>
      </c>
      <c r="H724" s="432">
        <f t="shared" si="36"/>
        <v>0</v>
      </c>
    </row>
    <row r="725" spans="5:8" s="432" customFormat="1" hidden="1" x14ac:dyDescent="0.35">
      <c r="E725" s="594">
        <f t="shared" si="34"/>
        <v>44952</v>
      </c>
      <c r="F725" s="316">
        <f t="shared" si="35"/>
        <v>0</v>
      </c>
      <c r="G725" s="316">
        <f t="shared" si="33"/>
        <v>0</v>
      </c>
      <c r="H725" s="432">
        <f t="shared" si="36"/>
        <v>0</v>
      </c>
    </row>
    <row r="726" spans="5:8" s="432" customFormat="1" hidden="1" x14ac:dyDescent="0.35">
      <c r="E726" s="594">
        <f t="shared" si="34"/>
        <v>44953</v>
      </c>
      <c r="F726" s="316">
        <f t="shared" si="35"/>
        <v>0</v>
      </c>
      <c r="G726" s="316">
        <f t="shared" si="33"/>
        <v>0</v>
      </c>
      <c r="H726" s="432">
        <f t="shared" si="36"/>
        <v>0</v>
      </c>
    </row>
    <row r="727" spans="5:8" s="432" customFormat="1" hidden="1" x14ac:dyDescent="0.35">
      <c r="E727" s="594">
        <f t="shared" si="34"/>
        <v>44954</v>
      </c>
      <c r="F727" s="316">
        <f t="shared" si="35"/>
        <v>0</v>
      </c>
      <c r="G727" s="316">
        <f t="shared" si="33"/>
        <v>0</v>
      </c>
      <c r="H727" s="432">
        <f t="shared" si="36"/>
        <v>0</v>
      </c>
    </row>
    <row r="728" spans="5:8" s="432" customFormat="1" hidden="1" x14ac:dyDescent="0.35">
      <c r="E728" s="594">
        <f t="shared" si="34"/>
        <v>44955</v>
      </c>
      <c r="F728" s="316">
        <f t="shared" si="35"/>
        <v>0</v>
      </c>
      <c r="G728" s="316">
        <f t="shared" ref="G728:G791" si="37">ROUND(F728,-2)</f>
        <v>0</v>
      </c>
      <c r="H728" s="432">
        <f t="shared" si="36"/>
        <v>0</v>
      </c>
    </row>
    <row r="729" spans="5:8" s="432" customFormat="1" hidden="1" x14ac:dyDescent="0.35">
      <c r="E729" s="594">
        <f t="shared" ref="E729:E792" si="38">IF(E728&lt;$C$153,E728+1,$C$153)</f>
        <v>44956</v>
      </c>
      <c r="F729" s="316">
        <f t="shared" ref="F729:F792" si="39">IF(E728&lt;$C$153,F728+C$155,F728)</f>
        <v>0</v>
      </c>
      <c r="G729" s="316">
        <f t="shared" si="37"/>
        <v>0</v>
      </c>
      <c r="H729" s="432">
        <f t="shared" ref="H729:H792" si="40">IF(F729&gt;F728,(VLOOKUP(G729,$K$151:$O$157,MATCH($C$156,$K$151:$O$151,0),0)),0)</f>
        <v>0</v>
      </c>
    </row>
    <row r="730" spans="5:8" s="432" customFormat="1" hidden="1" x14ac:dyDescent="0.35">
      <c r="E730" s="594">
        <f t="shared" si="38"/>
        <v>44957</v>
      </c>
      <c r="F730" s="316">
        <f t="shared" si="39"/>
        <v>0</v>
      </c>
      <c r="G730" s="316">
        <f t="shared" si="37"/>
        <v>0</v>
      </c>
      <c r="H730" s="432">
        <f t="shared" si="40"/>
        <v>0</v>
      </c>
    </row>
    <row r="731" spans="5:8" s="432" customFormat="1" hidden="1" x14ac:dyDescent="0.35">
      <c r="E731" s="594">
        <f t="shared" si="38"/>
        <v>44958</v>
      </c>
      <c r="F731" s="316">
        <f t="shared" si="39"/>
        <v>0</v>
      </c>
      <c r="G731" s="316">
        <f t="shared" si="37"/>
        <v>0</v>
      </c>
      <c r="H731" s="432">
        <f t="shared" si="40"/>
        <v>0</v>
      </c>
    </row>
    <row r="732" spans="5:8" s="432" customFormat="1" hidden="1" x14ac:dyDescent="0.35">
      <c r="E732" s="594">
        <f t="shared" si="38"/>
        <v>44959</v>
      </c>
      <c r="F732" s="316">
        <f t="shared" si="39"/>
        <v>0</v>
      </c>
      <c r="G732" s="316">
        <f t="shared" si="37"/>
        <v>0</v>
      </c>
      <c r="H732" s="432">
        <f t="shared" si="40"/>
        <v>0</v>
      </c>
    </row>
    <row r="733" spans="5:8" s="432" customFormat="1" hidden="1" x14ac:dyDescent="0.35">
      <c r="E733" s="594">
        <f t="shared" si="38"/>
        <v>44960</v>
      </c>
      <c r="F733" s="316">
        <f t="shared" si="39"/>
        <v>0</v>
      </c>
      <c r="G733" s="316">
        <f t="shared" si="37"/>
        <v>0</v>
      </c>
      <c r="H733" s="432">
        <f t="shared" si="40"/>
        <v>0</v>
      </c>
    </row>
    <row r="734" spans="5:8" s="432" customFormat="1" hidden="1" x14ac:dyDescent="0.35">
      <c r="E734" s="594">
        <f t="shared" si="38"/>
        <v>44961</v>
      </c>
      <c r="F734" s="316">
        <f t="shared" si="39"/>
        <v>0</v>
      </c>
      <c r="G734" s="316">
        <f t="shared" si="37"/>
        <v>0</v>
      </c>
      <c r="H734" s="432">
        <f t="shared" si="40"/>
        <v>0</v>
      </c>
    </row>
    <row r="735" spans="5:8" s="432" customFormat="1" hidden="1" x14ac:dyDescent="0.35">
      <c r="E735" s="594">
        <f t="shared" si="38"/>
        <v>44962</v>
      </c>
      <c r="F735" s="316">
        <f t="shared" si="39"/>
        <v>0</v>
      </c>
      <c r="G735" s="316">
        <f t="shared" si="37"/>
        <v>0</v>
      </c>
      <c r="H735" s="432">
        <f t="shared" si="40"/>
        <v>0</v>
      </c>
    </row>
    <row r="736" spans="5:8" s="432" customFormat="1" hidden="1" x14ac:dyDescent="0.35">
      <c r="E736" s="594">
        <f t="shared" si="38"/>
        <v>44963</v>
      </c>
      <c r="F736" s="316">
        <f t="shared" si="39"/>
        <v>0</v>
      </c>
      <c r="G736" s="316">
        <f t="shared" si="37"/>
        <v>0</v>
      </c>
      <c r="H736" s="432">
        <f t="shared" si="40"/>
        <v>0</v>
      </c>
    </row>
    <row r="737" spans="5:8" s="432" customFormat="1" hidden="1" x14ac:dyDescent="0.35">
      <c r="E737" s="594">
        <f t="shared" si="38"/>
        <v>44964</v>
      </c>
      <c r="F737" s="316">
        <f t="shared" si="39"/>
        <v>0</v>
      </c>
      <c r="G737" s="316">
        <f t="shared" si="37"/>
        <v>0</v>
      </c>
      <c r="H737" s="432">
        <f t="shared" si="40"/>
        <v>0</v>
      </c>
    </row>
    <row r="738" spans="5:8" s="432" customFormat="1" hidden="1" x14ac:dyDescent="0.35">
      <c r="E738" s="594">
        <f t="shared" si="38"/>
        <v>44965</v>
      </c>
      <c r="F738" s="316">
        <f t="shared" si="39"/>
        <v>0</v>
      </c>
      <c r="G738" s="316">
        <f t="shared" si="37"/>
        <v>0</v>
      </c>
      <c r="H738" s="432">
        <f t="shared" si="40"/>
        <v>0</v>
      </c>
    </row>
    <row r="739" spans="5:8" s="432" customFormat="1" hidden="1" x14ac:dyDescent="0.35">
      <c r="E739" s="594">
        <f t="shared" si="38"/>
        <v>44966</v>
      </c>
      <c r="F739" s="316">
        <f t="shared" si="39"/>
        <v>0</v>
      </c>
      <c r="G739" s="316">
        <f t="shared" si="37"/>
        <v>0</v>
      </c>
      <c r="H739" s="432">
        <f t="shared" si="40"/>
        <v>0</v>
      </c>
    </row>
    <row r="740" spans="5:8" s="432" customFormat="1" hidden="1" x14ac:dyDescent="0.35">
      <c r="E740" s="594">
        <f t="shared" si="38"/>
        <v>44967</v>
      </c>
      <c r="F740" s="316">
        <f t="shared" si="39"/>
        <v>0</v>
      </c>
      <c r="G740" s="316">
        <f t="shared" si="37"/>
        <v>0</v>
      </c>
      <c r="H740" s="432">
        <f t="shared" si="40"/>
        <v>0</v>
      </c>
    </row>
    <row r="741" spans="5:8" s="432" customFormat="1" hidden="1" x14ac:dyDescent="0.35">
      <c r="E741" s="594">
        <f t="shared" si="38"/>
        <v>44968</v>
      </c>
      <c r="F741" s="316">
        <f t="shared" si="39"/>
        <v>0</v>
      </c>
      <c r="G741" s="316">
        <f t="shared" si="37"/>
        <v>0</v>
      </c>
      <c r="H741" s="432">
        <f t="shared" si="40"/>
        <v>0</v>
      </c>
    </row>
    <row r="742" spans="5:8" s="432" customFormat="1" hidden="1" x14ac:dyDescent="0.35">
      <c r="E742" s="594">
        <f t="shared" si="38"/>
        <v>44969</v>
      </c>
      <c r="F742" s="316">
        <f t="shared" si="39"/>
        <v>0</v>
      </c>
      <c r="G742" s="316">
        <f t="shared" si="37"/>
        <v>0</v>
      </c>
      <c r="H742" s="432">
        <f t="shared" si="40"/>
        <v>0</v>
      </c>
    </row>
    <row r="743" spans="5:8" s="432" customFormat="1" hidden="1" x14ac:dyDescent="0.35">
      <c r="E743" s="594">
        <f t="shared" si="38"/>
        <v>44970</v>
      </c>
      <c r="F743" s="316">
        <f t="shared" si="39"/>
        <v>0</v>
      </c>
      <c r="G743" s="316">
        <f t="shared" si="37"/>
        <v>0</v>
      </c>
      <c r="H743" s="432">
        <f t="shared" si="40"/>
        <v>0</v>
      </c>
    </row>
    <row r="744" spans="5:8" s="432" customFormat="1" hidden="1" x14ac:dyDescent="0.35">
      <c r="E744" s="594">
        <f t="shared" si="38"/>
        <v>44971</v>
      </c>
      <c r="F744" s="316">
        <f t="shared" si="39"/>
        <v>0</v>
      </c>
      <c r="G744" s="316">
        <f t="shared" si="37"/>
        <v>0</v>
      </c>
      <c r="H744" s="432">
        <f t="shared" si="40"/>
        <v>0</v>
      </c>
    </row>
    <row r="745" spans="5:8" s="432" customFormat="1" hidden="1" x14ac:dyDescent="0.35">
      <c r="E745" s="594">
        <f t="shared" si="38"/>
        <v>44972</v>
      </c>
      <c r="F745" s="316">
        <f t="shared" si="39"/>
        <v>0</v>
      </c>
      <c r="G745" s="316">
        <f t="shared" si="37"/>
        <v>0</v>
      </c>
      <c r="H745" s="432">
        <f t="shared" si="40"/>
        <v>0</v>
      </c>
    </row>
    <row r="746" spans="5:8" s="432" customFormat="1" hidden="1" x14ac:dyDescent="0.35">
      <c r="E746" s="594">
        <f t="shared" si="38"/>
        <v>44973</v>
      </c>
      <c r="F746" s="316">
        <f t="shared" si="39"/>
        <v>0</v>
      </c>
      <c r="G746" s="316">
        <f t="shared" si="37"/>
        <v>0</v>
      </c>
      <c r="H746" s="432">
        <f t="shared" si="40"/>
        <v>0</v>
      </c>
    </row>
    <row r="747" spans="5:8" s="432" customFormat="1" hidden="1" x14ac:dyDescent="0.35">
      <c r="E747" s="594">
        <f t="shared" si="38"/>
        <v>44974</v>
      </c>
      <c r="F747" s="316">
        <f t="shared" si="39"/>
        <v>0</v>
      </c>
      <c r="G747" s="316">
        <f t="shared" si="37"/>
        <v>0</v>
      </c>
      <c r="H747" s="432">
        <f t="shared" si="40"/>
        <v>0</v>
      </c>
    </row>
    <row r="748" spans="5:8" s="432" customFormat="1" hidden="1" x14ac:dyDescent="0.35">
      <c r="E748" s="594">
        <f t="shared" si="38"/>
        <v>44975</v>
      </c>
      <c r="F748" s="316">
        <f t="shared" si="39"/>
        <v>0</v>
      </c>
      <c r="G748" s="316">
        <f t="shared" si="37"/>
        <v>0</v>
      </c>
      <c r="H748" s="432">
        <f t="shared" si="40"/>
        <v>0</v>
      </c>
    </row>
    <row r="749" spans="5:8" s="432" customFormat="1" hidden="1" x14ac:dyDescent="0.35">
      <c r="E749" s="594">
        <f t="shared" si="38"/>
        <v>44976</v>
      </c>
      <c r="F749" s="316">
        <f t="shared" si="39"/>
        <v>0</v>
      </c>
      <c r="G749" s="316">
        <f t="shared" si="37"/>
        <v>0</v>
      </c>
      <c r="H749" s="432">
        <f t="shared" si="40"/>
        <v>0</v>
      </c>
    </row>
    <row r="750" spans="5:8" s="432" customFormat="1" hidden="1" x14ac:dyDescent="0.35">
      <c r="E750" s="594">
        <f t="shared" si="38"/>
        <v>44977</v>
      </c>
      <c r="F750" s="316">
        <f t="shared" si="39"/>
        <v>0</v>
      </c>
      <c r="G750" s="316">
        <f t="shared" si="37"/>
        <v>0</v>
      </c>
      <c r="H750" s="432">
        <f t="shared" si="40"/>
        <v>0</v>
      </c>
    </row>
    <row r="751" spans="5:8" s="432" customFormat="1" hidden="1" x14ac:dyDescent="0.35">
      <c r="E751" s="594">
        <f t="shared" si="38"/>
        <v>44978</v>
      </c>
      <c r="F751" s="316">
        <f t="shared" si="39"/>
        <v>0</v>
      </c>
      <c r="G751" s="316">
        <f t="shared" si="37"/>
        <v>0</v>
      </c>
      <c r="H751" s="432">
        <f t="shared" si="40"/>
        <v>0</v>
      </c>
    </row>
    <row r="752" spans="5:8" s="432" customFormat="1" hidden="1" x14ac:dyDescent="0.35">
      <c r="E752" s="594">
        <f t="shared" si="38"/>
        <v>44979</v>
      </c>
      <c r="F752" s="316">
        <f t="shared" si="39"/>
        <v>0</v>
      </c>
      <c r="G752" s="316">
        <f t="shared" si="37"/>
        <v>0</v>
      </c>
      <c r="H752" s="432">
        <f t="shared" si="40"/>
        <v>0</v>
      </c>
    </row>
    <row r="753" spans="5:8" s="432" customFormat="1" hidden="1" x14ac:dyDescent="0.35">
      <c r="E753" s="594">
        <f t="shared" si="38"/>
        <v>44980</v>
      </c>
      <c r="F753" s="316">
        <f t="shared" si="39"/>
        <v>0</v>
      </c>
      <c r="G753" s="316">
        <f t="shared" si="37"/>
        <v>0</v>
      </c>
      <c r="H753" s="432">
        <f t="shared" si="40"/>
        <v>0</v>
      </c>
    </row>
    <row r="754" spans="5:8" s="432" customFormat="1" hidden="1" x14ac:dyDescent="0.35">
      <c r="E754" s="594">
        <f t="shared" si="38"/>
        <v>44981</v>
      </c>
      <c r="F754" s="316">
        <f t="shared" si="39"/>
        <v>0</v>
      </c>
      <c r="G754" s="316">
        <f t="shared" si="37"/>
        <v>0</v>
      </c>
      <c r="H754" s="432">
        <f t="shared" si="40"/>
        <v>0</v>
      </c>
    </row>
    <row r="755" spans="5:8" s="432" customFormat="1" hidden="1" x14ac:dyDescent="0.35">
      <c r="E755" s="594">
        <f t="shared" si="38"/>
        <v>44982</v>
      </c>
      <c r="F755" s="316">
        <f t="shared" si="39"/>
        <v>0</v>
      </c>
      <c r="G755" s="316">
        <f t="shared" si="37"/>
        <v>0</v>
      </c>
      <c r="H755" s="432">
        <f t="shared" si="40"/>
        <v>0</v>
      </c>
    </row>
    <row r="756" spans="5:8" s="432" customFormat="1" hidden="1" x14ac:dyDescent="0.35">
      <c r="E756" s="594">
        <f t="shared" si="38"/>
        <v>44983</v>
      </c>
      <c r="F756" s="316">
        <f t="shared" si="39"/>
        <v>0</v>
      </c>
      <c r="G756" s="316">
        <f t="shared" si="37"/>
        <v>0</v>
      </c>
      <c r="H756" s="432">
        <f t="shared" si="40"/>
        <v>0</v>
      </c>
    </row>
    <row r="757" spans="5:8" s="432" customFormat="1" hidden="1" x14ac:dyDescent="0.35">
      <c r="E757" s="594">
        <f t="shared" si="38"/>
        <v>44984</v>
      </c>
      <c r="F757" s="316">
        <f t="shared" si="39"/>
        <v>0</v>
      </c>
      <c r="G757" s="316">
        <f t="shared" si="37"/>
        <v>0</v>
      </c>
      <c r="H757" s="432">
        <f t="shared" si="40"/>
        <v>0</v>
      </c>
    </row>
    <row r="758" spans="5:8" s="432" customFormat="1" hidden="1" x14ac:dyDescent="0.35">
      <c r="E758" s="594">
        <f t="shared" si="38"/>
        <v>44985</v>
      </c>
      <c r="F758" s="316">
        <f t="shared" si="39"/>
        <v>0</v>
      </c>
      <c r="G758" s="316">
        <f t="shared" si="37"/>
        <v>0</v>
      </c>
      <c r="H758" s="432">
        <f t="shared" si="40"/>
        <v>0</v>
      </c>
    </row>
    <row r="759" spans="5:8" s="432" customFormat="1" hidden="1" x14ac:dyDescent="0.35">
      <c r="E759" s="594">
        <f t="shared" si="38"/>
        <v>44986</v>
      </c>
      <c r="F759" s="316">
        <f t="shared" si="39"/>
        <v>0</v>
      </c>
      <c r="G759" s="316">
        <f t="shared" si="37"/>
        <v>0</v>
      </c>
      <c r="H759" s="432">
        <f t="shared" si="40"/>
        <v>0</v>
      </c>
    </row>
    <row r="760" spans="5:8" s="432" customFormat="1" hidden="1" x14ac:dyDescent="0.35">
      <c r="E760" s="594">
        <f t="shared" si="38"/>
        <v>44987</v>
      </c>
      <c r="F760" s="316">
        <f t="shared" si="39"/>
        <v>0</v>
      </c>
      <c r="G760" s="316">
        <f t="shared" si="37"/>
        <v>0</v>
      </c>
      <c r="H760" s="432">
        <f t="shared" si="40"/>
        <v>0</v>
      </c>
    </row>
    <row r="761" spans="5:8" s="432" customFormat="1" hidden="1" x14ac:dyDescent="0.35">
      <c r="E761" s="594">
        <f t="shared" si="38"/>
        <v>44988</v>
      </c>
      <c r="F761" s="316">
        <f t="shared" si="39"/>
        <v>0</v>
      </c>
      <c r="G761" s="316">
        <f t="shared" si="37"/>
        <v>0</v>
      </c>
      <c r="H761" s="432">
        <f t="shared" si="40"/>
        <v>0</v>
      </c>
    </row>
    <row r="762" spans="5:8" s="432" customFormat="1" hidden="1" x14ac:dyDescent="0.35">
      <c r="E762" s="594">
        <f t="shared" si="38"/>
        <v>44989</v>
      </c>
      <c r="F762" s="316">
        <f t="shared" si="39"/>
        <v>0</v>
      </c>
      <c r="G762" s="316">
        <f t="shared" si="37"/>
        <v>0</v>
      </c>
      <c r="H762" s="432">
        <f t="shared" si="40"/>
        <v>0</v>
      </c>
    </row>
    <row r="763" spans="5:8" s="432" customFormat="1" hidden="1" x14ac:dyDescent="0.35">
      <c r="E763" s="594">
        <f t="shared" si="38"/>
        <v>44990</v>
      </c>
      <c r="F763" s="316">
        <f t="shared" si="39"/>
        <v>0</v>
      </c>
      <c r="G763" s="316">
        <f t="shared" si="37"/>
        <v>0</v>
      </c>
      <c r="H763" s="432">
        <f t="shared" si="40"/>
        <v>0</v>
      </c>
    </row>
    <row r="764" spans="5:8" s="432" customFormat="1" hidden="1" x14ac:dyDescent="0.35">
      <c r="E764" s="594">
        <f t="shared" si="38"/>
        <v>44991</v>
      </c>
      <c r="F764" s="316">
        <f t="shared" si="39"/>
        <v>0</v>
      </c>
      <c r="G764" s="316">
        <f t="shared" si="37"/>
        <v>0</v>
      </c>
      <c r="H764" s="432">
        <f t="shared" si="40"/>
        <v>0</v>
      </c>
    </row>
    <row r="765" spans="5:8" s="432" customFormat="1" hidden="1" x14ac:dyDescent="0.35">
      <c r="E765" s="594">
        <f t="shared" si="38"/>
        <v>44992</v>
      </c>
      <c r="F765" s="316">
        <f t="shared" si="39"/>
        <v>0</v>
      </c>
      <c r="G765" s="316">
        <f t="shared" si="37"/>
        <v>0</v>
      </c>
      <c r="H765" s="432">
        <f t="shared" si="40"/>
        <v>0</v>
      </c>
    </row>
    <row r="766" spans="5:8" s="432" customFormat="1" hidden="1" x14ac:dyDescent="0.35">
      <c r="E766" s="594">
        <f t="shared" si="38"/>
        <v>44993</v>
      </c>
      <c r="F766" s="316">
        <f t="shared" si="39"/>
        <v>0</v>
      </c>
      <c r="G766" s="316">
        <f t="shared" si="37"/>
        <v>0</v>
      </c>
      <c r="H766" s="432">
        <f t="shared" si="40"/>
        <v>0</v>
      </c>
    </row>
    <row r="767" spans="5:8" s="432" customFormat="1" hidden="1" x14ac:dyDescent="0.35">
      <c r="E767" s="594">
        <f t="shared" si="38"/>
        <v>44994</v>
      </c>
      <c r="F767" s="316">
        <f t="shared" si="39"/>
        <v>0</v>
      </c>
      <c r="G767" s="316">
        <f t="shared" si="37"/>
        <v>0</v>
      </c>
      <c r="H767" s="432">
        <f t="shared" si="40"/>
        <v>0</v>
      </c>
    </row>
    <row r="768" spans="5:8" s="432" customFormat="1" hidden="1" x14ac:dyDescent="0.35">
      <c r="E768" s="594">
        <f t="shared" si="38"/>
        <v>44995</v>
      </c>
      <c r="F768" s="316">
        <f t="shared" si="39"/>
        <v>0</v>
      </c>
      <c r="G768" s="316">
        <f t="shared" si="37"/>
        <v>0</v>
      </c>
      <c r="H768" s="432">
        <f t="shared" si="40"/>
        <v>0</v>
      </c>
    </row>
    <row r="769" spans="5:8" s="432" customFormat="1" hidden="1" x14ac:dyDescent="0.35">
      <c r="E769" s="594">
        <f t="shared" si="38"/>
        <v>44996</v>
      </c>
      <c r="F769" s="316">
        <f t="shared" si="39"/>
        <v>0</v>
      </c>
      <c r="G769" s="316">
        <f t="shared" si="37"/>
        <v>0</v>
      </c>
      <c r="H769" s="432">
        <f t="shared" si="40"/>
        <v>0</v>
      </c>
    </row>
    <row r="770" spans="5:8" s="432" customFormat="1" hidden="1" x14ac:dyDescent="0.35">
      <c r="E770" s="594">
        <f t="shared" si="38"/>
        <v>44997</v>
      </c>
      <c r="F770" s="316">
        <f t="shared" si="39"/>
        <v>0</v>
      </c>
      <c r="G770" s="316">
        <f t="shared" si="37"/>
        <v>0</v>
      </c>
      <c r="H770" s="432">
        <f t="shared" si="40"/>
        <v>0</v>
      </c>
    </row>
    <row r="771" spans="5:8" s="432" customFormat="1" hidden="1" x14ac:dyDescent="0.35">
      <c r="E771" s="594">
        <f t="shared" si="38"/>
        <v>44998</v>
      </c>
      <c r="F771" s="316">
        <f t="shared" si="39"/>
        <v>0</v>
      </c>
      <c r="G771" s="316">
        <f t="shared" si="37"/>
        <v>0</v>
      </c>
      <c r="H771" s="432">
        <f t="shared" si="40"/>
        <v>0</v>
      </c>
    </row>
    <row r="772" spans="5:8" s="432" customFormat="1" hidden="1" x14ac:dyDescent="0.35">
      <c r="E772" s="594">
        <f t="shared" si="38"/>
        <v>44999</v>
      </c>
      <c r="F772" s="316">
        <f t="shared" si="39"/>
        <v>0</v>
      </c>
      <c r="G772" s="316">
        <f t="shared" si="37"/>
        <v>0</v>
      </c>
      <c r="H772" s="432">
        <f t="shared" si="40"/>
        <v>0</v>
      </c>
    </row>
    <row r="773" spans="5:8" s="432" customFormat="1" hidden="1" x14ac:dyDescent="0.35">
      <c r="E773" s="594">
        <f t="shared" si="38"/>
        <v>45000</v>
      </c>
      <c r="F773" s="316">
        <f t="shared" si="39"/>
        <v>0</v>
      </c>
      <c r="G773" s="316">
        <f t="shared" si="37"/>
        <v>0</v>
      </c>
      <c r="H773" s="432">
        <f t="shared" si="40"/>
        <v>0</v>
      </c>
    </row>
    <row r="774" spans="5:8" s="432" customFormat="1" hidden="1" x14ac:dyDescent="0.35">
      <c r="E774" s="594">
        <f t="shared" si="38"/>
        <v>45001</v>
      </c>
      <c r="F774" s="316">
        <f t="shared" si="39"/>
        <v>0</v>
      </c>
      <c r="G774" s="316">
        <f t="shared" si="37"/>
        <v>0</v>
      </c>
      <c r="H774" s="432">
        <f t="shared" si="40"/>
        <v>0</v>
      </c>
    </row>
    <row r="775" spans="5:8" s="432" customFormat="1" hidden="1" x14ac:dyDescent="0.35">
      <c r="E775" s="594">
        <f t="shared" si="38"/>
        <v>45002</v>
      </c>
      <c r="F775" s="316">
        <f t="shared" si="39"/>
        <v>0</v>
      </c>
      <c r="G775" s="316">
        <f t="shared" si="37"/>
        <v>0</v>
      </c>
      <c r="H775" s="432">
        <f t="shared" si="40"/>
        <v>0</v>
      </c>
    </row>
    <row r="776" spans="5:8" s="432" customFormat="1" hidden="1" x14ac:dyDescent="0.35">
      <c r="E776" s="594">
        <f t="shared" si="38"/>
        <v>45003</v>
      </c>
      <c r="F776" s="316">
        <f t="shared" si="39"/>
        <v>0</v>
      </c>
      <c r="G776" s="316">
        <f t="shared" si="37"/>
        <v>0</v>
      </c>
      <c r="H776" s="432">
        <f t="shared" si="40"/>
        <v>0</v>
      </c>
    </row>
    <row r="777" spans="5:8" s="432" customFormat="1" hidden="1" x14ac:dyDescent="0.35">
      <c r="E777" s="594">
        <f t="shared" si="38"/>
        <v>45004</v>
      </c>
      <c r="F777" s="316">
        <f t="shared" si="39"/>
        <v>0</v>
      </c>
      <c r="G777" s="316">
        <f t="shared" si="37"/>
        <v>0</v>
      </c>
      <c r="H777" s="432">
        <f t="shared" si="40"/>
        <v>0</v>
      </c>
    </row>
    <row r="778" spans="5:8" s="432" customFormat="1" hidden="1" x14ac:dyDescent="0.35">
      <c r="E778" s="594">
        <f t="shared" si="38"/>
        <v>45005</v>
      </c>
      <c r="F778" s="316">
        <f t="shared" si="39"/>
        <v>0</v>
      </c>
      <c r="G778" s="316">
        <f t="shared" si="37"/>
        <v>0</v>
      </c>
      <c r="H778" s="432">
        <f t="shared" si="40"/>
        <v>0</v>
      </c>
    </row>
    <row r="779" spans="5:8" s="432" customFormat="1" hidden="1" x14ac:dyDescent="0.35">
      <c r="E779" s="594">
        <f t="shared" si="38"/>
        <v>45006</v>
      </c>
      <c r="F779" s="316">
        <f t="shared" si="39"/>
        <v>0</v>
      </c>
      <c r="G779" s="316">
        <f t="shared" si="37"/>
        <v>0</v>
      </c>
      <c r="H779" s="432">
        <f t="shared" si="40"/>
        <v>0</v>
      </c>
    </row>
    <row r="780" spans="5:8" s="432" customFormat="1" hidden="1" x14ac:dyDescent="0.35">
      <c r="E780" s="594">
        <f t="shared" si="38"/>
        <v>45007</v>
      </c>
      <c r="F780" s="316">
        <f t="shared" si="39"/>
        <v>0</v>
      </c>
      <c r="G780" s="316">
        <f t="shared" si="37"/>
        <v>0</v>
      </c>
      <c r="H780" s="432">
        <f t="shared" si="40"/>
        <v>0</v>
      </c>
    </row>
    <row r="781" spans="5:8" s="432" customFormat="1" hidden="1" x14ac:dyDescent="0.35">
      <c r="E781" s="594">
        <f t="shared" si="38"/>
        <v>45008</v>
      </c>
      <c r="F781" s="316">
        <f t="shared" si="39"/>
        <v>0</v>
      </c>
      <c r="G781" s="316">
        <f t="shared" si="37"/>
        <v>0</v>
      </c>
      <c r="H781" s="432">
        <f t="shared" si="40"/>
        <v>0</v>
      </c>
    </row>
    <row r="782" spans="5:8" s="432" customFormat="1" hidden="1" x14ac:dyDescent="0.35">
      <c r="E782" s="594">
        <f t="shared" si="38"/>
        <v>45009</v>
      </c>
      <c r="F782" s="316">
        <f t="shared" si="39"/>
        <v>0</v>
      </c>
      <c r="G782" s="316">
        <f t="shared" si="37"/>
        <v>0</v>
      </c>
      <c r="H782" s="432">
        <f t="shared" si="40"/>
        <v>0</v>
      </c>
    </row>
    <row r="783" spans="5:8" s="432" customFormat="1" hidden="1" x14ac:dyDescent="0.35">
      <c r="E783" s="594">
        <f t="shared" si="38"/>
        <v>45010</v>
      </c>
      <c r="F783" s="316">
        <f t="shared" si="39"/>
        <v>0</v>
      </c>
      <c r="G783" s="316">
        <f t="shared" si="37"/>
        <v>0</v>
      </c>
      <c r="H783" s="432">
        <f t="shared" si="40"/>
        <v>0</v>
      </c>
    </row>
    <row r="784" spans="5:8" s="432" customFormat="1" hidden="1" x14ac:dyDescent="0.35">
      <c r="E784" s="594">
        <f t="shared" si="38"/>
        <v>45011</v>
      </c>
      <c r="F784" s="316">
        <f t="shared" si="39"/>
        <v>0</v>
      </c>
      <c r="G784" s="316">
        <f t="shared" si="37"/>
        <v>0</v>
      </c>
      <c r="H784" s="432">
        <f t="shared" si="40"/>
        <v>0</v>
      </c>
    </row>
    <row r="785" spans="5:8" s="432" customFormat="1" hidden="1" x14ac:dyDescent="0.35">
      <c r="E785" s="594">
        <f t="shared" si="38"/>
        <v>45012</v>
      </c>
      <c r="F785" s="316">
        <f t="shared" si="39"/>
        <v>0</v>
      </c>
      <c r="G785" s="316">
        <f t="shared" si="37"/>
        <v>0</v>
      </c>
      <c r="H785" s="432">
        <f t="shared" si="40"/>
        <v>0</v>
      </c>
    </row>
    <row r="786" spans="5:8" s="432" customFormat="1" hidden="1" x14ac:dyDescent="0.35">
      <c r="E786" s="594">
        <f t="shared" si="38"/>
        <v>45013</v>
      </c>
      <c r="F786" s="316">
        <f t="shared" si="39"/>
        <v>0</v>
      </c>
      <c r="G786" s="316">
        <f t="shared" si="37"/>
        <v>0</v>
      </c>
      <c r="H786" s="432">
        <f t="shared" si="40"/>
        <v>0</v>
      </c>
    </row>
    <row r="787" spans="5:8" s="432" customFormat="1" hidden="1" x14ac:dyDescent="0.35">
      <c r="E787" s="594">
        <f t="shared" si="38"/>
        <v>45014</v>
      </c>
      <c r="F787" s="316">
        <f t="shared" si="39"/>
        <v>0</v>
      </c>
      <c r="G787" s="316">
        <f t="shared" si="37"/>
        <v>0</v>
      </c>
      <c r="H787" s="432">
        <f t="shared" si="40"/>
        <v>0</v>
      </c>
    </row>
    <row r="788" spans="5:8" s="432" customFormat="1" hidden="1" x14ac:dyDescent="0.35">
      <c r="E788" s="594">
        <f t="shared" si="38"/>
        <v>45015</v>
      </c>
      <c r="F788" s="316">
        <f t="shared" si="39"/>
        <v>0</v>
      </c>
      <c r="G788" s="316">
        <f t="shared" si="37"/>
        <v>0</v>
      </c>
      <c r="H788" s="432">
        <f t="shared" si="40"/>
        <v>0</v>
      </c>
    </row>
    <row r="789" spans="5:8" s="432" customFormat="1" hidden="1" x14ac:dyDescent="0.35">
      <c r="E789" s="594">
        <f t="shared" si="38"/>
        <v>45016</v>
      </c>
      <c r="F789" s="316">
        <f t="shared" si="39"/>
        <v>0</v>
      </c>
      <c r="G789" s="316">
        <f t="shared" si="37"/>
        <v>0</v>
      </c>
      <c r="H789" s="432">
        <f t="shared" si="40"/>
        <v>0</v>
      </c>
    </row>
    <row r="790" spans="5:8" s="432" customFormat="1" hidden="1" x14ac:dyDescent="0.35">
      <c r="E790" s="594">
        <f t="shared" si="38"/>
        <v>45017</v>
      </c>
      <c r="F790" s="316">
        <f t="shared" si="39"/>
        <v>0</v>
      </c>
      <c r="G790" s="316">
        <f t="shared" si="37"/>
        <v>0</v>
      </c>
      <c r="H790" s="432">
        <f t="shared" si="40"/>
        <v>0</v>
      </c>
    </row>
    <row r="791" spans="5:8" s="432" customFormat="1" hidden="1" x14ac:dyDescent="0.35">
      <c r="E791" s="594">
        <f t="shared" si="38"/>
        <v>45018</v>
      </c>
      <c r="F791" s="316">
        <f t="shared" si="39"/>
        <v>0</v>
      </c>
      <c r="G791" s="316">
        <f t="shared" si="37"/>
        <v>0</v>
      </c>
      <c r="H791" s="432">
        <f t="shared" si="40"/>
        <v>0</v>
      </c>
    </row>
    <row r="792" spans="5:8" s="432" customFormat="1" hidden="1" x14ac:dyDescent="0.35">
      <c r="E792" s="594">
        <f t="shared" si="38"/>
        <v>45019</v>
      </c>
      <c r="F792" s="316">
        <f t="shared" si="39"/>
        <v>0</v>
      </c>
      <c r="G792" s="316">
        <f t="shared" ref="G792:G855" si="41">ROUND(F792,-2)</f>
        <v>0</v>
      </c>
      <c r="H792" s="432">
        <f t="shared" si="40"/>
        <v>0</v>
      </c>
    </row>
    <row r="793" spans="5:8" s="432" customFormat="1" hidden="1" x14ac:dyDescent="0.35">
      <c r="E793" s="594">
        <f t="shared" ref="E793:E856" si="42">IF(E792&lt;$C$153,E792+1,$C$153)</f>
        <v>45020</v>
      </c>
      <c r="F793" s="316">
        <f t="shared" ref="F793:F856" si="43">IF(E792&lt;$C$153,F792+C$155,F792)</f>
        <v>0</v>
      </c>
      <c r="G793" s="316">
        <f t="shared" si="41"/>
        <v>0</v>
      </c>
      <c r="H793" s="432">
        <f t="shared" ref="H793:H856" si="44">IF(F793&gt;F792,(VLOOKUP(G793,$K$151:$O$157,MATCH($C$156,$K$151:$O$151,0),0)),0)</f>
        <v>0</v>
      </c>
    </row>
    <row r="794" spans="5:8" s="432" customFormat="1" hidden="1" x14ac:dyDescent="0.35">
      <c r="E794" s="594">
        <f t="shared" si="42"/>
        <v>45021</v>
      </c>
      <c r="F794" s="316">
        <f t="shared" si="43"/>
        <v>0</v>
      </c>
      <c r="G794" s="316">
        <f t="shared" si="41"/>
        <v>0</v>
      </c>
      <c r="H794" s="432">
        <f t="shared" si="44"/>
        <v>0</v>
      </c>
    </row>
    <row r="795" spans="5:8" s="432" customFormat="1" hidden="1" x14ac:dyDescent="0.35">
      <c r="E795" s="594">
        <f t="shared" si="42"/>
        <v>45022</v>
      </c>
      <c r="F795" s="316">
        <f t="shared" si="43"/>
        <v>0</v>
      </c>
      <c r="G795" s="316">
        <f t="shared" si="41"/>
        <v>0</v>
      </c>
      <c r="H795" s="432">
        <f t="shared" si="44"/>
        <v>0</v>
      </c>
    </row>
    <row r="796" spans="5:8" s="432" customFormat="1" hidden="1" x14ac:dyDescent="0.35">
      <c r="E796" s="594">
        <f t="shared" si="42"/>
        <v>45023</v>
      </c>
      <c r="F796" s="316">
        <f t="shared" si="43"/>
        <v>0</v>
      </c>
      <c r="G796" s="316">
        <f t="shared" si="41"/>
        <v>0</v>
      </c>
      <c r="H796" s="432">
        <f t="shared" si="44"/>
        <v>0</v>
      </c>
    </row>
    <row r="797" spans="5:8" s="432" customFormat="1" hidden="1" x14ac:dyDescent="0.35">
      <c r="E797" s="594">
        <f t="shared" si="42"/>
        <v>45024</v>
      </c>
      <c r="F797" s="316">
        <f t="shared" si="43"/>
        <v>0</v>
      </c>
      <c r="G797" s="316">
        <f t="shared" si="41"/>
        <v>0</v>
      </c>
      <c r="H797" s="432">
        <f t="shared" si="44"/>
        <v>0</v>
      </c>
    </row>
    <row r="798" spans="5:8" s="432" customFormat="1" hidden="1" x14ac:dyDescent="0.35">
      <c r="E798" s="594">
        <f t="shared" si="42"/>
        <v>45025</v>
      </c>
      <c r="F798" s="316">
        <f t="shared" si="43"/>
        <v>0</v>
      </c>
      <c r="G798" s="316">
        <f t="shared" si="41"/>
        <v>0</v>
      </c>
      <c r="H798" s="432">
        <f t="shared" si="44"/>
        <v>0</v>
      </c>
    </row>
    <row r="799" spans="5:8" s="432" customFormat="1" hidden="1" x14ac:dyDescent="0.35">
      <c r="E799" s="594">
        <f t="shared" si="42"/>
        <v>45026</v>
      </c>
      <c r="F799" s="316">
        <f t="shared" si="43"/>
        <v>0</v>
      </c>
      <c r="G799" s="316">
        <f t="shared" si="41"/>
        <v>0</v>
      </c>
      <c r="H799" s="432">
        <f t="shared" si="44"/>
        <v>0</v>
      </c>
    </row>
    <row r="800" spans="5:8" s="432" customFormat="1" hidden="1" x14ac:dyDescent="0.35">
      <c r="E800" s="594">
        <f t="shared" si="42"/>
        <v>45027</v>
      </c>
      <c r="F800" s="316">
        <f t="shared" si="43"/>
        <v>0</v>
      </c>
      <c r="G800" s="316">
        <f t="shared" si="41"/>
        <v>0</v>
      </c>
      <c r="H800" s="432">
        <f t="shared" si="44"/>
        <v>0</v>
      </c>
    </row>
    <row r="801" spans="5:8" s="432" customFormat="1" hidden="1" x14ac:dyDescent="0.35">
      <c r="E801" s="594">
        <f t="shared" si="42"/>
        <v>45028</v>
      </c>
      <c r="F801" s="316">
        <f t="shared" si="43"/>
        <v>0</v>
      </c>
      <c r="G801" s="316">
        <f t="shared" si="41"/>
        <v>0</v>
      </c>
      <c r="H801" s="432">
        <f t="shared" si="44"/>
        <v>0</v>
      </c>
    </row>
    <row r="802" spans="5:8" s="432" customFormat="1" hidden="1" x14ac:dyDescent="0.35">
      <c r="E802" s="594">
        <f t="shared" si="42"/>
        <v>45029</v>
      </c>
      <c r="F802" s="316">
        <f t="shared" si="43"/>
        <v>0</v>
      </c>
      <c r="G802" s="316">
        <f t="shared" si="41"/>
        <v>0</v>
      </c>
      <c r="H802" s="432">
        <f t="shared" si="44"/>
        <v>0</v>
      </c>
    </row>
    <row r="803" spans="5:8" s="432" customFormat="1" hidden="1" x14ac:dyDescent="0.35">
      <c r="E803" s="594">
        <f t="shared" si="42"/>
        <v>45030</v>
      </c>
      <c r="F803" s="316">
        <f t="shared" si="43"/>
        <v>0</v>
      </c>
      <c r="G803" s="316">
        <f t="shared" si="41"/>
        <v>0</v>
      </c>
      <c r="H803" s="432">
        <f t="shared" si="44"/>
        <v>0</v>
      </c>
    </row>
    <row r="804" spans="5:8" s="432" customFormat="1" hidden="1" x14ac:dyDescent="0.35">
      <c r="E804" s="594">
        <f t="shared" si="42"/>
        <v>45031</v>
      </c>
      <c r="F804" s="316">
        <f t="shared" si="43"/>
        <v>0</v>
      </c>
      <c r="G804" s="316">
        <f t="shared" si="41"/>
        <v>0</v>
      </c>
      <c r="H804" s="432">
        <f t="shared" si="44"/>
        <v>0</v>
      </c>
    </row>
    <row r="805" spans="5:8" s="432" customFormat="1" hidden="1" x14ac:dyDescent="0.35">
      <c r="E805" s="594">
        <f t="shared" si="42"/>
        <v>45032</v>
      </c>
      <c r="F805" s="316">
        <f t="shared" si="43"/>
        <v>0</v>
      </c>
      <c r="G805" s="316">
        <f t="shared" si="41"/>
        <v>0</v>
      </c>
      <c r="H805" s="432">
        <f t="shared" si="44"/>
        <v>0</v>
      </c>
    </row>
    <row r="806" spans="5:8" s="432" customFormat="1" hidden="1" x14ac:dyDescent="0.35">
      <c r="E806" s="594">
        <f t="shared" si="42"/>
        <v>45033</v>
      </c>
      <c r="F806" s="316">
        <f t="shared" si="43"/>
        <v>0</v>
      </c>
      <c r="G806" s="316">
        <f t="shared" si="41"/>
        <v>0</v>
      </c>
      <c r="H806" s="432">
        <f t="shared" si="44"/>
        <v>0</v>
      </c>
    </row>
    <row r="807" spans="5:8" s="432" customFormat="1" hidden="1" x14ac:dyDescent="0.35">
      <c r="E807" s="594">
        <f t="shared" si="42"/>
        <v>45034</v>
      </c>
      <c r="F807" s="316">
        <f t="shared" si="43"/>
        <v>0</v>
      </c>
      <c r="G807" s="316">
        <f t="shared" si="41"/>
        <v>0</v>
      </c>
      <c r="H807" s="432">
        <f t="shared" si="44"/>
        <v>0</v>
      </c>
    </row>
    <row r="808" spans="5:8" s="432" customFormat="1" hidden="1" x14ac:dyDescent="0.35">
      <c r="E808" s="594">
        <f t="shared" si="42"/>
        <v>45035</v>
      </c>
      <c r="F808" s="316">
        <f t="shared" si="43"/>
        <v>0</v>
      </c>
      <c r="G808" s="316">
        <f t="shared" si="41"/>
        <v>0</v>
      </c>
      <c r="H808" s="432">
        <f t="shared" si="44"/>
        <v>0</v>
      </c>
    </row>
    <row r="809" spans="5:8" s="432" customFormat="1" hidden="1" x14ac:dyDescent="0.35">
      <c r="E809" s="594">
        <f t="shared" si="42"/>
        <v>45036</v>
      </c>
      <c r="F809" s="316">
        <f t="shared" si="43"/>
        <v>0</v>
      </c>
      <c r="G809" s="316">
        <f t="shared" si="41"/>
        <v>0</v>
      </c>
      <c r="H809" s="432">
        <f t="shared" si="44"/>
        <v>0</v>
      </c>
    </row>
    <row r="810" spans="5:8" s="432" customFormat="1" hidden="1" x14ac:dyDescent="0.35">
      <c r="E810" s="594">
        <f t="shared" si="42"/>
        <v>45037</v>
      </c>
      <c r="F810" s="316">
        <f t="shared" si="43"/>
        <v>0</v>
      </c>
      <c r="G810" s="316">
        <f t="shared" si="41"/>
        <v>0</v>
      </c>
      <c r="H810" s="432">
        <f t="shared" si="44"/>
        <v>0</v>
      </c>
    </row>
    <row r="811" spans="5:8" s="432" customFormat="1" hidden="1" x14ac:dyDescent="0.35">
      <c r="E811" s="594">
        <f t="shared" si="42"/>
        <v>45038</v>
      </c>
      <c r="F811" s="316">
        <f t="shared" si="43"/>
        <v>0</v>
      </c>
      <c r="G811" s="316">
        <f t="shared" si="41"/>
        <v>0</v>
      </c>
      <c r="H811" s="432">
        <f t="shared" si="44"/>
        <v>0</v>
      </c>
    </row>
    <row r="812" spans="5:8" s="432" customFormat="1" hidden="1" x14ac:dyDescent="0.35">
      <c r="E812" s="594">
        <f t="shared" si="42"/>
        <v>45039</v>
      </c>
      <c r="F812" s="316">
        <f t="shared" si="43"/>
        <v>0</v>
      </c>
      <c r="G812" s="316">
        <f t="shared" si="41"/>
        <v>0</v>
      </c>
      <c r="H812" s="432">
        <f t="shared" si="44"/>
        <v>0</v>
      </c>
    </row>
    <row r="813" spans="5:8" s="432" customFormat="1" hidden="1" x14ac:dyDescent="0.35">
      <c r="E813" s="594">
        <f t="shared" si="42"/>
        <v>45040</v>
      </c>
      <c r="F813" s="316">
        <f t="shared" si="43"/>
        <v>0</v>
      </c>
      <c r="G813" s="316">
        <f t="shared" si="41"/>
        <v>0</v>
      </c>
      <c r="H813" s="432">
        <f t="shared" si="44"/>
        <v>0</v>
      </c>
    </row>
    <row r="814" spans="5:8" s="432" customFormat="1" hidden="1" x14ac:dyDescent="0.35">
      <c r="E814" s="594">
        <f t="shared" si="42"/>
        <v>45041</v>
      </c>
      <c r="F814" s="316">
        <f t="shared" si="43"/>
        <v>0</v>
      </c>
      <c r="G814" s="316">
        <f t="shared" si="41"/>
        <v>0</v>
      </c>
      <c r="H814" s="432">
        <f t="shared" si="44"/>
        <v>0</v>
      </c>
    </row>
    <row r="815" spans="5:8" s="432" customFormat="1" hidden="1" x14ac:dyDescent="0.35">
      <c r="E815" s="594">
        <f t="shared" si="42"/>
        <v>45042</v>
      </c>
      <c r="F815" s="316">
        <f t="shared" si="43"/>
        <v>0</v>
      </c>
      <c r="G815" s="316">
        <f t="shared" si="41"/>
        <v>0</v>
      </c>
      <c r="H815" s="432">
        <f t="shared" si="44"/>
        <v>0</v>
      </c>
    </row>
    <row r="816" spans="5:8" s="432" customFormat="1" hidden="1" x14ac:dyDescent="0.35">
      <c r="E816" s="594">
        <f t="shared" si="42"/>
        <v>45043</v>
      </c>
      <c r="F816" s="316">
        <f t="shared" si="43"/>
        <v>0</v>
      </c>
      <c r="G816" s="316">
        <f t="shared" si="41"/>
        <v>0</v>
      </c>
      <c r="H816" s="432">
        <f t="shared" si="44"/>
        <v>0</v>
      </c>
    </row>
    <row r="817" spans="5:8" s="432" customFormat="1" hidden="1" x14ac:dyDescent="0.35">
      <c r="E817" s="594">
        <f t="shared" si="42"/>
        <v>45044</v>
      </c>
      <c r="F817" s="316">
        <f t="shared" si="43"/>
        <v>0</v>
      </c>
      <c r="G817" s="316">
        <f t="shared" si="41"/>
        <v>0</v>
      </c>
      <c r="H817" s="432">
        <f t="shared" si="44"/>
        <v>0</v>
      </c>
    </row>
    <row r="818" spans="5:8" s="432" customFormat="1" hidden="1" x14ac:dyDescent="0.35">
      <c r="E818" s="594">
        <f t="shared" si="42"/>
        <v>45045</v>
      </c>
      <c r="F818" s="316">
        <f t="shared" si="43"/>
        <v>0</v>
      </c>
      <c r="G818" s="316">
        <f t="shared" si="41"/>
        <v>0</v>
      </c>
      <c r="H818" s="432">
        <f t="shared" si="44"/>
        <v>0</v>
      </c>
    </row>
    <row r="819" spans="5:8" s="432" customFormat="1" hidden="1" x14ac:dyDescent="0.35">
      <c r="E819" s="594">
        <f t="shared" si="42"/>
        <v>45046</v>
      </c>
      <c r="F819" s="316">
        <f t="shared" si="43"/>
        <v>0</v>
      </c>
      <c r="G819" s="316">
        <f t="shared" si="41"/>
        <v>0</v>
      </c>
      <c r="H819" s="432">
        <f t="shared" si="44"/>
        <v>0</v>
      </c>
    </row>
    <row r="820" spans="5:8" s="432" customFormat="1" hidden="1" x14ac:dyDescent="0.35">
      <c r="E820" s="594">
        <f t="shared" si="42"/>
        <v>45047</v>
      </c>
      <c r="F820" s="316">
        <f t="shared" si="43"/>
        <v>0</v>
      </c>
      <c r="G820" s="316">
        <f t="shared" si="41"/>
        <v>0</v>
      </c>
      <c r="H820" s="432">
        <f t="shared" si="44"/>
        <v>0</v>
      </c>
    </row>
    <row r="821" spans="5:8" s="432" customFormat="1" hidden="1" x14ac:dyDescent="0.35">
      <c r="E821" s="594">
        <f t="shared" si="42"/>
        <v>45048</v>
      </c>
      <c r="F821" s="316">
        <f t="shared" si="43"/>
        <v>0</v>
      </c>
      <c r="G821" s="316">
        <f t="shared" si="41"/>
        <v>0</v>
      </c>
      <c r="H821" s="432">
        <f t="shared" si="44"/>
        <v>0</v>
      </c>
    </row>
    <row r="822" spans="5:8" s="432" customFormat="1" hidden="1" x14ac:dyDescent="0.35">
      <c r="E822" s="594">
        <f t="shared" si="42"/>
        <v>45049</v>
      </c>
      <c r="F822" s="316">
        <f t="shared" si="43"/>
        <v>0</v>
      </c>
      <c r="G822" s="316">
        <f t="shared" si="41"/>
        <v>0</v>
      </c>
      <c r="H822" s="432">
        <f t="shared" si="44"/>
        <v>0</v>
      </c>
    </row>
    <row r="823" spans="5:8" s="432" customFormat="1" hidden="1" x14ac:dyDescent="0.35">
      <c r="E823" s="594">
        <f t="shared" si="42"/>
        <v>45050</v>
      </c>
      <c r="F823" s="316">
        <f t="shared" si="43"/>
        <v>0</v>
      </c>
      <c r="G823" s="316">
        <f t="shared" si="41"/>
        <v>0</v>
      </c>
      <c r="H823" s="432">
        <f t="shared" si="44"/>
        <v>0</v>
      </c>
    </row>
    <row r="824" spans="5:8" s="432" customFormat="1" hidden="1" x14ac:dyDescent="0.35">
      <c r="E824" s="594">
        <f t="shared" si="42"/>
        <v>45051</v>
      </c>
      <c r="F824" s="316">
        <f t="shared" si="43"/>
        <v>0</v>
      </c>
      <c r="G824" s="316">
        <f t="shared" si="41"/>
        <v>0</v>
      </c>
      <c r="H824" s="432">
        <f t="shared" si="44"/>
        <v>0</v>
      </c>
    </row>
    <row r="825" spans="5:8" s="432" customFormat="1" hidden="1" x14ac:dyDescent="0.35">
      <c r="E825" s="594">
        <f t="shared" si="42"/>
        <v>45052</v>
      </c>
      <c r="F825" s="316">
        <f t="shared" si="43"/>
        <v>0</v>
      </c>
      <c r="G825" s="316">
        <f t="shared" si="41"/>
        <v>0</v>
      </c>
      <c r="H825" s="432">
        <f t="shared" si="44"/>
        <v>0</v>
      </c>
    </row>
    <row r="826" spans="5:8" s="432" customFormat="1" hidden="1" x14ac:dyDescent="0.35">
      <c r="E826" s="594">
        <f t="shared" si="42"/>
        <v>45053</v>
      </c>
      <c r="F826" s="316">
        <f t="shared" si="43"/>
        <v>0</v>
      </c>
      <c r="G826" s="316">
        <f t="shared" si="41"/>
        <v>0</v>
      </c>
      <c r="H826" s="432">
        <f t="shared" si="44"/>
        <v>0</v>
      </c>
    </row>
    <row r="827" spans="5:8" s="432" customFormat="1" hidden="1" x14ac:dyDescent="0.35">
      <c r="E827" s="594">
        <f t="shared" si="42"/>
        <v>45054</v>
      </c>
      <c r="F827" s="316">
        <f t="shared" si="43"/>
        <v>0</v>
      </c>
      <c r="G827" s="316">
        <f t="shared" si="41"/>
        <v>0</v>
      </c>
      <c r="H827" s="432">
        <f t="shared" si="44"/>
        <v>0</v>
      </c>
    </row>
    <row r="828" spans="5:8" s="432" customFormat="1" hidden="1" x14ac:dyDescent="0.35">
      <c r="E828" s="594">
        <f t="shared" si="42"/>
        <v>45055</v>
      </c>
      <c r="F828" s="316">
        <f t="shared" si="43"/>
        <v>0</v>
      </c>
      <c r="G828" s="316">
        <f t="shared" si="41"/>
        <v>0</v>
      </c>
      <c r="H828" s="432">
        <f t="shared" si="44"/>
        <v>0</v>
      </c>
    </row>
    <row r="829" spans="5:8" s="432" customFormat="1" hidden="1" x14ac:dyDescent="0.35">
      <c r="E829" s="594">
        <f t="shared" si="42"/>
        <v>45056</v>
      </c>
      <c r="F829" s="316">
        <f t="shared" si="43"/>
        <v>0</v>
      </c>
      <c r="G829" s="316">
        <f t="shared" si="41"/>
        <v>0</v>
      </c>
      <c r="H829" s="432">
        <f t="shared" si="44"/>
        <v>0</v>
      </c>
    </row>
    <row r="830" spans="5:8" s="432" customFormat="1" hidden="1" x14ac:dyDescent="0.35">
      <c r="E830" s="594">
        <f t="shared" si="42"/>
        <v>45057</v>
      </c>
      <c r="F830" s="316">
        <f t="shared" si="43"/>
        <v>0</v>
      </c>
      <c r="G830" s="316">
        <f t="shared" si="41"/>
        <v>0</v>
      </c>
      <c r="H830" s="432">
        <f t="shared" si="44"/>
        <v>0</v>
      </c>
    </row>
    <row r="831" spans="5:8" s="432" customFormat="1" hidden="1" x14ac:dyDescent="0.35">
      <c r="E831" s="594">
        <f t="shared" si="42"/>
        <v>45058</v>
      </c>
      <c r="F831" s="316">
        <f t="shared" si="43"/>
        <v>0</v>
      </c>
      <c r="G831" s="316">
        <f t="shared" si="41"/>
        <v>0</v>
      </c>
      <c r="H831" s="432">
        <f t="shared" si="44"/>
        <v>0</v>
      </c>
    </row>
    <row r="832" spans="5:8" s="432" customFormat="1" hidden="1" x14ac:dyDescent="0.35">
      <c r="E832" s="594">
        <f t="shared" si="42"/>
        <v>45059</v>
      </c>
      <c r="F832" s="316">
        <f t="shared" si="43"/>
        <v>0</v>
      </c>
      <c r="G832" s="316">
        <f t="shared" si="41"/>
        <v>0</v>
      </c>
      <c r="H832" s="432">
        <f t="shared" si="44"/>
        <v>0</v>
      </c>
    </row>
    <row r="833" spans="5:8" s="432" customFormat="1" hidden="1" x14ac:dyDescent="0.35">
      <c r="E833" s="594">
        <f t="shared" si="42"/>
        <v>45060</v>
      </c>
      <c r="F833" s="316">
        <f t="shared" si="43"/>
        <v>0</v>
      </c>
      <c r="G833" s="316">
        <f t="shared" si="41"/>
        <v>0</v>
      </c>
      <c r="H833" s="432">
        <f t="shared" si="44"/>
        <v>0</v>
      </c>
    </row>
    <row r="834" spans="5:8" s="432" customFormat="1" hidden="1" x14ac:dyDescent="0.35">
      <c r="E834" s="594">
        <f t="shared" si="42"/>
        <v>45061</v>
      </c>
      <c r="F834" s="316">
        <f t="shared" si="43"/>
        <v>0</v>
      </c>
      <c r="G834" s="316">
        <f t="shared" si="41"/>
        <v>0</v>
      </c>
      <c r="H834" s="432">
        <f t="shared" si="44"/>
        <v>0</v>
      </c>
    </row>
    <row r="835" spans="5:8" s="432" customFormat="1" hidden="1" x14ac:dyDescent="0.35">
      <c r="E835" s="594">
        <f t="shared" si="42"/>
        <v>45062</v>
      </c>
      <c r="F835" s="316">
        <f t="shared" si="43"/>
        <v>0</v>
      </c>
      <c r="G835" s="316">
        <f t="shared" si="41"/>
        <v>0</v>
      </c>
      <c r="H835" s="432">
        <f t="shared" si="44"/>
        <v>0</v>
      </c>
    </row>
    <row r="836" spans="5:8" s="432" customFormat="1" hidden="1" x14ac:dyDescent="0.35">
      <c r="E836" s="594">
        <f t="shared" si="42"/>
        <v>45063</v>
      </c>
      <c r="F836" s="316">
        <f t="shared" si="43"/>
        <v>0</v>
      </c>
      <c r="G836" s="316">
        <f t="shared" si="41"/>
        <v>0</v>
      </c>
      <c r="H836" s="432">
        <f t="shared" si="44"/>
        <v>0</v>
      </c>
    </row>
    <row r="837" spans="5:8" s="432" customFormat="1" hidden="1" x14ac:dyDescent="0.35">
      <c r="E837" s="594">
        <f t="shared" si="42"/>
        <v>45064</v>
      </c>
      <c r="F837" s="316">
        <f t="shared" si="43"/>
        <v>0</v>
      </c>
      <c r="G837" s="316">
        <f t="shared" si="41"/>
        <v>0</v>
      </c>
      <c r="H837" s="432">
        <f t="shared" si="44"/>
        <v>0</v>
      </c>
    </row>
    <row r="838" spans="5:8" s="432" customFormat="1" hidden="1" x14ac:dyDescent="0.35">
      <c r="E838" s="594">
        <f t="shared" si="42"/>
        <v>45065</v>
      </c>
      <c r="F838" s="316">
        <f t="shared" si="43"/>
        <v>0</v>
      </c>
      <c r="G838" s="316">
        <f t="shared" si="41"/>
        <v>0</v>
      </c>
      <c r="H838" s="432">
        <f t="shared" si="44"/>
        <v>0</v>
      </c>
    </row>
    <row r="839" spans="5:8" s="432" customFormat="1" hidden="1" x14ac:dyDescent="0.35">
      <c r="E839" s="594">
        <f t="shared" si="42"/>
        <v>45066</v>
      </c>
      <c r="F839" s="316">
        <f t="shared" si="43"/>
        <v>0</v>
      </c>
      <c r="G839" s="316">
        <f t="shared" si="41"/>
        <v>0</v>
      </c>
      <c r="H839" s="432">
        <f t="shared" si="44"/>
        <v>0</v>
      </c>
    </row>
    <row r="840" spans="5:8" s="432" customFormat="1" hidden="1" x14ac:dyDescent="0.35">
      <c r="E840" s="594">
        <f t="shared" si="42"/>
        <v>45067</v>
      </c>
      <c r="F840" s="316">
        <f t="shared" si="43"/>
        <v>0</v>
      </c>
      <c r="G840" s="316">
        <f t="shared" si="41"/>
        <v>0</v>
      </c>
      <c r="H840" s="432">
        <f t="shared" si="44"/>
        <v>0</v>
      </c>
    </row>
    <row r="841" spans="5:8" s="432" customFormat="1" hidden="1" x14ac:dyDescent="0.35">
      <c r="E841" s="594">
        <f t="shared" si="42"/>
        <v>45068</v>
      </c>
      <c r="F841" s="316">
        <f t="shared" si="43"/>
        <v>0</v>
      </c>
      <c r="G841" s="316">
        <f t="shared" si="41"/>
        <v>0</v>
      </c>
      <c r="H841" s="432">
        <f t="shared" si="44"/>
        <v>0</v>
      </c>
    </row>
    <row r="842" spans="5:8" s="432" customFormat="1" hidden="1" x14ac:dyDescent="0.35">
      <c r="E842" s="594">
        <f t="shared" si="42"/>
        <v>45069</v>
      </c>
      <c r="F842" s="316">
        <f t="shared" si="43"/>
        <v>0</v>
      </c>
      <c r="G842" s="316">
        <f t="shared" si="41"/>
        <v>0</v>
      </c>
      <c r="H842" s="432">
        <f t="shared" si="44"/>
        <v>0</v>
      </c>
    </row>
    <row r="843" spans="5:8" s="432" customFormat="1" hidden="1" x14ac:dyDescent="0.35">
      <c r="E843" s="594">
        <f t="shared" si="42"/>
        <v>45070</v>
      </c>
      <c r="F843" s="316">
        <f t="shared" si="43"/>
        <v>0</v>
      </c>
      <c r="G843" s="316">
        <f t="shared" si="41"/>
        <v>0</v>
      </c>
      <c r="H843" s="432">
        <f t="shared" si="44"/>
        <v>0</v>
      </c>
    </row>
    <row r="844" spans="5:8" s="432" customFormat="1" hidden="1" x14ac:dyDescent="0.35">
      <c r="E844" s="594">
        <f t="shared" si="42"/>
        <v>45071</v>
      </c>
      <c r="F844" s="316">
        <f t="shared" si="43"/>
        <v>0</v>
      </c>
      <c r="G844" s="316">
        <f t="shared" si="41"/>
        <v>0</v>
      </c>
      <c r="H844" s="432">
        <f t="shared" si="44"/>
        <v>0</v>
      </c>
    </row>
    <row r="845" spans="5:8" s="432" customFormat="1" hidden="1" x14ac:dyDescent="0.35">
      <c r="E845" s="594">
        <f t="shared" si="42"/>
        <v>45072</v>
      </c>
      <c r="F845" s="316">
        <f t="shared" si="43"/>
        <v>0</v>
      </c>
      <c r="G845" s="316">
        <f t="shared" si="41"/>
        <v>0</v>
      </c>
      <c r="H845" s="432">
        <f t="shared" si="44"/>
        <v>0</v>
      </c>
    </row>
    <row r="846" spans="5:8" s="432" customFormat="1" hidden="1" x14ac:dyDescent="0.35">
      <c r="E846" s="594">
        <f t="shared" si="42"/>
        <v>45073</v>
      </c>
      <c r="F846" s="316">
        <f t="shared" si="43"/>
        <v>0</v>
      </c>
      <c r="G846" s="316">
        <f t="shared" si="41"/>
        <v>0</v>
      </c>
      <c r="H846" s="432">
        <f t="shared" si="44"/>
        <v>0</v>
      </c>
    </row>
    <row r="847" spans="5:8" s="432" customFormat="1" hidden="1" x14ac:dyDescent="0.35">
      <c r="E847" s="594">
        <f t="shared" si="42"/>
        <v>45074</v>
      </c>
      <c r="F847" s="316">
        <f t="shared" si="43"/>
        <v>0</v>
      </c>
      <c r="G847" s="316">
        <f t="shared" si="41"/>
        <v>0</v>
      </c>
      <c r="H847" s="432">
        <f t="shared" si="44"/>
        <v>0</v>
      </c>
    </row>
    <row r="848" spans="5:8" s="432" customFormat="1" hidden="1" x14ac:dyDescent="0.35">
      <c r="E848" s="594">
        <f t="shared" si="42"/>
        <v>45075</v>
      </c>
      <c r="F848" s="316">
        <f t="shared" si="43"/>
        <v>0</v>
      </c>
      <c r="G848" s="316">
        <f t="shared" si="41"/>
        <v>0</v>
      </c>
      <c r="H848" s="432">
        <f t="shared" si="44"/>
        <v>0</v>
      </c>
    </row>
    <row r="849" spans="5:8" s="432" customFormat="1" hidden="1" x14ac:dyDescent="0.35">
      <c r="E849" s="594">
        <f t="shared" si="42"/>
        <v>45076</v>
      </c>
      <c r="F849" s="316">
        <f t="shared" si="43"/>
        <v>0</v>
      </c>
      <c r="G849" s="316">
        <f t="shared" si="41"/>
        <v>0</v>
      </c>
      <c r="H849" s="432">
        <f t="shared" si="44"/>
        <v>0</v>
      </c>
    </row>
    <row r="850" spans="5:8" s="432" customFormat="1" hidden="1" x14ac:dyDescent="0.35">
      <c r="E850" s="594">
        <f t="shared" si="42"/>
        <v>45077</v>
      </c>
      <c r="F850" s="316">
        <f t="shared" si="43"/>
        <v>0</v>
      </c>
      <c r="G850" s="316">
        <f t="shared" si="41"/>
        <v>0</v>
      </c>
      <c r="H850" s="432">
        <f t="shared" si="44"/>
        <v>0</v>
      </c>
    </row>
    <row r="851" spans="5:8" s="432" customFormat="1" hidden="1" x14ac:dyDescent="0.35">
      <c r="E851" s="594">
        <f t="shared" si="42"/>
        <v>45078</v>
      </c>
      <c r="F851" s="316">
        <f t="shared" si="43"/>
        <v>0</v>
      </c>
      <c r="G851" s="316">
        <f t="shared" si="41"/>
        <v>0</v>
      </c>
      <c r="H851" s="432">
        <f t="shared" si="44"/>
        <v>0</v>
      </c>
    </row>
    <row r="852" spans="5:8" s="432" customFormat="1" hidden="1" x14ac:dyDescent="0.35">
      <c r="E852" s="594">
        <f t="shared" si="42"/>
        <v>45079</v>
      </c>
      <c r="F852" s="316">
        <f t="shared" si="43"/>
        <v>0</v>
      </c>
      <c r="G852" s="316">
        <f t="shared" si="41"/>
        <v>0</v>
      </c>
      <c r="H852" s="432">
        <f t="shared" si="44"/>
        <v>0</v>
      </c>
    </row>
    <row r="853" spans="5:8" s="432" customFormat="1" hidden="1" x14ac:dyDescent="0.35">
      <c r="E853" s="594">
        <f t="shared" si="42"/>
        <v>45080</v>
      </c>
      <c r="F853" s="316">
        <f t="shared" si="43"/>
        <v>0</v>
      </c>
      <c r="G853" s="316">
        <f t="shared" si="41"/>
        <v>0</v>
      </c>
      <c r="H853" s="432">
        <f t="shared" si="44"/>
        <v>0</v>
      </c>
    </row>
    <row r="854" spans="5:8" s="432" customFormat="1" hidden="1" x14ac:dyDescent="0.35">
      <c r="E854" s="594">
        <f t="shared" si="42"/>
        <v>45081</v>
      </c>
      <c r="F854" s="316">
        <f t="shared" si="43"/>
        <v>0</v>
      </c>
      <c r="G854" s="316">
        <f t="shared" si="41"/>
        <v>0</v>
      </c>
      <c r="H854" s="432">
        <f t="shared" si="44"/>
        <v>0</v>
      </c>
    </row>
    <row r="855" spans="5:8" s="432" customFormat="1" hidden="1" x14ac:dyDescent="0.35">
      <c r="E855" s="594">
        <f t="shared" si="42"/>
        <v>45082</v>
      </c>
      <c r="F855" s="316">
        <f t="shared" si="43"/>
        <v>0</v>
      </c>
      <c r="G855" s="316">
        <f t="shared" si="41"/>
        <v>0</v>
      </c>
      <c r="H855" s="432">
        <f t="shared" si="44"/>
        <v>0</v>
      </c>
    </row>
    <row r="856" spans="5:8" s="432" customFormat="1" hidden="1" x14ac:dyDescent="0.35">
      <c r="E856" s="594">
        <f t="shared" si="42"/>
        <v>45083</v>
      </c>
      <c r="F856" s="316">
        <f t="shared" si="43"/>
        <v>0</v>
      </c>
      <c r="G856" s="316">
        <f t="shared" ref="G856:G919" si="45">ROUND(F856,-2)</f>
        <v>0</v>
      </c>
      <c r="H856" s="432">
        <f t="shared" si="44"/>
        <v>0</v>
      </c>
    </row>
    <row r="857" spans="5:8" s="432" customFormat="1" hidden="1" x14ac:dyDescent="0.35">
      <c r="E857" s="594">
        <f t="shared" ref="E857:E920" si="46">IF(E856&lt;$C$153,E856+1,$C$153)</f>
        <v>45084</v>
      </c>
      <c r="F857" s="316">
        <f t="shared" ref="F857:F920" si="47">IF(E856&lt;$C$153,F856+C$155,F856)</f>
        <v>0</v>
      </c>
      <c r="G857" s="316">
        <f t="shared" si="45"/>
        <v>0</v>
      </c>
      <c r="H857" s="432">
        <f t="shared" ref="H857:H920" si="48">IF(F857&gt;F856,(VLOOKUP(G857,$K$151:$O$157,MATCH($C$156,$K$151:$O$151,0),0)),0)</f>
        <v>0</v>
      </c>
    </row>
    <row r="858" spans="5:8" s="432" customFormat="1" hidden="1" x14ac:dyDescent="0.35">
      <c r="E858" s="594">
        <f t="shared" si="46"/>
        <v>45085</v>
      </c>
      <c r="F858" s="316">
        <f t="shared" si="47"/>
        <v>0</v>
      </c>
      <c r="G858" s="316">
        <f t="shared" si="45"/>
        <v>0</v>
      </c>
      <c r="H858" s="432">
        <f t="shared" si="48"/>
        <v>0</v>
      </c>
    </row>
    <row r="859" spans="5:8" s="432" customFormat="1" hidden="1" x14ac:dyDescent="0.35">
      <c r="E859" s="594">
        <f t="shared" si="46"/>
        <v>45086</v>
      </c>
      <c r="F859" s="316">
        <f t="shared" si="47"/>
        <v>0</v>
      </c>
      <c r="G859" s="316">
        <f t="shared" si="45"/>
        <v>0</v>
      </c>
      <c r="H859" s="432">
        <f t="shared" si="48"/>
        <v>0</v>
      </c>
    </row>
    <row r="860" spans="5:8" s="432" customFormat="1" hidden="1" x14ac:dyDescent="0.35">
      <c r="E860" s="594">
        <f t="shared" si="46"/>
        <v>45087</v>
      </c>
      <c r="F860" s="316">
        <f t="shared" si="47"/>
        <v>0</v>
      </c>
      <c r="G860" s="316">
        <f t="shared" si="45"/>
        <v>0</v>
      </c>
      <c r="H860" s="432">
        <f t="shared" si="48"/>
        <v>0</v>
      </c>
    </row>
    <row r="861" spans="5:8" s="432" customFormat="1" hidden="1" x14ac:dyDescent="0.35">
      <c r="E861" s="594">
        <f t="shared" si="46"/>
        <v>45088</v>
      </c>
      <c r="F861" s="316">
        <f t="shared" si="47"/>
        <v>0</v>
      </c>
      <c r="G861" s="316">
        <f t="shared" si="45"/>
        <v>0</v>
      </c>
      <c r="H861" s="432">
        <f t="shared" si="48"/>
        <v>0</v>
      </c>
    </row>
    <row r="862" spans="5:8" s="432" customFormat="1" hidden="1" x14ac:dyDescent="0.35">
      <c r="E862" s="594">
        <f t="shared" si="46"/>
        <v>45089</v>
      </c>
      <c r="F862" s="316">
        <f t="shared" si="47"/>
        <v>0</v>
      </c>
      <c r="G862" s="316">
        <f t="shared" si="45"/>
        <v>0</v>
      </c>
      <c r="H862" s="432">
        <f t="shared" si="48"/>
        <v>0</v>
      </c>
    </row>
    <row r="863" spans="5:8" s="432" customFormat="1" hidden="1" x14ac:dyDescent="0.35">
      <c r="E863" s="594">
        <f t="shared" si="46"/>
        <v>45090</v>
      </c>
      <c r="F863" s="316">
        <f t="shared" si="47"/>
        <v>0</v>
      </c>
      <c r="G863" s="316">
        <f t="shared" si="45"/>
        <v>0</v>
      </c>
      <c r="H863" s="432">
        <f t="shared" si="48"/>
        <v>0</v>
      </c>
    </row>
    <row r="864" spans="5:8" s="432" customFormat="1" hidden="1" x14ac:dyDescent="0.35">
      <c r="E864" s="594">
        <f t="shared" si="46"/>
        <v>45091</v>
      </c>
      <c r="F864" s="316">
        <f t="shared" si="47"/>
        <v>0</v>
      </c>
      <c r="G864" s="316">
        <f t="shared" si="45"/>
        <v>0</v>
      </c>
      <c r="H864" s="432">
        <f t="shared" si="48"/>
        <v>0</v>
      </c>
    </row>
    <row r="865" spans="5:8" s="432" customFormat="1" hidden="1" x14ac:dyDescent="0.35">
      <c r="E865" s="594">
        <f t="shared" si="46"/>
        <v>45092</v>
      </c>
      <c r="F865" s="316">
        <f t="shared" si="47"/>
        <v>0</v>
      </c>
      <c r="G865" s="316">
        <f t="shared" si="45"/>
        <v>0</v>
      </c>
      <c r="H865" s="432">
        <f t="shared" si="48"/>
        <v>0</v>
      </c>
    </row>
    <row r="866" spans="5:8" s="432" customFormat="1" hidden="1" x14ac:dyDescent="0.35">
      <c r="E866" s="594">
        <f t="shared" si="46"/>
        <v>45093</v>
      </c>
      <c r="F866" s="316">
        <f t="shared" si="47"/>
        <v>0</v>
      </c>
      <c r="G866" s="316">
        <f t="shared" si="45"/>
        <v>0</v>
      </c>
      <c r="H866" s="432">
        <f t="shared" si="48"/>
        <v>0</v>
      </c>
    </row>
    <row r="867" spans="5:8" s="432" customFormat="1" hidden="1" x14ac:dyDescent="0.35">
      <c r="E867" s="594">
        <f t="shared" si="46"/>
        <v>45094</v>
      </c>
      <c r="F867" s="316">
        <f t="shared" si="47"/>
        <v>0</v>
      </c>
      <c r="G867" s="316">
        <f t="shared" si="45"/>
        <v>0</v>
      </c>
      <c r="H867" s="432">
        <f t="shared" si="48"/>
        <v>0</v>
      </c>
    </row>
    <row r="868" spans="5:8" s="432" customFormat="1" hidden="1" x14ac:dyDescent="0.35">
      <c r="E868" s="594">
        <f t="shared" si="46"/>
        <v>45095</v>
      </c>
      <c r="F868" s="316">
        <f t="shared" si="47"/>
        <v>0</v>
      </c>
      <c r="G868" s="316">
        <f t="shared" si="45"/>
        <v>0</v>
      </c>
      <c r="H868" s="432">
        <f t="shared" si="48"/>
        <v>0</v>
      </c>
    </row>
    <row r="869" spans="5:8" s="432" customFormat="1" hidden="1" x14ac:dyDescent="0.35">
      <c r="E869" s="594">
        <f t="shared" si="46"/>
        <v>45096</v>
      </c>
      <c r="F869" s="316">
        <f t="shared" si="47"/>
        <v>0</v>
      </c>
      <c r="G869" s="316">
        <f t="shared" si="45"/>
        <v>0</v>
      </c>
      <c r="H869" s="432">
        <f t="shared" si="48"/>
        <v>0</v>
      </c>
    </row>
    <row r="870" spans="5:8" s="432" customFormat="1" hidden="1" x14ac:dyDescent="0.35">
      <c r="E870" s="594">
        <f t="shared" si="46"/>
        <v>45097</v>
      </c>
      <c r="F870" s="316">
        <f t="shared" si="47"/>
        <v>0</v>
      </c>
      <c r="G870" s="316">
        <f t="shared" si="45"/>
        <v>0</v>
      </c>
      <c r="H870" s="432">
        <f t="shared" si="48"/>
        <v>0</v>
      </c>
    </row>
    <row r="871" spans="5:8" s="432" customFormat="1" hidden="1" x14ac:dyDescent="0.35">
      <c r="E871" s="594">
        <f t="shared" si="46"/>
        <v>45098</v>
      </c>
      <c r="F871" s="316">
        <f t="shared" si="47"/>
        <v>0</v>
      </c>
      <c r="G871" s="316">
        <f t="shared" si="45"/>
        <v>0</v>
      </c>
      <c r="H871" s="432">
        <f t="shared" si="48"/>
        <v>0</v>
      </c>
    </row>
    <row r="872" spans="5:8" s="432" customFormat="1" hidden="1" x14ac:dyDescent="0.35">
      <c r="E872" s="594">
        <f t="shared" si="46"/>
        <v>45099</v>
      </c>
      <c r="F872" s="316">
        <f t="shared" si="47"/>
        <v>0</v>
      </c>
      <c r="G872" s="316">
        <f t="shared" si="45"/>
        <v>0</v>
      </c>
      <c r="H872" s="432">
        <f t="shared" si="48"/>
        <v>0</v>
      </c>
    </row>
    <row r="873" spans="5:8" s="432" customFormat="1" hidden="1" x14ac:dyDescent="0.35">
      <c r="E873" s="594">
        <f t="shared" si="46"/>
        <v>45100</v>
      </c>
      <c r="F873" s="316">
        <f t="shared" si="47"/>
        <v>0</v>
      </c>
      <c r="G873" s="316">
        <f t="shared" si="45"/>
        <v>0</v>
      </c>
      <c r="H873" s="432">
        <f t="shared" si="48"/>
        <v>0</v>
      </c>
    </row>
    <row r="874" spans="5:8" s="432" customFormat="1" hidden="1" x14ac:dyDescent="0.35">
      <c r="E874" s="594">
        <f t="shared" si="46"/>
        <v>45101</v>
      </c>
      <c r="F874" s="316">
        <f t="shared" si="47"/>
        <v>0</v>
      </c>
      <c r="G874" s="316">
        <f t="shared" si="45"/>
        <v>0</v>
      </c>
      <c r="H874" s="432">
        <f t="shared" si="48"/>
        <v>0</v>
      </c>
    </row>
    <row r="875" spans="5:8" s="432" customFormat="1" hidden="1" x14ac:dyDescent="0.35">
      <c r="E875" s="594">
        <f t="shared" si="46"/>
        <v>45102</v>
      </c>
      <c r="F875" s="316">
        <f t="shared" si="47"/>
        <v>0</v>
      </c>
      <c r="G875" s="316">
        <f t="shared" si="45"/>
        <v>0</v>
      </c>
      <c r="H875" s="432">
        <f t="shared" si="48"/>
        <v>0</v>
      </c>
    </row>
    <row r="876" spans="5:8" s="432" customFormat="1" hidden="1" x14ac:dyDescent="0.35">
      <c r="E876" s="594">
        <f t="shared" si="46"/>
        <v>45103</v>
      </c>
      <c r="F876" s="316">
        <f t="shared" si="47"/>
        <v>0</v>
      </c>
      <c r="G876" s="316">
        <f t="shared" si="45"/>
        <v>0</v>
      </c>
      <c r="H876" s="432">
        <f t="shared" si="48"/>
        <v>0</v>
      </c>
    </row>
    <row r="877" spans="5:8" s="432" customFormat="1" hidden="1" x14ac:dyDescent="0.35">
      <c r="E877" s="594">
        <f t="shared" si="46"/>
        <v>45104</v>
      </c>
      <c r="F877" s="316">
        <f t="shared" si="47"/>
        <v>0</v>
      </c>
      <c r="G877" s="316">
        <f t="shared" si="45"/>
        <v>0</v>
      </c>
      <c r="H877" s="432">
        <f t="shared" si="48"/>
        <v>0</v>
      </c>
    </row>
    <row r="878" spans="5:8" s="432" customFormat="1" hidden="1" x14ac:dyDescent="0.35">
      <c r="E878" s="594">
        <f t="shared" si="46"/>
        <v>45105</v>
      </c>
      <c r="F878" s="316">
        <f t="shared" si="47"/>
        <v>0</v>
      </c>
      <c r="G878" s="316">
        <f t="shared" si="45"/>
        <v>0</v>
      </c>
      <c r="H878" s="432">
        <f t="shared" si="48"/>
        <v>0</v>
      </c>
    </row>
    <row r="879" spans="5:8" s="432" customFormat="1" hidden="1" x14ac:dyDescent="0.35">
      <c r="E879" s="594">
        <f t="shared" si="46"/>
        <v>45106</v>
      </c>
      <c r="F879" s="316">
        <f t="shared" si="47"/>
        <v>0</v>
      </c>
      <c r="G879" s="316">
        <f t="shared" si="45"/>
        <v>0</v>
      </c>
      <c r="H879" s="432">
        <f t="shared" si="48"/>
        <v>0</v>
      </c>
    </row>
    <row r="880" spans="5:8" s="432" customFormat="1" hidden="1" x14ac:dyDescent="0.35">
      <c r="E880" s="594">
        <f t="shared" si="46"/>
        <v>45107</v>
      </c>
      <c r="F880" s="316">
        <f t="shared" si="47"/>
        <v>0</v>
      </c>
      <c r="G880" s="316">
        <f t="shared" si="45"/>
        <v>0</v>
      </c>
      <c r="H880" s="432">
        <f t="shared" si="48"/>
        <v>0</v>
      </c>
    </row>
    <row r="881" spans="5:8" s="432" customFormat="1" hidden="1" x14ac:dyDescent="0.35">
      <c r="E881" s="594">
        <f t="shared" si="46"/>
        <v>45108</v>
      </c>
      <c r="F881" s="316">
        <f t="shared" si="47"/>
        <v>0</v>
      </c>
      <c r="G881" s="316">
        <f t="shared" si="45"/>
        <v>0</v>
      </c>
      <c r="H881" s="432">
        <f t="shared" si="48"/>
        <v>0</v>
      </c>
    </row>
    <row r="882" spans="5:8" s="432" customFormat="1" hidden="1" x14ac:dyDescent="0.35">
      <c r="E882" s="594">
        <f t="shared" si="46"/>
        <v>45108</v>
      </c>
      <c r="F882" s="316">
        <f t="shared" si="47"/>
        <v>0</v>
      </c>
      <c r="G882" s="316">
        <f t="shared" si="45"/>
        <v>0</v>
      </c>
      <c r="H882" s="432">
        <f t="shared" si="48"/>
        <v>0</v>
      </c>
    </row>
    <row r="883" spans="5:8" s="432" customFormat="1" hidden="1" x14ac:dyDescent="0.35">
      <c r="E883" s="594">
        <f t="shared" si="46"/>
        <v>45108</v>
      </c>
      <c r="F883" s="316">
        <f t="shared" si="47"/>
        <v>0</v>
      </c>
      <c r="G883" s="316">
        <f t="shared" si="45"/>
        <v>0</v>
      </c>
      <c r="H883" s="432">
        <f t="shared" si="48"/>
        <v>0</v>
      </c>
    </row>
    <row r="884" spans="5:8" s="432" customFormat="1" hidden="1" x14ac:dyDescent="0.35">
      <c r="E884" s="594">
        <f t="shared" si="46"/>
        <v>45108</v>
      </c>
      <c r="F884" s="316">
        <f t="shared" si="47"/>
        <v>0</v>
      </c>
      <c r="G884" s="316">
        <f t="shared" si="45"/>
        <v>0</v>
      </c>
      <c r="H884" s="432">
        <f t="shared" si="48"/>
        <v>0</v>
      </c>
    </row>
    <row r="885" spans="5:8" s="432" customFormat="1" hidden="1" x14ac:dyDescent="0.35">
      <c r="E885" s="594">
        <f t="shared" si="46"/>
        <v>45108</v>
      </c>
      <c r="F885" s="316">
        <f t="shared" si="47"/>
        <v>0</v>
      </c>
      <c r="G885" s="316">
        <f t="shared" si="45"/>
        <v>0</v>
      </c>
      <c r="H885" s="432">
        <f t="shared" si="48"/>
        <v>0</v>
      </c>
    </row>
    <row r="886" spans="5:8" s="432" customFormat="1" hidden="1" x14ac:dyDescent="0.35">
      <c r="E886" s="594">
        <f t="shared" si="46"/>
        <v>45108</v>
      </c>
      <c r="F886" s="316">
        <f t="shared" si="47"/>
        <v>0</v>
      </c>
      <c r="G886" s="316">
        <f t="shared" si="45"/>
        <v>0</v>
      </c>
      <c r="H886" s="432">
        <f t="shared" si="48"/>
        <v>0</v>
      </c>
    </row>
    <row r="887" spans="5:8" s="432" customFormat="1" hidden="1" x14ac:dyDescent="0.35">
      <c r="E887" s="594">
        <f t="shared" si="46"/>
        <v>45108</v>
      </c>
      <c r="F887" s="316">
        <f t="shared" si="47"/>
        <v>0</v>
      </c>
      <c r="G887" s="316">
        <f t="shared" si="45"/>
        <v>0</v>
      </c>
      <c r="H887" s="432">
        <f t="shared" si="48"/>
        <v>0</v>
      </c>
    </row>
    <row r="888" spans="5:8" s="432" customFormat="1" hidden="1" x14ac:dyDescent="0.35">
      <c r="E888" s="594">
        <f t="shared" si="46"/>
        <v>45108</v>
      </c>
      <c r="F888" s="316">
        <f t="shared" si="47"/>
        <v>0</v>
      </c>
      <c r="G888" s="316">
        <f t="shared" si="45"/>
        <v>0</v>
      </c>
      <c r="H888" s="432">
        <f t="shared" si="48"/>
        <v>0</v>
      </c>
    </row>
    <row r="889" spans="5:8" s="432" customFormat="1" hidden="1" x14ac:dyDescent="0.35">
      <c r="E889" s="594">
        <f t="shared" si="46"/>
        <v>45108</v>
      </c>
      <c r="F889" s="316">
        <f t="shared" si="47"/>
        <v>0</v>
      </c>
      <c r="G889" s="316">
        <f t="shared" si="45"/>
        <v>0</v>
      </c>
      <c r="H889" s="432">
        <f t="shared" si="48"/>
        <v>0</v>
      </c>
    </row>
    <row r="890" spans="5:8" s="432" customFormat="1" hidden="1" x14ac:dyDescent="0.35">
      <c r="E890" s="594">
        <f t="shared" si="46"/>
        <v>45108</v>
      </c>
      <c r="F890" s="316">
        <f t="shared" si="47"/>
        <v>0</v>
      </c>
      <c r="G890" s="316">
        <f t="shared" si="45"/>
        <v>0</v>
      </c>
      <c r="H890" s="432">
        <f t="shared" si="48"/>
        <v>0</v>
      </c>
    </row>
    <row r="891" spans="5:8" s="432" customFormat="1" hidden="1" x14ac:dyDescent="0.35">
      <c r="E891" s="594">
        <f t="shared" si="46"/>
        <v>45108</v>
      </c>
      <c r="F891" s="316">
        <f t="shared" si="47"/>
        <v>0</v>
      </c>
      <c r="G891" s="316">
        <f t="shared" si="45"/>
        <v>0</v>
      </c>
      <c r="H891" s="432">
        <f t="shared" si="48"/>
        <v>0</v>
      </c>
    </row>
    <row r="892" spans="5:8" s="432" customFormat="1" hidden="1" x14ac:dyDescent="0.35">
      <c r="E892" s="594">
        <f t="shared" si="46"/>
        <v>45108</v>
      </c>
      <c r="F892" s="316">
        <f t="shared" si="47"/>
        <v>0</v>
      </c>
      <c r="G892" s="316">
        <f t="shared" si="45"/>
        <v>0</v>
      </c>
      <c r="H892" s="432">
        <f t="shared" si="48"/>
        <v>0</v>
      </c>
    </row>
    <row r="893" spans="5:8" s="432" customFormat="1" hidden="1" x14ac:dyDescent="0.35">
      <c r="E893" s="594">
        <f t="shared" si="46"/>
        <v>45108</v>
      </c>
      <c r="F893" s="316">
        <f t="shared" si="47"/>
        <v>0</v>
      </c>
      <c r="G893" s="316">
        <f t="shared" si="45"/>
        <v>0</v>
      </c>
      <c r="H893" s="432">
        <f t="shared" si="48"/>
        <v>0</v>
      </c>
    </row>
    <row r="894" spans="5:8" s="432" customFormat="1" hidden="1" x14ac:dyDescent="0.35">
      <c r="E894" s="594">
        <f t="shared" si="46"/>
        <v>45108</v>
      </c>
      <c r="F894" s="316">
        <f t="shared" si="47"/>
        <v>0</v>
      </c>
      <c r="G894" s="316">
        <f t="shared" si="45"/>
        <v>0</v>
      </c>
      <c r="H894" s="432">
        <f t="shared" si="48"/>
        <v>0</v>
      </c>
    </row>
    <row r="895" spans="5:8" s="432" customFormat="1" hidden="1" x14ac:dyDescent="0.35">
      <c r="E895" s="594">
        <f t="shared" si="46"/>
        <v>45108</v>
      </c>
      <c r="F895" s="316">
        <f t="shared" si="47"/>
        <v>0</v>
      </c>
      <c r="G895" s="316">
        <f t="shared" si="45"/>
        <v>0</v>
      </c>
      <c r="H895" s="432">
        <f t="shared" si="48"/>
        <v>0</v>
      </c>
    </row>
    <row r="896" spans="5:8" s="432" customFormat="1" hidden="1" x14ac:dyDescent="0.35">
      <c r="E896" s="594">
        <f t="shared" si="46"/>
        <v>45108</v>
      </c>
      <c r="F896" s="316">
        <f t="shared" si="47"/>
        <v>0</v>
      </c>
      <c r="G896" s="316">
        <f t="shared" si="45"/>
        <v>0</v>
      </c>
      <c r="H896" s="432">
        <f t="shared" si="48"/>
        <v>0</v>
      </c>
    </row>
    <row r="897" spans="5:8" s="432" customFormat="1" hidden="1" x14ac:dyDescent="0.35">
      <c r="E897" s="594">
        <f t="shared" si="46"/>
        <v>45108</v>
      </c>
      <c r="F897" s="316">
        <f t="shared" si="47"/>
        <v>0</v>
      </c>
      <c r="G897" s="316">
        <f t="shared" si="45"/>
        <v>0</v>
      </c>
      <c r="H897" s="432">
        <f t="shared" si="48"/>
        <v>0</v>
      </c>
    </row>
    <row r="898" spans="5:8" s="432" customFormat="1" hidden="1" x14ac:dyDescent="0.35">
      <c r="E898" s="594">
        <f t="shared" si="46"/>
        <v>45108</v>
      </c>
      <c r="F898" s="316">
        <f t="shared" si="47"/>
        <v>0</v>
      </c>
      <c r="G898" s="316">
        <f t="shared" si="45"/>
        <v>0</v>
      </c>
      <c r="H898" s="432">
        <f t="shared" si="48"/>
        <v>0</v>
      </c>
    </row>
    <row r="899" spans="5:8" s="432" customFormat="1" hidden="1" x14ac:dyDescent="0.35">
      <c r="E899" s="594">
        <f t="shared" si="46"/>
        <v>45108</v>
      </c>
      <c r="F899" s="316">
        <f t="shared" si="47"/>
        <v>0</v>
      </c>
      <c r="G899" s="316">
        <f t="shared" si="45"/>
        <v>0</v>
      </c>
      <c r="H899" s="432">
        <f t="shared" si="48"/>
        <v>0</v>
      </c>
    </row>
    <row r="900" spans="5:8" s="432" customFormat="1" hidden="1" x14ac:dyDescent="0.35">
      <c r="E900" s="594">
        <f t="shared" si="46"/>
        <v>45108</v>
      </c>
      <c r="F900" s="316">
        <f t="shared" si="47"/>
        <v>0</v>
      </c>
      <c r="G900" s="316">
        <f t="shared" si="45"/>
        <v>0</v>
      </c>
      <c r="H900" s="432">
        <f t="shared" si="48"/>
        <v>0</v>
      </c>
    </row>
    <row r="901" spans="5:8" s="432" customFormat="1" hidden="1" x14ac:dyDescent="0.35">
      <c r="E901" s="594">
        <f t="shared" si="46"/>
        <v>45108</v>
      </c>
      <c r="F901" s="316">
        <f t="shared" si="47"/>
        <v>0</v>
      </c>
      <c r="G901" s="316">
        <f t="shared" si="45"/>
        <v>0</v>
      </c>
      <c r="H901" s="432">
        <f t="shared" si="48"/>
        <v>0</v>
      </c>
    </row>
    <row r="902" spans="5:8" s="432" customFormat="1" hidden="1" x14ac:dyDescent="0.35">
      <c r="E902" s="594">
        <f t="shared" si="46"/>
        <v>45108</v>
      </c>
      <c r="F902" s="316">
        <f t="shared" si="47"/>
        <v>0</v>
      </c>
      <c r="G902" s="316">
        <f t="shared" si="45"/>
        <v>0</v>
      </c>
      <c r="H902" s="432">
        <f t="shared" si="48"/>
        <v>0</v>
      </c>
    </row>
    <row r="903" spans="5:8" s="432" customFormat="1" hidden="1" x14ac:dyDescent="0.35">
      <c r="E903" s="594">
        <f t="shared" si="46"/>
        <v>45108</v>
      </c>
      <c r="F903" s="316">
        <f t="shared" si="47"/>
        <v>0</v>
      </c>
      <c r="G903" s="316">
        <f t="shared" si="45"/>
        <v>0</v>
      </c>
      <c r="H903" s="432">
        <f t="shared" si="48"/>
        <v>0</v>
      </c>
    </row>
    <row r="904" spans="5:8" s="432" customFormat="1" hidden="1" x14ac:dyDescent="0.35">
      <c r="E904" s="594">
        <f t="shared" si="46"/>
        <v>45108</v>
      </c>
      <c r="F904" s="316">
        <f t="shared" si="47"/>
        <v>0</v>
      </c>
      <c r="G904" s="316">
        <f t="shared" si="45"/>
        <v>0</v>
      </c>
      <c r="H904" s="432">
        <f t="shared" si="48"/>
        <v>0</v>
      </c>
    </row>
    <row r="905" spans="5:8" s="432" customFormat="1" hidden="1" x14ac:dyDescent="0.35">
      <c r="E905" s="594">
        <f t="shared" si="46"/>
        <v>45108</v>
      </c>
      <c r="F905" s="316">
        <f t="shared" si="47"/>
        <v>0</v>
      </c>
      <c r="G905" s="316">
        <f t="shared" si="45"/>
        <v>0</v>
      </c>
      <c r="H905" s="432">
        <f t="shared" si="48"/>
        <v>0</v>
      </c>
    </row>
    <row r="906" spans="5:8" s="432" customFormat="1" hidden="1" x14ac:dyDescent="0.35">
      <c r="E906" s="594">
        <f t="shared" si="46"/>
        <v>45108</v>
      </c>
      <c r="F906" s="316">
        <f t="shared" si="47"/>
        <v>0</v>
      </c>
      <c r="G906" s="316">
        <f t="shared" si="45"/>
        <v>0</v>
      </c>
      <c r="H906" s="432">
        <f t="shared" si="48"/>
        <v>0</v>
      </c>
    </row>
    <row r="907" spans="5:8" s="432" customFormat="1" hidden="1" x14ac:dyDescent="0.35">
      <c r="E907" s="594">
        <f t="shared" si="46"/>
        <v>45108</v>
      </c>
      <c r="F907" s="316">
        <f t="shared" si="47"/>
        <v>0</v>
      </c>
      <c r="G907" s="316">
        <f t="shared" si="45"/>
        <v>0</v>
      </c>
      <c r="H907" s="432">
        <f t="shared" si="48"/>
        <v>0</v>
      </c>
    </row>
    <row r="908" spans="5:8" s="432" customFormat="1" hidden="1" x14ac:dyDescent="0.35">
      <c r="E908" s="594">
        <f t="shared" si="46"/>
        <v>45108</v>
      </c>
      <c r="F908" s="316">
        <f t="shared" si="47"/>
        <v>0</v>
      </c>
      <c r="G908" s="316">
        <f t="shared" si="45"/>
        <v>0</v>
      </c>
      <c r="H908" s="432">
        <f t="shared" si="48"/>
        <v>0</v>
      </c>
    </row>
    <row r="909" spans="5:8" s="432" customFormat="1" hidden="1" x14ac:dyDescent="0.35">
      <c r="E909" s="594">
        <f t="shared" si="46"/>
        <v>45108</v>
      </c>
      <c r="F909" s="316">
        <f t="shared" si="47"/>
        <v>0</v>
      </c>
      <c r="G909" s="316">
        <f t="shared" si="45"/>
        <v>0</v>
      </c>
      <c r="H909" s="432">
        <f t="shared" si="48"/>
        <v>0</v>
      </c>
    </row>
    <row r="910" spans="5:8" s="432" customFormat="1" hidden="1" x14ac:dyDescent="0.35">
      <c r="E910" s="594">
        <f t="shared" si="46"/>
        <v>45108</v>
      </c>
      <c r="F910" s="316">
        <f t="shared" si="47"/>
        <v>0</v>
      </c>
      <c r="G910" s="316">
        <f t="shared" si="45"/>
        <v>0</v>
      </c>
      <c r="H910" s="432">
        <f t="shared" si="48"/>
        <v>0</v>
      </c>
    </row>
    <row r="911" spans="5:8" s="432" customFormat="1" hidden="1" x14ac:dyDescent="0.35">
      <c r="E911" s="594">
        <f t="shared" si="46"/>
        <v>45108</v>
      </c>
      <c r="F911" s="316">
        <f t="shared" si="47"/>
        <v>0</v>
      </c>
      <c r="G911" s="316">
        <f t="shared" si="45"/>
        <v>0</v>
      </c>
      <c r="H911" s="432">
        <f t="shared" si="48"/>
        <v>0</v>
      </c>
    </row>
    <row r="912" spans="5:8" s="432" customFormat="1" hidden="1" x14ac:dyDescent="0.35">
      <c r="E912" s="594">
        <f t="shared" si="46"/>
        <v>45108</v>
      </c>
      <c r="F912" s="316">
        <f t="shared" si="47"/>
        <v>0</v>
      </c>
      <c r="G912" s="316">
        <f t="shared" si="45"/>
        <v>0</v>
      </c>
      <c r="H912" s="432">
        <f t="shared" si="48"/>
        <v>0</v>
      </c>
    </row>
    <row r="913" spans="5:8" s="432" customFormat="1" hidden="1" x14ac:dyDescent="0.35">
      <c r="E913" s="594">
        <f t="shared" si="46"/>
        <v>45108</v>
      </c>
      <c r="F913" s="316">
        <f t="shared" si="47"/>
        <v>0</v>
      </c>
      <c r="G913" s="316">
        <f t="shared" si="45"/>
        <v>0</v>
      </c>
      <c r="H913" s="432">
        <f t="shared" si="48"/>
        <v>0</v>
      </c>
    </row>
    <row r="914" spans="5:8" s="432" customFormat="1" hidden="1" x14ac:dyDescent="0.35">
      <c r="E914" s="594">
        <f t="shared" si="46"/>
        <v>45108</v>
      </c>
      <c r="F914" s="316">
        <f t="shared" si="47"/>
        <v>0</v>
      </c>
      <c r="G914" s="316">
        <f t="shared" si="45"/>
        <v>0</v>
      </c>
      <c r="H914" s="432">
        <f t="shared" si="48"/>
        <v>0</v>
      </c>
    </row>
    <row r="915" spans="5:8" s="432" customFormat="1" hidden="1" x14ac:dyDescent="0.35">
      <c r="E915" s="594">
        <f t="shared" si="46"/>
        <v>45108</v>
      </c>
      <c r="F915" s="316">
        <f t="shared" si="47"/>
        <v>0</v>
      </c>
      <c r="G915" s="316">
        <f t="shared" si="45"/>
        <v>0</v>
      </c>
      <c r="H915" s="432">
        <f t="shared" si="48"/>
        <v>0</v>
      </c>
    </row>
    <row r="916" spans="5:8" s="432" customFormat="1" hidden="1" x14ac:dyDescent="0.35">
      <c r="E916" s="594">
        <f t="shared" si="46"/>
        <v>45108</v>
      </c>
      <c r="F916" s="316">
        <f t="shared" si="47"/>
        <v>0</v>
      </c>
      <c r="G916" s="316">
        <f t="shared" si="45"/>
        <v>0</v>
      </c>
      <c r="H916" s="432">
        <f t="shared" si="48"/>
        <v>0</v>
      </c>
    </row>
    <row r="917" spans="5:8" s="432" customFormat="1" hidden="1" x14ac:dyDescent="0.35">
      <c r="E917" s="594">
        <f t="shared" si="46"/>
        <v>45108</v>
      </c>
      <c r="F917" s="316">
        <f t="shared" si="47"/>
        <v>0</v>
      </c>
      <c r="G917" s="316">
        <f t="shared" si="45"/>
        <v>0</v>
      </c>
      <c r="H917" s="432">
        <f t="shared" si="48"/>
        <v>0</v>
      </c>
    </row>
    <row r="918" spans="5:8" s="432" customFormat="1" hidden="1" x14ac:dyDescent="0.35">
      <c r="E918" s="594">
        <f t="shared" si="46"/>
        <v>45108</v>
      </c>
      <c r="F918" s="316">
        <f t="shared" si="47"/>
        <v>0</v>
      </c>
      <c r="G918" s="316">
        <f t="shared" si="45"/>
        <v>0</v>
      </c>
      <c r="H918" s="432">
        <f t="shared" si="48"/>
        <v>0</v>
      </c>
    </row>
    <row r="919" spans="5:8" s="432" customFormat="1" hidden="1" x14ac:dyDescent="0.35">
      <c r="E919" s="594">
        <f t="shared" si="46"/>
        <v>45108</v>
      </c>
      <c r="F919" s="316">
        <f t="shared" si="47"/>
        <v>0</v>
      </c>
      <c r="G919" s="316">
        <f t="shared" si="45"/>
        <v>0</v>
      </c>
      <c r="H919" s="432">
        <f t="shared" si="48"/>
        <v>0</v>
      </c>
    </row>
    <row r="920" spans="5:8" s="432" customFormat="1" hidden="1" x14ac:dyDescent="0.35">
      <c r="E920" s="594">
        <f t="shared" si="46"/>
        <v>45108</v>
      </c>
      <c r="F920" s="316">
        <f t="shared" si="47"/>
        <v>0</v>
      </c>
      <c r="G920" s="316">
        <f t="shared" ref="G920:G983" si="49">ROUND(F920,-2)</f>
        <v>0</v>
      </c>
      <c r="H920" s="432">
        <f t="shared" si="48"/>
        <v>0</v>
      </c>
    </row>
    <row r="921" spans="5:8" s="432" customFormat="1" hidden="1" x14ac:dyDescent="0.35">
      <c r="E921" s="594">
        <f t="shared" ref="E921:E984" si="50">IF(E920&lt;$C$153,E920+1,$C$153)</f>
        <v>45108</v>
      </c>
      <c r="F921" s="316">
        <f t="shared" ref="F921:F984" si="51">IF(E920&lt;$C$153,F920+C$155,F920)</f>
        <v>0</v>
      </c>
      <c r="G921" s="316">
        <f t="shared" si="49"/>
        <v>0</v>
      </c>
      <c r="H921" s="432">
        <f t="shared" ref="H921:H984" si="52">IF(F921&gt;F920,(VLOOKUP(G921,$K$151:$O$157,MATCH($C$156,$K$151:$O$151,0),0)),0)</f>
        <v>0</v>
      </c>
    </row>
    <row r="922" spans="5:8" s="432" customFormat="1" hidden="1" x14ac:dyDescent="0.35">
      <c r="E922" s="594">
        <f t="shared" si="50"/>
        <v>45108</v>
      </c>
      <c r="F922" s="316">
        <f t="shared" si="51"/>
        <v>0</v>
      </c>
      <c r="G922" s="316">
        <f t="shared" si="49"/>
        <v>0</v>
      </c>
      <c r="H922" s="432">
        <f t="shared" si="52"/>
        <v>0</v>
      </c>
    </row>
    <row r="923" spans="5:8" s="432" customFormat="1" hidden="1" x14ac:dyDescent="0.35">
      <c r="E923" s="594">
        <f t="shared" si="50"/>
        <v>45108</v>
      </c>
      <c r="F923" s="316">
        <f t="shared" si="51"/>
        <v>0</v>
      </c>
      <c r="G923" s="316">
        <f t="shared" si="49"/>
        <v>0</v>
      </c>
      <c r="H923" s="432">
        <f t="shared" si="52"/>
        <v>0</v>
      </c>
    </row>
    <row r="924" spans="5:8" s="432" customFormat="1" hidden="1" x14ac:dyDescent="0.35">
      <c r="E924" s="594">
        <f t="shared" si="50"/>
        <v>45108</v>
      </c>
      <c r="F924" s="316">
        <f t="shared" si="51"/>
        <v>0</v>
      </c>
      <c r="G924" s="316">
        <f t="shared" si="49"/>
        <v>0</v>
      </c>
      <c r="H924" s="432">
        <f t="shared" si="52"/>
        <v>0</v>
      </c>
    </row>
    <row r="925" spans="5:8" s="432" customFormat="1" hidden="1" x14ac:dyDescent="0.35">
      <c r="E925" s="594">
        <f t="shared" si="50"/>
        <v>45108</v>
      </c>
      <c r="F925" s="316">
        <f t="shared" si="51"/>
        <v>0</v>
      </c>
      <c r="G925" s="316">
        <f t="shared" si="49"/>
        <v>0</v>
      </c>
      <c r="H925" s="432">
        <f t="shared" si="52"/>
        <v>0</v>
      </c>
    </row>
    <row r="926" spans="5:8" s="432" customFormat="1" hidden="1" x14ac:dyDescent="0.35">
      <c r="E926" s="594">
        <f t="shared" si="50"/>
        <v>45108</v>
      </c>
      <c r="F926" s="316">
        <f t="shared" si="51"/>
        <v>0</v>
      </c>
      <c r="G926" s="316">
        <f t="shared" si="49"/>
        <v>0</v>
      </c>
      <c r="H926" s="432">
        <f t="shared" si="52"/>
        <v>0</v>
      </c>
    </row>
    <row r="927" spans="5:8" s="432" customFormat="1" hidden="1" x14ac:dyDescent="0.35">
      <c r="E927" s="594">
        <f t="shared" si="50"/>
        <v>45108</v>
      </c>
      <c r="F927" s="316">
        <f t="shared" si="51"/>
        <v>0</v>
      </c>
      <c r="G927" s="316">
        <f t="shared" si="49"/>
        <v>0</v>
      </c>
      <c r="H927" s="432">
        <f t="shared" si="52"/>
        <v>0</v>
      </c>
    </row>
    <row r="928" spans="5:8" s="432" customFormat="1" hidden="1" x14ac:dyDescent="0.35">
      <c r="E928" s="594">
        <f t="shared" si="50"/>
        <v>45108</v>
      </c>
      <c r="F928" s="316">
        <f t="shared" si="51"/>
        <v>0</v>
      </c>
      <c r="G928" s="316">
        <f t="shared" si="49"/>
        <v>0</v>
      </c>
      <c r="H928" s="432">
        <f t="shared" si="52"/>
        <v>0</v>
      </c>
    </row>
    <row r="929" spans="5:8" s="432" customFormat="1" hidden="1" x14ac:dyDescent="0.35">
      <c r="E929" s="594">
        <f t="shared" si="50"/>
        <v>45108</v>
      </c>
      <c r="F929" s="316">
        <f t="shared" si="51"/>
        <v>0</v>
      </c>
      <c r="G929" s="316">
        <f t="shared" si="49"/>
        <v>0</v>
      </c>
      <c r="H929" s="432">
        <f t="shared" si="52"/>
        <v>0</v>
      </c>
    </row>
    <row r="930" spans="5:8" s="432" customFormat="1" hidden="1" x14ac:dyDescent="0.35">
      <c r="E930" s="594">
        <f t="shared" si="50"/>
        <v>45108</v>
      </c>
      <c r="F930" s="316">
        <f t="shared" si="51"/>
        <v>0</v>
      </c>
      <c r="G930" s="316">
        <f t="shared" si="49"/>
        <v>0</v>
      </c>
      <c r="H930" s="432">
        <f t="shared" si="52"/>
        <v>0</v>
      </c>
    </row>
    <row r="931" spans="5:8" s="432" customFormat="1" hidden="1" x14ac:dyDescent="0.35">
      <c r="E931" s="594">
        <f t="shared" si="50"/>
        <v>45108</v>
      </c>
      <c r="F931" s="316">
        <f t="shared" si="51"/>
        <v>0</v>
      </c>
      <c r="G931" s="316">
        <f t="shared" si="49"/>
        <v>0</v>
      </c>
      <c r="H931" s="432">
        <f t="shared" si="52"/>
        <v>0</v>
      </c>
    </row>
    <row r="932" spans="5:8" s="432" customFormat="1" hidden="1" x14ac:dyDescent="0.35">
      <c r="E932" s="594">
        <f t="shared" si="50"/>
        <v>45108</v>
      </c>
      <c r="F932" s="316">
        <f t="shared" si="51"/>
        <v>0</v>
      </c>
      <c r="G932" s="316">
        <f t="shared" si="49"/>
        <v>0</v>
      </c>
      <c r="H932" s="432">
        <f t="shared" si="52"/>
        <v>0</v>
      </c>
    </row>
    <row r="933" spans="5:8" s="432" customFormat="1" hidden="1" x14ac:dyDescent="0.35">
      <c r="E933" s="594">
        <f t="shared" si="50"/>
        <v>45108</v>
      </c>
      <c r="F933" s="316">
        <f t="shared" si="51"/>
        <v>0</v>
      </c>
      <c r="G933" s="316">
        <f t="shared" si="49"/>
        <v>0</v>
      </c>
      <c r="H933" s="432">
        <f t="shared" si="52"/>
        <v>0</v>
      </c>
    </row>
    <row r="934" spans="5:8" s="432" customFormat="1" hidden="1" x14ac:dyDescent="0.35">
      <c r="E934" s="594">
        <f t="shared" si="50"/>
        <v>45108</v>
      </c>
      <c r="F934" s="316">
        <f t="shared" si="51"/>
        <v>0</v>
      </c>
      <c r="G934" s="316">
        <f t="shared" si="49"/>
        <v>0</v>
      </c>
      <c r="H934" s="432">
        <f t="shared" si="52"/>
        <v>0</v>
      </c>
    </row>
    <row r="935" spans="5:8" s="432" customFormat="1" hidden="1" x14ac:dyDescent="0.35">
      <c r="E935" s="594">
        <f t="shared" si="50"/>
        <v>45108</v>
      </c>
      <c r="F935" s="316">
        <f t="shared" si="51"/>
        <v>0</v>
      </c>
      <c r="G935" s="316">
        <f t="shared" si="49"/>
        <v>0</v>
      </c>
      <c r="H935" s="432">
        <f t="shared" si="52"/>
        <v>0</v>
      </c>
    </row>
    <row r="936" spans="5:8" s="432" customFormat="1" hidden="1" x14ac:dyDescent="0.35">
      <c r="E936" s="594">
        <f t="shared" si="50"/>
        <v>45108</v>
      </c>
      <c r="F936" s="316">
        <f t="shared" si="51"/>
        <v>0</v>
      </c>
      <c r="G936" s="316">
        <f t="shared" si="49"/>
        <v>0</v>
      </c>
      <c r="H936" s="432">
        <f t="shared" si="52"/>
        <v>0</v>
      </c>
    </row>
    <row r="937" spans="5:8" s="432" customFormat="1" hidden="1" x14ac:dyDescent="0.35">
      <c r="E937" s="594">
        <f t="shared" si="50"/>
        <v>45108</v>
      </c>
      <c r="F937" s="316">
        <f t="shared" si="51"/>
        <v>0</v>
      </c>
      <c r="G937" s="316">
        <f t="shared" si="49"/>
        <v>0</v>
      </c>
      <c r="H937" s="432">
        <f t="shared" si="52"/>
        <v>0</v>
      </c>
    </row>
    <row r="938" spans="5:8" s="432" customFormat="1" hidden="1" x14ac:dyDescent="0.35">
      <c r="E938" s="594">
        <f t="shared" si="50"/>
        <v>45108</v>
      </c>
      <c r="F938" s="316">
        <f t="shared" si="51"/>
        <v>0</v>
      </c>
      <c r="G938" s="316">
        <f t="shared" si="49"/>
        <v>0</v>
      </c>
      <c r="H938" s="432">
        <f t="shared" si="52"/>
        <v>0</v>
      </c>
    </row>
    <row r="939" spans="5:8" s="432" customFormat="1" hidden="1" x14ac:dyDescent="0.35">
      <c r="E939" s="594">
        <f t="shared" si="50"/>
        <v>45108</v>
      </c>
      <c r="F939" s="316">
        <f t="shared" si="51"/>
        <v>0</v>
      </c>
      <c r="G939" s="316">
        <f t="shared" si="49"/>
        <v>0</v>
      </c>
      <c r="H939" s="432">
        <f t="shared" si="52"/>
        <v>0</v>
      </c>
    </row>
    <row r="940" spans="5:8" s="432" customFormat="1" hidden="1" x14ac:dyDescent="0.35">
      <c r="E940" s="594">
        <f t="shared" si="50"/>
        <v>45108</v>
      </c>
      <c r="F940" s="316">
        <f t="shared" si="51"/>
        <v>0</v>
      </c>
      <c r="G940" s="316">
        <f t="shared" si="49"/>
        <v>0</v>
      </c>
      <c r="H940" s="432">
        <f t="shared" si="52"/>
        <v>0</v>
      </c>
    </row>
    <row r="941" spans="5:8" s="432" customFormat="1" hidden="1" x14ac:dyDescent="0.35">
      <c r="E941" s="594">
        <f t="shared" si="50"/>
        <v>45108</v>
      </c>
      <c r="F941" s="316">
        <f t="shared" si="51"/>
        <v>0</v>
      </c>
      <c r="G941" s="316">
        <f t="shared" si="49"/>
        <v>0</v>
      </c>
      <c r="H941" s="432">
        <f t="shared" si="52"/>
        <v>0</v>
      </c>
    </row>
    <row r="942" spans="5:8" s="432" customFormat="1" hidden="1" x14ac:dyDescent="0.35">
      <c r="E942" s="594">
        <f t="shared" si="50"/>
        <v>45108</v>
      </c>
      <c r="F942" s="316">
        <f t="shared" si="51"/>
        <v>0</v>
      </c>
      <c r="G942" s="316">
        <f t="shared" si="49"/>
        <v>0</v>
      </c>
      <c r="H942" s="432">
        <f t="shared" si="52"/>
        <v>0</v>
      </c>
    </row>
    <row r="943" spans="5:8" s="432" customFormat="1" hidden="1" x14ac:dyDescent="0.35">
      <c r="E943" s="594">
        <f t="shared" si="50"/>
        <v>45108</v>
      </c>
      <c r="F943" s="316">
        <f t="shared" si="51"/>
        <v>0</v>
      </c>
      <c r="G943" s="316">
        <f t="shared" si="49"/>
        <v>0</v>
      </c>
      <c r="H943" s="432">
        <f t="shared" si="52"/>
        <v>0</v>
      </c>
    </row>
    <row r="944" spans="5:8" s="432" customFormat="1" hidden="1" x14ac:dyDescent="0.35">
      <c r="E944" s="594">
        <f t="shared" si="50"/>
        <v>45108</v>
      </c>
      <c r="F944" s="316">
        <f t="shared" si="51"/>
        <v>0</v>
      </c>
      <c r="G944" s="316">
        <f t="shared" si="49"/>
        <v>0</v>
      </c>
      <c r="H944" s="432">
        <f t="shared" si="52"/>
        <v>0</v>
      </c>
    </row>
    <row r="945" spans="5:8" s="432" customFormat="1" hidden="1" x14ac:dyDescent="0.35">
      <c r="E945" s="594">
        <f t="shared" si="50"/>
        <v>45108</v>
      </c>
      <c r="F945" s="316">
        <f t="shared" si="51"/>
        <v>0</v>
      </c>
      <c r="G945" s="316">
        <f t="shared" si="49"/>
        <v>0</v>
      </c>
      <c r="H945" s="432">
        <f t="shared" si="52"/>
        <v>0</v>
      </c>
    </row>
    <row r="946" spans="5:8" s="432" customFormat="1" hidden="1" x14ac:dyDescent="0.35">
      <c r="E946" s="594">
        <f t="shared" si="50"/>
        <v>45108</v>
      </c>
      <c r="F946" s="316">
        <f t="shared" si="51"/>
        <v>0</v>
      </c>
      <c r="G946" s="316">
        <f t="shared" si="49"/>
        <v>0</v>
      </c>
      <c r="H946" s="432">
        <f t="shared" si="52"/>
        <v>0</v>
      </c>
    </row>
    <row r="947" spans="5:8" s="432" customFormat="1" hidden="1" x14ac:dyDescent="0.35">
      <c r="E947" s="594">
        <f t="shared" si="50"/>
        <v>45108</v>
      </c>
      <c r="F947" s="316">
        <f t="shared" si="51"/>
        <v>0</v>
      </c>
      <c r="G947" s="316">
        <f t="shared" si="49"/>
        <v>0</v>
      </c>
      <c r="H947" s="432">
        <f t="shared" si="52"/>
        <v>0</v>
      </c>
    </row>
    <row r="948" spans="5:8" s="432" customFormat="1" hidden="1" x14ac:dyDescent="0.35">
      <c r="E948" s="594">
        <f t="shared" si="50"/>
        <v>45108</v>
      </c>
      <c r="F948" s="316">
        <f t="shared" si="51"/>
        <v>0</v>
      </c>
      <c r="G948" s="316">
        <f t="shared" si="49"/>
        <v>0</v>
      </c>
      <c r="H948" s="432">
        <f t="shared" si="52"/>
        <v>0</v>
      </c>
    </row>
    <row r="949" spans="5:8" s="432" customFormat="1" hidden="1" x14ac:dyDescent="0.35">
      <c r="E949" s="594">
        <f t="shared" si="50"/>
        <v>45108</v>
      </c>
      <c r="F949" s="316">
        <f t="shared" si="51"/>
        <v>0</v>
      </c>
      <c r="G949" s="316">
        <f t="shared" si="49"/>
        <v>0</v>
      </c>
      <c r="H949" s="432">
        <f t="shared" si="52"/>
        <v>0</v>
      </c>
    </row>
    <row r="950" spans="5:8" s="432" customFormat="1" hidden="1" x14ac:dyDescent="0.35">
      <c r="E950" s="594">
        <f t="shared" si="50"/>
        <v>45108</v>
      </c>
      <c r="F950" s="316">
        <f t="shared" si="51"/>
        <v>0</v>
      </c>
      <c r="G950" s="316">
        <f t="shared" si="49"/>
        <v>0</v>
      </c>
      <c r="H950" s="432">
        <f t="shared" si="52"/>
        <v>0</v>
      </c>
    </row>
    <row r="951" spans="5:8" s="432" customFormat="1" hidden="1" x14ac:dyDescent="0.35">
      <c r="E951" s="594">
        <f t="shared" si="50"/>
        <v>45108</v>
      </c>
      <c r="F951" s="316">
        <f t="shared" si="51"/>
        <v>0</v>
      </c>
      <c r="G951" s="316">
        <f t="shared" si="49"/>
        <v>0</v>
      </c>
      <c r="H951" s="432">
        <f t="shared" si="52"/>
        <v>0</v>
      </c>
    </row>
    <row r="952" spans="5:8" s="432" customFormat="1" hidden="1" x14ac:dyDescent="0.35">
      <c r="E952" s="594">
        <f t="shared" si="50"/>
        <v>45108</v>
      </c>
      <c r="F952" s="316">
        <f t="shared" si="51"/>
        <v>0</v>
      </c>
      <c r="G952" s="316">
        <f t="shared" si="49"/>
        <v>0</v>
      </c>
      <c r="H952" s="432">
        <f t="shared" si="52"/>
        <v>0</v>
      </c>
    </row>
    <row r="953" spans="5:8" s="432" customFormat="1" hidden="1" x14ac:dyDescent="0.35">
      <c r="E953" s="594">
        <f t="shared" si="50"/>
        <v>45108</v>
      </c>
      <c r="F953" s="316">
        <f t="shared" si="51"/>
        <v>0</v>
      </c>
      <c r="G953" s="316">
        <f t="shared" si="49"/>
        <v>0</v>
      </c>
      <c r="H953" s="432">
        <f t="shared" si="52"/>
        <v>0</v>
      </c>
    </row>
    <row r="954" spans="5:8" s="432" customFormat="1" hidden="1" x14ac:dyDescent="0.35">
      <c r="E954" s="594">
        <f t="shared" si="50"/>
        <v>45108</v>
      </c>
      <c r="F954" s="316">
        <f t="shared" si="51"/>
        <v>0</v>
      </c>
      <c r="G954" s="316">
        <f t="shared" si="49"/>
        <v>0</v>
      </c>
      <c r="H954" s="432">
        <f t="shared" si="52"/>
        <v>0</v>
      </c>
    </row>
    <row r="955" spans="5:8" s="432" customFormat="1" hidden="1" x14ac:dyDescent="0.35">
      <c r="E955" s="594">
        <f t="shared" si="50"/>
        <v>45108</v>
      </c>
      <c r="F955" s="316">
        <f t="shared" si="51"/>
        <v>0</v>
      </c>
      <c r="G955" s="316">
        <f t="shared" si="49"/>
        <v>0</v>
      </c>
      <c r="H955" s="432">
        <f t="shared" si="52"/>
        <v>0</v>
      </c>
    </row>
    <row r="956" spans="5:8" s="432" customFormat="1" hidden="1" x14ac:dyDescent="0.35">
      <c r="E956" s="594">
        <f t="shared" si="50"/>
        <v>45108</v>
      </c>
      <c r="F956" s="316">
        <f t="shared" si="51"/>
        <v>0</v>
      </c>
      <c r="G956" s="316">
        <f t="shared" si="49"/>
        <v>0</v>
      </c>
      <c r="H956" s="432">
        <f t="shared" si="52"/>
        <v>0</v>
      </c>
    </row>
    <row r="957" spans="5:8" s="432" customFormat="1" hidden="1" x14ac:dyDescent="0.35">
      <c r="E957" s="594">
        <f t="shared" si="50"/>
        <v>45108</v>
      </c>
      <c r="F957" s="316">
        <f t="shared" si="51"/>
        <v>0</v>
      </c>
      <c r="G957" s="316">
        <f t="shared" si="49"/>
        <v>0</v>
      </c>
      <c r="H957" s="432">
        <f t="shared" si="52"/>
        <v>0</v>
      </c>
    </row>
    <row r="958" spans="5:8" s="432" customFormat="1" hidden="1" x14ac:dyDescent="0.35">
      <c r="E958" s="594">
        <f t="shared" si="50"/>
        <v>45108</v>
      </c>
      <c r="F958" s="316">
        <f t="shared" si="51"/>
        <v>0</v>
      </c>
      <c r="G958" s="316">
        <f t="shared" si="49"/>
        <v>0</v>
      </c>
      <c r="H958" s="432">
        <f t="shared" si="52"/>
        <v>0</v>
      </c>
    </row>
    <row r="959" spans="5:8" s="432" customFormat="1" hidden="1" x14ac:dyDescent="0.35">
      <c r="E959" s="594">
        <f t="shared" si="50"/>
        <v>45108</v>
      </c>
      <c r="F959" s="316">
        <f t="shared" si="51"/>
        <v>0</v>
      </c>
      <c r="G959" s="316">
        <f t="shared" si="49"/>
        <v>0</v>
      </c>
      <c r="H959" s="432">
        <f t="shared" si="52"/>
        <v>0</v>
      </c>
    </row>
    <row r="960" spans="5:8" s="432" customFormat="1" hidden="1" x14ac:dyDescent="0.35">
      <c r="E960" s="594">
        <f t="shared" si="50"/>
        <v>45108</v>
      </c>
      <c r="F960" s="316">
        <f t="shared" si="51"/>
        <v>0</v>
      </c>
      <c r="G960" s="316">
        <f t="shared" si="49"/>
        <v>0</v>
      </c>
      <c r="H960" s="432">
        <f t="shared" si="52"/>
        <v>0</v>
      </c>
    </row>
    <row r="961" spans="5:8" s="432" customFormat="1" hidden="1" x14ac:dyDescent="0.35">
      <c r="E961" s="594">
        <f t="shared" si="50"/>
        <v>45108</v>
      </c>
      <c r="F961" s="316">
        <f t="shared" si="51"/>
        <v>0</v>
      </c>
      <c r="G961" s="316">
        <f t="shared" si="49"/>
        <v>0</v>
      </c>
      <c r="H961" s="432">
        <f t="shared" si="52"/>
        <v>0</v>
      </c>
    </row>
    <row r="962" spans="5:8" s="432" customFormat="1" hidden="1" x14ac:dyDescent="0.35">
      <c r="E962" s="594">
        <f t="shared" si="50"/>
        <v>45108</v>
      </c>
      <c r="F962" s="316">
        <f t="shared" si="51"/>
        <v>0</v>
      </c>
      <c r="G962" s="316">
        <f t="shared" si="49"/>
        <v>0</v>
      </c>
      <c r="H962" s="432">
        <f t="shared" si="52"/>
        <v>0</v>
      </c>
    </row>
    <row r="963" spans="5:8" s="432" customFormat="1" hidden="1" x14ac:dyDescent="0.35">
      <c r="E963" s="594">
        <f t="shared" si="50"/>
        <v>45108</v>
      </c>
      <c r="F963" s="316">
        <f t="shared" si="51"/>
        <v>0</v>
      </c>
      <c r="G963" s="316">
        <f t="shared" si="49"/>
        <v>0</v>
      </c>
      <c r="H963" s="432">
        <f t="shared" si="52"/>
        <v>0</v>
      </c>
    </row>
    <row r="964" spans="5:8" s="432" customFormat="1" hidden="1" x14ac:dyDescent="0.35">
      <c r="E964" s="594">
        <f t="shared" si="50"/>
        <v>45108</v>
      </c>
      <c r="F964" s="316">
        <f t="shared" si="51"/>
        <v>0</v>
      </c>
      <c r="G964" s="316">
        <f t="shared" si="49"/>
        <v>0</v>
      </c>
      <c r="H964" s="432">
        <f t="shared" si="52"/>
        <v>0</v>
      </c>
    </row>
    <row r="965" spans="5:8" s="432" customFormat="1" hidden="1" x14ac:dyDescent="0.35">
      <c r="E965" s="594">
        <f t="shared" si="50"/>
        <v>45108</v>
      </c>
      <c r="F965" s="316">
        <f t="shared" si="51"/>
        <v>0</v>
      </c>
      <c r="G965" s="316">
        <f t="shared" si="49"/>
        <v>0</v>
      </c>
      <c r="H965" s="432">
        <f t="shared" si="52"/>
        <v>0</v>
      </c>
    </row>
    <row r="966" spans="5:8" s="432" customFormat="1" hidden="1" x14ac:dyDescent="0.35">
      <c r="E966" s="594">
        <f t="shared" si="50"/>
        <v>45108</v>
      </c>
      <c r="F966" s="316">
        <f t="shared" si="51"/>
        <v>0</v>
      </c>
      <c r="G966" s="316">
        <f t="shared" si="49"/>
        <v>0</v>
      </c>
      <c r="H966" s="432">
        <f t="shared" si="52"/>
        <v>0</v>
      </c>
    </row>
    <row r="967" spans="5:8" s="432" customFormat="1" hidden="1" x14ac:dyDescent="0.35">
      <c r="E967" s="594">
        <f t="shared" si="50"/>
        <v>45108</v>
      </c>
      <c r="F967" s="316">
        <f t="shared" si="51"/>
        <v>0</v>
      </c>
      <c r="G967" s="316">
        <f t="shared" si="49"/>
        <v>0</v>
      </c>
      <c r="H967" s="432">
        <f t="shared" si="52"/>
        <v>0</v>
      </c>
    </row>
    <row r="968" spans="5:8" s="432" customFormat="1" hidden="1" x14ac:dyDescent="0.35">
      <c r="E968" s="594">
        <f t="shared" si="50"/>
        <v>45108</v>
      </c>
      <c r="F968" s="316">
        <f t="shared" si="51"/>
        <v>0</v>
      </c>
      <c r="G968" s="316">
        <f t="shared" si="49"/>
        <v>0</v>
      </c>
      <c r="H968" s="432">
        <f t="shared" si="52"/>
        <v>0</v>
      </c>
    </row>
    <row r="969" spans="5:8" s="432" customFormat="1" hidden="1" x14ac:dyDescent="0.35">
      <c r="E969" s="594">
        <f t="shared" si="50"/>
        <v>45108</v>
      </c>
      <c r="F969" s="316">
        <f t="shared" si="51"/>
        <v>0</v>
      </c>
      <c r="G969" s="316">
        <f t="shared" si="49"/>
        <v>0</v>
      </c>
      <c r="H969" s="432">
        <f t="shared" si="52"/>
        <v>0</v>
      </c>
    </row>
    <row r="970" spans="5:8" s="432" customFormat="1" hidden="1" x14ac:dyDescent="0.35">
      <c r="E970" s="594">
        <f t="shared" si="50"/>
        <v>45108</v>
      </c>
      <c r="F970" s="316">
        <f t="shared" si="51"/>
        <v>0</v>
      </c>
      <c r="G970" s="316">
        <f t="shared" si="49"/>
        <v>0</v>
      </c>
      <c r="H970" s="432">
        <f t="shared" si="52"/>
        <v>0</v>
      </c>
    </row>
    <row r="971" spans="5:8" s="432" customFormat="1" hidden="1" x14ac:dyDescent="0.35">
      <c r="E971" s="594">
        <f t="shared" si="50"/>
        <v>45108</v>
      </c>
      <c r="F971" s="316">
        <f t="shared" si="51"/>
        <v>0</v>
      </c>
      <c r="G971" s="316">
        <f t="shared" si="49"/>
        <v>0</v>
      </c>
      <c r="H971" s="432">
        <f t="shared" si="52"/>
        <v>0</v>
      </c>
    </row>
    <row r="972" spans="5:8" s="432" customFormat="1" hidden="1" x14ac:dyDescent="0.35">
      <c r="E972" s="594">
        <f t="shared" si="50"/>
        <v>45108</v>
      </c>
      <c r="F972" s="316">
        <f t="shared" si="51"/>
        <v>0</v>
      </c>
      <c r="G972" s="316">
        <f t="shared" si="49"/>
        <v>0</v>
      </c>
      <c r="H972" s="432">
        <f t="shared" si="52"/>
        <v>0</v>
      </c>
    </row>
    <row r="973" spans="5:8" s="432" customFormat="1" hidden="1" x14ac:dyDescent="0.35">
      <c r="E973" s="594">
        <f t="shared" si="50"/>
        <v>45108</v>
      </c>
      <c r="F973" s="316">
        <f t="shared" si="51"/>
        <v>0</v>
      </c>
      <c r="G973" s="316">
        <f t="shared" si="49"/>
        <v>0</v>
      </c>
      <c r="H973" s="432">
        <f t="shared" si="52"/>
        <v>0</v>
      </c>
    </row>
    <row r="974" spans="5:8" s="432" customFormat="1" hidden="1" x14ac:dyDescent="0.35">
      <c r="E974" s="594">
        <f t="shared" si="50"/>
        <v>45108</v>
      </c>
      <c r="F974" s="316">
        <f t="shared" si="51"/>
        <v>0</v>
      </c>
      <c r="G974" s="316">
        <f t="shared" si="49"/>
        <v>0</v>
      </c>
      <c r="H974" s="432">
        <f t="shared" si="52"/>
        <v>0</v>
      </c>
    </row>
    <row r="975" spans="5:8" s="432" customFormat="1" hidden="1" x14ac:dyDescent="0.35">
      <c r="E975" s="594">
        <f t="shared" si="50"/>
        <v>45108</v>
      </c>
      <c r="F975" s="316">
        <f t="shared" si="51"/>
        <v>0</v>
      </c>
      <c r="G975" s="316">
        <f t="shared" si="49"/>
        <v>0</v>
      </c>
      <c r="H975" s="432">
        <f t="shared" si="52"/>
        <v>0</v>
      </c>
    </row>
    <row r="976" spans="5:8" s="432" customFormat="1" hidden="1" x14ac:dyDescent="0.35">
      <c r="E976" s="594">
        <f t="shared" si="50"/>
        <v>45108</v>
      </c>
      <c r="F976" s="316">
        <f t="shared" si="51"/>
        <v>0</v>
      </c>
      <c r="G976" s="316">
        <f t="shared" si="49"/>
        <v>0</v>
      </c>
      <c r="H976" s="432">
        <f t="shared" si="52"/>
        <v>0</v>
      </c>
    </row>
    <row r="977" spans="5:8" s="432" customFormat="1" hidden="1" x14ac:dyDescent="0.35">
      <c r="E977" s="594">
        <f t="shared" si="50"/>
        <v>45108</v>
      </c>
      <c r="F977" s="316">
        <f t="shared" si="51"/>
        <v>0</v>
      </c>
      <c r="G977" s="316">
        <f t="shared" si="49"/>
        <v>0</v>
      </c>
      <c r="H977" s="432">
        <f t="shared" si="52"/>
        <v>0</v>
      </c>
    </row>
    <row r="978" spans="5:8" s="432" customFormat="1" hidden="1" x14ac:dyDescent="0.35">
      <c r="E978" s="594">
        <f t="shared" si="50"/>
        <v>45108</v>
      </c>
      <c r="F978" s="316">
        <f t="shared" si="51"/>
        <v>0</v>
      </c>
      <c r="G978" s="316">
        <f t="shared" si="49"/>
        <v>0</v>
      </c>
      <c r="H978" s="432">
        <f t="shared" si="52"/>
        <v>0</v>
      </c>
    </row>
    <row r="979" spans="5:8" s="432" customFormat="1" hidden="1" x14ac:dyDescent="0.35">
      <c r="E979" s="594">
        <f t="shared" si="50"/>
        <v>45108</v>
      </c>
      <c r="F979" s="316">
        <f t="shared" si="51"/>
        <v>0</v>
      </c>
      <c r="G979" s="316">
        <f t="shared" si="49"/>
        <v>0</v>
      </c>
      <c r="H979" s="432">
        <f t="shared" si="52"/>
        <v>0</v>
      </c>
    </row>
    <row r="980" spans="5:8" s="432" customFormat="1" hidden="1" x14ac:dyDescent="0.35">
      <c r="E980" s="594">
        <f t="shared" si="50"/>
        <v>45108</v>
      </c>
      <c r="F980" s="316">
        <f t="shared" si="51"/>
        <v>0</v>
      </c>
      <c r="G980" s="316">
        <f t="shared" si="49"/>
        <v>0</v>
      </c>
      <c r="H980" s="432">
        <f t="shared" si="52"/>
        <v>0</v>
      </c>
    </row>
    <row r="981" spans="5:8" s="432" customFormat="1" hidden="1" x14ac:dyDescent="0.35">
      <c r="E981" s="594">
        <f t="shared" si="50"/>
        <v>45108</v>
      </c>
      <c r="F981" s="316">
        <f t="shared" si="51"/>
        <v>0</v>
      </c>
      <c r="G981" s="316">
        <f t="shared" si="49"/>
        <v>0</v>
      </c>
      <c r="H981" s="432">
        <f t="shared" si="52"/>
        <v>0</v>
      </c>
    </row>
    <row r="982" spans="5:8" s="432" customFormat="1" hidden="1" x14ac:dyDescent="0.35">
      <c r="E982" s="594">
        <f t="shared" si="50"/>
        <v>45108</v>
      </c>
      <c r="F982" s="316">
        <f t="shared" si="51"/>
        <v>0</v>
      </c>
      <c r="G982" s="316">
        <f t="shared" si="49"/>
        <v>0</v>
      </c>
      <c r="H982" s="432">
        <f t="shared" si="52"/>
        <v>0</v>
      </c>
    </row>
    <row r="983" spans="5:8" s="432" customFormat="1" hidden="1" x14ac:dyDescent="0.35">
      <c r="E983" s="594">
        <f t="shared" si="50"/>
        <v>45108</v>
      </c>
      <c r="F983" s="316">
        <f t="shared" si="51"/>
        <v>0</v>
      </c>
      <c r="G983" s="316">
        <f t="shared" si="49"/>
        <v>0</v>
      </c>
      <c r="H983" s="432">
        <f t="shared" si="52"/>
        <v>0</v>
      </c>
    </row>
    <row r="984" spans="5:8" s="432" customFormat="1" hidden="1" x14ac:dyDescent="0.35">
      <c r="E984" s="594">
        <f t="shared" si="50"/>
        <v>45108</v>
      </c>
      <c r="F984" s="316">
        <f t="shared" si="51"/>
        <v>0</v>
      </c>
      <c r="G984" s="316">
        <f t="shared" ref="G984:G1047" si="53">ROUND(F984,-2)</f>
        <v>0</v>
      </c>
      <c r="H984" s="432">
        <f t="shared" si="52"/>
        <v>0</v>
      </c>
    </row>
    <row r="985" spans="5:8" s="432" customFormat="1" hidden="1" x14ac:dyDescent="0.35">
      <c r="E985" s="594">
        <f t="shared" ref="E985:E1048" si="54">IF(E984&lt;$C$153,E984+1,$C$153)</f>
        <v>45108</v>
      </c>
      <c r="F985" s="316">
        <f t="shared" ref="F985:F1048" si="55">IF(E984&lt;$C$153,F984+C$155,F984)</f>
        <v>0</v>
      </c>
      <c r="G985" s="316">
        <f t="shared" si="53"/>
        <v>0</v>
      </c>
      <c r="H985" s="432">
        <f t="shared" ref="H985:H1048" si="56">IF(F985&gt;F984,(VLOOKUP(G985,$K$151:$O$157,MATCH($C$156,$K$151:$O$151,0),0)),0)</f>
        <v>0</v>
      </c>
    </row>
    <row r="986" spans="5:8" s="432" customFormat="1" hidden="1" x14ac:dyDescent="0.35">
      <c r="E986" s="594">
        <f t="shared" si="54"/>
        <v>45108</v>
      </c>
      <c r="F986" s="316">
        <f t="shared" si="55"/>
        <v>0</v>
      </c>
      <c r="G986" s="316">
        <f t="shared" si="53"/>
        <v>0</v>
      </c>
      <c r="H986" s="432">
        <f t="shared" si="56"/>
        <v>0</v>
      </c>
    </row>
    <row r="987" spans="5:8" s="432" customFormat="1" hidden="1" x14ac:dyDescent="0.35">
      <c r="E987" s="594">
        <f t="shared" si="54"/>
        <v>45108</v>
      </c>
      <c r="F987" s="316">
        <f t="shared" si="55"/>
        <v>0</v>
      </c>
      <c r="G987" s="316">
        <f t="shared" si="53"/>
        <v>0</v>
      </c>
      <c r="H987" s="432">
        <f t="shared" si="56"/>
        <v>0</v>
      </c>
    </row>
    <row r="988" spans="5:8" s="432" customFormat="1" hidden="1" x14ac:dyDescent="0.35">
      <c r="E988" s="594">
        <f t="shared" si="54"/>
        <v>45108</v>
      </c>
      <c r="F988" s="316">
        <f t="shared" si="55"/>
        <v>0</v>
      </c>
      <c r="G988" s="316">
        <f t="shared" si="53"/>
        <v>0</v>
      </c>
      <c r="H988" s="432">
        <f t="shared" si="56"/>
        <v>0</v>
      </c>
    </row>
    <row r="989" spans="5:8" s="432" customFormat="1" hidden="1" x14ac:dyDescent="0.35">
      <c r="E989" s="594">
        <f t="shared" si="54"/>
        <v>45108</v>
      </c>
      <c r="F989" s="316">
        <f t="shared" si="55"/>
        <v>0</v>
      </c>
      <c r="G989" s="316">
        <f t="shared" si="53"/>
        <v>0</v>
      </c>
      <c r="H989" s="432">
        <f t="shared" si="56"/>
        <v>0</v>
      </c>
    </row>
    <row r="990" spans="5:8" s="432" customFormat="1" hidden="1" x14ac:dyDescent="0.35">
      <c r="E990" s="594">
        <f t="shared" si="54"/>
        <v>45108</v>
      </c>
      <c r="F990" s="316">
        <f t="shared" si="55"/>
        <v>0</v>
      </c>
      <c r="G990" s="316">
        <f t="shared" si="53"/>
        <v>0</v>
      </c>
      <c r="H990" s="432">
        <f t="shared" si="56"/>
        <v>0</v>
      </c>
    </row>
    <row r="991" spans="5:8" s="432" customFormat="1" hidden="1" x14ac:dyDescent="0.35">
      <c r="E991" s="594">
        <f t="shared" si="54"/>
        <v>45108</v>
      </c>
      <c r="F991" s="316">
        <f t="shared" si="55"/>
        <v>0</v>
      </c>
      <c r="G991" s="316">
        <f t="shared" si="53"/>
        <v>0</v>
      </c>
      <c r="H991" s="432">
        <f t="shared" si="56"/>
        <v>0</v>
      </c>
    </row>
    <row r="992" spans="5:8" s="432" customFormat="1" hidden="1" x14ac:dyDescent="0.35">
      <c r="E992" s="594">
        <f t="shared" si="54"/>
        <v>45108</v>
      </c>
      <c r="F992" s="316">
        <f t="shared" si="55"/>
        <v>0</v>
      </c>
      <c r="G992" s="316">
        <f t="shared" si="53"/>
        <v>0</v>
      </c>
      <c r="H992" s="432">
        <f t="shared" si="56"/>
        <v>0</v>
      </c>
    </row>
    <row r="993" spans="5:8" s="432" customFormat="1" hidden="1" x14ac:dyDescent="0.35">
      <c r="E993" s="594">
        <f t="shared" si="54"/>
        <v>45108</v>
      </c>
      <c r="F993" s="316">
        <f t="shared" si="55"/>
        <v>0</v>
      </c>
      <c r="G993" s="316">
        <f t="shared" si="53"/>
        <v>0</v>
      </c>
      <c r="H993" s="432">
        <f t="shared" si="56"/>
        <v>0</v>
      </c>
    </row>
    <row r="994" spans="5:8" s="432" customFormat="1" hidden="1" x14ac:dyDescent="0.35">
      <c r="E994" s="594">
        <f t="shared" si="54"/>
        <v>45108</v>
      </c>
      <c r="F994" s="316">
        <f t="shared" si="55"/>
        <v>0</v>
      </c>
      <c r="G994" s="316">
        <f t="shared" si="53"/>
        <v>0</v>
      </c>
      <c r="H994" s="432">
        <f t="shared" si="56"/>
        <v>0</v>
      </c>
    </row>
    <row r="995" spans="5:8" s="432" customFormat="1" hidden="1" x14ac:dyDescent="0.35">
      <c r="E995" s="594">
        <f t="shared" si="54"/>
        <v>45108</v>
      </c>
      <c r="F995" s="316">
        <f t="shared" si="55"/>
        <v>0</v>
      </c>
      <c r="G995" s="316">
        <f t="shared" si="53"/>
        <v>0</v>
      </c>
      <c r="H995" s="432">
        <f t="shared" si="56"/>
        <v>0</v>
      </c>
    </row>
    <row r="996" spans="5:8" s="432" customFormat="1" hidden="1" x14ac:dyDescent="0.35">
      <c r="E996" s="594">
        <f t="shared" si="54"/>
        <v>45108</v>
      </c>
      <c r="F996" s="316">
        <f t="shared" si="55"/>
        <v>0</v>
      </c>
      <c r="G996" s="316">
        <f t="shared" si="53"/>
        <v>0</v>
      </c>
      <c r="H996" s="432">
        <f t="shared" si="56"/>
        <v>0</v>
      </c>
    </row>
    <row r="997" spans="5:8" s="432" customFormat="1" hidden="1" x14ac:dyDescent="0.35">
      <c r="E997" s="594">
        <f t="shared" si="54"/>
        <v>45108</v>
      </c>
      <c r="F997" s="316">
        <f t="shared" si="55"/>
        <v>0</v>
      </c>
      <c r="G997" s="316">
        <f t="shared" si="53"/>
        <v>0</v>
      </c>
      <c r="H997" s="432">
        <f t="shared" si="56"/>
        <v>0</v>
      </c>
    </row>
    <row r="998" spans="5:8" s="432" customFormat="1" hidden="1" x14ac:dyDescent="0.35">
      <c r="E998" s="594">
        <f t="shared" si="54"/>
        <v>45108</v>
      </c>
      <c r="F998" s="316">
        <f t="shared" si="55"/>
        <v>0</v>
      </c>
      <c r="G998" s="316">
        <f t="shared" si="53"/>
        <v>0</v>
      </c>
      <c r="H998" s="432">
        <f t="shared" si="56"/>
        <v>0</v>
      </c>
    </row>
    <row r="999" spans="5:8" s="432" customFormat="1" hidden="1" x14ac:dyDescent="0.35">
      <c r="E999" s="594">
        <f t="shared" si="54"/>
        <v>45108</v>
      </c>
      <c r="F999" s="316">
        <f t="shared" si="55"/>
        <v>0</v>
      </c>
      <c r="G999" s="316">
        <f t="shared" si="53"/>
        <v>0</v>
      </c>
      <c r="H999" s="432">
        <f t="shared" si="56"/>
        <v>0</v>
      </c>
    </row>
    <row r="1000" spans="5:8" s="432" customFormat="1" hidden="1" x14ac:dyDescent="0.35">
      <c r="E1000" s="594">
        <f t="shared" si="54"/>
        <v>45108</v>
      </c>
      <c r="F1000" s="316">
        <f t="shared" si="55"/>
        <v>0</v>
      </c>
      <c r="G1000" s="316">
        <f t="shared" si="53"/>
        <v>0</v>
      </c>
      <c r="H1000" s="432">
        <f t="shared" si="56"/>
        <v>0</v>
      </c>
    </row>
    <row r="1001" spans="5:8" s="432" customFormat="1" hidden="1" x14ac:dyDescent="0.35">
      <c r="E1001" s="594">
        <f t="shared" si="54"/>
        <v>45108</v>
      </c>
      <c r="F1001" s="316">
        <f t="shared" si="55"/>
        <v>0</v>
      </c>
      <c r="G1001" s="316">
        <f t="shared" si="53"/>
        <v>0</v>
      </c>
      <c r="H1001" s="432">
        <f t="shared" si="56"/>
        <v>0</v>
      </c>
    </row>
    <row r="1002" spans="5:8" s="432" customFormat="1" hidden="1" x14ac:dyDescent="0.35">
      <c r="E1002" s="594">
        <f t="shared" si="54"/>
        <v>45108</v>
      </c>
      <c r="F1002" s="316">
        <f t="shared" si="55"/>
        <v>0</v>
      </c>
      <c r="G1002" s="316">
        <f t="shared" si="53"/>
        <v>0</v>
      </c>
      <c r="H1002" s="432">
        <f t="shared" si="56"/>
        <v>0</v>
      </c>
    </row>
    <row r="1003" spans="5:8" s="432" customFormat="1" hidden="1" x14ac:dyDescent="0.35">
      <c r="E1003" s="594">
        <f t="shared" si="54"/>
        <v>45108</v>
      </c>
      <c r="F1003" s="316">
        <f t="shared" si="55"/>
        <v>0</v>
      </c>
      <c r="G1003" s="316">
        <f t="shared" si="53"/>
        <v>0</v>
      </c>
      <c r="H1003" s="432">
        <f t="shared" si="56"/>
        <v>0</v>
      </c>
    </row>
    <row r="1004" spans="5:8" s="432" customFormat="1" hidden="1" x14ac:dyDescent="0.35">
      <c r="E1004" s="594">
        <f t="shared" si="54"/>
        <v>45108</v>
      </c>
      <c r="F1004" s="316">
        <f t="shared" si="55"/>
        <v>0</v>
      </c>
      <c r="G1004" s="316">
        <f t="shared" si="53"/>
        <v>0</v>
      </c>
      <c r="H1004" s="432">
        <f t="shared" si="56"/>
        <v>0</v>
      </c>
    </row>
    <row r="1005" spans="5:8" s="432" customFormat="1" hidden="1" x14ac:dyDescent="0.35">
      <c r="E1005" s="594">
        <f t="shared" si="54"/>
        <v>45108</v>
      </c>
      <c r="F1005" s="316">
        <f t="shared" si="55"/>
        <v>0</v>
      </c>
      <c r="G1005" s="316">
        <f t="shared" si="53"/>
        <v>0</v>
      </c>
      <c r="H1005" s="432">
        <f t="shared" si="56"/>
        <v>0</v>
      </c>
    </row>
    <row r="1006" spans="5:8" s="432" customFormat="1" hidden="1" x14ac:dyDescent="0.35">
      <c r="E1006" s="594">
        <f t="shared" si="54"/>
        <v>45108</v>
      </c>
      <c r="F1006" s="316">
        <f t="shared" si="55"/>
        <v>0</v>
      </c>
      <c r="G1006" s="316">
        <f t="shared" si="53"/>
        <v>0</v>
      </c>
      <c r="H1006" s="432">
        <f t="shared" si="56"/>
        <v>0</v>
      </c>
    </row>
    <row r="1007" spans="5:8" s="432" customFormat="1" hidden="1" x14ac:dyDescent="0.35">
      <c r="E1007" s="594">
        <f t="shared" si="54"/>
        <v>45108</v>
      </c>
      <c r="F1007" s="316">
        <f t="shared" si="55"/>
        <v>0</v>
      </c>
      <c r="G1007" s="316">
        <f t="shared" si="53"/>
        <v>0</v>
      </c>
      <c r="H1007" s="432">
        <f t="shared" si="56"/>
        <v>0</v>
      </c>
    </row>
    <row r="1008" spans="5:8" s="432" customFormat="1" hidden="1" x14ac:dyDescent="0.35">
      <c r="E1008" s="594">
        <f t="shared" si="54"/>
        <v>45108</v>
      </c>
      <c r="F1008" s="316">
        <f t="shared" si="55"/>
        <v>0</v>
      </c>
      <c r="G1008" s="316">
        <f t="shared" si="53"/>
        <v>0</v>
      </c>
      <c r="H1008" s="432">
        <f t="shared" si="56"/>
        <v>0</v>
      </c>
    </row>
    <row r="1009" spans="5:8" s="432" customFormat="1" hidden="1" x14ac:dyDescent="0.35">
      <c r="E1009" s="594">
        <f t="shared" si="54"/>
        <v>45108</v>
      </c>
      <c r="F1009" s="316">
        <f t="shared" si="55"/>
        <v>0</v>
      </c>
      <c r="G1009" s="316">
        <f t="shared" si="53"/>
        <v>0</v>
      </c>
      <c r="H1009" s="432">
        <f t="shared" si="56"/>
        <v>0</v>
      </c>
    </row>
    <row r="1010" spans="5:8" s="432" customFormat="1" hidden="1" x14ac:dyDescent="0.35">
      <c r="E1010" s="594">
        <f t="shared" si="54"/>
        <v>45108</v>
      </c>
      <c r="F1010" s="316">
        <f t="shared" si="55"/>
        <v>0</v>
      </c>
      <c r="G1010" s="316">
        <f t="shared" si="53"/>
        <v>0</v>
      </c>
      <c r="H1010" s="432">
        <f t="shared" si="56"/>
        <v>0</v>
      </c>
    </row>
    <row r="1011" spans="5:8" s="432" customFormat="1" hidden="1" x14ac:dyDescent="0.35">
      <c r="E1011" s="594">
        <f t="shared" si="54"/>
        <v>45108</v>
      </c>
      <c r="F1011" s="316">
        <f t="shared" si="55"/>
        <v>0</v>
      </c>
      <c r="G1011" s="316">
        <f t="shared" si="53"/>
        <v>0</v>
      </c>
      <c r="H1011" s="432">
        <f t="shared" si="56"/>
        <v>0</v>
      </c>
    </row>
    <row r="1012" spans="5:8" s="432" customFormat="1" hidden="1" x14ac:dyDescent="0.35">
      <c r="E1012" s="594">
        <f t="shared" si="54"/>
        <v>45108</v>
      </c>
      <c r="F1012" s="316">
        <f t="shared" si="55"/>
        <v>0</v>
      </c>
      <c r="G1012" s="316">
        <f t="shared" si="53"/>
        <v>0</v>
      </c>
      <c r="H1012" s="432">
        <f t="shared" si="56"/>
        <v>0</v>
      </c>
    </row>
    <row r="1013" spans="5:8" s="432" customFormat="1" hidden="1" x14ac:dyDescent="0.35">
      <c r="E1013" s="594">
        <f t="shared" si="54"/>
        <v>45108</v>
      </c>
      <c r="F1013" s="316">
        <f t="shared" si="55"/>
        <v>0</v>
      </c>
      <c r="G1013" s="316">
        <f t="shared" si="53"/>
        <v>0</v>
      </c>
      <c r="H1013" s="432">
        <f t="shared" si="56"/>
        <v>0</v>
      </c>
    </row>
    <row r="1014" spans="5:8" s="432" customFormat="1" hidden="1" x14ac:dyDescent="0.35">
      <c r="E1014" s="594">
        <f t="shared" si="54"/>
        <v>45108</v>
      </c>
      <c r="F1014" s="316">
        <f t="shared" si="55"/>
        <v>0</v>
      </c>
      <c r="G1014" s="316">
        <f t="shared" si="53"/>
        <v>0</v>
      </c>
      <c r="H1014" s="432">
        <f t="shared" si="56"/>
        <v>0</v>
      </c>
    </row>
    <row r="1015" spans="5:8" s="432" customFormat="1" hidden="1" x14ac:dyDescent="0.35">
      <c r="E1015" s="594">
        <f t="shared" si="54"/>
        <v>45108</v>
      </c>
      <c r="F1015" s="316">
        <f t="shared" si="55"/>
        <v>0</v>
      </c>
      <c r="G1015" s="316">
        <f t="shared" si="53"/>
        <v>0</v>
      </c>
      <c r="H1015" s="432">
        <f t="shared" si="56"/>
        <v>0</v>
      </c>
    </row>
    <row r="1016" spans="5:8" s="432" customFormat="1" hidden="1" x14ac:dyDescent="0.35">
      <c r="E1016" s="594">
        <f t="shared" si="54"/>
        <v>45108</v>
      </c>
      <c r="F1016" s="316">
        <f t="shared" si="55"/>
        <v>0</v>
      </c>
      <c r="G1016" s="316">
        <f t="shared" si="53"/>
        <v>0</v>
      </c>
      <c r="H1016" s="432">
        <f t="shared" si="56"/>
        <v>0</v>
      </c>
    </row>
    <row r="1017" spans="5:8" s="432" customFormat="1" hidden="1" x14ac:dyDescent="0.35">
      <c r="E1017" s="594">
        <f t="shared" si="54"/>
        <v>45108</v>
      </c>
      <c r="F1017" s="316">
        <f t="shared" si="55"/>
        <v>0</v>
      </c>
      <c r="G1017" s="316">
        <f t="shared" si="53"/>
        <v>0</v>
      </c>
      <c r="H1017" s="432">
        <f t="shared" si="56"/>
        <v>0</v>
      </c>
    </row>
    <row r="1018" spans="5:8" s="432" customFormat="1" hidden="1" x14ac:dyDescent="0.35">
      <c r="E1018" s="594">
        <f t="shared" si="54"/>
        <v>45108</v>
      </c>
      <c r="F1018" s="316">
        <f t="shared" si="55"/>
        <v>0</v>
      </c>
      <c r="G1018" s="316">
        <f t="shared" si="53"/>
        <v>0</v>
      </c>
      <c r="H1018" s="432">
        <f t="shared" si="56"/>
        <v>0</v>
      </c>
    </row>
    <row r="1019" spans="5:8" s="432" customFormat="1" hidden="1" x14ac:dyDescent="0.35">
      <c r="E1019" s="594">
        <f t="shared" si="54"/>
        <v>45108</v>
      </c>
      <c r="F1019" s="316">
        <f t="shared" si="55"/>
        <v>0</v>
      </c>
      <c r="G1019" s="316">
        <f t="shared" si="53"/>
        <v>0</v>
      </c>
      <c r="H1019" s="432">
        <f t="shared" si="56"/>
        <v>0</v>
      </c>
    </row>
    <row r="1020" spans="5:8" s="432" customFormat="1" hidden="1" x14ac:dyDescent="0.35">
      <c r="E1020" s="594">
        <f t="shared" si="54"/>
        <v>45108</v>
      </c>
      <c r="F1020" s="316">
        <f t="shared" si="55"/>
        <v>0</v>
      </c>
      <c r="G1020" s="316">
        <f t="shared" si="53"/>
        <v>0</v>
      </c>
      <c r="H1020" s="432">
        <f t="shared" si="56"/>
        <v>0</v>
      </c>
    </row>
    <row r="1021" spans="5:8" s="432" customFormat="1" hidden="1" x14ac:dyDescent="0.35">
      <c r="E1021" s="594">
        <f t="shared" si="54"/>
        <v>45108</v>
      </c>
      <c r="F1021" s="316">
        <f t="shared" si="55"/>
        <v>0</v>
      </c>
      <c r="G1021" s="316">
        <f t="shared" si="53"/>
        <v>0</v>
      </c>
      <c r="H1021" s="432">
        <f t="shared" si="56"/>
        <v>0</v>
      </c>
    </row>
    <row r="1022" spans="5:8" s="432" customFormat="1" hidden="1" x14ac:dyDescent="0.35">
      <c r="E1022" s="594">
        <f t="shared" si="54"/>
        <v>45108</v>
      </c>
      <c r="F1022" s="316">
        <f t="shared" si="55"/>
        <v>0</v>
      </c>
      <c r="G1022" s="316">
        <f t="shared" si="53"/>
        <v>0</v>
      </c>
      <c r="H1022" s="432">
        <f t="shared" si="56"/>
        <v>0</v>
      </c>
    </row>
    <row r="1023" spans="5:8" s="432" customFormat="1" hidden="1" x14ac:dyDescent="0.35">
      <c r="E1023" s="594">
        <f t="shared" si="54"/>
        <v>45108</v>
      </c>
      <c r="F1023" s="316">
        <f t="shared" si="55"/>
        <v>0</v>
      </c>
      <c r="G1023" s="316">
        <f t="shared" si="53"/>
        <v>0</v>
      </c>
      <c r="H1023" s="432">
        <f t="shared" si="56"/>
        <v>0</v>
      </c>
    </row>
    <row r="1024" spans="5:8" s="432" customFormat="1" hidden="1" x14ac:dyDescent="0.35">
      <c r="E1024" s="594">
        <f t="shared" si="54"/>
        <v>45108</v>
      </c>
      <c r="F1024" s="316">
        <f t="shared" si="55"/>
        <v>0</v>
      </c>
      <c r="G1024" s="316">
        <f t="shared" si="53"/>
        <v>0</v>
      </c>
      <c r="H1024" s="432">
        <f t="shared" si="56"/>
        <v>0</v>
      </c>
    </row>
    <row r="1025" spans="5:8" s="432" customFormat="1" hidden="1" x14ac:dyDescent="0.35">
      <c r="E1025" s="594">
        <f t="shared" si="54"/>
        <v>45108</v>
      </c>
      <c r="F1025" s="316">
        <f t="shared" si="55"/>
        <v>0</v>
      </c>
      <c r="G1025" s="316">
        <f t="shared" si="53"/>
        <v>0</v>
      </c>
      <c r="H1025" s="432">
        <f t="shared" si="56"/>
        <v>0</v>
      </c>
    </row>
    <row r="1026" spans="5:8" s="432" customFormat="1" hidden="1" x14ac:dyDescent="0.35">
      <c r="E1026" s="594">
        <f t="shared" si="54"/>
        <v>45108</v>
      </c>
      <c r="F1026" s="316">
        <f t="shared" si="55"/>
        <v>0</v>
      </c>
      <c r="G1026" s="316">
        <f t="shared" si="53"/>
        <v>0</v>
      </c>
      <c r="H1026" s="432">
        <f t="shared" si="56"/>
        <v>0</v>
      </c>
    </row>
    <row r="1027" spans="5:8" s="432" customFormat="1" hidden="1" x14ac:dyDescent="0.35">
      <c r="E1027" s="594">
        <f t="shared" si="54"/>
        <v>45108</v>
      </c>
      <c r="F1027" s="316">
        <f t="shared" si="55"/>
        <v>0</v>
      </c>
      <c r="G1027" s="316">
        <f t="shared" si="53"/>
        <v>0</v>
      </c>
      <c r="H1027" s="432">
        <f t="shared" si="56"/>
        <v>0</v>
      </c>
    </row>
    <row r="1028" spans="5:8" s="432" customFormat="1" hidden="1" x14ac:dyDescent="0.35">
      <c r="E1028" s="594">
        <f t="shared" si="54"/>
        <v>45108</v>
      </c>
      <c r="F1028" s="316">
        <f t="shared" si="55"/>
        <v>0</v>
      </c>
      <c r="G1028" s="316">
        <f t="shared" si="53"/>
        <v>0</v>
      </c>
      <c r="H1028" s="432">
        <f t="shared" si="56"/>
        <v>0</v>
      </c>
    </row>
    <row r="1029" spans="5:8" s="432" customFormat="1" hidden="1" x14ac:dyDescent="0.35">
      <c r="E1029" s="594">
        <f t="shared" si="54"/>
        <v>45108</v>
      </c>
      <c r="F1029" s="316">
        <f t="shared" si="55"/>
        <v>0</v>
      </c>
      <c r="G1029" s="316">
        <f t="shared" si="53"/>
        <v>0</v>
      </c>
      <c r="H1029" s="432">
        <f t="shared" si="56"/>
        <v>0</v>
      </c>
    </row>
    <row r="1030" spans="5:8" s="432" customFormat="1" hidden="1" x14ac:dyDescent="0.35">
      <c r="E1030" s="594">
        <f t="shared" si="54"/>
        <v>45108</v>
      </c>
      <c r="F1030" s="316">
        <f t="shared" si="55"/>
        <v>0</v>
      </c>
      <c r="G1030" s="316">
        <f t="shared" si="53"/>
        <v>0</v>
      </c>
      <c r="H1030" s="432">
        <f t="shared" si="56"/>
        <v>0</v>
      </c>
    </row>
    <row r="1031" spans="5:8" s="432" customFormat="1" hidden="1" x14ac:dyDescent="0.35">
      <c r="E1031" s="594">
        <f t="shared" si="54"/>
        <v>45108</v>
      </c>
      <c r="F1031" s="316">
        <f t="shared" si="55"/>
        <v>0</v>
      </c>
      <c r="G1031" s="316">
        <f t="shared" si="53"/>
        <v>0</v>
      </c>
      <c r="H1031" s="432">
        <f t="shared" si="56"/>
        <v>0</v>
      </c>
    </row>
    <row r="1032" spans="5:8" s="432" customFormat="1" hidden="1" x14ac:dyDescent="0.35">
      <c r="E1032" s="594">
        <f t="shared" si="54"/>
        <v>45108</v>
      </c>
      <c r="F1032" s="316">
        <f t="shared" si="55"/>
        <v>0</v>
      </c>
      <c r="G1032" s="316">
        <f t="shared" si="53"/>
        <v>0</v>
      </c>
      <c r="H1032" s="432">
        <f t="shared" si="56"/>
        <v>0</v>
      </c>
    </row>
    <row r="1033" spans="5:8" s="432" customFormat="1" hidden="1" x14ac:dyDescent="0.35">
      <c r="E1033" s="594">
        <f t="shared" si="54"/>
        <v>45108</v>
      </c>
      <c r="F1033" s="316">
        <f t="shared" si="55"/>
        <v>0</v>
      </c>
      <c r="G1033" s="316">
        <f t="shared" si="53"/>
        <v>0</v>
      </c>
      <c r="H1033" s="432">
        <f t="shared" si="56"/>
        <v>0</v>
      </c>
    </row>
    <row r="1034" spans="5:8" s="432" customFormat="1" hidden="1" x14ac:dyDescent="0.35">
      <c r="E1034" s="594">
        <f t="shared" si="54"/>
        <v>45108</v>
      </c>
      <c r="F1034" s="316">
        <f t="shared" si="55"/>
        <v>0</v>
      </c>
      <c r="G1034" s="316">
        <f t="shared" si="53"/>
        <v>0</v>
      </c>
      <c r="H1034" s="432">
        <f t="shared" si="56"/>
        <v>0</v>
      </c>
    </row>
    <row r="1035" spans="5:8" s="432" customFormat="1" hidden="1" x14ac:dyDescent="0.35">
      <c r="E1035" s="594">
        <f t="shared" si="54"/>
        <v>45108</v>
      </c>
      <c r="F1035" s="316">
        <f t="shared" si="55"/>
        <v>0</v>
      </c>
      <c r="G1035" s="316">
        <f t="shared" si="53"/>
        <v>0</v>
      </c>
      <c r="H1035" s="432">
        <f t="shared" si="56"/>
        <v>0</v>
      </c>
    </row>
    <row r="1036" spans="5:8" s="432" customFormat="1" hidden="1" x14ac:dyDescent="0.35">
      <c r="E1036" s="594">
        <f t="shared" si="54"/>
        <v>45108</v>
      </c>
      <c r="F1036" s="316">
        <f t="shared" si="55"/>
        <v>0</v>
      </c>
      <c r="G1036" s="316">
        <f t="shared" si="53"/>
        <v>0</v>
      </c>
      <c r="H1036" s="432">
        <f t="shared" si="56"/>
        <v>0</v>
      </c>
    </row>
    <row r="1037" spans="5:8" s="432" customFormat="1" hidden="1" x14ac:dyDescent="0.35">
      <c r="E1037" s="594">
        <f t="shared" si="54"/>
        <v>45108</v>
      </c>
      <c r="F1037" s="316">
        <f t="shared" si="55"/>
        <v>0</v>
      </c>
      <c r="G1037" s="316">
        <f t="shared" si="53"/>
        <v>0</v>
      </c>
      <c r="H1037" s="432">
        <f t="shared" si="56"/>
        <v>0</v>
      </c>
    </row>
    <row r="1038" spans="5:8" s="432" customFormat="1" hidden="1" x14ac:dyDescent="0.35">
      <c r="E1038" s="594">
        <f t="shared" si="54"/>
        <v>45108</v>
      </c>
      <c r="F1038" s="316">
        <f t="shared" si="55"/>
        <v>0</v>
      </c>
      <c r="G1038" s="316">
        <f t="shared" si="53"/>
        <v>0</v>
      </c>
      <c r="H1038" s="432">
        <f t="shared" si="56"/>
        <v>0</v>
      </c>
    </row>
    <row r="1039" spans="5:8" s="432" customFormat="1" hidden="1" x14ac:dyDescent="0.35">
      <c r="E1039" s="594">
        <f t="shared" si="54"/>
        <v>45108</v>
      </c>
      <c r="F1039" s="316">
        <f t="shared" si="55"/>
        <v>0</v>
      </c>
      <c r="G1039" s="316">
        <f t="shared" si="53"/>
        <v>0</v>
      </c>
      <c r="H1039" s="432">
        <f t="shared" si="56"/>
        <v>0</v>
      </c>
    </row>
    <row r="1040" spans="5:8" s="432" customFormat="1" hidden="1" x14ac:dyDescent="0.35">
      <c r="E1040" s="594">
        <f t="shared" si="54"/>
        <v>45108</v>
      </c>
      <c r="F1040" s="316">
        <f t="shared" si="55"/>
        <v>0</v>
      </c>
      <c r="G1040" s="316">
        <f t="shared" si="53"/>
        <v>0</v>
      </c>
      <c r="H1040" s="432">
        <f t="shared" si="56"/>
        <v>0</v>
      </c>
    </row>
    <row r="1041" spans="5:8" s="432" customFormat="1" hidden="1" x14ac:dyDescent="0.35">
      <c r="E1041" s="594">
        <f t="shared" si="54"/>
        <v>45108</v>
      </c>
      <c r="F1041" s="316">
        <f t="shared" si="55"/>
        <v>0</v>
      </c>
      <c r="G1041" s="316">
        <f t="shared" si="53"/>
        <v>0</v>
      </c>
      <c r="H1041" s="432">
        <f t="shared" si="56"/>
        <v>0</v>
      </c>
    </row>
    <row r="1042" spans="5:8" s="432" customFormat="1" hidden="1" x14ac:dyDescent="0.35">
      <c r="E1042" s="594">
        <f t="shared" si="54"/>
        <v>45108</v>
      </c>
      <c r="F1042" s="316">
        <f t="shared" si="55"/>
        <v>0</v>
      </c>
      <c r="G1042" s="316">
        <f t="shared" si="53"/>
        <v>0</v>
      </c>
      <c r="H1042" s="432">
        <f t="shared" si="56"/>
        <v>0</v>
      </c>
    </row>
    <row r="1043" spans="5:8" s="432" customFormat="1" hidden="1" x14ac:dyDescent="0.35">
      <c r="E1043" s="594">
        <f t="shared" si="54"/>
        <v>45108</v>
      </c>
      <c r="F1043" s="316">
        <f t="shared" si="55"/>
        <v>0</v>
      </c>
      <c r="G1043" s="316">
        <f t="shared" si="53"/>
        <v>0</v>
      </c>
      <c r="H1043" s="432">
        <f t="shared" si="56"/>
        <v>0</v>
      </c>
    </row>
    <row r="1044" spans="5:8" s="432" customFormat="1" hidden="1" x14ac:dyDescent="0.35">
      <c r="E1044" s="594">
        <f t="shared" si="54"/>
        <v>45108</v>
      </c>
      <c r="F1044" s="316">
        <f t="shared" si="55"/>
        <v>0</v>
      </c>
      <c r="G1044" s="316">
        <f t="shared" si="53"/>
        <v>0</v>
      </c>
      <c r="H1044" s="432">
        <f t="shared" si="56"/>
        <v>0</v>
      </c>
    </row>
    <row r="1045" spans="5:8" s="432" customFormat="1" hidden="1" x14ac:dyDescent="0.35">
      <c r="E1045" s="594">
        <f t="shared" si="54"/>
        <v>45108</v>
      </c>
      <c r="F1045" s="316">
        <f t="shared" si="55"/>
        <v>0</v>
      </c>
      <c r="G1045" s="316">
        <f t="shared" si="53"/>
        <v>0</v>
      </c>
      <c r="H1045" s="432">
        <f t="shared" si="56"/>
        <v>0</v>
      </c>
    </row>
    <row r="1046" spans="5:8" s="432" customFormat="1" hidden="1" x14ac:dyDescent="0.35">
      <c r="E1046" s="594">
        <f t="shared" si="54"/>
        <v>45108</v>
      </c>
      <c r="F1046" s="316">
        <f t="shared" si="55"/>
        <v>0</v>
      </c>
      <c r="G1046" s="316">
        <f t="shared" si="53"/>
        <v>0</v>
      </c>
      <c r="H1046" s="432">
        <f t="shared" si="56"/>
        <v>0</v>
      </c>
    </row>
    <row r="1047" spans="5:8" s="432" customFormat="1" hidden="1" x14ac:dyDescent="0.35">
      <c r="E1047" s="594">
        <f t="shared" si="54"/>
        <v>45108</v>
      </c>
      <c r="F1047" s="316">
        <f t="shared" si="55"/>
        <v>0</v>
      </c>
      <c r="G1047" s="316">
        <f t="shared" si="53"/>
        <v>0</v>
      </c>
      <c r="H1047" s="432">
        <f t="shared" si="56"/>
        <v>0</v>
      </c>
    </row>
    <row r="1048" spans="5:8" s="432" customFormat="1" hidden="1" x14ac:dyDescent="0.35">
      <c r="E1048" s="594">
        <f t="shared" si="54"/>
        <v>45108</v>
      </c>
      <c r="F1048" s="316">
        <f t="shared" si="55"/>
        <v>0</v>
      </c>
      <c r="G1048" s="316">
        <f t="shared" ref="G1048:G1111" si="57">ROUND(F1048,-2)</f>
        <v>0</v>
      </c>
      <c r="H1048" s="432">
        <f t="shared" si="56"/>
        <v>0</v>
      </c>
    </row>
    <row r="1049" spans="5:8" s="432" customFormat="1" hidden="1" x14ac:dyDescent="0.35">
      <c r="E1049" s="594">
        <f t="shared" ref="E1049:E1112" si="58">IF(E1048&lt;$C$153,E1048+1,$C$153)</f>
        <v>45108</v>
      </c>
      <c r="F1049" s="316">
        <f t="shared" ref="F1049:F1112" si="59">IF(E1048&lt;$C$153,F1048+C$155,F1048)</f>
        <v>0</v>
      </c>
      <c r="G1049" s="316">
        <f t="shared" si="57"/>
        <v>0</v>
      </c>
      <c r="H1049" s="432">
        <f t="shared" ref="H1049:H1112" si="60">IF(F1049&gt;F1048,(VLOOKUP(G1049,$K$151:$O$157,MATCH($C$156,$K$151:$O$151,0),0)),0)</f>
        <v>0</v>
      </c>
    </row>
    <row r="1050" spans="5:8" s="432" customFormat="1" hidden="1" x14ac:dyDescent="0.35">
      <c r="E1050" s="594">
        <f t="shared" si="58"/>
        <v>45108</v>
      </c>
      <c r="F1050" s="316">
        <f t="shared" si="59"/>
        <v>0</v>
      </c>
      <c r="G1050" s="316">
        <f t="shared" si="57"/>
        <v>0</v>
      </c>
      <c r="H1050" s="432">
        <f t="shared" si="60"/>
        <v>0</v>
      </c>
    </row>
    <row r="1051" spans="5:8" s="432" customFormat="1" hidden="1" x14ac:dyDescent="0.35">
      <c r="E1051" s="594">
        <f t="shared" si="58"/>
        <v>45108</v>
      </c>
      <c r="F1051" s="316">
        <f t="shared" si="59"/>
        <v>0</v>
      </c>
      <c r="G1051" s="316">
        <f t="shared" si="57"/>
        <v>0</v>
      </c>
      <c r="H1051" s="432">
        <f t="shared" si="60"/>
        <v>0</v>
      </c>
    </row>
    <row r="1052" spans="5:8" s="432" customFormat="1" hidden="1" x14ac:dyDescent="0.35">
      <c r="E1052" s="594">
        <f t="shared" si="58"/>
        <v>45108</v>
      </c>
      <c r="F1052" s="316">
        <f t="shared" si="59"/>
        <v>0</v>
      </c>
      <c r="G1052" s="316">
        <f t="shared" si="57"/>
        <v>0</v>
      </c>
      <c r="H1052" s="432">
        <f t="shared" si="60"/>
        <v>0</v>
      </c>
    </row>
    <row r="1053" spans="5:8" s="432" customFormat="1" hidden="1" x14ac:dyDescent="0.35">
      <c r="E1053" s="594">
        <f t="shared" si="58"/>
        <v>45108</v>
      </c>
      <c r="F1053" s="316">
        <f t="shared" si="59"/>
        <v>0</v>
      </c>
      <c r="G1053" s="316">
        <f t="shared" si="57"/>
        <v>0</v>
      </c>
      <c r="H1053" s="432">
        <f t="shared" si="60"/>
        <v>0</v>
      </c>
    </row>
    <row r="1054" spans="5:8" s="432" customFormat="1" hidden="1" x14ac:dyDescent="0.35">
      <c r="E1054" s="594">
        <f t="shared" si="58"/>
        <v>45108</v>
      </c>
      <c r="F1054" s="316">
        <f t="shared" si="59"/>
        <v>0</v>
      </c>
      <c r="G1054" s="316">
        <f t="shared" si="57"/>
        <v>0</v>
      </c>
      <c r="H1054" s="432">
        <f t="shared" si="60"/>
        <v>0</v>
      </c>
    </row>
    <row r="1055" spans="5:8" s="432" customFormat="1" hidden="1" x14ac:dyDescent="0.35">
      <c r="E1055" s="594">
        <f t="shared" si="58"/>
        <v>45108</v>
      </c>
      <c r="F1055" s="316">
        <f t="shared" si="59"/>
        <v>0</v>
      </c>
      <c r="G1055" s="316">
        <f t="shared" si="57"/>
        <v>0</v>
      </c>
      <c r="H1055" s="432">
        <f t="shared" si="60"/>
        <v>0</v>
      </c>
    </row>
    <row r="1056" spans="5:8" s="432" customFormat="1" hidden="1" x14ac:dyDescent="0.35">
      <c r="E1056" s="594">
        <f t="shared" si="58"/>
        <v>45108</v>
      </c>
      <c r="F1056" s="316">
        <f t="shared" si="59"/>
        <v>0</v>
      </c>
      <c r="G1056" s="316">
        <f t="shared" si="57"/>
        <v>0</v>
      </c>
      <c r="H1056" s="432">
        <f t="shared" si="60"/>
        <v>0</v>
      </c>
    </row>
    <row r="1057" spans="5:8" s="432" customFormat="1" hidden="1" x14ac:dyDescent="0.35">
      <c r="E1057" s="594">
        <f t="shared" si="58"/>
        <v>45108</v>
      </c>
      <c r="F1057" s="316">
        <f t="shared" si="59"/>
        <v>0</v>
      </c>
      <c r="G1057" s="316">
        <f t="shared" si="57"/>
        <v>0</v>
      </c>
      <c r="H1057" s="432">
        <f t="shared" si="60"/>
        <v>0</v>
      </c>
    </row>
    <row r="1058" spans="5:8" s="432" customFormat="1" hidden="1" x14ac:dyDescent="0.35">
      <c r="E1058" s="594">
        <f t="shared" si="58"/>
        <v>45108</v>
      </c>
      <c r="F1058" s="316">
        <f t="shared" si="59"/>
        <v>0</v>
      </c>
      <c r="G1058" s="316">
        <f t="shared" si="57"/>
        <v>0</v>
      </c>
      <c r="H1058" s="432">
        <f t="shared" si="60"/>
        <v>0</v>
      </c>
    </row>
    <row r="1059" spans="5:8" s="432" customFormat="1" hidden="1" x14ac:dyDescent="0.35">
      <c r="E1059" s="594">
        <f t="shared" si="58"/>
        <v>45108</v>
      </c>
      <c r="F1059" s="316">
        <f t="shared" si="59"/>
        <v>0</v>
      </c>
      <c r="G1059" s="316">
        <f t="shared" si="57"/>
        <v>0</v>
      </c>
      <c r="H1059" s="432">
        <f t="shared" si="60"/>
        <v>0</v>
      </c>
    </row>
    <row r="1060" spans="5:8" s="432" customFormat="1" hidden="1" x14ac:dyDescent="0.35">
      <c r="E1060" s="594">
        <f t="shared" si="58"/>
        <v>45108</v>
      </c>
      <c r="F1060" s="316">
        <f t="shared" si="59"/>
        <v>0</v>
      </c>
      <c r="G1060" s="316">
        <f t="shared" si="57"/>
        <v>0</v>
      </c>
      <c r="H1060" s="432">
        <f t="shared" si="60"/>
        <v>0</v>
      </c>
    </row>
    <row r="1061" spans="5:8" s="432" customFormat="1" hidden="1" x14ac:dyDescent="0.35">
      <c r="E1061" s="594">
        <f t="shared" si="58"/>
        <v>45108</v>
      </c>
      <c r="F1061" s="316">
        <f t="shared" si="59"/>
        <v>0</v>
      </c>
      <c r="G1061" s="316">
        <f t="shared" si="57"/>
        <v>0</v>
      </c>
      <c r="H1061" s="432">
        <f t="shared" si="60"/>
        <v>0</v>
      </c>
    </row>
    <row r="1062" spans="5:8" s="432" customFormat="1" hidden="1" x14ac:dyDescent="0.35">
      <c r="E1062" s="594">
        <f t="shared" si="58"/>
        <v>45108</v>
      </c>
      <c r="F1062" s="316">
        <f t="shared" si="59"/>
        <v>0</v>
      </c>
      <c r="G1062" s="316">
        <f t="shared" si="57"/>
        <v>0</v>
      </c>
      <c r="H1062" s="432">
        <f t="shared" si="60"/>
        <v>0</v>
      </c>
    </row>
    <row r="1063" spans="5:8" s="432" customFormat="1" hidden="1" x14ac:dyDescent="0.35">
      <c r="E1063" s="594">
        <f t="shared" si="58"/>
        <v>45108</v>
      </c>
      <c r="F1063" s="316">
        <f t="shared" si="59"/>
        <v>0</v>
      </c>
      <c r="G1063" s="316">
        <f t="shared" si="57"/>
        <v>0</v>
      </c>
      <c r="H1063" s="432">
        <f t="shared" si="60"/>
        <v>0</v>
      </c>
    </row>
    <row r="1064" spans="5:8" s="432" customFormat="1" hidden="1" x14ac:dyDescent="0.35">
      <c r="E1064" s="594">
        <f t="shared" si="58"/>
        <v>45108</v>
      </c>
      <c r="F1064" s="316">
        <f t="shared" si="59"/>
        <v>0</v>
      </c>
      <c r="G1064" s="316">
        <f t="shared" si="57"/>
        <v>0</v>
      </c>
      <c r="H1064" s="432">
        <f t="shared" si="60"/>
        <v>0</v>
      </c>
    </row>
    <row r="1065" spans="5:8" s="432" customFormat="1" hidden="1" x14ac:dyDescent="0.35">
      <c r="E1065" s="594">
        <f t="shared" si="58"/>
        <v>45108</v>
      </c>
      <c r="F1065" s="316">
        <f t="shared" si="59"/>
        <v>0</v>
      </c>
      <c r="G1065" s="316">
        <f t="shared" si="57"/>
        <v>0</v>
      </c>
      <c r="H1065" s="432">
        <f t="shared" si="60"/>
        <v>0</v>
      </c>
    </row>
    <row r="1066" spans="5:8" s="432" customFormat="1" hidden="1" x14ac:dyDescent="0.35">
      <c r="E1066" s="594">
        <f t="shared" si="58"/>
        <v>45108</v>
      </c>
      <c r="F1066" s="316">
        <f t="shared" si="59"/>
        <v>0</v>
      </c>
      <c r="G1066" s="316">
        <f t="shared" si="57"/>
        <v>0</v>
      </c>
      <c r="H1066" s="432">
        <f t="shared" si="60"/>
        <v>0</v>
      </c>
    </row>
    <row r="1067" spans="5:8" s="432" customFormat="1" hidden="1" x14ac:dyDescent="0.35">
      <c r="E1067" s="594">
        <f t="shared" si="58"/>
        <v>45108</v>
      </c>
      <c r="F1067" s="316">
        <f t="shared" si="59"/>
        <v>0</v>
      </c>
      <c r="G1067" s="316">
        <f t="shared" si="57"/>
        <v>0</v>
      </c>
      <c r="H1067" s="432">
        <f t="shared" si="60"/>
        <v>0</v>
      </c>
    </row>
    <row r="1068" spans="5:8" s="432" customFormat="1" hidden="1" x14ac:dyDescent="0.35">
      <c r="E1068" s="594">
        <f t="shared" si="58"/>
        <v>45108</v>
      </c>
      <c r="F1068" s="316">
        <f t="shared" si="59"/>
        <v>0</v>
      </c>
      <c r="G1068" s="316">
        <f t="shared" si="57"/>
        <v>0</v>
      </c>
      <c r="H1068" s="432">
        <f t="shared" si="60"/>
        <v>0</v>
      </c>
    </row>
    <row r="1069" spans="5:8" s="432" customFormat="1" hidden="1" x14ac:dyDescent="0.35">
      <c r="E1069" s="594">
        <f t="shared" si="58"/>
        <v>45108</v>
      </c>
      <c r="F1069" s="316">
        <f t="shared" si="59"/>
        <v>0</v>
      </c>
      <c r="G1069" s="316">
        <f t="shared" si="57"/>
        <v>0</v>
      </c>
      <c r="H1069" s="432">
        <f t="shared" si="60"/>
        <v>0</v>
      </c>
    </row>
    <row r="1070" spans="5:8" s="432" customFormat="1" hidden="1" x14ac:dyDescent="0.35">
      <c r="E1070" s="594">
        <f t="shared" si="58"/>
        <v>45108</v>
      </c>
      <c r="F1070" s="316">
        <f t="shared" si="59"/>
        <v>0</v>
      </c>
      <c r="G1070" s="316">
        <f t="shared" si="57"/>
        <v>0</v>
      </c>
      <c r="H1070" s="432">
        <f t="shared" si="60"/>
        <v>0</v>
      </c>
    </row>
    <row r="1071" spans="5:8" s="432" customFormat="1" hidden="1" x14ac:dyDescent="0.35">
      <c r="E1071" s="594">
        <f t="shared" si="58"/>
        <v>45108</v>
      </c>
      <c r="F1071" s="316">
        <f t="shared" si="59"/>
        <v>0</v>
      </c>
      <c r="G1071" s="316">
        <f t="shared" si="57"/>
        <v>0</v>
      </c>
      <c r="H1071" s="432">
        <f t="shared" si="60"/>
        <v>0</v>
      </c>
    </row>
    <row r="1072" spans="5:8" s="432" customFormat="1" hidden="1" x14ac:dyDescent="0.35">
      <c r="E1072" s="594">
        <f t="shared" si="58"/>
        <v>45108</v>
      </c>
      <c r="F1072" s="316">
        <f t="shared" si="59"/>
        <v>0</v>
      </c>
      <c r="G1072" s="316">
        <f t="shared" si="57"/>
        <v>0</v>
      </c>
      <c r="H1072" s="432">
        <f t="shared" si="60"/>
        <v>0</v>
      </c>
    </row>
    <row r="1073" spans="5:8" s="432" customFormat="1" hidden="1" x14ac:dyDescent="0.35">
      <c r="E1073" s="594">
        <f t="shared" si="58"/>
        <v>45108</v>
      </c>
      <c r="F1073" s="316">
        <f t="shared" si="59"/>
        <v>0</v>
      </c>
      <c r="G1073" s="316">
        <f t="shared" si="57"/>
        <v>0</v>
      </c>
      <c r="H1073" s="432">
        <f t="shared" si="60"/>
        <v>0</v>
      </c>
    </row>
    <row r="1074" spans="5:8" s="432" customFormat="1" hidden="1" x14ac:dyDescent="0.35">
      <c r="E1074" s="594">
        <f t="shared" si="58"/>
        <v>45108</v>
      </c>
      <c r="F1074" s="316">
        <f t="shared" si="59"/>
        <v>0</v>
      </c>
      <c r="G1074" s="316">
        <f t="shared" si="57"/>
        <v>0</v>
      </c>
      <c r="H1074" s="432">
        <f t="shared" si="60"/>
        <v>0</v>
      </c>
    </row>
    <row r="1075" spans="5:8" s="432" customFormat="1" hidden="1" x14ac:dyDescent="0.35">
      <c r="E1075" s="594">
        <f t="shared" si="58"/>
        <v>45108</v>
      </c>
      <c r="F1075" s="316">
        <f t="shared" si="59"/>
        <v>0</v>
      </c>
      <c r="G1075" s="316">
        <f t="shared" si="57"/>
        <v>0</v>
      </c>
      <c r="H1075" s="432">
        <f t="shared" si="60"/>
        <v>0</v>
      </c>
    </row>
    <row r="1076" spans="5:8" s="432" customFormat="1" hidden="1" x14ac:dyDescent="0.35">
      <c r="E1076" s="594">
        <f t="shared" si="58"/>
        <v>45108</v>
      </c>
      <c r="F1076" s="316">
        <f t="shared" si="59"/>
        <v>0</v>
      </c>
      <c r="G1076" s="316">
        <f t="shared" si="57"/>
        <v>0</v>
      </c>
      <c r="H1076" s="432">
        <f t="shared" si="60"/>
        <v>0</v>
      </c>
    </row>
    <row r="1077" spans="5:8" s="432" customFormat="1" hidden="1" x14ac:dyDescent="0.35">
      <c r="E1077" s="594">
        <f t="shared" si="58"/>
        <v>45108</v>
      </c>
      <c r="F1077" s="316">
        <f t="shared" si="59"/>
        <v>0</v>
      </c>
      <c r="G1077" s="316">
        <f t="shared" si="57"/>
        <v>0</v>
      </c>
      <c r="H1077" s="432">
        <f t="shared" si="60"/>
        <v>0</v>
      </c>
    </row>
    <row r="1078" spans="5:8" s="432" customFormat="1" hidden="1" x14ac:dyDescent="0.35">
      <c r="E1078" s="594">
        <f t="shared" si="58"/>
        <v>45108</v>
      </c>
      <c r="F1078" s="316">
        <f t="shared" si="59"/>
        <v>0</v>
      </c>
      <c r="G1078" s="316">
        <f t="shared" si="57"/>
        <v>0</v>
      </c>
      <c r="H1078" s="432">
        <f t="shared" si="60"/>
        <v>0</v>
      </c>
    </row>
    <row r="1079" spans="5:8" s="432" customFormat="1" hidden="1" x14ac:dyDescent="0.35">
      <c r="E1079" s="594">
        <f t="shared" si="58"/>
        <v>45108</v>
      </c>
      <c r="F1079" s="316">
        <f t="shared" si="59"/>
        <v>0</v>
      </c>
      <c r="G1079" s="316">
        <f t="shared" si="57"/>
        <v>0</v>
      </c>
      <c r="H1079" s="432">
        <f t="shared" si="60"/>
        <v>0</v>
      </c>
    </row>
    <row r="1080" spans="5:8" s="432" customFormat="1" hidden="1" x14ac:dyDescent="0.35">
      <c r="E1080" s="594">
        <f t="shared" si="58"/>
        <v>45108</v>
      </c>
      <c r="F1080" s="316">
        <f t="shared" si="59"/>
        <v>0</v>
      </c>
      <c r="G1080" s="316">
        <f t="shared" si="57"/>
        <v>0</v>
      </c>
      <c r="H1080" s="432">
        <f t="shared" si="60"/>
        <v>0</v>
      </c>
    </row>
    <row r="1081" spans="5:8" s="432" customFormat="1" hidden="1" x14ac:dyDescent="0.35">
      <c r="E1081" s="594">
        <f t="shared" si="58"/>
        <v>45108</v>
      </c>
      <c r="F1081" s="316">
        <f t="shared" si="59"/>
        <v>0</v>
      </c>
      <c r="G1081" s="316">
        <f t="shared" si="57"/>
        <v>0</v>
      </c>
      <c r="H1081" s="432">
        <f t="shared" si="60"/>
        <v>0</v>
      </c>
    </row>
    <row r="1082" spans="5:8" s="432" customFormat="1" hidden="1" x14ac:dyDescent="0.35">
      <c r="E1082" s="594">
        <f t="shared" si="58"/>
        <v>45108</v>
      </c>
      <c r="F1082" s="316">
        <f t="shared" si="59"/>
        <v>0</v>
      </c>
      <c r="G1082" s="316">
        <f t="shared" si="57"/>
        <v>0</v>
      </c>
      <c r="H1082" s="432">
        <f t="shared" si="60"/>
        <v>0</v>
      </c>
    </row>
    <row r="1083" spans="5:8" s="432" customFormat="1" hidden="1" x14ac:dyDescent="0.35">
      <c r="E1083" s="594">
        <f t="shared" si="58"/>
        <v>45108</v>
      </c>
      <c r="F1083" s="316">
        <f t="shared" si="59"/>
        <v>0</v>
      </c>
      <c r="G1083" s="316">
        <f t="shared" si="57"/>
        <v>0</v>
      </c>
      <c r="H1083" s="432">
        <f t="shared" si="60"/>
        <v>0</v>
      </c>
    </row>
    <row r="1084" spans="5:8" s="432" customFormat="1" hidden="1" x14ac:dyDescent="0.35">
      <c r="E1084" s="594">
        <f t="shared" si="58"/>
        <v>45108</v>
      </c>
      <c r="F1084" s="316">
        <f t="shared" si="59"/>
        <v>0</v>
      </c>
      <c r="G1084" s="316">
        <f t="shared" si="57"/>
        <v>0</v>
      </c>
      <c r="H1084" s="432">
        <f t="shared" si="60"/>
        <v>0</v>
      </c>
    </row>
    <row r="1085" spans="5:8" s="432" customFormat="1" hidden="1" x14ac:dyDescent="0.35">
      <c r="E1085" s="594">
        <f t="shared" si="58"/>
        <v>45108</v>
      </c>
      <c r="F1085" s="316">
        <f t="shared" si="59"/>
        <v>0</v>
      </c>
      <c r="G1085" s="316">
        <f t="shared" si="57"/>
        <v>0</v>
      </c>
      <c r="H1085" s="432">
        <f t="shared" si="60"/>
        <v>0</v>
      </c>
    </row>
    <row r="1086" spans="5:8" s="432" customFormat="1" hidden="1" x14ac:dyDescent="0.35">
      <c r="E1086" s="594">
        <f t="shared" si="58"/>
        <v>45108</v>
      </c>
      <c r="F1086" s="316">
        <f t="shared" si="59"/>
        <v>0</v>
      </c>
      <c r="G1086" s="316">
        <f t="shared" si="57"/>
        <v>0</v>
      </c>
      <c r="H1086" s="432">
        <f t="shared" si="60"/>
        <v>0</v>
      </c>
    </row>
    <row r="1087" spans="5:8" s="432" customFormat="1" hidden="1" x14ac:dyDescent="0.35">
      <c r="E1087" s="594">
        <f t="shared" si="58"/>
        <v>45108</v>
      </c>
      <c r="F1087" s="316">
        <f t="shared" si="59"/>
        <v>0</v>
      </c>
      <c r="G1087" s="316">
        <f t="shared" si="57"/>
        <v>0</v>
      </c>
      <c r="H1087" s="432">
        <f t="shared" si="60"/>
        <v>0</v>
      </c>
    </row>
    <row r="1088" spans="5:8" s="432" customFormat="1" hidden="1" x14ac:dyDescent="0.35">
      <c r="E1088" s="594">
        <f t="shared" si="58"/>
        <v>45108</v>
      </c>
      <c r="F1088" s="316">
        <f t="shared" si="59"/>
        <v>0</v>
      </c>
      <c r="G1088" s="316">
        <f t="shared" si="57"/>
        <v>0</v>
      </c>
      <c r="H1088" s="432">
        <f t="shared" si="60"/>
        <v>0</v>
      </c>
    </row>
    <row r="1089" spans="5:8" s="432" customFormat="1" hidden="1" x14ac:dyDescent="0.35">
      <c r="E1089" s="594">
        <f t="shared" si="58"/>
        <v>45108</v>
      </c>
      <c r="F1089" s="316">
        <f t="shared" si="59"/>
        <v>0</v>
      </c>
      <c r="G1089" s="316">
        <f t="shared" si="57"/>
        <v>0</v>
      </c>
      <c r="H1089" s="432">
        <f t="shared" si="60"/>
        <v>0</v>
      </c>
    </row>
    <row r="1090" spans="5:8" s="432" customFormat="1" hidden="1" x14ac:dyDescent="0.35">
      <c r="E1090" s="594">
        <f t="shared" si="58"/>
        <v>45108</v>
      </c>
      <c r="F1090" s="316">
        <f t="shared" si="59"/>
        <v>0</v>
      </c>
      <c r="G1090" s="316">
        <f t="shared" si="57"/>
        <v>0</v>
      </c>
      <c r="H1090" s="432">
        <f t="shared" si="60"/>
        <v>0</v>
      </c>
    </row>
    <row r="1091" spans="5:8" s="432" customFormat="1" hidden="1" x14ac:dyDescent="0.35">
      <c r="E1091" s="594">
        <f t="shared" si="58"/>
        <v>45108</v>
      </c>
      <c r="F1091" s="316">
        <f t="shared" si="59"/>
        <v>0</v>
      </c>
      <c r="G1091" s="316">
        <f t="shared" si="57"/>
        <v>0</v>
      </c>
      <c r="H1091" s="432">
        <f t="shared" si="60"/>
        <v>0</v>
      </c>
    </row>
    <row r="1092" spans="5:8" s="432" customFormat="1" hidden="1" x14ac:dyDescent="0.35">
      <c r="E1092" s="594">
        <f t="shared" si="58"/>
        <v>45108</v>
      </c>
      <c r="F1092" s="316">
        <f t="shared" si="59"/>
        <v>0</v>
      </c>
      <c r="G1092" s="316">
        <f t="shared" si="57"/>
        <v>0</v>
      </c>
      <c r="H1092" s="432">
        <f t="shared" si="60"/>
        <v>0</v>
      </c>
    </row>
    <row r="1093" spans="5:8" s="432" customFormat="1" hidden="1" x14ac:dyDescent="0.35">
      <c r="E1093" s="594">
        <f t="shared" si="58"/>
        <v>45108</v>
      </c>
      <c r="F1093" s="316">
        <f t="shared" si="59"/>
        <v>0</v>
      </c>
      <c r="G1093" s="316">
        <f t="shared" si="57"/>
        <v>0</v>
      </c>
      <c r="H1093" s="432">
        <f t="shared" si="60"/>
        <v>0</v>
      </c>
    </row>
    <row r="1094" spans="5:8" s="432" customFormat="1" hidden="1" x14ac:dyDescent="0.35">
      <c r="E1094" s="594">
        <f t="shared" si="58"/>
        <v>45108</v>
      </c>
      <c r="F1094" s="316">
        <f t="shared" si="59"/>
        <v>0</v>
      </c>
      <c r="G1094" s="316">
        <f t="shared" si="57"/>
        <v>0</v>
      </c>
      <c r="H1094" s="432">
        <f t="shared" si="60"/>
        <v>0</v>
      </c>
    </row>
    <row r="1095" spans="5:8" s="432" customFormat="1" hidden="1" x14ac:dyDescent="0.35">
      <c r="E1095" s="594">
        <f t="shared" si="58"/>
        <v>45108</v>
      </c>
      <c r="F1095" s="316">
        <f t="shared" si="59"/>
        <v>0</v>
      </c>
      <c r="G1095" s="316">
        <f t="shared" si="57"/>
        <v>0</v>
      </c>
      <c r="H1095" s="432">
        <f t="shared" si="60"/>
        <v>0</v>
      </c>
    </row>
    <row r="1096" spans="5:8" s="432" customFormat="1" hidden="1" x14ac:dyDescent="0.35">
      <c r="E1096" s="594">
        <f t="shared" si="58"/>
        <v>45108</v>
      </c>
      <c r="F1096" s="316">
        <f t="shared" si="59"/>
        <v>0</v>
      </c>
      <c r="G1096" s="316">
        <f t="shared" si="57"/>
        <v>0</v>
      </c>
      <c r="H1096" s="432">
        <f t="shared" si="60"/>
        <v>0</v>
      </c>
    </row>
    <row r="1097" spans="5:8" s="432" customFormat="1" hidden="1" x14ac:dyDescent="0.35">
      <c r="E1097" s="594">
        <f t="shared" si="58"/>
        <v>45108</v>
      </c>
      <c r="F1097" s="316">
        <f t="shared" si="59"/>
        <v>0</v>
      </c>
      <c r="G1097" s="316">
        <f t="shared" si="57"/>
        <v>0</v>
      </c>
      <c r="H1097" s="432">
        <f t="shared" si="60"/>
        <v>0</v>
      </c>
    </row>
    <row r="1098" spans="5:8" s="432" customFormat="1" hidden="1" x14ac:dyDescent="0.35">
      <c r="E1098" s="594">
        <f t="shared" si="58"/>
        <v>45108</v>
      </c>
      <c r="F1098" s="316">
        <f t="shared" si="59"/>
        <v>0</v>
      </c>
      <c r="G1098" s="316">
        <f t="shared" si="57"/>
        <v>0</v>
      </c>
      <c r="H1098" s="432">
        <f t="shared" si="60"/>
        <v>0</v>
      </c>
    </row>
    <row r="1099" spans="5:8" s="432" customFormat="1" hidden="1" x14ac:dyDescent="0.35">
      <c r="E1099" s="594">
        <f t="shared" si="58"/>
        <v>45108</v>
      </c>
      <c r="F1099" s="316">
        <f t="shared" si="59"/>
        <v>0</v>
      </c>
      <c r="G1099" s="316">
        <f t="shared" si="57"/>
        <v>0</v>
      </c>
      <c r="H1099" s="432">
        <f t="shared" si="60"/>
        <v>0</v>
      </c>
    </row>
    <row r="1100" spans="5:8" s="432" customFormat="1" hidden="1" x14ac:dyDescent="0.35">
      <c r="E1100" s="594">
        <f t="shared" si="58"/>
        <v>45108</v>
      </c>
      <c r="F1100" s="316">
        <f t="shared" si="59"/>
        <v>0</v>
      </c>
      <c r="G1100" s="316">
        <f t="shared" si="57"/>
        <v>0</v>
      </c>
      <c r="H1100" s="432">
        <f t="shared" si="60"/>
        <v>0</v>
      </c>
    </row>
    <row r="1101" spans="5:8" s="432" customFormat="1" hidden="1" x14ac:dyDescent="0.35">
      <c r="E1101" s="594">
        <f t="shared" si="58"/>
        <v>45108</v>
      </c>
      <c r="F1101" s="316">
        <f t="shared" si="59"/>
        <v>0</v>
      </c>
      <c r="G1101" s="316">
        <f t="shared" si="57"/>
        <v>0</v>
      </c>
      <c r="H1101" s="432">
        <f t="shared" si="60"/>
        <v>0</v>
      </c>
    </row>
    <row r="1102" spans="5:8" s="432" customFormat="1" hidden="1" x14ac:dyDescent="0.35">
      <c r="E1102" s="594">
        <f t="shared" si="58"/>
        <v>45108</v>
      </c>
      <c r="F1102" s="316">
        <f t="shared" si="59"/>
        <v>0</v>
      </c>
      <c r="G1102" s="316">
        <f t="shared" si="57"/>
        <v>0</v>
      </c>
      <c r="H1102" s="432">
        <f t="shared" si="60"/>
        <v>0</v>
      </c>
    </row>
    <row r="1103" spans="5:8" s="432" customFormat="1" hidden="1" x14ac:dyDescent="0.35">
      <c r="E1103" s="594">
        <f t="shared" si="58"/>
        <v>45108</v>
      </c>
      <c r="F1103" s="316">
        <f t="shared" si="59"/>
        <v>0</v>
      </c>
      <c r="G1103" s="316">
        <f t="shared" si="57"/>
        <v>0</v>
      </c>
      <c r="H1103" s="432">
        <f t="shared" si="60"/>
        <v>0</v>
      </c>
    </row>
    <row r="1104" spans="5:8" s="432" customFormat="1" hidden="1" x14ac:dyDescent="0.35">
      <c r="E1104" s="594">
        <f t="shared" si="58"/>
        <v>45108</v>
      </c>
      <c r="F1104" s="316">
        <f t="shared" si="59"/>
        <v>0</v>
      </c>
      <c r="G1104" s="316">
        <f t="shared" si="57"/>
        <v>0</v>
      </c>
      <c r="H1104" s="432">
        <f t="shared" si="60"/>
        <v>0</v>
      </c>
    </row>
    <row r="1105" spans="5:8" s="432" customFormat="1" hidden="1" x14ac:dyDescent="0.35">
      <c r="E1105" s="594">
        <f t="shared" si="58"/>
        <v>45108</v>
      </c>
      <c r="F1105" s="316">
        <f t="shared" si="59"/>
        <v>0</v>
      </c>
      <c r="G1105" s="316">
        <f t="shared" si="57"/>
        <v>0</v>
      </c>
      <c r="H1105" s="432">
        <f t="shared" si="60"/>
        <v>0</v>
      </c>
    </row>
    <row r="1106" spans="5:8" s="432" customFormat="1" hidden="1" x14ac:dyDescent="0.35">
      <c r="E1106" s="594">
        <f t="shared" si="58"/>
        <v>45108</v>
      </c>
      <c r="F1106" s="316">
        <f t="shared" si="59"/>
        <v>0</v>
      </c>
      <c r="G1106" s="316">
        <f t="shared" si="57"/>
        <v>0</v>
      </c>
      <c r="H1106" s="432">
        <f t="shared" si="60"/>
        <v>0</v>
      </c>
    </row>
    <row r="1107" spans="5:8" s="432" customFormat="1" hidden="1" x14ac:dyDescent="0.35">
      <c r="E1107" s="594">
        <f t="shared" si="58"/>
        <v>45108</v>
      </c>
      <c r="F1107" s="316">
        <f t="shared" si="59"/>
        <v>0</v>
      </c>
      <c r="G1107" s="316">
        <f t="shared" si="57"/>
        <v>0</v>
      </c>
      <c r="H1107" s="432">
        <f t="shared" si="60"/>
        <v>0</v>
      </c>
    </row>
    <row r="1108" spans="5:8" s="432" customFormat="1" hidden="1" x14ac:dyDescent="0.35">
      <c r="E1108" s="594">
        <f t="shared" si="58"/>
        <v>45108</v>
      </c>
      <c r="F1108" s="316">
        <f t="shared" si="59"/>
        <v>0</v>
      </c>
      <c r="G1108" s="316">
        <f t="shared" si="57"/>
        <v>0</v>
      </c>
      <c r="H1108" s="432">
        <f t="shared" si="60"/>
        <v>0</v>
      </c>
    </row>
    <row r="1109" spans="5:8" s="432" customFormat="1" hidden="1" x14ac:dyDescent="0.35">
      <c r="E1109" s="594">
        <f t="shared" si="58"/>
        <v>45108</v>
      </c>
      <c r="F1109" s="316">
        <f t="shared" si="59"/>
        <v>0</v>
      </c>
      <c r="G1109" s="316">
        <f t="shared" si="57"/>
        <v>0</v>
      </c>
      <c r="H1109" s="432">
        <f t="shared" si="60"/>
        <v>0</v>
      </c>
    </row>
    <row r="1110" spans="5:8" s="432" customFormat="1" hidden="1" x14ac:dyDescent="0.35">
      <c r="E1110" s="594">
        <f t="shared" si="58"/>
        <v>45108</v>
      </c>
      <c r="F1110" s="316">
        <f t="shared" si="59"/>
        <v>0</v>
      </c>
      <c r="G1110" s="316">
        <f t="shared" si="57"/>
        <v>0</v>
      </c>
      <c r="H1110" s="432">
        <f t="shared" si="60"/>
        <v>0</v>
      </c>
    </row>
    <row r="1111" spans="5:8" s="432" customFormat="1" hidden="1" x14ac:dyDescent="0.35">
      <c r="E1111" s="594">
        <f t="shared" si="58"/>
        <v>45108</v>
      </c>
      <c r="F1111" s="316">
        <f t="shared" si="59"/>
        <v>0</v>
      </c>
      <c r="G1111" s="316">
        <f t="shared" si="57"/>
        <v>0</v>
      </c>
      <c r="H1111" s="432">
        <f t="shared" si="60"/>
        <v>0</v>
      </c>
    </row>
    <row r="1112" spans="5:8" s="432" customFormat="1" hidden="1" x14ac:dyDescent="0.35">
      <c r="E1112" s="594">
        <f t="shared" si="58"/>
        <v>45108</v>
      </c>
      <c r="F1112" s="316">
        <f t="shared" si="59"/>
        <v>0</v>
      </c>
      <c r="G1112" s="316">
        <f t="shared" ref="G1112:G1175" si="61">ROUND(F1112,-2)</f>
        <v>0</v>
      </c>
      <c r="H1112" s="432">
        <f t="shared" si="60"/>
        <v>0</v>
      </c>
    </row>
    <row r="1113" spans="5:8" s="432" customFormat="1" hidden="1" x14ac:dyDescent="0.35">
      <c r="E1113" s="594">
        <f t="shared" ref="E1113:E1176" si="62">IF(E1112&lt;$C$153,E1112+1,$C$153)</f>
        <v>45108</v>
      </c>
      <c r="F1113" s="316">
        <f t="shared" ref="F1113:F1176" si="63">IF(E1112&lt;$C$153,F1112+C$155,F1112)</f>
        <v>0</v>
      </c>
      <c r="G1113" s="316">
        <f t="shared" si="61"/>
        <v>0</v>
      </c>
      <c r="H1113" s="432">
        <f t="shared" ref="H1113:H1176" si="64">IF(F1113&gt;F1112,(VLOOKUP(G1113,$K$151:$O$157,MATCH($C$156,$K$151:$O$151,0),0)),0)</f>
        <v>0</v>
      </c>
    </row>
    <row r="1114" spans="5:8" s="432" customFormat="1" hidden="1" x14ac:dyDescent="0.35">
      <c r="E1114" s="594">
        <f t="shared" si="62"/>
        <v>45108</v>
      </c>
      <c r="F1114" s="316">
        <f t="shared" si="63"/>
        <v>0</v>
      </c>
      <c r="G1114" s="316">
        <f t="shared" si="61"/>
        <v>0</v>
      </c>
      <c r="H1114" s="432">
        <f t="shared" si="64"/>
        <v>0</v>
      </c>
    </row>
    <row r="1115" spans="5:8" s="432" customFormat="1" hidden="1" x14ac:dyDescent="0.35">
      <c r="E1115" s="594">
        <f t="shared" si="62"/>
        <v>45108</v>
      </c>
      <c r="F1115" s="316">
        <f t="shared" si="63"/>
        <v>0</v>
      </c>
      <c r="G1115" s="316">
        <f t="shared" si="61"/>
        <v>0</v>
      </c>
      <c r="H1115" s="432">
        <f t="shared" si="64"/>
        <v>0</v>
      </c>
    </row>
    <row r="1116" spans="5:8" s="432" customFormat="1" hidden="1" x14ac:dyDescent="0.35">
      <c r="E1116" s="594">
        <f t="shared" si="62"/>
        <v>45108</v>
      </c>
      <c r="F1116" s="316">
        <f t="shared" si="63"/>
        <v>0</v>
      </c>
      <c r="G1116" s="316">
        <f t="shared" si="61"/>
        <v>0</v>
      </c>
      <c r="H1116" s="432">
        <f t="shared" si="64"/>
        <v>0</v>
      </c>
    </row>
    <row r="1117" spans="5:8" s="432" customFormat="1" hidden="1" x14ac:dyDescent="0.35">
      <c r="E1117" s="594">
        <f t="shared" si="62"/>
        <v>45108</v>
      </c>
      <c r="F1117" s="316">
        <f t="shared" si="63"/>
        <v>0</v>
      </c>
      <c r="G1117" s="316">
        <f t="shared" si="61"/>
        <v>0</v>
      </c>
      <c r="H1117" s="432">
        <f t="shared" si="64"/>
        <v>0</v>
      </c>
    </row>
    <row r="1118" spans="5:8" s="432" customFormat="1" hidden="1" x14ac:dyDescent="0.35">
      <c r="E1118" s="594">
        <f t="shared" si="62"/>
        <v>45108</v>
      </c>
      <c r="F1118" s="316">
        <f t="shared" si="63"/>
        <v>0</v>
      </c>
      <c r="G1118" s="316">
        <f t="shared" si="61"/>
        <v>0</v>
      </c>
      <c r="H1118" s="432">
        <f t="shared" si="64"/>
        <v>0</v>
      </c>
    </row>
    <row r="1119" spans="5:8" s="432" customFormat="1" hidden="1" x14ac:dyDescent="0.35">
      <c r="E1119" s="594">
        <f t="shared" si="62"/>
        <v>45108</v>
      </c>
      <c r="F1119" s="316">
        <f t="shared" si="63"/>
        <v>0</v>
      </c>
      <c r="G1119" s="316">
        <f t="shared" si="61"/>
        <v>0</v>
      </c>
      <c r="H1119" s="432">
        <f t="shared" si="64"/>
        <v>0</v>
      </c>
    </row>
    <row r="1120" spans="5:8" s="432" customFormat="1" hidden="1" x14ac:dyDescent="0.35">
      <c r="E1120" s="594">
        <f t="shared" si="62"/>
        <v>45108</v>
      </c>
      <c r="F1120" s="316">
        <f t="shared" si="63"/>
        <v>0</v>
      </c>
      <c r="G1120" s="316">
        <f t="shared" si="61"/>
        <v>0</v>
      </c>
      <c r="H1120" s="432">
        <f t="shared" si="64"/>
        <v>0</v>
      </c>
    </row>
    <row r="1121" spans="5:8" s="432" customFormat="1" hidden="1" x14ac:dyDescent="0.35">
      <c r="E1121" s="594">
        <f t="shared" si="62"/>
        <v>45108</v>
      </c>
      <c r="F1121" s="316">
        <f t="shared" si="63"/>
        <v>0</v>
      </c>
      <c r="G1121" s="316">
        <f t="shared" si="61"/>
        <v>0</v>
      </c>
      <c r="H1121" s="432">
        <f t="shared" si="64"/>
        <v>0</v>
      </c>
    </row>
    <row r="1122" spans="5:8" s="432" customFormat="1" hidden="1" x14ac:dyDescent="0.35">
      <c r="E1122" s="594">
        <f t="shared" si="62"/>
        <v>45108</v>
      </c>
      <c r="F1122" s="316">
        <f t="shared" si="63"/>
        <v>0</v>
      </c>
      <c r="G1122" s="316">
        <f t="shared" si="61"/>
        <v>0</v>
      </c>
      <c r="H1122" s="432">
        <f t="shared" si="64"/>
        <v>0</v>
      </c>
    </row>
    <row r="1123" spans="5:8" s="432" customFormat="1" hidden="1" x14ac:dyDescent="0.35">
      <c r="E1123" s="594">
        <f t="shared" si="62"/>
        <v>45108</v>
      </c>
      <c r="F1123" s="316">
        <f t="shared" si="63"/>
        <v>0</v>
      </c>
      <c r="G1123" s="316">
        <f t="shared" si="61"/>
        <v>0</v>
      </c>
      <c r="H1123" s="432">
        <f t="shared" si="64"/>
        <v>0</v>
      </c>
    </row>
    <row r="1124" spans="5:8" s="432" customFormat="1" hidden="1" x14ac:dyDescent="0.35">
      <c r="E1124" s="594">
        <f t="shared" si="62"/>
        <v>45108</v>
      </c>
      <c r="F1124" s="316">
        <f t="shared" si="63"/>
        <v>0</v>
      </c>
      <c r="G1124" s="316">
        <f t="shared" si="61"/>
        <v>0</v>
      </c>
      <c r="H1124" s="432">
        <f t="shared" si="64"/>
        <v>0</v>
      </c>
    </row>
    <row r="1125" spans="5:8" s="432" customFormat="1" hidden="1" x14ac:dyDescent="0.35">
      <c r="E1125" s="594">
        <f t="shared" si="62"/>
        <v>45108</v>
      </c>
      <c r="F1125" s="316">
        <f t="shared" si="63"/>
        <v>0</v>
      </c>
      <c r="G1125" s="316">
        <f t="shared" si="61"/>
        <v>0</v>
      </c>
      <c r="H1125" s="432">
        <f t="shared" si="64"/>
        <v>0</v>
      </c>
    </row>
    <row r="1126" spans="5:8" s="432" customFormat="1" hidden="1" x14ac:dyDescent="0.35">
      <c r="E1126" s="594">
        <f t="shared" si="62"/>
        <v>45108</v>
      </c>
      <c r="F1126" s="316">
        <f t="shared" si="63"/>
        <v>0</v>
      </c>
      <c r="G1126" s="316">
        <f t="shared" si="61"/>
        <v>0</v>
      </c>
      <c r="H1126" s="432">
        <f t="shared" si="64"/>
        <v>0</v>
      </c>
    </row>
    <row r="1127" spans="5:8" s="432" customFormat="1" hidden="1" x14ac:dyDescent="0.35">
      <c r="E1127" s="594">
        <f t="shared" si="62"/>
        <v>45108</v>
      </c>
      <c r="F1127" s="316">
        <f t="shared" si="63"/>
        <v>0</v>
      </c>
      <c r="G1127" s="316">
        <f t="shared" si="61"/>
        <v>0</v>
      </c>
      <c r="H1127" s="432">
        <f t="shared" si="64"/>
        <v>0</v>
      </c>
    </row>
    <row r="1128" spans="5:8" s="432" customFormat="1" hidden="1" x14ac:dyDescent="0.35">
      <c r="E1128" s="594">
        <f t="shared" si="62"/>
        <v>45108</v>
      </c>
      <c r="F1128" s="316">
        <f t="shared" si="63"/>
        <v>0</v>
      </c>
      <c r="G1128" s="316">
        <f t="shared" si="61"/>
        <v>0</v>
      </c>
      <c r="H1128" s="432">
        <f t="shared" si="64"/>
        <v>0</v>
      </c>
    </row>
    <row r="1129" spans="5:8" s="432" customFormat="1" hidden="1" x14ac:dyDescent="0.35">
      <c r="E1129" s="594">
        <f t="shared" si="62"/>
        <v>45108</v>
      </c>
      <c r="F1129" s="316">
        <f t="shared" si="63"/>
        <v>0</v>
      </c>
      <c r="G1129" s="316">
        <f t="shared" si="61"/>
        <v>0</v>
      </c>
      <c r="H1129" s="432">
        <f t="shared" si="64"/>
        <v>0</v>
      </c>
    </row>
    <row r="1130" spans="5:8" s="432" customFormat="1" hidden="1" x14ac:dyDescent="0.35">
      <c r="E1130" s="594">
        <f t="shared" si="62"/>
        <v>45108</v>
      </c>
      <c r="F1130" s="316">
        <f t="shared" si="63"/>
        <v>0</v>
      </c>
      <c r="G1130" s="316">
        <f t="shared" si="61"/>
        <v>0</v>
      </c>
      <c r="H1130" s="432">
        <f t="shared" si="64"/>
        <v>0</v>
      </c>
    </row>
    <row r="1131" spans="5:8" s="432" customFormat="1" hidden="1" x14ac:dyDescent="0.35">
      <c r="E1131" s="594">
        <f t="shared" si="62"/>
        <v>45108</v>
      </c>
      <c r="F1131" s="316">
        <f t="shared" si="63"/>
        <v>0</v>
      </c>
      <c r="G1131" s="316">
        <f t="shared" si="61"/>
        <v>0</v>
      </c>
      <c r="H1131" s="432">
        <f t="shared" si="64"/>
        <v>0</v>
      </c>
    </row>
    <row r="1132" spans="5:8" s="432" customFormat="1" hidden="1" x14ac:dyDescent="0.35">
      <c r="E1132" s="594">
        <f t="shared" si="62"/>
        <v>45108</v>
      </c>
      <c r="F1132" s="316">
        <f t="shared" si="63"/>
        <v>0</v>
      </c>
      <c r="G1132" s="316">
        <f t="shared" si="61"/>
        <v>0</v>
      </c>
      <c r="H1132" s="432">
        <f t="shared" si="64"/>
        <v>0</v>
      </c>
    </row>
    <row r="1133" spans="5:8" s="432" customFormat="1" hidden="1" x14ac:dyDescent="0.35">
      <c r="E1133" s="594">
        <f t="shared" si="62"/>
        <v>45108</v>
      </c>
      <c r="F1133" s="316">
        <f t="shared" si="63"/>
        <v>0</v>
      </c>
      <c r="G1133" s="316">
        <f t="shared" si="61"/>
        <v>0</v>
      </c>
      <c r="H1133" s="432">
        <f t="shared" si="64"/>
        <v>0</v>
      </c>
    </row>
    <row r="1134" spans="5:8" s="432" customFormat="1" hidden="1" x14ac:dyDescent="0.35">
      <c r="E1134" s="594">
        <f t="shared" si="62"/>
        <v>45108</v>
      </c>
      <c r="F1134" s="316">
        <f t="shared" si="63"/>
        <v>0</v>
      </c>
      <c r="G1134" s="316">
        <f t="shared" si="61"/>
        <v>0</v>
      </c>
      <c r="H1134" s="432">
        <f t="shared" si="64"/>
        <v>0</v>
      </c>
    </row>
    <row r="1135" spans="5:8" s="432" customFormat="1" hidden="1" x14ac:dyDescent="0.35">
      <c r="E1135" s="594">
        <f t="shared" si="62"/>
        <v>45108</v>
      </c>
      <c r="F1135" s="316">
        <f t="shared" si="63"/>
        <v>0</v>
      </c>
      <c r="G1135" s="316">
        <f t="shared" si="61"/>
        <v>0</v>
      </c>
      <c r="H1135" s="432">
        <f t="shared" si="64"/>
        <v>0</v>
      </c>
    </row>
    <row r="1136" spans="5:8" s="432" customFormat="1" hidden="1" x14ac:dyDescent="0.35">
      <c r="E1136" s="594">
        <f t="shared" si="62"/>
        <v>45108</v>
      </c>
      <c r="F1136" s="316">
        <f t="shared" si="63"/>
        <v>0</v>
      </c>
      <c r="G1136" s="316">
        <f t="shared" si="61"/>
        <v>0</v>
      </c>
      <c r="H1136" s="432">
        <f t="shared" si="64"/>
        <v>0</v>
      </c>
    </row>
    <row r="1137" spans="5:8" s="432" customFormat="1" hidden="1" x14ac:dyDescent="0.35">
      <c r="E1137" s="594">
        <f t="shared" si="62"/>
        <v>45108</v>
      </c>
      <c r="F1137" s="316">
        <f t="shared" si="63"/>
        <v>0</v>
      </c>
      <c r="G1137" s="316">
        <f t="shared" si="61"/>
        <v>0</v>
      </c>
      <c r="H1137" s="432">
        <f t="shared" si="64"/>
        <v>0</v>
      </c>
    </row>
    <row r="1138" spans="5:8" s="432" customFormat="1" hidden="1" x14ac:dyDescent="0.35">
      <c r="E1138" s="594">
        <f t="shared" si="62"/>
        <v>45108</v>
      </c>
      <c r="F1138" s="316">
        <f t="shared" si="63"/>
        <v>0</v>
      </c>
      <c r="G1138" s="316">
        <f t="shared" si="61"/>
        <v>0</v>
      </c>
      <c r="H1138" s="432">
        <f t="shared" si="64"/>
        <v>0</v>
      </c>
    </row>
    <row r="1139" spans="5:8" s="432" customFormat="1" hidden="1" x14ac:dyDescent="0.35">
      <c r="E1139" s="594">
        <f t="shared" si="62"/>
        <v>45108</v>
      </c>
      <c r="F1139" s="316">
        <f t="shared" si="63"/>
        <v>0</v>
      </c>
      <c r="G1139" s="316">
        <f t="shared" si="61"/>
        <v>0</v>
      </c>
      <c r="H1139" s="432">
        <f t="shared" si="64"/>
        <v>0</v>
      </c>
    </row>
    <row r="1140" spans="5:8" s="432" customFormat="1" hidden="1" x14ac:dyDescent="0.35">
      <c r="E1140" s="594">
        <f t="shared" si="62"/>
        <v>45108</v>
      </c>
      <c r="F1140" s="316">
        <f t="shared" si="63"/>
        <v>0</v>
      </c>
      <c r="G1140" s="316">
        <f t="shared" si="61"/>
        <v>0</v>
      </c>
      <c r="H1140" s="432">
        <f t="shared" si="64"/>
        <v>0</v>
      </c>
    </row>
    <row r="1141" spans="5:8" s="432" customFormat="1" hidden="1" x14ac:dyDescent="0.35">
      <c r="E1141" s="594">
        <f t="shared" si="62"/>
        <v>45108</v>
      </c>
      <c r="F1141" s="316">
        <f t="shared" si="63"/>
        <v>0</v>
      </c>
      <c r="G1141" s="316">
        <f t="shared" si="61"/>
        <v>0</v>
      </c>
      <c r="H1141" s="432">
        <f t="shared" si="64"/>
        <v>0</v>
      </c>
    </row>
    <row r="1142" spans="5:8" s="432" customFormat="1" hidden="1" x14ac:dyDescent="0.35">
      <c r="E1142" s="594">
        <f t="shared" si="62"/>
        <v>45108</v>
      </c>
      <c r="F1142" s="316">
        <f t="shared" si="63"/>
        <v>0</v>
      </c>
      <c r="G1142" s="316">
        <f t="shared" si="61"/>
        <v>0</v>
      </c>
      <c r="H1142" s="432">
        <f t="shared" si="64"/>
        <v>0</v>
      </c>
    </row>
    <row r="1143" spans="5:8" s="432" customFormat="1" hidden="1" x14ac:dyDescent="0.35">
      <c r="E1143" s="594">
        <f t="shared" si="62"/>
        <v>45108</v>
      </c>
      <c r="F1143" s="316">
        <f t="shared" si="63"/>
        <v>0</v>
      </c>
      <c r="G1143" s="316">
        <f t="shared" si="61"/>
        <v>0</v>
      </c>
      <c r="H1143" s="432">
        <f t="shared" si="64"/>
        <v>0</v>
      </c>
    </row>
    <row r="1144" spans="5:8" s="432" customFormat="1" hidden="1" x14ac:dyDescent="0.35">
      <c r="E1144" s="594">
        <f t="shared" si="62"/>
        <v>45108</v>
      </c>
      <c r="F1144" s="316">
        <f t="shared" si="63"/>
        <v>0</v>
      </c>
      <c r="G1144" s="316">
        <f t="shared" si="61"/>
        <v>0</v>
      </c>
      <c r="H1144" s="432">
        <f t="shared" si="64"/>
        <v>0</v>
      </c>
    </row>
    <row r="1145" spans="5:8" s="432" customFormat="1" hidden="1" x14ac:dyDescent="0.35">
      <c r="E1145" s="594">
        <f t="shared" si="62"/>
        <v>45108</v>
      </c>
      <c r="F1145" s="316">
        <f t="shared" si="63"/>
        <v>0</v>
      </c>
      <c r="G1145" s="316">
        <f t="shared" si="61"/>
        <v>0</v>
      </c>
      <c r="H1145" s="432">
        <f t="shared" si="64"/>
        <v>0</v>
      </c>
    </row>
    <row r="1146" spans="5:8" s="432" customFormat="1" hidden="1" x14ac:dyDescent="0.35">
      <c r="E1146" s="594">
        <f t="shared" si="62"/>
        <v>45108</v>
      </c>
      <c r="F1146" s="316">
        <f t="shared" si="63"/>
        <v>0</v>
      </c>
      <c r="G1146" s="316">
        <f t="shared" si="61"/>
        <v>0</v>
      </c>
      <c r="H1146" s="432">
        <f t="shared" si="64"/>
        <v>0</v>
      </c>
    </row>
    <row r="1147" spans="5:8" s="432" customFormat="1" hidden="1" x14ac:dyDescent="0.35">
      <c r="E1147" s="594">
        <f t="shared" si="62"/>
        <v>45108</v>
      </c>
      <c r="F1147" s="316">
        <f t="shared" si="63"/>
        <v>0</v>
      </c>
      <c r="G1147" s="316">
        <f t="shared" si="61"/>
        <v>0</v>
      </c>
      <c r="H1147" s="432">
        <f t="shared" si="64"/>
        <v>0</v>
      </c>
    </row>
    <row r="1148" spans="5:8" s="432" customFormat="1" hidden="1" x14ac:dyDescent="0.35">
      <c r="E1148" s="594">
        <f t="shared" si="62"/>
        <v>45108</v>
      </c>
      <c r="F1148" s="316">
        <f t="shared" si="63"/>
        <v>0</v>
      </c>
      <c r="G1148" s="316">
        <f t="shared" si="61"/>
        <v>0</v>
      </c>
      <c r="H1148" s="432">
        <f t="shared" si="64"/>
        <v>0</v>
      </c>
    </row>
    <row r="1149" spans="5:8" s="432" customFormat="1" hidden="1" x14ac:dyDescent="0.35">
      <c r="E1149" s="594">
        <f t="shared" si="62"/>
        <v>45108</v>
      </c>
      <c r="F1149" s="316">
        <f t="shared" si="63"/>
        <v>0</v>
      </c>
      <c r="G1149" s="316">
        <f t="shared" si="61"/>
        <v>0</v>
      </c>
      <c r="H1149" s="432">
        <f t="shared" si="64"/>
        <v>0</v>
      </c>
    </row>
    <row r="1150" spans="5:8" s="432" customFormat="1" hidden="1" x14ac:dyDescent="0.35">
      <c r="E1150" s="594">
        <f t="shared" si="62"/>
        <v>45108</v>
      </c>
      <c r="F1150" s="316">
        <f t="shared" si="63"/>
        <v>0</v>
      </c>
      <c r="G1150" s="316">
        <f t="shared" si="61"/>
        <v>0</v>
      </c>
      <c r="H1150" s="432">
        <f t="shared" si="64"/>
        <v>0</v>
      </c>
    </row>
    <row r="1151" spans="5:8" s="432" customFormat="1" hidden="1" x14ac:dyDescent="0.35">
      <c r="E1151" s="594">
        <f t="shared" si="62"/>
        <v>45108</v>
      </c>
      <c r="F1151" s="316">
        <f t="shared" si="63"/>
        <v>0</v>
      </c>
      <c r="G1151" s="316">
        <f t="shared" si="61"/>
        <v>0</v>
      </c>
      <c r="H1151" s="432">
        <f t="shared" si="64"/>
        <v>0</v>
      </c>
    </row>
    <row r="1152" spans="5:8" s="432" customFormat="1" hidden="1" x14ac:dyDescent="0.35">
      <c r="E1152" s="594">
        <f t="shared" si="62"/>
        <v>45108</v>
      </c>
      <c r="F1152" s="316">
        <f t="shared" si="63"/>
        <v>0</v>
      </c>
      <c r="G1152" s="316">
        <f t="shared" si="61"/>
        <v>0</v>
      </c>
      <c r="H1152" s="432">
        <f t="shared" si="64"/>
        <v>0</v>
      </c>
    </row>
    <row r="1153" spans="5:8" s="432" customFormat="1" hidden="1" x14ac:dyDescent="0.35">
      <c r="E1153" s="594">
        <f t="shared" si="62"/>
        <v>45108</v>
      </c>
      <c r="F1153" s="316">
        <f t="shared" si="63"/>
        <v>0</v>
      </c>
      <c r="G1153" s="316">
        <f t="shared" si="61"/>
        <v>0</v>
      </c>
      <c r="H1153" s="432">
        <f t="shared" si="64"/>
        <v>0</v>
      </c>
    </row>
    <row r="1154" spans="5:8" s="432" customFormat="1" hidden="1" x14ac:dyDescent="0.35">
      <c r="E1154" s="594">
        <f t="shared" si="62"/>
        <v>45108</v>
      </c>
      <c r="F1154" s="316">
        <f t="shared" si="63"/>
        <v>0</v>
      </c>
      <c r="G1154" s="316">
        <f t="shared" si="61"/>
        <v>0</v>
      </c>
      <c r="H1154" s="432">
        <f t="shared" si="64"/>
        <v>0</v>
      </c>
    </row>
    <row r="1155" spans="5:8" s="432" customFormat="1" hidden="1" x14ac:dyDescent="0.35">
      <c r="E1155" s="594">
        <f t="shared" si="62"/>
        <v>45108</v>
      </c>
      <c r="F1155" s="316">
        <f t="shared" si="63"/>
        <v>0</v>
      </c>
      <c r="G1155" s="316">
        <f t="shared" si="61"/>
        <v>0</v>
      </c>
      <c r="H1155" s="432">
        <f t="shared" si="64"/>
        <v>0</v>
      </c>
    </row>
    <row r="1156" spans="5:8" s="432" customFormat="1" hidden="1" x14ac:dyDescent="0.35">
      <c r="E1156" s="594">
        <f t="shared" si="62"/>
        <v>45108</v>
      </c>
      <c r="F1156" s="316">
        <f t="shared" si="63"/>
        <v>0</v>
      </c>
      <c r="G1156" s="316">
        <f t="shared" si="61"/>
        <v>0</v>
      </c>
      <c r="H1156" s="432">
        <f t="shared" si="64"/>
        <v>0</v>
      </c>
    </row>
    <row r="1157" spans="5:8" s="432" customFormat="1" hidden="1" x14ac:dyDescent="0.35">
      <c r="E1157" s="594">
        <f t="shared" si="62"/>
        <v>45108</v>
      </c>
      <c r="F1157" s="316">
        <f t="shared" si="63"/>
        <v>0</v>
      </c>
      <c r="G1157" s="316">
        <f t="shared" si="61"/>
        <v>0</v>
      </c>
      <c r="H1157" s="432">
        <f t="shared" si="64"/>
        <v>0</v>
      </c>
    </row>
    <row r="1158" spans="5:8" s="432" customFormat="1" hidden="1" x14ac:dyDescent="0.35">
      <c r="E1158" s="594">
        <f t="shared" si="62"/>
        <v>45108</v>
      </c>
      <c r="F1158" s="316">
        <f t="shared" si="63"/>
        <v>0</v>
      </c>
      <c r="G1158" s="316">
        <f t="shared" si="61"/>
        <v>0</v>
      </c>
      <c r="H1158" s="432">
        <f t="shared" si="64"/>
        <v>0</v>
      </c>
    </row>
    <row r="1159" spans="5:8" s="432" customFormat="1" hidden="1" x14ac:dyDescent="0.35">
      <c r="E1159" s="594">
        <f t="shared" si="62"/>
        <v>45108</v>
      </c>
      <c r="F1159" s="316">
        <f t="shared" si="63"/>
        <v>0</v>
      </c>
      <c r="G1159" s="316">
        <f t="shared" si="61"/>
        <v>0</v>
      </c>
      <c r="H1159" s="432">
        <f t="shared" si="64"/>
        <v>0</v>
      </c>
    </row>
    <row r="1160" spans="5:8" s="432" customFormat="1" hidden="1" x14ac:dyDescent="0.35">
      <c r="E1160" s="594">
        <f t="shared" si="62"/>
        <v>45108</v>
      </c>
      <c r="F1160" s="316">
        <f t="shared" si="63"/>
        <v>0</v>
      </c>
      <c r="G1160" s="316">
        <f t="shared" si="61"/>
        <v>0</v>
      </c>
      <c r="H1160" s="432">
        <f t="shared" si="64"/>
        <v>0</v>
      </c>
    </row>
    <row r="1161" spans="5:8" s="432" customFormat="1" hidden="1" x14ac:dyDescent="0.35">
      <c r="E1161" s="594">
        <f t="shared" si="62"/>
        <v>45108</v>
      </c>
      <c r="F1161" s="316">
        <f t="shared" si="63"/>
        <v>0</v>
      </c>
      <c r="G1161" s="316">
        <f t="shared" si="61"/>
        <v>0</v>
      </c>
      <c r="H1161" s="432">
        <f t="shared" si="64"/>
        <v>0</v>
      </c>
    </row>
    <row r="1162" spans="5:8" s="432" customFormat="1" hidden="1" x14ac:dyDescent="0.35">
      <c r="E1162" s="594">
        <f t="shared" si="62"/>
        <v>45108</v>
      </c>
      <c r="F1162" s="316">
        <f t="shared" si="63"/>
        <v>0</v>
      </c>
      <c r="G1162" s="316">
        <f t="shared" si="61"/>
        <v>0</v>
      </c>
      <c r="H1162" s="432">
        <f t="shared" si="64"/>
        <v>0</v>
      </c>
    </row>
    <row r="1163" spans="5:8" s="432" customFormat="1" hidden="1" x14ac:dyDescent="0.35">
      <c r="E1163" s="594">
        <f t="shared" si="62"/>
        <v>45108</v>
      </c>
      <c r="F1163" s="316">
        <f t="shared" si="63"/>
        <v>0</v>
      </c>
      <c r="G1163" s="316">
        <f t="shared" si="61"/>
        <v>0</v>
      </c>
      <c r="H1163" s="432">
        <f t="shared" si="64"/>
        <v>0</v>
      </c>
    </row>
    <row r="1164" spans="5:8" s="432" customFormat="1" hidden="1" x14ac:dyDescent="0.35">
      <c r="E1164" s="594">
        <f t="shared" si="62"/>
        <v>45108</v>
      </c>
      <c r="F1164" s="316">
        <f t="shared" si="63"/>
        <v>0</v>
      </c>
      <c r="G1164" s="316">
        <f t="shared" si="61"/>
        <v>0</v>
      </c>
      <c r="H1164" s="432">
        <f t="shared" si="64"/>
        <v>0</v>
      </c>
    </row>
    <row r="1165" spans="5:8" s="432" customFormat="1" hidden="1" x14ac:dyDescent="0.35">
      <c r="E1165" s="594">
        <f t="shared" si="62"/>
        <v>45108</v>
      </c>
      <c r="F1165" s="316">
        <f t="shared" si="63"/>
        <v>0</v>
      </c>
      <c r="G1165" s="316">
        <f t="shared" si="61"/>
        <v>0</v>
      </c>
      <c r="H1165" s="432">
        <f t="shared" si="64"/>
        <v>0</v>
      </c>
    </row>
    <row r="1166" spans="5:8" s="432" customFormat="1" hidden="1" x14ac:dyDescent="0.35">
      <c r="E1166" s="594">
        <f t="shared" si="62"/>
        <v>45108</v>
      </c>
      <c r="F1166" s="316">
        <f t="shared" si="63"/>
        <v>0</v>
      </c>
      <c r="G1166" s="316">
        <f t="shared" si="61"/>
        <v>0</v>
      </c>
      <c r="H1166" s="432">
        <f t="shared" si="64"/>
        <v>0</v>
      </c>
    </row>
    <row r="1167" spans="5:8" s="432" customFormat="1" hidden="1" x14ac:dyDescent="0.35">
      <c r="E1167" s="594">
        <f t="shared" si="62"/>
        <v>45108</v>
      </c>
      <c r="F1167" s="316">
        <f t="shared" si="63"/>
        <v>0</v>
      </c>
      <c r="G1167" s="316">
        <f t="shared" si="61"/>
        <v>0</v>
      </c>
      <c r="H1167" s="432">
        <f t="shared" si="64"/>
        <v>0</v>
      </c>
    </row>
    <row r="1168" spans="5:8" s="432" customFormat="1" hidden="1" x14ac:dyDescent="0.35">
      <c r="E1168" s="594">
        <f t="shared" si="62"/>
        <v>45108</v>
      </c>
      <c r="F1168" s="316">
        <f t="shared" si="63"/>
        <v>0</v>
      </c>
      <c r="G1168" s="316">
        <f t="shared" si="61"/>
        <v>0</v>
      </c>
      <c r="H1168" s="432">
        <f t="shared" si="64"/>
        <v>0</v>
      </c>
    </row>
    <row r="1169" spans="5:8" s="432" customFormat="1" hidden="1" x14ac:dyDescent="0.35">
      <c r="E1169" s="594">
        <f t="shared" si="62"/>
        <v>45108</v>
      </c>
      <c r="F1169" s="316">
        <f t="shared" si="63"/>
        <v>0</v>
      </c>
      <c r="G1169" s="316">
        <f t="shared" si="61"/>
        <v>0</v>
      </c>
      <c r="H1169" s="432">
        <f t="shared" si="64"/>
        <v>0</v>
      </c>
    </row>
    <row r="1170" spans="5:8" s="432" customFormat="1" hidden="1" x14ac:dyDescent="0.35">
      <c r="E1170" s="594">
        <f t="shared" si="62"/>
        <v>45108</v>
      </c>
      <c r="F1170" s="316">
        <f t="shared" si="63"/>
        <v>0</v>
      </c>
      <c r="G1170" s="316">
        <f t="shared" si="61"/>
        <v>0</v>
      </c>
      <c r="H1170" s="432">
        <f t="shared" si="64"/>
        <v>0</v>
      </c>
    </row>
    <row r="1171" spans="5:8" s="432" customFormat="1" hidden="1" x14ac:dyDescent="0.35">
      <c r="E1171" s="594">
        <f t="shared" si="62"/>
        <v>45108</v>
      </c>
      <c r="F1171" s="316">
        <f t="shared" si="63"/>
        <v>0</v>
      </c>
      <c r="G1171" s="316">
        <f t="shared" si="61"/>
        <v>0</v>
      </c>
      <c r="H1171" s="432">
        <f t="shared" si="64"/>
        <v>0</v>
      </c>
    </row>
    <row r="1172" spans="5:8" s="432" customFormat="1" hidden="1" x14ac:dyDescent="0.35">
      <c r="E1172" s="594">
        <f t="shared" si="62"/>
        <v>45108</v>
      </c>
      <c r="F1172" s="316">
        <f t="shared" si="63"/>
        <v>0</v>
      </c>
      <c r="G1172" s="316">
        <f t="shared" si="61"/>
        <v>0</v>
      </c>
      <c r="H1172" s="432">
        <f t="shared" si="64"/>
        <v>0</v>
      </c>
    </row>
    <row r="1173" spans="5:8" s="432" customFormat="1" hidden="1" x14ac:dyDescent="0.35">
      <c r="E1173" s="594">
        <f t="shared" si="62"/>
        <v>45108</v>
      </c>
      <c r="F1173" s="316">
        <f t="shared" si="63"/>
        <v>0</v>
      </c>
      <c r="G1173" s="316">
        <f t="shared" si="61"/>
        <v>0</v>
      </c>
      <c r="H1173" s="432">
        <f t="shared" si="64"/>
        <v>0</v>
      </c>
    </row>
    <row r="1174" spans="5:8" s="432" customFormat="1" hidden="1" x14ac:dyDescent="0.35">
      <c r="E1174" s="594">
        <f t="shared" si="62"/>
        <v>45108</v>
      </c>
      <c r="F1174" s="316">
        <f t="shared" si="63"/>
        <v>0</v>
      </c>
      <c r="G1174" s="316">
        <f t="shared" si="61"/>
        <v>0</v>
      </c>
      <c r="H1174" s="432">
        <f t="shared" si="64"/>
        <v>0</v>
      </c>
    </row>
    <row r="1175" spans="5:8" s="432" customFormat="1" hidden="1" x14ac:dyDescent="0.35">
      <c r="E1175" s="594">
        <f t="shared" si="62"/>
        <v>45108</v>
      </c>
      <c r="F1175" s="316">
        <f t="shared" si="63"/>
        <v>0</v>
      </c>
      <c r="G1175" s="316">
        <f t="shared" si="61"/>
        <v>0</v>
      </c>
      <c r="H1175" s="432">
        <f t="shared" si="64"/>
        <v>0</v>
      </c>
    </row>
    <row r="1176" spans="5:8" s="432" customFormat="1" hidden="1" x14ac:dyDescent="0.35">
      <c r="E1176" s="594">
        <f t="shared" si="62"/>
        <v>45108</v>
      </c>
      <c r="F1176" s="316">
        <f t="shared" si="63"/>
        <v>0</v>
      </c>
      <c r="G1176" s="316">
        <f t="shared" ref="G1176:G1239" si="65">ROUND(F1176,-2)</f>
        <v>0</v>
      </c>
      <c r="H1176" s="432">
        <f t="shared" si="64"/>
        <v>0</v>
      </c>
    </row>
    <row r="1177" spans="5:8" s="432" customFormat="1" hidden="1" x14ac:dyDescent="0.35">
      <c r="E1177" s="594">
        <f t="shared" ref="E1177:E1240" si="66">IF(E1176&lt;$C$153,E1176+1,$C$153)</f>
        <v>45108</v>
      </c>
      <c r="F1177" s="316">
        <f t="shared" ref="F1177:F1240" si="67">IF(E1176&lt;$C$153,F1176+C$155,F1176)</f>
        <v>0</v>
      </c>
      <c r="G1177" s="316">
        <f t="shared" si="65"/>
        <v>0</v>
      </c>
      <c r="H1177" s="432">
        <f t="shared" ref="H1177:H1240" si="68">IF(F1177&gt;F1176,(VLOOKUP(G1177,$K$151:$O$157,MATCH($C$156,$K$151:$O$151,0),0)),0)</f>
        <v>0</v>
      </c>
    </row>
    <row r="1178" spans="5:8" s="432" customFormat="1" hidden="1" x14ac:dyDescent="0.35">
      <c r="E1178" s="594">
        <f t="shared" si="66"/>
        <v>45108</v>
      </c>
      <c r="F1178" s="316">
        <f t="shared" si="67"/>
        <v>0</v>
      </c>
      <c r="G1178" s="316">
        <f t="shared" si="65"/>
        <v>0</v>
      </c>
      <c r="H1178" s="432">
        <f t="shared" si="68"/>
        <v>0</v>
      </c>
    </row>
    <row r="1179" spans="5:8" s="432" customFormat="1" hidden="1" x14ac:dyDescent="0.35">
      <c r="E1179" s="594">
        <f t="shared" si="66"/>
        <v>45108</v>
      </c>
      <c r="F1179" s="316">
        <f t="shared" si="67"/>
        <v>0</v>
      </c>
      <c r="G1179" s="316">
        <f t="shared" si="65"/>
        <v>0</v>
      </c>
      <c r="H1179" s="432">
        <f t="shared" si="68"/>
        <v>0</v>
      </c>
    </row>
    <row r="1180" spans="5:8" s="432" customFormat="1" hidden="1" x14ac:dyDescent="0.35">
      <c r="E1180" s="594">
        <f t="shared" si="66"/>
        <v>45108</v>
      </c>
      <c r="F1180" s="316">
        <f t="shared" si="67"/>
        <v>0</v>
      </c>
      <c r="G1180" s="316">
        <f t="shared" si="65"/>
        <v>0</v>
      </c>
      <c r="H1180" s="432">
        <f t="shared" si="68"/>
        <v>0</v>
      </c>
    </row>
    <row r="1181" spans="5:8" s="432" customFormat="1" hidden="1" x14ac:dyDescent="0.35">
      <c r="E1181" s="594">
        <f t="shared" si="66"/>
        <v>45108</v>
      </c>
      <c r="F1181" s="316">
        <f t="shared" si="67"/>
        <v>0</v>
      </c>
      <c r="G1181" s="316">
        <f t="shared" si="65"/>
        <v>0</v>
      </c>
      <c r="H1181" s="432">
        <f t="shared" si="68"/>
        <v>0</v>
      </c>
    </row>
    <row r="1182" spans="5:8" s="432" customFormat="1" hidden="1" x14ac:dyDescent="0.35">
      <c r="E1182" s="594">
        <f t="shared" si="66"/>
        <v>45108</v>
      </c>
      <c r="F1182" s="316">
        <f t="shared" si="67"/>
        <v>0</v>
      </c>
      <c r="G1182" s="316">
        <f t="shared" si="65"/>
        <v>0</v>
      </c>
      <c r="H1182" s="432">
        <f t="shared" si="68"/>
        <v>0</v>
      </c>
    </row>
    <row r="1183" spans="5:8" s="432" customFormat="1" hidden="1" x14ac:dyDescent="0.35">
      <c r="E1183" s="594">
        <f t="shared" si="66"/>
        <v>45108</v>
      </c>
      <c r="F1183" s="316">
        <f t="shared" si="67"/>
        <v>0</v>
      </c>
      <c r="G1183" s="316">
        <f t="shared" si="65"/>
        <v>0</v>
      </c>
      <c r="H1183" s="432">
        <f t="shared" si="68"/>
        <v>0</v>
      </c>
    </row>
    <row r="1184" spans="5:8" s="432" customFormat="1" hidden="1" x14ac:dyDescent="0.35">
      <c r="E1184" s="594">
        <f t="shared" si="66"/>
        <v>45108</v>
      </c>
      <c r="F1184" s="316">
        <f t="shared" si="67"/>
        <v>0</v>
      </c>
      <c r="G1184" s="316">
        <f t="shared" si="65"/>
        <v>0</v>
      </c>
      <c r="H1184" s="432">
        <f t="shared" si="68"/>
        <v>0</v>
      </c>
    </row>
    <row r="1185" spans="5:8" s="432" customFormat="1" hidden="1" x14ac:dyDescent="0.35">
      <c r="E1185" s="594">
        <f t="shared" si="66"/>
        <v>45108</v>
      </c>
      <c r="F1185" s="316">
        <f t="shared" si="67"/>
        <v>0</v>
      </c>
      <c r="G1185" s="316">
        <f t="shared" si="65"/>
        <v>0</v>
      </c>
      <c r="H1185" s="432">
        <f t="shared" si="68"/>
        <v>0</v>
      </c>
    </row>
    <row r="1186" spans="5:8" s="432" customFormat="1" hidden="1" x14ac:dyDescent="0.35">
      <c r="E1186" s="594">
        <f t="shared" si="66"/>
        <v>45108</v>
      </c>
      <c r="F1186" s="316">
        <f t="shared" si="67"/>
        <v>0</v>
      </c>
      <c r="G1186" s="316">
        <f t="shared" si="65"/>
        <v>0</v>
      </c>
      <c r="H1186" s="432">
        <f t="shared" si="68"/>
        <v>0</v>
      </c>
    </row>
    <row r="1187" spans="5:8" s="432" customFormat="1" hidden="1" x14ac:dyDescent="0.35">
      <c r="E1187" s="594">
        <f t="shared" si="66"/>
        <v>45108</v>
      </c>
      <c r="F1187" s="316">
        <f t="shared" si="67"/>
        <v>0</v>
      </c>
      <c r="G1187" s="316">
        <f t="shared" si="65"/>
        <v>0</v>
      </c>
      <c r="H1187" s="432">
        <f t="shared" si="68"/>
        <v>0</v>
      </c>
    </row>
    <row r="1188" spans="5:8" s="432" customFormat="1" hidden="1" x14ac:dyDescent="0.35">
      <c r="E1188" s="594">
        <f t="shared" si="66"/>
        <v>45108</v>
      </c>
      <c r="F1188" s="316">
        <f t="shared" si="67"/>
        <v>0</v>
      </c>
      <c r="G1188" s="316">
        <f t="shared" si="65"/>
        <v>0</v>
      </c>
      <c r="H1188" s="432">
        <f t="shared" si="68"/>
        <v>0</v>
      </c>
    </row>
    <row r="1189" spans="5:8" s="432" customFormat="1" hidden="1" x14ac:dyDescent="0.35">
      <c r="E1189" s="594">
        <f t="shared" si="66"/>
        <v>45108</v>
      </c>
      <c r="F1189" s="316">
        <f t="shared" si="67"/>
        <v>0</v>
      </c>
      <c r="G1189" s="316">
        <f t="shared" si="65"/>
        <v>0</v>
      </c>
      <c r="H1189" s="432">
        <f t="shared" si="68"/>
        <v>0</v>
      </c>
    </row>
    <row r="1190" spans="5:8" s="432" customFormat="1" hidden="1" x14ac:dyDescent="0.35">
      <c r="E1190" s="594">
        <f t="shared" si="66"/>
        <v>45108</v>
      </c>
      <c r="F1190" s="316">
        <f t="shared" si="67"/>
        <v>0</v>
      </c>
      <c r="G1190" s="316">
        <f t="shared" si="65"/>
        <v>0</v>
      </c>
      <c r="H1190" s="432">
        <f t="shared" si="68"/>
        <v>0</v>
      </c>
    </row>
    <row r="1191" spans="5:8" s="432" customFormat="1" hidden="1" x14ac:dyDescent="0.35">
      <c r="E1191" s="594">
        <f t="shared" si="66"/>
        <v>45108</v>
      </c>
      <c r="F1191" s="316">
        <f t="shared" si="67"/>
        <v>0</v>
      </c>
      <c r="G1191" s="316">
        <f t="shared" si="65"/>
        <v>0</v>
      </c>
      <c r="H1191" s="432">
        <f t="shared" si="68"/>
        <v>0</v>
      </c>
    </row>
    <row r="1192" spans="5:8" s="432" customFormat="1" hidden="1" x14ac:dyDescent="0.35">
      <c r="E1192" s="594">
        <f t="shared" si="66"/>
        <v>45108</v>
      </c>
      <c r="F1192" s="316">
        <f t="shared" si="67"/>
        <v>0</v>
      </c>
      <c r="G1192" s="316">
        <f t="shared" si="65"/>
        <v>0</v>
      </c>
      <c r="H1192" s="432">
        <f t="shared" si="68"/>
        <v>0</v>
      </c>
    </row>
    <row r="1193" spans="5:8" s="432" customFormat="1" hidden="1" x14ac:dyDescent="0.35">
      <c r="E1193" s="594">
        <f t="shared" si="66"/>
        <v>45108</v>
      </c>
      <c r="F1193" s="316">
        <f t="shared" si="67"/>
        <v>0</v>
      </c>
      <c r="G1193" s="316">
        <f t="shared" si="65"/>
        <v>0</v>
      </c>
      <c r="H1193" s="432">
        <f t="shared" si="68"/>
        <v>0</v>
      </c>
    </row>
    <row r="1194" spans="5:8" s="432" customFormat="1" hidden="1" x14ac:dyDescent="0.35">
      <c r="E1194" s="594">
        <f t="shared" si="66"/>
        <v>45108</v>
      </c>
      <c r="F1194" s="316">
        <f t="shared" si="67"/>
        <v>0</v>
      </c>
      <c r="G1194" s="316">
        <f t="shared" si="65"/>
        <v>0</v>
      </c>
      <c r="H1194" s="432">
        <f t="shared" si="68"/>
        <v>0</v>
      </c>
    </row>
    <row r="1195" spans="5:8" s="432" customFormat="1" hidden="1" x14ac:dyDescent="0.35">
      <c r="E1195" s="594">
        <f t="shared" si="66"/>
        <v>45108</v>
      </c>
      <c r="F1195" s="316">
        <f t="shared" si="67"/>
        <v>0</v>
      </c>
      <c r="G1195" s="316">
        <f t="shared" si="65"/>
        <v>0</v>
      </c>
      <c r="H1195" s="432">
        <f t="shared" si="68"/>
        <v>0</v>
      </c>
    </row>
    <row r="1196" spans="5:8" s="432" customFormat="1" hidden="1" x14ac:dyDescent="0.35">
      <c r="E1196" s="594">
        <f t="shared" si="66"/>
        <v>45108</v>
      </c>
      <c r="F1196" s="316">
        <f t="shared" si="67"/>
        <v>0</v>
      </c>
      <c r="G1196" s="316">
        <f t="shared" si="65"/>
        <v>0</v>
      </c>
      <c r="H1196" s="432">
        <f t="shared" si="68"/>
        <v>0</v>
      </c>
    </row>
    <row r="1197" spans="5:8" s="432" customFormat="1" hidden="1" x14ac:dyDescent="0.35">
      <c r="E1197" s="594">
        <f t="shared" si="66"/>
        <v>45108</v>
      </c>
      <c r="F1197" s="316">
        <f t="shared" si="67"/>
        <v>0</v>
      </c>
      <c r="G1197" s="316">
        <f t="shared" si="65"/>
        <v>0</v>
      </c>
      <c r="H1197" s="432">
        <f t="shared" si="68"/>
        <v>0</v>
      </c>
    </row>
    <row r="1198" spans="5:8" s="432" customFormat="1" hidden="1" x14ac:dyDescent="0.35">
      <c r="E1198" s="594">
        <f t="shared" si="66"/>
        <v>45108</v>
      </c>
      <c r="F1198" s="316">
        <f t="shared" si="67"/>
        <v>0</v>
      </c>
      <c r="G1198" s="316">
        <f t="shared" si="65"/>
        <v>0</v>
      </c>
      <c r="H1198" s="432">
        <f t="shared" si="68"/>
        <v>0</v>
      </c>
    </row>
    <row r="1199" spans="5:8" s="432" customFormat="1" hidden="1" x14ac:dyDescent="0.35">
      <c r="E1199" s="594">
        <f t="shared" si="66"/>
        <v>45108</v>
      </c>
      <c r="F1199" s="316">
        <f t="shared" si="67"/>
        <v>0</v>
      </c>
      <c r="G1199" s="316">
        <f t="shared" si="65"/>
        <v>0</v>
      </c>
      <c r="H1199" s="432">
        <f t="shared" si="68"/>
        <v>0</v>
      </c>
    </row>
    <row r="1200" spans="5:8" s="432" customFormat="1" hidden="1" x14ac:dyDescent="0.35">
      <c r="E1200" s="594">
        <f t="shared" si="66"/>
        <v>45108</v>
      </c>
      <c r="F1200" s="316">
        <f t="shared" si="67"/>
        <v>0</v>
      </c>
      <c r="G1200" s="316">
        <f t="shared" si="65"/>
        <v>0</v>
      </c>
      <c r="H1200" s="432">
        <f t="shared" si="68"/>
        <v>0</v>
      </c>
    </row>
    <row r="1201" spans="5:8" s="432" customFormat="1" hidden="1" x14ac:dyDescent="0.35">
      <c r="E1201" s="594">
        <f t="shared" si="66"/>
        <v>45108</v>
      </c>
      <c r="F1201" s="316">
        <f t="shared" si="67"/>
        <v>0</v>
      </c>
      <c r="G1201" s="316">
        <f t="shared" si="65"/>
        <v>0</v>
      </c>
      <c r="H1201" s="432">
        <f t="shared" si="68"/>
        <v>0</v>
      </c>
    </row>
    <row r="1202" spans="5:8" s="432" customFormat="1" hidden="1" x14ac:dyDescent="0.35">
      <c r="E1202" s="594">
        <f t="shared" si="66"/>
        <v>45108</v>
      </c>
      <c r="F1202" s="316">
        <f t="shared" si="67"/>
        <v>0</v>
      </c>
      <c r="G1202" s="316">
        <f t="shared" si="65"/>
        <v>0</v>
      </c>
      <c r="H1202" s="432">
        <f t="shared" si="68"/>
        <v>0</v>
      </c>
    </row>
    <row r="1203" spans="5:8" s="432" customFormat="1" hidden="1" x14ac:dyDescent="0.35">
      <c r="E1203" s="594">
        <f t="shared" si="66"/>
        <v>45108</v>
      </c>
      <c r="F1203" s="316">
        <f t="shared" si="67"/>
        <v>0</v>
      </c>
      <c r="G1203" s="316">
        <f t="shared" si="65"/>
        <v>0</v>
      </c>
      <c r="H1203" s="432">
        <f t="shared" si="68"/>
        <v>0</v>
      </c>
    </row>
    <row r="1204" spans="5:8" s="432" customFormat="1" hidden="1" x14ac:dyDescent="0.35">
      <c r="E1204" s="594">
        <f t="shared" si="66"/>
        <v>45108</v>
      </c>
      <c r="F1204" s="316">
        <f t="shared" si="67"/>
        <v>0</v>
      </c>
      <c r="G1204" s="316">
        <f t="shared" si="65"/>
        <v>0</v>
      </c>
      <c r="H1204" s="432">
        <f t="shared" si="68"/>
        <v>0</v>
      </c>
    </row>
    <row r="1205" spans="5:8" s="432" customFormat="1" hidden="1" x14ac:dyDescent="0.35">
      <c r="E1205" s="594">
        <f t="shared" si="66"/>
        <v>45108</v>
      </c>
      <c r="F1205" s="316">
        <f t="shared" si="67"/>
        <v>0</v>
      </c>
      <c r="G1205" s="316">
        <f t="shared" si="65"/>
        <v>0</v>
      </c>
      <c r="H1205" s="432">
        <f t="shared" si="68"/>
        <v>0</v>
      </c>
    </row>
    <row r="1206" spans="5:8" s="432" customFormat="1" hidden="1" x14ac:dyDescent="0.35">
      <c r="E1206" s="594">
        <f t="shared" si="66"/>
        <v>45108</v>
      </c>
      <c r="F1206" s="316">
        <f t="shared" si="67"/>
        <v>0</v>
      </c>
      <c r="G1206" s="316">
        <f t="shared" si="65"/>
        <v>0</v>
      </c>
      <c r="H1206" s="432">
        <f t="shared" si="68"/>
        <v>0</v>
      </c>
    </row>
    <row r="1207" spans="5:8" s="432" customFormat="1" hidden="1" x14ac:dyDescent="0.35">
      <c r="E1207" s="594">
        <f t="shared" si="66"/>
        <v>45108</v>
      </c>
      <c r="F1207" s="316">
        <f t="shared" si="67"/>
        <v>0</v>
      </c>
      <c r="G1207" s="316">
        <f t="shared" si="65"/>
        <v>0</v>
      </c>
      <c r="H1207" s="432">
        <f t="shared" si="68"/>
        <v>0</v>
      </c>
    </row>
    <row r="1208" spans="5:8" s="432" customFormat="1" hidden="1" x14ac:dyDescent="0.35">
      <c r="E1208" s="594">
        <f t="shared" si="66"/>
        <v>45108</v>
      </c>
      <c r="F1208" s="316">
        <f t="shared" si="67"/>
        <v>0</v>
      </c>
      <c r="G1208" s="316">
        <f t="shared" si="65"/>
        <v>0</v>
      </c>
      <c r="H1208" s="432">
        <f t="shared" si="68"/>
        <v>0</v>
      </c>
    </row>
    <row r="1209" spans="5:8" s="432" customFormat="1" hidden="1" x14ac:dyDescent="0.35">
      <c r="E1209" s="594">
        <f t="shared" si="66"/>
        <v>45108</v>
      </c>
      <c r="F1209" s="316">
        <f t="shared" si="67"/>
        <v>0</v>
      </c>
      <c r="G1209" s="316">
        <f t="shared" si="65"/>
        <v>0</v>
      </c>
      <c r="H1209" s="432">
        <f t="shared" si="68"/>
        <v>0</v>
      </c>
    </row>
    <row r="1210" spans="5:8" s="432" customFormat="1" hidden="1" x14ac:dyDescent="0.35">
      <c r="E1210" s="594">
        <f t="shared" si="66"/>
        <v>45108</v>
      </c>
      <c r="F1210" s="316">
        <f t="shared" si="67"/>
        <v>0</v>
      </c>
      <c r="G1210" s="316">
        <f t="shared" si="65"/>
        <v>0</v>
      </c>
      <c r="H1210" s="432">
        <f t="shared" si="68"/>
        <v>0</v>
      </c>
    </row>
    <row r="1211" spans="5:8" s="432" customFormat="1" hidden="1" x14ac:dyDescent="0.35">
      <c r="E1211" s="594">
        <f t="shared" si="66"/>
        <v>45108</v>
      </c>
      <c r="F1211" s="316">
        <f t="shared" si="67"/>
        <v>0</v>
      </c>
      <c r="G1211" s="316">
        <f t="shared" si="65"/>
        <v>0</v>
      </c>
      <c r="H1211" s="432">
        <f t="shared" si="68"/>
        <v>0</v>
      </c>
    </row>
    <row r="1212" spans="5:8" s="432" customFormat="1" hidden="1" x14ac:dyDescent="0.35">
      <c r="E1212" s="594">
        <f t="shared" si="66"/>
        <v>45108</v>
      </c>
      <c r="F1212" s="316">
        <f t="shared" si="67"/>
        <v>0</v>
      </c>
      <c r="G1212" s="316">
        <f t="shared" si="65"/>
        <v>0</v>
      </c>
      <c r="H1212" s="432">
        <f t="shared" si="68"/>
        <v>0</v>
      </c>
    </row>
    <row r="1213" spans="5:8" s="432" customFormat="1" hidden="1" x14ac:dyDescent="0.35">
      <c r="E1213" s="594">
        <f t="shared" si="66"/>
        <v>45108</v>
      </c>
      <c r="F1213" s="316">
        <f t="shared" si="67"/>
        <v>0</v>
      </c>
      <c r="G1213" s="316">
        <f t="shared" si="65"/>
        <v>0</v>
      </c>
      <c r="H1213" s="432">
        <f t="shared" si="68"/>
        <v>0</v>
      </c>
    </row>
    <row r="1214" spans="5:8" s="432" customFormat="1" hidden="1" x14ac:dyDescent="0.35">
      <c r="E1214" s="594">
        <f t="shared" si="66"/>
        <v>45108</v>
      </c>
      <c r="F1214" s="316">
        <f t="shared" si="67"/>
        <v>0</v>
      </c>
      <c r="G1214" s="316">
        <f t="shared" si="65"/>
        <v>0</v>
      </c>
      <c r="H1214" s="432">
        <f t="shared" si="68"/>
        <v>0</v>
      </c>
    </row>
    <row r="1215" spans="5:8" s="432" customFormat="1" hidden="1" x14ac:dyDescent="0.35">
      <c r="E1215" s="594">
        <f t="shared" si="66"/>
        <v>45108</v>
      </c>
      <c r="F1215" s="316">
        <f t="shared" si="67"/>
        <v>0</v>
      </c>
      <c r="G1215" s="316">
        <f t="shared" si="65"/>
        <v>0</v>
      </c>
      <c r="H1215" s="432">
        <f t="shared" si="68"/>
        <v>0</v>
      </c>
    </row>
    <row r="1216" spans="5:8" s="432" customFormat="1" hidden="1" x14ac:dyDescent="0.35">
      <c r="E1216" s="594">
        <f t="shared" si="66"/>
        <v>45108</v>
      </c>
      <c r="F1216" s="316">
        <f t="shared" si="67"/>
        <v>0</v>
      </c>
      <c r="G1216" s="316">
        <f t="shared" si="65"/>
        <v>0</v>
      </c>
      <c r="H1216" s="432">
        <f t="shared" si="68"/>
        <v>0</v>
      </c>
    </row>
    <row r="1217" spans="5:8" s="432" customFormat="1" hidden="1" x14ac:dyDescent="0.35">
      <c r="E1217" s="594">
        <f t="shared" si="66"/>
        <v>45108</v>
      </c>
      <c r="F1217" s="316">
        <f t="shared" si="67"/>
        <v>0</v>
      </c>
      <c r="G1217" s="316">
        <f t="shared" si="65"/>
        <v>0</v>
      </c>
      <c r="H1217" s="432">
        <f t="shared" si="68"/>
        <v>0</v>
      </c>
    </row>
    <row r="1218" spans="5:8" s="432" customFormat="1" hidden="1" x14ac:dyDescent="0.35">
      <c r="E1218" s="594">
        <f t="shared" si="66"/>
        <v>45108</v>
      </c>
      <c r="F1218" s="316">
        <f t="shared" si="67"/>
        <v>0</v>
      </c>
      <c r="G1218" s="316">
        <f t="shared" si="65"/>
        <v>0</v>
      </c>
      <c r="H1218" s="432">
        <f t="shared" si="68"/>
        <v>0</v>
      </c>
    </row>
    <row r="1219" spans="5:8" s="432" customFormat="1" hidden="1" x14ac:dyDescent="0.35">
      <c r="E1219" s="594">
        <f t="shared" si="66"/>
        <v>45108</v>
      </c>
      <c r="F1219" s="316">
        <f t="shared" si="67"/>
        <v>0</v>
      </c>
      <c r="G1219" s="316">
        <f t="shared" si="65"/>
        <v>0</v>
      </c>
      <c r="H1219" s="432">
        <f t="shared" si="68"/>
        <v>0</v>
      </c>
    </row>
    <row r="1220" spans="5:8" s="432" customFormat="1" hidden="1" x14ac:dyDescent="0.35">
      <c r="E1220" s="594">
        <f t="shared" si="66"/>
        <v>45108</v>
      </c>
      <c r="F1220" s="316">
        <f t="shared" si="67"/>
        <v>0</v>
      </c>
      <c r="G1220" s="316">
        <f t="shared" si="65"/>
        <v>0</v>
      </c>
      <c r="H1220" s="432">
        <f t="shared" si="68"/>
        <v>0</v>
      </c>
    </row>
    <row r="1221" spans="5:8" s="432" customFormat="1" hidden="1" x14ac:dyDescent="0.35">
      <c r="E1221" s="594">
        <f t="shared" si="66"/>
        <v>45108</v>
      </c>
      <c r="F1221" s="316">
        <f t="shared" si="67"/>
        <v>0</v>
      </c>
      <c r="G1221" s="316">
        <f t="shared" si="65"/>
        <v>0</v>
      </c>
      <c r="H1221" s="432">
        <f t="shared" si="68"/>
        <v>0</v>
      </c>
    </row>
    <row r="1222" spans="5:8" s="432" customFormat="1" hidden="1" x14ac:dyDescent="0.35">
      <c r="E1222" s="594">
        <f t="shared" si="66"/>
        <v>45108</v>
      </c>
      <c r="F1222" s="316">
        <f t="shared" si="67"/>
        <v>0</v>
      </c>
      <c r="G1222" s="316">
        <f t="shared" si="65"/>
        <v>0</v>
      </c>
      <c r="H1222" s="432">
        <f t="shared" si="68"/>
        <v>0</v>
      </c>
    </row>
    <row r="1223" spans="5:8" s="432" customFormat="1" hidden="1" x14ac:dyDescent="0.35">
      <c r="E1223" s="594">
        <f t="shared" si="66"/>
        <v>45108</v>
      </c>
      <c r="F1223" s="316">
        <f t="shared" si="67"/>
        <v>0</v>
      </c>
      <c r="G1223" s="316">
        <f t="shared" si="65"/>
        <v>0</v>
      </c>
      <c r="H1223" s="432">
        <f t="shared" si="68"/>
        <v>0</v>
      </c>
    </row>
    <row r="1224" spans="5:8" s="432" customFormat="1" hidden="1" x14ac:dyDescent="0.35">
      <c r="E1224" s="594">
        <f t="shared" si="66"/>
        <v>45108</v>
      </c>
      <c r="F1224" s="316">
        <f t="shared" si="67"/>
        <v>0</v>
      </c>
      <c r="G1224" s="316">
        <f t="shared" si="65"/>
        <v>0</v>
      </c>
      <c r="H1224" s="432">
        <f t="shared" si="68"/>
        <v>0</v>
      </c>
    </row>
    <row r="1225" spans="5:8" s="432" customFormat="1" hidden="1" x14ac:dyDescent="0.35">
      <c r="E1225" s="594">
        <f t="shared" si="66"/>
        <v>45108</v>
      </c>
      <c r="F1225" s="316">
        <f t="shared" si="67"/>
        <v>0</v>
      </c>
      <c r="G1225" s="316">
        <f t="shared" si="65"/>
        <v>0</v>
      </c>
      <c r="H1225" s="432">
        <f t="shared" si="68"/>
        <v>0</v>
      </c>
    </row>
    <row r="1226" spans="5:8" s="432" customFormat="1" hidden="1" x14ac:dyDescent="0.35">
      <c r="E1226" s="594">
        <f t="shared" si="66"/>
        <v>45108</v>
      </c>
      <c r="F1226" s="316">
        <f t="shared" si="67"/>
        <v>0</v>
      </c>
      <c r="G1226" s="316">
        <f t="shared" si="65"/>
        <v>0</v>
      </c>
      <c r="H1226" s="432">
        <f t="shared" si="68"/>
        <v>0</v>
      </c>
    </row>
    <row r="1227" spans="5:8" s="432" customFormat="1" hidden="1" x14ac:dyDescent="0.35">
      <c r="E1227" s="594">
        <f t="shared" si="66"/>
        <v>45108</v>
      </c>
      <c r="F1227" s="316">
        <f t="shared" si="67"/>
        <v>0</v>
      </c>
      <c r="G1227" s="316">
        <f t="shared" si="65"/>
        <v>0</v>
      </c>
      <c r="H1227" s="432">
        <f t="shared" si="68"/>
        <v>0</v>
      </c>
    </row>
    <row r="1228" spans="5:8" s="432" customFormat="1" hidden="1" x14ac:dyDescent="0.35">
      <c r="E1228" s="594">
        <f t="shared" si="66"/>
        <v>45108</v>
      </c>
      <c r="F1228" s="316">
        <f t="shared" si="67"/>
        <v>0</v>
      </c>
      <c r="G1228" s="316">
        <f t="shared" si="65"/>
        <v>0</v>
      </c>
      <c r="H1228" s="432">
        <f t="shared" si="68"/>
        <v>0</v>
      </c>
    </row>
    <row r="1229" spans="5:8" s="432" customFormat="1" hidden="1" x14ac:dyDescent="0.35">
      <c r="E1229" s="594">
        <f t="shared" si="66"/>
        <v>45108</v>
      </c>
      <c r="F1229" s="316">
        <f t="shared" si="67"/>
        <v>0</v>
      </c>
      <c r="G1229" s="316">
        <f t="shared" si="65"/>
        <v>0</v>
      </c>
      <c r="H1229" s="432">
        <f t="shared" si="68"/>
        <v>0</v>
      </c>
    </row>
    <row r="1230" spans="5:8" s="432" customFormat="1" hidden="1" x14ac:dyDescent="0.35">
      <c r="E1230" s="594">
        <f t="shared" si="66"/>
        <v>45108</v>
      </c>
      <c r="F1230" s="316">
        <f t="shared" si="67"/>
        <v>0</v>
      </c>
      <c r="G1230" s="316">
        <f t="shared" si="65"/>
        <v>0</v>
      </c>
      <c r="H1230" s="432">
        <f t="shared" si="68"/>
        <v>0</v>
      </c>
    </row>
    <row r="1231" spans="5:8" s="432" customFormat="1" hidden="1" x14ac:dyDescent="0.35">
      <c r="E1231" s="594">
        <f t="shared" si="66"/>
        <v>45108</v>
      </c>
      <c r="F1231" s="316">
        <f t="shared" si="67"/>
        <v>0</v>
      </c>
      <c r="G1231" s="316">
        <f t="shared" si="65"/>
        <v>0</v>
      </c>
      <c r="H1231" s="432">
        <f t="shared" si="68"/>
        <v>0</v>
      </c>
    </row>
    <row r="1232" spans="5:8" s="432" customFormat="1" hidden="1" x14ac:dyDescent="0.35">
      <c r="E1232" s="594">
        <f t="shared" si="66"/>
        <v>45108</v>
      </c>
      <c r="F1232" s="316">
        <f t="shared" si="67"/>
        <v>0</v>
      </c>
      <c r="G1232" s="316">
        <f t="shared" si="65"/>
        <v>0</v>
      </c>
      <c r="H1232" s="432">
        <f t="shared" si="68"/>
        <v>0</v>
      </c>
    </row>
    <row r="1233" spans="5:8" s="432" customFormat="1" hidden="1" x14ac:dyDescent="0.35">
      <c r="E1233" s="594">
        <f t="shared" si="66"/>
        <v>45108</v>
      </c>
      <c r="F1233" s="316">
        <f t="shared" si="67"/>
        <v>0</v>
      </c>
      <c r="G1233" s="316">
        <f t="shared" si="65"/>
        <v>0</v>
      </c>
      <c r="H1233" s="432">
        <f t="shared" si="68"/>
        <v>0</v>
      </c>
    </row>
    <row r="1234" spans="5:8" s="432" customFormat="1" hidden="1" x14ac:dyDescent="0.35">
      <c r="E1234" s="594">
        <f t="shared" si="66"/>
        <v>45108</v>
      </c>
      <c r="F1234" s="316">
        <f t="shared" si="67"/>
        <v>0</v>
      </c>
      <c r="G1234" s="316">
        <f t="shared" si="65"/>
        <v>0</v>
      </c>
      <c r="H1234" s="432">
        <f t="shared" si="68"/>
        <v>0</v>
      </c>
    </row>
    <row r="1235" spans="5:8" s="432" customFormat="1" hidden="1" x14ac:dyDescent="0.35">
      <c r="E1235" s="594">
        <f t="shared" si="66"/>
        <v>45108</v>
      </c>
      <c r="F1235" s="316">
        <f t="shared" si="67"/>
        <v>0</v>
      </c>
      <c r="G1235" s="316">
        <f t="shared" si="65"/>
        <v>0</v>
      </c>
      <c r="H1235" s="432">
        <f t="shared" si="68"/>
        <v>0</v>
      </c>
    </row>
    <row r="1236" spans="5:8" s="432" customFormat="1" hidden="1" x14ac:dyDescent="0.35">
      <c r="E1236" s="594">
        <f t="shared" si="66"/>
        <v>45108</v>
      </c>
      <c r="F1236" s="316">
        <f t="shared" si="67"/>
        <v>0</v>
      </c>
      <c r="G1236" s="316">
        <f t="shared" si="65"/>
        <v>0</v>
      </c>
      <c r="H1236" s="432">
        <f t="shared" si="68"/>
        <v>0</v>
      </c>
    </row>
    <row r="1237" spans="5:8" s="432" customFormat="1" hidden="1" x14ac:dyDescent="0.35">
      <c r="E1237" s="594">
        <f t="shared" si="66"/>
        <v>45108</v>
      </c>
      <c r="F1237" s="316">
        <f t="shared" si="67"/>
        <v>0</v>
      </c>
      <c r="G1237" s="316">
        <f t="shared" si="65"/>
        <v>0</v>
      </c>
      <c r="H1237" s="432">
        <f t="shared" si="68"/>
        <v>0</v>
      </c>
    </row>
    <row r="1238" spans="5:8" s="432" customFormat="1" hidden="1" x14ac:dyDescent="0.35">
      <c r="E1238" s="594">
        <f t="shared" si="66"/>
        <v>45108</v>
      </c>
      <c r="F1238" s="316">
        <f t="shared" si="67"/>
        <v>0</v>
      </c>
      <c r="G1238" s="316">
        <f t="shared" si="65"/>
        <v>0</v>
      </c>
      <c r="H1238" s="432">
        <f t="shared" si="68"/>
        <v>0</v>
      </c>
    </row>
    <row r="1239" spans="5:8" s="432" customFormat="1" hidden="1" x14ac:dyDescent="0.35">
      <c r="E1239" s="594">
        <f t="shared" si="66"/>
        <v>45108</v>
      </c>
      <c r="F1239" s="316">
        <f t="shared" si="67"/>
        <v>0</v>
      </c>
      <c r="G1239" s="316">
        <f t="shared" si="65"/>
        <v>0</v>
      </c>
      <c r="H1239" s="432">
        <f t="shared" si="68"/>
        <v>0</v>
      </c>
    </row>
    <row r="1240" spans="5:8" s="432" customFormat="1" hidden="1" x14ac:dyDescent="0.35">
      <c r="E1240" s="594">
        <f t="shared" si="66"/>
        <v>45108</v>
      </c>
      <c r="F1240" s="316">
        <f t="shared" si="67"/>
        <v>0</v>
      </c>
      <c r="G1240" s="316">
        <f t="shared" ref="G1240:G1279" si="69">ROUND(F1240,-2)</f>
        <v>0</v>
      </c>
      <c r="H1240" s="432">
        <f t="shared" si="68"/>
        <v>0</v>
      </c>
    </row>
    <row r="1241" spans="5:8" s="432" customFormat="1" hidden="1" x14ac:dyDescent="0.35">
      <c r="E1241" s="594">
        <f t="shared" ref="E1241:E1280" si="70">IF(E1240&lt;$C$153,E1240+1,$C$153)</f>
        <v>45108</v>
      </c>
      <c r="F1241" s="316">
        <f t="shared" ref="F1241:F1279" si="71">IF(E1240&lt;$C$153,F1240+C$155,F1240)</f>
        <v>0</v>
      </c>
      <c r="G1241" s="316">
        <f t="shared" si="69"/>
        <v>0</v>
      </c>
      <c r="H1241" s="432">
        <f t="shared" ref="H1241:H1280" si="72">IF(F1241&gt;F1240,(VLOOKUP(G1241,$K$151:$O$157,MATCH($C$156,$K$151:$O$151,0),0)),0)</f>
        <v>0</v>
      </c>
    </row>
    <row r="1242" spans="5:8" s="432" customFormat="1" hidden="1" x14ac:dyDescent="0.35">
      <c r="E1242" s="594">
        <f t="shared" si="70"/>
        <v>45108</v>
      </c>
      <c r="F1242" s="316">
        <f t="shared" si="71"/>
        <v>0</v>
      </c>
      <c r="G1242" s="316">
        <f t="shared" si="69"/>
        <v>0</v>
      </c>
      <c r="H1242" s="432">
        <f t="shared" si="72"/>
        <v>0</v>
      </c>
    </row>
    <row r="1243" spans="5:8" s="432" customFormat="1" hidden="1" x14ac:dyDescent="0.35">
      <c r="E1243" s="594">
        <f t="shared" si="70"/>
        <v>45108</v>
      </c>
      <c r="F1243" s="316">
        <f t="shared" si="71"/>
        <v>0</v>
      </c>
      <c r="G1243" s="316">
        <f t="shared" si="69"/>
        <v>0</v>
      </c>
      <c r="H1243" s="432">
        <f t="shared" si="72"/>
        <v>0</v>
      </c>
    </row>
    <row r="1244" spans="5:8" s="432" customFormat="1" hidden="1" x14ac:dyDescent="0.35">
      <c r="E1244" s="594">
        <f t="shared" si="70"/>
        <v>45108</v>
      </c>
      <c r="F1244" s="316">
        <f t="shared" si="71"/>
        <v>0</v>
      </c>
      <c r="G1244" s="316">
        <f t="shared" si="69"/>
        <v>0</v>
      </c>
      <c r="H1244" s="432">
        <f t="shared" si="72"/>
        <v>0</v>
      </c>
    </row>
    <row r="1245" spans="5:8" s="432" customFormat="1" hidden="1" x14ac:dyDescent="0.35">
      <c r="E1245" s="594">
        <f t="shared" si="70"/>
        <v>45108</v>
      </c>
      <c r="F1245" s="316">
        <f t="shared" si="71"/>
        <v>0</v>
      </c>
      <c r="G1245" s="316">
        <f t="shared" si="69"/>
        <v>0</v>
      </c>
      <c r="H1245" s="432">
        <f t="shared" si="72"/>
        <v>0</v>
      </c>
    </row>
    <row r="1246" spans="5:8" s="432" customFormat="1" hidden="1" x14ac:dyDescent="0.35">
      <c r="E1246" s="594">
        <f t="shared" si="70"/>
        <v>45108</v>
      </c>
      <c r="F1246" s="316">
        <f t="shared" si="71"/>
        <v>0</v>
      </c>
      <c r="G1246" s="316">
        <f t="shared" si="69"/>
        <v>0</v>
      </c>
      <c r="H1246" s="432">
        <f t="shared" si="72"/>
        <v>0</v>
      </c>
    </row>
    <row r="1247" spans="5:8" s="432" customFormat="1" hidden="1" x14ac:dyDescent="0.35">
      <c r="E1247" s="594">
        <f t="shared" si="70"/>
        <v>45108</v>
      </c>
      <c r="F1247" s="316">
        <f t="shared" si="71"/>
        <v>0</v>
      </c>
      <c r="G1247" s="316">
        <f t="shared" si="69"/>
        <v>0</v>
      </c>
      <c r="H1247" s="432">
        <f t="shared" si="72"/>
        <v>0</v>
      </c>
    </row>
    <row r="1248" spans="5:8" s="432" customFormat="1" hidden="1" x14ac:dyDescent="0.35">
      <c r="E1248" s="594">
        <f t="shared" si="70"/>
        <v>45108</v>
      </c>
      <c r="F1248" s="316">
        <f t="shared" si="71"/>
        <v>0</v>
      </c>
      <c r="G1248" s="316">
        <f t="shared" si="69"/>
        <v>0</v>
      </c>
      <c r="H1248" s="432">
        <f t="shared" si="72"/>
        <v>0</v>
      </c>
    </row>
    <row r="1249" spans="5:8" s="432" customFormat="1" hidden="1" x14ac:dyDescent="0.35">
      <c r="E1249" s="594">
        <f t="shared" si="70"/>
        <v>45108</v>
      </c>
      <c r="F1249" s="316">
        <f t="shared" si="71"/>
        <v>0</v>
      </c>
      <c r="G1249" s="316">
        <f t="shared" si="69"/>
        <v>0</v>
      </c>
      <c r="H1249" s="432">
        <f t="shared" si="72"/>
        <v>0</v>
      </c>
    </row>
    <row r="1250" spans="5:8" s="432" customFormat="1" hidden="1" x14ac:dyDescent="0.35">
      <c r="E1250" s="594">
        <f t="shared" si="70"/>
        <v>45108</v>
      </c>
      <c r="F1250" s="316">
        <f t="shared" si="71"/>
        <v>0</v>
      </c>
      <c r="G1250" s="316">
        <f t="shared" si="69"/>
        <v>0</v>
      </c>
      <c r="H1250" s="432">
        <f t="shared" si="72"/>
        <v>0</v>
      </c>
    </row>
    <row r="1251" spans="5:8" s="432" customFormat="1" hidden="1" x14ac:dyDescent="0.35">
      <c r="E1251" s="594">
        <f t="shared" si="70"/>
        <v>45108</v>
      </c>
      <c r="F1251" s="316">
        <f t="shared" si="71"/>
        <v>0</v>
      </c>
      <c r="G1251" s="316">
        <f t="shared" si="69"/>
        <v>0</v>
      </c>
      <c r="H1251" s="432">
        <f t="shared" si="72"/>
        <v>0</v>
      </c>
    </row>
    <row r="1252" spans="5:8" s="432" customFormat="1" hidden="1" x14ac:dyDescent="0.35">
      <c r="E1252" s="594">
        <f t="shared" si="70"/>
        <v>45108</v>
      </c>
      <c r="F1252" s="316">
        <f t="shared" si="71"/>
        <v>0</v>
      </c>
      <c r="G1252" s="316">
        <f t="shared" si="69"/>
        <v>0</v>
      </c>
      <c r="H1252" s="432">
        <f t="shared" si="72"/>
        <v>0</v>
      </c>
    </row>
    <row r="1253" spans="5:8" s="432" customFormat="1" hidden="1" x14ac:dyDescent="0.35">
      <c r="E1253" s="594">
        <f t="shared" si="70"/>
        <v>45108</v>
      </c>
      <c r="F1253" s="316">
        <f t="shared" si="71"/>
        <v>0</v>
      </c>
      <c r="G1253" s="316">
        <f t="shared" si="69"/>
        <v>0</v>
      </c>
      <c r="H1253" s="432">
        <f t="shared" si="72"/>
        <v>0</v>
      </c>
    </row>
    <row r="1254" spans="5:8" s="432" customFormat="1" hidden="1" x14ac:dyDescent="0.35">
      <c r="E1254" s="594">
        <f t="shared" si="70"/>
        <v>45108</v>
      </c>
      <c r="F1254" s="316">
        <f t="shared" si="71"/>
        <v>0</v>
      </c>
      <c r="G1254" s="316">
        <f t="shared" si="69"/>
        <v>0</v>
      </c>
      <c r="H1254" s="432">
        <f t="shared" si="72"/>
        <v>0</v>
      </c>
    </row>
    <row r="1255" spans="5:8" s="432" customFormat="1" hidden="1" x14ac:dyDescent="0.35">
      <c r="E1255" s="594">
        <f t="shared" si="70"/>
        <v>45108</v>
      </c>
      <c r="F1255" s="316">
        <f t="shared" si="71"/>
        <v>0</v>
      </c>
      <c r="G1255" s="316">
        <f t="shared" si="69"/>
        <v>0</v>
      </c>
      <c r="H1255" s="432">
        <f t="shared" si="72"/>
        <v>0</v>
      </c>
    </row>
    <row r="1256" spans="5:8" s="432" customFormat="1" hidden="1" x14ac:dyDescent="0.35">
      <c r="E1256" s="594">
        <f t="shared" si="70"/>
        <v>45108</v>
      </c>
      <c r="F1256" s="316">
        <f t="shared" si="71"/>
        <v>0</v>
      </c>
      <c r="G1256" s="316">
        <f t="shared" si="69"/>
        <v>0</v>
      </c>
      <c r="H1256" s="432">
        <f t="shared" si="72"/>
        <v>0</v>
      </c>
    </row>
    <row r="1257" spans="5:8" s="432" customFormat="1" hidden="1" x14ac:dyDescent="0.35">
      <c r="E1257" s="594">
        <f t="shared" si="70"/>
        <v>45108</v>
      </c>
      <c r="F1257" s="316">
        <f t="shared" si="71"/>
        <v>0</v>
      </c>
      <c r="G1257" s="316">
        <f t="shared" si="69"/>
        <v>0</v>
      </c>
      <c r="H1257" s="432">
        <f t="shared" si="72"/>
        <v>0</v>
      </c>
    </row>
    <row r="1258" spans="5:8" s="432" customFormat="1" hidden="1" x14ac:dyDescent="0.35">
      <c r="E1258" s="594">
        <f t="shared" si="70"/>
        <v>45108</v>
      </c>
      <c r="F1258" s="316">
        <f t="shared" si="71"/>
        <v>0</v>
      </c>
      <c r="G1258" s="316">
        <f t="shared" si="69"/>
        <v>0</v>
      </c>
      <c r="H1258" s="432">
        <f t="shared" si="72"/>
        <v>0</v>
      </c>
    </row>
    <row r="1259" spans="5:8" s="432" customFormat="1" hidden="1" x14ac:dyDescent="0.35">
      <c r="E1259" s="594">
        <f t="shared" si="70"/>
        <v>45108</v>
      </c>
      <c r="F1259" s="316">
        <f t="shared" si="71"/>
        <v>0</v>
      </c>
      <c r="G1259" s="316">
        <f t="shared" si="69"/>
        <v>0</v>
      </c>
      <c r="H1259" s="432">
        <f t="shared" si="72"/>
        <v>0</v>
      </c>
    </row>
    <row r="1260" spans="5:8" s="432" customFormat="1" hidden="1" x14ac:dyDescent="0.35">
      <c r="E1260" s="594">
        <f t="shared" si="70"/>
        <v>45108</v>
      </c>
      <c r="F1260" s="316">
        <f t="shared" si="71"/>
        <v>0</v>
      </c>
      <c r="G1260" s="316">
        <f t="shared" si="69"/>
        <v>0</v>
      </c>
      <c r="H1260" s="432">
        <f t="shared" si="72"/>
        <v>0</v>
      </c>
    </row>
    <row r="1261" spans="5:8" s="432" customFormat="1" hidden="1" x14ac:dyDescent="0.35">
      <c r="E1261" s="594">
        <f t="shared" si="70"/>
        <v>45108</v>
      </c>
      <c r="F1261" s="316">
        <f t="shared" si="71"/>
        <v>0</v>
      </c>
      <c r="G1261" s="316">
        <f t="shared" si="69"/>
        <v>0</v>
      </c>
      <c r="H1261" s="432">
        <f t="shared" si="72"/>
        <v>0</v>
      </c>
    </row>
    <row r="1262" spans="5:8" s="432" customFormat="1" hidden="1" x14ac:dyDescent="0.35">
      <c r="E1262" s="594">
        <f t="shared" si="70"/>
        <v>45108</v>
      </c>
      <c r="F1262" s="316">
        <f t="shared" si="71"/>
        <v>0</v>
      </c>
      <c r="G1262" s="316">
        <f t="shared" si="69"/>
        <v>0</v>
      </c>
      <c r="H1262" s="432">
        <f t="shared" si="72"/>
        <v>0</v>
      </c>
    </row>
    <row r="1263" spans="5:8" s="432" customFormat="1" hidden="1" x14ac:dyDescent="0.35">
      <c r="E1263" s="594">
        <f t="shared" si="70"/>
        <v>45108</v>
      </c>
      <c r="F1263" s="316">
        <f t="shared" si="71"/>
        <v>0</v>
      </c>
      <c r="G1263" s="316">
        <f t="shared" si="69"/>
        <v>0</v>
      </c>
      <c r="H1263" s="432">
        <f t="shared" si="72"/>
        <v>0</v>
      </c>
    </row>
    <row r="1264" spans="5:8" s="432" customFormat="1" hidden="1" x14ac:dyDescent="0.35">
      <c r="E1264" s="594">
        <f t="shared" si="70"/>
        <v>45108</v>
      </c>
      <c r="F1264" s="316">
        <f t="shared" si="71"/>
        <v>0</v>
      </c>
      <c r="G1264" s="316">
        <f t="shared" si="69"/>
        <v>0</v>
      </c>
      <c r="H1264" s="432">
        <f t="shared" si="72"/>
        <v>0</v>
      </c>
    </row>
    <row r="1265" spans="5:8" s="432" customFormat="1" hidden="1" x14ac:dyDescent="0.35">
      <c r="E1265" s="594">
        <f t="shared" si="70"/>
        <v>45108</v>
      </c>
      <c r="F1265" s="316">
        <f t="shared" si="71"/>
        <v>0</v>
      </c>
      <c r="G1265" s="316">
        <f t="shared" si="69"/>
        <v>0</v>
      </c>
      <c r="H1265" s="432">
        <f t="shared" si="72"/>
        <v>0</v>
      </c>
    </row>
    <row r="1266" spans="5:8" s="432" customFormat="1" hidden="1" x14ac:dyDescent="0.35">
      <c r="E1266" s="594">
        <f t="shared" si="70"/>
        <v>45108</v>
      </c>
      <c r="F1266" s="316">
        <f t="shared" si="71"/>
        <v>0</v>
      </c>
      <c r="G1266" s="316">
        <f t="shared" si="69"/>
        <v>0</v>
      </c>
      <c r="H1266" s="432">
        <f t="shared" si="72"/>
        <v>0</v>
      </c>
    </row>
    <row r="1267" spans="5:8" s="432" customFormat="1" hidden="1" x14ac:dyDescent="0.35">
      <c r="E1267" s="594">
        <f t="shared" si="70"/>
        <v>45108</v>
      </c>
      <c r="F1267" s="316">
        <f t="shared" si="71"/>
        <v>0</v>
      </c>
      <c r="G1267" s="316">
        <f t="shared" si="69"/>
        <v>0</v>
      </c>
      <c r="H1267" s="432">
        <f t="shared" si="72"/>
        <v>0</v>
      </c>
    </row>
    <row r="1268" spans="5:8" s="432" customFormat="1" hidden="1" x14ac:dyDescent="0.35">
      <c r="E1268" s="594">
        <f t="shared" si="70"/>
        <v>45108</v>
      </c>
      <c r="F1268" s="316">
        <f t="shared" si="71"/>
        <v>0</v>
      </c>
      <c r="G1268" s="316">
        <f t="shared" si="69"/>
        <v>0</v>
      </c>
      <c r="H1268" s="432">
        <f t="shared" si="72"/>
        <v>0</v>
      </c>
    </row>
    <row r="1269" spans="5:8" s="432" customFormat="1" hidden="1" x14ac:dyDescent="0.35">
      <c r="E1269" s="594">
        <f t="shared" si="70"/>
        <v>45108</v>
      </c>
      <c r="F1269" s="316">
        <f t="shared" si="71"/>
        <v>0</v>
      </c>
      <c r="G1269" s="316">
        <f t="shared" si="69"/>
        <v>0</v>
      </c>
      <c r="H1269" s="432">
        <f t="shared" si="72"/>
        <v>0</v>
      </c>
    </row>
    <row r="1270" spans="5:8" s="432" customFormat="1" hidden="1" x14ac:dyDescent="0.35">
      <c r="E1270" s="594">
        <f t="shared" si="70"/>
        <v>45108</v>
      </c>
      <c r="F1270" s="316">
        <f t="shared" si="71"/>
        <v>0</v>
      </c>
      <c r="G1270" s="316">
        <f t="shared" si="69"/>
        <v>0</v>
      </c>
      <c r="H1270" s="432">
        <f t="shared" si="72"/>
        <v>0</v>
      </c>
    </row>
    <row r="1271" spans="5:8" s="432" customFormat="1" hidden="1" x14ac:dyDescent="0.35">
      <c r="E1271" s="594">
        <f t="shared" si="70"/>
        <v>45108</v>
      </c>
      <c r="F1271" s="316">
        <f t="shared" si="71"/>
        <v>0</v>
      </c>
      <c r="G1271" s="316">
        <f t="shared" si="69"/>
        <v>0</v>
      </c>
      <c r="H1271" s="432">
        <f t="shared" si="72"/>
        <v>0</v>
      </c>
    </row>
    <row r="1272" spans="5:8" s="432" customFormat="1" hidden="1" x14ac:dyDescent="0.35">
      <c r="E1272" s="594">
        <f t="shared" si="70"/>
        <v>45108</v>
      </c>
      <c r="F1272" s="316">
        <f t="shared" si="71"/>
        <v>0</v>
      </c>
      <c r="G1272" s="316">
        <f t="shared" si="69"/>
        <v>0</v>
      </c>
      <c r="H1272" s="432">
        <f t="shared" si="72"/>
        <v>0</v>
      </c>
    </row>
    <row r="1273" spans="5:8" s="432" customFormat="1" hidden="1" x14ac:dyDescent="0.35">
      <c r="E1273" s="594">
        <f t="shared" si="70"/>
        <v>45108</v>
      </c>
      <c r="F1273" s="316">
        <f t="shared" si="71"/>
        <v>0</v>
      </c>
      <c r="G1273" s="316">
        <f t="shared" si="69"/>
        <v>0</v>
      </c>
      <c r="H1273" s="432">
        <f t="shared" si="72"/>
        <v>0</v>
      </c>
    </row>
    <row r="1274" spans="5:8" s="432" customFormat="1" hidden="1" x14ac:dyDescent="0.35">
      <c r="E1274" s="594">
        <f t="shared" si="70"/>
        <v>45108</v>
      </c>
      <c r="F1274" s="316">
        <f t="shared" si="71"/>
        <v>0</v>
      </c>
      <c r="G1274" s="316">
        <f t="shared" si="69"/>
        <v>0</v>
      </c>
      <c r="H1274" s="432">
        <f t="shared" si="72"/>
        <v>0</v>
      </c>
    </row>
    <row r="1275" spans="5:8" s="432" customFormat="1" hidden="1" x14ac:dyDescent="0.35">
      <c r="E1275" s="594">
        <f t="shared" si="70"/>
        <v>45108</v>
      </c>
      <c r="F1275" s="316">
        <f t="shared" si="71"/>
        <v>0</v>
      </c>
      <c r="G1275" s="316">
        <f t="shared" si="69"/>
        <v>0</v>
      </c>
      <c r="H1275" s="432">
        <f t="shared" si="72"/>
        <v>0</v>
      </c>
    </row>
    <row r="1276" spans="5:8" s="432" customFormat="1" hidden="1" x14ac:dyDescent="0.35">
      <c r="E1276" s="594">
        <f t="shared" si="70"/>
        <v>45108</v>
      </c>
      <c r="F1276" s="316">
        <f t="shared" si="71"/>
        <v>0</v>
      </c>
      <c r="G1276" s="316">
        <f t="shared" si="69"/>
        <v>0</v>
      </c>
      <c r="H1276" s="432">
        <f t="shared" si="72"/>
        <v>0</v>
      </c>
    </row>
    <row r="1277" spans="5:8" s="432" customFormat="1" hidden="1" x14ac:dyDescent="0.35">
      <c r="E1277" s="594">
        <f t="shared" si="70"/>
        <v>45108</v>
      </c>
      <c r="F1277" s="316">
        <f t="shared" si="71"/>
        <v>0</v>
      </c>
      <c r="G1277" s="316">
        <f t="shared" si="69"/>
        <v>0</v>
      </c>
      <c r="H1277" s="432">
        <f t="shared" si="72"/>
        <v>0</v>
      </c>
    </row>
    <row r="1278" spans="5:8" s="432" customFormat="1" hidden="1" x14ac:dyDescent="0.35">
      <c r="E1278" s="594">
        <f t="shared" si="70"/>
        <v>45108</v>
      </c>
      <c r="F1278" s="316">
        <f t="shared" si="71"/>
        <v>0</v>
      </c>
      <c r="G1278" s="316">
        <f t="shared" si="69"/>
        <v>0</v>
      </c>
      <c r="H1278" s="432">
        <f t="shared" si="72"/>
        <v>0</v>
      </c>
    </row>
    <row r="1279" spans="5:8" s="432" customFormat="1" hidden="1" x14ac:dyDescent="0.35">
      <c r="E1279" s="594">
        <f t="shared" si="70"/>
        <v>45108</v>
      </c>
      <c r="F1279" s="316">
        <f t="shared" si="71"/>
        <v>0</v>
      </c>
      <c r="G1279" s="316">
        <f t="shared" si="69"/>
        <v>0</v>
      </c>
      <c r="H1279" s="432">
        <f t="shared" si="72"/>
        <v>0</v>
      </c>
    </row>
    <row r="1280" spans="5:8" s="432" customFormat="1" hidden="1" x14ac:dyDescent="0.35">
      <c r="E1280" s="594">
        <f t="shared" si="70"/>
        <v>45108</v>
      </c>
      <c r="H1280" s="432">
        <f t="shared" si="72"/>
        <v>0</v>
      </c>
    </row>
    <row r="1281" spans="5:8" s="432" customFormat="1" hidden="1" x14ac:dyDescent="0.35">
      <c r="E1281" s="432" t="s">
        <v>492</v>
      </c>
      <c r="H1281" s="432" t="e">
        <f>SUM(H151:H1280)</f>
        <v>#N/A</v>
      </c>
    </row>
    <row r="1282" spans="5:8" s="432" customFormat="1" hidden="1" x14ac:dyDescent="0.35"/>
    <row r="1283" spans="5:8" s="432" customFormat="1" hidden="1" x14ac:dyDescent="0.35"/>
    <row r="1284" spans="5:8" s="432" customFormat="1" hidden="1" x14ac:dyDescent="0.35"/>
    <row r="1285" spans="5:8" s="432" customFormat="1" hidden="1" x14ac:dyDescent="0.35"/>
    <row r="1286" spans="5:8" s="432" customFormat="1" hidden="1" x14ac:dyDescent="0.35"/>
    <row r="1287" spans="5:8" s="432" customFormat="1" hidden="1" x14ac:dyDescent="0.35"/>
    <row r="1288" spans="5:8" s="432" customFormat="1" hidden="1" x14ac:dyDescent="0.35"/>
    <row r="1289" spans="5:8" s="432" customFormat="1" hidden="1" x14ac:dyDescent="0.35"/>
    <row r="1290" spans="5:8" s="432" customFormat="1" hidden="1" x14ac:dyDescent="0.35"/>
    <row r="1291" spans="5:8" s="432" customFormat="1" hidden="1" x14ac:dyDescent="0.35"/>
    <row r="1292" spans="5:8" s="432" customFormat="1" hidden="1" x14ac:dyDescent="0.35"/>
    <row r="1293" spans="5:8" s="432" customFormat="1" hidden="1" x14ac:dyDescent="0.35"/>
    <row r="1294" spans="5:8" s="432" customFormat="1" hidden="1" x14ac:dyDescent="0.35"/>
    <row r="1295" spans="5:8" s="432" customFormat="1" hidden="1" x14ac:dyDescent="0.35"/>
    <row r="1296" spans="5:8" s="432" customFormat="1" hidden="1" x14ac:dyDescent="0.35"/>
    <row r="1297" s="432" customFormat="1" hidden="1" x14ac:dyDescent="0.35"/>
    <row r="1298" s="432" customFormat="1" hidden="1" x14ac:dyDescent="0.35"/>
    <row r="1299" s="432" customFormat="1" hidden="1" x14ac:dyDescent="0.35"/>
    <row r="1300" s="432" customFormat="1" hidden="1" x14ac:dyDescent="0.35"/>
    <row r="1301" s="432" customFormat="1" hidden="1" x14ac:dyDescent="0.35"/>
    <row r="1302" s="432" customFormat="1" hidden="1" x14ac:dyDescent="0.35"/>
    <row r="1303" s="432" customFormat="1" hidden="1" x14ac:dyDescent="0.35"/>
    <row r="1304" s="432" customFormat="1" hidden="1" x14ac:dyDescent="0.35"/>
    <row r="1305" s="432" customFormat="1" hidden="1" x14ac:dyDescent="0.35"/>
    <row r="1306" s="432" customFormat="1" hidden="1" x14ac:dyDescent="0.35"/>
    <row r="1307" s="432" customFormat="1" hidden="1" x14ac:dyDescent="0.35"/>
    <row r="1308" s="432" customFormat="1" hidden="1" x14ac:dyDescent="0.35"/>
    <row r="1309" s="432" customFormat="1" hidden="1" x14ac:dyDescent="0.35"/>
    <row r="1310" s="432" customFormat="1" hidden="1" x14ac:dyDescent="0.35"/>
    <row r="1311" s="432" customFormat="1" hidden="1" x14ac:dyDescent="0.35"/>
    <row r="1312" s="432" customFormat="1" hidden="1" x14ac:dyDescent="0.35"/>
    <row r="1313" s="432" customFormat="1" hidden="1" x14ac:dyDescent="0.35"/>
    <row r="1314" s="432" customFormat="1" hidden="1" x14ac:dyDescent="0.35"/>
    <row r="1315" s="432" customFormat="1" hidden="1" x14ac:dyDescent="0.35"/>
    <row r="1316" s="432" customFormat="1" hidden="1" x14ac:dyDescent="0.35"/>
    <row r="1317" s="432" customFormat="1" hidden="1" x14ac:dyDescent="0.35"/>
    <row r="1318" s="432" customFormat="1" hidden="1" x14ac:dyDescent="0.35"/>
    <row r="1319" s="432" customFormat="1" hidden="1" x14ac:dyDescent="0.35"/>
    <row r="1320" s="432" customFormat="1" hidden="1" x14ac:dyDescent="0.35"/>
    <row r="1321" s="432" customFormat="1" hidden="1" x14ac:dyDescent="0.35"/>
    <row r="1322" s="432" customFormat="1" hidden="1" x14ac:dyDescent="0.35"/>
    <row r="1323" s="432" customFormat="1" hidden="1" x14ac:dyDescent="0.35"/>
    <row r="1324" s="432" customFormat="1" hidden="1" x14ac:dyDescent="0.35"/>
    <row r="1325" s="432" customFormat="1" hidden="1" x14ac:dyDescent="0.35"/>
    <row r="1326" s="432" customFormat="1" hidden="1" x14ac:dyDescent="0.35"/>
    <row r="1327" s="432" customFormat="1" hidden="1" x14ac:dyDescent="0.35"/>
    <row r="1328" s="432" customFormat="1" hidden="1" x14ac:dyDescent="0.35"/>
    <row r="1329" s="432" customFormat="1" hidden="1" x14ac:dyDescent="0.35"/>
    <row r="1330" s="432" customFormat="1" hidden="1" x14ac:dyDescent="0.35"/>
    <row r="1331" s="432" customFormat="1" hidden="1" x14ac:dyDescent="0.35"/>
    <row r="1332" s="432" customFormat="1" hidden="1" x14ac:dyDescent="0.35"/>
    <row r="1333" s="432" customFormat="1" hidden="1" x14ac:dyDescent="0.35"/>
    <row r="1334" s="432" customFormat="1" hidden="1" x14ac:dyDescent="0.35"/>
    <row r="1335" s="432" customFormat="1" hidden="1" x14ac:dyDescent="0.35"/>
    <row r="1336" s="432" customFormat="1" hidden="1" x14ac:dyDescent="0.35"/>
    <row r="1337" s="432" customFormat="1" hidden="1" x14ac:dyDescent="0.35"/>
    <row r="1338" s="432" customFormat="1" hidden="1" x14ac:dyDescent="0.35"/>
    <row r="1339" s="432" customFormat="1" hidden="1" x14ac:dyDescent="0.35"/>
    <row r="1340" s="432" customFormat="1" hidden="1" x14ac:dyDescent="0.35"/>
    <row r="1341" s="432" customFormat="1" hidden="1" x14ac:dyDescent="0.35"/>
    <row r="1342" s="432" customFormat="1" hidden="1" x14ac:dyDescent="0.35"/>
    <row r="1343" s="432" customFormat="1" hidden="1" x14ac:dyDescent="0.35"/>
    <row r="1344" s="432" customFormat="1" hidden="1" x14ac:dyDescent="0.35"/>
    <row r="1345" s="432" customFormat="1" hidden="1" x14ac:dyDescent="0.35"/>
    <row r="1346" s="432" customFormat="1" hidden="1" x14ac:dyDescent="0.35"/>
    <row r="1347" s="432" customFormat="1" hidden="1" x14ac:dyDescent="0.35"/>
    <row r="1348" s="432" customFormat="1" hidden="1" x14ac:dyDescent="0.35"/>
    <row r="1349" s="432" customFormat="1" hidden="1" x14ac:dyDescent="0.35"/>
    <row r="1350" s="432" customFormat="1" hidden="1" x14ac:dyDescent="0.35"/>
    <row r="1351" s="432" customFormat="1" hidden="1" x14ac:dyDescent="0.35"/>
    <row r="1352" s="432" customFormat="1" hidden="1" x14ac:dyDescent="0.35"/>
    <row r="1353" s="432" customFormat="1" hidden="1" x14ac:dyDescent="0.35"/>
    <row r="1354" s="432" customFormat="1" hidden="1" x14ac:dyDescent="0.35"/>
    <row r="1355" s="432" customFormat="1" hidden="1" x14ac:dyDescent="0.35"/>
    <row r="1356" s="432" customFormat="1" hidden="1" x14ac:dyDescent="0.35"/>
    <row r="1357" s="432" customFormat="1" hidden="1" x14ac:dyDescent="0.35"/>
    <row r="1358" s="432" customFormat="1" hidden="1" x14ac:dyDescent="0.35"/>
    <row r="1359" s="432" customFormat="1" hidden="1" x14ac:dyDescent="0.35"/>
    <row r="1360" s="432" customFormat="1" hidden="1" x14ac:dyDescent="0.35"/>
    <row r="1361" s="432" customFormat="1" hidden="1" x14ac:dyDescent="0.35"/>
    <row r="1362" s="432" customFormat="1" hidden="1" x14ac:dyDescent="0.35"/>
    <row r="1363" s="432" customFormat="1" hidden="1" x14ac:dyDescent="0.35"/>
    <row r="1364" s="432" customFormat="1" hidden="1" x14ac:dyDescent="0.35"/>
    <row r="1365" s="432" customFormat="1" hidden="1" x14ac:dyDescent="0.35"/>
    <row r="1366" s="432" customFormat="1" hidden="1" x14ac:dyDescent="0.35"/>
    <row r="1367" s="432" customFormat="1" hidden="1" x14ac:dyDescent="0.35"/>
    <row r="1368" s="432" customFormat="1" x14ac:dyDescent="0.35"/>
    <row r="1369" s="432" customFormat="1" x14ac:dyDescent="0.35"/>
    <row r="1370" s="432" customFormat="1" x14ac:dyDescent="0.35"/>
    <row r="1371" s="432" customFormat="1" x14ac:dyDescent="0.35"/>
    <row r="1372" s="432" customFormat="1" x14ac:dyDescent="0.35"/>
    <row r="1373" s="432" customFormat="1" x14ac:dyDescent="0.35"/>
    <row r="1374" s="432" customFormat="1" x14ac:dyDescent="0.35"/>
    <row r="1375" s="432" customFormat="1" x14ac:dyDescent="0.35"/>
    <row r="1376" s="432" customFormat="1" x14ac:dyDescent="0.35"/>
    <row r="1377" s="432" customFormat="1" x14ac:dyDescent="0.35"/>
    <row r="1378" s="432" customFormat="1" x14ac:dyDescent="0.35"/>
    <row r="1379" s="432" customFormat="1" x14ac:dyDescent="0.35"/>
    <row r="1380" s="432" customFormat="1" x14ac:dyDescent="0.35"/>
    <row r="1381" s="432" customFormat="1" x14ac:dyDescent="0.35"/>
    <row r="1382" s="432" customFormat="1" x14ac:dyDescent="0.35"/>
    <row r="1383" s="432" customFormat="1" x14ac:dyDescent="0.35"/>
    <row r="1384" s="432" customFormat="1" x14ac:dyDescent="0.35"/>
    <row r="1385" s="432" customFormat="1" x14ac:dyDescent="0.35"/>
    <row r="1386" s="432" customFormat="1" x14ac:dyDescent="0.35"/>
    <row r="1387" s="432" customFormat="1" x14ac:dyDescent="0.35"/>
    <row r="1388" s="432" customFormat="1" x14ac:dyDescent="0.35"/>
    <row r="1389" s="432" customFormat="1" x14ac:dyDescent="0.35"/>
    <row r="1390" s="432" customFormat="1" x14ac:dyDescent="0.35"/>
    <row r="1391" s="432" customFormat="1" x14ac:dyDescent="0.35"/>
    <row r="1392" s="432" customFormat="1" x14ac:dyDescent="0.35"/>
    <row r="1393" s="432" customFormat="1" x14ac:dyDescent="0.35"/>
    <row r="1394" s="432" customFormat="1" x14ac:dyDescent="0.35"/>
    <row r="1395" s="432" customFormat="1" x14ac:dyDescent="0.35"/>
    <row r="1396" s="432" customFormat="1" x14ac:dyDescent="0.35"/>
    <row r="1397" s="432" customFormat="1" x14ac:dyDescent="0.35"/>
    <row r="1398" s="432" customFormat="1" x14ac:dyDescent="0.35"/>
    <row r="1399" s="432" customFormat="1" x14ac:dyDescent="0.35"/>
    <row r="1400" s="432" customFormat="1" x14ac:dyDescent="0.35"/>
    <row r="1401" s="432" customFormat="1" x14ac:dyDescent="0.35"/>
    <row r="1402" s="432" customFormat="1" x14ac:dyDescent="0.35"/>
    <row r="1403" s="432" customFormat="1" x14ac:dyDescent="0.35"/>
    <row r="1404" s="432" customFormat="1" x14ac:dyDescent="0.35"/>
    <row r="1405" s="432" customFormat="1" x14ac:dyDescent="0.35"/>
    <row r="1406" s="432" customFormat="1" x14ac:dyDescent="0.35"/>
    <row r="1407" s="432" customFormat="1" x14ac:dyDescent="0.35"/>
    <row r="1408" s="432" customFormat="1" x14ac:dyDescent="0.35"/>
    <row r="1409" s="432" customFormat="1" x14ac:dyDescent="0.35"/>
    <row r="1410" s="432" customFormat="1" x14ac:dyDescent="0.35"/>
    <row r="1411" s="432" customFormat="1" x14ac:dyDescent="0.35"/>
    <row r="1412" s="432" customFormat="1" x14ac:dyDescent="0.35"/>
    <row r="1413" s="432" customFormat="1" x14ac:dyDescent="0.35"/>
    <row r="1414" s="432" customFormat="1" x14ac:dyDescent="0.35"/>
    <row r="1415" s="432" customFormat="1" x14ac:dyDescent="0.35"/>
    <row r="1416" s="432" customFormat="1" x14ac:dyDescent="0.35"/>
    <row r="1417" s="432" customFormat="1" x14ac:dyDescent="0.35"/>
    <row r="1418" s="432" customFormat="1" x14ac:dyDescent="0.35"/>
    <row r="1419" s="432" customFormat="1" x14ac:dyDescent="0.35"/>
    <row r="1420" s="432" customFormat="1" x14ac:dyDescent="0.35"/>
    <row r="1421" s="432" customFormat="1" x14ac:dyDescent="0.35"/>
    <row r="1422" s="432" customFormat="1" x14ac:dyDescent="0.35"/>
    <row r="1423" s="432" customFormat="1" x14ac:dyDescent="0.35"/>
    <row r="1424" s="432" customFormat="1" x14ac:dyDescent="0.35"/>
    <row r="1425" s="432" customFormat="1" x14ac:dyDescent="0.35"/>
    <row r="1426" s="432" customFormat="1" x14ac:dyDescent="0.35"/>
    <row r="1427" s="432" customFormat="1" x14ac:dyDescent="0.35"/>
    <row r="1428" s="432" customFormat="1" x14ac:dyDescent="0.35"/>
    <row r="1429" s="432" customFormat="1" x14ac:dyDescent="0.35"/>
    <row r="1430" s="432" customFormat="1" x14ac:dyDescent="0.35"/>
    <row r="1431" s="432" customFormat="1" x14ac:dyDescent="0.35"/>
    <row r="1432" s="432" customFormat="1" x14ac:dyDescent="0.35"/>
    <row r="1433" s="432" customFormat="1" x14ac:dyDescent="0.35"/>
    <row r="1434" s="432" customFormat="1" x14ac:dyDescent="0.35"/>
    <row r="1435" s="432" customFormat="1" x14ac:dyDescent="0.35"/>
    <row r="1436" s="432" customFormat="1" x14ac:dyDescent="0.35"/>
    <row r="1437" s="432" customFormat="1" x14ac:dyDescent="0.35"/>
    <row r="1438" s="432" customFormat="1" x14ac:dyDescent="0.35"/>
    <row r="1439" s="432" customFormat="1" x14ac:dyDescent="0.35"/>
    <row r="1440" s="432" customFormat="1" x14ac:dyDescent="0.35"/>
    <row r="1441" s="432" customFormat="1" x14ac:dyDescent="0.35"/>
    <row r="1442" s="432" customFormat="1" x14ac:dyDescent="0.35"/>
    <row r="1443" s="432" customFormat="1" x14ac:dyDescent="0.35"/>
    <row r="1444" s="432" customFormat="1" x14ac:dyDescent="0.35"/>
    <row r="1445" s="432" customFormat="1" x14ac:dyDescent="0.35"/>
    <row r="1446" s="432" customFormat="1" x14ac:dyDescent="0.35"/>
    <row r="1447" s="432" customFormat="1" x14ac:dyDescent="0.35"/>
    <row r="1448" s="432" customFormat="1" x14ac:dyDescent="0.35"/>
    <row r="1449" s="432" customFormat="1" x14ac:dyDescent="0.35"/>
    <row r="1450" s="432" customFormat="1" x14ac:dyDescent="0.35"/>
    <row r="1451" s="432" customFormat="1" x14ac:dyDescent="0.35"/>
    <row r="1452" s="432" customFormat="1" x14ac:dyDescent="0.35"/>
    <row r="1453" s="432" customFormat="1" x14ac:dyDescent="0.35"/>
    <row r="1454" s="432" customFormat="1" x14ac:dyDescent="0.35"/>
    <row r="1455" s="432" customFormat="1" x14ac:dyDescent="0.35"/>
    <row r="1456" s="432" customFormat="1" x14ac:dyDescent="0.35"/>
    <row r="1457" s="432" customFormat="1" x14ac:dyDescent="0.35"/>
    <row r="1458" s="432" customFormat="1" x14ac:dyDescent="0.35"/>
    <row r="1459" s="432" customFormat="1" x14ac:dyDescent="0.35"/>
    <row r="1460" s="432" customFormat="1" x14ac:dyDescent="0.35"/>
    <row r="1461" s="432" customFormat="1" x14ac:dyDescent="0.35"/>
    <row r="1462" s="432" customFormat="1" x14ac:dyDescent="0.35"/>
    <row r="1463" s="432" customFormat="1" x14ac:dyDescent="0.35"/>
    <row r="1464" s="432" customFormat="1" x14ac:dyDescent="0.35"/>
    <row r="1465" s="432" customFormat="1" x14ac:dyDescent="0.35"/>
    <row r="1466" s="432" customFormat="1" x14ac:dyDescent="0.35"/>
    <row r="1467" s="432" customFormat="1" x14ac:dyDescent="0.35"/>
    <row r="1468" s="432" customFormat="1" x14ac:dyDescent="0.35"/>
    <row r="1469" s="432" customFormat="1" x14ac:dyDescent="0.35"/>
    <row r="1470" s="432" customFormat="1" x14ac:dyDescent="0.35"/>
    <row r="1471" s="432" customFormat="1" x14ac:dyDescent="0.35"/>
    <row r="1472" s="432" customFormat="1" x14ac:dyDescent="0.35"/>
    <row r="1473" s="432" customFormat="1" x14ac:dyDescent="0.35"/>
    <row r="1474" s="432" customFormat="1" x14ac:dyDescent="0.35"/>
    <row r="1475" s="432" customFormat="1" x14ac:dyDescent="0.35"/>
    <row r="1476" s="432" customFormat="1" x14ac:dyDescent="0.35"/>
    <row r="1477" s="432" customFormat="1" x14ac:dyDescent="0.35"/>
    <row r="1478" s="432" customFormat="1" x14ac:dyDescent="0.35"/>
    <row r="1479" s="432" customFormat="1" x14ac:dyDescent="0.35"/>
    <row r="1480" s="432" customFormat="1" x14ac:dyDescent="0.35"/>
    <row r="1481" s="432" customFormat="1" x14ac:dyDescent="0.35"/>
    <row r="1482" s="432" customFormat="1" x14ac:dyDescent="0.35"/>
    <row r="1483" s="432" customFormat="1" x14ac:dyDescent="0.35"/>
    <row r="1484" s="432" customFormat="1" x14ac:dyDescent="0.35"/>
    <row r="1485" s="432" customFormat="1" x14ac:dyDescent="0.35"/>
    <row r="1486" s="432" customFormat="1" x14ac:dyDescent="0.35"/>
    <row r="1487" s="432" customFormat="1" x14ac:dyDescent="0.35"/>
    <row r="1488" s="432" customFormat="1" x14ac:dyDescent="0.35"/>
    <row r="1489" s="432" customFormat="1" x14ac:dyDescent="0.35"/>
    <row r="1490" s="432" customFormat="1" x14ac:dyDescent="0.35"/>
    <row r="1491" s="432" customFormat="1" x14ac:dyDescent="0.35"/>
    <row r="1492" s="432" customFormat="1" x14ac:dyDescent="0.35"/>
    <row r="1493" s="432" customFormat="1" x14ac:dyDescent="0.35"/>
    <row r="1494" s="432" customFormat="1" x14ac:dyDescent="0.35"/>
    <row r="1495" s="432" customFormat="1" x14ac:dyDescent="0.35"/>
    <row r="1496" s="432" customFormat="1" x14ac:dyDescent="0.35"/>
    <row r="1497" s="432" customFormat="1" x14ac:dyDescent="0.35"/>
    <row r="1498" s="432" customFormat="1" x14ac:dyDescent="0.35"/>
    <row r="1499" s="432" customFormat="1" x14ac:dyDescent="0.35"/>
    <row r="1500" s="432" customFormat="1" x14ac:dyDescent="0.35"/>
    <row r="1501" s="432" customFormat="1" x14ac:dyDescent="0.35"/>
    <row r="1502" s="432" customFormat="1" x14ac:dyDescent="0.35"/>
    <row r="1503" s="432" customFormat="1" x14ac:dyDescent="0.35"/>
    <row r="1504" s="432" customFormat="1" x14ac:dyDescent="0.35"/>
    <row r="1505" s="432" customFormat="1" x14ac:dyDescent="0.35"/>
    <row r="1506" s="432" customFormat="1" x14ac:dyDescent="0.35"/>
    <row r="1507" s="432" customFormat="1" x14ac:dyDescent="0.35"/>
    <row r="1508" s="432" customFormat="1" x14ac:dyDescent="0.35"/>
    <row r="1509" s="432" customFormat="1" x14ac:dyDescent="0.35"/>
    <row r="1510" s="432" customFormat="1" x14ac:dyDescent="0.35"/>
    <row r="1511" s="432" customFormat="1" x14ac:dyDescent="0.35"/>
    <row r="1512" s="432" customFormat="1" x14ac:dyDescent="0.35"/>
    <row r="1513" s="432" customFormat="1" x14ac:dyDescent="0.35"/>
    <row r="1514" s="432" customFormat="1" x14ac:dyDescent="0.35"/>
    <row r="1515" s="432" customFormat="1" x14ac:dyDescent="0.35"/>
    <row r="1516" s="432" customFormat="1" x14ac:dyDescent="0.35"/>
    <row r="1517" s="432" customFormat="1" x14ac:dyDescent="0.35"/>
    <row r="1518" s="432" customFormat="1" x14ac:dyDescent="0.35"/>
    <row r="1519" s="432" customFormat="1" x14ac:dyDescent="0.35"/>
    <row r="1520" s="432" customFormat="1" x14ac:dyDescent="0.35"/>
    <row r="1521" s="432" customFormat="1" x14ac:dyDescent="0.35"/>
    <row r="1522" s="432" customFormat="1" x14ac:dyDescent="0.35"/>
    <row r="1523" s="432" customFormat="1" x14ac:dyDescent="0.35"/>
    <row r="1524" s="432" customFormat="1" x14ac:dyDescent="0.35"/>
    <row r="1525" s="432" customFormat="1" x14ac:dyDescent="0.35"/>
    <row r="1526" s="432" customFormat="1" x14ac:dyDescent="0.35"/>
    <row r="1527" s="432" customFormat="1" x14ac:dyDescent="0.35"/>
    <row r="1528" s="432" customFormat="1" x14ac:dyDescent="0.35"/>
    <row r="1529" s="432" customFormat="1" x14ac:dyDescent="0.35"/>
    <row r="1530" s="432" customFormat="1" x14ac:dyDescent="0.35"/>
    <row r="1531" s="432" customFormat="1" x14ac:dyDescent="0.35"/>
    <row r="1532" s="432" customFormat="1" x14ac:dyDescent="0.35"/>
    <row r="1533" s="432" customFormat="1" x14ac:dyDescent="0.35"/>
    <row r="1534" s="432" customFormat="1" x14ac:dyDescent="0.35"/>
    <row r="1535" s="432" customFormat="1" x14ac:dyDescent="0.35"/>
  </sheetData>
  <sheetProtection algorithmName="SHA-512" hashValue="yrGZVL0+O/U2kJz/B3zRSWMvkiYkt0m2S/a3RoO2jIE0XPg6FyTq78uIR1xVzyYThGti3anzyvniThPpg4HdNg==" saltValue="eLu8R/TCJ+MNnpDRp+EvdA==" spinCount="100000" sheet="1" objects="1" scenarios="1"/>
  <mergeCells count="1">
    <mergeCell ref="L150:O150"/>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Spinner 1">
              <controlPr defaultSize="0" autoPict="0">
                <anchor moveWithCells="1" sizeWithCells="1">
                  <from>
                    <xdr:col>2</xdr:col>
                    <xdr:colOff>1181100</xdr:colOff>
                    <xdr:row>21</xdr:row>
                    <xdr:rowOff>38100</xdr:rowOff>
                  </from>
                  <to>
                    <xdr:col>2</xdr:col>
                    <xdr:colOff>1524000</xdr:colOff>
                    <xdr:row>21</xdr:row>
                    <xdr:rowOff>222250</xdr:rowOff>
                  </to>
                </anchor>
              </controlPr>
            </control>
          </mc:Choice>
        </mc:AlternateContent>
        <mc:AlternateContent xmlns:mc="http://schemas.openxmlformats.org/markup-compatibility/2006">
          <mc:Choice Requires="x14">
            <control shapeId="32770" r:id="rId5" name="Spinner 2">
              <controlPr defaultSize="0" autoPict="0">
                <anchor moveWithCells="1" sizeWithCells="1">
                  <from>
                    <xdr:col>2</xdr:col>
                    <xdr:colOff>1181100</xdr:colOff>
                    <xdr:row>23</xdr:row>
                    <xdr:rowOff>38100</xdr:rowOff>
                  </from>
                  <to>
                    <xdr:col>2</xdr:col>
                    <xdr:colOff>1524000</xdr:colOff>
                    <xdr:row>23</xdr:row>
                    <xdr:rowOff>222250</xdr:rowOff>
                  </to>
                </anchor>
              </controlPr>
            </control>
          </mc:Choice>
        </mc:AlternateContent>
        <mc:AlternateContent xmlns:mc="http://schemas.openxmlformats.org/markup-compatibility/2006">
          <mc:Choice Requires="x14">
            <control shapeId="32771" r:id="rId6" name="Spinner 3">
              <controlPr defaultSize="0" autoPict="0">
                <anchor moveWithCells="1" sizeWithCells="1">
                  <from>
                    <xdr:col>2</xdr:col>
                    <xdr:colOff>1181100</xdr:colOff>
                    <xdr:row>25</xdr:row>
                    <xdr:rowOff>19050</xdr:rowOff>
                  </from>
                  <to>
                    <xdr:col>2</xdr:col>
                    <xdr:colOff>1524000</xdr:colOff>
                    <xdr:row>25</xdr:row>
                    <xdr:rowOff>222250</xdr:rowOff>
                  </to>
                </anchor>
              </controlPr>
            </control>
          </mc:Choice>
        </mc:AlternateContent>
        <mc:AlternateContent xmlns:mc="http://schemas.openxmlformats.org/markup-compatibility/2006">
          <mc:Choice Requires="x14">
            <control shapeId="32772" r:id="rId7" name="Spinner 4">
              <controlPr defaultSize="0" autoPict="0">
                <anchor moveWithCells="1" sizeWithCells="1">
                  <from>
                    <xdr:col>2</xdr:col>
                    <xdr:colOff>1181100</xdr:colOff>
                    <xdr:row>33</xdr:row>
                    <xdr:rowOff>38100</xdr:rowOff>
                  </from>
                  <to>
                    <xdr:col>2</xdr:col>
                    <xdr:colOff>1524000</xdr:colOff>
                    <xdr:row>33</xdr:row>
                    <xdr:rowOff>247650</xdr:rowOff>
                  </to>
                </anchor>
              </controlPr>
            </control>
          </mc:Choice>
        </mc:AlternateContent>
        <mc:AlternateContent xmlns:mc="http://schemas.openxmlformats.org/markup-compatibility/2006">
          <mc:Choice Requires="x14">
            <control shapeId="32773" r:id="rId8" name="Spinner 5">
              <controlPr defaultSize="0" autoPict="0">
                <anchor moveWithCells="1" sizeWithCells="1">
                  <from>
                    <xdr:col>2</xdr:col>
                    <xdr:colOff>1181100</xdr:colOff>
                    <xdr:row>35</xdr:row>
                    <xdr:rowOff>19050</xdr:rowOff>
                  </from>
                  <to>
                    <xdr:col>2</xdr:col>
                    <xdr:colOff>1524000</xdr:colOff>
                    <xdr:row>35</xdr:row>
                    <xdr:rowOff>222250</xdr:rowOff>
                  </to>
                </anchor>
              </controlPr>
            </control>
          </mc:Choice>
        </mc:AlternateContent>
        <mc:AlternateContent xmlns:mc="http://schemas.openxmlformats.org/markup-compatibility/2006">
          <mc:Choice Requires="x14">
            <control shapeId="32774" r:id="rId9" name="Spinner 6">
              <controlPr defaultSize="0" autoPict="0">
                <anchor moveWithCells="1" sizeWithCells="1">
                  <from>
                    <xdr:col>2</xdr:col>
                    <xdr:colOff>1181100</xdr:colOff>
                    <xdr:row>27</xdr:row>
                    <xdr:rowOff>38100</xdr:rowOff>
                  </from>
                  <to>
                    <xdr:col>2</xdr:col>
                    <xdr:colOff>1524000</xdr:colOff>
                    <xdr:row>27</xdr:row>
                    <xdr:rowOff>241300</xdr:rowOff>
                  </to>
                </anchor>
              </controlPr>
            </control>
          </mc:Choice>
        </mc:AlternateContent>
        <mc:AlternateContent xmlns:mc="http://schemas.openxmlformats.org/markup-compatibility/2006">
          <mc:Choice Requires="x14">
            <control shapeId="32775" r:id="rId10" name="Spinner 7">
              <controlPr defaultSize="0" autoPict="0">
                <anchor moveWithCells="1" sizeWithCells="1">
                  <from>
                    <xdr:col>2</xdr:col>
                    <xdr:colOff>1193800</xdr:colOff>
                    <xdr:row>29</xdr:row>
                    <xdr:rowOff>31750</xdr:rowOff>
                  </from>
                  <to>
                    <xdr:col>2</xdr:col>
                    <xdr:colOff>1536700</xdr:colOff>
                    <xdr:row>29</xdr:row>
                    <xdr:rowOff>241300</xdr:rowOff>
                  </to>
                </anchor>
              </controlPr>
            </control>
          </mc:Choice>
        </mc:AlternateContent>
        <mc:AlternateContent xmlns:mc="http://schemas.openxmlformats.org/markup-compatibility/2006">
          <mc:Choice Requires="x14">
            <control shapeId="32825" r:id="rId11" name="Spinner 57">
              <controlPr defaultSize="0" autoPict="0">
                <anchor moveWithCells="1" sizeWithCells="1">
                  <from>
                    <xdr:col>2</xdr:col>
                    <xdr:colOff>1193800</xdr:colOff>
                    <xdr:row>31</xdr:row>
                    <xdr:rowOff>19050</xdr:rowOff>
                  </from>
                  <to>
                    <xdr:col>2</xdr:col>
                    <xdr:colOff>1536700</xdr:colOff>
                    <xdr:row>31</xdr:row>
                    <xdr:rowOff>228600</xdr:rowOff>
                  </to>
                </anchor>
              </controlPr>
            </control>
          </mc:Choice>
        </mc:AlternateContent>
        <mc:AlternateContent xmlns:mc="http://schemas.openxmlformats.org/markup-compatibility/2006">
          <mc:Choice Requires="x14">
            <control shapeId="32828" r:id="rId12" name="Spinner 60">
              <controlPr defaultSize="0" autoPict="0">
                <anchor moveWithCells="1" sizeWithCells="1">
                  <from>
                    <xdr:col>2</xdr:col>
                    <xdr:colOff>1181100</xdr:colOff>
                    <xdr:row>31</xdr:row>
                    <xdr:rowOff>38100</xdr:rowOff>
                  </from>
                  <to>
                    <xdr:col>2</xdr:col>
                    <xdr:colOff>1524000</xdr:colOff>
                    <xdr:row>31</xdr:row>
                    <xdr:rowOff>241300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IW1027"/>
  <sheetViews>
    <sheetView zoomScaleNormal="100" workbookViewId="0"/>
  </sheetViews>
  <sheetFormatPr defaultColWidth="16.7265625" defaultRowHeight="14.5" x14ac:dyDescent="0.35"/>
  <cols>
    <col min="1" max="1" width="3.1796875" style="18" customWidth="1"/>
    <col min="2" max="2" width="90.26953125" style="18" customWidth="1"/>
    <col min="3" max="3" width="25.7265625" style="18" customWidth="1"/>
    <col min="4" max="4" width="46" style="18" customWidth="1"/>
    <col min="5" max="5" width="22.81640625" style="18" customWidth="1"/>
    <col min="6" max="7" width="16.7265625" style="18"/>
    <col min="8" max="8" width="16.7265625" style="18" customWidth="1"/>
    <col min="9" max="68" width="16.7265625" style="432"/>
    <col min="69" max="16384" width="16.7265625" style="18"/>
  </cols>
  <sheetData>
    <row r="1" spans="1:257" x14ac:dyDescent="0.35">
      <c r="A1" s="17"/>
    </row>
    <row r="2" spans="1:257" x14ac:dyDescent="0.35">
      <c r="A2" s="17"/>
    </row>
    <row r="3" spans="1:257" x14ac:dyDescent="0.35">
      <c r="A3" s="17"/>
    </row>
    <row r="4" spans="1:257" x14ac:dyDescent="0.35">
      <c r="A4" s="17"/>
    </row>
    <row r="5" spans="1:257" x14ac:dyDescent="0.35">
      <c r="A5" s="17"/>
    </row>
    <row r="6" spans="1:257" x14ac:dyDescent="0.35">
      <c r="A6" s="17"/>
    </row>
    <row r="7" spans="1:257" x14ac:dyDescent="0.35">
      <c r="A7" s="17"/>
    </row>
    <row r="8" spans="1:257" ht="20.149999999999999" customHeight="1" x14ac:dyDescent="0.35">
      <c r="A8" s="17"/>
      <c r="B8" s="511" t="s">
        <v>946</v>
      </c>
      <c r="C8" s="510"/>
    </row>
    <row r="9" spans="1:257" ht="20.149999999999999" customHeight="1" x14ac:dyDescent="0.35">
      <c r="A9" s="432"/>
      <c r="B9" s="171" t="s">
        <v>698</v>
      </c>
      <c r="C9" s="140">
        <f>'Baseline farm'!D19</f>
        <v>0</v>
      </c>
    </row>
    <row r="10" spans="1:257" ht="20.149999999999999" customHeight="1" x14ac:dyDescent="0.35">
      <c r="A10" s="17"/>
      <c r="B10" s="171" t="s">
        <v>644</v>
      </c>
      <c r="C10" s="7">
        <f>'Baseline farm'!E19</f>
        <v>0</v>
      </c>
    </row>
    <row r="11" spans="1:257" ht="20.149999999999999" customHeight="1" x14ac:dyDescent="0.35">
      <c r="A11" s="17"/>
      <c r="B11" s="171" t="s">
        <v>643</v>
      </c>
      <c r="C11" s="7">
        <f>'Baseline farm'!F19</f>
        <v>0</v>
      </c>
    </row>
    <row r="12" spans="1:257" ht="20.149999999999999" customHeight="1" x14ac:dyDescent="0.35">
      <c r="A12" s="17"/>
      <c r="B12" s="171" t="s">
        <v>458</v>
      </c>
      <c r="C12" s="8" t="e">
        <f>'Baseline farm'!H35</f>
        <v>#DIV/0!</v>
      </c>
    </row>
    <row r="13" spans="1:257" ht="20.149999999999999" customHeight="1" x14ac:dyDescent="0.35">
      <c r="A13" s="17"/>
      <c r="B13" s="171" t="s">
        <v>476</v>
      </c>
      <c r="C13" s="7">
        <f>'Baseline farm'!D35</f>
        <v>0</v>
      </c>
    </row>
    <row r="14" spans="1:257" ht="20.149999999999999" customHeight="1" x14ac:dyDescent="0.35">
      <c r="A14" s="17"/>
      <c r="B14" s="512" t="s">
        <v>947</v>
      </c>
      <c r="C14" s="4"/>
    </row>
    <row r="15" spans="1:257" ht="20.149999999999999" customHeight="1" x14ac:dyDescent="0.35">
      <c r="A15" s="17"/>
      <c r="B15" s="287" t="s">
        <v>647</v>
      </c>
      <c r="C15" s="674">
        <f>C50/1</f>
        <v>100</v>
      </c>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row>
    <row r="16" spans="1:257" s="17" customFormat="1" ht="5.15" customHeight="1" x14ac:dyDescent="0.35">
      <c r="B16" s="287"/>
      <c r="C16" s="21"/>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row>
    <row r="17" spans="1:257" ht="20.149999999999999" customHeight="1" x14ac:dyDescent="0.35">
      <c r="A17" s="17"/>
      <c r="B17" s="287" t="s">
        <v>648</v>
      </c>
      <c r="C17" s="674">
        <f>C51/1</f>
        <v>105</v>
      </c>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row>
    <row r="18" spans="1:257" ht="5.15" customHeight="1" x14ac:dyDescent="0.35">
      <c r="A18" s="17"/>
      <c r="B18" s="287"/>
      <c r="C18" s="23"/>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row>
    <row r="19" spans="1:257" ht="20.149999999999999" customHeight="1" x14ac:dyDescent="0.35">
      <c r="A19" s="17"/>
      <c r="B19" s="287" t="s">
        <v>658</v>
      </c>
      <c r="C19" s="674">
        <f>C52/1</f>
        <v>1800</v>
      </c>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row>
    <row r="20" spans="1:257" s="17" customFormat="1" ht="5.15" customHeight="1" x14ac:dyDescent="0.35">
      <c r="B20" s="287"/>
      <c r="C20" s="2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row>
    <row r="21" spans="1:257" ht="20.149999999999999" customHeight="1" x14ac:dyDescent="0.35">
      <c r="A21" s="17"/>
      <c r="B21" s="172" t="s">
        <v>117</v>
      </c>
      <c r="C21" s="675">
        <f>C53/100</f>
        <v>0.6</v>
      </c>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row>
    <row r="22" spans="1:257" s="17" customFormat="1" ht="5.15" customHeight="1" x14ac:dyDescent="0.35">
      <c r="B22" s="287"/>
      <c r="C22" s="2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ht="20.149999999999999" customHeight="1" x14ac:dyDescent="0.35">
      <c r="A23" s="17"/>
      <c r="B23" s="172" t="s">
        <v>70</v>
      </c>
      <c r="C23" s="675">
        <f>C54/100</f>
        <v>30</v>
      </c>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ht="5.15" customHeight="1" x14ac:dyDescent="0.35">
      <c r="A24" s="17"/>
      <c r="B24" s="287"/>
      <c r="C24" s="22"/>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ht="20.149999999999999" customHeight="1" x14ac:dyDescent="0.35">
      <c r="A25" s="17"/>
      <c r="B25" s="513" t="s">
        <v>948</v>
      </c>
      <c r="C25" s="514"/>
    </row>
    <row r="26" spans="1:257" ht="20.149999999999999" customHeight="1" x14ac:dyDescent="0.35">
      <c r="A26" s="432"/>
      <c r="B26" s="271" t="s">
        <v>645</v>
      </c>
      <c r="C26" s="416" t="e">
        <f>(C10/C9)</f>
        <v>#DIV/0!</v>
      </c>
    </row>
    <row r="27" spans="1:257" ht="20.149999999999999" customHeight="1" x14ac:dyDescent="0.35">
      <c r="A27" s="17"/>
      <c r="B27" s="271" t="s">
        <v>646</v>
      </c>
      <c r="C27" s="416" t="e">
        <f>C15/C9</f>
        <v>#DIV/0!</v>
      </c>
    </row>
    <row r="28" spans="1:257" ht="20.149999999999999" customHeight="1" x14ac:dyDescent="0.35">
      <c r="A28" s="17"/>
      <c r="B28" s="175" t="s">
        <v>949</v>
      </c>
      <c r="C28" s="11"/>
    </row>
    <row r="29" spans="1:257" ht="20.149999999999999" customHeight="1" x14ac:dyDescent="0.35">
      <c r="A29" s="17"/>
      <c r="B29" s="409" t="s">
        <v>82</v>
      </c>
      <c r="C29" s="410">
        <f>C166</f>
        <v>-60.899230208250003</v>
      </c>
    </row>
    <row r="30" spans="1:257" ht="20.149999999999999" customHeight="1" x14ac:dyDescent="0.35">
      <c r="A30" s="17"/>
      <c r="B30" s="409" t="s">
        <v>456</v>
      </c>
      <c r="C30" s="410">
        <f>C167</f>
        <v>-4.5831039236488404</v>
      </c>
    </row>
    <row r="31" spans="1:257" ht="20.149999999999999" customHeight="1" x14ac:dyDescent="0.35">
      <c r="A31" s="17"/>
      <c r="B31" s="409" t="s">
        <v>457</v>
      </c>
      <c r="C31" s="410" t="e">
        <f>C168</f>
        <v>#N/A</v>
      </c>
    </row>
    <row r="32" spans="1:257" ht="20.149999999999999" customHeight="1" x14ac:dyDescent="0.35">
      <c r="A32" s="17"/>
      <c r="B32" s="409" t="s">
        <v>197</v>
      </c>
      <c r="C32" s="410" t="e">
        <f>C169</f>
        <v>#N/A</v>
      </c>
    </row>
    <row r="33" spans="1:8" ht="20.149999999999999" customHeight="1" x14ac:dyDescent="0.35">
      <c r="A33" s="17"/>
      <c r="B33" s="409" t="s">
        <v>198</v>
      </c>
      <c r="C33" s="410" t="e">
        <f>SUM(C29:C32)</f>
        <v>#N/A</v>
      </c>
    </row>
    <row r="34" spans="1:8" ht="20.149999999999999" customHeight="1" x14ac:dyDescent="0.35">
      <c r="A34" s="17"/>
      <c r="B34" s="411" t="s">
        <v>944</v>
      </c>
      <c r="C34" s="412" t="e">
        <f>C33*C23</f>
        <v>#N/A</v>
      </c>
    </row>
    <row r="35" spans="1:8" ht="20.149999999999999" customHeight="1" x14ac:dyDescent="0.35">
      <c r="A35" s="17"/>
      <c r="B35" s="411" t="s">
        <v>945</v>
      </c>
      <c r="C35" s="412">
        <f>C59</f>
        <v>184500</v>
      </c>
    </row>
    <row r="36" spans="1:8" ht="20.149999999999999" customHeight="1" x14ac:dyDescent="0.35">
      <c r="A36" s="17"/>
      <c r="B36" s="411" t="s">
        <v>18</v>
      </c>
      <c r="C36" s="413" t="e">
        <f>IF(C34&gt;1,C34-C35,C35*-1)</f>
        <v>#N/A</v>
      </c>
    </row>
    <row r="37" spans="1:8" ht="20.149999999999999" customHeight="1" x14ac:dyDescent="0.35">
      <c r="A37" s="17"/>
      <c r="B37" s="411" t="s">
        <v>88</v>
      </c>
      <c r="C37" s="412">
        <f>0</f>
        <v>0</v>
      </c>
    </row>
    <row r="38" spans="1:8" ht="20.149999999999999" customHeight="1" x14ac:dyDescent="0.35">
      <c r="A38" s="17"/>
      <c r="B38" s="411" t="s">
        <v>17</v>
      </c>
      <c r="C38" s="412" t="e">
        <f>IF(C34&gt;1,C34-C35+C37,C37-C35)+C60</f>
        <v>#N/A</v>
      </c>
    </row>
    <row r="39" spans="1:8" ht="20.149999999999999" customHeight="1" x14ac:dyDescent="0.35">
      <c r="A39" s="17"/>
      <c r="B39" s="1703" t="s">
        <v>950</v>
      </c>
      <c r="C39" s="1704" t="e">
        <f>C64</f>
        <v>#N/A</v>
      </c>
    </row>
    <row r="40" spans="1:8" x14ac:dyDescent="0.35">
      <c r="A40" s="17"/>
      <c r="B40" s="17"/>
      <c r="C40" s="17"/>
      <c r="D40" s="17"/>
      <c r="E40" s="17"/>
      <c r="F40" s="17"/>
      <c r="G40" s="17"/>
      <c r="H40" s="17"/>
    </row>
    <row r="41" spans="1:8" s="432" customFormat="1" x14ac:dyDescent="0.35">
      <c r="B41" s="138"/>
      <c r="C41" s="139"/>
    </row>
    <row r="42" spans="1:8" s="432" customFormat="1" x14ac:dyDescent="0.35">
      <c r="B42" s="138"/>
      <c r="C42" s="139"/>
    </row>
    <row r="43" spans="1:8" s="432" customFormat="1" x14ac:dyDescent="0.35">
      <c r="B43" s="138"/>
      <c r="C43" s="139"/>
    </row>
    <row r="44" spans="1:8" s="432" customFormat="1" x14ac:dyDescent="0.35">
      <c r="B44" s="138"/>
      <c r="C44" s="139"/>
    </row>
    <row r="45" spans="1:8" s="432" customFormat="1" x14ac:dyDescent="0.35">
      <c r="B45" s="138"/>
      <c r="C45" s="139"/>
    </row>
    <row r="46" spans="1:8" s="432" customFormat="1" x14ac:dyDescent="0.35">
      <c r="B46" s="138"/>
      <c r="C46" s="139"/>
    </row>
    <row r="47" spans="1:8" s="432" customFormat="1" ht="23" x14ac:dyDescent="0.5">
      <c r="B47" s="485"/>
      <c r="C47" s="139"/>
    </row>
    <row r="48" spans="1:8" s="432" customFormat="1" ht="23" hidden="1" x14ac:dyDescent="0.5">
      <c r="B48" s="485"/>
      <c r="C48" s="139"/>
      <c r="D48" s="597"/>
    </row>
    <row r="49" spans="2:4" s="432" customFormat="1" hidden="1" x14ac:dyDescent="0.35">
      <c r="B49" s="519" t="s">
        <v>150</v>
      </c>
      <c r="C49" s="518"/>
      <c r="D49" s="142"/>
    </row>
    <row r="50" spans="2:4" s="432" customFormat="1" hidden="1" x14ac:dyDescent="0.35">
      <c r="B50" s="138" t="s">
        <v>642</v>
      </c>
      <c r="C50" s="586">
        <v>100</v>
      </c>
      <c r="D50" s="142"/>
    </row>
    <row r="51" spans="2:4" s="432" customFormat="1" hidden="1" x14ac:dyDescent="0.35">
      <c r="B51" s="138" t="s">
        <v>641</v>
      </c>
      <c r="C51" s="586">
        <v>105</v>
      </c>
      <c r="D51" s="142"/>
    </row>
    <row r="52" spans="2:4" s="432" customFormat="1" hidden="1" x14ac:dyDescent="0.35">
      <c r="B52" s="138" t="s">
        <v>657</v>
      </c>
      <c r="C52" s="586">
        <v>1800</v>
      </c>
      <c r="D52" s="142"/>
    </row>
    <row r="53" spans="2:4" s="142" customFormat="1" ht="13" hidden="1" x14ac:dyDescent="0.3">
      <c r="B53" s="138" t="s">
        <v>81</v>
      </c>
      <c r="C53" s="587">
        <v>60</v>
      </c>
    </row>
    <row r="54" spans="2:4" s="142" customFormat="1" ht="13" hidden="1" x14ac:dyDescent="0.3">
      <c r="B54" s="138" t="s">
        <v>70</v>
      </c>
      <c r="C54" s="587">
        <v>3000</v>
      </c>
    </row>
    <row r="55" spans="2:4" s="142" customFormat="1" ht="13" hidden="1" x14ac:dyDescent="0.3">
      <c r="B55" s="138"/>
      <c r="C55" s="521"/>
    </row>
    <row r="56" spans="2:4" s="142" customFormat="1" ht="13" hidden="1" x14ac:dyDescent="0.3">
      <c r="B56" s="138"/>
      <c r="C56" s="521"/>
    </row>
    <row r="57" spans="2:4" s="432" customFormat="1" ht="15.5" hidden="1" x14ac:dyDescent="0.35">
      <c r="B57" s="519" t="s">
        <v>140</v>
      </c>
      <c r="C57" s="588" t="s">
        <v>660</v>
      </c>
      <c r="D57" s="318"/>
    </row>
    <row r="58" spans="2:4" s="432" customFormat="1" hidden="1" x14ac:dyDescent="0.35">
      <c r="B58" s="138" t="s">
        <v>2077</v>
      </c>
      <c r="C58" s="566" t="e">
        <f>C34</f>
        <v>#N/A</v>
      </c>
      <c r="D58" s="589"/>
    </row>
    <row r="59" spans="2:4" s="432" customFormat="1" hidden="1" x14ac:dyDescent="0.35">
      <c r="B59" s="138" t="s">
        <v>109</v>
      </c>
      <c r="C59" s="566">
        <f>C52*(AVERAGE(C10:C11)-AVERAGE(C15,C17))*-1</f>
        <v>184500</v>
      </c>
      <c r="D59" s="589"/>
    </row>
    <row r="60" spans="2:4" s="432" customFormat="1" hidden="1" x14ac:dyDescent="0.35">
      <c r="B60" s="138" t="s">
        <v>110</v>
      </c>
      <c r="C60" s="566">
        <f>C37</f>
        <v>0</v>
      </c>
      <c r="D60" s="589"/>
    </row>
    <row r="61" spans="2:4" s="432" customFormat="1" hidden="1" x14ac:dyDescent="0.35">
      <c r="B61" s="138" t="s">
        <v>21</v>
      </c>
      <c r="C61" s="566" t="e">
        <f>C38</f>
        <v>#N/A</v>
      </c>
      <c r="D61" s="590"/>
    </row>
    <row r="62" spans="2:4" s="432" customFormat="1" hidden="1" x14ac:dyDescent="0.35">
      <c r="B62" s="138"/>
      <c r="C62" s="566"/>
      <c r="D62" s="590"/>
    </row>
    <row r="63" spans="2:4" s="432" customFormat="1" hidden="1" x14ac:dyDescent="0.35">
      <c r="B63" s="138"/>
      <c r="C63" s="566"/>
      <c r="D63" s="590"/>
    </row>
    <row r="64" spans="2:4" s="432" customFormat="1" hidden="1" x14ac:dyDescent="0.35">
      <c r="B64" s="24" t="s">
        <v>2076</v>
      </c>
      <c r="C64" s="616" t="e">
        <f>C61/C65</f>
        <v>#N/A</v>
      </c>
      <c r="D64" s="142"/>
    </row>
    <row r="65" spans="2:7" s="432" customFormat="1" hidden="1" x14ac:dyDescent="0.35">
      <c r="B65" s="138" t="s">
        <v>102</v>
      </c>
      <c r="C65" s="592" t="e">
        <f>C9*C12*C13*C21</f>
        <v>#DIV/0!</v>
      </c>
      <c r="D65" s="142"/>
    </row>
    <row r="66" spans="2:7" s="432" customFormat="1" hidden="1" x14ac:dyDescent="0.35">
      <c r="B66" s="142"/>
      <c r="C66" s="560"/>
      <c r="D66" s="142"/>
    </row>
    <row r="67" spans="2:7" s="142" customFormat="1" ht="15" hidden="1" customHeight="1" x14ac:dyDescent="0.3">
      <c r="C67" s="554"/>
      <c r="D67" s="560" t="s">
        <v>455</v>
      </c>
    </row>
    <row r="68" spans="2:7" s="142" customFormat="1" ht="15" hidden="1" customHeight="1" x14ac:dyDescent="0.3">
      <c r="B68" s="142" t="s">
        <v>791</v>
      </c>
      <c r="C68" s="554"/>
      <c r="D68" s="554">
        <f>$C$19</f>
        <v>1800</v>
      </c>
    </row>
    <row r="69" spans="2:7" s="142" customFormat="1" ht="15" hidden="1" customHeight="1" x14ac:dyDescent="0.3">
      <c r="B69" s="142" t="s">
        <v>960</v>
      </c>
      <c r="C69" s="618"/>
      <c r="D69" s="553">
        <f>C11-C17</f>
        <v>-105</v>
      </c>
    </row>
    <row r="70" spans="2:7" s="142" customFormat="1" ht="15" hidden="1" customHeight="1" x14ac:dyDescent="0.3">
      <c r="B70" s="142" t="s">
        <v>961</v>
      </c>
      <c r="C70" s="618"/>
      <c r="D70" s="553">
        <f>C10-C15</f>
        <v>-100</v>
      </c>
    </row>
    <row r="71" spans="2:7" s="142" customFormat="1" ht="15" hidden="1" customHeight="1" x14ac:dyDescent="0.3">
      <c r="B71" s="142" t="s">
        <v>962</v>
      </c>
      <c r="C71" s="554"/>
      <c r="D71" s="554">
        <f>D68/2*D69</f>
        <v>-94500</v>
      </c>
    </row>
    <row r="72" spans="2:7" s="142" customFormat="1" ht="15" hidden="1" customHeight="1" x14ac:dyDescent="0.3">
      <c r="B72" s="142" t="s">
        <v>963</v>
      </c>
      <c r="C72" s="554"/>
      <c r="D72" s="554">
        <f>D68/2*D70</f>
        <v>-90000</v>
      </c>
    </row>
    <row r="73" spans="2:7" s="142" customFormat="1" ht="15" hidden="1" customHeight="1" x14ac:dyDescent="0.3">
      <c r="B73" s="138" t="s">
        <v>964</v>
      </c>
      <c r="C73" s="562"/>
      <c r="D73" s="554">
        <f>D72+D71</f>
        <v>-184500</v>
      </c>
    </row>
    <row r="74" spans="2:7" s="142" customFormat="1" ht="15" hidden="1" customHeight="1" x14ac:dyDescent="0.3"/>
    <row r="75" spans="2:7" s="432" customFormat="1" hidden="1" x14ac:dyDescent="0.35"/>
    <row r="76" spans="2:7" s="432" customFormat="1" hidden="1" x14ac:dyDescent="0.35">
      <c r="B76" s="138"/>
      <c r="C76" s="562"/>
      <c r="D76" s="142"/>
    </row>
    <row r="77" spans="2:7" s="432" customFormat="1" hidden="1" x14ac:dyDescent="0.35">
      <c r="B77" s="519" t="s">
        <v>154</v>
      </c>
      <c r="C77" s="142"/>
      <c r="D77" s="142"/>
      <c r="E77" s="142"/>
      <c r="F77" s="577"/>
      <c r="G77" s="577"/>
    </row>
    <row r="78" spans="2:7" s="432" customFormat="1" hidden="1" x14ac:dyDescent="0.35">
      <c r="B78" s="519" t="s">
        <v>442</v>
      </c>
      <c r="C78" s="619" t="s">
        <v>644</v>
      </c>
      <c r="D78" s="619" t="s">
        <v>643</v>
      </c>
      <c r="E78" s="142"/>
      <c r="F78" s="577"/>
    </row>
    <row r="79" spans="2:7" s="432" customFormat="1" hidden="1" x14ac:dyDescent="0.35">
      <c r="B79" s="138" t="s">
        <v>11</v>
      </c>
      <c r="C79" s="564">
        <f>'Baseline farm'!E231</f>
        <v>2.9067457500000001E-2</v>
      </c>
      <c r="D79" s="564">
        <f>'Baseline farm'!F231</f>
        <v>2.9067457500000001E-2</v>
      </c>
      <c r="E79" s="142"/>
      <c r="F79" s="577"/>
    </row>
    <row r="80" spans="2:7" s="432" customFormat="1" hidden="1" x14ac:dyDescent="0.35">
      <c r="B80" s="520"/>
      <c r="C80" s="565"/>
      <c r="E80" s="142"/>
      <c r="F80" s="577"/>
    </row>
    <row r="81" spans="2:13" s="432" customFormat="1" hidden="1" x14ac:dyDescent="0.35">
      <c r="B81" s="138" t="s">
        <v>649</v>
      </c>
      <c r="C81" s="566">
        <f>'Baseline farm'!E19</f>
        <v>0</v>
      </c>
      <c r="D81" s="566">
        <f>'Baseline farm'!F19</f>
        <v>0</v>
      </c>
      <c r="E81" s="142"/>
      <c r="F81" s="577"/>
    </row>
    <row r="82" spans="2:13" s="432" customFormat="1" hidden="1" x14ac:dyDescent="0.35">
      <c r="B82" s="138" t="s">
        <v>13</v>
      </c>
      <c r="C82" s="567">
        <f>C79*C81*365</f>
        <v>0</v>
      </c>
      <c r="D82" s="567">
        <f>D79*D81*365</f>
        <v>0</v>
      </c>
      <c r="E82" s="142" t="s">
        <v>196</v>
      </c>
      <c r="F82" s="577"/>
    </row>
    <row r="83" spans="2:13" s="432" customFormat="1" hidden="1" x14ac:dyDescent="0.35">
      <c r="B83" s="519" t="s">
        <v>1525</v>
      </c>
      <c r="C83" s="568">
        <f>(C82+D82)*'Emission factors'!C4/1000</f>
        <v>0</v>
      </c>
      <c r="E83" s="142"/>
      <c r="F83" s="577"/>
    </row>
    <row r="84" spans="2:13" s="432" customFormat="1" hidden="1" x14ac:dyDescent="0.35">
      <c r="B84" s="138"/>
      <c r="C84" s="568"/>
      <c r="E84" s="142"/>
      <c r="F84" s="577"/>
    </row>
    <row r="85" spans="2:13" s="432" customFormat="1" hidden="1" x14ac:dyDescent="0.35">
      <c r="B85" s="580"/>
      <c r="C85" s="520"/>
      <c r="E85" s="142"/>
      <c r="F85" s="577"/>
    </row>
    <row r="86" spans="2:13" s="432" customFormat="1" hidden="1" x14ac:dyDescent="0.35">
      <c r="B86" s="620" t="s">
        <v>155</v>
      </c>
      <c r="C86" s="560"/>
      <c r="E86" s="142"/>
      <c r="F86" s="582"/>
    </row>
    <row r="87" spans="2:13" s="432" customFormat="1" hidden="1" x14ac:dyDescent="0.35">
      <c r="B87" s="519" t="s">
        <v>442</v>
      </c>
      <c r="C87" s="619" t="s">
        <v>644</v>
      </c>
      <c r="D87" s="619" t="s">
        <v>643</v>
      </c>
      <c r="E87" s="142"/>
      <c r="F87" s="577"/>
      <c r="K87" s="488"/>
      <c r="L87" s="488"/>
      <c r="M87" s="488"/>
    </row>
    <row r="88" spans="2:13" s="432" customFormat="1" hidden="1" x14ac:dyDescent="0.35">
      <c r="B88" s="138" t="s">
        <v>11</v>
      </c>
      <c r="C88" s="564">
        <f>C79</f>
        <v>2.9067457500000001E-2</v>
      </c>
      <c r="D88" s="564">
        <f>D79</f>
        <v>2.9067457500000001E-2</v>
      </c>
      <c r="E88" s="142"/>
      <c r="F88" s="577"/>
      <c r="K88" s="488"/>
      <c r="L88" s="488"/>
      <c r="M88" s="488"/>
    </row>
    <row r="89" spans="2:13" s="432" customFormat="1" hidden="1" x14ac:dyDescent="0.35">
      <c r="B89" s="520"/>
      <c r="C89" s="565"/>
      <c r="E89" s="142"/>
      <c r="F89" s="577"/>
      <c r="K89" s="488"/>
      <c r="L89" s="488"/>
      <c r="M89" s="488"/>
    </row>
    <row r="90" spans="2:13" s="432" customFormat="1" hidden="1" x14ac:dyDescent="0.35">
      <c r="B90" s="138" t="s">
        <v>649</v>
      </c>
      <c r="C90" s="566">
        <f>C15</f>
        <v>100</v>
      </c>
      <c r="D90" s="566">
        <f>C17</f>
        <v>105</v>
      </c>
      <c r="E90" s="142"/>
      <c r="F90" s="577"/>
    </row>
    <row r="91" spans="2:13" s="432" customFormat="1" hidden="1" x14ac:dyDescent="0.35">
      <c r="B91" s="138" t="s">
        <v>13</v>
      </c>
      <c r="C91" s="567">
        <f>C88*C90*365</f>
        <v>1060.9621987500002</v>
      </c>
      <c r="D91" s="567">
        <f>D88*D90*365</f>
        <v>1114.0103086875001</v>
      </c>
      <c r="E91" s="142"/>
      <c r="F91" s="577"/>
    </row>
    <row r="92" spans="2:13" s="432" customFormat="1" hidden="1" x14ac:dyDescent="0.35">
      <c r="B92" s="519" t="s">
        <v>14</v>
      </c>
      <c r="C92" s="568">
        <f>(C91+D91)*'Emission factors'!C4/1000</f>
        <v>60.899230208250003</v>
      </c>
      <c r="E92" s="142"/>
      <c r="F92" s="577"/>
    </row>
    <row r="93" spans="2:13" s="432" customFormat="1" hidden="1" x14ac:dyDescent="0.35">
      <c r="B93" s="138"/>
      <c r="C93" s="562"/>
      <c r="E93" s="142"/>
      <c r="F93" s="577"/>
    </row>
    <row r="94" spans="2:13" s="432" customFormat="1" hidden="1" x14ac:dyDescent="0.35">
      <c r="B94" s="519"/>
      <c r="C94" s="568"/>
      <c r="E94" s="142"/>
      <c r="F94" s="577"/>
    </row>
    <row r="95" spans="2:13" s="432" customFormat="1" hidden="1" x14ac:dyDescent="0.35">
      <c r="B95" s="519" t="s">
        <v>650</v>
      </c>
      <c r="C95" s="568">
        <f>C83-C92</f>
        <v>-60.899230208250003</v>
      </c>
      <c r="E95" s="142" t="s">
        <v>654</v>
      </c>
      <c r="F95" s="577"/>
    </row>
    <row r="96" spans="2:13" s="432" customFormat="1" hidden="1" x14ac:dyDescent="0.35">
      <c r="B96" s="138"/>
      <c r="C96" s="559"/>
      <c r="E96" s="142"/>
      <c r="F96" s="577"/>
    </row>
    <row r="97" spans="2:13" s="432" customFormat="1" hidden="1" x14ac:dyDescent="0.35">
      <c r="B97" s="142"/>
      <c r="C97" s="142"/>
      <c r="E97" s="142"/>
    </row>
    <row r="98" spans="2:13" s="432" customFormat="1" hidden="1" x14ac:dyDescent="0.35">
      <c r="B98" s="519" t="s">
        <v>154</v>
      </c>
      <c r="C98" s="142"/>
      <c r="E98" s="142"/>
    </row>
    <row r="99" spans="2:13" s="432" customFormat="1" hidden="1" x14ac:dyDescent="0.35">
      <c r="B99" s="519" t="s">
        <v>441</v>
      </c>
      <c r="C99" s="619" t="s">
        <v>644</v>
      </c>
      <c r="D99" s="619" t="s">
        <v>643</v>
      </c>
      <c r="E99" s="142"/>
    </row>
    <row r="100" spans="2:13" s="432" customFormat="1" hidden="1" x14ac:dyDescent="0.35">
      <c r="B100" s="138" t="s">
        <v>11</v>
      </c>
      <c r="C100" s="560">
        <f>'Baseline farm'!E256</f>
        <v>2.1875346874368003E-3</v>
      </c>
      <c r="D100" s="560">
        <f>'Baseline farm'!F256</f>
        <v>2.1875346874368003E-3</v>
      </c>
      <c r="E100" s="142"/>
    </row>
    <row r="101" spans="2:13" s="432" customFormat="1" hidden="1" x14ac:dyDescent="0.35">
      <c r="B101" s="142"/>
      <c r="C101" s="142"/>
      <c r="E101" s="142"/>
    </row>
    <row r="102" spans="2:13" s="432" customFormat="1" hidden="1" x14ac:dyDescent="0.35">
      <c r="B102" s="138" t="s">
        <v>649</v>
      </c>
      <c r="C102" s="566">
        <f>C81</f>
        <v>0</v>
      </c>
      <c r="D102" s="566">
        <f>D81</f>
        <v>0</v>
      </c>
      <c r="E102" s="142"/>
    </row>
    <row r="103" spans="2:13" s="432" customFormat="1" hidden="1" x14ac:dyDescent="0.35">
      <c r="B103" s="138" t="s">
        <v>13</v>
      </c>
      <c r="C103" s="567">
        <f>C100*C102*365</f>
        <v>0</v>
      </c>
      <c r="D103" s="567">
        <f>D100*D102*365</f>
        <v>0</v>
      </c>
      <c r="E103" s="142" t="s">
        <v>196</v>
      </c>
    </row>
    <row r="104" spans="2:13" s="432" customFormat="1" hidden="1" x14ac:dyDescent="0.35">
      <c r="B104" s="519" t="s">
        <v>14</v>
      </c>
      <c r="C104" s="568">
        <f>(C103+D103)*'Emission factors'!C4/1000</f>
        <v>0</v>
      </c>
      <c r="E104" s="142"/>
    </row>
    <row r="105" spans="2:13" s="432" customFormat="1" hidden="1" x14ac:dyDescent="0.35">
      <c r="B105" s="142"/>
      <c r="C105" s="142"/>
      <c r="E105" s="142"/>
    </row>
    <row r="106" spans="2:13" s="432" customFormat="1" hidden="1" x14ac:dyDescent="0.35">
      <c r="B106" s="142"/>
      <c r="C106" s="142"/>
      <c r="E106" s="142"/>
    </row>
    <row r="107" spans="2:13" s="432" customFormat="1" hidden="1" x14ac:dyDescent="0.35">
      <c r="B107" s="620" t="s">
        <v>155</v>
      </c>
      <c r="C107" s="142"/>
      <c r="E107" s="142"/>
    </row>
    <row r="108" spans="2:13" s="432" customFormat="1" hidden="1" x14ac:dyDescent="0.35">
      <c r="B108" s="519" t="s">
        <v>441</v>
      </c>
      <c r="C108" s="619" t="s">
        <v>644</v>
      </c>
      <c r="D108" s="619" t="s">
        <v>643</v>
      </c>
      <c r="E108" s="142"/>
    </row>
    <row r="109" spans="2:13" s="432" customFormat="1" hidden="1" x14ac:dyDescent="0.35">
      <c r="B109" s="138" t="s">
        <v>11</v>
      </c>
      <c r="C109" s="487">
        <f>C100</f>
        <v>2.1875346874368003E-3</v>
      </c>
      <c r="D109" s="487">
        <f>D100</f>
        <v>2.1875346874368003E-3</v>
      </c>
      <c r="E109" s="142"/>
      <c r="F109" s="577"/>
      <c r="K109" s="488"/>
      <c r="L109" s="488"/>
      <c r="M109" s="488"/>
    </row>
    <row r="110" spans="2:13" s="432" customFormat="1" hidden="1" x14ac:dyDescent="0.35">
      <c r="B110" s="520"/>
      <c r="C110" s="565"/>
      <c r="E110" s="142"/>
      <c r="F110" s="577"/>
      <c r="K110" s="488"/>
      <c r="L110" s="488"/>
      <c r="M110" s="488"/>
    </row>
    <row r="111" spans="2:13" s="432" customFormat="1" hidden="1" x14ac:dyDescent="0.35">
      <c r="B111" s="138" t="s">
        <v>649</v>
      </c>
      <c r="C111" s="566">
        <f>C90</f>
        <v>100</v>
      </c>
      <c r="D111" s="566">
        <f>D90</f>
        <v>105</v>
      </c>
      <c r="E111" s="142"/>
      <c r="F111" s="577"/>
    </row>
    <row r="112" spans="2:13" s="432" customFormat="1" hidden="1" x14ac:dyDescent="0.35">
      <c r="B112" s="138" t="s">
        <v>13</v>
      </c>
      <c r="C112" s="567">
        <f>C109*C111*365</f>
        <v>79.845016091443213</v>
      </c>
      <c r="D112" s="567">
        <f>D109*D111*365</f>
        <v>83.837266896015379</v>
      </c>
      <c r="E112" s="142"/>
      <c r="F112" s="577"/>
    </row>
    <row r="113" spans="2:6" s="432" customFormat="1" hidden="1" x14ac:dyDescent="0.35">
      <c r="B113" s="519" t="s">
        <v>14</v>
      </c>
      <c r="C113" s="568">
        <f>(C112+D112)*'Emission factors'!C4/1000</f>
        <v>4.5831039236488404</v>
      </c>
      <c r="E113" s="142"/>
      <c r="F113" s="577"/>
    </row>
    <row r="114" spans="2:6" s="432" customFormat="1" hidden="1" x14ac:dyDescent="0.35">
      <c r="B114" s="138"/>
      <c r="C114" s="562"/>
      <c r="E114" s="142"/>
      <c r="F114" s="577"/>
    </row>
    <row r="115" spans="2:6" s="432" customFormat="1" hidden="1" x14ac:dyDescent="0.35">
      <c r="B115" s="519"/>
      <c r="C115" s="568"/>
      <c r="E115" s="142"/>
      <c r="F115" s="577"/>
    </row>
    <row r="116" spans="2:6" s="432" customFormat="1" hidden="1" x14ac:dyDescent="0.35">
      <c r="B116" s="519" t="s">
        <v>650</v>
      </c>
      <c r="C116" s="568">
        <f>C104-C113</f>
        <v>-4.5831039236488404</v>
      </c>
      <c r="E116" s="142" t="s">
        <v>655</v>
      </c>
      <c r="F116" s="577"/>
    </row>
    <row r="117" spans="2:6" s="432" customFormat="1" hidden="1" x14ac:dyDescent="0.35">
      <c r="B117" s="142"/>
      <c r="C117" s="142"/>
      <c r="E117" s="142"/>
    </row>
    <row r="118" spans="2:6" s="432" customFormat="1" hidden="1" x14ac:dyDescent="0.35">
      <c r="B118" s="620"/>
      <c r="C118" s="574"/>
      <c r="E118" s="142"/>
    </row>
    <row r="119" spans="2:6" s="432" customFormat="1" hidden="1" x14ac:dyDescent="0.35">
      <c r="B119" s="142"/>
      <c r="C119" s="142"/>
      <c r="E119" s="142"/>
    </row>
    <row r="120" spans="2:6" s="432" customFormat="1" hidden="1" x14ac:dyDescent="0.35">
      <c r="B120" s="519" t="s">
        <v>154</v>
      </c>
      <c r="C120" s="142"/>
      <c r="E120" s="142"/>
    </row>
    <row r="121" spans="2:6" s="432" customFormat="1" hidden="1" x14ac:dyDescent="0.35">
      <c r="B121" s="621" t="s">
        <v>426</v>
      </c>
      <c r="C121" s="619" t="s">
        <v>644</v>
      </c>
      <c r="D121" s="619" t="s">
        <v>643</v>
      </c>
      <c r="E121" s="142"/>
    </row>
    <row r="122" spans="2:6" s="432" customFormat="1" hidden="1" x14ac:dyDescent="0.35">
      <c r="B122" s="142" t="s">
        <v>452</v>
      </c>
      <c r="C122" s="560" t="e">
        <f>'Baseline farm'!E115/'Emission factors'!C5*1000</f>
        <v>#N/A</v>
      </c>
      <c r="D122" s="560" t="e">
        <f>'Baseline farm'!F115/'Emission factors'!C5*1000</f>
        <v>#N/A</v>
      </c>
      <c r="E122" s="142"/>
    </row>
    <row r="123" spans="2:6" s="432" customFormat="1" hidden="1" x14ac:dyDescent="0.35">
      <c r="B123" s="142" t="s">
        <v>651</v>
      </c>
      <c r="C123" s="622" t="e">
        <f>C122/C$102</f>
        <v>#N/A</v>
      </c>
      <c r="D123" s="622" t="e">
        <f>D122/D$102</f>
        <v>#N/A</v>
      </c>
      <c r="E123" s="142"/>
    </row>
    <row r="124" spans="2:6" s="432" customFormat="1" hidden="1" x14ac:dyDescent="0.35">
      <c r="B124" s="142"/>
      <c r="C124" s="142"/>
      <c r="E124" s="142"/>
    </row>
    <row r="125" spans="2:6" s="432" customFormat="1" hidden="1" x14ac:dyDescent="0.35">
      <c r="B125" s="621" t="s">
        <v>1355</v>
      </c>
      <c r="C125" s="142"/>
      <c r="E125" s="142"/>
    </row>
    <row r="126" spans="2:6" s="432" customFormat="1" hidden="1" x14ac:dyDescent="0.35">
      <c r="B126" s="142" t="s">
        <v>452</v>
      </c>
      <c r="C126" s="560" t="e">
        <f>'Baseline farm'!E116/'Emission factors'!C5*1000</f>
        <v>#N/A</v>
      </c>
      <c r="D126" s="560" t="e">
        <f>'Baseline farm'!F116/'Emission factors'!C5*1000</f>
        <v>#N/A</v>
      </c>
      <c r="E126" s="142"/>
    </row>
    <row r="127" spans="2:6" s="432" customFormat="1" hidden="1" x14ac:dyDescent="0.35">
      <c r="B127" s="142" t="s">
        <v>651</v>
      </c>
      <c r="C127" s="622" t="e">
        <f>C126/C102</f>
        <v>#N/A</v>
      </c>
      <c r="D127" s="622" t="e">
        <f>D126/D102</f>
        <v>#N/A</v>
      </c>
      <c r="E127" s="142"/>
    </row>
    <row r="128" spans="2:6" s="432" customFormat="1" hidden="1" x14ac:dyDescent="0.35">
      <c r="B128" s="142"/>
      <c r="C128" s="142"/>
      <c r="E128" s="142"/>
    </row>
    <row r="129" spans="2:6" s="432" customFormat="1" hidden="1" x14ac:dyDescent="0.35">
      <c r="B129" s="621" t="s">
        <v>423</v>
      </c>
      <c r="C129" s="142"/>
      <c r="E129" s="142"/>
    </row>
    <row r="130" spans="2:6" s="432" customFormat="1" hidden="1" x14ac:dyDescent="0.35">
      <c r="B130" s="142" t="s">
        <v>452</v>
      </c>
      <c r="C130" s="560" t="e">
        <f>'Baseline farm'!E117/'Emission factors'!C5*1000</f>
        <v>#N/A</v>
      </c>
      <c r="D130" s="560" t="e">
        <f>'Baseline farm'!F117/'Emission factors'!C5*1000</f>
        <v>#N/A</v>
      </c>
      <c r="E130" s="142"/>
    </row>
    <row r="131" spans="2:6" s="432" customFormat="1" hidden="1" x14ac:dyDescent="0.35">
      <c r="B131" s="142" t="s">
        <v>651</v>
      </c>
      <c r="C131" s="622" t="e">
        <f>C130/C102</f>
        <v>#N/A</v>
      </c>
      <c r="D131" s="622" t="e">
        <f>D130/D102</f>
        <v>#N/A</v>
      </c>
      <c r="E131" s="142"/>
    </row>
    <row r="132" spans="2:6" s="432" customFormat="1" hidden="1" x14ac:dyDescent="0.35">
      <c r="B132" s="142"/>
      <c r="C132" s="142"/>
      <c r="E132" s="142"/>
    </row>
    <row r="133" spans="2:6" s="432" customFormat="1" hidden="1" x14ac:dyDescent="0.35">
      <c r="B133" s="620" t="s">
        <v>447</v>
      </c>
      <c r="C133" s="142"/>
      <c r="E133" s="142"/>
    </row>
    <row r="134" spans="2:6" s="432" customFormat="1" hidden="1" x14ac:dyDescent="0.35">
      <c r="B134" s="142" t="s">
        <v>651</v>
      </c>
      <c r="C134" s="622" t="e">
        <f>C123+C127+C131</f>
        <v>#N/A</v>
      </c>
      <c r="D134" s="622" t="e">
        <f>D123+D127+D131</f>
        <v>#N/A</v>
      </c>
      <c r="E134" s="142"/>
    </row>
    <row r="135" spans="2:6" s="432" customFormat="1" hidden="1" x14ac:dyDescent="0.35">
      <c r="B135" s="142"/>
      <c r="C135" s="142"/>
      <c r="E135" s="142"/>
    </row>
    <row r="136" spans="2:6" s="432" customFormat="1" hidden="1" x14ac:dyDescent="0.35">
      <c r="B136" s="138" t="s">
        <v>649</v>
      </c>
      <c r="C136" s="566">
        <f>C102</f>
        <v>0</v>
      </c>
      <c r="D136" s="566">
        <f>D102</f>
        <v>0</v>
      </c>
      <c r="E136" s="142"/>
      <c r="F136" s="577"/>
    </row>
    <row r="137" spans="2:6" s="432" customFormat="1" hidden="1" x14ac:dyDescent="0.35">
      <c r="B137" s="138" t="s">
        <v>652</v>
      </c>
      <c r="C137" s="567" t="e">
        <f>C136*C134/1000</f>
        <v>#N/A</v>
      </c>
      <c r="D137" s="567" t="e">
        <f>D136*D134/1000</f>
        <v>#N/A</v>
      </c>
      <c r="E137" s="142" t="s">
        <v>448</v>
      </c>
      <c r="F137" s="577"/>
    </row>
    <row r="138" spans="2:6" s="432" customFormat="1" hidden="1" x14ac:dyDescent="0.35">
      <c r="B138" s="519" t="s">
        <v>653</v>
      </c>
      <c r="C138" s="568" t="e">
        <f>SUM(C137:D137)*'Emission factors'!C5</f>
        <v>#N/A</v>
      </c>
      <c r="E138" s="142" t="s">
        <v>453</v>
      </c>
      <c r="F138" s="577"/>
    </row>
    <row r="139" spans="2:6" s="432" customFormat="1" hidden="1" x14ac:dyDescent="0.35"/>
    <row r="140" spans="2:6" s="432" customFormat="1" hidden="1" x14ac:dyDescent="0.35"/>
    <row r="141" spans="2:6" s="432" customFormat="1" hidden="1" x14ac:dyDescent="0.35">
      <c r="B141" s="620" t="s">
        <v>155</v>
      </c>
    </row>
    <row r="142" spans="2:6" s="432" customFormat="1" hidden="1" x14ac:dyDescent="0.35">
      <c r="B142" s="142" t="s">
        <v>651</v>
      </c>
      <c r="C142" s="623" t="e">
        <f>C134</f>
        <v>#N/A</v>
      </c>
      <c r="D142" s="623" t="e">
        <f>D134</f>
        <v>#N/A</v>
      </c>
    </row>
    <row r="143" spans="2:6" s="432" customFormat="1" hidden="1" x14ac:dyDescent="0.35"/>
    <row r="144" spans="2:6" s="432" customFormat="1" hidden="1" x14ac:dyDescent="0.35">
      <c r="B144" s="138" t="s">
        <v>649</v>
      </c>
      <c r="C144" s="566">
        <f>C111</f>
        <v>100</v>
      </c>
      <c r="D144" s="566">
        <f>D111</f>
        <v>105</v>
      </c>
      <c r="E144" s="142"/>
      <c r="F144" s="577"/>
    </row>
    <row r="145" spans="2:6" s="432" customFormat="1" hidden="1" x14ac:dyDescent="0.35">
      <c r="B145" s="138" t="s">
        <v>652</v>
      </c>
      <c r="C145" s="567" t="e">
        <f>C144*C142/1000</f>
        <v>#N/A</v>
      </c>
      <c r="D145" s="567" t="e">
        <f>D144*D142/1000</f>
        <v>#N/A</v>
      </c>
      <c r="E145" s="142" t="s">
        <v>448</v>
      </c>
      <c r="F145" s="577"/>
    </row>
    <row r="146" spans="2:6" s="432" customFormat="1" hidden="1" x14ac:dyDescent="0.35">
      <c r="B146" s="519" t="s">
        <v>653</v>
      </c>
      <c r="C146" s="568" t="e">
        <f>SUM(C145:D145)*'Emission factors'!C5</f>
        <v>#N/A</v>
      </c>
      <c r="E146" s="142" t="s">
        <v>453</v>
      </c>
      <c r="F146" s="577"/>
    </row>
    <row r="147" spans="2:6" s="432" customFormat="1" hidden="1" x14ac:dyDescent="0.35"/>
    <row r="148" spans="2:6" s="432" customFormat="1" hidden="1" x14ac:dyDescent="0.35"/>
    <row r="149" spans="2:6" s="432" customFormat="1" hidden="1" x14ac:dyDescent="0.35">
      <c r="B149" s="519" t="s">
        <v>650</v>
      </c>
      <c r="C149" s="585" t="e">
        <f>C138-C146</f>
        <v>#N/A</v>
      </c>
      <c r="E149" s="142" t="s">
        <v>656</v>
      </c>
    </row>
    <row r="150" spans="2:6" s="432" customFormat="1" hidden="1" x14ac:dyDescent="0.35"/>
    <row r="151" spans="2:6" s="432" customFormat="1" hidden="1" x14ac:dyDescent="0.35">
      <c r="B151" s="424" t="s">
        <v>454</v>
      </c>
    </row>
    <row r="152" spans="2:6" s="432" customFormat="1" hidden="1" x14ac:dyDescent="0.35">
      <c r="B152" s="424" t="s">
        <v>756</v>
      </c>
      <c r="C152" s="585">
        <f>'Baseline farm'!E113+'Baseline farm'!F113</f>
        <v>0</v>
      </c>
    </row>
    <row r="153" spans="2:6" s="432" customFormat="1" hidden="1" x14ac:dyDescent="0.35">
      <c r="B153" s="424" t="s">
        <v>757</v>
      </c>
      <c r="C153" s="585">
        <f>'Baseline farm'!E114+'Baseline farm'!F114</f>
        <v>0</v>
      </c>
    </row>
    <row r="154" spans="2:6" s="432" customFormat="1" hidden="1" x14ac:dyDescent="0.35">
      <c r="B154" s="424" t="s">
        <v>758</v>
      </c>
      <c r="C154" s="585" t="e">
        <f>SUM('Baseline farm'!E115:F117)</f>
        <v>#N/A</v>
      </c>
    </row>
    <row r="155" spans="2:6" s="432" customFormat="1" hidden="1" x14ac:dyDescent="0.35">
      <c r="B155" s="424" t="s">
        <v>759</v>
      </c>
      <c r="C155" s="585" t="e">
        <f>'Baseline farm'!E116+'Baseline farm'!F116</f>
        <v>#N/A</v>
      </c>
    </row>
    <row r="156" spans="2:6" s="432" customFormat="1" hidden="1" x14ac:dyDescent="0.35">
      <c r="B156" s="424" t="s">
        <v>760</v>
      </c>
      <c r="C156" s="585" t="e">
        <f>SUM(C152:C155)</f>
        <v>#N/A</v>
      </c>
    </row>
    <row r="157" spans="2:6" s="432" customFormat="1" hidden="1" x14ac:dyDescent="0.35">
      <c r="B157" s="424"/>
      <c r="C157" s="624"/>
    </row>
    <row r="158" spans="2:6" s="432" customFormat="1" hidden="1" x14ac:dyDescent="0.35">
      <c r="B158" s="424" t="s">
        <v>455</v>
      </c>
      <c r="C158" s="624"/>
    </row>
    <row r="159" spans="2:6" s="432" customFormat="1" hidden="1" x14ac:dyDescent="0.35">
      <c r="B159" s="424" t="s">
        <v>756</v>
      </c>
      <c r="C159" s="585">
        <f>C92</f>
        <v>60.899230208250003</v>
      </c>
    </row>
    <row r="160" spans="2:6" s="432" customFormat="1" hidden="1" x14ac:dyDescent="0.35">
      <c r="B160" s="424" t="s">
        <v>757</v>
      </c>
      <c r="C160" s="585">
        <f>C113</f>
        <v>4.5831039236488404</v>
      </c>
    </row>
    <row r="161" spans="2:7" s="432" customFormat="1" hidden="1" x14ac:dyDescent="0.35">
      <c r="B161" s="424" t="s">
        <v>758</v>
      </c>
      <c r="C161" s="585" t="e">
        <f>C146</f>
        <v>#N/A</v>
      </c>
    </row>
    <row r="162" spans="2:7" s="432" customFormat="1" hidden="1" x14ac:dyDescent="0.35">
      <c r="B162" s="424" t="s">
        <v>759</v>
      </c>
      <c r="C162" s="624">
        <f>0</f>
        <v>0</v>
      </c>
    </row>
    <row r="163" spans="2:7" s="432" customFormat="1" hidden="1" x14ac:dyDescent="0.35">
      <c r="B163" s="424" t="s">
        <v>760</v>
      </c>
      <c r="C163" s="585" t="e">
        <f>SUM(C159:C162)</f>
        <v>#N/A</v>
      </c>
    </row>
    <row r="164" spans="2:7" s="432" customFormat="1" hidden="1" x14ac:dyDescent="0.35">
      <c r="B164" s="424"/>
      <c r="C164" s="624"/>
    </row>
    <row r="165" spans="2:7" s="432" customFormat="1" hidden="1" x14ac:dyDescent="0.35">
      <c r="B165" s="424" t="s">
        <v>761</v>
      </c>
      <c r="C165" s="624"/>
    </row>
    <row r="166" spans="2:7" s="432" customFormat="1" hidden="1" x14ac:dyDescent="0.35">
      <c r="B166" s="424" t="s">
        <v>756</v>
      </c>
      <c r="C166" s="585">
        <f>C152-C159</f>
        <v>-60.899230208250003</v>
      </c>
    </row>
    <row r="167" spans="2:7" s="432" customFormat="1" hidden="1" x14ac:dyDescent="0.35">
      <c r="B167" s="424" t="s">
        <v>757</v>
      </c>
      <c r="C167" s="585">
        <f>C153-C160</f>
        <v>-4.5831039236488404</v>
      </c>
    </row>
    <row r="168" spans="2:7" s="432" customFormat="1" hidden="1" x14ac:dyDescent="0.35">
      <c r="B168" s="424" t="s">
        <v>758</v>
      </c>
      <c r="C168" s="585" t="e">
        <f>C154-C161</f>
        <v>#N/A</v>
      </c>
    </row>
    <row r="169" spans="2:7" s="432" customFormat="1" hidden="1" x14ac:dyDescent="0.35">
      <c r="B169" s="424" t="s">
        <v>759</v>
      </c>
      <c r="C169" s="624" t="e">
        <f>C155-C162</f>
        <v>#N/A</v>
      </c>
    </row>
    <row r="170" spans="2:7" s="432" customFormat="1" hidden="1" x14ac:dyDescent="0.35">
      <c r="B170" s="424" t="s">
        <v>760</v>
      </c>
      <c r="C170" s="585" t="e">
        <f>SUM(C166:C169)</f>
        <v>#N/A</v>
      </c>
    </row>
    <row r="171" spans="2:7" s="432" customFormat="1" hidden="1" x14ac:dyDescent="0.35">
      <c r="E171" s="594"/>
      <c r="F171" s="316"/>
      <c r="G171" s="316"/>
    </row>
    <row r="172" spans="2:7" s="432" customFormat="1" hidden="1" x14ac:dyDescent="0.35">
      <c r="E172" s="594"/>
      <c r="F172" s="316"/>
      <c r="G172" s="316"/>
    </row>
    <row r="173" spans="2:7" s="432" customFormat="1" hidden="1" x14ac:dyDescent="0.35">
      <c r="E173" s="594"/>
      <c r="F173" s="316"/>
      <c r="G173" s="316"/>
    </row>
    <row r="174" spans="2:7" s="432" customFormat="1" hidden="1" x14ac:dyDescent="0.35">
      <c r="E174" s="594"/>
      <c r="F174" s="316"/>
      <c r="G174" s="316"/>
    </row>
    <row r="175" spans="2:7" s="432" customFormat="1" hidden="1" x14ac:dyDescent="0.35">
      <c r="E175" s="594"/>
      <c r="F175" s="316"/>
      <c r="G175" s="316"/>
    </row>
    <row r="176" spans="2:7" s="432" customFormat="1" hidden="1" x14ac:dyDescent="0.35">
      <c r="E176" s="594"/>
      <c r="F176" s="316"/>
      <c r="G176" s="316"/>
    </row>
    <row r="177" spans="5:7" s="432" customFormat="1" hidden="1" x14ac:dyDescent="0.35">
      <c r="E177" s="594"/>
      <c r="F177" s="316"/>
      <c r="G177" s="316"/>
    </row>
    <row r="178" spans="5:7" s="432" customFormat="1" hidden="1" x14ac:dyDescent="0.35">
      <c r="E178" s="594"/>
      <c r="F178" s="316"/>
      <c r="G178" s="316"/>
    </row>
    <row r="179" spans="5:7" s="432" customFormat="1" hidden="1" x14ac:dyDescent="0.35">
      <c r="E179" s="594"/>
      <c r="F179" s="316"/>
      <c r="G179" s="316"/>
    </row>
    <row r="180" spans="5:7" s="432" customFormat="1" hidden="1" x14ac:dyDescent="0.35">
      <c r="E180" s="594"/>
      <c r="F180" s="316"/>
      <c r="G180" s="316"/>
    </row>
    <row r="181" spans="5:7" s="432" customFormat="1" hidden="1" x14ac:dyDescent="0.35">
      <c r="E181" s="594"/>
      <c r="F181" s="316"/>
      <c r="G181" s="316"/>
    </row>
    <row r="182" spans="5:7" s="432" customFormat="1" hidden="1" x14ac:dyDescent="0.35">
      <c r="E182" s="594"/>
      <c r="F182" s="316"/>
      <c r="G182" s="316"/>
    </row>
    <row r="183" spans="5:7" s="432" customFormat="1" hidden="1" x14ac:dyDescent="0.35">
      <c r="E183" s="594"/>
      <c r="F183" s="316"/>
      <c r="G183" s="316"/>
    </row>
    <row r="184" spans="5:7" s="432" customFormat="1" hidden="1" x14ac:dyDescent="0.35">
      <c r="E184" s="594"/>
      <c r="F184" s="316"/>
      <c r="G184" s="316"/>
    </row>
    <row r="185" spans="5:7" s="432" customFormat="1" hidden="1" x14ac:dyDescent="0.35">
      <c r="E185" s="594"/>
      <c r="F185" s="316"/>
      <c r="G185" s="316"/>
    </row>
    <row r="186" spans="5:7" s="432" customFormat="1" hidden="1" x14ac:dyDescent="0.35">
      <c r="E186" s="594"/>
      <c r="F186" s="316"/>
      <c r="G186" s="316"/>
    </row>
    <row r="187" spans="5:7" s="432" customFormat="1" hidden="1" x14ac:dyDescent="0.35">
      <c r="E187" s="594"/>
      <c r="F187" s="316"/>
      <c r="G187" s="316"/>
    </row>
    <row r="188" spans="5:7" s="432" customFormat="1" hidden="1" x14ac:dyDescent="0.35">
      <c r="E188" s="594"/>
      <c r="F188" s="316"/>
      <c r="G188" s="316"/>
    </row>
    <row r="189" spans="5:7" s="432" customFormat="1" hidden="1" x14ac:dyDescent="0.35">
      <c r="E189" s="594"/>
      <c r="F189" s="316"/>
      <c r="G189" s="316"/>
    </row>
    <row r="190" spans="5:7" s="432" customFormat="1" hidden="1" x14ac:dyDescent="0.35">
      <c r="E190" s="594"/>
      <c r="F190" s="316"/>
      <c r="G190" s="316"/>
    </row>
    <row r="191" spans="5:7" s="432" customFormat="1" hidden="1" x14ac:dyDescent="0.35">
      <c r="E191" s="594"/>
      <c r="F191" s="316"/>
      <c r="G191" s="316"/>
    </row>
    <row r="192" spans="5:7" s="432" customFormat="1" hidden="1" x14ac:dyDescent="0.35">
      <c r="E192" s="594"/>
      <c r="F192" s="316"/>
      <c r="G192" s="316"/>
    </row>
    <row r="193" spans="5:7" s="432" customFormat="1" hidden="1" x14ac:dyDescent="0.35">
      <c r="E193" s="594"/>
      <c r="F193" s="316"/>
      <c r="G193" s="316"/>
    </row>
    <row r="194" spans="5:7" s="432" customFormat="1" hidden="1" x14ac:dyDescent="0.35">
      <c r="E194" s="594"/>
      <c r="F194" s="316"/>
      <c r="G194" s="316"/>
    </row>
    <row r="195" spans="5:7" s="432" customFormat="1" hidden="1" x14ac:dyDescent="0.35">
      <c r="E195" s="594"/>
      <c r="F195" s="316"/>
      <c r="G195" s="316"/>
    </row>
    <row r="196" spans="5:7" s="432" customFormat="1" hidden="1" x14ac:dyDescent="0.35">
      <c r="E196" s="594"/>
      <c r="F196" s="316"/>
      <c r="G196" s="316"/>
    </row>
    <row r="197" spans="5:7" s="432" customFormat="1" hidden="1" x14ac:dyDescent="0.35">
      <c r="E197" s="594"/>
      <c r="F197" s="316"/>
      <c r="G197" s="316"/>
    </row>
    <row r="198" spans="5:7" s="432" customFormat="1" hidden="1" x14ac:dyDescent="0.35">
      <c r="E198" s="594"/>
      <c r="F198" s="316"/>
      <c r="G198" s="316"/>
    </row>
    <row r="199" spans="5:7" s="432" customFormat="1" hidden="1" x14ac:dyDescent="0.35">
      <c r="E199" s="594"/>
      <c r="F199" s="316"/>
      <c r="G199" s="316"/>
    </row>
    <row r="200" spans="5:7" s="432" customFormat="1" hidden="1" x14ac:dyDescent="0.35">
      <c r="E200" s="594"/>
      <c r="F200" s="316"/>
      <c r="G200" s="316"/>
    </row>
    <row r="201" spans="5:7" s="432" customFormat="1" hidden="1" x14ac:dyDescent="0.35">
      <c r="E201" s="594"/>
      <c r="F201" s="316"/>
      <c r="G201" s="316"/>
    </row>
    <row r="202" spans="5:7" s="432" customFormat="1" hidden="1" x14ac:dyDescent="0.35">
      <c r="E202" s="594"/>
      <c r="F202" s="316"/>
      <c r="G202" s="316"/>
    </row>
    <row r="203" spans="5:7" s="432" customFormat="1" hidden="1" x14ac:dyDescent="0.35">
      <c r="E203" s="594"/>
      <c r="F203" s="316"/>
      <c r="G203" s="316"/>
    </row>
    <row r="204" spans="5:7" s="432" customFormat="1" hidden="1" x14ac:dyDescent="0.35">
      <c r="E204" s="594"/>
      <c r="F204" s="316"/>
      <c r="G204" s="316"/>
    </row>
    <row r="205" spans="5:7" s="432" customFormat="1" hidden="1" x14ac:dyDescent="0.35">
      <c r="E205" s="594"/>
      <c r="F205" s="316"/>
      <c r="G205" s="316"/>
    </row>
    <row r="206" spans="5:7" s="432" customFormat="1" hidden="1" x14ac:dyDescent="0.35">
      <c r="E206" s="594"/>
      <c r="F206" s="316"/>
      <c r="G206" s="316"/>
    </row>
    <row r="207" spans="5:7" s="432" customFormat="1" hidden="1" x14ac:dyDescent="0.35">
      <c r="E207" s="594"/>
      <c r="F207" s="316"/>
      <c r="G207" s="316"/>
    </row>
    <row r="208" spans="5:7" s="432" customFormat="1" hidden="1" x14ac:dyDescent="0.35">
      <c r="E208" s="594"/>
      <c r="F208" s="316"/>
      <c r="G208" s="316"/>
    </row>
    <row r="209" spans="5:7" s="432" customFormat="1" hidden="1" x14ac:dyDescent="0.35">
      <c r="E209" s="594"/>
      <c r="F209" s="316"/>
      <c r="G209" s="316"/>
    </row>
    <row r="210" spans="5:7" s="432" customFormat="1" hidden="1" x14ac:dyDescent="0.35">
      <c r="E210" s="594"/>
      <c r="F210" s="316"/>
      <c r="G210" s="316"/>
    </row>
    <row r="211" spans="5:7" s="432" customFormat="1" hidden="1" x14ac:dyDescent="0.35">
      <c r="E211" s="594"/>
      <c r="F211" s="316"/>
      <c r="G211" s="316"/>
    </row>
    <row r="212" spans="5:7" s="432" customFormat="1" hidden="1" x14ac:dyDescent="0.35">
      <c r="E212" s="594"/>
      <c r="F212" s="316"/>
      <c r="G212" s="316"/>
    </row>
    <row r="213" spans="5:7" s="432" customFormat="1" hidden="1" x14ac:dyDescent="0.35">
      <c r="E213" s="594"/>
      <c r="F213" s="316"/>
      <c r="G213" s="316"/>
    </row>
    <row r="214" spans="5:7" s="432" customFormat="1" hidden="1" x14ac:dyDescent="0.35">
      <c r="E214" s="594"/>
      <c r="F214" s="316"/>
      <c r="G214" s="316"/>
    </row>
    <row r="215" spans="5:7" s="432" customFormat="1" hidden="1" x14ac:dyDescent="0.35">
      <c r="E215" s="594"/>
      <c r="F215" s="316"/>
      <c r="G215" s="316"/>
    </row>
    <row r="216" spans="5:7" s="432" customFormat="1" x14ac:dyDescent="0.35">
      <c r="E216" s="594"/>
      <c r="F216" s="316"/>
      <c r="G216" s="316"/>
    </row>
    <row r="217" spans="5:7" s="432" customFormat="1" x14ac:dyDescent="0.35">
      <c r="E217" s="594"/>
      <c r="F217" s="316"/>
      <c r="G217" s="316"/>
    </row>
    <row r="218" spans="5:7" s="432" customFormat="1" x14ac:dyDescent="0.35">
      <c r="E218" s="594"/>
      <c r="F218" s="316"/>
      <c r="G218" s="316"/>
    </row>
    <row r="219" spans="5:7" s="432" customFormat="1" x14ac:dyDescent="0.35">
      <c r="E219" s="594"/>
      <c r="F219" s="316"/>
      <c r="G219" s="316"/>
    </row>
    <row r="220" spans="5:7" s="432" customFormat="1" x14ac:dyDescent="0.35">
      <c r="E220" s="594"/>
      <c r="F220" s="316"/>
      <c r="G220" s="316"/>
    </row>
    <row r="221" spans="5:7" s="432" customFormat="1" x14ac:dyDescent="0.35">
      <c r="E221" s="594"/>
      <c r="F221" s="316"/>
      <c r="G221" s="316"/>
    </row>
    <row r="222" spans="5:7" s="432" customFormat="1" x14ac:dyDescent="0.35">
      <c r="E222" s="594"/>
      <c r="F222" s="316"/>
      <c r="G222" s="316"/>
    </row>
    <row r="223" spans="5:7" s="432" customFormat="1" x14ac:dyDescent="0.35">
      <c r="E223" s="594"/>
      <c r="F223" s="316"/>
      <c r="G223" s="316"/>
    </row>
    <row r="224" spans="5:7" s="432" customFormat="1" x14ac:dyDescent="0.35">
      <c r="E224" s="594"/>
      <c r="F224" s="316"/>
      <c r="G224" s="316"/>
    </row>
    <row r="225" spans="5:7" s="432" customFormat="1" x14ac:dyDescent="0.35">
      <c r="E225" s="594"/>
      <c r="F225" s="316"/>
      <c r="G225" s="316"/>
    </row>
    <row r="226" spans="5:7" s="432" customFormat="1" x14ac:dyDescent="0.35">
      <c r="E226" s="594"/>
      <c r="F226" s="316"/>
      <c r="G226" s="316"/>
    </row>
    <row r="227" spans="5:7" s="432" customFormat="1" x14ac:dyDescent="0.35">
      <c r="E227" s="594"/>
      <c r="F227" s="316"/>
      <c r="G227" s="316"/>
    </row>
    <row r="228" spans="5:7" s="432" customFormat="1" x14ac:dyDescent="0.35">
      <c r="E228" s="594"/>
      <c r="F228" s="316"/>
      <c r="G228" s="316"/>
    </row>
    <row r="229" spans="5:7" s="432" customFormat="1" x14ac:dyDescent="0.35">
      <c r="E229" s="594"/>
      <c r="F229" s="316"/>
      <c r="G229" s="316"/>
    </row>
    <row r="230" spans="5:7" s="432" customFormat="1" x14ac:dyDescent="0.35">
      <c r="E230" s="594"/>
      <c r="F230" s="316"/>
      <c r="G230" s="316"/>
    </row>
    <row r="231" spans="5:7" s="432" customFormat="1" x14ac:dyDescent="0.35">
      <c r="E231" s="594"/>
      <c r="F231" s="316"/>
      <c r="G231" s="316"/>
    </row>
    <row r="232" spans="5:7" s="432" customFormat="1" x14ac:dyDescent="0.35">
      <c r="E232" s="594"/>
      <c r="F232" s="316"/>
      <c r="G232" s="316"/>
    </row>
    <row r="233" spans="5:7" s="432" customFormat="1" x14ac:dyDescent="0.35">
      <c r="E233" s="594"/>
      <c r="F233" s="316"/>
      <c r="G233" s="316"/>
    </row>
    <row r="234" spans="5:7" s="432" customFormat="1" x14ac:dyDescent="0.35">
      <c r="E234" s="594"/>
      <c r="F234" s="316"/>
      <c r="G234" s="316"/>
    </row>
    <row r="235" spans="5:7" s="432" customFormat="1" x14ac:dyDescent="0.35">
      <c r="E235" s="594"/>
      <c r="F235" s="316"/>
      <c r="G235" s="316"/>
    </row>
    <row r="236" spans="5:7" s="432" customFormat="1" x14ac:dyDescent="0.35">
      <c r="E236" s="594"/>
      <c r="F236" s="316"/>
      <c r="G236" s="316"/>
    </row>
    <row r="237" spans="5:7" s="432" customFormat="1" x14ac:dyDescent="0.35">
      <c r="E237" s="594"/>
      <c r="F237" s="316"/>
      <c r="G237" s="316"/>
    </row>
    <row r="238" spans="5:7" s="432" customFormat="1" x14ac:dyDescent="0.35">
      <c r="E238" s="594"/>
      <c r="F238" s="316"/>
      <c r="G238" s="316"/>
    </row>
    <row r="239" spans="5:7" s="432" customFormat="1" x14ac:dyDescent="0.35">
      <c r="E239" s="594"/>
      <c r="F239" s="316"/>
      <c r="G239" s="316"/>
    </row>
    <row r="240" spans="5:7" s="432" customFormat="1" x14ac:dyDescent="0.35">
      <c r="E240" s="594"/>
      <c r="F240" s="316"/>
      <c r="G240" s="316"/>
    </row>
    <row r="241" spans="5:7" s="432" customFormat="1" x14ac:dyDescent="0.35">
      <c r="E241" s="594"/>
      <c r="F241" s="316"/>
      <c r="G241" s="316"/>
    </row>
    <row r="242" spans="5:7" s="432" customFormat="1" x14ac:dyDescent="0.35">
      <c r="E242" s="594"/>
      <c r="F242" s="316"/>
      <c r="G242" s="316"/>
    </row>
    <row r="243" spans="5:7" s="432" customFormat="1" x14ac:dyDescent="0.35">
      <c r="E243" s="594"/>
      <c r="F243" s="316"/>
      <c r="G243" s="316"/>
    </row>
    <row r="244" spans="5:7" s="432" customFormat="1" x14ac:dyDescent="0.35">
      <c r="E244" s="594"/>
      <c r="F244" s="316"/>
      <c r="G244" s="316"/>
    </row>
    <row r="245" spans="5:7" s="432" customFormat="1" x14ac:dyDescent="0.35">
      <c r="E245" s="594"/>
      <c r="F245" s="316"/>
      <c r="G245" s="316"/>
    </row>
    <row r="246" spans="5:7" s="432" customFormat="1" x14ac:dyDescent="0.35">
      <c r="E246" s="594"/>
      <c r="F246" s="316"/>
      <c r="G246" s="316"/>
    </row>
    <row r="247" spans="5:7" s="432" customFormat="1" x14ac:dyDescent="0.35">
      <c r="E247" s="594"/>
      <c r="F247" s="316"/>
      <c r="G247" s="316"/>
    </row>
    <row r="248" spans="5:7" s="432" customFormat="1" x14ac:dyDescent="0.35">
      <c r="E248" s="594"/>
      <c r="F248" s="316"/>
      <c r="G248" s="316"/>
    </row>
    <row r="249" spans="5:7" s="432" customFormat="1" x14ac:dyDescent="0.35">
      <c r="E249" s="594"/>
      <c r="F249" s="316"/>
      <c r="G249" s="316"/>
    </row>
    <row r="250" spans="5:7" s="432" customFormat="1" x14ac:dyDescent="0.35">
      <c r="E250" s="594"/>
      <c r="F250" s="316"/>
      <c r="G250" s="316"/>
    </row>
    <row r="251" spans="5:7" s="432" customFormat="1" x14ac:dyDescent="0.35">
      <c r="E251" s="594"/>
      <c r="F251" s="316"/>
      <c r="G251" s="316"/>
    </row>
    <row r="252" spans="5:7" s="432" customFormat="1" x14ac:dyDescent="0.35">
      <c r="E252" s="594"/>
      <c r="F252" s="316"/>
      <c r="G252" s="316"/>
    </row>
    <row r="253" spans="5:7" s="432" customFormat="1" x14ac:dyDescent="0.35">
      <c r="E253" s="594"/>
      <c r="F253" s="316"/>
      <c r="G253" s="316"/>
    </row>
    <row r="254" spans="5:7" s="432" customFormat="1" x14ac:dyDescent="0.35">
      <c r="E254" s="594"/>
      <c r="F254" s="316"/>
      <c r="G254" s="316"/>
    </row>
    <row r="255" spans="5:7" s="432" customFormat="1" x14ac:dyDescent="0.35">
      <c r="E255" s="594"/>
      <c r="F255" s="316"/>
      <c r="G255" s="316"/>
    </row>
    <row r="256" spans="5:7" s="432" customFormat="1" x14ac:dyDescent="0.35">
      <c r="E256" s="594"/>
      <c r="F256" s="316"/>
      <c r="G256" s="316"/>
    </row>
    <row r="257" spans="5:7" s="432" customFormat="1" x14ac:dyDescent="0.35">
      <c r="E257" s="594"/>
      <c r="F257" s="316"/>
      <c r="G257" s="316"/>
    </row>
    <row r="258" spans="5:7" s="432" customFormat="1" x14ac:dyDescent="0.35">
      <c r="E258" s="594"/>
      <c r="F258" s="316"/>
      <c r="G258" s="316"/>
    </row>
    <row r="259" spans="5:7" s="432" customFormat="1" x14ac:dyDescent="0.35">
      <c r="E259" s="594"/>
      <c r="F259" s="316"/>
      <c r="G259" s="316"/>
    </row>
    <row r="260" spans="5:7" s="432" customFormat="1" x14ac:dyDescent="0.35">
      <c r="E260" s="594"/>
      <c r="F260" s="316"/>
      <c r="G260" s="316"/>
    </row>
    <row r="261" spans="5:7" s="432" customFormat="1" x14ac:dyDescent="0.35">
      <c r="E261" s="594"/>
      <c r="F261" s="316"/>
      <c r="G261" s="316"/>
    </row>
    <row r="262" spans="5:7" s="432" customFormat="1" x14ac:dyDescent="0.35">
      <c r="E262" s="594"/>
      <c r="F262" s="316"/>
      <c r="G262" s="316"/>
    </row>
    <row r="263" spans="5:7" s="432" customFormat="1" x14ac:dyDescent="0.35">
      <c r="E263" s="594"/>
      <c r="F263" s="316"/>
      <c r="G263" s="316"/>
    </row>
    <row r="264" spans="5:7" s="432" customFormat="1" x14ac:dyDescent="0.35">
      <c r="E264" s="594"/>
      <c r="F264" s="316"/>
      <c r="G264" s="316"/>
    </row>
    <row r="265" spans="5:7" s="432" customFormat="1" x14ac:dyDescent="0.35">
      <c r="E265" s="594"/>
      <c r="F265" s="316"/>
      <c r="G265" s="316"/>
    </row>
    <row r="266" spans="5:7" s="432" customFormat="1" x14ac:dyDescent="0.35">
      <c r="E266" s="594"/>
      <c r="F266" s="316"/>
      <c r="G266" s="316"/>
    </row>
    <row r="267" spans="5:7" s="432" customFormat="1" x14ac:dyDescent="0.35">
      <c r="E267" s="594"/>
      <c r="F267" s="316"/>
      <c r="G267" s="316"/>
    </row>
    <row r="268" spans="5:7" s="432" customFormat="1" x14ac:dyDescent="0.35">
      <c r="E268" s="594"/>
      <c r="F268" s="316"/>
      <c r="G268" s="316"/>
    </row>
    <row r="269" spans="5:7" s="432" customFormat="1" x14ac:dyDescent="0.35">
      <c r="E269" s="594"/>
      <c r="F269" s="316"/>
      <c r="G269" s="316"/>
    </row>
    <row r="270" spans="5:7" s="432" customFormat="1" x14ac:dyDescent="0.35">
      <c r="E270" s="594"/>
      <c r="F270" s="316"/>
      <c r="G270" s="316"/>
    </row>
    <row r="271" spans="5:7" s="432" customFormat="1" x14ac:dyDescent="0.35">
      <c r="E271" s="594"/>
      <c r="F271" s="316"/>
      <c r="G271" s="316"/>
    </row>
    <row r="272" spans="5:7" s="432" customFormat="1" x14ac:dyDescent="0.35">
      <c r="E272" s="594"/>
      <c r="F272" s="316"/>
      <c r="G272" s="316"/>
    </row>
    <row r="273" spans="5:7" s="432" customFormat="1" x14ac:dyDescent="0.35">
      <c r="E273" s="594"/>
      <c r="F273" s="316"/>
      <c r="G273" s="316"/>
    </row>
    <row r="274" spans="5:7" s="432" customFormat="1" x14ac:dyDescent="0.35">
      <c r="E274" s="594"/>
      <c r="F274" s="316"/>
      <c r="G274" s="316"/>
    </row>
    <row r="275" spans="5:7" s="432" customFormat="1" x14ac:dyDescent="0.35">
      <c r="E275" s="594"/>
      <c r="F275" s="316"/>
      <c r="G275" s="316"/>
    </row>
    <row r="276" spans="5:7" s="432" customFormat="1" x14ac:dyDescent="0.35">
      <c r="E276" s="594"/>
      <c r="F276" s="316"/>
      <c r="G276" s="316"/>
    </row>
    <row r="277" spans="5:7" s="432" customFormat="1" x14ac:dyDescent="0.35">
      <c r="E277" s="594"/>
      <c r="F277" s="316"/>
      <c r="G277" s="316"/>
    </row>
    <row r="278" spans="5:7" s="432" customFormat="1" x14ac:dyDescent="0.35">
      <c r="E278" s="594"/>
      <c r="F278" s="316"/>
      <c r="G278" s="316"/>
    </row>
    <row r="279" spans="5:7" s="432" customFormat="1" x14ac:dyDescent="0.35">
      <c r="E279" s="594"/>
      <c r="F279" s="316"/>
      <c r="G279" s="316"/>
    </row>
    <row r="280" spans="5:7" s="432" customFormat="1" x14ac:dyDescent="0.35">
      <c r="E280" s="594"/>
      <c r="F280" s="316"/>
      <c r="G280" s="316"/>
    </row>
    <row r="281" spans="5:7" s="432" customFormat="1" x14ac:dyDescent="0.35">
      <c r="E281" s="594"/>
      <c r="F281" s="316"/>
      <c r="G281" s="316"/>
    </row>
    <row r="282" spans="5:7" s="432" customFormat="1" x14ac:dyDescent="0.35">
      <c r="E282" s="594"/>
      <c r="F282" s="316"/>
      <c r="G282" s="316"/>
    </row>
    <row r="283" spans="5:7" s="432" customFormat="1" x14ac:dyDescent="0.35">
      <c r="E283" s="594"/>
      <c r="F283" s="316"/>
      <c r="G283" s="316"/>
    </row>
    <row r="284" spans="5:7" s="432" customFormat="1" x14ac:dyDescent="0.35">
      <c r="E284" s="594"/>
      <c r="F284" s="316"/>
      <c r="G284" s="316"/>
    </row>
    <row r="285" spans="5:7" s="432" customFormat="1" x14ac:dyDescent="0.35">
      <c r="E285" s="594"/>
      <c r="F285" s="316"/>
      <c r="G285" s="316"/>
    </row>
    <row r="286" spans="5:7" s="432" customFormat="1" x14ac:dyDescent="0.35">
      <c r="E286" s="594"/>
      <c r="F286" s="316"/>
      <c r="G286" s="316"/>
    </row>
    <row r="287" spans="5:7" s="432" customFormat="1" x14ac:dyDescent="0.35">
      <c r="E287" s="594"/>
      <c r="F287" s="316"/>
      <c r="G287" s="316"/>
    </row>
    <row r="288" spans="5:7" s="432" customFormat="1" x14ac:dyDescent="0.35">
      <c r="E288" s="594"/>
      <c r="F288" s="316"/>
      <c r="G288" s="316"/>
    </row>
    <row r="289" spans="5:7" s="432" customFormat="1" x14ac:dyDescent="0.35">
      <c r="E289" s="594"/>
      <c r="F289" s="316"/>
      <c r="G289" s="316"/>
    </row>
    <row r="290" spans="5:7" s="432" customFormat="1" x14ac:dyDescent="0.35">
      <c r="E290" s="594"/>
      <c r="F290" s="316"/>
      <c r="G290" s="316"/>
    </row>
    <row r="291" spans="5:7" s="432" customFormat="1" x14ac:dyDescent="0.35">
      <c r="E291" s="594"/>
      <c r="F291" s="316"/>
      <c r="G291" s="316"/>
    </row>
    <row r="292" spans="5:7" s="432" customFormat="1" x14ac:dyDescent="0.35">
      <c r="E292" s="594"/>
      <c r="F292" s="316"/>
      <c r="G292" s="316"/>
    </row>
    <row r="293" spans="5:7" s="432" customFormat="1" x14ac:dyDescent="0.35">
      <c r="E293" s="594"/>
      <c r="F293" s="316"/>
      <c r="G293" s="316"/>
    </row>
    <row r="294" spans="5:7" s="432" customFormat="1" x14ac:dyDescent="0.35">
      <c r="E294" s="594"/>
      <c r="F294" s="316"/>
      <c r="G294" s="316"/>
    </row>
    <row r="295" spans="5:7" s="432" customFormat="1" x14ac:dyDescent="0.35">
      <c r="E295" s="594"/>
      <c r="F295" s="316"/>
      <c r="G295" s="316"/>
    </row>
    <row r="296" spans="5:7" s="432" customFormat="1" x14ac:dyDescent="0.35">
      <c r="E296" s="594"/>
      <c r="F296" s="316"/>
      <c r="G296" s="316"/>
    </row>
    <row r="297" spans="5:7" s="432" customFormat="1" x14ac:dyDescent="0.35">
      <c r="E297" s="594"/>
      <c r="F297" s="316"/>
      <c r="G297" s="316"/>
    </row>
    <row r="298" spans="5:7" s="432" customFormat="1" x14ac:dyDescent="0.35">
      <c r="E298" s="594"/>
      <c r="F298" s="316"/>
      <c r="G298" s="316"/>
    </row>
    <row r="299" spans="5:7" s="432" customFormat="1" x14ac:dyDescent="0.35">
      <c r="E299" s="594"/>
      <c r="F299" s="316"/>
      <c r="G299" s="316"/>
    </row>
    <row r="300" spans="5:7" s="432" customFormat="1" x14ac:dyDescent="0.35">
      <c r="E300" s="594"/>
      <c r="F300" s="316"/>
      <c r="G300" s="316"/>
    </row>
    <row r="301" spans="5:7" s="432" customFormat="1" x14ac:dyDescent="0.35">
      <c r="E301" s="594"/>
      <c r="F301" s="316"/>
      <c r="G301" s="316"/>
    </row>
    <row r="302" spans="5:7" s="432" customFormat="1" x14ac:dyDescent="0.35">
      <c r="E302" s="594"/>
      <c r="F302" s="316"/>
      <c r="G302" s="316"/>
    </row>
    <row r="303" spans="5:7" s="432" customFormat="1" x14ac:dyDescent="0.35">
      <c r="E303" s="594"/>
      <c r="F303" s="316"/>
      <c r="G303" s="316"/>
    </row>
    <row r="304" spans="5:7" s="432" customFormat="1" x14ac:dyDescent="0.35">
      <c r="E304" s="594"/>
      <c r="F304" s="316"/>
      <c r="G304" s="316"/>
    </row>
    <row r="305" spans="5:7" s="432" customFormat="1" x14ac:dyDescent="0.35">
      <c r="E305" s="594"/>
      <c r="F305" s="316"/>
      <c r="G305" s="316"/>
    </row>
    <row r="306" spans="5:7" s="432" customFormat="1" x14ac:dyDescent="0.35">
      <c r="E306" s="594"/>
      <c r="F306" s="316"/>
      <c r="G306" s="316"/>
    </row>
    <row r="307" spans="5:7" s="432" customFormat="1" x14ac:dyDescent="0.35">
      <c r="E307" s="594"/>
      <c r="F307" s="316"/>
      <c r="G307" s="316"/>
    </row>
    <row r="308" spans="5:7" s="432" customFormat="1" x14ac:dyDescent="0.35">
      <c r="E308" s="594"/>
      <c r="F308" s="316"/>
      <c r="G308" s="316"/>
    </row>
    <row r="309" spans="5:7" s="432" customFormat="1" x14ac:dyDescent="0.35">
      <c r="E309" s="594"/>
      <c r="F309" s="316"/>
      <c r="G309" s="316"/>
    </row>
    <row r="310" spans="5:7" s="432" customFormat="1" x14ac:dyDescent="0.35">
      <c r="E310" s="594"/>
      <c r="F310" s="316"/>
      <c r="G310" s="316"/>
    </row>
    <row r="311" spans="5:7" s="432" customFormat="1" x14ac:dyDescent="0.35">
      <c r="E311" s="594"/>
      <c r="F311" s="316"/>
      <c r="G311" s="316"/>
    </row>
    <row r="312" spans="5:7" s="432" customFormat="1" x14ac:dyDescent="0.35">
      <c r="E312" s="594"/>
      <c r="F312" s="316"/>
      <c r="G312" s="316"/>
    </row>
    <row r="313" spans="5:7" s="432" customFormat="1" x14ac:dyDescent="0.35">
      <c r="E313" s="594"/>
      <c r="F313" s="316"/>
      <c r="G313" s="316"/>
    </row>
    <row r="314" spans="5:7" s="432" customFormat="1" x14ac:dyDescent="0.35">
      <c r="E314" s="594"/>
      <c r="F314" s="316"/>
      <c r="G314" s="316"/>
    </row>
    <row r="315" spans="5:7" s="432" customFormat="1" x14ac:dyDescent="0.35">
      <c r="E315" s="594"/>
      <c r="F315" s="316"/>
      <c r="G315" s="316"/>
    </row>
    <row r="316" spans="5:7" s="432" customFormat="1" x14ac:dyDescent="0.35">
      <c r="E316" s="594"/>
      <c r="F316" s="316"/>
      <c r="G316" s="316"/>
    </row>
    <row r="317" spans="5:7" s="432" customFormat="1" x14ac:dyDescent="0.35">
      <c r="E317" s="594"/>
      <c r="F317" s="316"/>
      <c r="G317" s="316"/>
    </row>
    <row r="318" spans="5:7" s="432" customFormat="1" x14ac:dyDescent="0.35">
      <c r="E318" s="594"/>
      <c r="F318" s="316"/>
      <c r="G318" s="316"/>
    </row>
    <row r="319" spans="5:7" s="432" customFormat="1" x14ac:dyDescent="0.35">
      <c r="E319" s="594"/>
      <c r="F319" s="316"/>
      <c r="G319" s="316"/>
    </row>
    <row r="320" spans="5:7" s="432" customFormat="1" x14ac:dyDescent="0.35">
      <c r="E320" s="594"/>
      <c r="F320" s="316"/>
      <c r="G320" s="316"/>
    </row>
    <row r="321" spans="2:8" s="432" customFormat="1" x14ac:dyDescent="0.35">
      <c r="E321" s="594"/>
      <c r="F321" s="316"/>
      <c r="G321" s="316"/>
    </row>
    <row r="322" spans="2:8" s="432" customFormat="1" x14ac:dyDescent="0.35">
      <c r="E322" s="594"/>
      <c r="F322" s="316"/>
      <c r="G322" s="316"/>
    </row>
    <row r="323" spans="2:8" s="432" customFormat="1" x14ac:dyDescent="0.35">
      <c r="E323" s="594"/>
      <c r="F323" s="316"/>
      <c r="G323" s="316"/>
    </row>
    <row r="324" spans="2:8" x14ac:dyDescent="0.35">
      <c r="B324" s="20"/>
      <c r="C324" s="20"/>
      <c r="D324" s="20"/>
      <c r="E324" s="288"/>
      <c r="F324" s="289"/>
      <c r="G324" s="289"/>
      <c r="H324" s="20"/>
    </row>
    <row r="325" spans="2:8" x14ac:dyDescent="0.35">
      <c r="B325" s="20"/>
      <c r="C325" s="20"/>
      <c r="D325" s="20"/>
      <c r="E325" s="288"/>
      <c r="F325" s="289"/>
      <c r="G325" s="289"/>
      <c r="H325" s="20"/>
    </row>
    <row r="326" spans="2:8" x14ac:dyDescent="0.35">
      <c r="B326" s="20"/>
      <c r="C326" s="20"/>
      <c r="D326" s="20"/>
      <c r="E326" s="288"/>
      <c r="F326" s="289"/>
      <c r="G326" s="289"/>
      <c r="H326" s="20"/>
    </row>
    <row r="327" spans="2:8" x14ac:dyDescent="0.35">
      <c r="B327" s="20"/>
      <c r="C327" s="20"/>
      <c r="D327" s="20"/>
      <c r="E327" s="288"/>
      <c r="F327" s="289"/>
      <c r="G327" s="289"/>
      <c r="H327" s="20"/>
    </row>
    <row r="328" spans="2:8" x14ac:dyDescent="0.35">
      <c r="B328" s="20"/>
      <c r="C328" s="20"/>
      <c r="D328" s="20"/>
      <c r="E328" s="288"/>
      <c r="F328" s="289"/>
      <c r="G328" s="289"/>
      <c r="H328" s="20"/>
    </row>
    <row r="329" spans="2:8" x14ac:dyDescent="0.35">
      <c r="B329" s="20"/>
      <c r="C329" s="20"/>
      <c r="D329" s="20"/>
      <c r="E329" s="288"/>
      <c r="F329" s="289"/>
      <c r="G329" s="289"/>
      <c r="H329" s="20"/>
    </row>
    <row r="330" spans="2:8" x14ac:dyDescent="0.35">
      <c r="B330" s="20"/>
      <c r="C330" s="20"/>
      <c r="D330" s="20"/>
      <c r="E330" s="288"/>
      <c r="F330" s="289"/>
      <c r="G330" s="289"/>
      <c r="H330" s="20"/>
    </row>
    <row r="331" spans="2:8" x14ac:dyDescent="0.35">
      <c r="B331" s="20"/>
      <c r="C331" s="20"/>
      <c r="D331" s="20"/>
      <c r="E331" s="288"/>
      <c r="F331" s="289"/>
      <c r="G331" s="289"/>
      <c r="H331" s="20"/>
    </row>
    <row r="332" spans="2:8" x14ac:dyDescent="0.35">
      <c r="B332" s="20"/>
      <c r="C332" s="20"/>
      <c r="D332" s="20"/>
      <c r="E332" s="288"/>
      <c r="F332" s="289"/>
      <c r="G332" s="289"/>
      <c r="H332" s="20"/>
    </row>
    <row r="333" spans="2:8" x14ac:dyDescent="0.35">
      <c r="B333" s="20"/>
      <c r="C333" s="20"/>
      <c r="D333" s="20"/>
      <c r="E333" s="288"/>
      <c r="F333" s="289"/>
      <c r="G333" s="289"/>
      <c r="H333" s="20"/>
    </row>
    <row r="334" spans="2:8" x14ac:dyDescent="0.35">
      <c r="B334" s="20"/>
      <c r="C334" s="20"/>
      <c r="D334" s="20"/>
      <c r="E334" s="288"/>
      <c r="F334" s="289"/>
      <c r="G334" s="289"/>
      <c r="H334" s="20"/>
    </row>
    <row r="335" spans="2:8" x14ac:dyDescent="0.35">
      <c r="B335" s="20"/>
      <c r="C335" s="20"/>
      <c r="D335" s="20"/>
      <c r="E335" s="288"/>
      <c r="F335" s="289"/>
      <c r="G335" s="289"/>
      <c r="H335" s="20"/>
    </row>
    <row r="336" spans="2:8" x14ac:dyDescent="0.35">
      <c r="B336" s="20"/>
      <c r="C336" s="20"/>
      <c r="D336" s="20"/>
      <c r="E336" s="288"/>
      <c r="F336" s="289"/>
      <c r="G336" s="289"/>
      <c r="H336" s="20"/>
    </row>
    <row r="337" spans="2:8" x14ac:dyDescent="0.35">
      <c r="B337" s="20"/>
      <c r="C337" s="20"/>
      <c r="D337" s="20"/>
      <c r="E337" s="288"/>
      <c r="F337" s="289"/>
      <c r="G337" s="289"/>
      <c r="H337" s="20"/>
    </row>
    <row r="338" spans="2:8" x14ac:dyDescent="0.35">
      <c r="B338" s="20"/>
      <c r="C338" s="20"/>
      <c r="D338" s="20"/>
      <c r="E338" s="288"/>
      <c r="F338" s="289"/>
      <c r="G338" s="289"/>
      <c r="H338" s="20"/>
    </row>
    <row r="339" spans="2:8" x14ac:dyDescent="0.35">
      <c r="B339" s="20"/>
      <c r="C339" s="20"/>
      <c r="D339" s="20"/>
      <c r="E339" s="288"/>
      <c r="F339" s="289"/>
      <c r="G339" s="289"/>
      <c r="H339" s="20"/>
    </row>
    <row r="340" spans="2:8" x14ac:dyDescent="0.35">
      <c r="B340" s="20"/>
      <c r="C340" s="20"/>
      <c r="D340" s="20"/>
      <c r="E340" s="288"/>
      <c r="F340" s="289"/>
      <c r="G340" s="289"/>
      <c r="H340" s="20"/>
    </row>
    <row r="341" spans="2:8" x14ac:dyDescent="0.35">
      <c r="B341" s="20"/>
      <c r="C341" s="20"/>
      <c r="D341" s="20"/>
      <c r="E341" s="288"/>
      <c r="F341" s="289"/>
      <c r="G341" s="289"/>
      <c r="H341" s="20"/>
    </row>
    <row r="342" spans="2:8" x14ac:dyDescent="0.35">
      <c r="B342" s="20"/>
      <c r="C342" s="20"/>
      <c r="D342" s="20"/>
      <c r="E342" s="288"/>
      <c r="F342" s="289"/>
      <c r="G342" s="289"/>
      <c r="H342" s="20"/>
    </row>
    <row r="343" spans="2:8" x14ac:dyDescent="0.35">
      <c r="B343" s="20"/>
      <c r="C343" s="20"/>
      <c r="D343" s="20"/>
      <c r="E343" s="288"/>
      <c r="F343" s="289"/>
      <c r="G343" s="289"/>
      <c r="H343" s="20"/>
    </row>
    <row r="344" spans="2:8" x14ac:dyDescent="0.35">
      <c r="B344" s="20"/>
      <c r="C344" s="20"/>
      <c r="D344" s="20"/>
      <c r="E344" s="288"/>
      <c r="F344" s="289"/>
      <c r="G344" s="289"/>
      <c r="H344" s="20"/>
    </row>
    <row r="345" spans="2:8" x14ac:dyDescent="0.35">
      <c r="B345" s="20"/>
      <c r="C345" s="20"/>
      <c r="D345" s="20"/>
      <c r="E345" s="288"/>
      <c r="F345" s="289"/>
      <c r="G345" s="289"/>
      <c r="H345" s="20"/>
    </row>
    <row r="346" spans="2:8" x14ac:dyDescent="0.35">
      <c r="B346" s="20"/>
      <c r="C346" s="20"/>
      <c r="D346" s="20"/>
      <c r="E346" s="288"/>
      <c r="F346" s="289"/>
      <c r="G346" s="289"/>
      <c r="H346" s="20"/>
    </row>
    <row r="347" spans="2:8" x14ac:dyDescent="0.35">
      <c r="B347" s="20"/>
      <c r="C347" s="20"/>
      <c r="D347" s="20"/>
      <c r="E347" s="288"/>
      <c r="F347" s="289"/>
      <c r="G347" s="289"/>
      <c r="H347" s="20"/>
    </row>
    <row r="348" spans="2:8" x14ac:dyDescent="0.35">
      <c r="B348" s="20"/>
      <c r="C348" s="20"/>
      <c r="D348" s="20"/>
      <c r="E348" s="288"/>
      <c r="F348" s="289"/>
      <c r="G348" s="289"/>
      <c r="H348" s="20"/>
    </row>
    <row r="349" spans="2:8" x14ac:dyDescent="0.35">
      <c r="B349" s="20"/>
      <c r="C349" s="20"/>
      <c r="D349" s="20"/>
      <c r="E349" s="288"/>
      <c r="F349" s="289"/>
      <c r="G349" s="289"/>
      <c r="H349" s="20"/>
    </row>
    <row r="350" spans="2:8" x14ac:dyDescent="0.35">
      <c r="B350" s="20"/>
      <c r="C350" s="20"/>
      <c r="D350" s="20"/>
      <c r="E350" s="288"/>
      <c r="F350" s="289"/>
      <c r="G350" s="289"/>
      <c r="H350" s="20"/>
    </row>
    <row r="351" spans="2:8" x14ac:dyDescent="0.35">
      <c r="B351" s="20"/>
      <c r="C351" s="20"/>
      <c r="D351" s="20"/>
      <c r="E351" s="288"/>
      <c r="F351" s="289"/>
      <c r="G351" s="289"/>
      <c r="H351" s="20"/>
    </row>
    <row r="352" spans="2:8" x14ac:dyDescent="0.35">
      <c r="B352" s="20"/>
      <c r="C352" s="20"/>
      <c r="D352" s="20"/>
      <c r="E352" s="288"/>
      <c r="F352" s="289"/>
      <c r="G352" s="289"/>
      <c r="H352" s="20"/>
    </row>
    <row r="353" spans="2:8" x14ac:dyDescent="0.35">
      <c r="B353" s="20"/>
      <c r="C353" s="20"/>
      <c r="D353" s="20"/>
      <c r="E353" s="288"/>
      <c r="F353" s="289"/>
      <c r="G353" s="289"/>
      <c r="H353" s="20"/>
    </row>
    <row r="354" spans="2:8" x14ac:dyDescent="0.35">
      <c r="B354" s="20"/>
      <c r="C354" s="20"/>
      <c r="D354" s="20"/>
      <c r="E354" s="288"/>
      <c r="F354" s="289"/>
      <c r="G354" s="289"/>
      <c r="H354" s="20"/>
    </row>
    <row r="355" spans="2:8" x14ac:dyDescent="0.35">
      <c r="B355" s="20"/>
      <c r="C355" s="20"/>
      <c r="D355" s="20"/>
      <c r="E355" s="288"/>
      <c r="F355" s="289"/>
      <c r="G355" s="289"/>
      <c r="H355" s="20"/>
    </row>
    <row r="356" spans="2:8" x14ac:dyDescent="0.35">
      <c r="B356" s="20"/>
      <c r="C356" s="20"/>
      <c r="D356" s="20"/>
      <c r="E356" s="288"/>
      <c r="F356" s="289"/>
      <c r="G356" s="289"/>
      <c r="H356" s="20"/>
    </row>
    <row r="357" spans="2:8" x14ac:dyDescent="0.35">
      <c r="B357" s="20"/>
      <c r="C357" s="20"/>
      <c r="D357" s="20"/>
      <c r="E357" s="288"/>
      <c r="F357" s="289"/>
      <c r="G357" s="289"/>
      <c r="H357" s="20"/>
    </row>
    <row r="358" spans="2:8" x14ac:dyDescent="0.35">
      <c r="B358" s="20"/>
      <c r="C358" s="20"/>
      <c r="D358" s="20"/>
      <c r="E358" s="288"/>
      <c r="F358" s="289"/>
      <c r="G358" s="289"/>
      <c r="H358" s="20"/>
    </row>
    <row r="359" spans="2:8" x14ac:dyDescent="0.35">
      <c r="B359" s="20"/>
      <c r="C359" s="20"/>
      <c r="D359" s="20"/>
      <c r="E359" s="288"/>
      <c r="F359" s="289"/>
      <c r="G359" s="289"/>
      <c r="H359" s="20"/>
    </row>
    <row r="360" spans="2:8" x14ac:dyDescent="0.35">
      <c r="B360" s="20"/>
      <c r="C360" s="20"/>
      <c r="D360" s="20"/>
      <c r="E360" s="288"/>
      <c r="F360" s="289"/>
      <c r="G360" s="289"/>
      <c r="H360" s="20"/>
    </row>
    <row r="361" spans="2:8" x14ac:dyDescent="0.35">
      <c r="B361" s="20"/>
      <c r="C361" s="20"/>
      <c r="D361" s="20"/>
      <c r="E361" s="288"/>
      <c r="F361" s="289"/>
      <c r="G361" s="289"/>
      <c r="H361" s="20"/>
    </row>
    <row r="362" spans="2:8" x14ac:dyDescent="0.35">
      <c r="B362" s="20"/>
      <c r="C362" s="20"/>
      <c r="D362" s="20"/>
      <c r="E362" s="288"/>
      <c r="F362" s="289"/>
      <c r="G362" s="289"/>
      <c r="H362" s="20"/>
    </row>
    <row r="363" spans="2:8" x14ac:dyDescent="0.35">
      <c r="B363" s="20"/>
      <c r="C363" s="20"/>
      <c r="D363" s="20"/>
      <c r="E363" s="288"/>
      <c r="F363" s="289"/>
      <c r="G363" s="289"/>
      <c r="H363" s="20"/>
    </row>
    <row r="364" spans="2:8" x14ac:dyDescent="0.35">
      <c r="B364" s="20"/>
      <c r="C364" s="20"/>
      <c r="D364" s="20"/>
      <c r="E364" s="288"/>
      <c r="F364" s="289"/>
      <c r="G364" s="289"/>
      <c r="H364" s="20"/>
    </row>
    <row r="365" spans="2:8" x14ac:dyDescent="0.35">
      <c r="B365" s="20"/>
      <c r="C365" s="20"/>
      <c r="D365" s="20"/>
      <c r="E365" s="288"/>
      <c r="F365" s="289"/>
      <c r="G365" s="289"/>
      <c r="H365" s="20"/>
    </row>
    <row r="366" spans="2:8" x14ac:dyDescent="0.35">
      <c r="B366" s="20"/>
      <c r="C366" s="20"/>
      <c r="D366" s="20"/>
      <c r="E366" s="288"/>
      <c r="F366" s="289"/>
      <c r="G366" s="289"/>
      <c r="H366" s="20"/>
    </row>
    <row r="367" spans="2:8" x14ac:dyDescent="0.35">
      <c r="B367" s="20"/>
      <c r="C367" s="20"/>
      <c r="D367" s="20"/>
      <c r="E367" s="288"/>
      <c r="F367" s="289"/>
      <c r="G367" s="289"/>
      <c r="H367" s="20"/>
    </row>
    <row r="368" spans="2:8" x14ac:dyDescent="0.35">
      <c r="B368" s="20"/>
      <c r="C368" s="20"/>
      <c r="D368" s="20"/>
      <c r="E368" s="288"/>
      <c r="F368" s="289"/>
      <c r="G368" s="289"/>
      <c r="H368" s="20"/>
    </row>
    <row r="369" spans="2:8" x14ac:dyDescent="0.35">
      <c r="B369" s="20"/>
      <c r="C369" s="20"/>
      <c r="D369" s="20"/>
      <c r="E369" s="288"/>
      <c r="F369" s="289"/>
      <c r="G369" s="289"/>
      <c r="H369" s="20"/>
    </row>
    <row r="370" spans="2:8" x14ac:dyDescent="0.35">
      <c r="B370" s="20"/>
      <c r="C370" s="20"/>
      <c r="D370" s="20"/>
      <c r="E370" s="288"/>
      <c r="F370" s="289"/>
      <c r="G370" s="289"/>
      <c r="H370" s="20"/>
    </row>
    <row r="371" spans="2:8" x14ac:dyDescent="0.35">
      <c r="B371" s="20"/>
      <c r="C371" s="20"/>
      <c r="D371" s="20"/>
      <c r="E371" s="288"/>
      <c r="F371" s="289"/>
      <c r="G371" s="289"/>
      <c r="H371" s="20"/>
    </row>
    <row r="372" spans="2:8" x14ac:dyDescent="0.35">
      <c r="B372" s="20"/>
      <c r="C372" s="20"/>
      <c r="D372" s="20"/>
      <c r="E372" s="288"/>
      <c r="F372" s="289"/>
      <c r="G372" s="289"/>
      <c r="H372" s="20"/>
    </row>
    <row r="373" spans="2:8" x14ac:dyDescent="0.35">
      <c r="B373" s="20"/>
      <c r="C373" s="20"/>
      <c r="D373" s="20"/>
      <c r="E373" s="288"/>
      <c r="F373" s="289"/>
      <c r="G373" s="289"/>
      <c r="H373" s="20"/>
    </row>
    <row r="374" spans="2:8" x14ac:dyDescent="0.35">
      <c r="B374" s="20"/>
      <c r="C374" s="20"/>
      <c r="D374" s="20"/>
      <c r="E374" s="288"/>
      <c r="F374" s="289"/>
      <c r="G374" s="289"/>
      <c r="H374" s="20"/>
    </row>
    <row r="375" spans="2:8" x14ac:dyDescent="0.35">
      <c r="B375" s="20"/>
      <c r="C375" s="20"/>
      <c r="D375" s="20"/>
      <c r="E375" s="288"/>
      <c r="F375" s="289"/>
      <c r="G375" s="289"/>
      <c r="H375" s="20"/>
    </row>
    <row r="376" spans="2:8" x14ac:dyDescent="0.35">
      <c r="B376" s="20"/>
      <c r="C376" s="20"/>
      <c r="D376" s="20"/>
      <c r="E376" s="288"/>
      <c r="F376" s="289"/>
      <c r="G376" s="289"/>
      <c r="H376" s="20"/>
    </row>
    <row r="377" spans="2:8" x14ac:dyDescent="0.35">
      <c r="B377" s="20"/>
      <c r="C377" s="20"/>
      <c r="D377" s="20"/>
      <c r="E377" s="288"/>
      <c r="F377" s="289"/>
      <c r="G377" s="289"/>
      <c r="H377" s="20"/>
    </row>
    <row r="378" spans="2:8" x14ac:dyDescent="0.35">
      <c r="B378" s="20"/>
      <c r="C378" s="20"/>
      <c r="D378" s="20"/>
      <c r="E378" s="288"/>
      <c r="F378" s="289"/>
      <c r="G378" s="289"/>
      <c r="H378" s="20"/>
    </row>
    <row r="379" spans="2:8" x14ac:dyDescent="0.35">
      <c r="B379" s="20"/>
      <c r="C379" s="20"/>
      <c r="D379" s="20"/>
      <c r="E379" s="288"/>
      <c r="F379" s="289"/>
      <c r="G379" s="289"/>
      <c r="H379" s="20"/>
    </row>
    <row r="380" spans="2:8" x14ac:dyDescent="0.35">
      <c r="B380" s="20"/>
      <c r="C380" s="20"/>
      <c r="D380" s="20"/>
      <c r="E380" s="288"/>
      <c r="F380" s="289"/>
      <c r="G380" s="289"/>
      <c r="H380" s="20"/>
    </row>
    <row r="381" spans="2:8" x14ac:dyDescent="0.35">
      <c r="B381" s="20"/>
      <c r="C381" s="20"/>
      <c r="D381" s="20"/>
      <c r="E381" s="288"/>
      <c r="F381" s="289"/>
      <c r="G381" s="289"/>
      <c r="H381" s="20"/>
    </row>
    <row r="382" spans="2:8" x14ac:dyDescent="0.35">
      <c r="B382" s="20"/>
      <c r="C382" s="20"/>
      <c r="D382" s="20"/>
      <c r="E382" s="288"/>
      <c r="F382" s="289"/>
      <c r="G382" s="289"/>
      <c r="H382" s="20"/>
    </row>
    <row r="383" spans="2:8" x14ac:dyDescent="0.35">
      <c r="B383" s="20"/>
      <c r="C383" s="20"/>
      <c r="D383" s="20"/>
      <c r="E383" s="288"/>
      <c r="F383" s="289"/>
      <c r="G383" s="289"/>
      <c r="H383" s="20"/>
    </row>
    <row r="384" spans="2:8" x14ac:dyDescent="0.35">
      <c r="B384" s="20"/>
      <c r="C384" s="20"/>
      <c r="D384" s="20"/>
      <c r="E384" s="288"/>
      <c r="F384" s="289"/>
      <c r="G384" s="289"/>
      <c r="H384" s="20"/>
    </row>
    <row r="385" spans="2:8" x14ac:dyDescent="0.35">
      <c r="B385" s="20"/>
      <c r="C385" s="20"/>
      <c r="D385" s="20"/>
      <c r="E385" s="288"/>
      <c r="F385" s="289"/>
      <c r="G385" s="289"/>
      <c r="H385" s="20"/>
    </row>
    <row r="386" spans="2:8" x14ac:dyDescent="0.35">
      <c r="B386" s="20"/>
      <c r="C386" s="20"/>
      <c r="D386" s="20"/>
      <c r="E386" s="288"/>
      <c r="F386" s="289"/>
      <c r="G386" s="289"/>
      <c r="H386" s="20"/>
    </row>
    <row r="387" spans="2:8" x14ac:dyDescent="0.35">
      <c r="B387" s="20"/>
      <c r="C387" s="20"/>
      <c r="D387" s="20"/>
      <c r="E387" s="288"/>
      <c r="F387" s="289"/>
      <c r="G387" s="289"/>
      <c r="H387" s="20"/>
    </row>
    <row r="388" spans="2:8" x14ac:dyDescent="0.35">
      <c r="B388" s="20"/>
      <c r="C388" s="20"/>
      <c r="D388" s="20"/>
      <c r="E388" s="288"/>
      <c r="F388" s="289"/>
      <c r="G388" s="289"/>
      <c r="H388" s="20"/>
    </row>
    <row r="389" spans="2:8" x14ac:dyDescent="0.35">
      <c r="B389" s="20"/>
      <c r="C389" s="20"/>
      <c r="D389" s="20"/>
      <c r="E389" s="288"/>
      <c r="F389" s="289"/>
      <c r="G389" s="289"/>
      <c r="H389" s="20"/>
    </row>
    <row r="390" spans="2:8" x14ac:dyDescent="0.35">
      <c r="B390" s="20"/>
      <c r="C390" s="20"/>
      <c r="D390" s="20"/>
      <c r="E390" s="288"/>
      <c r="F390" s="289"/>
      <c r="G390" s="289"/>
      <c r="H390" s="20"/>
    </row>
    <row r="391" spans="2:8" x14ac:dyDescent="0.35">
      <c r="B391" s="20"/>
      <c r="C391" s="20"/>
      <c r="D391" s="20"/>
      <c r="E391" s="288"/>
      <c r="F391" s="289"/>
      <c r="G391" s="289"/>
      <c r="H391" s="20"/>
    </row>
    <row r="392" spans="2:8" x14ac:dyDescent="0.35">
      <c r="B392" s="20"/>
      <c r="C392" s="20"/>
      <c r="D392" s="20"/>
      <c r="E392" s="288"/>
      <c r="F392" s="289"/>
      <c r="G392" s="289"/>
      <c r="H392" s="20"/>
    </row>
    <row r="393" spans="2:8" x14ac:dyDescent="0.35">
      <c r="B393" s="20"/>
      <c r="C393" s="20"/>
      <c r="D393" s="20"/>
      <c r="E393" s="288"/>
      <c r="F393" s="289"/>
      <c r="G393" s="289"/>
      <c r="H393" s="20"/>
    </row>
    <row r="394" spans="2:8" x14ac:dyDescent="0.35">
      <c r="B394" s="20"/>
      <c r="C394" s="20"/>
      <c r="D394" s="20"/>
      <c r="E394" s="288"/>
      <c r="F394" s="289"/>
      <c r="G394" s="289"/>
      <c r="H394" s="20"/>
    </row>
    <row r="395" spans="2:8" x14ac:dyDescent="0.35">
      <c r="B395" s="20"/>
      <c r="C395" s="20"/>
      <c r="D395" s="20"/>
      <c r="E395" s="288"/>
      <c r="F395" s="289"/>
      <c r="G395" s="289"/>
      <c r="H395" s="20"/>
    </row>
    <row r="396" spans="2:8" x14ac:dyDescent="0.35">
      <c r="B396" s="20"/>
      <c r="C396" s="20"/>
      <c r="D396" s="20"/>
      <c r="E396" s="288"/>
      <c r="F396" s="289"/>
      <c r="G396" s="289"/>
      <c r="H396" s="20"/>
    </row>
    <row r="397" spans="2:8" x14ac:dyDescent="0.35">
      <c r="B397" s="20"/>
      <c r="C397" s="20"/>
      <c r="D397" s="20"/>
      <c r="E397" s="288"/>
      <c r="F397" s="289"/>
      <c r="G397" s="289"/>
      <c r="H397" s="20"/>
    </row>
    <row r="398" spans="2:8" x14ac:dyDescent="0.35">
      <c r="B398" s="20"/>
      <c r="C398" s="20"/>
      <c r="D398" s="20"/>
      <c r="E398" s="288"/>
      <c r="F398" s="289"/>
      <c r="G398" s="289"/>
      <c r="H398" s="20"/>
    </row>
    <row r="399" spans="2:8" x14ac:dyDescent="0.35">
      <c r="B399" s="20"/>
      <c r="C399" s="20"/>
      <c r="D399" s="20"/>
      <c r="E399" s="288"/>
      <c r="F399" s="289"/>
      <c r="G399" s="289"/>
      <c r="H399" s="20"/>
    </row>
    <row r="400" spans="2:8" x14ac:dyDescent="0.35">
      <c r="B400" s="20"/>
      <c r="C400" s="20"/>
      <c r="D400" s="20"/>
      <c r="E400" s="288"/>
      <c r="F400" s="289"/>
      <c r="G400" s="289"/>
      <c r="H400" s="20"/>
    </row>
    <row r="401" spans="2:8" x14ac:dyDescent="0.35">
      <c r="B401" s="20"/>
      <c r="C401" s="20"/>
      <c r="D401" s="20"/>
      <c r="E401" s="288"/>
      <c r="F401" s="289"/>
      <c r="G401" s="289"/>
      <c r="H401" s="20"/>
    </row>
    <row r="402" spans="2:8" x14ac:dyDescent="0.35">
      <c r="B402" s="20"/>
      <c r="C402" s="20"/>
      <c r="D402" s="20"/>
      <c r="E402" s="288"/>
      <c r="F402" s="289"/>
      <c r="G402" s="289"/>
      <c r="H402" s="20"/>
    </row>
    <row r="403" spans="2:8" x14ac:dyDescent="0.35">
      <c r="B403" s="20"/>
      <c r="C403" s="20"/>
      <c r="D403" s="20"/>
      <c r="E403" s="288"/>
      <c r="F403" s="289"/>
      <c r="G403" s="289"/>
      <c r="H403" s="20"/>
    </row>
    <row r="404" spans="2:8" x14ac:dyDescent="0.35">
      <c r="B404" s="20"/>
      <c r="C404" s="20"/>
      <c r="D404" s="20"/>
      <c r="E404" s="288"/>
      <c r="F404" s="289"/>
      <c r="G404" s="289"/>
      <c r="H404" s="20"/>
    </row>
    <row r="405" spans="2:8" x14ac:dyDescent="0.35">
      <c r="B405" s="20"/>
      <c r="C405" s="20"/>
      <c r="D405" s="20"/>
      <c r="E405" s="288"/>
      <c r="F405" s="289"/>
      <c r="G405" s="289"/>
      <c r="H405" s="20"/>
    </row>
    <row r="406" spans="2:8" x14ac:dyDescent="0.35">
      <c r="B406" s="20"/>
      <c r="C406" s="20"/>
      <c r="D406" s="20"/>
      <c r="E406" s="288"/>
      <c r="F406" s="289"/>
      <c r="G406" s="289"/>
      <c r="H406" s="20"/>
    </row>
    <row r="407" spans="2:8" x14ac:dyDescent="0.35">
      <c r="B407" s="20"/>
      <c r="C407" s="20"/>
      <c r="D407" s="20"/>
      <c r="E407" s="288"/>
      <c r="F407" s="289"/>
      <c r="G407" s="289"/>
      <c r="H407" s="20"/>
    </row>
    <row r="408" spans="2:8" x14ac:dyDescent="0.35">
      <c r="B408" s="20"/>
      <c r="C408" s="20"/>
      <c r="D408" s="20"/>
      <c r="E408" s="288"/>
      <c r="F408" s="289"/>
      <c r="G408" s="289"/>
      <c r="H408" s="20"/>
    </row>
    <row r="409" spans="2:8" x14ac:dyDescent="0.35">
      <c r="B409" s="20"/>
      <c r="C409" s="20"/>
      <c r="D409" s="20"/>
      <c r="E409" s="288"/>
      <c r="F409" s="289"/>
      <c r="G409" s="289"/>
      <c r="H409" s="20"/>
    </row>
    <row r="410" spans="2:8" x14ac:dyDescent="0.35">
      <c r="B410" s="20"/>
      <c r="C410" s="20"/>
      <c r="D410" s="20"/>
      <c r="E410" s="288"/>
      <c r="F410" s="289"/>
      <c r="G410" s="289"/>
      <c r="H410" s="20"/>
    </row>
    <row r="411" spans="2:8" x14ac:dyDescent="0.35">
      <c r="B411" s="20"/>
      <c r="C411" s="20"/>
      <c r="D411" s="20"/>
      <c r="E411" s="288"/>
      <c r="F411" s="289"/>
      <c r="G411" s="289"/>
      <c r="H411" s="20"/>
    </row>
    <row r="412" spans="2:8" x14ac:dyDescent="0.35">
      <c r="B412" s="20"/>
      <c r="C412" s="20"/>
      <c r="D412" s="20"/>
      <c r="E412" s="288"/>
      <c r="F412" s="289"/>
      <c r="G412" s="289"/>
      <c r="H412" s="20"/>
    </row>
    <row r="413" spans="2:8" x14ac:dyDescent="0.35">
      <c r="B413" s="20"/>
      <c r="C413" s="20"/>
      <c r="D413" s="20"/>
      <c r="E413" s="288"/>
      <c r="F413" s="289"/>
      <c r="G413" s="289"/>
      <c r="H413" s="20"/>
    </row>
    <row r="414" spans="2:8" x14ac:dyDescent="0.35">
      <c r="B414" s="20"/>
      <c r="C414" s="20"/>
      <c r="D414" s="20"/>
      <c r="E414" s="288"/>
      <c r="F414" s="289"/>
      <c r="G414" s="289"/>
      <c r="H414" s="20"/>
    </row>
    <row r="415" spans="2:8" x14ac:dyDescent="0.35">
      <c r="B415" s="20"/>
      <c r="C415" s="20"/>
      <c r="D415" s="20"/>
      <c r="E415" s="288"/>
      <c r="F415" s="289"/>
      <c r="G415" s="289"/>
      <c r="H415" s="20"/>
    </row>
    <row r="416" spans="2:8" x14ac:dyDescent="0.35">
      <c r="B416" s="20"/>
      <c r="C416" s="20"/>
      <c r="D416" s="20"/>
      <c r="E416" s="288"/>
      <c r="F416" s="289"/>
      <c r="G416" s="289"/>
      <c r="H416" s="20"/>
    </row>
    <row r="417" spans="2:8" x14ac:dyDescent="0.35">
      <c r="B417" s="20"/>
      <c r="C417" s="20"/>
      <c r="D417" s="20"/>
      <c r="E417" s="288"/>
      <c r="F417" s="289"/>
      <c r="G417" s="289"/>
      <c r="H417" s="20"/>
    </row>
    <row r="418" spans="2:8" x14ac:dyDescent="0.35">
      <c r="B418" s="20"/>
      <c r="C418" s="20"/>
      <c r="D418" s="20"/>
      <c r="E418" s="288"/>
      <c r="F418" s="289"/>
      <c r="G418" s="289"/>
      <c r="H418" s="20"/>
    </row>
    <row r="419" spans="2:8" x14ac:dyDescent="0.35">
      <c r="B419" s="20"/>
      <c r="C419" s="20"/>
      <c r="D419" s="20"/>
      <c r="E419" s="288"/>
      <c r="F419" s="289"/>
      <c r="G419" s="289"/>
      <c r="H419" s="20"/>
    </row>
    <row r="420" spans="2:8" x14ac:dyDescent="0.35">
      <c r="B420" s="20"/>
      <c r="C420" s="20"/>
      <c r="D420" s="20"/>
      <c r="E420" s="288"/>
      <c r="F420" s="289"/>
      <c r="G420" s="289"/>
      <c r="H420" s="20"/>
    </row>
    <row r="421" spans="2:8" x14ac:dyDescent="0.35">
      <c r="B421" s="20"/>
      <c r="C421" s="20"/>
      <c r="D421" s="20"/>
      <c r="E421" s="288"/>
      <c r="F421" s="289"/>
      <c r="G421" s="289"/>
      <c r="H421" s="20"/>
    </row>
    <row r="422" spans="2:8" x14ac:dyDescent="0.35">
      <c r="B422" s="20"/>
      <c r="C422" s="20"/>
      <c r="D422" s="20"/>
      <c r="E422" s="288"/>
      <c r="F422" s="289"/>
      <c r="G422" s="289"/>
      <c r="H422" s="20"/>
    </row>
    <row r="423" spans="2:8" x14ac:dyDescent="0.35">
      <c r="B423" s="20"/>
      <c r="C423" s="20"/>
      <c r="D423" s="20"/>
      <c r="E423" s="288"/>
      <c r="F423" s="289"/>
      <c r="G423" s="289"/>
      <c r="H423" s="20"/>
    </row>
    <row r="424" spans="2:8" x14ac:dyDescent="0.35">
      <c r="B424" s="20"/>
      <c r="C424" s="20"/>
      <c r="D424" s="20"/>
      <c r="E424" s="288"/>
      <c r="F424" s="289"/>
      <c r="G424" s="289"/>
      <c r="H424" s="20"/>
    </row>
    <row r="425" spans="2:8" x14ac:dyDescent="0.35">
      <c r="B425" s="20"/>
      <c r="C425" s="20"/>
      <c r="D425" s="20"/>
      <c r="E425" s="288"/>
      <c r="F425" s="289"/>
      <c r="G425" s="289"/>
      <c r="H425" s="20"/>
    </row>
    <row r="426" spans="2:8" x14ac:dyDescent="0.35">
      <c r="B426" s="20"/>
      <c r="C426" s="20"/>
      <c r="D426" s="20"/>
      <c r="E426" s="288"/>
      <c r="F426" s="289"/>
      <c r="G426" s="289"/>
      <c r="H426" s="20"/>
    </row>
    <row r="427" spans="2:8" x14ac:dyDescent="0.35">
      <c r="B427" s="20"/>
      <c r="C427" s="20"/>
      <c r="D427" s="20"/>
      <c r="E427" s="288"/>
      <c r="F427" s="289"/>
      <c r="G427" s="289"/>
      <c r="H427" s="20"/>
    </row>
    <row r="428" spans="2:8" x14ac:dyDescent="0.35">
      <c r="B428" s="20"/>
      <c r="C428" s="20"/>
      <c r="D428" s="20"/>
      <c r="E428" s="288"/>
      <c r="F428" s="289"/>
      <c r="G428" s="289"/>
      <c r="H428" s="20"/>
    </row>
    <row r="429" spans="2:8" x14ac:dyDescent="0.35">
      <c r="B429" s="20"/>
      <c r="C429" s="20"/>
      <c r="D429" s="20"/>
      <c r="E429" s="288"/>
      <c r="F429" s="289"/>
      <c r="G429" s="289"/>
      <c r="H429" s="20"/>
    </row>
    <row r="430" spans="2:8" x14ac:dyDescent="0.35">
      <c r="B430" s="20"/>
      <c r="C430" s="20"/>
      <c r="D430" s="20"/>
      <c r="E430" s="288"/>
      <c r="F430" s="289"/>
      <c r="G430" s="289"/>
      <c r="H430" s="20"/>
    </row>
    <row r="431" spans="2:8" x14ac:dyDescent="0.35">
      <c r="B431" s="20"/>
      <c r="C431" s="20"/>
      <c r="D431" s="20"/>
      <c r="E431" s="288"/>
      <c r="F431" s="289"/>
      <c r="G431" s="289"/>
      <c r="H431" s="20"/>
    </row>
    <row r="432" spans="2:8" x14ac:dyDescent="0.35">
      <c r="B432" s="20"/>
      <c r="C432" s="20"/>
      <c r="D432" s="20"/>
      <c r="E432" s="288"/>
      <c r="F432" s="289"/>
      <c r="G432" s="289"/>
      <c r="H432" s="20"/>
    </row>
    <row r="433" spans="2:8" x14ac:dyDescent="0.35">
      <c r="B433" s="20"/>
      <c r="C433" s="20"/>
      <c r="D433" s="20"/>
      <c r="E433" s="288"/>
      <c r="F433" s="289"/>
      <c r="G433" s="289"/>
      <c r="H433" s="20"/>
    </row>
    <row r="434" spans="2:8" x14ac:dyDescent="0.35">
      <c r="B434" s="20"/>
      <c r="C434" s="20"/>
      <c r="D434" s="20"/>
      <c r="E434" s="288"/>
      <c r="F434" s="289"/>
      <c r="G434" s="289"/>
      <c r="H434" s="20"/>
    </row>
    <row r="435" spans="2:8" x14ac:dyDescent="0.35">
      <c r="B435" s="20"/>
      <c r="C435" s="20"/>
      <c r="D435" s="20"/>
      <c r="E435" s="288"/>
      <c r="F435" s="289"/>
      <c r="G435" s="289"/>
      <c r="H435" s="20"/>
    </row>
    <row r="436" spans="2:8" x14ac:dyDescent="0.35">
      <c r="B436" s="20"/>
      <c r="C436" s="20"/>
      <c r="D436" s="20"/>
      <c r="E436" s="288"/>
      <c r="F436" s="289"/>
      <c r="G436" s="289"/>
      <c r="H436" s="20"/>
    </row>
    <row r="437" spans="2:8" x14ac:dyDescent="0.35">
      <c r="B437" s="20"/>
      <c r="C437" s="20"/>
      <c r="D437" s="20"/>
      <c r="E437" s="288"/>
      <c r="F437" s="289"/>
      <c r="G437" s="289"/>
      <c r="H437" s="20"/>
    </row>
    <row r="438" spans="2:8" x14ac:dyDescent="0.35">
      <c r="B438" s="20"/>
      <c r="C438" s="20"/>
      <c r="D438" s="20"/>
      <c r="E438" s="288"/>
      <c r="F438" s="289"/>
      <c r="G438" s="289"/>
      <c r="H438" s="20"/>
    </row>
    <row r="439" spans="2:8" x14ac:dyDescent="0.35">
      <c r="B439" s="20"/>
      <c r="C439" s="20"/>
      <c r="D439" s="20"/>
      <c r="E439" s="288"/>
      <c r="F439" s="289"/>
      <c r="G439" s="289"/>
      <c r="H439" s="20"/>
    </row>
    <row r="440" spans="2:8" x14ac:dyDescent="0.35">
      <c r="B440" s="20"/>
      <c r="C440" s="20"/>
      <c r="D440" s="20"/>
      <c r="E440" s="288"/>
      <c r="F440" s="289"/>
      <c r="G440" s="289"/>
      <c r="H440" s="20"/>
    </row>
    <row r="441" spans="2:8" x14ac:dyDescent="0.35">
      <c r="B441" s="20"/>
      <c r="C441" s="20"/>
      <c r="D441" s="20"/>
      <c r="E441" s="288"/>
      <c r="F441" s="289"/>
      <c r="G441" s="289"/>
      <c r="H441" s="20"/>
    </row>
    <row r="442" spans="2:8" x14ac:dyDescent="0.35">
      <c r="B442" s="20"/>
      <c r="C442" s="20"/>
      <c r="D442" s="20"/>
      <c r="E442" s="288"/>
      <c r="F442" s="289"/>
      <c r="G442" s="289"/>
      <c r="H442" s="20"/>
    </row>
    <row r="443" spans="2:8" x14ac:dyDescent="0.35">
      <c r="B443" s="20"/>
      <c r="C443" s="20"/>
      <c r="D443" s="20"/>
      <c r="E443" s="288"/>
      <c r="F443" s="289"/>
      <c r="G443" s="289"/>
      <c r="H443" s="20"/>
    </row>
    <row r="444" spans="2:8" x14ac:dyDescent="0.35">
      <c r="B444" s="20"/>
      <c r="C444" s="20"/>
      <c r="D444" s="20"/>
      <c r="E444" s="288"/>
      <c r="F444" s="289"/>
      <c r="G444" s="289"/>
      <c r="H444" s="20"/>
    </row>
    <row r="445" spans="2:8" x14ac:dyDescent="0.35">
      <c r="B445" s="20"/>
      <c r="C445" s="20"/>
      <c r="D445" s="20"/>
      <c r="E445" s="288"/>
      <c r="F445" s="289"/>
      <c r="G445" s="289"/>
      <c r="H445" s="20"/>
    </row>
    <row r="446" spans="2:8" x14ac:dyDescent="0.35">
      <c r="B446" s="20"/>
      <c r="C446" s="20"/>
      <c r="D446" s="20"/>
      <c r="E446" s="288"/>
      <c r="F446" s="289"/>
      <c r="G446" s="289"/>
      <c r="H446" s="20"/>
    </row>
    <row r="447" spans="2:8" x14ac:dyDescent="0.35">
      <c r="B447" s="20"/>
      <c r="C447" s="20"/>
      <c r="D447" s="20"/>
      <c r="E447" s="288"/>
      <c r="F447" s="289"/>
      <c r="G447" s="289"/>
      <c r="H447" s="20"/>
    </row>
    <row r="448" spans="2:8" x14ac:dyDescent="0.35">
      <c r="B448" s="20"/>
      <c r="C448" s="20"/>
      <c r="D448" s="20"/>
      <c r="E448" s="288"/>
      <c r="F448" s="289"/>
      <c r="G448" s="289"/>
      <c r="H448" s="20"/>
    </row>
    <row r="449" spans="2:8" x14ac:dyDescent="0.35">
      <c r="B449" s="20"/>
      <c r="C449" s="20"/>
      <c r="D449" s="20"/>
      <c r="E449" s="288"/>
      <c r="F449" s="289"/>
      <c r="G449" s="289"/>
      <c r="H449" s="20"/>
    </row>
    <row r="450" spans="2:8" x14ac:dyDescent="0.35">
      <c r="B450" s="20"/>
      <c r="C450" s="20"/>
      <c r="D450" s="20"/>
      <c r="E450" s="288"/>
      <c r="F450" s="289"/>
      <c r="G450" s="289"/>
      <c r="H450" s="20"/>
    </row>
    <row r="451" spans="2:8" x14ac:dyDescent="0.35">
      <c r="B451" s="20"/>
      <c r="C451" s="20"/>
      <c r="D451" s="20"/>
      <c r="E451" s="288"/>
      <c r="F451" s="289"/>
      <c r="G451" s="289"/>
      <c r="H451" s="20"/>
    </row>
    <row r="452" spans="2:8" x14ac:dyDescent="0.35">
      <c r="B452" s="20"/>
      <c r="C452" s="20"/>
      <c r="D452" s="20"/>
      <c r="E452" s="288"/>
      <c r="F452" s="289"/>
      <c r="G452" s="289"/>
      <c r="H452" s="20"/>
    </row>
    <row r="453" spans="2:8" x14ac:dyDescent="0.35">
      <c r="B453" s="20"/>
      <c r="C453" s="20"/>
      <c r="D453" s="20"/>
      <c r="E453" s="288"/>
      <c r="F453" s="289"/>
      <c r="G453" s="289"/>
      <c r="H453" s="20"/>
    </row>
    <row r="454" spans="2:8" x14ac:dyDescent="0.35">
      <c r="B454" s="20"/>
      <c r="C454" s="20"/>
      <c r="D454" s="20"/>
      <c r="E454" s="288"/>
      <c r="F454" s="289"/>
      <c r="G454" s="289"/>
      <c r="H454" s="20"/>
    </row>
    <row r="455" spans="2:8" x14ac:dyDescent="0.35">
      <c r="B455" s="20"/>
      <c r="C455" s="20"/>
      <c r="D455" s="20"/>
      <c r="E455" s="288"/>
      <c r="F455" s="289"/>
      <c r="G455" s="289"/>
      <c r="H455" s="20"/>
    </row>
    <row r="456" spans="2:8" x14ac:dyDescent="0.35">
      <c r="B456" s="20"/>
      <c r="C456" s="20"/>
      <c r="D456" s="20"/>
      <c r="E456" s="288"/>
      <c r="F456" s="289"/>
      <c r="G456" s="289"/>
      <c r="H456" s="20"/>
    </row>
    <row r="457" spans="2:8" x14ac:dyDescent="0.35">
      <c r="B457" s="20"/>
      <c r="C457" s="20"/>
      <c r="D457" s="20"/>
      <c r="E457" s="288"/>
      <c r="F457" s="289"/>
      <c r="G457" s="289"/>
      <c r="H457" s="20"/>
    </row>
    <row r="458" spans="2:8" x14ac:dyDescent="0.35">
      <c r="B458" s="20"/>
      <c r="C458" s="20"/>
      <c r="D458" s="20"/>
      <c r="E458" s="288"/>
      <c r="F458" s="289"/>
      <c r="G458" s="289"/>
      <c r="H458" s="20"/>
    </row>
    <row r="459" spans="2:8" x14ac:dyDescent="0.35">
      <c r="B459" s="20"/>
      <c r="C459" s="20"/>
      <c r="D459" s="20"/>
      <c r="E459" s="288"/>
      <c r="F459" s="289"/>
      <c r="G459" s="289"/>
      <c r="H459" s="20"/>
    </row>
    <row r="460" spans="2:8" x14ac:dyDescent="0.35">
      <c r="B460" s="20"/>
      <c r="C460" s="20"/>
      <c r="D460" s="20"/>
      <c r="E460" s="288"/>
      <c r="F460" s="289"/>
      <c r="G460" s="289"/>
      <c r="H460" s="20"/>
    </row>
    <row r="461" spans="2:8" x14ac:dyDescent="0.35">
      <c r="B461" s="20"/>
      <c r="C461" s="20"/>
      <c r="D461" s="20"/>
      <c r="E461" s="288"/>
      <c r="F461" s="289"/>
      <c r="G461" s="289"/>
      <c r="H461" s="20"/>
    </row>
    <row r="462" spans="2:8" x14ac:dyDescent="0.35">
      <c r="B462" s="20"/>
      <c r="C462" s="20"/>
      <c r="D462" s="20"/>
      <c r="E462" s="288"/>
      <c r="F462" s="289"/>
      <c r="G462" s="289"/>
      <c r="H462" s="20"/>
    </row>
    <row r="463" spans="2:8" x14ac:dyDescent="0.35">
      <c r="B463" s="20"/>
      <c r="C463" s="20"/>
      <c r="D463" s="20"/>
      <c r="E463" s="288"/>
      <c r="F463" s="289"/>
      <c r="G463" s="289"/>
      <c r="H463" s="20"/>
    </row>
    <row r="464" spans="2:8" x14ac:dyDescent="0.35">
      <c r="B464" s="20"/>
      <c r="C464" s="20"/>
      <c r="D464" s="20"/>
      <c r="E464" s="288"/>
      <c r="F464" s="289"/>
      <c r="G464" s="289"/>
      <c r="H464" s="20"/>
    </row>
    <row r="465" spans="2:8" x14ac:dyDescent="0.35">
      <c r="B465" s="20"/>
      <c r="C465" s="20"/>
      <c r="D465" s="20"/>
      <c r="E465" s="288"/>
      <c r="F465" s="289"/>
      <c r="G465" s="289"/>
      <c r="H465" s="20"/>
    </row>
    <row r="466" spans="2:8" x14ac:dyDescent="0.35">
      <c r="B466" s="20"/>
      <c r="C466" s="20"/>
      <c r="D466" s="20"/>
      <c r="E466" s="288"/>
      <c r="F466" s="289"/>
      <c r="G466" s="289"/>
      <c r="H466" s="20"/>
    </row>
    <row r="467" spans="2:8" x14ac:dyDescent="0.35">
      <c r="B467" s="20"/>
      <c r="C467" s="20"/>
      <c r="D467" s="20"/>
      <c r="E467" s="288"/>
      <c r="F467" s="289"/>
      <c r="G467" s="289"/>
      <c r="H467" s="20"/>
    </row>
    <row r="468" spans="2:8" x14ac:dyDescent="0.35">
      <c r="B468" s="20"/>
      <c r="C468" s="20"/>
      <c r="D468" s="20"/>
      <c r="E468" s="288"/>
      <c r="F468" s="289"/>
      <c r="G468" s="289"/>
      <c r="H468" s="20"/>
    </row>
    <row r="469" spans="2:8" x14ac:dyDescent="0.35">
      <c r="B469" s="20"/>
      <c r="C469" s="20"/>
      <c r="D469" s="20"/>
      <c r="E469" s="288"/>
      <c r="F469" s="289"/>
      <c r="G469" s="289"/>
      <c r="H469" s="20"/>
    </row>
    <row r="470" spans="2:8" x14ac:dyDescent="0.35">
      <c r="B470" s="20"/>
      <c r="C470" s="20"/>
      <c r="D470" s="20"/>
      <c r="E470" s="288"/>
      <c r="F470" s="289"/>
      <c r="G470" s="289"/>
      <c r="H470" s="20"/>
    </row>
    <row r="471" spans="2:8" x14ac:dyDescent="0.35">
      <c r="B471" s="20"/>
      <c r="C471" s="20"/>
      <c r="D471" s="20"/>
      <c r="E471" s="288"/>
      <c r="F471" s="289"/>
      <c r="G471" s="289"/>
      <c r="H471" s="20"/>
    </row>
    <row r="472" spans="2:8" x14ac:dyDescent="0.35">
      <c r="B472" s="20"/>
      <c r="C472" s="20"/>
      <c r="D472" s="20"/>
      <c r="E472" s="288"/>
      <c r="F472" s="289"/>
      <c r="G472" s="289"/>
      <c r="H472" s="20"/>
    </row>
    <row r="473" spans="2:8" x14ac:dyDescent="0.35">
      <c r="B473" s="20"/>
      <c r="C473" s="20"/>
      <c r="D473" s="20"/>
      <c r="E473" s="288"/>
      <c r="F473" s="289"/>
      <c r="G473" s="289"/>
      <c r="H473" s="20"/>
    </row>
    <row r="474" spans="2:8" x14ac:dyDescent="0.35">
      <c r="B474" s="20"/>
      <c r="C474" s="20"/>
      <c r="D474" s="20"/>
      <c r="E474" s="288"/>
      <c r="F474" s="289"/>
      <c r="G474" s="289"/>
      <c r="H474" s="20"/>
    </row>
    <row r="475" spans="2:8" x14ac:dyDescent="0.35">
      <c r="B475" s="20"/>
      <c r="C475" s="20"/>
      <c r="D475" s="20"/>
      <c r="E475" s="288"/>
      <c r="F475" s="289"/>
      <c r="G475" s="289"/>
      <c r="H475" s="20"/>
    </row>
    <row r="476" spans="2:8" x14ac:dyDescent="0.35">
      <c r="B476" s="20"/>
      <c r="C476" s="20"/>
      <c r="D476" s="20"/>
      <c r="E476" s="288"/>
      <c r="F476" s="289"/>
      <c r="G476" s="289"/>
      <c r="H476" s="20"/>
    </row>
    <row r="477" spans="2:8" x14ac:dyDescent="0.35">
      <c r="B477" s="20"/>
      <c r="C477" s="20"/>
      <c r="D477" s="20"/>
      <c r="E477" s="288"/>
      <c r="F477" s="289"/>
      <c r="G477" s="289"/>
      <c r="H477" s="20"/>
    </row>
    <row r="478" spans="2:8" x14ac:dyDescent="0.35">
      <c r="B478" s="20"/>
      <c r="C478" s="20"/>
      <c r="D478" s="20"/>
      <c r="E478" s="288"/>
      <c r="F478" s="289"/>
      <c r="G478" s="289"/>
      <c r="H478" s="20"/>
    </row>
    <row r="479" spans="2:8" x14ac:dyDescent="0.35">
      <c r="B479" s="20"/>
      <c r="C479" s="20"/>
      <c r="D479" s="20"/>
      <c r="E479" s="288"/>
      <c r="F479" s="289"/>
      <c r="G479" s="289"/>
      <c r="H479" s="20"/>
    </row>
    <row r="480" spans="2:8" x14ac:dyDescent="0.35">
      <c r="B480" s="20"/>
      <c r="C480" s="20"/>
      <c r="D480" s="20"/>
      <c r="E480" s="288"/>
      <c r="F480" s="289"/>
      <c r="G480" s="289"/>
      <c r="H480" s="20"/>
    </row>
    <row r="481" spans="2:8" x14ac:dyDescent="0.35">
      <c r="B481" s="20"/>
      <c r="C481" s="20"/>
      <c r="D481" s="20"/>
      <c r="E481" s="288"/>
      <c r="F481" s="289"/>
      <c r="G481" s="289"/>
      <c r="H481" s="20"/>
    </row>
    <row r="482" spans="2:8" x14ac:dyDescent="0.35">
      <c r="B482" s="20"/>
      <c r="C482" s="20"/>
      <c r="D482" s="20"/>
      <c r="E482" s="288"/>
      <c r="F482" s="289"/>
      <c r="G482" s="289"/>
      <c r="H482" s="20"/>
    </row>
    <row r="483" spans="2:8" x14ac:dyDescent="0.35">
      <c r="B483" s="20"/>
      <c r="C483" s="20"/>
      <c r="D483" s="20"/>
      <c r="E483" s="288"/>
      <c r="F483" s="289"/>
      <c r="G483" s="289"/>
      <c r="H483" s="20"/>
    </row>
    <row r="484" spans="2:8" x14ac:dyDescent="0.35">
      <c r="B484" s="20"/>
      <c r="C484" s="20"/>
      <c r="D484" s="20"/>
      <c r="E484" s="288"/>
      <c r="F484" s="289"/>
      <c r="G484" s="289"/>
      <c r="H484" s="20"/>
    </row>
    <row r="485" spans="2:8" x14ac:dyDescent="0.35">
      <c r="B485" s="20"/>
      <c r="C485" s="20"/>
      <c r="D485" s="20"/>
      <c r="E485" s="288"/>
      <c r="F485" s="289"/>
      <c r="G485" s="289"/>
      <c r="H485" s="20"/>
    </row>
    <row r="486" spans="2:8" x14ac:dyDescent="0.35">
      <c r="B486" s="20"/>
      <c r="C486" s="20"/>
      <c r="D486" s="20"/>
      <c r="E486" s="288"/>
      <c r="F486" s="289"/>
      <c r="G486" s="289"/>
      <c r="H486" s="20"/>
    </row>
    <row r="487" spans="2:8" x14ac:dyDescent="0.35">
      <c r="B487" s="20"/>
      <c r="C487" s="20"/>
      <c r="D487" s="20"/>
      <c r="E487" s="288"/>
      <c r="F487" s="289"/>
      <c r="G487" s="289"/>
      <c r="H487" s="20"/>
    </row>
    <row r="488" spans="2:8" x14ac:dyDescent="0.35">
      <c r="B488" s="20"/>
      <c r="C488" s="20"/>
      <c r="D488" s="20"/>
      <c r="E488" s="288"/>
      <c r="F488" s="289"/>
      <c r="G488" s="289"/>
      <c r="H488" s="20"/>
    </row>
    <row r="489" spans="2:8" x14ac:dyDescent="0.35">
      <c r="B489" s="20"/>
      <c r="C489" s="20"/>
      <c r="D489" s="20"/>
      <c r="E489" s="288"/>
      <c r="F489" s="289"/>
      <c r="G489" s="289"/>
      <c r="H489" s="20"/>
    </row>
    <row r="490" spans="2:8" x14ac:dyDescent="0.35">
      <c r="B490" s="20"/>
      <c r="C490" s="20"/>
      <c r="D490" s="20"/>
      <c r="E490" s="288"/>
      <c r="F490" s="289"/>
      <c r="G490" s="289"/>
      <c r="H490" s="20"/>
    </row>
    <row r="491" spans="2:8" x14ac:dyDescent="0.35">
      <c r="B491" s="20"/>
      <c r="C491" s="20"/>
      <c r="D491" s="20"/>
      <c r="E491" s="288"/>
      <c r="F491" s="289"/>
      <c r="G491" s="289"/>
      <c r="H491" s="20"/>
    </row>
    <row r="492" spans="2:8" x14ac:dyDescent="0.35">
      <c r="B492" s="20"/>
      <c r="C492" s="20"/>
      <c r="D492" s="20"/>
      <c r="E492" s="288"/>
      <c r="F492" s="289"/>
      <c r="G492" s="289"/>
      <c r="H492" s="20"/>
    </row>
    <row r="493" spans="2:8" x14ac:dyDescent="0.35">
      <c r="B493" s="20"/>
      <c r="C493" s="20"/>
      <c r="D493" s="20"/>
      <c r="E493" s="288"/>
      <c r="F493" s="289"/>
      <c r="G493" s="289"/>
      <c r="H493" s="20"/>
    </row>
    <row r="494" spans="2:8" x14ac:dyDescent="0.35">
      <c r="B494" s="20"/>
      <c r="C494" s="20"/>
      <c r="D494" s="20"/>
      <c r="E494" s="288"/>
      <c r="F494" s="289"/>
      <c r="G494" s="289"/>
      <c r="H494" s="20"/>
    </row>
    <row r="495" spans="2:8" x14ac:dyDescent="0.35">
      <c r="B495" s="20"/>
      <c r="C495" s="20"/>
      <c r="D495" s="20"/>
      <c r="E495" s="288"/>
      <c r="F495" s="289"/>
      <c r="G495" s="289"/>
      <c r="H495" s="20"/>
    </row>
    <row r="496" spans="2:8" x14ac:dyDescent="0.35">
      <c r="B496" s="20"/>
      <c r="C496" s="20"/>
      <c r="D496" s="20"/>
      <c r="E496" s="288"/>
      <c r="F496" s="289"/>
      <c r="G496" s="289"/>
      <c r="H496" s="20"/>
    </row>
    <row r="497" spans="2:8" x14ac:dyDescent="0.35">
      <c r="B497" s="20"/>
      <c r="C497" s="20"/>
      <c r="D497" s="20"/>
      <c r="E497" s="288"/>
      <c r="F497" s="289"/>
      <c r="G497" s="289"/>
      <c r="H497" s="20"/>
    </row>
    <row r="498" spans="2:8" x14ac:dyDescent="0.35">
      <c r="B498" s="20"/>
      <c r="C498" s="20"/>
      <c r="D498" s="20"/>
      <c r="E498" s="288"/>
      <c r="F498" s="289"/>
      <c r="G498" s="289"/>
      <c r="H498" s="20"/>
    </row>
    <row r="499" spans="2:8" x14ac:dyDescent="0.35">
      <c r="B499" s="20"/>
      <c r="C499" s="20"/>
      <c r="D499" s="20"/>
      <c r="E499" s="288"/>
      <c r="F499" s="289"/>
      <c r="G499" s="289"/>
      <c r="H499" s="20"/>
    </row>
    <row r="500" spans="2:8" x14ac:dyDescent="0.35">
      <c r="B500" s="20"/>
      <c r="C500" s="20"/>
      <c r="D500" s="20"/>
      <c r="E500" s="288"/>
      <c r="F500" s="289"/>
      <c r="G500" s="289"/>
      <c r="H500" s="20"/>
    </row>
    <row r="501" spans="2:8" x14ac:dyDescent="0.35">
      <c r="B501" s="20"/>
      <c r="C501" s="20"/>
      <c r="D501" s="20"/>
      <c r="E501" s="288"/>
      <c r="F501" s="289"/>
      <c r="G501" s="289"/>
      <c r="H501" s="20"/>
    </row>
    <row r="502" spans="2:8" x14ac:dyDescent="0.35">
      <c r="B502" s="20"/>
      <c r="C502" s="20"/>
      <c r="D502" s="20"/>
      <c r="E502" s="288"/>
      <c r="F502" s="289"/>
      <c r="G502" s="289"/>
      <c r="H502" s="20"/>
    </row>
    <row r="503" spans="2:8" x14ac:dyDescent="0.35">
      <c r="B503" s="20"/>
      <c r="C503" s="20"/>
      <c r="D503" s="20"/>
      <c r="E503" s="288"/>
      <c r="F503" s="289"/>
      <c r="G503" s="289"/>
      <c r="H503" s="20"/>
    </row>
    <row r="504" spans="2:8" x14ac:dyDescent="0.35">
      <c r="B504" s="20"/>
      <c r="C504" s="20"/>
      <c r="D504" s="20"/>
      <c r="E504" s="288"/>
      <c r="F504" s="289"/>
      <c r="G504" s="289"/>
      <c r="H504" s="20"/>
    </row>
    <row r="505" spans="2:8" x14ac:dyDescent="0.35">
      <c r="B505" s="20"/>
      <c r="C505" s="20"/>
      <c r="D505" s="20"/>
      <c r="E505" s="288"/>
      <c r="F505" s="289"/>
      <c r="G505" s="289"/>
      <c r="H505" s="20"/>
    </row>
    <row r="506" spans="2:8" x14ac:dyDescent="0.35">
      <c r="B506" s="20"/>
      <c r="C506" s="20"/>
      <c r="D506" s="20"/>
      <c r="E506" s="288"/>
      <c r="F506" s="289"/>
      <c r="G506" s="289"/>
      <c r="H506" s="20"/>
    </row>
    <row r="507" spans="2:8" x14ac:dyDescent="0.35">
      <c r="B507" s="20"/>
      <c r="C507" s="20"/>
      <c r="D507" s="20"/>
      <c r="E507" s="288"/>
      <c r="F507" s="289"/>
      <c r="G507" s="289"/>
      <c r="H507" s="20"/>
    </row>
    <row r="508" spans="2:8" x14ac:dyDescent="0.35">
      <c r="B508" s="20"/>
      <c r="C508" s="20"/>
      <c r="D508" s="20"/>
      <c r="E508" s="288"/>
      <c r="F508" s="289"/>
      <c r="G508" s="289"/>
      <c r="H508" s="20"/>
    </row>
    <row r="509" spans="2:8" x14ac:dyDescent="0.35">
      <c r="B509" s="20"/>
      <c r="C509" s="20"/>
      <c r="D509" s="20"/>
      <c r="E509" s="288"/>
      <c r="F509" s="289"/>
      <c r="G509" s="289"/>
      <c r="H509" s="20"/>
    </row>
    <row r="510" spans="2:8" x14ac:dyDescent="0.35">
      <c r="B510" s="20"/>
      <c r="C510" s="20"/>
      <c r="D510" s="20"/>
      <c r="E510" s="288"/>
      <c r="F510" s="289"/>
      <c r="G510" s="289"/>
      <c r="H510" s="20"/>
    </row>
    <row r="511" spans="2:8" x14ac:dyDescent="0.35">
      <c r="B511" s="20"/>
      <c r="C511" s="20"/>
      <c r="D511" s="20"/>
      <c r="E511" s="288"/>
      <c r="F511" s="289"/>
      <c r="G511" s="289"/>
      <c r="H511" s="20"/>
    </row>
    <row r="512" spans="2:8" x14ac:dyDescent="0.35">
      <c r="B512" s="20"/>
      <c r="C512" s="20"/>
      <c r="D512" s="20"/>
      <c r="E512" s="288"/>
      <c r="F512" s="289"/>
      <c r="G512" s="289"/>
      <c r="H512" s="20"/>
    </row>
    <row r="513" spans="2:8" x14ac:dyDescent="0.35">
      <c r="B513" s="20"/>
      <c r="C513" s="20"/>
      <c r="D513" s="20"/>
      <c r="E513" s="288"/>
      <c r="F513" s="289"/>
      <c r="G513" s="289"/>
      <c r="H513" s="20"/>
    </row>
    <row r="514" spans="2:8" x14ac:dyDescent="0.35">
      <c r="B514" s="20"/>
      <c r="C514" s="20"/>
      <c r="D514" s="20"/>
      <c r="E514" s="288"/>
      <c r="F514" s="289"/>
      <c r="G514" s="289"/>
      <c r="H514" s="20"/>
    </row>
    <row r="515" spans="2:8" x14ac:dyDescent="0.35">
      <c r="B515" s="20"/>
      <c r="C515" s="20"/>
      <c r="D515" s="20"/>
      <c r="E515" s="288"/>
      <c r="F515" s="289"/>
      <c r="G515" s="289"/>
      <c r="H515" s="20"/>
    </row>
    <row r="516" spans="2:8" x14ac:dyDescent="0.35">
      <c r="B516" s="20"/>
      <c r="C516" s="20"/>
      <c r="D516" s="20"/>
      <c r="E516" s="288"/>
      <c r="F516" s="289"/>
      <c r="G516" s="289"/>
      <c r="H516" s="20"/>
    </row>
    <row r="517" spans="2:8" x14ac:dyDescent="0.35">
      <c r="B517" s="20"/>
      <c r="C517" s="20"/>
      <c r="D517" s="20"/>
      <c r="E517" s="288"/>
      <c r="F517" s="289"/>
      <c r="G517" s="289"/>
      <c r="H517" s="20"/>
    </row>
    <row r="518" spans="2:8" x14ac:dyDescent="0.35">
      <c r="B518" s="20"/>
      <c r="C518" s="20"/>
      <c r="D518" s="20"/>
      <c r="E518" s="288"/>
      <c r="F518" s="289"/>
      <c r="G518" s="289"/>
      <c r="H518" s="20"/>
    </row>
    <row r="519" spans="2:8" x14ac:dyDescent="0.35">
      <c r="B519" s="20"/>
      <c r="C519" s="20"/>
      <c r="D519" s="20"/>
      <c r="E519" s="288"/>
      <c r="F519" s="289"/>
      <c r="G519" s="289"/>
      <c r="H519" s="20"/>
    </row>
    <row r="520" spans="2:8" x14ac:dyDescent="0.35">
      <c r="B520" s="20"/>
      <c r="C520" s="20"/>
      <c r="D520" s="20"/>
      <c r="E520" s="288"/>
      <c r="F520" s="289"/>
      <c r="G520" s="289"/>
      <c r="H520" s="20"/>
    </row>
    <row r="521" spans="2:8" x14ac:dyDescent="0.35">
      <c r="B521" s="20"/>
      <c r="C521" s="20"/>
      <c r="D521" s="20"/>
      <c r="E521" s="288"/>
      <c r="F521" s="289"/>
      <c r="G521" s="289"/>
      <c r="H521" s="20"/>
    </row>
    <row r="522" spans="2:8" x14ac:dyDescent="0.35">
      <c r="B522" s="20"/>
      <c r="C522" s="20"/>
      <c r="D522" s="20"/>
      <c r="E522" s="288"/>
      <c r="F522" s="289"/>
      <c r="G522" s="289"/>
      <c r="H522" s="20"/>
    </row>
    <row r="523" spans="2:8" x14ac:dyDescent="0.35">
      <c r="B523" s="20"/>
      <c r="C523" s="20"/>
      <c r="D523" s="20"/>
      <c r="E523" s="288"/>
      <c r="F523" s="289"/>
      <c r="G523" s="289"/>
      <c r="H523" s="20"/>
    </row>
    <row r="524" spans="2:8" x14ac:dyDescent="0.35">
      <c r="B524" s="20"/>
      <c r="C524" s="20"/>
      <c r="D524" s="20"/>
      <c r="E524" s="288"/>
      <c r="F524" s="289"/>
      <c r="G524" s="289"/>
      <c r="H524" s="20"/>
    </row>
    <row r="525" spans="2:8" x14ac:dyDescent="0.35">
      <c r="B525" s="20"/>
      <c r="C525" s="20"/>
      <c r="D525" s="20"/>
      <c r="E525" s="288"/>
      <c r="F525" s="289"/>
      <c r="G525" s="289"/>
      <c r="H525" s="20"/>
    </row>
    <row r="526" spans="2:8" x14ac:dyDescent="0.35">
      <c r="B526" s="20"/>
      <c r="C526" s="20"/>
      <c r="D526" s="20"/>
      <c r="E526" s="288"/>
      <c r="F526" s="289"/>
      <c r="G526" s="289"/>
      <c r="H526" s="20"/>
    </row>
    <row r="527" spans="2:8" x14ac:dyDescent="0.35">
      <c r="B527" s="20"/>
      <c r="C527" s="20"/>
      <c r="D527" s="20"/>
      <c r="E527" s="288"/>
      <c r="F527" s="289"/>
      <c r="G527" s="289"/>
      <c r="H527" s="20"/>
    </row>
    <row r="528" spans="2:8" x14ac:dyDescent="0.35">
      <c r="B528" s="20"/>
      <c r="C528" s="20"/>
      <c r="D528" s="20"/>
      <c r="E528" s="288"/>
      <c r="F528" s="289"/>
      <c r="G528" s="289"/>
      <c r="H528" s="20"/>
    </row>
    <row r="529" spans="2:8" x14ac:dyDescent="0.35">
      <c r="B529" s="20"/>
      <c r="C529" s="20"/>
      <c r="D529" s="20"/>
      <c r="E529" s="288"/>
      <c r="F529" s="289"/>
      <c r="G529" s="289"/>
      <c r="H529" s="20"/>
    </row>
    <row r="530" spans="2:8" x14ac:dyDescent="0.35">
      <c r="B530" s="20"/>
      <c r="C530" s="20"/>
      <c r="D530" s="20"/>
      <c r="E530" s="288"/>
      <c r="F530" s="289"/>
      <c r="G530" s="289"/>
      <c r="H530" s="20"/>
    </row>
    <row r="531" spans="2:8" x14ac:dyDescent="0.35">
      <c r="B531" s="20"/>
      <c r="C531" s="20"/>
      <c r="D531" s="20"/>
      <c r="E531" s="288"/>
      <c r="F531" s="289"/>
      <c r="G531" s="289"/>
      <c r="H531" s="20"/>
    </row>
    <row r="532" spans="2:8" x14ac:dyDescent="0.35">
      <c r="B532" s="20"/>
      <c r="C532" s="20"/>
      <c r="D532" s="20"/>
      <c r="E532" s="288"/>
      <c r="F532" s="289"/>
      <c r="G532" s="289"/>
      <c r="H532" s="20"/>
    </row>
    <row r="533" spans="2:8" x14ac:dyDescent="0.35">
      <c r="B533" s="20"/>
      <c r="C533" s="20"/>
      <c r="D533" s="20"/>
      <c r="E533" s="288"/>
      <c r="F533" s="289"/>
      <c r="G533" s="289"/>
      <c r="H533" s="20"/>
    </row>
    <row r="534" spans="2:8" x14ac:dyDescent="0.35">
      <c r="B534" s="20"/>
      <c r="C534" s="20"/>
      <c r="D534" s="20"/>
      <c r="E534" s="288"/>
      <c r="F534" s="289"/>
      <c r="G534" s="289"/>
      <c r="H534" s="20"/>
    </row>
    <row r="535" spans="2:8" x14ac:dyDescent="0.35">
      <c r="B535" s="20"/>
      <c r="C535" s="20"/>
      <c r="D535" s="20"/>
      <c r="E535" s="288"/>
      <c r="F535" s="289"/>
      <c r="G535" s="289"/>
      <c r="H535" s="20"/>
    </row>
    <row r="536" spans="2:8" x14ac:dyDescent="0.35">
      <c r="B536" s="20"/>
      <c r="C536" s="20"/>
      <c r="D536" s="20"/>
      <c r="E536" s="288"/>
      <c r="F536" s="289"/>
      <c r="G536" s="289"/>
      <c r="H536" s="20"/>
    </row>
    <row r="537" spans="2:8" x14ac:dyDescent="0.35">
      <c r="B537" s="20"/>
      <c r="C537" s="20"/>
      <c r="D537" s="20"/>
      <c r="E537" s="288"/>
      <c r="F537" s="289"/>
      <c r="G537" s="289"/>
      <c r="H537" s="20"/>
    </row>
    <row r="538" spans="2:8" x14ac:dyDescent="0.35">
      <c r="B538" s="20"/>
      <c r="C538" s="20"/>
      <c r="D538" s="20"/>
      <c r="E538" s="288"/>
      <c r="F538" s="289"/>
      <c r="G538" s="289"/>
      <c r="H538" s="20"/>
    </row>
    <row r="539" spans="2:8" x14ac:dyDescent="0.35">
      <c r="B539" s="20"/>
      <c r="C539" s="20"/>
      <c r="D539" s="20"/>
      <c r="E539" s="288"/>
      <c r="F539" s="289"/>
      <c r="G539" s="289"/>
      <c r="H539" s="20"/>
    </row>
    <row r="540" spans="2:8" x14ac:dyDescent="0.35">
      <c r="B540" s="20"/>
      <c r="C540" s="20"/>
      <c r="D540" s="20"/>
      <c r="E540" s="288"/>
      <c r="F540" s="289"/>
      <c r="G540" s="289"/>
      <c r="H540" s="20"/>
    </row>
    <row r="541" spans="2:8" x14ac:dyDescent="0.35">
      <c r="B541" s="20"/>
      <c r="C541" s="20"/>
      <c r="D541" s="20"/>
      <c r="E541" s="288"/>
      <c r="F541" s="289"/>
      <c r="G541" s="289"/>
      <c r="H541" s="20"/>
    </row>
    <row r="542" spans="2:8" x14ac:dyDescent="0.35">
      <c r="B542" s="20"/>
      <c r="C542" s="20"/>
      <c r="D542" s="20"/>
      <c r="E542" s="288"/>
      <c r="F542" s="289"/>
      <c r="G542" s="289"/>
      <c r="H542" s="20"/>
    </row>
    <row r="543" spans="2:8" x14ac:dyDescent="0.35">
      <c r="B543" s="20"/>
      <c r="C543" s="20"/>
      <c r="D543" s="20"/>
      <c r="E543" s="288"/>
      <c r="F543" s="289"/>
      <c r="G543" s="289"/>
      <c r="H543" s="20"/>
    </row>
    <row r="544" spans="2:8" x14ac:dyDescent="0.35">
      <c r="B544" s="20"/>
      <c r="C544" s="20"/>
      <c r="D544" s="20"/>
      <c r="E544" s="288"/>
      <c r="F544" s="289"/>
      <c r="G544" s="289"/>
      <c r="H544" s="20"/>
    </row>
    <row r="545" spans="2:8" x14ac:dyDescent="0.35">
      <c r="B545" s="20"/>
      <c r="C545" s="20"/>
      <c r="D545" s="20"/>
      <c r="E545" s="288"/>
      <c r="F545" s="289"/>
      <c r="G545" s="289"/>
      <c r="H545" s="20"/>
    </row>
    <row r="546" spans="2:8" x14ac:dyDescent="0.35">
      <c r="B546" s="20"/>
      <c r="C546" s="20"/>
      <c r="D546" s="20"/>
      <c r="E546" s="288"/>
      <c r="F546" s="289"/>
      <c r="G546" s="289"/>
      <c r="H546" s="20"/>
    </row>
    <row r="547" spans="2:8" x14ac:dyDescent="0.35">
      <c r="B547" s="20"/>
      <c r="C547" s="20"/>
      <c r="D547" s="20"/>
      <c r="E547" s="288"/>
      <c r="F547" s="289"/>
      <c r="G547" s="289"/>
      <c r="H547" s="20"/>
    </row>
    <row r="548" spans="2:8" x14ac:dyDescent="0.35">
      <c r="B548" s="20"/>
      <c r="C548" s="20"/>
      <c r="D548" s="20"/>
      <c r="E548" s="288"/>
      <c r="F548" s="289"/>
      <c r="G548" s="289"/>
      <c r="H548" s="20"/>
    </row>
    <row r="549" spans="2:8" x14ac:dyDescent="0.35">
      <c r="B549" s="20"/>
      <c r="C549" s="20"/>
      <c r="D549" s="20"/>
      <c r="E549" s="288"/>
      <c r="F549" s="289"/>
      <c r="G549" s="289"/>
      <c r="H549" s="20"/>
    </row>
    <row r="550" spans="2:8" x14ac:dyDescent="0.35">
      <c r="B550" s="20"/>
      <c r="C550" s="20"/>
      <c r="D550" s="20"/>
      <c r="E550" s="288"/>
      <c r="F550" s="289"/>
      <c r="G550" s="289"/>
      <c r="H550" s="20"/>
    </row>
    <row r="551" spans="2:8" x14ac:dyDescent="0.35">
      <c r="B551" s="20"/>
      <c r="C551" s="20"/>
      <c r="D551" s="20"/>
      <c r="E551" s="288"/>
      <c r="F551" s="289"/>
      <c r="G551" s="289"/>
      <c r="H551" s="20"/>
    </row>
    <row r="552" spans="2:8" x14ac:dyDescent="0.35">
      <c r="B552" s="20"/>
      <c r="C552" s="20"/>
      <c r="D552" s="20"/>
      <c r="E552" s="288"/>
      <c r="F552" s="289"/>
      <c r="G552" s="289"/>
      <c r="H552" s="20"/>
    </row>
    <row r="553" spans="2:8" x14ac:dyDescent="0.35">
      <c r="B553" s="20"/>
      <c r="C553" s="20"/>
      <c r="D553" s="20"/>
      <c r="E553" s="288"/>
      <c r="F553" s="289"/>
      <c r="G553" s="289"/>
      <c r="H553" s="20"/>
    </row>
    <row r="554" spans="2:8" x14ac:dyDescent="0.35">
      <c r="B554" s="20"/>
      <c r="C554" s="20"/>
      <c r="D554" s="20"/>
      <c r="E554" s="288"/>
      <c r="F554" s="289"/>
      <c r="G554" s="289"/>
      <c r="H554" s="20"/>
    </row>
    <row r="555" spans="2:8" x14ac:dyDescent="0.35">
      <c r="B555" s="20"/>
      <c r="C555" s="20"/>
      <c r="D555" s="20"/>
      <c r="E555" s="288"/>
      <c r="F555" s="289"/>
      <c r="G555" s="289"/>
      <c r="H555" s="20"/>
    </row>
    <row r="556" spans="2:8" x14ac:dyDescent="0.35">
      <c r="B556" s="20"/>
      <c r="C556" s="20"/>
      <c r="D556" s="20"/>
      <c r="E556" s="288"/>
      <c r="F556" s="289"/>
      <c r="G556" s="289"/>
      <c r="H556" s="20"/>
    </row>
    <row r="557" spans="2:8" x14ac:dyDescent="0.35">
      <c r="B557" s="20"/>
      <c r="C557" s="20"/>
      <c r="D557" s="20"/>
      <c r="E557" s="288"/>
      <c r="F557" s="289"/>
      <c r="G557" s="289"/>
      <c r="H557" s="20"/>
    </row>
    <row r="558" spans="2:8" x14ac:dyDescent="0.35">
      <c r="B558" s="20"/>
      <c r="C558" s="20"/>
      <c r="D558" s="20"/>
      <c r="E558" s="288"/>
      <c r="F558" s="289"/>
      <c r="G558" s="289"/>
      <c r="H558" s="20"/>
    </row>
    <row r="559" spans="2:8" x14ac:dyDescent="0.35">
      <c r="B559" s="20"/>
      <c r="C559" s="20"/>
      <c r="D559" s="20"/>
      <c r="E559" s="288"/>
      <c r="F559" s="289"/>
      <c r="G559" s="289"/>
      <c r="H559" s="20"/>
    </row>
    <row r="560" spans="2:8" x14ac:dyDescent="0.35">
      <c r="B560" s="20"/>
      <c r="C560" s="20"/>
      <c r="D560" s="20"/>
      <c r="E560" s="288"/>
      <c r="F560" s="289"/>
      <c r="G560" s="289"/>
      <c r="H560" s="20"/>
    </row>
    <row r="561" spans="2:8" x14ac:dyDescent="0.35">
      <c r="B561" s="20"/>
      <c r="C561" s="20"/>
      <c r="D561" s="20"/>
      <c r="E561" s="288"/>
      <c r="F561" s="289"/>
      <c r="G561" s="289"/>
      <c r="H561" s="20"/>
    </row>
    <row r="562" spans="2:8" x14ac:dyDescent="0.35">
      <c r="B562" s="20"/>
      <c r="C562" s="20"/>
      <c r="D562" s="20"/>
      <c r="E562" s="288"/>
      <c r="F562" s="289"/>
      <c r="G562" s="289"/>
      <c r="H562" s="20"/>
    </row>
    <row r="563" spans="2:8" x14ac:dyDescent="0.35">
      <c r="B563" s="20"/>
      <c r="C563" s="20"/>
      <c r="D563" s="20"/>
      <c r="E563" s="288"/>
      <c r="F563" s="289"/>
      <c r="G563" s="289"/>
      <c r="H563" s="20"/>
    </row>
    <row r="564" spans="2:8" x14ac:dyDescent="0.35">
      <c r="B564" s="20"/>
      <c r="C564" s="20"/>
      <c r="D564" s="20"/>
      <c r="E564" s="288"/>
      <c r="F564" s="289"/>
      <c r="G564" s="289"/>
      <c r="H564" s="20"/>
    </row>
    <row r="565" spans="2:8" x14ac:dyDescent="0.35">
      <c r="B565" s="20"/>
      <c r="C565" s="20"/>
      <c r="D565" s="20"/>
      <c r="E565" s="288"/>
      <c r="F565" s="289"/>
      <c r="G565" s="289"/>
      <c r="H565" s="20"/>
    </row>
    <row r="566" spans="2:8" x14ac:dyDescent="0.35">
      <c r="B566" s="20"/>
      <c r="C566" s="20"/>
      <c r="D566" s="20"/>
      <c r="E566" s="288"/>
      <c r="F566" s="289"/>
      <c r="G566" s="289"/>
      <c r="H566" s="20"/>
    </row>
    <row r="567" spans="2:8" x14ac:dyDescent="0.35">
      <c r="B567" s="20"/>
      <c r="C567" s="20"/>
      <c r="D567" s="20"/>
      <c r="E567" s="288"/>
      <c r="F567" s="289"/>
      <c r="G567" s="289"/>
      <c r="H567" s="20"/>
    </row>
    <row r="568" spans="2:8" x14ac:dyDescent="0.35">
      <c r="B568" s="20"/>
      <c r="C568" s="20"/>
      <c r="D568" s="20"/>
      <c r="E568" s="288"/>
      <c r="F568" s="289"/>
      <c r="G568" s="289"/>
      <c r="H568" s="20"/>
    </row>
    <row r="569" spans="2:8" x14ac:dyDescent="0.35">
      <c r="B569" s="20"/>
      <c r="C569" s="20"/>
      <c r="D569" s="20"/>
      <c r="E569" s="288"/>
      <c r="F569" s="289"/>
      <c r="G569" s="289"/>
      <c r="H569" s="20"/>
    </row>
    <row r="570" spans="2:8" x14ac:dyDescent="0.35">
      <c r="B570" s="20"/>
      <c r="C570" s="20"/>
      <c r="D570" s="20"/>
      <c r="E570" s="288"/>
      <c r="F570" s="289"/>
      <c r="G570" s="289"/>
      <c r="H570" s="20"/>
    </row>
    <row r="571" spans="2:8" x14ac:dyDescent="0.35">
      <c r="B571" s="20"/>
      <c r="C571" s="20"/>
      <c r="D571" s="20"/>
      <c r="E571" s="288"/>
      <c r="F571" s="289"/>
      <c r="G571" s="289"/>
      <c r="H571" s="20"/>
    </row>
    <row r="572" spans="2:8" x14ac:dyDescent="0.35">
      <c r="B572" s="20"/>
      <c r="C572" s="20"/>
      <c r="D572" s="20"/>
      <c r="E572" s="288"/>
      <c r="F572" s="289"/>
      <c r="G572" s="289"/>
      <c r="H572" s="20"/>
    </row>
    <row r="573" spans="2:8" x14ac:dyDescent="0.35">
      <c r="B573" s="20"/>
      <c r="C573" s="20"/>
      <c r="D573" s="20"/>
      <c r="E573" s="288"/>
      <c r="F573" s="289"/>
      <c r="G573" s="289"/>
      <c r="H573" s="20"/>
    </row>
    <row r="574" spans="2:8" x14ac:dyDescent="0.35">
      <c r="B574" s="20"/>
      <c r="C574" s="20"/>
      <c r="D574" s="20"/>
      <c r="E574" s="288"/>
      <c r="F574" s="289"/>
      <c r="G574" s="289"/>
      <c r="H574" s="20"/>
    </row>
    <row r="575" spans="2:8" x14ac:dyDescent="0.35">
      <c r="B575" s="20"/>
      <c r="C575" s="20"/>
      <c r="D575" s="20"/>
      <c r="E575" s="288"/>
      <c r="F575" s="289"/>
      <c r="G575" s="289"/>
      <c r="H575" s="20"/>
    </row>
    <row r="576" spans="2:8" x14ac:dyDescent="0.35">
      <c r="B576" s="20"/>
      <c r="C576" s="20"/>
      <c r="D576" s="20"/>
      <c r="E576" s="288"/>
      <c r="F576" s="289"/>
      <c r="G576" s="289"/>
      <c r="H576" s="20"/>
    </row>
    <row r="577" spans="2:8" x14ac:dyDescent="0.35">
      <c r="B577" s="20"/>
      <c r="C577" s="20"/>
      <c r="D577" s="20"/>
      <c r="E577" s="288"/>
      <c r="F577" s="289"/>
      <c r="G577" s="289"/>
      <c r="H577" s="20"/>
    </row>
    <row r="578" spans="2:8" x14ac:dyDescent="0.35">
      <c r="B578" s="20"/>
      <c r="C578" s="20"/>
      <c r="D578" s="20"/>
      <c r="E578" s="288"/>
      <c r="F578" s="289"/>
      <c r="G578" s="289"/>
      <c r="H578" s="20"/>
    </row>
    <row r="579" spans="2:8" x14ac:dyDescent="0.35">
      <c r="B579" s="20"/>
      <c r="C579" s="20"/>
      <c r="D579" s="20"/>
      <c r="E579" s="288"/>
      <c r="F579" s="289"/>
      <c r="G579" s="289"/>
      <c r="H579" s="20"/>
    </row>
    <row r="580" spans="2:8" x14ac:dyDescent="0.35">
      <c r="B580" s="20"/>
      <c r="C580" s="20"/>
      <c r="D580" s="20"/>
      <c r="E580" s="288"/>
      <c r="F580" s="289"/>
      <c r="G580" s="289"/>
      <c r="H580" s="20"/>
    </row>
    <row r="581" spans="2:8" x14ac:dyDescent="0.35">
      <c r="B581" s="20"/>
      <c r="C581" s="20"/>
      <c r="D581" s="20"/>
      <c r="E581" s="288"/>
      <c r="F581" s="289"/>
      <c r="G581" s="289"/>
      <c r="H581" s="20"/>
    </row>
    <row r="582" spans="2:8" x14ac:dyDescent="0.35">
      <c r="B582" s="20"/>
      <c r="C582" s="20"/>
      <c r="D582" s="20"/>
      <c r="E582" s="288"/>
      <c r="F582" s="289"/>
      <c r="G582" s="289"/>
      <c r="H582" s="20"/>
    </row>
    <row r="583" spans="2:8" x14ac:dyDescent="0.35">
      <c r="B583" s="20"/>
      <c r="C583" s="20"/>
      <c r="D583" s="20"/>
      <c r="E583" s="288"/>
      <c r="F583" s="289"/>
      <c r="G583" s="289"/>
      <c r="H583" s="20"/>
    </row>
    <row r="584" spans="2:8" x14ac:dyDescent="0.35">
      <c r="B584" s="20"/>
      <c r="C584" s="20"/>
      <c r="D584" s="20"/>
      <c r="E584" s="288"/>
      <c r="F584" s="289"/>
      <c r="G584" s="289"/>
      <c r="H584" s="20"/>
    </row>
    <row r="585" spans="2:8" x14ac:dyDescent="0.35">
      <c r="B585" s="20"/>
      <c r="C585" s="20"/>
      <c r="D585" s="20"/>
      <c r="E585" s="288"/>
      <c r="F585" s="289"/>
      <c r="G585" s="289"/>
      <c r="H585" s="20"/>
    </row>
    <row r="586" spans="2:8" x14ac:dyDescent="0.35">
      <c r="B586" s="20"/>
      <c r="C586" s="20"/>
      <c r="D586" s="20"/>
      <c r="E586" s="288"/>
      <c r="F586" s="289"/>
      <c r="G586" s="289"/>
      <c r="H586" s="20"/>
    </row>
    <row r="587" spans="2:8" x14ac:dyDescent="0.35">
      <c r="B587" s="20"/>
      <c r="C587" s="20"/>
      <c r="D587" s="20"/>
      <c r="E587" s="288"/>
      <c r="F587" s="289"/>
      <c r="G587" s="289"/>
      <c r="H587" s="20"/>
    </row>
    <row r="588" spans="2:8" x14ac:dyDescent="0.35">
      <c r="B588" s="20"/>
      <c r="C588" s="20"/>
      <c r="D588" s="20"/>
      <c r="E588" s="288"/>
      <c r="F588" s="289"/>
      <c r="G588" s="289"/>
      <c r="H588" s="20"/>
    </row>
    <row r="589" spans="2:8" x14ac:dyDescent="0.35">
      <c r="B589" s="20"/>
      <c r="C589" s="20"/>
      <c r="D589" s="20"/>
      <c r="E589" s="288"/>
      <c r="F589" s="289"/>
      <c r="G589" s="289"/>
      <c r="H589" s="20"/>
    </row>
    <row r="590" spans="2:8" x14ac:dyDescent="0.35">
      <c r="B590" s="20"/>
      <c r="C590" s="20"/>
      <c r="D590" s="20"/>
      <c r="E590" s="288"/>
      <c r="F590" s="289"/>
      <c r="G590" s="289"/>
      <c r="H590" s="20"/>
    </row>
    <row r="591" spans="2:8" x14ac:dyDescent="0.35">
      <c r="B591" s="20"/>
      <c r="C591" s="20"/>
      <c r="D591" s="20"/>
      <c r="E591" s="288"/>
      <c r="F591" s="289"/>
      <c r="G591" s="289"/>
      <c r="H591" s="20"/>
    </row>
    <row r="592" spans="2:8" x14ac:dyDescent="0.35">
      <c r="B592" s="20"/>
      <c r="C592" s="20"/>
      <c r="D592" s="20"/>
      <c r="E592" s="288"/>
      <c r="F592" s="289"/>
      <c r="G592" s="289"/>
      <c r="H592" s="20"/>
    </row>
    <row r="593" spans="2:8" x14ac:dyDescent="0.35">
      <c r="B593" s="20"/>
      <c r="C593" s="20"/>
      <c r="D593" s="20"/>
      <c r="E593" s="288"/>
      <c r="F593" s="289"/>
      <c r="G593" s="289"/>
      <c r="H593" s="20"/>
    </row>
    <row r="594" spans="2:8" x14ac:dyDescent="0.35">
      <c r="B594" s="20"/>
      <c r="C594" s="20"/>
      <c r="D594" s="20"/>
      <c r="E594" s="288"/>
      <c r="F594" s="289"/>
      <c r="G594" s="289"/>
      <c r="H594" s="20"/>
    </row>
    <row r="595" spans="2:8" x14ac:dyDescent="0.35">
      <c r="B595" s="20"/>
      <c r="C595" s="20"/>
      <c r="D595" s="20"/>
      <c r="E595" s="288"/>
      <c r="F595" s="289"/>
      <c r="G595" s="289"/>
      <c r="H595" s="20"/>
    </row>
    <row r="596" spans="2:8" x14ac:dyDescent="0.35">
      <c r="B596" s="20"/>
      <c r="C596" s="20"/>
      <c r="D596" s="20"/>
      <c r="E596" s="288"/>
      <c r="F596" s="289"/>
      <c r="G596" s="289"/>
      <c r="H596" s="20"/>
    </row>
    <row r="597" spans="2:8" x14ac:dyDescent="0.35">
      <c r="B597" s="20"/>
      <c r="C597" s="20"/>
      <c r="D597" s="20"/>
      <c r="E597" s="288"/>
      <c r="F597" s="289"/>
      <c r="G597" s="289"/>
      <c r="H597" s="20"/>
    </row>
    <row r="598" spans="2:8" x14ac:dyDescent="0.35">
      <c r="B598" s="20"/>
      <c r="C598" s="20"/>
      <c r="D598" s="20"/>
      <c r="E598" s="288"/>
      <c r="F598" s="289"/>
      <c r="G598" s="289"/>
      <c r="H598" s="20"/>
    </row>
    <row r="599" spans="2:8" x14ac:dyDescent="0.35">
      <c r="B599" s="20"/>
      <c r="C599" s="20"/>
      <c r="D599" s="20"/>
      <c r="E599" s="288"/>
      <c r="F599" s="289"/>
      <c r="G599" s="289"/>
      <c r="H599" s="20"/>
    </row>
    <row r="600" spans="2:8" x14ac:dyDescent="0.35">
      <c r="B600" s="20"/>
      <c r="C600" s="20"/>
      <c r="D600" s="20"/>
      <c r="E600" s="288"/>
      <c r="F600" s="289"/>
      <c r="G600" s="289"/>
      <c r="H600" s="20"/>
    </row>
    <row r="601" spans="2:8" x14ac:dyDescent="0.35">
      <c r="B601" s="20"/>
      <c r="C601" s="20"/>
      <c r="D601" s="20"/>
      <c r="E601" s="288"/>
      <c r="F601" s="289"/>
      <c r="G601" s="289"/>
      <c r="H601" s="20"/>
    </row>
    <row r="602" spans="2:8" x14ac:dyDescent="0.35">
      <c r="B602" s="20"/>
      <c r="C602" s="20"/>
      <c r="D602" s="20"/>
      <c r="E602" s="288"/>
      <c r="F602" s="289"/>
      <c r="G602" s="289"/>
      <c r="H602" s="20"/>
    </row>
    <row r="603" spans="2:8" x14ac:dyDescent="0.35">
      <c r="B603" s="20"/>
      <c r="C603" s="20"/>
      <c r="D603" s="20"/>
      <c r="E603" s="288"/>
      <c r="F603" s="289"/>
      <c r="G603" s="289"/>
      <c r="H603" s="20"/>
    </row>
    <row r="604" spans="2:8" x14ac:dyDescent="0.35">
      <c r="B604" s="20"/>
      <c r="C604" s="20"/>
      <c r="D604" s="20"/>
      <c r="E604" s="288"/>
      <c r="F604" s="289"/>
      <c r="G604" s="289"/>
      <c r="H604" s="20"/>
    </row>
    <row r="605" spans="2:8" x14ac:dyDescent="0.35">
      <c r="B605" s="20"/>
      <c r="C605" s="20"/>
      <c r="D605" s="20"/>
      <c r="E605" s="288"/>
      <c r="F605" s="289"/>
      <c r="G605" s="289"/>
      <c r="H605" s="20"/>
    </row>
    <row r="606" spans="2:8" x14ac:dyDescent="0.35">
      <c r="B606" s="20"/>
      <c r="C606" s="20"/>
      <c r="D606" s="20"/>
      <c r="E606" s="288"/>
      <c r="F606" s="289"/>
      <c r="G606" s="289"/>
      <c r="H606" s="20"/>
    </row>
    <row r="607" spans="2:8" x14ac:dyDescent="0.35">
      <c r="B607" s="20"/>
      <c r="C607" s="20"/>
      <c r="D607" s="20"/>
      <c r="E607" s="288"/>
      <c r="F607" s="289"/>
      <c r="G607" s="289"/>
      <c r="H607" s="20"/>
    </row>
    <row r="608" spans="2:8" x14ac:dyDescent="0.35">
      <c r="B608" s="20"/>
      <c r="C608" s="20"/>
      <c r="D608" s="20"/>
      <c r="E608" s="288"/>
      <c r="F608" s="289"/>
      <c r="G608" s="289"/>
      <c r="H608" s="20"/>
    </row>
    <row r="609" spans="2:8" x14ac:dyDescent="0.35">
      <c r="B609" s="20"/>
      <c r="C609" s="20"/>
      <c r="D609" s="20"/>
      <c r="E609" s="288"/>
      <c r="F609" s="289"/>
      <c r="G609" s="289"/>
      <c r="H609" s="20"/>
    </row>
    <row r="610" spans="2:8" x14ac:dyDescent="0.35">
      <c r="B610" s="20"/>
      <c r="C610" s="20"/>
      <c r="D610" s="20"/>
      <c r="E610" s="288"/>
      <c r="F610" s="289"/>
      <c r="G610" s="289"/>
      <c r="H610" s="20"/>
    </row>
    <row r="611" spans="2:8" x14ac:dyDescent="0.35">
      <c r="B611" s="20"/>
      <c r="C611" s="20"/>
      <c r="D611" s="20"/>
      <c r="E611" s="288"/>
      <c r="F611" s="289"/>
      <c r="G611" s="289"/>
      <c r="H611" s="20"/>
    </row>
    <row r="612" spans="2:8" x14ac:dyDescent="0.35">
      <c r="B612" s="20"/>
      <c r="C612" s="20"/>
      <c r="D612" s="20"/>
      <c r="E612" s="288"/>
      <c r="F612" s="289"/>
      <c r="G612" s="289"/>
      <c r="H612" s="20"/>
    </row>
    <row r="613" spans="2:8" x14ac:dyDescent="0.35">
      <c r="B613" s="20"/>
      <c r="C613" s="20"/>
      <c r="D613" s="20"/>
      <c r="E613" s="288"/>
      <c r="F613" s="289"/>
      <c r="G613" s="289"/>
      <c r="H613" s="20"/>
    </row>
    <row r="614" spans="2:8" x14ac:dyDescent="0.35">
      <c r="B614" s="20"/>
      <c r="C614" s="20"/>
      <c r="D614" s="20"/>
      <c r="E614" s="288"/>
      <c r="F614" s="289"/>
      <c r="G614" s="289"/>
      <c r="H614" s="20"/>
    </row>
    <row r="615" spans="2:8" x14ac:dyDescent="0.35">
      <c r="B615" s="20"/>
      <c r="C615" s="20"/>
      <c r="D615" s="20"/>
      <c r="E615" s="288"/>
      <c r="F615" s="289"/>
      <c r="G615" s="289"/>
      <c r="H615" s="20"/>
    </row>
    <row r="616" spans="2:8" x14ac:dyDescent="0.35">
      <c r="B616" s="20"/>
      <c r="C616" s="20"/>
      <c r="D616" s="20"/>
      <c r="E616" s="288"/>
      <c r="F616" s="289"/>
      <c r="G616" s="289"/>
      <c r="H616" s="20"/>
    </row>
    <row r="617" spans="2:8" x14ac:dyDescent="0.35">
      <c r="B617" s="20"/>
      <c r="C617" s="20"/>
      <c r="D617" s="20"/>
      <c r="E617" s="288"/>
      <c r="F617" s="289"/>
      <c r="G617" s="289"/>
      <c r="H617" s="20"/>
    </row>
    <row r="618" spans="2:8" x14ac:dyDescent="0.35">
      <c r="B618" s="20"/>
      <c r="C618" s="20"/>
      <c r="D618" s="20"/>
      <c r="E618" s="288"/>
      <c r="F618" s="289"/>
      <c r="G618" s="289"/>
      <c r="H618" s="20"/>
    </row>
    <row r="619" spans="2:8" x14ac:dyDescent="0.35">
      <c r="B619" s="20"/>
      <c r="C619" s="20"/>
      <c r="D619" s="20"/>
      <c r="E619" s="288"/>
      <c r="F619" s="289"/>
      <c r="G619" s="289"/>
      <c r="H619" s="20"/>
    </row>
    <row r="620" spans="2:8" x14ac:dyDescent="0.35">
      <c r="B620" s="20"/>
      <c r="C620" s="20"/>
      <c r="D620" s="20"/>
      <c r="E620" s="288"/>
      <c r="F620" s="289"/>
      <c r="G620" s="289"/>
      <c r="H620" s="20"/>
    </row>
    <row r="621" spans="2:8" x14ac:dyDescent="0.35">
      <c r="B621" s="20"/>
      <c r="C621" s="20"/>
      <c r="D621" s="20"/>
      <c r="E621" s="288"/>
      <c r="F621" s="289"/>
      <c r="G621" s="289"/>
      <c r="H621" s="20"/>
    </row>
    <row r="622" spans="2:8" x14ac:dyDescent="0.35">
      <c r="B622" s="20"/>
      <c r="C622" s="20"/>
      <c r="D622" s="20"/>
      <c r="E622" s="288"/>
      <c r="F622" s="289"/>
      <c r="G622" s="289"/>
      <c r="H622" s="20"/>
    </row>
    <row r="623" spans="2:8" x14ac:dyDescent="0.35">
      <c r="B623" s="20"/>
      <c r="C623" s="20"/>
      <c r="D623" s="20"/>
      <c r="E623" s="288"/>
      <c r="F623" s="289"/>
      <c r="G623" s="289"/>
      <c r="H623" s="20"/>
    </row>
    <row r="624" spans="2:8" x14ac:dyDescent="0.35">
      <c r="B624" s="20"/>
      <c r="C624" s="20"/>
      <c r="D624" s="20"/>
      <c r="E624" s="288"/>
      <c r="F624" s="289"/>
      <c r="G624" s="289"/>
      <c r="H624" s="20"/>
    </row>
    <row r="625" spans="2:8" x14ac:dyDescent="0.35">
      <c r="B625" s="20"/>
      <c r="C625" s="20"/>
      <c r="D625" s="20"/>
      <c r="E625" s="288"/>
      <c r="F625" s="289"/>
      <c r="G625" s="289"/>
      <c r="H625" s="20"/>
    </row>
    <row r="626" spans="2:8" x14ac:dyDescent="0.35">
      <c r="B626" s="20"/>
      <c r="C626" s="20"/>
      <c r="D626" s="20"/>
      <c r="E626" s="288"/>
      <c r="F626" s="289"/>
      <c r="G626" s="289"/>
      <c r="H626" s="20"/>
    </row>
    <row r="627" spans="2:8" x14ac:dyDescent="0.35">
      <c r="B627" s="20"/>
      <c r="C627" s="20"/>
      <c r="D627" s="20"/>
      <c r="E627" s="288"/>
      <c r="F627" s="289"/>
      <c r="G627" s="289"/>
      <c r="H627" s="20"/>
    </row>
    <row r="628" spans="2:8" x14ac:dyDescent="0.35">
      <c r="B628" s="20"/>
      <c r="C628" s="20"/>
      <c r="D628" s="20"/>
      <c r="E628" s="288"/>
      <c r="F628" s="289"/>
      <c r="G628" s="289"/>
      <c r="H628" s="20"/>
    </row>
    <row r="629" spans="2:8" x14ac:dyDescent="0.35">
      <c r="B629" s="20"/>
      <c r="C629" s="20"/>
      <c r="D629" s="20"/>
      <c r="E629" s="288"/>
      <c r="F629" s="289"/>
      <c r="G629" s="289"/>
      <c r="H629" s="20"/>
    </row>
    <row r="630" spans="2:8" x14ac:dyDescent="0.35">
      <c r="B630" s="20"/>
      <c r="C630" s="20"/>
      <c r="D630" s="20"/>
      <c r="E630" s="288"/>
      <c r="F630" s="289"/>
      <c r="G630" s="289"/>
      <c r="H630" s="20"/>
    </row>
    <row r="631" spans="2:8" x14ac:dyDescent="0.35">
      <c r="B631" s="20"/>
      <c r="C631" s="20"/>
      <c r="D631" s="20"/>
      <c r="E631" s="288"/>
      <c r="F631" s="289"/>
      <c r="G631" s="289"/>
      <c r="H631" s="20"/>
    </row>
    <row r="632" spans="2:8" x14ac:dyDescent="0.35">
      <c r="B632" s="20"/>
      <c r="C632" s="20"/>
      <c r="D632" s="20"/>
      <c r="E632" s="288"/>
      <c r="F632" s="289"/>
      <c r="G632" s="289"/>
      <c r="H632" s="20"/>
    </row>
    <row r="633" spans="2:8" x14ac:dyDescent="0.35">
      <c r="B633" s="20"/>
      <c r="C633" s="20"/>
      <c r="D633" s="20"/>
      <c r="E633" s="288"/>
      <c r="F633" s="289"/>
      <c r="G633" s="289"/>
      <c r="H633" s="20"/>
    </row>
    <row r="634" spans="2:8" x14ac:dyDescent="0.35">
      <c r="B634" s="20"/>
      <c r="C634" s="20"/>
      <c r="D634" s="20"/>
      <c r="E634" s="288"/>
      <c r="F634" s="289"/>
      <c r="G634" s="289"/>
      <c r="H634" s="20"/>
    </row>
    <row r="635" spans="2:8" x14ac:dyDescent="0.35">
      <c r="B635" s="20"/>
      <c r="C635" s="20"/>
      <c r="D635" s="20"/>
      <c r="E635" s="288"/>
      <c r="F635" s="289"/>
      <c r="G635" s="289"/>
      <c r="H635" s="20"/>
    </row>
    <row r="636" spans="2:8" x14ac:dyDescent="0.35">
      <c r="B636" s="20"/>
      <c r="C636" s="20"/>
      <c r="D636" s="20"/>
      <c r="E636" s="288"/>
      <c r="F636" s="289"/>
      <c r="G636" s="289"/>
      <c r="H636" s="20"/>
    </row>
    <row r="637" spans="2:8" x14ac:dyDescent="0.35">
      <c r="B637" s="20"/>
      <c r="C637" s="20"/>
      <c r="D637" s="20"/>
      <c r="E637" s="288"/>
      <c r="F637" s="289"/>
      <c r="G637" s="289"/>
      <c r="H637" s="20"/>
    </row>
    <row r="638" spans="2:8" x14ac:dyDescent="0.35">
      <c r="B638" s="20"/>
      <c r="C638" s="20"/>
      <c r="D638" s="20"/>
      <c r="E638" s="288"/>
      <c r="F638" s="289"/>
      <c r="G638" s="289"/>
      <c r="H638" s="20"/>
    </row>
    <row r="639" spans="2:8" x14ac:dyDescent="0.35">
      <c r="B639" s="20"/>
      <c r="C639" s="20"/>
      <c r="D639" s="20"/>
      <c r="E639" s="288"/>
      <c r="F639" s="289"/>
      <c r="G639" s="289"/>
      <c r="H639" s="20"/>
    </row>
    <row r="640" spans="2:8" x14ac:dyDescent="0.35">
      <c r="B640" s="20"/>
      <c r="C640" s="20"/>
      <c r="D640" s="20"/>
      <c r="E640" s="288"/>
      <c r="F640" s="289"/>
      <c r="G640" s="289"/>
      <c r="H640" s="20"/>
    </row>
    <row r="641" spans="2:8" x14ac:dyDescent="0.35">
      <c r="B641" s="20"/>
      <c r="C641" s="20"/>
      <c r="D641" s="20"/>
      <c r="E641" s="288"/>
      <c r="F641" s="289"/>
      <c r="G641" s="289"/>
      <c r="H641" s="20"/>
    </row>
    <row r="642" spans="2:8" x14ac:dyDescent="0.35">
      <c r="B642" s="20"/>
      <c r="C642" s="20"/>
      <c r="D642" s="20"/>
      <c r="E642" s="288"/>
      <c r="F642" s="289"/>
      <c r="G642" s="289"/>
      <c r="H642" s="20"/>
    </row>
    <row r="643" spans="2:8" x14ac:dyDescent="0.35">
      <c r="B643" s="20"/>
      <c r="C643" s="20"/>
      <c r="D643" s="20"/>
      <c r="E643" s="288"/>
      <c r="F643" s="289"/>
      <c r="G643" s="289"/>
      <c r="H643" s="20"/>
    </row>
    <row r="644" spans="2:8" x14ac:dyDescent="0.35">
      <c r="B644" s="20"/>
      <c r="C644" s="20"/>
      <c r="D644" s="20"/>
      <c r="E644" s="288"/>
      <c r="F644" s="289"/>
      <c r="G644" s="289"/>
      <c r="H644" s="20"/>
    </row>
    <row r="645" spans="2:8" x14ac:dyDescent="0.35">
      <c r="B645" s="20"/>
      <c r="C645" s="20"/>
      <c r="D645" s="20"/>
      <c r="E645" s="288"/>
      <c r="F645" s="289"/>
      <c r="G645" s="289"/>
      <c r="H645" s="20"/>
    </row>
    <row r="646" spans="2:8" x14ac:dyDescent="0.35">
      <c r="B646" s="20"/>
      <c r="C646" s="20"/>
      <c r="D646" s="20"/>
      <c r="E646" s="288"/>
      <c r="F646" s="289"/>
      <c r="G646" s="289"/>
      <c r="H646" s="20"/>
    </row>
    <row r="647" spans="2:8" x14ac:dyDescent="0.35">
      <c r="B647" s="20"/>
      <c r="C647" s="20"/>
      <c r="D647" s="20"/>
      <c r="E647" s="288"/>
      <c r="F647" s="289"/>
      <c r="G647" s="289"/>
      <c r="H647" s="20"/>
    </row>
    <row r="648" spans="2:8" x14ac:dyDescent="0.35">
      <c r="B648" s="20"/>
      <c r="C648" s="20"/>
      <c r="D648" s="20"/>
      <c r="E648" s="288"/>
      <c r="F648" s="289"/>
      <c r="G648" s="289"/>
      <c r="H648" s="20"/>
    </row>
    <row r="649" spans="2:8" x14ac:dyDescent="0.35">
      <c r="B649" s="20"/>
      <c r="C649" s="20"/>
      <c r="D649" s="20"/>
      <c r="E649" s="288"/>
      <c r="F649" s="289"/>
      <c r="G649" s="289"/>
      <c r="H649" s="20"/>
    </row>
    <row r="650" spans="2:8" x14ac:dyDescent="0.35">
      <c r="B650" s="20"/>
      <c r="C650" s="20"/>
      <c r="D650" s="20"/>
      <c r="E650" s="288"/>
      <c r="F650" s="289"/>
      <c r="G650" s="289"/>
      <c r="H650" s="20"/>
    </row>
    <row r="651" spans="2:8" x14ac:dyDescent="0.35">
      <c r="B651" s="20"/>
      <c r="C651" s="20"/>
      <c r="D651" s="20"/>
      <c r="E651" s="288"/>
      <c r="F651" s="289"/>
      <c r="G651" s="289"/>
      <c r="H651" s="20"/>
    </row>
    <row r="652" spans="2:8" x14ac:dyDescent="0.35">
      <c r="B652" s="20"/>
      <c r="C652" s="20"/>
      <c r="D652" s="20"/>
      <c r="E652" s="288"/>
      <c r="F652" s="289"/>
      <c r="G652" s="289"/>
      <c r="H652" s="20"/>
    </row>
    <row r="653" spans="2:8" x14ac:dyDescent="0.35">
      <c r="B653" s="20"/>
      <c r="C653" s="20"/>
      <c r="D653" s="20"/>
      <c r="E653" s="288"/>
      <c r="F653" s="289"/>
      <c r="G653" s="289"/>
      <c r="H653" s="20"/>
    </row>
    <row r="654" spans="2:8" x14ac:dyDescent="0.35">
      <c r="B654" s="20"/>
      <c r="C654" s="20"/>
      <c r="D654" s="20"/>
      <c r="E654" s="288"/>
      <c r="F654" s="289"/>
      <c r="G654" s="289"/>
      <c r="H654" s="20"/>
    </row>
    <row r="655" spans="2:8" x14ac:dyDescent="0.35">
      <c r="B655" s="20"/>
      <c r="C655" s="20"/>
      <c r="D655" s="20"/>
      <c r="E655" s="288"/>
      <c r="F655" s="289"/>
      <c r="G655" s="289"/>
      <c r="H655" s="20"/>
    </row>
    <row r="656" spans="2:8" x14ac:dyDescent="0.35">
      <c r="B656" s="20"/>
      <c r="C656" s="20"/>
      <c r="D656" s="20"/>
      <c r="E656" s="288"/>
      <c r="F656" s="289"/>
      <c r="G656" s="289"/>
      <c r="H656" s="20"/>
    </row>
    <row r="657" spans="2:8" x14ac:dyDescent="0.35">
      <c r="B657" s="20"/>
      <c r="C657" s="20"/>
      <c r="D657" s="20"/>
      <c r="E657" s="288"/>
      <c r="F657" s="289"/>
      <c r="G657" s="289"/>
      <c r="H657" s="20"/>
    </row>
    <row r="658" spans="2:8" x14ac:dyDescent="0.35">
      <c r="B658" s="20"/>
      <c r="C658" s="20"/>
      <c r="D658" s="20"/>
      <c r="E658" s="288"/>
      <c r="F658" s="289"/>
      <c r="G658" s="289"/>
      <c r="H658" s="20"/>
    </row>
    <row r="659" spans="2:8" x14ac:dyDescent="0.35">
      <c r="B659" s="20"/>
      <c r="C659" s="20"/>
      <c r="D659" s="20"/>
      <c r="E659" s="288"/>
      <c r="F659" s="289"/>
      <c r="G659" s="289"/>
      <c r="H659" s="20"/>
    </row>
    <row r="660" spans="2:8" x14ac:dyDescent="0.35">
      <c r="B660" s="20"/>
      <c r="C660" s="20"/>
      <c r="D660" s="20"/>
      <c r="E660" s="288"/>
      <c r="F660" s="289"/>
      <c r="G660" s="289"/>
      <c r="H660" s="20"/>
    </row>
    <row r="661" spans="2:8" x14ac:dyDescent="0.35">
      <c r="B661" s="20"/>
      <c r="C661" s="20"/>
      <c r="D661" s="20"/>
      <c r="E661" s="288"/>
      <c r="F661" s="289"/>
      <c r="G661" s="289"/>
      <c r="H661" s="20"/>
    </row>
    <row r="662" spans="2:8" x14ac:dyDescent="0.35">
      <c r="B662" s="20"/>
      <c r="C662" s="20"/>
      <c r="D662" s="20"/>
      <c r="E662" s="288"/>
      <c r="F662" s="289"/>
      <c r="G662" s="289"/>
      <c r="H662" s="20"/>
    </row>
    <row r="663" spans="2:8" x14ac:dyDescent="0.35">
      <c r="B663" s="20"/>
      <c r="C663" s="20"/>
      <c r="D663" s="20"/>
      <c r="E663" s="288"/>
      <c r="F663" s="289"/>
      <c r="G663" s="289"/>
      <c r="H663" s="20"/>
    </row>
    <row r="664" spans="2:8" x14ac:dyDescent="0.35">
      <c r="B664" s="20"/>
      <c r="C664" s="20"/>
      <c r="D664" s="20"/>
      <c r="E664" s="288"/>
      <c r="F664" s="289"/>
      <c r="G664" s="289"/>
      <c r="H664" s="20"/>
    </row>
    <row r="665" spans="2:8" x14ac:dyDescent="0.35">
      <c r="B665" s="20"/>
      <c r="C665" s="20"/>
      <c r="D665" s="20"/>
      <c r="E665" s="288"/>
      <c r="F665" s="289"/>
      <c r="G665" s="289"/>
      <c r="H665" s="20"/>
    </row>
    <row r="666" spans="2:8" x14ac:dyDescent="0.35">
      <c r="B666" s="20"/>
      <c r="C666" s="20"/>
      <c r="D666" s="20"/>
      <c r="E666" s="288"/>
      <c r="F666" s="289"/>
      <c r="G666" s="289"/>
      <c r="H666" s="20"/>
    </row>
    <row r="667" spans="2:8" x14ac:dyDescent="0.35">
      <c r="B667" s="20"/>
      <c r="C667" s="20"/>
      <c r="D667" s="20"/>
      <c r="E667" s="288"/>
      <c r="F667" s="289"/>
      <c r="G667" s="289"/>
      <c r="H667" s="20"/>
    </row>
    <row r="668" spans="2:8" x14ac:dyDescent="0.35">
      <c r="B668" s="20"/>
      <c r="C668" s="20"/>
      <c r="D668" s="20"/>
      <c r="E668" s="288"/>
      <c r="F668" s="289"/>
      <c r="G668" s="289"/>
      <c r="H668" s="20"/>
    </row>
    <row r="669" spans="2:8" x14ac:dyDescent="0.35">
      <c r="B669" s="20"/>
      <c r="C669" s="20"/>
      <c r="D669" s="20"/>
      <c r="E669" s="288"/>
      <c r="F669" s="289"/>
      <c r="G669" s="289"/>
      <c r="H669" s="20"/>
    </row>
    <row r="670" spans="2:8" x14ac:dyDescent="0.35">
      <c r="B670" s="20"/>
      <c r="C670" s="20"/>
      <c r="D670" s="20"/>
      <c r="E670" s="288"/>
      <c r="F670" s="289"/>
      <c r="G670" s="289"/>
      <c r="H670" s="20"/>
    </row>
    <row r="671" spans="2:8" x14ac:dyDescent="0.35">
      <c r="B671" s="20"/>
      <c r="C671" s="20"/>
      <c r="D671" s="20"/>
      <c r="E671" s="288"/>
      <c r="F671" s="289"/>
      <c r="G671" s="289"/>
      <c r="H671" s="20"/>
    </row>
    <row r="672" spans="2:8" x14ac:dyDescent="0.35">
      <c r="B672" s="20"/>
      <c r="C672" s="20"/>
      <c r="D672" s="20"/>
      <c r="E672" s="288"/>
      <c r="F672" s="289"/>
      <c r="G672" s="289"/>
      <c r="H672" s="20"/>
    </row>
    <row r="673" spans="2:8" x14ac:dyDescent="0.35">
      <c r="B673" s="20"/>
      <c r="C673" s="20"/>
      <c r="D673" s="20"/>
      <c r="E673" s="288"/>
      <c r="F673" s="289"/>
      <c r="G673" s="289"/>
      <c r="H673" s="20"/>
    </row>
    <row r="674" spans="2:8" x14ac:dyDescent="0.35">
      <c r="B674" s="20"/>
      <c r="C674" s="20"/>
      <c r="D674" s="20"/>
      <c r="E674" s="288"/>
      <c r="F674" s="289"/>
      <c r="G674" s="289"/>
      <c r="H674" s="20"/>
    </row>
    <row r="675" spans="2:8" x14ac:dyDescent="0.35">
      <c r="B675" s="20"/>
      <c r="C675" s="20"/>
      <c r="D675" s="20"/>
      <c r="E675" s="288"/>
      <c r="F675" s="289"/>
      <c r="G675" s="289"/>
      <c r="H675" s="20"/>
    </row>
    <row r="676" spans="2:8" x14ac:dyDescent="0.35">
      <c r="B676" s="20"/>
      <c r="C676" s="20"/>
      <c r="D676" s="20"/>
      <c r="E676" s="288"/>
      <c r="F676" s="289"/>
      <c r="G676" s="289"/>
      <c r="H676" s="20"/>
    </row>
    <row r="677" spans="2:8" x14ac:dyDescent="0.35">
      <c r="B677" s="20"/>
      <c r="C677" s="20"/>
      <c r="D677" s="20"/>
      <c r="E677" s="288"/>
      <c r="F677" s="289"/>
      <c r="G677" s="289"/>
      <c r="H677" s="20"/>
    </row>
    <row r="678" spans="2:8" x14ac:dyDescent="0.35">
      <c r="B678" s="20"/>
      <c r="C678" s="20"/>
      <c r="D678" s="20"/>
      <c r="E678" s="288"/>
      <c r="F678" s="289"/>
      <c r="G678" s="289"/>
      <c r="H678" s="20"/>
    </row>
    <row r="679" spans="2:8" x14ac:dyDescent="0.35">
      <c r="B679" s="20"/>
      <c r="C679" s="20"/>
      <c r="D679" s="20"/>
      <c r="E679" s="288"/>
      <c r="F679" s="289"/>
      <c r="G679" s="289"/>
      <c r="H679" s="20"/>
    </row>
    <row r="680" spans="2:8" x14ac:dyDescent="0.35">
      <c r="B680" s="20"/>
      <c r="C680" s="20"/>
      <c r="D680" s="20"/>
      <c r="E680" s="288"/>
      <c r="F680" s="289"/>
      <c r="G680" s="289"/>
      <c r="H680" s="20"/>
    </row>
    <row r="681" spans="2:8" x14ac:dyDescent="0.35">
      <c r="B681" s="20"/>
      <c r="C681" s="20"/>
      <c r="D681" s="20"/>
      <c r="E681" s="288"/>
      <c r="F681" s="289"/>
      <c r="G681" s="289"/>
      <c r="H681" s="20"/>
    </row>
    <row r="682" spans="2:8" x14ac:dyDescent="0.35">
      <c r="B682" s="20"/>
      <c r="C682" s="20"/>
      <c r="D682" s="20"/>
      <c r="E682" s="288"/>
      <c r="F682" s="289"/>
      <c r="G682" s="289"/>
      <c r="H682" s="20"/>
    </row>
    <row r="683" spans="2:8" x14ac:dyDescent="0.35">
      <c r="B683" s="20"/>
      <c r="C683" s="20"/>
      <c r="D683" s="20"/>
      <c r="E683" s="288"/>
      <c r="F683" s="289"/>
      <c r="G683" s="289"/>
      <c r="H683" s="20"/>
    </row>
    <row r="684" spans="2:8" x14ac:dyDescent="0.35">
      <c r="B684" s="20"/>
      <c r="C684" s="20"/>
      <c r="D684" s="20"/>
      <c r="E684" s="288"/>
      <c r="F684" s="289"/>
      <c r="G684" s="289"/>
      <c r="H684" s="20"/>
    </row>
    <row r="685" spans="2:8" x14ac:dyDescent="0.35">
      <c r="B685" s="20"/>
      <c r="C685" s="20"/>
      <c r="D685" s="20"/>
      <c r="E685" s="288"/>
      <c r="F685" s="289"/>
      <c r="G685" s="289"/>
      <c r="H685" s="20"/>
    </row>
    <row r="686" spans="2:8" x14ac:dyDescent="0.35">
      <c r="B686" s="20"/>
      <c r="C686" s="20"/>
      <c r="D686" s="20"/>
      <c r="E686" s="288"/>
      <c r="F686" s="289"/>
      <c r="G686" s="289"/>
      <c r="H686" s="20"/>
    </row>
    <row r="687" spans="2:8" x14ac:dyDescent="0.35">
      <c r="B687" s="20"/>
      <c r="C687" s="20"/>
      <c r="D687" s="20"/>
      <c r="E687" s="288"/>
      <c r="F687" s="289"/>
      <c r="G687" s="289"/>
      <c r="H687" s="20"/>
    </row>
    <row r="688" spans="2:8" x14ac:dyDescent="0.35">
      <c r="B688" s="20"/>
      <c r="C688" s="20"/>
      <c r="D688" s="20"/>
      <c r="E688" s="288"/>
      <c r="F688" s="289"/>
      <c r="G688" s="289"/>
      <c r="H688" s="20"/>
    </row>
    <row r="689" spans="2:8" x14ac:dyDescent="0.35">
      <c r="B689" s="20"/>
      <c r="C689" s="20"/>
      <c r="D689" s="20"/>
      <c r="E689" s="288"/>
      <c r="F689" s="289"/>
      <c r="G689" s="289"/>
      <c r="H689" s="20"/>
    </row>
    <row r="690" spans="2:8" x14ac:dyDescent="0.35">
      <c r="B690" s="20"/>
      <c r="C690" s="20"/>
      <c r="D690" s="20"/>
      <c r="E690" s="288"/>
      <c r="F690" s="289"/>
      <c r="G690" s="289"/>
      <c r="H690" s="20"/>
    </row>
    <row r="691" spans="2:8" x14ac:dyDescent="0.35">
      <c r="B691" s="20"/>
      <c r="C691" s="20"/>
      <c r="D691" s="20"/>
      <c r="E691" s="288"/>
      <c r="F691" s="289"/>
      <c r="G691" s="289"/>
      <c r="H691" s="20"/>
    </row>
    <row r="692" spans="2:8" x14ac:dyDescent="0.35">
      <c r="B692" s="20"/>
      <c r="C692" s="20"/>
      <c r="D692" s="20"/>
      <c r="E692" s="288"/>
      <c r="F692" s="289"/>
      <c r="G692" s="289"/>
      <c r="H692" s="20"/>
    </row>
    <row r="693" spans="2:8" x14ac:dyDescent="0.35">
      <c r="B693" s="20"/>
      <c r="C693" s="20"/>
      <c r="D693" s="20"/>
      <c r="E693" s="288"/>
      <c r="F693" s="289"/>
      <c r="G693" s="289"/>
      <c r="H693" s="20"/>
    </row>
    <row r="694" spans="2:8" x14ac:dyDescent="0.35">
      <c r="B694" s="20"/>
      <c r="C694" s="20"/>
      <c r="D694" s="20"/>
      <c r="E694" s="288"/>
      <c r="F694" s="289"/>
      <c r="G694" s="289"/>
      <c r="H694" s="20"/>
    </row>
    <row r="695" spans="2:8" x14ac:dyDescent="0.35">
      <c r="B695" s="20"/>
      <c r="C695" s="20"/>
      <c r="D695" s="20"/>
      <c r="E695" s="288"/>
      <c r="F695" s="289"/>
      <c r="G695" s="289"/>
      <c r="H695" s="20"/>
    </row>
    <row r="696" spans="2:8" x14ac:dyDescent="0.35">
      <c r="B696" s="20"/>
      <c r="C696" s="20"/>
      <c r="D696" s="20"/>
      <c r="E696" s="288"/>
      <c r="F696" s="289"/>
      <c r="G696" s="289"/>
      <c r="H696" s="20"/>
    </row>
    <row r="697" spans="2:8" x14ac:dyDescent="0.35">
      <c r="B697" s="20"/>
      <c r="C697" s="20"/>
      <c r="D697" s="20"/>
      <c r="E697" s="288"/>
      <c r="F697" s="289"/>
      <c r="G697" s="289"/>
      <c r="H697" s="20"/>
    </row>
    <row r="698" spans="2:8" x14ac:dyDescent="0.35">
      <c r="B698" s="20"/>
      <c r="C698" s="20"/>
      <c r="D698" s="20"/>
      <c r="E698" s="288"/>
      <c r="F698" s="289"/>
      <c r="G698" s="289"/>
      <c r="H698" s="20"/>
    </row>
    <row r="699" spans="2:8" x14ac:dyDescent="0.35">
      <c r="B699" s="20"/>
      <c r="C699" s="20"/>
      <c r="D699" s="20"/>
      <c r="E699" s="288"/>
      <c r="F699" s="289"/>
      <c r="G699" s="289"/>
      <c r="H699" s="20"/>
    </row>
    <row r="700" spans="2:8" x14ac:dyDescent="0.35">
      <c r="B700" s="20"/>
      <c r="C700" s="20"/>
      <c r="D700" s="20"/>
      <c r="E700" s="288"/>
      <c r="F700" s="289"/>
      <c r="G700" s="289"/>
      <c r="H700" s="20"/>
    </row>
    <row r="701" spans="2:8" x14ac:dyDescent="0.35">
      <c r="B701" s="20"/>
      <c r="C701" s="20"/>
      <c r="D701" s="20"/>
      <c r="E701" s="288"/>
      <c r="F701" s="289"/>
      <c r="G701" s="289"/>
      <c r="H701" s="20"/>
    </row>
    <row r="702" spans="2:8" x14ac:dyDescent="0.35">
      <c r="B702" s="20"/>
      <c r="C702" s="20"/>
      <c r="D702" s="20"/>
      <c r="E702" s="288"/>
      <c r="F702" s="289"/>
      <c r="G702" s="289"/>
      <c r="H702" s="20"/>
    </row>
    <row r="703" spans="2:8" x14ac:dyDescent="0.35">
      <c r="B703" s="20"/>
      <c r="C703" s="20"/>
      <c r="D703" s="20"/>
      <c r="E703" s="288"/>
      <c r="F703" s="289"/>
      <c r="G703" s="289"/>
      <c r="H703" s="20"/>
    </row>
    <row r="704" spans="2:8" x14ac:dyDescent="0.35">
      <c r="B704" s="20"/>
      <c r="C704" s="20"/>
      <c r="D704" s="20"/>
      <c r="E704" s="288"/>
      <c r="F704" s="289"/>
      <c r="G704" s="289"/>
      <c r="H704" s="20"/>
    </row>
    <row r="705" spans="2:8" x14ac:dyDescent="0.35">
      <c r="B705" s="20"/>
      <c r="C705" s="20"/>
      <c r="D705" s="20"/>
      <c r="E705" s="288"/>
      <c r="F705" s="289"/>
      <c r="G705" s="289"/>
      <c r="H705" s="20"/>
    </row>
    <row r="706" spans="2:8" x14ac:dyDescent="0.35">
      <c r="B706" s="20"/>
      <c r="C706" s="20"/>
      <c r="D706" s="20"/>
      <c r="E706" s="288"/>
      <c r="F706" s="289"/>
      <c r="G706" s="289"/>
      <c r="H706" s="20"/>
    </row>
    <row r="707" spans="2:8" x14ac:dyDescent="0.35">
      <c r="B707" s="20"/>
      <c r="C707" s="20"/>
      <c r="D707" s="20"/>
      <c r="E707" s="288"/>
      <c r="F707" s="289"/>
      <c r="G707" s="289"/>
      <c r="H707" s="20"/>
    </row>
    <row r="708" spans="2:8" x14ac:dyDescent="0.35">
      <c r="B708" s="20"/>
      <c r="C708" s="20"/>
      <c r="D708" s="20"/>
      <c r="E708" s="288"/>
      <c r="F708" s="289"/>
      <c r="G708" s="289"/>
      <c r="H708" s="20"/>
    </row>
    <row r="709" spans="2:8" x14ac:dyDescent="0.35">
      <c r="B709" s="20"/>
      <c r="C709" s="20"/>
      <c r="D709" s="20"/>
      <c r="E709" s="288"/>
      <c r="F709" s="289"/>
      <c r="G709" s="289"/>
      <c r="H709" s="20"/>
    </row>
    <row r="710" spans="2:8" x14ac:dyDescent="0.35">
      <c r="B710" s="20"/>
      <c r="C710" s="20"/>
      <c r="D710" s="20"/>
      <c r="E710" s="288"/>
      <c r="F710" s="289"/>
      <c r="G710" s="289"/>
      <c r="H710" s="20"/>
    </row>
    <row r="711" spans="2:8" x14ac:dyDescent="0.35">
      <c r="B711" s="20"/>
      <c r="C711" s="20"/>
      <c r="D711" s="20"/>
      <c r="E711" s="288"/>
      <c r="F711" s="289"/>
      <c r="G711" s="289"/>
      <c r="H711" s="20"/>
    </row>
    <row r="712" spans="2:8" x14ac:dyDescent="0.35">
      <c r="B712" s="20"/>
      <c r="C712" s="20"/>
      <c r="D712" s="20"/>
      <c r="E712" s="288"/>
      <c r="F712" s="289"/>
      <c r="G712" s="289"/>
      <c r="H712" s="20"/>
    </row>
    <row r="713" spans="2:8" x14ac:dyDescent="0.35">
      <c r="B713" s="20"/>
      <c r="C713" s="20"/>
      <c r="D713" s="20"/>
      <c r="E713" s="288"/>
      <c r="F713" s="289"/>
      <c r="G713" s="289"/>
      <c r="H713" s="20"/>
    </row>
    <row r="714" spans="2:8" x14ac:dyDescent="0.35">
      <c r="B714" s="20"/>
      <c r="C714" s="20"/>
      <c r="D714" s="20"/>
      <c r="E714" s="288"/>
      <c r="F714" s="289"/>
      <c r="G714" s="289"/>
      <c r="H714" s="20"/>
    </row>
    <row r="715" spans="2:8" x14ac:dyDescent="0.35">
      <c r="B715" s="20"/>
      <c r="C715" s="20"/>
      <c r="D715" s="20"/>
      <c r="E715" s="288"/>
      <c r="F715" s="289"/>
      <c r="G715" s="289"/>
      <c r="H715" s="20"/>
    </row>
    <row r="716" spans="2:8" x14ac:dyDescent="0.35">
      <c r="B716" s="20"/>
      <c r="C716" s="20"/>
      <c r="D716" s="20"/>
      <c r="E716" s="288"/>
      <c r="F716" s="289"/>
      <c r="G716" s="289"/>
      <c r="H716" s="20"/>
    </row>
    <row r="717" spans="2:8" x14ac:dyDescent="0.35">
      <c r="B717" s="20"/>
      <c r="C717" s="20"/>
      <c r="D717" s="20"/>
      <c r="E717" s="288"/>
      <c r="F717" s="289"/>
      <c r="G717" s="289"/>
      <c r="H717" s="20"/>
    </row>
    <row r="718" spans="2:8" x14ac:dyDescent="0.35">
      <c r="B718" s="20"/>
      <c r="C718" s="20"/>
      <c r="D718" s="20"/>
      <c r="E718" s="288"/>
      <c r="F718" s="289"/>
      <c r="G718" s="289"/>
      <c r="H718" s="20"/>
    </row>
    <row r="719" spans="2:8" x14ac:dyDescent="0.35">
      <c r="B719" s="20"/>
      <c r="C719" s="20"/>
      <c r="D719" s="20"/>
      <c r="E719" s="288"/>
      <c r="F719" s="289"/>
      <c r="G719" s="289"/>
      <c r="H719" s="20"/>
    </row>
    <row r="720" spans="2:8" x14ac:dyDescent="0.35">
      <c r="B720" s="20"/>
      <c r="C720" s="20"/>
      <c r="D720" s="20"/>
      <c r="E720" s="288"/>
      <c r="F720" s="289"/>
      <c r="G720" s="289"/>
      <c r="H720" s="20"/>
    </row>
    <row r="721" spans="2:8" x14ac:dyDescent="0.35">
      <c r="B721" s="20"/>
      <c r="C721" s="20"/>
      <c r="D721" s="20"/>
      <c r="E721" s="288"/>
      <c r="F721" s="289"/>
      <c r="G721" s="289"/>
      <c r="H721" s="20"/>
    </row>
    <row r="722" spans="2:8" x14ac:dyDescent="0.35">
      <c r="B722" s="20"/>
      <c r="C722" s="20"/>
      <c r="D722" s="20"/>
      <c r="E722" s="288"/>
      <c r="F722" s="289"/>
      <c r="G722" s="289"/>
      <c r="H722" s="20"/>
    </row>
    <row r="723" spans="2:8" x14ac:dyDescent="0.35">
      <c r="B723" s="20"/>
      <c r="C723" s="20"/>
      <c r="D723" s="20"/>
      <c r="E723" s="288"/>
      <c r="F723" s="289"/>
      <c r="G723" s="289"/>
      <c r="H723" s="20"/>
    </row>
    <row r="724" spans="2:8" x14ac:dyDescent="0.35">
      <c r="B724" s="20"/>
      <c r="C724" s="20"/>
      <c r="D724" s="20"/>
      <c r="E724" s="288"/>
      <c r="F724" s="289"/>
      <c r="G724" s="289"/>
      <c r="H724" s="20"/>
    </row>
    <row r="725" spans="2:8" x14ac:dyDescent="0.35">
      <c r="B725" s="20"/>
      <c r="C725" s="20"/>
      <c r="D725" s="20"/>
      <c r="E725" s="288"/>
      <c r="F725" s="289"/>
      <c r="G725" s="289"/>
      <c r="H725" s="20"/>
    </row>
    <row r="726" spans="2:8" x14ac:dyDescent="0.35">
      <c r="B726" s="20"/>
      <c r="C726" s="20"/>
      <c r="D726" s="20"/>
      <c r="E726" s="288"/>
      <c r="F726" s="289"/>
      <c r="G726" s="289"/>
      <c r="H726" s="20"/>
    </row>
    <row r="727" spans="2:8" x14ac:dyDescent="0.35">
      <c r="B727" s="20"/>
      <c r="C727" s="20"/>
      <c r="D727" s="20"/>
      <c r="E727" s="288"/>
      <c r="F727" s="289"/>
      <c r="G727" s="289"/>
      <c r="H727" s="20"/>
    </row>
    <row r="728" spans="2:8" x14ac:dyDescent="0.35">
      <c r="B728" s="20"/>
      <c r="C728" s="20"/>
      <c r="D728" s="20"/>
      <c r="E728" s="288"/>
      <c r="F728" s="289"/>
      <c r="G728" s="289"/>
      <c r="H728" s="20"/>
    </row>
    <row r="729" spans="2:8" x14ac:dyDescent="0.35">
      <c r="B729" s="20"/>
      <c r="C729" s="20"/>
      <c r="D729" s="20"/>
      <c r="E729" s="288"/>
      <c r="F729" s="289"/>
      <c r="G729" s="289"/>
      <c r="H729" s="20"/>
    </row>
    <row r="730" spans="2:8" x14ac:dyDescent="0.35">
      <c r="B730" s="20"/>
      <c r="C730" s="20"/>
      <c r="D730" s="20"/>
      <c r="E730" s="288"/>
      <c r="F730" s="289"/>
      <c r="G730" s="289"/>
      <c r="H730" s="20"/>
    </row>
    <row r="731" spans="2:8" x14ac:dyDescent="0.35">
      <c r="B731" s="20"/>
      <c r="C731" s="20"/>
      <c r="D731" s="20"/>
      <c r="E731" s="288"/>
      <c r="F731" s="289"/>
      <c r="G731" s="289"/>
      <c r="H731" s="20"/>
    </row>
    <row r="732" spans="2:8" x14ac:dyDescent="0.35">
      <c r="B732" s="20"/>
      <c r="C732" s="20"/>
      <c r="D732" s="20"/>
      <c r="E732" s="288"/>
      <c r="F732" s="289"/>
      <c r="G732" s="289"/>
      <c r="H732" s="20"/>
    </row>
    <row r="733" spans="2:8" x14ac:dyDescent="0.35">
      <c r="B733" s="20"/>
      <c r="C733" s="20"/>
      <c r="D733" s="20"/>
      <c r="E733" s="288"/>
      <c r="F733" s="289"/>
      <c r="G733" s="289"/>
      <c r="H733" s="20"/>
    </row>
    <row r="734" spans="2:8" x14ac:dyDescent="0.35">
      <c r="B734" s="20"/>
      <c r="C734" s="20"/>
      <c r="D734" s="20"/>
      <c r="E734" s="288"/>
      <c r="F734" s="289"/>
      <c r="G734" s="289"/>
      <c r="H734" s="20"/>
    </row>
    <row r="735" spans="2:8" x14ac:dyDescent="0.35">
      <c r="B735" s="20"/>
      <c r="C735" s="20"/>
      <c r="D735" s="20"/>
      <c r="E735" s="288"/>
      <c r="F735" s="289"/>
      <c r="G735" s="289"/>
      <c r="H735" s="20"/>
    </row>
    <row r="736" spans="2:8" x14ac:dyDescent="0.35">
      <c r="B736" s="20"/>
      <c r="C736" s="20"/>
      <c r="D736" s="20"/>
      <c r="E736" s="288"/>
      <c r="F736" s="289"/>
      <c r="G736" s="289"/>
      <c r="H736" s="20"/>
    </row>
    <row r="737" spans="2:8" x14ac:dyDescent="0.35">
      <c r="B737" s="20"/>
      <c r="C737" s="20"/>
      <c r="D737" s="20"/>
      <c r="E737" s="288"/>
      <c r="F737" s="289"/>
      <c r="G737" s="289"/>
      <c r="H737" s="20"/>
    </row>
    <row r="738" spans="2:8" x14ac:dyDescent="0.35">
      <c r="B738" s="20"/>
      <c r="C738" s="20"/>
      <c r="D738" s="20"/>
      <c r="E738" s="288"/>
      <c r="F738" s="289"/>
      <c r="G738" s="289"/>
      <c r="H738" s="20"/>
    </row>
    <row r="739" spans="2:8" x14ac:dyDescent="0.35">
      <c r="B739" s="20"/>
      <c r="C739" s="20"/>
      <c r="D739" s="20"/>
      <c r="E739" s="288"/>
      <c r="F739" s="289"/>
      <c r="G739" s="289"/>
      <c r="H739" s="20"/>
    </row>
    <row r="740" spans="2:8" x14ac:dyDescent="0.35">
      <c r="B740" s="20"/>
      <c r="C740" s="20"/>
      <c r="D740" s="20"/>
      <c r="E740" s="288"/>
      <c r="F740" s="289"/>
      <c r="G740" s="289"/>
      <c r="H740" s="20"/>
    </row>
    <row r="741" spans="2:8" x14ac:dyDescent="0.35">
      <c r="B741" s="20"/>
      <c r="C741" s="20"/>
      <c r="D741" s="20"/>
      <c r="E741" s="288"/>
      <c r="F741" s="289"/>
      <c r="G741" s="289"/>
      <c r="H741" s="20"/>
    </row>
    <row r="742" spans="2:8" x14ac:dyDescent="0.35">
      <c r="B742" s="20"/>
      <c r="C742" s="20"/>
      <c r="D742" s="20"/>
      <c r="E742" s="288"/>
      <c r="F742" s="289"/>
      <c r="G742" s="289"/>
      <c r="H742" s="20"/>
    </row>
    <row r="743" spans="2:8" x14ac:dyDescent="0.35">
      <c r="B743" s="20"/>
      <c r="C743" s="20"/>
      <c r="D743" s="20"/>
      <c r="E743" s="288"/>
      <c r="F743" s="289"/>
      <c r="G743" s="289"/>
      <c r="H743" s="20"/>
    </row>
    <row r="744" spans="2:8" x14ac:dyDescent="0.35">
      <c r="B744" s="20"/>
      <c r="C744" s="20"/>
      <c r="D744" s="20"/>
      <c r="E744" s="288"/>
      <c r="F744" s="289"/>
      <c r="G744" s="289"/>
      <c r="H744" s="20"/>
    </row>
    <row r="745" spans="2:8" x14ac:dyDescent="0.35">
      <c r="B745" s="20"/>
      <c r="C745" s="20"/>
      <c r="D745" s="20"/>
      <c r="E745" s="288"/>
      <c r="F745" s="289"/>
      <c r="G745" s="289"/>
      <c r="H745" s="20"/>
    </row>
    <row r="746" spans="2:8" x14ac:dyDescent="0.35">
      <c r="B746" s="20"/>
      <c r="C746" s="20"/>
      <c r="D746" s="20"/>
      <c r="E746" s="288"/>
      <c r="F746" s="289"/>
      <c r="G746" s="289"/>
      <c r="H746" s="20"/>
    </row>
    <row r="747" spans="2:8" x14ac:dyDescent="0.35">
      <c r="B747" s="20"/>
      <c r="C747" s="20"/>
      <c r="D747" s="20"/>
      <c r="E747" s="288"/>
      <c r="F747" s="289"/>
      <c r="G747" s="289"/>
      <c r="H747" s="20"/>
    </row>
    <row r="748" spans="2:8" x14ac:dyDescent="0.35">
      <c r="B748" s="20"/>
      <c r="C748" s="20"/>
      <c r="D748" s="20"/>
      <c r="E748" s="288"/>
      <c r="F748" s="289"/>
      <c r="G748" s="289"/>
      <c r="H748" s="20"/>
    </row>
    <row r="749" spans="2:8" x14ac:dyDescent="0.35">
      <c r="B749" s="20"/>
      <c r="C749" s="20"/>
      <c r="D749" s="20"/>
      <c r="E749" s="288"/>
      <c r="F749" s="289"/>
      <c r="G749" s="289"/>
      <c r="H749" s="20"/>
    </row>
    <row r="750" spans="2:8" x14ac:dyDescent="0.35">
      <c r="B750" s="20"/>
      <c r="C750" s="20"/>
      <c r="D750" s="20"/>
      <c r="E750" s="288"/>
      <c r="F750" s="289"/>
      <c r="G750" s="289"/>
      <c r="H750" s="20"/>
    </row>
    <row r="751" spans="2:8" x14ac:dyDescent="0.35">
      <c r="B751" s="20"/>
      <c r="C751" s="20"/>
      <c r="D751" s="20"/>
      <c r="E751" s="288"/>
      <c r="F751" s="289"/>
      <c r="G751" s="289"/>
      <c r="H751" s="20"/>
    </row>
    <row r="752" spans="2:8" x14ac:dyDescent="0.35">
      <c r="B752" s="20"/>
      <c r="C752" s="20"/>
      <c r="D752" s="20"/>
      <c r="E752" s="288"/>
      <c r="F752" s="289"/>
      <c r="G752" s="289"/>
      <c r="H752" s="20"/>
    </row>
    <row r="753" spans="2:8" x14ac:dyDescent="0.35">
      <c r="B753" s="20"/>
      <c r="C753" s="20"/>
      <c r="D753" s="20"/>
      <c r="E753" s="288"/>
      <c r="F753" s="289"/>
      <c r="G753" s="289"/>
      <c r="H753" s="20"/>
    </row>
    <row r="754" spans="2:8" x14ac:dyDescent="0.35">
      <c r="B754" s="20"/>
      <c r="C754" s="20"/>
      <c r="D754" s="20"/>
      <c r="E754" s="288"/>
      <c r="F754" s="289"/>
      <c r="G754" s="289"/>
      <c r="H754" s="20"/>
    </row>
    <row r="755" spans="2:8" x14ac:dyDescent="0.35">
      <c r="B755" s="20"/>
      <c r="C755" s="20"/>
      <c r="D755" s="20"/>
      <c r="E755" s="288"/>
      <c r="F755" s="289"/>
      <c r="G755" s="289"/>
      <c r="H755" s="20"/>
    </row>
    <row r="756" spans="2:8" x14ac:dyDescent="0.35">
      <c r="B756" s="20"/>
      <c r="C756" s="20"/>
      <c r="D756" s="20"/>
      <c r="E756" s="288"/>
      <c r="F756" s="289"/>
      <c r="G756" s="289"/>
      <c r="H756" s="20"/>
    </row>
    <row r="757" spans="2:8" x14ac:dyDescent="0.35">
      <c r="B757" s="20"/>
      <c r="C757" s="20"/>
      <c r="D757" s="20"/>
      <c r="E757" s="288"/>
      <c r="F757" s="289"/>
      <c r="G757" s="289"/>
      <c r="H757" s="20"/>
    </row>
    <row r="758" spans="2:8" x14ac:dyDescent="0.35">
      <c r="B758" s="20"/>
      <c r="C758" s="20"/>
      <c r="D758" s="20"/>
      <c r="E758" s="288"/>
      <c r="F758" s="289"/>
      <c r="G758" s="289"/>
      <c r="H758" s="20"/>
    </row>
    <row r="759" spans="2:8" x14ac:dyDescent="0.35">
      <c r="B759" s="20"/>
      <c r="C759" s="20"/>
      <c r="D759" s="20"/>
      <c r="E759" s="288"/>
      <c r="F759" s="289"/>
      <c r="G759" s="289"/>
      <c r="H759" s="20"/>
    </row>
    <row r="760" spans="2:8" x14ac:dyDescent="0.35">
      <c r="B760" s="20"/>
      <c r="C760" s="20"/>
      <c r="D760" s="20"/>
      <c r="E760" s="288"/>
      <c r="F760" s="289"/>
      <c r="G760" s="289"/>
      <c r="H760" s="20"/>
    </row>
    <row r="761" spans="2:8" x14ac:dyDescent="0.35">
      <c r="B761" s="20"/>
      <c r="C761" s="20"/>
      <c r="D761" s="20"/>
      <c r="E761" s="288"/>
      <c r="F761" s="289"/>
      <c r="G761" s="289"/>
      <c r="H761" s="20"/>
    </row>
    <row r="762" spans="2:8" x14ac:dyDescent="0.35">
      <c r="B762" s="20"/>
      <c r="C762" s="20"/>
      <c r="D762" s="20"/>
      <c r="E762" s="288"/>
      <c r="F762" s="289"/>
      <c r="G762" s="289"/>
      <c r="H762" s="20"/>
    </row>
    <row r="763" spans="2:8" x14ac:dyDescent="0.35">
      <c r="B763" s="20"/>
      <c r="C763" s="20"/>
      <c r="D763" s="20"/>
      <c r="E763" s="288"/>
      <c r="F763" s="289"/>
      <c r="G763" s="289"/>
      <c r="H763" s="20"/>
    </row>
    <row r="764" spans="2:8" x14ac:dyDescent="0.35">
      <c r="B764" s="20"/>
      <c r="C764" s="20"/>
      <c r="D764" s="20"/>
      <c r="E764" s="288"/>
      <c r="F764" s="289"/>
      <c r="G764" s="289"/>
      <c r="H764" s="20"/>
    </row>
    <row r="765" spans="2:8" x14ac:dyDescent="0.35">
      <c r="B765" s="20"/>
      <c r="C765" s="20"/>
      <c r="D765" s="20"/>
      <c r="E765" s="288"/>
      <c r="F765" s="289"/>
      <c r="G765" s="289"/>
      <c r="H765" s="20"/>
    </row>
    <row r="766" spans="2:8" x14ac:dyDescent="0.35">
      <c r="B766" s="20"/>
      <c r="C766" s="20"/>
      <c r="D766" s="20"/>
      <c r="E766" s="288"/>
      <c r="F766" s="289"/>
      <c r="G766" s="289"/>
      <c r="H766" s="20"/>
    </row>
    <row r="767" spans="2:8" x14ac:dyDescent="0.35">
      <c r="B767" s="20"/>
      <c r="C767" s="20"/>
      <c r="D767" s="20"/>
      <c r="E767" s="288"/>
      <c r="F767" s="289"/>
      <c r="G767" s="289"/>
      <c r="H767" s="20"/>
    </row>
    <row r="768" spans="2:8" x14ac:dyDescent="0.35">
      <c r="B768" s="20"/>
      <c r="C768" s="20"/>
      <c r="D768" s="20"/>
      <c r="E768" s="288"/>
      <c r="F768" s="289"/>
      <c r="G768" s="289"/>
      <c r="H768" s="20"/>
    </row>
    <row r="769" spans="2:8" x14ac:dyDescent="0.35">
      <c r="B769" s="20"/>
      <c r="C769" s="20"/>
      <c r="D769" s="20"/>
      <c r="E769" s="288"/>
      <c r="F769" s="289"/>
      <c r="G769" s="289"/>
      <c r="H769" s="20"/>
    </row>
    <row r="770" spans="2:8" x14ac:dyDescent="0.35">
      <c r="B770" s="20"/>
      <c r="C770" s="20"/>
      <c r="D770" s="20"/>
      <c r="E770" s="288"/>
      <c r="F770" s="289"/>
      <c r="G770" s="289"/>
      <c r="H770" s="20"/>
    </row>
    <row r="771" spans="2:8" x14ac:dyDescent="0.35">
      <c r="B771" s="20"/>
      <c r="C771" s="20"/>
      <c r="D771" s="20"/>
      <c r="E771" s="288"/>
      <c r="F771" s="289"/>
      <c r="G771" s="289"/>
      <c r="H771" s="20"/>
    </row>
    <row r="772" spans="2:8" x14ac:dyDescent="0.35">
      <c r="B772" s="20"/>
      <c r="C772" s="20"/>
      <c r="D772" s="20"/>
      <c r="E772" s="288"/>
      <c r="F772" s="289"/>
      <c r="G772" s="289"/>
      <c r="H772" s="20"/>
    </row>
    <row r="773" spans="2:8" x14ac:dyDescent="0.35">
      <c r="B773" s="20"/>
      <c r="C773" s="20"/>
      <c r="D773" s="20"/>
      <c r="E773" s="288"/>
      <c r="F773" s="289"/>
      <c r="G773" s="289"/>
      <c r="H773" s="20"/>
    </row>
    <row r="774" spans="2:8" x14ac:dyDescent="0.35">
      <c r="B774" s="20"/>
      <c r="C774" s="20"/>
      <c r="D774" s="20"/>
      <c r="E774" s="288"/>
      <c r="F774" s="289"/>
      <c r="G774" s="289"/>
      <c r="H774" s="20"/>
    </row>
    <row r="775" spans="2:8" x14ac:dyDescent="0.35">
      <c r="B775" s="20"/>
      <c r="C775" s="20"/>
      <c r="D775" s="20"/>
      <c r="E775" s="288"/>
      <c r="F775" s="289"/>
      <c r="G775" s="289"/>
      <c r="H775" s="20"/>
    </row>
    <row r="776" spans="2:8" x14ac:dyDescent="0.35">
      <c r="B776" s="20"/>
      <c r="C776" s="20"/>
      <c r="D776" s="20"/>
      <c r="E776" s="288"/>
      <c r="F776" s="289"/>
      <c r="G776" s="289"/>
      <c r="H776" s="20"/>
    </row>
    <row r="777" spans="2:8" x14ac:dyDescent="0.35">
      <c r="B777" s="20"/>
      <c r="C777" s="20"/>
      <c r="D777" s="20"/>
      <c r="E777" s="288"/>
      <c r="F777" s="289"/>
      <c r="G777" s="289"/>
      <c r="H777" s="20"/>
    </row>
    <row r="778" spans="2:8" x14ac:dyDescent="0.35">
      <c r="B778" s="20"/>
      <c r="C778" s="20"/>
      <c r="D778" s="20"/>
      <c r="E778" s="288"/>
      <c r="F778" s="289"/>
      <c r="G778" s="289"/>
      <c r="H778" s="20"/>
    </row>
    <row r="779" spans="2:8" x14ac:dyDescent="0.35">
      <c r="B779" s="20"/>
      <c r="C779" s="20"/>
      <c r="D779" s="20"/>
      <c r="E779" s="288"/>
      <c r="F779" s="289"/>
      <c r="G779" s="289"/>
      <c r="H779" s="20"/>
    </row>
    <row r="780" spans="2:8" x14ac:dyDescent="0.35">
      <c r="B780" s="20"/>
      <c r="C780" s="20"/>
      <c r="D780" s="20"/>
      <c r="E780" s="288"/>
      <c r="F780" s="289"/>
      <c r="G780" s="289"/>
      <c r="H780" s="20"/>
    </row>
    <row r="781" spans="2:8" x14ac:dyDescent="0.35">
      <c r="B781" s="20"/>
      <c r="C781" s="20"/>
      <c r="D781" s="20"/>
      <c r="E781" s="288"/>
      <c r="F781" s="289"/>
      <c r="G781" s="289"/>
      <c r="H781" s="20"/>
    </row>
    <row r="782" spans="2:8" x14ac:dyDescent="0.35">
      <c r="B782" s="20"/>
      <c r="C782" s="20"/>
      <c r="D782" s="20"/>
      <c r="E782" s="288"/>
      <c r="F782" s="289"/>
      <c r="G782" s="289"/>
      <c r="H782" s="20"/>
    </row>
    <row r="783" spans="2:8" x14ac:dyDescent="0.35">
      <c r="B783" s="20"/>
      <c r="C783" s="20"/>
      <c r="D783" s="20"/>
      <c r="E783" s="288"/>
      <c r="F783" s="289"/>
      <c r="G783" s="289"/>
      <c r="H783" s="20"/>
    </row>
    <row r="784" spans="2:8" x14ac:dyDescent="0.35">
      <c r="B784" s="20"/>
      <c r="C784" s="20"/>
      <c r="D784" s="20"/>
      <c r="E784" s="288"/>
      <c r="F784" s="289"/>
      <c r="G784" s="289"/>
      <c r="H784" s="20"/>
    </row>
    <row r="785" spans="2:8" x14ac:dyDescent="0.35">
      <c r="B785" s="20"/>
      <c r="C785" s="20"/>
      <c r="D785" s="20"/>
      <c r="E785" s="288"/>
      <c r="F785" s="289"/>
      <c r="G785" s="289"/>
      <c r="H785" s="20"/>
    </row>
    <row r="786" spans="2:8" x14ac:dyDescent="0.35">
      <c r="B786" s="20"/>
      <c r="C786" s="20"/>
      <c r="D786" s="20"/>
      <c r="E786" s="288"/>
      <c r="F786" s="289"/>
      <c r="G786" s="289"/>
      <c r="H786" s="20"/>
    </row>
    <row r="787" spans="2:8" x14ac:dyDescent="0.35">
      <c r="B787" s="20"/>
      <c r="C787" s="20"/>
      <c r="D787" s="20"/>
      <c r="E787" s="288"/>
      <c r="F787" s="289"/>
      <c r="G787" s="289"/>
      <c r="H787" s="20"/>
    </row>
    <row r="788" spans="2:8" x14ac:dyDescent="0.35">
      <c r="B788" s="20"/>
      <c r="C788" s="20"/>
      <c r="D788" s="20"/>
      <c r="E788" s="288"/>
      <c r="F788" s="289"/>
      <c r="G788" s="289"/>
      <c r="H788" s="20"/>
    </row>
    <row r="789" spans="2:8" x14ac:dyDescent="0.35">
      <c r="B789" s="20"/>
      <c r="C789" s="20"/>
      <c r="D789" s="20"/>
      <c r="E789" s="288"/>
      <c r="F789" s="289"/>
      <c r="G789" s="289"/>
      <c r="H789" s="20"/>
    </row>
    <row r="790" spans="2:8" x14ac:dyDescent="0.35">
      <c r="B790" s="20"/>
      <c r="C790" s="20"/>
      <c r="D790" s="20"/>
      <c r="E790" s="288"/>
      <c r="F790" s="289"/>
      <c r="G790" s="289"/>
      <c r="H790" s="20"/>
    </row>
    <row r="791" spans="2:8" x14ac:dyDescent="0.35">
      <c r="B791" s="20"/>
      <c r="C791" s="20"/>
      <c r="D791" s="20"/>
      <c r="E791" s="288"/>
      <c r="F791" s="289"/>
      <c r="G791" s="289"/>
      <c r="H791" s="20"/>
    </row>
    <row r="792" spans="2:8" x14ac:dyDescent="0.35">
      <c r="B792" s="20"/>
      <c r="C792" s="20"/>
      <c r="D792" s="20"/>
      <c r="E792" s="288"/>
      <c r="F792" s="289"/>
      <c r="G792" s="289"/>
      <c r="H792" s="20"/>
    </row>
    <row r="793" spans="2:8" x14ac:dyDescent="0.35">
      <c r="B793" s="20"/>
      <c r="C793" s="20"/>
      <c r="D793" s="20"/>
      <c r="E793" s="288"/>
      <c r="F793" s="289"/>
      <c r="G793" s="289"/>
      <c r="H793" s="20"/>
    </row>
    <row r="794" spans="2:8" x14ac:dyDescent="0.35">
      <c r="B794" s="20"/>
      <c r="C794" s="20"/>
      <c r="D794" s="20"/>
      <c r="E794" s="288"/>
      <c r="F794" s="289"/>
      <c r="G794" s="289"/>
      <c r="H794" s="20"/>
    </row>
    <row r="795" spans="2:8" x14ac:dyDescent="0.35">
      <c r="B795" s="20"/>
      <c r="C795" s="20"/>
      <c r="D795" s="20"/>
      <c r="E795" s="288"/>
      <c r="F795" s="289"/>
      <c r="G795" s="289"/>
      <c r="H795" s="20"/>
    </row>
    <row r="796" spans="2:8" x14ac:dyDescent="0.35">
      <c r="B796" s="20"/>
      <c r="C796" s="20"/>
      <c r="D796" s="20"/>
      <c r="E796" s="288"/>
      <c r="F796" s="289"/>
      <c r="G796" s="289"/>
      <c r="H796" s="20"/>
    </row>
    <row r="797" spans="2:8" x14ac:dyDescent="0.35">
      <c r="B797" s="20"/>
      <c r="C797" s="20"/>
      <c r="D797" s="20"/>
      <c r="E797" s="288"/>
      <c r="F797" s="289"/>
      <c r="G797" s="289"/>
      <c r="H797" s="20"/>
    </row>
    <row r="798" spans="2:8" x14ac:dyDescent="0.35">
      <c r="B798" s="20"/>
      <c r="C798" s="20"/>
      <c r="D798" s="20"/>
      <c r="E798" s="288"/>
      <c r="F798" s="289"/>
      <c r="G798" s="289"/>
      <c r="H798" s="20"/>
    </row>
    <row r="799" spans="2:8" x14ac:dyDescent="0.35">
      <c r="B799" s="20"/>
      <c r="C799" s="20"/>
      <c r="D799" s="20"/>
      <c r="E799" s="288"/>
      <c r="F799" s="289"/>
      <c r="G799" s="289"/>
      <c r="H799" s="20"/>
    </row>
    <row r="800" spans="2:8" x14ac:dyDescent="0.35">
      <c r="B800" s="20"/>
      <c r="C800" s="20"/>
      <c r="D800" s="20"/>
      <c r="E800" s="288"/>
      <c r="F800" s="289"/>
      <c r="G800" s="289"/>
      <c r="H800" s="20"/>
    </row>
    <row r="801" spans="2:8" x14ac:dyDescent="0.35">
      <c r="B801" s="20"/>
      <c r="C801" s="20"/>
      <c r="D801" s="20"/>
      <c r="E801" s="288"/>
      <c r="F801" s="289"/>
      <c r="G801" s="289"/>
      <c r="H801" s="20"/>
    </row>
    <row r="802" spans="2:8" x14ac:dyDescent="0.35">
      <c r="B802" s="20"/>
      <c r="C802" s="20"/>
      <c r="D802" s="20"/>
      <c r="E802" s="288"/>
      <c r="F802" s="289"/>
      <c r="G802" s="289"/>
      <c r="H802" s="20"/>
    </row>
    <row r="803" spans="2:8" x14ac:dyDescent="0.35">
      <c r="B803" s="20"/>
      <c r="C803" s="20"/>
      <c r="D803" s="20"/>
      <c r="E803" s="288"/>
      <c r="F803" s="289"/>
      <c r="G803" s="289"/>
      <c r="H803" s="20"/>
    </row>
    <row r="804" spans="2:8" x14ac:dyDescent="0.35">
      <c r="B804" s="20"/>
      <c r="C804" s="20"/>
      <c r="D804" s="20"/>
      <c r="E804" s="288"/>
      <c r="F804" s="289"/>
      <c r="G804" s="289"/>
      <c r="H804" s="20"/>
    </row>
    <row r="805" spans="2:8" x14ac:dyDescent="0.35">
      <c r="B805" s="20"/>
      <c r="C805" s="20"/>
      <c r="D805" s="20"/>
      <c r="E805" s="288"/>
      <c r="F805" s="289"/>
      <c r="G805" s="289"/>
      <c r="H805" s="20"/>
    </row>
    <row r="806" spans="2:8" x14ac:dyDescent="0.35">
      <c r="B806" s="20"/>
      <c r="C806" s="20"/>
      <c r="D806" s="20"/>
      <c r="E806" s="288"/>
      <c r="F806" s="289"/>
      <c r="G806" s="289"/>
      <c r="H806" s="20"/>
    </row>
    <row r="807" spans="2:8" x14ac:dyDescent="0.35">
      <c r="B807" s="20"/>
      <c r="C807" s="20"/>
      <c r="D807" s="20"/>
      <c r="E807" s="288"/>
      <c r="F807" s="289"/>
      <c r="G807" s="289"/>
      <c r="H807" s="20"/>
    </row>
    <row r="808" spans="2:8" x14ac:dyDescent="0.35">
      <c r="B808" s="20"/>
      <c r="C808" s="20"/>
      <c r="D808" s="20"/>
      <c r="E808" s="288"/>
      <c r="F808" s="289"/>
      <c r="G808" s="289"/>
      <c r="H808" s="20"/>
    </row>
    <row r="809" spans="2:8" x14ac:dyDescent="0.35">
      <c r="B809" s="20"/>
      <c r="C809" s="20"/>
      <c r="D809" s="20"/>
      <c r="E809" s="288"/>
      <c r="F809" s="289"/>
      <c r="G809" s="289"/>
      <c r="H809" s="20"/>
    </row>
    <row r="810" spans="2:8" x14ac:dyDescent="0.35">
      <c r="B810" s="20"/>
      <c r="C810" s="20"/>
      <c r="D810" s="20"/>
      <c r="E810" s="288"/>
      <c r="F810" s="289"/>
      <c r="G810" s="289"/>
      <c r="H810" s="20"/>
    </row>
    <row r="811" spans="2:8" x14ac:dyDescent="0.35">
      <c r="B811" s="20"/>
      <c r="C811" s="20"/>
      <c r="D811" s="20"/>
      <c r="E811" s="288"/>
      <c r="F811" s="289"/>
      <c r="G811" s="289"/>
      <c r="H811" s="20"/>
    </row>
    <row r="812" spans="2:8" x14ac:dyDescent="0.35">
      <c r="B812" s="20"/>
      <c r="C812" s="20"/>
      <c r="D812" s="20"/>
      <c r="E812" s="288"/>
      <c r="F812" s="289"/>
      <c r="G812" s="289"/>
      <c r="H812" s="20"/>
    </row>
    <row r="813" spans="2:8" x14ac:dyDescent="0.35">
      <c r="B813" s="20"/>
      <c r="C813" s="20"/>
      <c r="D813" s="20"/>
      <c r="E813" s="288"/>
      <c r="F813" s="289"/>
      <c r="G813" s="289"/>
      <c r="H813" s="20"/>
    </row>
    <row r="814" spans="2:8" x14ac:dyDescent="0.35">
      <c r="B814" s="20"/>
      <c r="C814" s="20"/>
      <c r="D814" s="20"/>
      <c r="E814" s="288"/>
      <c r="F814" s="289"/>
      <c r="G814" s="289"/>
      <c r="H814" s="20"/>
    </row>
    <row r="815" spans="2:8" x14ac:dyDescent="0.35">
      <c r="B815" s="20"/>
      <c r="C815" s="20"/>
      <c r="D815" s="20"/>
      <c r="E815" s="288"/>
      <c r="F815" s="289"/>
      <c r="G815" s="289"/>
      <c r="H815" s="20"/>
    </row>
    <row r="816" spans="2:8" x14ac:dyDescent="0.35">
      <c r="B816" s="20"/>
      <c r="C816" s="20"/>
      <c r="D816" s="20"/>
      <c r="E816" s="288"/>
      <c r="F816" s="289"/>
      <c r="G816" s="289"/>
      <c r="H816" s="20"/>
    </row>
    <row r="817" spans="2:8" x14ac:dyDescent="0.35">
      <c r="B817" s="20"/>
      <c r="C817" s="20"/>
      <c r="D817" s="20"/>
      <c r="E817" s="288"/>
      <c r="F817" s="289"/>
      <c r="G817" s="289"/>
      <c r="H817" s="20"/>
    </row>
    <row r="818" spans="2:8" x14ac:dyDescent="0.35">
      <c r="B818" s="20"/>
      <c r="C818" s="20"/>
      <c r="D818" s="20"/>
      <c r="E818" s="288"/>
      <c r="F818" s="289"/>
      <c r="G818" s="289"/>
      <c r="H818" s="20"/>
    </row>
    <row r="819" spans="2:8" x14ac:dyDescent="0.35">
      <c r="B819" s="20"/>
      <c r="C819" s="20"/>
      <c r="D819" s="20"/>
      <c r="E819" s="288"/>
      <c r="F819" s="289"/>
      <c r="G819" s="289"/>
      <c r="H819" s="20"/>
    </row>
    <row r="820" spans="2:8" x14ac:dyDescent="0.35">
      <c r="B820" s="20"/>
      <c r="C820" s="20"/>
      <c r="D820" s="20"/>
      <c r="E820" s="288"/>
      <c r="F820" s="289"/>
      <c r="G820" s="289"/>
      <c r="H820" s="20"/>
    </row>
    <row r="821" spans="2:8" x14ac:dyDescent="0.35">
      <c r="B821" s="20"/>
      <c r="C821" s="20"/>
      <c r="D821" s="20"/>
      <c r="E821" s="288"/>
      <c r="F821" s="289"/>
      <c r="G821" s="289"/>
      <c r="H821" s="20"/>
    </row>
    <row r="822" spans="2:8" x14ac:dyDescent="0.35">
      <c r="B822" s="20"/>
      <c r="C822" s="20"/>
      <c r="D822" s="20"/>
      <c r="E822" s="288"/>
      <c r="F822" s="289"/>
      <c r="G822" s="289"/>
      <c r="H822" s="20"/>
    </row>
    <row r="823" spans="2:8" x14ac:dyDescent="0.35">
      <c r="B823" s="20"/>
      <c r="C823" s="20"/>
      <c r="D823" s="20"/>
      <c r="E823" s="288"/>
      <c r="F823" s="289"/>
      <c r="G823" s="289"/>
      <c r="H823" s="20"/>
    </row>
    <row r="824" spans="2:8" x14ac:dyDescent="0.35">
      <c r="B824" s="20"/>
      <c r="C824" s="20"/>
      <c r="D824" s="20"/>
      <c r="E824" s="288"/>
      <c r="F824" s="289"/>
      <c r="G824" s="289"/>
      <c r="H824" s="20"/>
    </row>
    <row r="825" spans="2:8" x14ac:dyDescent="0.35">
      <c r="B825" s="20"/>
      <c r="C825" s="20"/>
      <c r="D825" s="20"/>
      <c r="E825" s="288"/>
      <c r="F825" s="289"/>
      <c r="G825" s="289"/>
      <c r="H825" s="20"/>
    </row>
    <row r="826" spans="2:8" x14ac:dyDescent="0.35">
      <c r="B826" s="20"/>
      <c r="C826" s="20"/>
      <c r="D826" s="20"/>
      <c r="E826" s="288"/>
      <c r="F826" s="289"/>
      <c r="G826" s="289"/>
      <c r="H826" s="20"/>
    </row>
    <row r="827" spans="2:8" x14ac:dyDescent="0.35">
      <c r="B827" s="20"/>
      <c r="C827" s="20"/>
      <c r="D827" s="20"/>
      <c r="E827" s="288"/>
      <c r="F827" s="289"/>
      <c r="G827" s="289"/>
      <c r="H827" s="20"/>
    </row>
    <row r="828" spans="2:8" x14ac:dyDescent="0.35">
      <c r="B828" s="20"/>
      <c r="C828" s="20"/>
      <c r="D828" s="20"/>
      <c r="E828" s="288"/>
      <c r="F828" s="289"/>
      <c r="G828" s="289"/>
      <c r="H828" s="20"/>
    </row>
    <row r="829" spans="2:8" x14ac:dyDescent="0.35">
      <c r="B829" s="20"/>
      <c r="C829" s="20"/>
      <c r="D829" s="20"/>
      <c r="E829" s="288"/>
      <c r="F829" s="289"/>
      <c r="G829" s="289"/>
      <c r="H829" s="20"/>
    </row>
    <row r="830" spans="2:8" x14ac:dyDescent="0.35">
      <c r="B830" s="20"/>
      <c r="C830" s="20"/>
      <c r="D830" s="20"/>
      <c r="E830" s="288"/>
      <c r="F830" s="289"/>
      <c r="G830" s="289"/>
      <c r="H830" s="20"/>
    </row>
    <row r="831" spans="2:8" x14ac:dyDescent="0.35">
      <c r="B831" s="20"/>
      <c r="C831" s="20"/>
      <c r="D831" s="20"/>
      <c r="E831" s="288"/>
      <c r="F831" s="289"/>
      <c r="G831" s="289"/>
      <c r="H831" s="20"/>
    </row>
    <row r="832" spans="2:8" x14ac:dyDescent="0.35">
      <c r="B832" s="20"/>
      <c r="C832" s="20"/>
      <c r="D832" s="20"/>
      <c r="E832" s="288"/>
      <c r="F832" s="289"/>
      <c r="G832" s="289"/>
      <c r="H832" s="20"/>
    </row>
    <row r="833" spans="2:8" x14ac:dyDescent="0.35">
      <c r="B833" s="20"/>
      <c r="C833" s="20"/>
      <c r="D833" s="20"/>
      <c r="E833" s="288"/>
      <c r="F833" s="289"/>
      <c r="G833" s="289"/>
      <c r="H833" s="20"/>
    </row>
    <row r="834" spans="2:8" x14ac:dyDescent="0.35">
      <c r="B834" s="20"/>
      <c r="C834" s="20"/>
      <c r="D834" s="20"/>
      <c r="E834" s="288"/>
      <c r="F834" s="289"/>
      <c r="G834" s="289"/>
      <c r="H834" s="20"/>
    </row>
    <row r="835" spans="2:8" x14ac:dyDescent="0.35">
      <c r="B835" s="20"/>
      <c r="C835" s="20"/>
      <c r="D835" s="20"/>
      <c r="E835" s="288"/>
      <c r="F835" s="289"/>
      <c r="G835" s="289"/>
      <c r="H835" s="20"/>
    </row>
    <row r="836" spans="2:8" x14ac:dyDescent="0.35">
      <c r="B836" s="20"/>
      <c r="C836" s="20"/>
      <c r="D836" s="20"/>
      <c r="E836" s="288"/>
      <c r="F836" s="289"/>
      <c r="G836" s="289"/>
      <c r="H836" s="20"/>
    </row>
    <row r="837" spans="2:8" x14ac:dyDescent="0.35">
      <c r="B837" s="20"/>
      <c r="C837" s="20"/>
      <c r="D837" s="20"/>
      <c r="E837" s="288"/>
      <c r="F837" s="289"/>
      <c r="G837" s="289"/>
      <c r="H837" s="20"/>
    </row>
    <row r="838" spans="2:8" x14ac:dyDescent="0.35">
      <c r="B838" s="20"/>
      <c r="C838" s="20"/>
      <c r="D838" s="20"/>
      <c r="E838" s="288"/>
      <c r="F838" s="289"/>
      <c r="G838" s="289"/>
      <c r="H838" s="20"/>
    </row>
    <row r="839" spans="2:8" x14ac:dyDescent="0.35">
      <c r="B839" s="20"/>
      <c r="C839" s="20"/>
      <c r="D839" s="20"/>
      <c r="E839" s="288"/>
      <c r="F839" s="289"/>
      <c r="G839" s="289"/>
      <c r="H839" s="20"/>
    </row>
    <row r="840" spans="2:8" x14ac:dyDescent="0.35">
      <c r="B840" s="20"/>
      <c r="C840" s="20"/>
      <c r="D840" s="20"/>
      <c r="E840" s="288"/>
      <c r="F840" s="289"/>
      <c r="G840" s="289"/>
      <c r="H840" s="20"/>
    </row>
    <row r="841" spans="2:8" x14ac:dyDescent="0.35">
      <c r="B841" s="20"/>
      <c r="C841" s="20"/>
      <c r="D841" s="20"/>
      <c r="E841" s="288"/>
      <c r="F841" s="289"/>
      <c r="G841" s="289"/>
      <c r="H841" s="20"/>
    </row>
    <row r="842" spans="2:8" x14ac:dyDescent="0.35">
      <c r="B842" s="20"/>
      <c r="C842" s="20"/>
      <c r="D842" s="20"/>
      <c r="E842" s="288"/>
      <c r="F842" s="289"/>
      <c r="G842" s="289"/>
      <c r="H842" s="20"/>
    </row>
    <row r="843" spans="2:8" x14ac:dyDescent="0.35">
      <c r="B843" s="20"/>
      <c r="C843" s="20"/>
      <c r="D843" s="20"/>
      <c r="E843" s="288"/>
      <c r="F843" s="289"/>
      <c r="G843" s="289"/>
      <c r="H843" s="20"/>
    </row>
    <row r="844" spans="2:8" x14ac:dyDescent="0.35">
      <c r="B844" s="20"/>
      <c r="C844" s="20"/>
      <c r="D844" s="20"/>
      <c r="E844" s="288"/>
      <c r="F844" s="289"/>
      <c r="G844" s="289"/>
      <c r="H844" s="20"/>
    </row>
    <row r="845" spans="2:8" x14ac:dyDescent="0.35">
      <c r="B845" s="20"/>
      <c r="C845" s="20"/>
      <c r="D845" s="20"/>
      <c r="E845" s="288"/>
      <c r="F845" s="289"/>
      <c r="G845" s="289"/>
      <c r="H845" s="20"/>
    </row>
    <row r="846" spans="2:8" x14ac:dyDescent="0.35">
      <c r="B846" s="20"/>
      <c r="C846" s="20"/>
      <c r="D846" s="20"/>
      <c r="E846" s="288"/>
      <c r="F846" s="289"/>
      <c r="G846" s="289"/>
      <c r="H846" s="20"/>
    </row>
    <row r="847" spans="2:8" x14ac:dyDescent="0.35">
      <c r="B847" s="20"/>
      <c r="C847" s="20"/>
      <c r="D847" s="20"/>
      <c r="E847" s="288"/>
      <c r="F847" s="289"/>
      <c r="G847" s="289"/>
      <c r="H847" s="20"/>
    </row>
    <row r="848" spans="2:8" x14ac:dyDescent="0.35">
      <c r="B848" s="20"/>
      <c r="C848" s="20"/>
      <c r="D848" s="20"/>
      <c r="E848" s="288"/>
      <c r="F848" s="289"/>
      <c r="G848" s="289"/>
      <c r="H848" s="20"/>
    </row>
    <row r="849" spans="2:8" x14ac:dyDescent="0.35">
      <c r="B849" s="20"/>
      <c r="C849" s="20"/>
      <c r="D849" s="20"/>
      <c r="E849" s="288"/>
      <c r="F849" s="289"/>
      <c r="G849" s="289"/>
      <c r="H849" s="20"/>
    </row>
    <row r="850" spans="2:8" x14ac:dyDescent="0.35">
      <c r="B850" s="20"/>
      <c r="C850" s="20"/>
      <c r="D850" s="20"/>
      <c r="E850" s="288"/>
      <c r="F850" s="289"/>
      <c r="G850" s="289"/>
      <c r="H850" s="20"/>
    </row>
    <row r="851" spans="2:8" x14ac:dyDescent="0.35">
      <c r="B851" s="20"/>
      <c r="C851" s="20"/>
      <c r="D851" s="20"/>
      <c r="E851" s="288"/>
      <c r="F851" s="289"/>
      <c r="G851" s="289"/>
      <c r="H851" s="20"/>
    </row>
    <row r="852" spans="2:8" x14ac:dyDescent="0.35">
      <c r="B852" s="20"/>
      <c r="C852" s="20"/>
      <c r="D852" s="20"/>
      <c r="E852" s="288"/>
      <c r="F852" s="289"/>
      <c r="G852" s="289"/>
      <c r="H852" s="20"/>
    </row>
    <row r="853" spans="2:8" x14ac:dyDescent="0.35">
      <c r="B853" s="20"/>
      <c r="C853" s="20"/>
      <c r="D853" s="20"/>
      <c r="E853" s="288"/>
      <c r="F853" s="289"/>
      <c r="G853" s="289"/>
      <c r="H853" s="20"/>
    </row>
    <row r="854" spans="2:8" x14ac:dyDescent="0.35">
      <c r="B854" s="20"/>
      <c r="C854" s="20"/>
      <c r="D854" s="20"/>
      <c r="E854" s="288"/>
      <c r="F854" s="289"/>
      <c r="G854" s="289"/>
      <c r="H854" s="20"/>
    </row>
    <row r="855" spans="2:8" x14ac:dyDescent="0.35">
      <c r="B855" s="20"/>
      <c r="C855" s="20"/>
      <c r="D855" s="20"/>
      <c r="E855" s="288"/>
      <c r="F855" s="289"/>
      <c r="G855" s="289"/>
      <c r="H855" s="20"/>
    </row>
    <row r="856" spans="2:8" x14ac:dyDescent="0.35">
      <c r="B856" s="20"/>
      <c r="C856" s="20"/>
      <c r="D856" s="20"/>
      <c r="E856" s="288"/>
      <c r="F856" s="289"/>
      <c r="G856" s="289"/>
      <c r="H856" s="20"/>
    </row>
    <row r="857" spans="2:8" x14ac:dyDescent="0.35">
      <c r="B857" s="20"/>
      <c r="C857" s="20"/>
      <c r="D857" s="20"/>
      <c r="E857" s="288"/>
      <c r="F857" s="289"/>
      <c r="G857" s="289"/>
      <c r="H857" s="20"/>
    </row>
    <row r="858" spans="2:8" x14ac:dyDescent="0.35">
      <c r="B858" s="20"/>
      <c r="C858" s="20"/>
      <c r="D858" s="20"/>
      <c r="E858" s="288"/>
      <c r="F858" s="289"/>
      <c r="G858" s="289"/>
      <c r="H858" s="20"/>
    </row>
    <row r="859" spans="2:8" x14ac:dyDescent="0.35">
      <c r="B859" s="20"/>
      <c r="C859" s="20"/>
      <c r="D859" s="20"/>
      <c r="E859" s="288"/>
      <c r="F859" s="289"/>
      <c r="G859" s="289"/>
      <c r="H859" s="20"/>
    </row>
    <row r="860" spans="2:8" x14ac:dyDescent="0.35">
      <c r="B860" s="20"/>
      <c r="C860" s="20"/>
      <c r="D860" s="20"/>
      <c r="E860" s="288"/>
      <c r="F860" s="289"/>
      <c r="G860" s="289"/>
      <c r="H860" s="20"/>
    </row>
    <row r="861" spans="2:8" x14ac:dyDescent="0.35">
      <c r="B861" s="20"/>
      <c r="C861" s="20"/>
      <c r="D861" s="20"/>
      <c r="E861" s="288"/>
      <c r="F861" s="289"/>
      <c r="G861" s="289"/>
      <c r="H861" s="20"/>
    </row>
    <row r="862" spans="2:8" x14ac:dyDescent="0.35">
      <c r="B862" s="20"/>
      <c r="C862" s="20"/>
      <c r="D862" s="20"/>
      <c r="E862" s="288"/>
      <c r="F862" s="289"/>
      <c r="G862" s="289"/>
      <c r="H862" s="20"/>
    </row>
    <row r="863" spans="2:8" x14ac:dyDescent="0.35">
      <c r="B863" s="20"/>
      <c r="C863" s="20"/>
      <c r="D863" s="20"/>
      <c r="E863" s="288"/>
      <c r="F863" s="289"/>
      <c r="G863" s="289"/>
      <c r="H863" s="20"/>
    </row>
    <row r="864" spans="2:8" x14ac:dyDescent="0.35">
      <c r="B864" s="20"/>
      <c r="C864" s="20"/>
      <c r="D864" s="20"/>
      <c r="E864" s="288"/>
      <c r="F864" s="289"/>
      <c r="G864" s="289"/>
      <c r="H864" s="20"/>
    </row>
    <row r="865" spans="2:8" x14ac:dyDescent="0.35">
      <c r="B865" s="20"/>
      <c r="C865" s="20"/>
      <c r="D865" s="20"/>
      <c r="E865" s="288"/>
      <c r="F865" s="289"/>
      <c r="G865" s="289"/>
      <c r="H865" s="20"/>
    </row>
    <row r="866" spans="2:8" x14ac:dyDescent="0.35">
      <c r="B866" s="20"/>
      <c r="C866" s="20"/>
      <c r="D866" s="20"/>
      <c r="E866" s="288"/>
      <c r="F866" s="289"/>
      <c r="G866" s="289"/>
      <c r="H866" s="20"/>
    </row>
    <row r="867" spans="2:8" x14ac:dyDescent="0.35">
      <c r="B867" s="20"/>
      <c r="C867" s="20"/>
      <c r="D867" s="20"/>
      <c r="E867" s="288"/>
      <c r="F867" s="289"/>
      <c r="G867" s="289"/>
      <c r="H867" s="20"/>
    </row>
    <row r="868" spans="2:8" x14ac:dyDescent="0.35">
      <c r="B868" s="20"/>
      <c r="C868" s="20"/>
      <c r="D868" s="20"/>
      <c r="E868" s="288"/>
      <c r="F868" s="289"/>
      <c r="G868" s="289"/>
      <c r="H868" s="20"/>
    </row>
    <row r="869" spans="2:8" x14ac:dyDescent="0.35">
      <c r="B869" s="20"/>
      <c r="C869" s="20"/>
      <c r="D869" s="20"/>
      <c r="E869" s="288"/>
      <c r="F869" s="289"/>
      <c r="G869" s="289"/>
      <c r="H869" s="20"/>
    </row>
    <row r="870" spans="2:8" x14ac:dyDescent="0.35">
      <c r="B870" s="20"/>
      <c r="C870" s="20"/>
      <c r="D870" s="20"/>
      <c r="E870" s="288"/>
      <c r="F870" s="289"/>
      <c r="G870" s="289"/>
      <c r="H870" s="20"/>
    </row>
    <row r="871" spans="2:8" x14ac:dyDescent="0.35">
      <c r="B871" s="20"/>
      <c r="C871" s="20"/>
      <c r="D871" s="20"/>
      <c r="E871" s="288"/>
      <c r="F871" s="289"/>
      <c r="G871" s="289"/>
      <c r="H871" s="20"/>
    </row>
    <row r="872" spans="2:8" x14ac:dyDescent="0.35">
      <c r="B872" s="20"/>
      <c r="C872" s="20"/>
      <c r="D872" s="20"/>
      <c r="E872" s="288"/>
      <c r="F872" s="289"/>
      <c r="G872" s="289"/>
      <c r="H872" s="20"/>
    </row>
    <row r="873" spans="2:8" x14ac:dyDescent="0.35">
      <c r="B873" s="20"/>
      <c r="C873" s="20"/>
      <c r="D873" s="20"/>
      <c r="E873" s="288"/>
      <c r="F873" s="289"/>
      <c r="G873" s="289"/>
      <c r="H873" s="20"/>
    </row>
    <row r="874" spans="2:8" x14ac:dyDescent="0.35">
      <c r="B874" s="20"/>
      <c r="C874" s="20"/>
      <c r="D874" s="20"/>
      <c r="E874" s="288"/>
      <c r="F874" s="289"/>
      <c r="G874" s="289"/>
      <c r="H874" s="20"/>
    </row>
    <row r="875" spans="2:8" x14ac:dyDescent="0.35">
      <c r="B875" s="20"/>
      <c r="C875" s="20"/>
      <c r="D875" s="20"/>
      <c r="E875" s="288"/>
      <c r="F875" s="289"/>
      <c r="G875" s="289"/>
      <c r="H875" s="20"/>
    </row>
    <row r="876" spans="2:8" x14ac:dyDescent="0.35">
      <c r="B876" s="20"/>
      <c r="C876" s="20"/>
      <c r="D876" s="20"/>
      <c r="E876" s="288"/>
      <c r="F876" s="289"/>
      <c r="G876" s="289"/>
      <c r="H876" s="20"/>
    </row>
    <row r="877" spans="2:8" x14ac:dyDescent="0.35">
      <c r="B877" s="20"/>
      <c r="C877" s="20"/>
      <c r="D877" s="20"/>
      <c r="E877" s="288"/>
      <c r="F877" s="289"/>
      <c r="G877" s="289"/>
      <c r="H877" s="20"/>
    </row>
    <row r="878" spans="2:8" x14ac:dyDescent="0.35">
      <c r="B878" s="20"/>
      <c r="C878" s="20"/>
      <c r="D878" s="20"/>
      <c r="E878" s="288"/>
      <c r="F878" s="289"/>
      <c r="G878" s="289"/>
      <c r="H878" s="20"/>
    </row>
    <row r="879" spans="2:8" x14ac:dyDescent="0.35">
      <c r="B879" s="20"/>
      <c r="C879" s="20"/>
      <c r="D879" s="20"/>
      <c r="E879" s="288"/>
      <c r="F879" s="289"/>
      <c r="G879" s="289"/>
      <c r="H879" s="20"/>
    </row>
    <row r="880" spans="2:8" x14ac:dyDescent="0.35">
      <c r="B880" s="20"/>
      <c r="C880" s="20"/>
      <c r="D880" s="20"/>
      <c r="E880" s="288"/>
      <c r="F880" s="289"/>
      <c r="G880" s="289"/>
      <c r="H880" s="20"/>
    </row>
    <row r="881" spans="2:8" x14ac:dyDescent="0.35">
      <c r="B881" s="20"/>
      <c r="C881" s="20"/>
      <c r="D881" s="20"/>
      <c r="E881" s="288"/>
      <c r="F881" s="289"/>
      <c r="G881" s="289"/>
      <c r="H881" s="20"/>
    </row>
    <row r="882" spans="2:8" x14ac:dyDescent="0.35">
      <c r="B882" s="20"/>
      <c r="C882" s="20"/>
      <c r="D882" s="20"/>
      <c r="E882" s="288"/>
      <c r="F882" s="289"/>
      <c r="G882" s="289"/>
      <c r="H882" s="20"/>
    </row>
    <row r="883" spans="2:8" x14ac:dyDescent="0.35">
      <c r="B883" s="20"/>
      <c r="C883" s="20"/>
      <c r="D883" s="20"/>
      <c r="E883" s="288"/>
      <c r="F883" s="289"/>
      <c r="G883" s="289"/>
      <c r="H883" s="20"/>
    </row>
    <row r="884" spans="2:8" x14ac:dyDescent="0.35">
      <c r="B884" s="20"/>
      <c r="C884" s="20"/>
      <c r="D884" s="20"/>
      <c r="E884" s="288"/>
      <c r="F884" s="289"/>
      <c r="G884" s="289"/>
      <c r="H884" s="20"/>
    </row>
    <row r="885" spans="2:8" x14ac:dyDescent="0.35">
      <c r="B885" s="20"/>
      <c r="C885" s="20"/>
      <c r="D885" s="20"/>
      <c r="E885" s="288"/>
      <c r="F885" s="289"/>
      <c r="G885" s="289"/>
      <c r="H885" s="20"/>
    </row>
    <row r="886" spans="2:8" x14ac:dyDescent="0.35">
      <c r="B886" s="20"/>
      <c r="C886" s="20"/>
      <c r="D886" s="20"/>
      <c r="E886" s="288"/>
      <c r="F886" s="289"/>
      <c r="G886" s="289"/>
      <c r="H886" s="20"/>
    </row>
    <row r="887" spans="2:8" x14ac:dyDescent="0.35">
      <c r="B887" s="20"/>
      <c r="C887" s="20"/>
      <c r="D887" s="20"/>
      <c r="E887" s="288"/>
      <c r="F887" s="289"/>
      <c r="G887" s="289"/>
      <c r="H887" s="20"/>
    </row>
    <row r="888" spans="2:8" x14ac:dyDescent="0.35">
      <c r="B888" s="20"/>
      <c r="C888" s="20"/>
      <c r="D888" s="20"/>
      <c r="E888" s="288"/>
      <c r="F888" s="289"/>
      <c r="G888" s="289"/>
      <c r="H888" s="20"/>
    </row>
    <row r="889" spans="2:8" x14ac:dyDescent="0.35">
      <c r="B889" s="20"/>
      <c r="C889" s="20"/>
      <c r="D889" s="20"/>
      <c r="E889" s="288"/>
      <c r="F889" s="289"/>
      <c r="G889" s="289"/>
      <c r="H889" s="20"/>
    </row>
    <row r="890" spans="2:8" x14ac:dyDescent="0.35">
      <c r="B890" s="20"/>
      <c r="C890" s="20"/>
      <c r="D890" s="20"/>
      <c r="E890" s="288"/>
      <c r="F890" s="289"/>
      <c r="G890" s="289"/>
      <c r="H890" s="20"/>
    </row>
    <row r="891" spans="2:8" x14ac:dyDescent="0.35">
      <c r="B891" s="20"/>
      <c r="C891" s="20"/>
      <c r="D891" s="20"/>
      <c r="E891" s="288"/>
      <c r="F891" s="289"/>
      <c r="G891" s="289"/>
      <c r="H891" s="20"/>
    </row>
    <row r="892" spans="2:8" x14ac:dyDescent="0.35">
      <c r="B892" s="20"/>
      <c r="C892" s="20"/>
      <c r="D892" s="20"/>
      <c r="E892" s="288"/>
      <c r="F892" s="289"/>
      <c r="G892" s="289"/>
      <c r="H892" s="20"/>
    </row>
    <row r="893" spans="2:8" x14ac:dyDescent="0.35">
      <c r="B893" s="20"/>
      <c r="C893" s="20"/>
      <c r="D893" s="20"/>
      <c r="E893" s="288"/>
      <c r="F893" s="289"/>
      <c r="G893" s="289"/>
      <c r="H893" s="20"/>
    </row>
    <row r="894" spans="2:8" x14ac:dyDescent="0.35">
      <c r="B894" s="20"/>
      <c r="C894" s="20"/>
      <c r="D894" s="20"/>
      <c r="E894" s="288"/>
      <c r="F894" s="289"/>
      <c r="G894" s="289"/>
      <c r="H894" s="20"/>
    </row>
    <row r="895" spans="2:8" x14ac:dyDescent="0.35">
      <c r="B895" s="20"/>
      <c r="C895" s="20"/>
      <c r="D895" s="20"/>
      <c r="E895" s="288"/>
      <c r="F895" s="289"/>
      <c r="G895" s="289"/>
      <c r="H895" s="20"/>
    </row>
    <row r="896" spans="2:8" x14ac:dyDescent="0.35">
      <c r="B896" s="20"/>
      <c r="C896" s="20"/>
      <c r="D896" s="20"/>
      <c r="E896" s="288"/>
      <c r="F896" s="289"/>
      <c r="G896" s="289"/>
      <c r="H896" s="20"/>
    </row>
    <row r="897" spans="2:8" x14ac:dyDescent="0.35">
      <c r="B897" s="20"/>
      <c r="C897" s="20"/>
      <c r="D897" s="20"/>
      <c r="E897" s="288"/>
      <c r="F897" s="289"/>
      <c r="G897" s="289"/>
      <c r="H897" s="20"/>
    </row>
    <row r="898" spans="2:8" x14ac:dyDescent="0.35">
      <c r="B898" s="20"/>
      <c r="C898" s="20"/>
      <c r="D898" s="20"/>
      <c r="E898" s="288"/>
      <c r="F898" s="289"/>
      <c r="G898" s="289"/>
      <c r="H898" s="20"/>
    </row>
    <row r="899" spans="2:8" x14ac:dyDescent="0.35">
      <c r="B899" s="20"/>
      <c r="C899" s="20"/>
      <c r="D899" s="20"/>
      <c r="E899" s="288"/>
      <c r="F899" s="289"/>
      <c r="G899" s="289"/>
      <c r="H899" s="20"/>
    </row>
    <row r="900" spans="2:8" x14ac:dyDescent="0.35">
      <c r="B900" s="20"/>
      <c r="C900" s="20"/>
      <c r="D900" s="20"/>
      <c r="E900" s="288"/>
      <c r="F900" s="289"/>
      <c r="G900" s="289"/>
      <c r="H900" s="20"/>
    </row>
    <row r="901" spans="2:8" x14ac:dyDescent="0.35">
      <c r="B901" s="20"/>
      <c r="C901" s="20"/>
      <c r="D901" s="20"/>
      <c r="E901" s="288"/>
      <c r="F901" s="289"/>
      <c r="G901" s="289"/>
      <c r="H901" s="20"/>
    </row>
    <row r="902" spans="2:8" x14ac:dyDescent="0.35">
      <c r="B902" s="20"/>
      <c r="C902" s="20"/>
      <c r="D902" s="20"/>
      <c r="E902" s="288"/>
      <c r="F902" s="289"/>
      <c r="G902" s="289"/>
      <c r="H902" s="20"/>
    </row>
    <row r="903" spans="2:8" x14ac:dyDescent="0.35">
      <c r="B903" s="20"/>
      <c r="C903" s="20"/>
      <c r="D903" s="20"/>
      <c r="E903" s="288"/>
      <c r="F903" s="289"/>
      <c r="G903" s="289"/>
      <c r="H903" s="20"/>
    </row>
    <row r="904" spans="2:8" x14ac:dyDescent="0.35">
      <c r="B904" s="20"/>
      <c r="C904" s="20"/>
      <c r="D904" s="20"/>
      <c r="E904" s="288"/>
      <c r="F904" s="289"/>
      <c r="G904" s="289"/>
      <c r="H904" s="20"/>
    </row>
    <row r="905" spans="2:8" x14ac:dyDescent="0.35">
      <c r="B905" s="20"/>
      <c r="C905" s="20"/>
      <c r="D905" s="20"/>
      <c r="E905" s="288"/>
      <c r="F905" s="289"/>
      <c r="G905" s="289"/>
      <c r="H905" s="20"/>
    </row>
    <row r="906" spans="2:8" x14ac:dyDescent="0.35">
      <c r="B906" s="20"/>
      <c r="C906" s="20"/>
      <c r="D906" s="20"/>
      <c r="E906" s="288"/>
      <c r="F906" s="289"/>
      <c r="G906" s="289"/>
      <c r="H906" s="20"/>
    </row>
    <row r="907" spans="2:8" x14ac:dyDescent="0.35">
      <c r="B907" s="20"/>
      <c r="C907" s="20"/>
      <c r="D907" s="20"/>
      <c r="E907" s="288"/>
      <c r="F907" s="289"/>
      <c r="G907" s="289"/>
      <c r="H907" s="20"/>
    </row>
    <row r="908" spans="2:8" x14ac:dyDescent="0.35">
      <c r="B908" s="20"/>
      <c r="C908" s="20"/>
      <c r="D908" s="20"/>
      <c r="E908" s="288"/>
      <c r="F908" s="289"/>
      <c r="G908" s="289"/>
      <c r="H908" s="20"/>
    </row>
    <row r="909" spans="2:8" x14ac:dyDescent="0.35">
      <c r="B909" s="20"/>
      <c r="C909" s="20"/>
      <c r="D909" s="20"/>
      <c r="E909" s="288"/>
      <c r="F909" s="289"/>
      <c r="G909" s="289"/>
      <c r="H909" s="20"/>
    </row>
    <row r="910" spans="2:8" x14ac:dyDescent="0.35">
      <c r="B910" s="20"/>
      <c r="C910" s="20"/>
      <c r="D910" s="20"/>
      <c r="E910" s="288"/>
      <c r="F910" s="289"/>
      <c r="G910" s="289"/>
      <c r="H910" s="20"/>
    </row>
    <row r="911" spans="2:8" x14ac:dyDescent="0.35">
      <c r="B911" s="20"/>
      <c r="C911" s="20"/>
      <c r="D911" s="20"/>
      <c r="E911" s="288"/>
      <c r="F911" s="289"/>
      <c r="G911" s="289"/>
      <c r="H911" s="20"/>
    </row>
    <row r="912" spans="2:8" x14ac:dyDescent="0.35">
      <c r="B912" s="20"/>
      <c r="C912" s="20"/>
      <c r="D912" s="20"/>
      <c r="E912" s="288"/>
      <c r="F912" s="289"/>
      <c r="G912" s="289"/>
      <c r="H912" s="20"/>
    </row>
    <row r="913" spans="2:8" x14ac:dyDescent="0.35">
      <c r="B913" s="20"/>
      <c r="C913" s="20"/>
      <c r="D913" s="20"/>
      <c r="E913" s="288"/>
      <c r="F913" s="289"/>
      <c r="G913" s="289"/>
      <c r="H913" s="20"/>
    </row>
    <row r="914" spans="2:8" x14ac:dyDescent="0.35">
      <c r="B914" s="20"/>
      <c r="C914" s="20"/>
      <c r="D914" s="20"/>
      <c r="E914" s="288"/>
      <c r="F914" s="289"/>
      <c r="G914" s="289"/>
      <c r="H914" s="20"/>
    </row>
    <row r="915" spans="2:8" x14ac:dyDescent="0.35">
      <c r="B915" s="20"/>
      <c r="C915" s="20"/>
      <c r="D915" s="20"/>
      <c r="E915" s="288"/>
      <c r="F915" s="289"/>
      <c r="G915" s="289"/>
      <c r="H915" s="20"/>
    </row>
    <row r="916" spans="2:8" x14ac:dyDescent="0.35">
      <c r="B916" s="20"/>
      <c r="C916" s="20"/>
      <c r="D916" s="20"/>
      <c r="E916" s="288"/>
      <c r="F916" s="289"/>
      <c r="G916" s="289"/>
      <c r="H916" s="20"/>
    </row>
    <row r="917" spans="2:8" x14ac:dyDescent="0.35">
      <c r="B917" s="20"/>
      <c r="C917" s="20"/>
      <c r="D917" s="20"/>
      <c r="E917" s="288"/>
      <c r="F917" s="289"/>
      <c r="G917" s="289"/>
      <c r="H917" s="20"/>
    </row>
    <row r="918" spans="2:8" x14ac:dyDescent="0.35">
      <c r="B918" s="20"/>
      <c r="C918" s="20"/>
      <c r="D918" s="20"/>
      <c r="E918" s="288"/>
      <c r="F918" s="289"/>
      <c r="G918" s="289"/>
      <c r="H918" s="20"/>
    </row>
    <row r="919" spans="2:8" x14ac:dyDescent="0.35">
      <c r="B919" s="20"/>
      <c r="C919" s="20"/>
      <c r="D919" s="20"/>
      <c r="E919" s="288"/>
      <c r="F919" s="289"/>
      <c r="G919" s="289"/>
      <c r="H919" s="20"/>
    </row>
    <row r="920" spans="2:8" x14ac:dyDescent="0.35">
      <c r="B920" s="20"/>
      <c r="C920" s="20"/>
      <c r="D920" s="20"/>
      <c r="E920" s="288"/>
      <c r="F920" s="289"/>
      <c r="G920" s="289"/>
      <c r="H920" s="20"/>
    </row>
    <row r="921" spans="2:8" x14ac:dyDescent="0.35">
      <c r="B921" s="20"/>
      <c r="C921" s="20"/>
      <c r="D921" s="20"/>
      <c r="E921" s="288"/>
      <c r="F921" s="289"/>
      <c r="G921" s="289"/>
      <c r="H921" s="20"/>
    </row>
    <row r="922" spans="2:8" x14ac:dyDescent="0.35">
      <c r="B922" s="20"/>
      <c r="C922" s="20"/>
      <c r="D922" s="20"/>
      <c r="E922" s="288"/>
      <c r="F922" s="289"/>
      <c r="G922" s="289"/>
      <c r="H922" s="20"/>
    </row>
    <row r="923" spans="2:8" x14ac:dyDescent="0.35">
      <c r="B923" s="20"/>
      <c r="C923" s="20"/>
      <c r="D923" s="20"/>
      <c r="E923" s="288"/>
      <c r="F923" s="289"/>
      <c r="G923" s="289"/>
      <c r="H923" s="20"/>
    </row>
    <row r="924" spans="2:8" x14ac:dyDescent="0.35">
      <c r="B924" s="20"/>
      <c r="C924" s="20"/>
      <c r="D924" s="20"/>
      <c r="E924" s="288"/>
      <c r="F924" s="289"/>
      <c r="G924" s="289"/>
      <c r="H924" s="20"/>
    </row>
    <row r="925" spans="2:8" x14ac:dyDescent="0.35">
      <c r="B925" s="20"/>
      <c r="C925" s="20"/>
      <c r="D925" s="20"/>
      <c r="E925" s="288"/>
      <c r="F925" s="289"/>
      <c r="G925" s="289"/>
      <c r="H925" s="20"/>
    </row>
    <row r="926" spans="2:8" x14ac:dyDescent="0.35">
      <c r="B926" s="20"/>
      <c r="C926" s="20"/>
      <c r="D926" s="20"/>
      <c r="E926" s="288"/>
      <c r="F926" s="289"/>
      <c r="G926" s="289"/>
      <c r="H926" s="20"/>
    </row>
    <row r="927" spans="2:8" x14ac:dyDescent="0.35">
      <c r="B927" s="20"/>
      <c r="C927" s="20"/>
      <c r="D927" s="20"/>
      <c r="E927" s="288"/>
      <c r="F927" s="289"/>
      <c r="G927" s="289"/>
      <c r="H927" s="20"/>
    </row>
    <row r="928" spans="2:8" x14ac:dyDescent="0.35">
      <c r="B928" s="20"/>
      <c r="C928" s="20"/>
      <c r="D928" s="20"/>
      <c r="E928" s="288"/>
      <c r="F928" s="289"/>
      <c r="G928" s="289"/>
      <c r="H928" s="20"/>
    </row>
    <row r="929" spans="2:8" x14ac:dyDescent="0.35">
      <c r="B929" s="20"/>
      <c r="C929" s="20"/>
      <c r="D929" s="20"/>
      <c r="E929" s="288"/>
      <c r="F929" s="289"/>
      <c r="G929" s="289"/>
      <c r="H929" s="20"/>
    </row>
    <row r="930" spans="2:8" x14ac:dyDescent="0.35">
      <c r="B930" s="20"/>
      <c r="C930" s="20"/>
      <c r="D930" s="20"/>
      <c r="E930" s="288"/>
      <c r="F930" s="289"/>
      <c r="G930" s="289"/>
      <c r="H930" s="20"/>
    </row>
    <row r="931" spans="2:8" x14ac:dyDescent="0.35">
      <c r="B931" s="20"/>
      <c r="C931" s="20"/>
      <c r="D931" s="20"/>
      <c r="E931" s="288"/>
      <c r="F931" s="289"/>
      <c r="G931" s="289"/>
      <c r="H931" s="20"/>
    </row>
    <row r="932" spans="2:8" x14ac:dyDescent="0.35">
      <c r="B932" s="20"/>
      <c r="C932" s="20"/>
      <c r="D932" s="20"/>
      <c r="E932" s="288"/>
      <c r="F932" s="289"/>
      <c r="G932" s="289"/>
      <c r="H932" s="20"/>
    </row>
    <row r="933" spans="2:8" x14ac:dyDescent="0.35">
      <c r="B933" s="20"/>
      <c r="C933" s="20"/>
      <c r="D933" s="20"/>
      <c r="E933" s="288"/>
      <c r="F933" s="289"/>
      <c r="G933" s="289"/>
      <c r="H933" s="20"/>
    </row>
    <row r="934" spans="2:8" x14ac:dyDescent="0.35">
      <c r="B934" s="20"/>
      <c r="C934" s="20"/>
      <c r="D934" s="20"/>
      <c r="E934" s="288"/>
      <c r="F934" s="289"/>
      <c r="G934" s="289"/>
      <c r="H934" s="20"/>
    </row>
    <row r="935" spans="2:8" x14ac:dyDescent="0.35">
      <c r="B935" s="20"/>
      <c r="C935" s="20"/>
      <c r="D935" s="20"/>
      <c r="E935" s="288"/>
      <c r="F935" s="289"/>
      <c r="G935" s="289"/>
      <c r="H935" s="20"/>
    </row>
    <row r="936" spans="2:8" x14ac:dyDescent="0.35">
      <c r="B936" s="20"/>
      <c r="C936" s="20"/>
      <c r="D936" s="20"/>
      <c r="E936" s="288"/>
      <c r="F936" s="289"/>
      <c r="G936" s="289"/>
      <c r="H936" s="20"/>
    </row>
    <row r="937" spans="2:8" x14ac:dyDescent="0.35">
      <c r="B937" s="20"/>
      <c r="C937" s="20"/>
      <c r="D937" s="20"/>
      <c r="E937" s="288"/>
      <c r="F937" s="289"/>
      <c r="G937" s="289"/>
      <c r="H937" s="20"/>
    </row>
    <row r="938" spans="2:8" x14ac:dyDescent="0.35">
      <c r="B938" s="20"/>
      <c r="C938" s="20"/>
      <c r="D938" s="20"/>
      <c r="E938" s="288"/>
      <c r="F938" s="289"/>
      <c r="G938" s="289"/>
      <c r="H938" s="20"/>
    </row>
    <row r="939" spans="2:8" x14ac:dyDescent="0.35">
      <c r="B939" s="20"/>
      <c r="C939" s="20"/>
      <c r="D939" s="20"/>
      <c r="E939" s="288"/>
      <c r="F939" s="289"/>
      <c r="G939" s="289"/>
      <c r="H939" s="20"/>
    </row>
    <row r="940" spans="2:8" x14ac:dyDescent="0.35">
      <c r="B940" s="20"/>
      <c r="C940" s="20"/>
      <c r="D940" s="20"/>
      <c r="E940" s="288"/>
      <c r="F940" s="289"/>
      <c r="G940" s="289"/>
      <c r="H940" s="20"/>
    </row>
    <row r="941" spans="2:8" x14ac:dyDescent="0.35">
      <c r="B941" s="20"/>
      <c r="C941" s="20"/>
      <c r="D941" s="20"/>
      <c r="E941" s="288"/>
      <c r="F941" s="289"/>
      <c r="G941" s="289"/>
      <c r="H941" s="20"/>
    </row>
    <row r="942" spans="2:8" x14ac:dyDescent="0.35">
      <c r="B942" s="20"/>
      <c r="C942" s="20"/>
      <c r="D942" s="20"/>
      <c r="E942" s="288"/>
      <c r="F942" s="289"/>
      <c r="G942" s="289"/>
      <c r="H942" s="20"/>
    </row>
    <row r="943" spans="2:8" x14ac:dyDescent="0.35">
      <c r="B943" s="20"/>
      <c r="C943" s="20"/>
      <c r="D943" s="20"/>
      <c r="E943" s="288"/>
      <c r="F943" s="289"/>
      <c r="G943" s="289"/>
      <c r="H943" s="20"/>
    </row>
    <row r="944" spans="2:8" x14ac:dyDescent="0.35">
      <c r="B944" s="20"/>
      <c r="C944" s="20"/>
      <c r="D944" s="20"/>
      <c r="E944" s="288"/>
      <c r="F944" s="289"/>
      <c r="G944" s="289"/>
      <c r="H944" s="20"/>
    </row>
    <row r="945" spans="2:8" x14ac:dyDescent="0.35">
      <c r="B945" s="20"/>
      <c r="C945" s="20"/>
      <c r="D945" s="20"/>
      <c r="E945" s="288"/>
      <c r="F945" s="289"/>
      <c r="G945" s="289"/>
      <c r="H945" s="20"/>
    </row>
    <row r="946" spans="2:8" x14ac:dyDescent="0.35">
      <c r="B946" s="20"/>
      <c r="C946" s="20"/>
      <c r="D946" s="20"/>
      <c r="E946" s="288"/>
      <c r="F946" s="289"/>
      <c r="G946" s="289"/>
      <c r="H946" s="20"/>
    </row>
    <row r="947" spans="2:8" x14ac:dyDescent="0.35">
      <c r="B947" s="20"/>
      <c r="C947" s="20"/>
      <c r="D947" s="20"/>
      <c r="E947" s="288"/>
      <c r="F947" s="289"/>
      <c r="G947" s="289"/>
      <c r="H947" s="20"/>
    </row>
    <row r="948" spans="2:8" x14ac:dyDescent="0.35">
      <c r="B948" s="20"/>
      <c r="C948" s="20"/>
      <c r="D948" s="20"/>
      <c r="E948" s="288"/>
      <c r="F948" s="289"/>
      <c r="G948" s="289"/>
      <c r="H948" s="20"/>
    </row>
    <row r="949" spans="2:8" x14ac:dyDescent="0.35">
      <c r="B949" s="20"/>
      <c r="C949" s="20"/>
      <c r="D949" s="20"/>
      <c r="E949" s="288"/>
      <c r="F949" s="289"/>
      <c r="G949" s="289"/>
      <c r="H949" s="20"/>
    </row>
    <row r="950" spans="2:8" x14ac:dyDescent="0.35">
      <c r="B950" s="20"/>
      <c r="C950" s="20"/>
      <c r="D950" s="20"/>
      <c r="E950" s="288"/>
      <c r="F950" s="289"/>
      <c r="G950" s="289"/>
      <c r="H950" s="20"/>
    </row>
    <row r="951" spans="2:8" x14ac:dyDescent="0.35">
      <c r="B951" s="20"/>
      <c r="C951" s="20"/>
      <c r="D951" s="20"/>
      <c r="E951" s="288"/>
      <c r="F951" s="289"/>
      <c r="G951" s="289"/>
      <c r="H951" s="20"/>
    </row>
    <row r="952" spans="2:8" x14ac:dyDescent="0.35">
      <c r="B952" s="20"/>
      <c r="C952" s="20"/>
      <c r="D952" s="20"/>
      <c r="E952" s="288"/>
      <c r="F952" s="289"/>
      <c r="G952" s="289"/>
      <c r="H952" s="20"/>
    </row>
    <row r="953" spans="2:8" x14ac:dyDescent="0.35">
      <c r="B953" s="20"/>
      <c r="C953" s="20"/>
      <c r="D953" s="20"/>
      <c r="E953" s="288"/>
      <c r="F953" s="289"/>
      <c r="G953" s="289"/>
      <c r="H953" s="20"/>
    </row>
    <row r="954" spans="2:8" x14ac:dyDescent="0.35">
      <c r="B954" s="20"/>
      <c r="C954" s="20"/>
      <c r="D954" s="20"/>
      <c r="E954" s="288"/>
      <c r="F954" s="289"/>
      <c r="G954" s="289"/>
      <c r="H954" s="20"/>
    </row>
    <row r="955" spans="2:8" x14ac:dyDescent="0.35">
      <c r="B955" s="20"/>
      <c r="C955" s="20"/>
      <c r="D955" s="20"/>
      <c r="E955" s="288"/>
      <c r="F955" s="289"/>
      <c r="G955" s="289"/>
      <c r="H955" s="20"/>
    </row>
    <row r="956" spans="2:8" x14ac:dyDescent="0.35">
      <c r="B956" s="20"/>
      <c r="C956" s="20"/>
      <c r="D956" s="20"/>
      <c r="E956" s="288"/>
      <c r="F956" s="289"/>
      <c r="G956" s="289"/>
      <c r="H956" s="20"/>
    </row>
    <row r="957" spans="2:8" x14ac:dyDescent="0.35">
      <c r="B957" s="20"/>
      <c r="C957" s="20"/>
      <c r="D957" s="20"/>
      <c r="E957" s="288"/>
      <c r="F957" s="289"/>
      <c r="G957" s="289"/>
      <c r="H957" s="20"/>
    </row>
    <row r="958" spans="2:8" x14ac:dyDescent="0.35">
      <c r="B958" s="20"/>
      <c r="C958" s="20"/>
      <c r="D958" s="20"/>
      <c r="E958" s="288"/>
      <c r="F958" s="289"/>
      <c r="G958" s="289"/>
      <c r="H958" s="20"/>
    </row>
    <row r="959" spans="2:8" x14ac:dyDescent="0.35">
      <c r="B959" s="20"/>
      <c r="C959" s="20"/>
      <c r="D959" s="20"/>
      <c r="E959" s="288"/>
      <c r="F959" s="289"/>
      <c r="G959" s="289"/>
      <c r="H959" s="20"/>
    </row>
    <row r="960" spans="2:8" x14ac:dyDescent="0.35">
      <c r="B960" s="20"/>
      <c r="C960" s="20"/>
      <c r="D960" s="20"/>
      <c r="E960" s="288"/>
      <c r="F960" s="289"/>
      <c r="G960" s="289"/>
      <c r="H960" s="20"/>
    </row>
    <row r="961" spans="2:8" x14ac:dyDescent="0.35">
      <c r="B961" s="20"/>
      <c r="C961" s="20"/>
      <c r="D961" s="20"/>
      <c r="E961" s="288"/>
      <c r="F961" s="289"/>
      <c r="G961" s="289"/>
      <c r="H961" s="20"/>
    </row>
    <row r="962" spans="2:8" x14ac:dyDescent="0.35">
      <c r="B962" s="20"/>
      <c r="C962" s="20"/>
      <c r="D962" s="20"/>
      <c r="E962" s="288"/>
      <c r="F962" s="289"/>
      <c r="G962" s="289"/>
      <c r="H962" s="20"/>
    </row>
    <row r="963" spans="2:8" x14ac:dyDescent="0.35">
      <c r="B963" s="20"/>
      <c r="C963" s="20"/>
      <c r="D963" s="20"/>
      <c r="E963" s="288"/>
      <c r="F963" s="289"/>
      <c r="G963" s="289"/>
      <c r="H963" s="20"/>
    </row>
    <row r="964" spans="2:8" x14ac:dyDescent="0.35">
      <c r="B964" s="20"/>
      <c r="C964" s="20"/>
      <c r="D964" s="20"/>
      <c r="E964" s="288"/>
      <c r="F964" s="289"/>
      <c r="G964" s="289"/>
      <c r="H964" s="20"/>
    </row>
    <row r="965" spans="2:8" x14ac:dyDescent="0.35">
      <c r="B965" s="20"/>
      <c r="C965" s="20"/>
      <c r="D965" s="20"/>
      <c r="E965" s="288"/>
      <c r="F965" s="289"/>
      <c r="G965" s="289"/>
      <c r="H965" s="20"/>
    </row>
    <row r="966" spans="2:8" x14ac:dyDescent="0.35">
      <c r="B966" s="20"/>
      <c r="C966" s="20"/>
      <c r="D966" s="20"/>
      <c r="E966" s="288"/>
      <c r="F966" s="289"/>
      <c r="G966" s="289"/>
      <c r="H966" s="20"/>
    </row>
    <row r="967" spans="2:8" x14ac:dyDescent="0.35">
      <c r="B967" s="20"/>
      <c r="C967" s="20"/>
      <c r="D967" s="20"/>
      <c r="E967" s="288"/>
      <c r="F967" s="289"/>
      <c r="G967" s="289"/>
      <c r="H967" s="20"/>
    </row>
    <row r="968" spans="2:8" x14ac:dyDescent="0.35">
      <c r="B968" s="20"/>
      <c r="C968" s="20"/>
      <c r="D968" s="20"/>
      <c r="E968" s="288"/>
      <c r="F968" s="289"/>
      <c r="G968" s="289"/>
      <c r="H968" s="20"/>
    </row>
    <row r="969" spans="2:8" x14ac:dyDescent="0.35">
      <c r="B969" s="20"/>
      <c r="C969" s="20"/>
      <c r="D969" s="20"/>
      <c r="E969" s="288"/>
      <c r="F969" s="289"/>
      <c r="G969" s="289"/>
      <c r="H969" s="20"/>
    </row>
    <row r="970" spans="2:8" x14ac:dyDescent="0.35">
      <c r="B970" s="20"/>
      <c r="C970" s="20"/>
      <c r="D970" s="20"/>
      <c r="E970" s="288"/>
      <c r="F970" s="289"/>
      <c r="G970" s="289"/>
      <c r="H970" s="20"/>
    </row>
    <row r="971" spans="2:8" x14ac:dyDescent="0.35">
      <c r="B971" s="20"/>
      <c r="C971" s="20"/>
      <c r="D971" s="20"/>
      <c r="E971" s="288"/>
      <c r="F971" s="289"/>
      <c r="G971" s="289"/>
      <c r="H971" s="20"/>
    </row>
    <row r="972" spans="2:8" x14ac:dyDescent="0.35">
      <c r="B972" s="20"/>
      <c r="C972" s="20"/>
      <c r="D972" s="20"/>
      <c r="E972" s="288"/>
      <c r="F972" s="289"/>
      <c r="G972" s="289"/>
      <c r="H972" s="20"/>
    </row>
    <row r="973" spans="2:8" x14ac:dyDescent="0.35">
      <c r="B973" s="20"/>
      <c r="C973" s="20"/>
      <c r="D973" s="20"/>
      <c r="E973" s="288"/>
      <c r="F973" s="289"/>
      <c r="G973" s="289"/>
      <c r="H973" s="20"/>
    </row>
    <row r="974" spans="2:8" x14ac:dyDescent="0.35">
      <c r="B974" s="20"/>
      <c r="C974" s="20"/>
      <c r="D974" s="20"/>
      <c r="E974" s="288"/>
      <c r="F974" s="289"/>
      <c r="G974" s="289"/>
      <c r="H974" s="20"/>
    </row>
    <row r="975" spans="2:8" x14ac:dyDescent="0.35">
      <c r="B975" s="20"/>
      <c r="C975" s="20"/>
      <c r="D975" s="20"/>
      <c r="E975" s="288"/>
      <c r="F975" s="289"/>
      <c r="G975" s="289"/>
      <c r="H975" s="20"/>
    </row>
    <row r="976" spans="2:8" x14ac:dyDescent="0.35">
      <c r="B976" s="20"/>
      <c r="C976" s="20"/>
      <c r="D976" s="20"/>
      <c r="E976" s="288"/>
      <c r="F976" s="289"/>
      <c r="G976" s="289"/>
      <c r="H976" s="20"/>
    </row>
    <row r="977" spans="2:8" x14ac:dyDescent="0.35">
      <c r="B977" s="20"/>
      <c r="C977" s="20"/>
      <c r="D977" s="20"/>
      <c r="E977" s="288"/>
      <c r="F977" s="289"/>
      <c r="G977" s="289"/>
      <c r="H977" s="20"/>
    </row>
    <row r="978" spans="2:8" x14ac:dyDescent="0.35">
      <c r="B978" s="20"/>
      <c r="C978" s="20"/>
      <c r="D978" s="20"/>
      <c r="E978" s="288"/>
      <c r="F978" s="289"/>
      <c r="G978" s="289"/>
      <c r="H978" s="20"/>
    </row>
    <row r="979" spans="2:8" x14ac:dyDescent="0.35">
      <c r="B979" s="20"/>
      <c r="C979" s="20"/>
      <c r="D979" s="20"/>
      <c r="E979" s="288"/>
      <c r="F979" s="289"/>
      <c r="G979" s="289"/>
      <c r="H979" s="20"/>
    </row>
    <row r="980" spans="2:8" x14ac:dyDescent="0.35">
      <c r="B980" s="20"/>
      <c r="C980" s="20"/>
      <c r="D980" s="20"/>
      <c r="E980" s="288"/>
      <c r="F980" s="289"/>
      <c r="G980" s="289"/>
      <c r="H980" s="20"/>
    </row>
    <row r="981" spans="2:8" x14ac:dyDescent="0.35">
      <c r="B981" s="20"/>
      <c r="C981" s="20"/>
      <c r="D981" s="20"/>
      <c r="E981" s="288"/>
      <c r="F981" s="289"/>
      <c r="G981" s="289"/>
      <c r="H981" s="20"/>
    </row>
    <row r="982" spans="2:8" x14ac:dyDescent="0.35">
      <c r="B982" s="20"/>
      <c r="C982" s="20"/>
      <c r="D982" s="20"/>
      <c r="E982" s="288"/>
      <c r="F982" s="289"/>
      <c r="G982" s="289"/>
      <c r="H982" s="20"/>
    </row>
    <row r="983" spans="2:8" x14ac:dyDescent="0.35">
      <c r="B983" s="20"/>
      <c r="C983" s="20"/>
      <c r="D983" s="20"/>
      <c r="E983" s="288"/>
      <c r="F983" s="289"/>
      <c r="G983" s="289"/>
      <c r="H983" s="20"/>
    </row>
    <row r="984" spans="2:8" x14ac:dyDescent="0.35">
      <c r="B984" s="20"/>
      <c r="C984" s="20"/>
      <c r="D984" s="20"/>
      <c r="E984" s="288"/>
      <c r="F984" s="289"/>
      <c r="G984" s="289"/>
      <c r="H984" s="20"/>
    </row>
    <row r="985" spans="2:8" x14ac:dyDescent="0.35">
      <c r="B985" s="20"/>
      <c r="C985" s="20"/>
      <c r="D985" s="20"/>
      <c r="E985" s="288"/>
      <c r="F985" s="289"/>
      <c r="G985" s="289"/>
      <c r="H985" s="20"/>
    </row>
    <row r="986" spans="2:8" x14ac:dyDescent="0.35">
      <c r="B986" s="20"/>
      <c r="C986" s="20"/>
      <c r="D986" s="20"/>
      <c r="E986" s="288"/>
      <c r="F986" s="289"/>
      <c r="G986" s="289"/>
      <c r="H986" s="20"/>
    </row>
    <row r="987" spans="2:8" x14ac:dyDescent="0.35">
      <c r="B987" s="20"/>
      <c r="C987" s="20"/>
      <c r="D987" s="20"/>
      <c r="E987" s="288"/>
      <c r="F987" s="289"/>
      <c r="G987" s="289"/>
      <c r="H987" s="20"/>
    </row>
    <row r="988" spans="2:8" x14ac:dyDescent="0.35">
      <c r="B988" s="20"/>
      <c r="C988" s="20"/>
      <c r="D988" s="20"/>
      <c r="E988" s="288"/>
      <c r="F988" s="289"/>
      <c r="G988" s="289"/>
      <c r="H988" s="20"/>
    </row>
    <row r="989" spans="2:8" x14ac:dyDescent="0.35">
      <c r="B989" s="20"/>
      <c r="C989" s="20"/>
      <c r="D989" s="20"/>
      <c r="E989" s="288"/>
      <c r="F989" s="289"/>
      <c r="G989" s="289"/>
      <c r="H989" s="20"/>
    </row>
    <row r="990" spans="2:8" x14ac:dyDescent="0.35">
      <c r="B990" s="20"/>
      <c r="C990" s="20"/>
      <c r="D990" s="20"/>
      <c r="E990" s="288"/>
      <c r="F990" s="289"/>
      <c r="G990" s="289"/>
      <c r="H990" s="20"/>
    </row>
    <row r="991" spans="2:8" x14ac:dyDescent="0.35">
      <c r="B991" s="20"/>
      <c r="C991" s="20"/>
      <c r="D991" s="20"/>
      <c r="E991" s="288"/>
      <c r="F991" s="289"/>
      <c r="G991" s="289"/>
      <c r="H991" s="20"/>
    </row>
    <row r="992" spans="2:8" x14ac:dyDescent="0.35">
      <c r="B992" s="20"/>
      <c r="C992" s="20"/>
      <c r="D992" s="20"/>
      <c r="E992" s="288"/>
      <c r="F992" s="289"/>
      <c r="G992" s="289"/>
      <c r="H992" s="20"/>
    </row>
    <row r="993" spans="2:8" x14ac:dyDescent="0.35">
      <c r="B993" s="20"/>
      <c r="C993" s="20"/>
      <c r="D993" s="20"/>
      <c r="E993" s="288"/>
      <c r="F993" s="289"/>
      <c r="G993" s="289"/>
      <c r="H993" s="20"/>
    </row>
    <row r="994" spans="2:8" x14ac:dyDescent="0.35">
      <c r="B994" s="20"/>
      <c r="C994" s="20"/>
      <c r="D994" s="20"/>
      <c r="E994" s="288"/>
      <c r="F994" s="289"/>
      <c r="G994" s="289"/>
      <c r="H994" s="20"/>
    </row>
    <row r="995" spans="2:8" x14ac:dyDescent="0.35">
      <c r="B995" s="20"/>
      <c r="C995" s="20"/>
      <c r="D995" s="20"/>
      <c r="E995" s="288"/>
      <c r="F995" s="289"/>
      <c r="G995" s="289"/>
      <c r="H995" s="20"/>
    </row>
    <row r="996" spans="2:8" x14ac:dyDescent="0.35">
      <c r="B996" s="20"/>
      <c r="C996" s="20"/>
      <c r="D996" s="20"/>
      <c r="E996" s="288"/>
      <c r="F996" s="289"/>
      <c r="G996" s="289"/>
      <c r="H996" s="20"/>
    </row>
    <row r="997" spans="2:8" x14ac:dyDescent="0.35">
      <c r="B997" s="20"/>
      <c r="C997" s="20"/>
      <c r="D997" s="20"/>
      <c r="E997" s="288"/>
      <c r="F997" s="289"/>
      <c r="G997" s="289"/>
      <c r="H997" s="20"/>
    </row>
    <row r="998" spans="2:8" x14ac:dyDescent="0.35">
      <c r="B998" s="20"/>
      <c r="C998" s="20"/>
      <c r="D998" s="20"/>
      <c r="E998" s="288"/>
      <c r="F998" s="289"/>
      <c r="G998" s="289"/>
      <c r="H998" s="20"/>
    </row>
    <row r="999" spans="2:8" x14ac:dyDescent="0.35">
      <c r="B999" s="20"/>
      <c r="C999" s="20"/>
      <c r="D999" s="20"/>
      <c r="E999" s="288"/>
      <c r="F999" s="289"/>
      <c r="G999" s="289"/>
      <c r="H999" s="20"/>
    </row>
    <row r="1000" spans="2:8" x14ac:dyDescent="0.35">
      <c r="B1000" s="20"/>
      <c r="C1000" s="20"/>
      <c r="D1000" s="20"/>
      <c r="E1000" s="288"/>
      <c r="F1000" s="289"/>
      <c r="G1000" s="289"/>
      <c r="H1000" s="20"/>
    </row>
    <row r="1001" spans="2:8" x14ac:dyDescent="0.35">
      <c r="B1001" s="20"/>
      <c r="C1001" s="20"/>
      <c r="D1001" s="20"/>
      <c r="E1001" s="288"/>
      <c r="F1001" s="289"/>
      <c r="G1001" s="289"/>
      <c r="H1001" s="20"/>
    </row>
    <row r="1002" spans="2:8" x14ac:dyDescent="0.35">
      <c r="B1002" s="20"/>
      <c r="C1002" s="20"/>
      <c r="D1002" s="20"/>
      <c r="E1002" s="288"/>
      <c r="F1002" s="289"/>
      <c r="G1002" s="289"/>
      <c r="H1002" s="20"/>
    </row>
    <row r="1003" spans="2:8" x14ac:dyDescent="0.35">
      <c r="B1003" s="20"/>
      <c r="C1003" s="20"/>
      <c r="D1003" s="20"/>
      <c r="E1003" s="288"/>
      <c r="F1003" s="289"/>
      <c r="G1003" s="289"/>
      <c r="H1003" s="20"/>
    </row>
    <row r="1004" spans="2:8" x14ac:dyDescent="0.35">
      <c r="B1004" s="20"/>
      <c r="C1004" s="20"/>
      <c r="D1004" s="20"/>
      <c r="E1004" s="288"/>
      <c r="F1004" s="289"/>
      <c r="G1004" s="289"/>
      <c r="H1004" s="20"/>
    </row>
    <row r="1005" spans="2:8" x14ac:dyDescent="0.35">
      <c r="B1005" s="20"/>
      <c r="C1005" s="20"/>
      <c r="D1005" s="20"/>
      <c r="E1005" s="288"/>
      <c r="F1005" s="289"/>
      <c r="G1005" s="289"/>
      <c r="H1005" s="20"/>
    </row>
    <row r="1006" spans="2:8" x14ac:dyDescent="0.35">
      <c r="B1006" s="20"/>
      <c r="C1006" s="20"/>
      <c r="D1006" s="20"/>
      <c r="E1006" s="288"/>
      <c r="F1006" s="289"/>
      <c r="G1006" s="289"/>
      <c r="H1006" s="20"/>
    </row>
    <row r="1007" spans="2:8" x14ac:dyDescent="0.35">
      <c r="B1007" s="20"/>
      <c r="C1007" s="20"/>
      <c r="D1007" s="20"/>
      <c r="E1007" s="288"/>
      <c r="F1007" s="289"/>
      <c r="G1007" s="289"/>
      <c r="H1007" s="20"/>
    </row>
    <row r="1008" spans="2:8" x14ac:dyDescent="0.35">
      <c r="B1008" s="20"/>
      <c r="C1008" s="20"/>
      <c r="D1008" s="20"/>
      <c r="E1008" s="288"/>
      <c r="F1008" s="289"/>
      <c r="G1008" s="289"/>
      <c r="H1008" s="20"/>
    </row>
    <row r="1009" spans="2:8" x14ac:dyDescent="0.35">
      <c r="B1009" s="20"/>
      <c r="C1009" s="20"/>
      <c r="D1009" s="20"/>
      <c r="E1009" s="288"/>
      <c r="F1009" s="289"/>
      <c r="G1009" s="289"/>
      <c r="H1009" s="20"/>
    </row>
    <row r="1010" spans="2:8" x14ac:dyDescent="0.35">
      <c r="B1010" s="20"/>
      <c r="C1010" s="20"/>
      <c r="D1010" s="20"/>
      <c r="E1010" s="288"/>
      <c r="F1010" s="289"/>
      <c r="G1010" s="289"/>
      <c r="H1010" s="20"/>
    </row>
    <row r="1011" spans="2:8" x14ac:dyDescent="0.35">
      <c r="B1011" s="20"/>
      <c r="C1011" s="20"/>
      <c r="D1011" s="20"/>
      <c r="E1011" s="288"/>
      <c r="F1011" s="289"/>
      <c r="G1011" s="289"/>
      <c r="H1011" s="20"/>
    </row>
    <row r="1012" spans="2:8" x14ac:dyDescent="0.35">
      <c r="B1012" s="20"/>
      <c r="C1012" s="20"/>
      <c r="D1012" s="20"/>
      <c r="E1012" s="288"/>
      <c r="F1012" s="289"/>
      <c r="G1012" s="289"/>
      <c r="H1012" s="20"/>
    </row>
    <row r="1013" spans="2:8" x14ac:dyDescent="0.35">
      <c r="B1013" s="20"/>
      <c r="C1013" s="20"/>
      <c r="D1013" s="20"/>
      <c r="E1013" s="288"/>
      <c r="F1013" s="289"/>
      <c r="G1013" s="289"/>
      <c r="H1013" s="20"/>
    </row>
    <row r="1014" spans="2:8" x14ac:dyDescent="0.35">
      <c r="B1014" s="20"/>
      <c r="C1014" s="20"/>
      <c r="D1014" s="20"/>
      <c r="E1014" s="288"/>
      <c r="F1014" s="289"/>
      <c r="G1014" s="289"/>
      <c r="H1014" s="20"/>
    </row>
    <row r="1015" spans="2:8" x14ac:dyDescent="0.35">
      <c r="B1015" s="20"/>
      <c r="C1015" s="20"/>
      <c r="D1015" s="20"/>
      <c r="E1015" s="288"/>
      <c r="F1015" s="289"/>
      <c r="G1015" s="289"/>
      <c r="H1015" s="20"/>
    </row>
    <row r="1016" spans="2:8" x14ac:dyDescent="0.35">
      <c r="B1016" s="20"/>
      <c r="C1016" s="20"/>
      <c r="D1016" s="20"/>
      <c r="E1016" s="288"/>
      <c r="F1016" s="289"/>
      <c r="G1016" s="289"/>
      <c r="H1016" s="20"/>
    </row>
    <row r="1017" spans="2:8" x14ac:dyDescent="0.35">
      <c r="B1017" s="20"/>
      <c r="C1017" s="20"/>
      <c r="D1017" s="20"/>
      <c r="E1017" s="288"/>
      <c r="F1017" s="289"/>
      <c r="G1017" s="289"/>
      <c r="H1017" s="20"/>
    </row>
    <row r="1018" spans="2:8" x14ac:dyDescent="0.35">
      <c r="B1018" s="20"/>
      <c r="C1018" s="20"/>
      <c r="D1018" s="20"/>
      <c r="E1018" s="288"/>
      <c r="F1018" s="289"/>
      <c r="G1018" s="289"/>
      <c r="H1018" s="20"/>
    </row>
    <row r="1019" spans="2:8" x14ac:dyDescent="0.35">
      <c r="B1019" s="20"/>
      <c r="C1019" s="20"/>
      <c r="D1019" s="20"/>
      <c r="E1019" s="288"/>
      <c r="F1019" s="289"/>
      <c r="G1019" s="289"/>
      <c r="H1019" s="20"/>
    </row>
    <row r="1020" spans="2:8" x14ac:dyDescent="0.35">
      <c r="B1020" s="20"/>
      <c r="C1020" s="20"/>
      <c r="D1020" s="20"/>
      <c r="E1020" s="288"/>
      <c r="F1020" s="289"/>
      <c r="G1020" s="289"/>
      <c r="H1020" s="20"/>
    </row>
    <row r="1021" spans="2:8" x14ac:dyDescent="0.35">
      <c r="B1021" s="20"/>
      <c r="C1021" s="20"/>
      <c r="D1021" s="20"/>
      <c r="E1021" s="288"/>
      <c r="F1021" s="289"/>
      <c r="G1021" s="289"/>
      <c r="H1021" s="20"/>
    </row>
    <row r="1022" spans="2:8" x14ac:dyDescent="0.35">
      <c r="B1022" s="20"/>
      <c r="C1022" s="20"/>
      <c r="D1022" s="20"/>
      <c r="E1022" s="288"/>
      <c r="F1022" s="289"/>
      <c r="G1022" s="289"/>
      <c r="H1022" s="20"/>
    </row>
    <row r="1023" spans="2:8" x14ac:dyDescent="0.35">
      <c r="B1023" s="20"/>
      <c r="C1023" s="20"/>
      <c r="D1023" s="20"/>
      <c r="E1023" s="288"/>
      <c r="F1023" s="289"/>
      <c r="G1023" s="289"/>
      <c r="H1023" s="20"/>
    </row>
    <row r="1024" spans="2:8" x14ac:dyDescent="0.35">
      <c r="B1024" s="20"/>
      <c r="C1024" s="20"/>
      <c r="D1024" s="20"/>
      <c r="E1024" s="288"/>
      <c r="F1024" s="289"/>
      <c r="G1024" s="289"/>
      <c r="H1024" s="20"/>
    </row>
    <row r="1025" spans="2:8" x14ac:dyDescent="0.35">
      <c r="B1025" s="20"/>
      <c r="C1025" s="20"/>
      <c r="D1025" s="20"/>
      <c r="E1025" s="288"/>
      <c r="F1025" s="289"/>
      <c r="G1025" s="289"/>
      <c r="H1025" s="20"/>
    </row>
    <row r="1026" spans="2:8" x14ac:dyDescent="0.35">
      <c r="B1026" s="20"/>
      <c r="C1026" s="20"/>
      <c r="D1026" s="20"/>
      <c r="E1026" s="288"/>
      <c r="F1026" s="20"/>
      <c r="G1026" s="20"/>
      <c r="H1026" s="20"/>
    </row>
    <row r="1027" spans="2:8" x14ac:dyDescent="0.35">
      <c r="E1027" s="20"/>
      <c r="F1027" s="20"/>
      <c r="G1027" s="20"/>
      <c r="H1027" s="20"/>
    </row>
  </sheetData>
  <sheetProtection algorithmName="SHA-512" hashValue="OCZFBg5NB1+A78K5fz2kPrtbYf7NGFwUdKRW1UakgigqtUx9p75wPYEKWCtNMyAUK+BwhlwPON3G6XhUhsrA4w==" saltValue="NKd7Gu2/+tpPaaLBXmG19g=="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Spinner 1">
              <controlPr defaultSize="0" autoPict="0">
                <anchor moveWithCells="1" sizeWithCells="1">
                  <from>
                    <xdr:col>2</xdr:col>
                    <xdr:colOff>1200150</xdr:colOff>
                    <xdr:row>14</xdr:row>
                    <xdr:rowOff>57150</xdr:rowOff>
                  </from>
                  <to>
                    <xdr:col>2</xdr:col>
                    <xdr:colOff>1543050</xdr:colOff>
                    <xdr:row>14</xdr:row>
                    <xdr:rowOff>241300</xdr:rowOff>
                  </to>
                </anchor>
              </controlPr>
            </control>
          </mc:Choice>
        </mc:AlternateContent>
        <mc:AlternateContent xmlns:mc="http://schemas.openxmlformats.org/markup-compatibility/2006">
          <mc:Choice Requires="x14">
            <control shapeId="36866" r:id="rId5" name="Spinner 2">
              <controlPr defaultSize="0" autoPict="0">
                <anchor moveWithCells="1" sizeWithCells="1">
                  <from>
                    <xdr:col>2</xdr:col>
                    <xdr:colOff>1200150</xdr:colOff>
                    <xdr:row>16</xdr:row>
                    <xdr:rowOff>57150</xdr:rowOff>
                  </from>
                  <to>
                    <xdr:col>2</xdr:col>
                    <xdr:colOff>1543050</xdr:colOff>
                    <xdr:row>16</xdr:row>
                    <xdr:rowOff>241300</xdr:rowOff>
                  </to>
                </anchor>
              </controlPr>
            </control>
          </mc:Choice>
        </mc:AlternateContent>
        <mc:AlternateContent xmlns:mc="http://schemas.openxmlformats.org/markup-compatibility/2006">
          <mc:Choice Requires="x14">
            <control shapeId="36867" r:id="rId6" name="Spinner 3">
              <controlPr defaultSize="0" autoPict="0">
                <anchor moveWithCells="1" sizeWithCells="1">
                  <from>
                    <xdr:col>2</xdr:col>
                    <xdr:colOff>1022350</xdr:colOff>
                    <xdr:row>20</xdr:row>
                    <xdr:rowOff>0</xdr:rowOff>
                  </from>
                  <to>
                    <xdr:col>2</xdr:col>
                    <xdr:colOff>1365250</xdr:colOff>
                    <xdr:row>20</xdr:row>
                    <xdr:rowOff>0</xdr:rowOff>
                  </to>
                </anchor>
              </controlPr>
            </control>
          </mc:Choice>
        </mc:AlternateContent>
        <mc:AlternateContent xmlns:mc="http://schemas.openxmlformats.org/markup-compatibility/2006">
          <mc:Choice Requires="x14">
            <control shapeId="36868" r:id="rId7" name="Spinner 4">
              <controlPr defaultSize="0" autoPict="0">
                <anchor moveWithCells="1" sizeWithCells="1">
                  <from>
                    <xdr:col>2</xdr:col>
                    <xdr:colOff>1200150</xdr:colOff>
                    <xdr:row>20</xdr:row>
                    <xdr:rowOff>57150</xdr:rowOff>
                  </from>
                  <to>
                    <xdr:col>2</xdr:col>
                    <xdr:colOff>1543050</xdr:colOff>
                    <xdr:row>20</xdr:row>
                    <xdr:rowOff>241300</xdr:rowOff>
                  </to>
                </anchor>
              </controlPr>
            </control>
          </mc:Choice>
        </mc:AlternateContent>
        <mc:AlternateContent xmlns:mc="http://schemas.openxmlformats.org/markup-compatibility/2006">
          <mc:Choice Requires="x14">
            <control shapeId="36869" r:id="rId8" name="Spinner 5">
              <controlPr defaultSize="0" autoPict="0">
                <anchor moveWithCells="1" sizeWithCells="1">
                  <from>
                    <xdr:col>2</xdr:col>
                    <xdr:colOff>1200150</xdr:colOff>
                    <xdr:row>22</xdr:row>
                    <xdr:rowOff>57150</xdr:rowOff>
                  </from>
                  <to>
                    <xdr:col>2</xdr:col>
                    <xdr:colOff>1543050</xdr:colOff>
                    <xdr:row>22</xdr:row>
                    <xdr:rowOff>241300</xdr:rowOff>
                  </to>
                </anchor>
              </controlPr>
            </control>
          </mc:Choice>
        </mc:AlternateContent>
        <mc:AlternateContent xmlns:mc="http://schemas.openxmlformats.org/markup-compatibility/2006">
          <mc:Choice Requires="x14">
            <control shapeId="36870" r:id="rId9" name="Spinner 6">
              <controlPr defaultSize="0" autoPict="0">
                <anchor moveWithCells="1" sizeWithCells="1">
                  <from>
                    <xdr:col>2</xdr:col>
                    <xdr:colOff>1022350</xdr:colOff>
                    <xdr:row>20</xdr:row>
                    <xdr:rowOff>0</xdr:rowOff>
                  </from>
                  <to>
                    <xdr:col>2</xdr:col>
                    <xdr:colOff>1365250</xdr:colOff>
                    <xdr:row>20</xdr:row>
                    <xdr:rowOff>0</xdr:rowOff>
                  </to>
                </anchor>
              </controlPr>
            </control>
          </mc:Choice>
        </mc:AlternateContent>
        <mc:AlternateContent xmlns:mc="http://schemas.openxmlformats.org/markup-compatibility/2006">
          <mc:Choice Requires="x14">
            <control shapeId="36871" r:id="rId10" name="Spinner 7">
              <controlPr defaultSize="0" autoPict="0">
                <anchor moveWithCells="1" sizeWithCells="1">
                  <from>
                    <xdr:col>2</xdr:col>
                    <xdr:colOff>1028700</xdr:colOff>
                    <xdr:row>20</xdr:row>
                    <xdr:rowOff>0</xdr:rowOff>
                  </from>
                  <to>
                    <xdr:col>3</xdr:col>
                    <xdr:colOff>0</xdr:colOff>
                    <xdr:row>20</xdr:row>
                    <xdr:rowOff>0</xdr:rowOff>
                  </to>
                </anchor>
              </controlPr>
            </control>
          </mc:Choice>
        </mc:AlternateContent>
        <mc:AlternateContent xmlns:mc="http://schemas.openxmlformats.org/markup-compatibility/2006">
          <mc:Choice Requires="x14">
            <control shapeId="36904" r:id="rId11" name="Spinner 40">
              <controlPr defaultSize="0" autoPict="0">
                <anchor moveWithCells="1" sizeWithCells="1">
                  <from>
                    <xdr:col>2</xdr:col>
                    <xdr:colOff>1200150</xdr:colOff>
                    <xdr:row>18</xdr:row>
                    <xdr:rowOff>57150</xdr:rowOff>
                  </from>
                  <to>
                    <xdr:col>2</xdr:col>
                    <xdr:colOff>1543050</xdr:colOff>
                    <xdr:row>18</xdr:row>
                    <xdr:rowOff>241300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XFD1509"/>
  <sheetViews>
    <sheetView zoomScaleNormal="100" workbookViewId="0"/>
  </sheetViews>
  <sheetFormatPr defaultColWidth="16.7265625" defaultRowHeight="14.5" x14ac:dyDescent="0.35"/>
  <cols>
    <col min="1" max="1" width="3.26953125" style="18" customWidth="1"/>
    <col min="2" max="2" width="93" style="18" customWidth="1"/>
    <col min="3" max="3" width="25.7265625" style="18" customWidth="1"/>
    <col min="4" max="4" width="46" style="18" customWidth="1"/>
    <col min="5" max="5" width="16.7265625" style="18"/>
    <col min="6" max="6" width="21.453125" style="18" bestFit="1" customWidth="1"/>
    <col min="7" max="8" width="16.7265625" style="18"/>
    <col min="9" max="36" width="16.7265625" style="432"/>
    <col min="37" max="16384" width="16.7265625" style="18"/>
  </cols>
  <sheetData>
    <row r="1" spans="1:3" x14ac:dyDescent="0.35">
      <c r="A1" s="17"/>
    </row>
    <row r="2" spans="1:3" x14ac:dyDescent="0.35">
      <c r="A2" s="17"/>
      <c r="C2" s="18">
        <v>754</v>
      </c>
    </row>
    <row r="3" spans="1:3" x14ac:dyDescent="0.35">
      <c r="A3" s="17"/>
    </row>
    <row r="4" spans="1:3" x14ac:dyDescent="0.35">
      <c r="A4" s="17"/>
    </row>
    <row r="5" spans="1:3" x14ac:dyDescent="0.35">
      <c r="A5" s="17"/>
    </row>
    <row r="6" spans="1:3" x14ac:dyDescent="0.35">
      <c r="A6" s="17"/>
    </row>
    <row r="7" spans="1:3" x14ac:dyDescent="0.35">
      <c r="A7" s="17"/>
    </row>
    <row r="8" spans="1:3" x14ac:dyDescent="0.35">
      <c r="A8" s="17"/>
    </row>
    <row r="9" spans="1:3" x14ac:dyDescent="0.35">
      <c r="A9" s="432"/>
    </row>
    <row r="10" spans="1:3" x14ac:dyDescent="0.35">
      <c r="A10" s="432"/>
    </row>
    <row r="11" spans="1:3" x14ac:dyDescent="0.35">
      <c r="A11" s="432"/>
    </row>
    <row r="12" spans="1:3" ht="20.149999999999999" customHeight="1" x14ac:dyDescent="0.35">
      <c r="A12" s="17"/>
      <c r="B12" s="511" t="s">
        <v>946</v>
      </c>
      <c r="C12" s="510"/>
    </row>
    <row r="13" spans="1:3" ht="20.149999999999999" customHeight="1" x14ac:dyDescent="0.35">
      <c r="A13" s="432"/>
      <c r="B13" s="171" t="s">
        <v>698</v>
      </c>
      <c r="C13" s="140">
        <f>'Baseline farm'!D19</f>
        <v>0</v>
      </c>
    </row>
    <row r="14" spans="1:3" ht="20.149999999999999" customHeight="1" x14ac:dyDescent="0.35">
      <c r="A14" s="17"/>
      <c r="B14" s="171" t="s">
        <v>427</v>
      </c>
      <c r="C14" s="7">
        <f>'Baseline farm'!D21</f>
        <v>0</v>
      </c>
    </row>
    <row r="15" spans="1:3" ht="20.149999999999999" hidden="1" customHeight="1" x14ac:dyDescent="0.35">
      <c r="A15" s="17"/>
      <c r="B15" s="171" t="s">
        <v>15</v>
      </c>
      <c r="C15" s="8">
        <v>0</v>
      </c>
    </row>
    <row r="16" spans="1:3" ht="20.149999999999999" customHeight="1" x14ac:dyDescent="0.35">
      <c r="A16" s="17"/>
      <c r="B16" s="171" t="s">
        <v>458</v>
      </c>
      <c r="C16" s="8" t="e">
        <f>'Baseline farm'!H35</f>
        <v>#DIV/0!</v>
      </c>
    </row>
    <row r="17" spans="1:3" ht="20.149999999999999" customHeight="1" x14ac:dyDescent="0.35">
      <c r="A17" s="17"/>
      <c r="B17" s="171" t="s">
        <v>476</v>
      </c>
      <c r="C17" s="7">
        <f>'Baseline farm'!D35</f>
        <v>0</v>
      </c>
    </row>
    <row r="18" spans="1:3" ht="20.149999999999999" customHeight="1" x14ac:dyDescent="0.35">
      <c r="A18" s="17"/>
      <c r="B18" s="268" t="s">
        <v>459</v>
      </c>
      <c r="C18" s="8" t="e">
        <f>'Baseline farm'!F44</f>
        <v>#DIV/0!</v>
      </c>
    </row>
    <row r="19" spans="1:3" ht="20.149999999999999" customHeight="1" x14ac:dyDescent="0.35">
      <c r="A19" s="17"/>
      <c r="B19" s="269" t="s">
        <v>460</v>
      </c>
      <c r="C19" s="115" t="e">
        <f>'Baseline farm'!H44</f>
        <v>#DIV/0!</v>
      </c>
    </row>
    <row r="20" spans="1:3" ht="20.149999999999999" customHeight="1" x14ac:dyDescent="0.35">
      <c r="A20" s="17"/>
      <c r="B20" s="512" t="s">
        <v>947</v>
      </c>
      <c r="C20" s="332"/>
    </row>
    <row r="21" spans="1:3" ht="20.149999999999999" customHeight="1" x14ac:dyDescent="0.35">
      <c r="A21" s="17"/>
      <c r="B21" s="270" t="s">
        <v>57</v>
      </c>
      <c r="C21" s="661">
        <f>C75/10</f>
        <v>4</v>
      </c>
    </row>
    <row r="22" spans="1:3" ht="4.5" customHeight="1" x14ac:dyDescent="0.35">
      <c r="A22" s="17"/>
      <c r="B22" s="270"/>
      <c r="C22" s="304"/>
    </row>
    <row r="23" spans="1:3" ht="20.149999999999999" hidden="1" customHeight="1" x14ac:dyDescent="0.35">
      <c r="A23" s="17"/>
      <c r="B23" s="270" t="s">
        <v>94</v>
      </c>
      <c r="C23" s="305" t="e">
        <f>#REF!</f>
        <v>#REF!</v>
      </c>
    </row>
    <row r="24" spans="1:3" ht="4.5" hidden="1" customHeight="1" x14ac:dyDescent="0.35">
      <c r="A24" s="17"/>
      <c r="B24" s="270"/>
      <c r="C24" s="305"/>
    </row>
    <row r="25" spans="1:3" ht="20.149999999999999" customHeight="1" x14ac:dyDescent="0.35">
      <c r="A25" s="17"/>
      <c r="B25" s="270" t="s">
        <v>58</v>
      </c>
      <c r="C25" s="661">
        <f>C83/10</f>
        <v>4</v>
      </c>
    </row>
    <row r="26" spans="1:3" ht="5.15" customHeight="1" x14ac:dyDescent="0.35">
      <c r="A26" s="17"/>
      <c r="B26" s="270"/>
      <c r="C26" s="304"/>
    </row>
    <row r="27" spans="1:3" ht="20.149999999999999" customHeight="1" x14ac:dyDescent="0.35">
      <c r="A27" s="17"/>
      <c r="B27" s="270" t="s">
        <v>60</v>
      </c>
      <c r="C27" s="661">
        <f>C77/10</f>
        <v>72</v>
      </c>
    </row>
    <row r="28" spans="1:3" ht="4.5" customHeight="1" x14ac:dyDescent="0.35">
      <c r="A28" s="17"/>
      <c r="B28" s="270"/>
      <c r="C28" s="304"/>
    </row>
    <row r="29" spans="1:3" ht="20.149999999999999" customHeight="1" x14ac:dyDescent="0.35">
      <c r="A29" s="17"/>
      <c r="B29" s="270" t="s">
        <v>429</v>
      </c>
      <c r="C29" s="662">
        <f>C78/10</f>
        <v>17</v>
      </c>
    </row>
    <row r="30" spans="1:3" ht="5.15" customHeight="1" x14ac:dyDescent="0.35">
      <c r="A30" s="17"/>
      <c r="B30" s="270"/>
      <c r="C30" s="304"/>
    </row>
    <row r="31" spans="1:3" ht="20.149999999999999" customHeight="1" x14ac:dyDescent="0.35">
      <c r="A31" s="17"/>
      <c r="B31" s="270" t="s">
        <v>106</v>
      </c>
      <c r="C31" s="661">
        <f>C76/10</f>
        <v>3</v>
      </c>
    </row>
    <row r="32" spans="1:3" ht="5.15" customHeight="1" x14ac:dyDescent="0.35">
      <c r="A32" s="17"/>
      <c r="B32" s="270"/>
      <c r="C32" s="304"/>
    </row>
    <row r="33" spans="1:11" ht="20.149999999999999" customHeight="1" x14ac:dyDescent="0.35">
      <c r="A33" s="17"/>
      <c r="B33" s="270" t="s">
        <v>59</v>
      </c>
      <c r="C33" s="663">
        <f>C79/1</f>
        <v>250</v>
      </c>
      <c r="K33" s="493"/>
    </row>
    <row r="34" spans="1:11" ht="5.15" customHeight="1" x14ac:dyDescent="0.35">
      <c r="A34" s="17"/>
      <c r="B34" s="270"/>
      <c r="C34" s="304"/>
      <c r="K34" s="493"/>
    </row>
    <row r="35" spans="1:11" ht="20.149999999999999" customHeight="1" x14ac:dyDescent="0.35">
      <c r="A35" s="17"/>
      <c r="B35" s="270" t="s">
        <v>104</v>
      </c>
      <c r="C35" s="661">
        <f>C84/10</f>
        <v>80</v>
      </c>
    </row>
    <row r="36" spans="1:11" ht="5.15" customHeight="1" x14ac:dyDescent="0.35">
      <c r="A36" s="17"/>
      <c r="B36" s="270"/>
      <c r="C36" s="304"/>
    </row>
    <row r="37" spans="1:11" ht="19.5" customHeight="1" x14ac:dyDescent="0.35">
      <c r="A37" s="17"/>
      <c r="B37" s="270" t="s">
        <v>103</v>
      </c>
      <c r="C37" s="661">
        <f>C85/10</f>
        <v>12</v>
      </c>
    </row>
    <row r="38" spans="1:11" ht="5.15" customHeight="1" x14ac:dyDescent="0.35">
      <c r="A38" s="17"/>
      <c r="B38" s="270"/>
      <c r="C38" s="304"/>
    </row>
    <row r="39" spans="1:11" ht="20.149999999999999" customHeight="1" x14ac:dyDescent="0.35">
      <c r="A39" s="17"/>
      <c r="B39" s="270" t="s">
        <v>105</v>
      </c>
      <c r="C39" s="661">
        <f>C86/10</f>
        <v>10</v>
      </c>
    </row>
    <row r="40" spans="1:11" ht="5.15" customHeight="1" x14ac:dyDescent="0.35">
      <c r="A40" s="17"/>
      <c r="B40" s="270"/>
      <c r="C40" s="304"/>
    </row>
    <row r="41" spans="1:11" ht="20.149999999999999" customHeight="1" x14ac:dyDescent="0.35">
      <c r="A41" s="17"/>
      <c r="B41" s="270" t="s">
        <v>61</v>
      </c>
      <c r="C41" s="663">
        <f>C87/1</f>
        <v>300</v>
      </c>
    </row>
    <row r="42" spans="1:11" ht="5.15" customHeight="1" x14ac:dyDescent="0.35">
      <c r="A42" s="17"/>
      <c r="B42" s="270"/>
      <c r="C42" s="304"/>
    </row>
    <row r="43" spans="1:11" ht="20.149999999999999" customHeight="1" x14ac:dyDescent="0.35">
      <c r="A43" s="17"/>
      <c r="B43" s="270" t="s">
        <v>62</v>
      </c>
      <c r="C43" s="663">
        <f>C88/1</f>
        <v>150</v>
      </c>
    </row>
    <row r="44" spans="1:11" ht="5.15" customHeight="1" x14ac:dyDescent="0.35">
      <c r="A44" s="17"/>
      <c r="B44" s="270"/>
      <c r="C44" s="304"/>
    </row>
    <row r="45" spans="1:11" ht="20.149999999999999" customHeight="1" x14ac:dyDescent="0.35">
      <c r="A45" s="17"/>
      <c r="B45" s="172" t="s">
        <v>117</v>
      </c>
      <c r="C45" s="664">
        <f>$C$80/1000</f>
        <v>0.6</v>
      </c>
    </row>
    <row r="46" spans="1:11" ht="5.15" customHeight="1" x14ac:dyDescent="0.35">
      <c r="A46" s="17"/>
      <c r="B46" s="172"/>
      <c r="C46" s="306"/>
    </row>
    <row r="47" spans="1:11" ht="20.149999999999999" customHeight="1" x14ac:dyDescent="0.35">
      <c r="A47" s="17"/>
      <c r="B47" s="172" t="s">
        <v>118</v>
      </c>
      <c r="C47" s="664">
        <f>$C$81/1000</f>
        <v>0.6</v>
      </c>
    </row>
    <row r="48" spans="1:11" ht="5.15" customHeight="1" x14ac:dyDescent="0.35">
      <c r="A48" s="17"/>
      <c r="B48" s="172"/>
      <c r="C48" s="306"/>
    </row>
    <row r="49" spans="1:3" ht="20.149999999999999" customHeight="1" x14ac:dyDescent="0.35">
      <c r="A49" s="17"/>
      <c r="B49" s="172" t="s">
        <v>70</v>
      </c>
      <c r="C49" s="665">
        <f>C82/100</f>
        <v>30</v>
      </c>
    </row>
    <row r="50" spans="1:3" ht="5.15" customHeight="1" x14ac:dyDescent="0.35">
      <c r="A50" s="17"/>
      <c r="B50" s="172"/>
      <c r="C50" s="307"/>
    </row>
    <row r="51" spans="1:3" ht="20.149999999999999" customHeight="1" x14ac:dyDescent="0.35">
      <c r="A51" s="17"/>
      <c r="B51" s="513" t="s">
        <v>948</v>
      </c>
      <c r="C51" s="514"/>
    </row>
    <row r="52" spans="1:3" ht="20.149999999999999" customHeight="1" x14ac:dyDescent="0.35">
      <c r="A52" s="432"/>
      <c r="B52" s="277" t="s">
        <v>719</v>
      </c>
      <c r="C52" s="515" t="e">
        <f>IF(C176&gt;7,"TOO HIGH",C176)</f>
        <v>#DIV/0!</v>
      </c>
    </row>
    <row r="53" spans="1:3" ht="20.149999999999999" customHeight="1" x14ac:dyDescent="0.35">
      <c r="A53" s="17"/>
      <c r="B53" s="174" t="s">
        <v>16</v>
      </c>
      <c r="C53" s="10" t="e">
        <f>IF(C52="TOO HIGH",0,C170)</f>
        <v>#DIV/0!</v>
      </c>
    </row>
    <row r="54" spans="1:3" ht="20.149999999999999" customHeight="1" x14ac:dyDescent="0.35">
      <c r="A54" s="17"/>
      <c r="B54" s="175" t="s">
        <v>949</v>
      </c>
      <c r="C54" s="11"/>
    </row>
    <row r="55" spans="1:3" ht="20.149999999999999" customHeight="1" x14ac:dyDescent="0.35">
      <c r="A55" s="17"/>
      <c r="B55" s="409" t="s">
        <v>82</v>
      </c>
      <c r="C55" s="410" t="e">
        <f>D416</f>
        <v>#DIV/0!</v>
      </c>
    </row>
    <row r="56" spans="1:3" ht="20.149999999999999" customHeight="1" x14ac:dyDescent="0.35">
      <c r="A56" s="17"/>
      <c r="B56" s="409" t="s">
        <v>456</v>
      </c>
      <c r="C56" s="410" t="e">
        <f>D417</f>
        <v>#DIV/0!</v>
      </c>
    </row>
    <row r="57" spans="1:3" ht="20.149999999999999" customHeight="1" x14ac:dyDescent="0.35">
      <c r="A57" s="17"/>
      <c r="B57" s="409" t="s">
        <v>457</v>
      </c>
      <c r="C57" s="410" t="e">
        <f>D418</f>
        <v>#DIV/0!</v>
      </c>
    </row>
    <row r="58" spans="1:3" ht="20.149999999999999" customHeight="1" x14ac:dyDescent="0.35">
      <c r="A58" s="17"/>
      <c r="B58" s="409" t="s">
        <v>197</v>
      </c>
      <c r="C58" s="410">
        <f>D419</f>
        <v>0</v>
      </c>
    </row>
    <row r="59" spans="1:3" ht="20.149999999999999" customHeight="1" x14ac:dyDescent="0.35">
      <c r="A59" s="17"/>
      <c r="B59" s="409" t="s">
        <v>198</v>
      </c>
      <c r="C59" s="410" t="e">
        <f>D421</f>
        <v>#DIV/0!</v>
      </c>
    </row>
    <row r="60" spans="1:3" ht="20.149999999999999" customHeight="1" x14ac:dyDescent="0.35">
      <c r="A60" s="17"/>
      <c r="B60" s="411" t="s">
        <v>944</v>
      </c>
      <c r="C60" s="412" t="e">
        <f>IF(C59&gt;0,C59*C49,0)</f>
        <v>#DIV/0!</v>
      </c>
    </row>
    <row r="61" spans="1:3" ht="20.149999999999999" customHeight="1" x14ac:dyDescent="0.35">
      <c r="A61" s="17"/>
      <c r="B61" s="411" t="s">
        <v>945</v>
      </c>
      <c r="C61" s="412">
        <f>(C43*C25*C13/1000*(C41-C33))</f>
        <v>0</v>
      </c>
    </row>
    <row r="62" spans="1:3" ht="20.149999999999999" customHeight="1" x14ac:dyDescent="0.35">
      <c r="A62" s="17"/>
      <c r="B62" s="411" t="s">
        <v>18</v>
      </c>
      <c r="C62" s="413" t="e">
        <f>IF(C60&gt;1,C60-C61,C61*-1)</f>
        <v>#DIV/0!</v>
      </c>
    </row>
    <row r="63" spans="1:3" ht="20.149999999999999" customHeight="1" x14ac:dyDescent="0.35">
      <c r="A63" s="17"/>
      <c r="B63" s="411" t="s">
        <v>88</v>
      </c>
      <c r="C63" s="412" t="e">
        <f>(C53*C47)</f>
        <v>#DIV/0!</v>
      </c>
    </row>
    <row r="64" spans="1:3" ht="20.149999999999999" customHeight="1" x14ac:dyDescent="0.35">
      <c r="A64" s="17"/>
      <c r="B64" s="411" t="s">
        <v>17</v>
      </c>
      <c r="C64" s="412" t="e">
        <f>IF(C60&gt;1,C60-C61+C63,C63-C61)</f>
        <v>#DIV/0!</v>
      </c>
    </row>
    <row r="65" spans="1:5" ht="20.149999999999999" customHeight="1" x14ac:dyDescent="0.35">
      <c r="A65" s="17"/>
      <c r="B65" s="1703" t="s">
        <v>950</v>
      </c>
      <c r="C65" s="1705" t="e">
        <f>C97</f>
        <v>#DIV/0!</v>
      </c>
    </row>
    <row r="66" spans="1:5" s="432" customFormat="1" x14ac:dyDescent="0.35">
      <c r="B66" s="138"/>
      <c r="C66" s="139"/>
    </row>
    <row r="67" spans="1:5" s="432" customFormat="1" x14ac:dyDescent="0.35">
      <c r="B67" s="138"/>
      <c r="C67" s="139"/>
    </row>
    <row r="68" spans="1:5" s="432" customFormat="1" x14ac:dyDescent="0.35">
      <c r="B68" s="138"/>
      <c r="C68" s="139"/>
    </row>
    <row r="69" spans="1:5" s="432" customFormat="1" x14ac:dyDescent="0.35">
      <c r="B69" s="138"/>
      <c r="C69" s="139"/>
    </row>
    <row r="70" spans="1:5" s="432" customFormat="1" ht="30.5" x14ac:dyDescent="0.65">
      <c r="B70" s="502"/>
      <c r="C70" s="139"/>
    </row>
    <row r="71" spans="1:5" s="432" customFormat="1" ht="30.5" x14ac:dyDescent="0.65">
      <c r="B71" s="502"/>
      <c r="C71" s="139"/>
    </row>
    <row r="72" spans="1:5" s="432" customFormat="1" ht="30.5" x14ac:dyDescent="0.65">
      <c r="B72" s="502"/>
      <c r="C72" s="139"/>
    </row>
    <row r="73" spans="1:5" s="432" customFormat="1" ht="30.5" hidden="1" x14ac:dyDescent="0.65">
      <c r="B73" s="502"/>
      <c r="C73" s="139"/>
      <c r="D73" s="597"/>
    </row>
    <row r="74" spans="1:5" hidden="1" x14ac:dyDescent="0.35">
      <c r="B74" s="27" t="s">
        <v>150</v>
      </c>
      <c r="C74" s="28"/>
      <c r="D74" s="29"/>
      <c r="E74" s="29"/>
    </row>
    <row r="75" spans="1:5" hidden="1" x14ac:dyDescent="0.35">
      <c r="B75" s="24" t="s">
        <v>111</v>
      </c>
      <c r="C75" s="28">
        <v>40</v>
      </c>
      <c r="D75" s="29"/>
      <c r="E75" s="29"/>
    </row>
    <row r="76" spans="1:5" hidden="1" x14ac:dyDescent="0.35">
      <c r="B76" s="29" t="s">
        <v>115</v>
      </c>
      <c r="C76" s="28">
        <v>30</v>
      </c>
      <c r="D76" s="29"/>
      <c r="E76" s="29"/>
    </row>
    <row r="77" spans="1:5" hidden="1" x14ac:dyDescent="0.35">
      <c r="B77" s="29" t="s">
        <v>700</v>
      </c>
      <c r="C77" s="28">
        <v>720</v>
      </c>
      <c r="D77" s="29"/>
      <c r="E77" s="29"/>
    </row>
    <row r="78" spans="1:5" hidden="1" x14ac:dyDescent="0.35">
      <c r="B78" s="29" t="s">
        <v>701</v>
      </c>
      <c r="C78" s="28">
        <v>170</v>
      </c>
      <c r="D78" s="29"/>
      <c r="E78" s="29"/>
    </row>
    <row r="79" spans="1:5" hidden="1" x14ac:dyDescent="0.35">
      <c r="B79" s="29" t="s">
        <v>702</v>
      </c>
      <c r="C79" s="28">
        <v>250</v>
      </c>
      <c r="D79" s="29"/>
      <c r="E79" s="29"/>
    </row>
    <row r="80" spans="1:5" hidden="1" x14ac:dyDescent="0.35">
      <c r="B80" s="24" t="s">
        <v>119</v>
      </c>
      <c r="C80" s="51">
        <v>600</v>
      </c>
      <c r="D80" s="29"/>
      <c r="E80" s="29"/>
    </row>
    <row r="81" spans="2:5" hidden="1" x14ac:dyDescent="0.35">
      <c r="B81" s="24" t="s">
        <v>120</v>
      </c>
      <c r="C81" s="51">
        <v>600</v>
      </c>
      <c r="D81" s="29"/>
      <c r="E81" s="29"/>
    </row>
    <row r="82" spans="2:5" hidden="1" x14ac:dyDescent="0.35">
      <c r="B82" s="24" t="s">
        <v>108</v>
      </c>
      <c r="C82" s="51">
        <v>3000</v>
      </c>
      <c r="D82" s="29"/>
      <c r="E82" s="29"/>
    </row>
    <row r="83" spans="2:5" hidden="1" x14ac:dyDescent="0.35">
      <c r="B83" s="24" t="s">
        <v>112</v>
      </c>
      <c r="C83" s="51">
        <v>40</v>
      </c>
      <c r="D83" s="29"/>
      <c r="E83" s="29"/>
    </row>
    <row r="84" spans="2:5" hidden="1" x14ac:dyDescent="0.35">
      <c r="B84" s="24" t="s">
        <v>116</v>
      </c>
      <c r="C84" s="51">
        <v>800</v>
      </c>
      <c r="D84" s="29"/>
      <c r="E84" s="29"/>
    </row>
    <row r="85" spans="2:5" hidden="1" x14ac:dyDescent="0.35">
      <c r="B85" s="24" t="s">
        <v>157</v>
      </c>
      <c r="C85" s="51">
        <v>120</v>
      </c>
      <c r="D85" s="29"/>
      <c r="E85" s="29"/>
    </row>
    <row r="86" spans="2:5" hidden="1" x14ac:dyDescent="0.35">
      <c r="B86" s="24" t="s">
        <v>158</v>
      </c>
      <c r="C86" s="28">
        <v>100</v>
      </c>
      <c r="D86" s="29"/>
      <c r="E86" s="29"/>
    </row>
    <row r="87" spans="2:5" hidden="1" x14ac:dyDescent="0.35">
      <c r="B87" s="29" t="s">
        <v>703</v>
      </c>
      <c r="C87" s="29">
        <v>300</v>
      </c>
      <c r="D87" s="29"/>
      <c r="E87" s="29"/>
    </row>
    <row r="88" spans="2:5" hidden="1" x14ac:dyDescent="0.35">
      <c r="B88" s="29" t="s">
        <v>704</v>
      </c>
      <c r="C88" s="29">
        <v>150</v>
      </c>
      <c r="D88" s="29"/>
      <c r="E88" s="29"/>
    </row>
    <row r="89" spans="2:5" hidden="1" x14ac:dyDescent="0.35">
      <c r="B89" s="24"/>
      <c r="C89" s="51"/>
      <c r="D89" s="29"/>
      <c r="E89" s="29"/>
    </row>
    <row r="90" spans="2:5" ht="15.5" hidden="1" x14ac:dyDescent="0.35">
      <c r="B90" s="27" t="s">
        <v>140</v>
      </c>
      <c r="C90" s="168" t="s">
        <v>660</v>
      </c>
      <c r="D90" s="169"/>
      <c r="E90" s="29"/>
    </row>
    <row r="91" spans="2:5" hidden="1" x14ac:dyDescent="0.35">
      <c r="B91" s="138" t="s">
        <v>2077</v>
      </c>
      <c r="C91" s="125" t="e">
        <f>IF(C52&gt;7,0,C60)</f>
        <v>#DIV/0!</v>
      </c>
      <c r="D91" s="36"/>
      <c r="E91" s="29"/>
    </row>
    <row r="92" spans="2:5" hidden="1" x14ac:dyDescent="0.35">
      <c r="B92" s="24" t="s">
        <v>19</v>
      </c>
      <c r="C92" s="125" t="e">
        <f>IF(C52&gt;7,0,C61)</f>
        <v>#DIV/0!</v>
      </c>
      <c r="D92" s="36"/>
      <c r="E92" s="29"/>
    </row>
    <row r="93" spans="2:5" hidden="1" x14ac:dyDescent="0.35">
      <c r="B93" s="24" t="s">
        <v>20</v>
      </c>
      <c r="C93" s="125" t="e">
        <f>IF(C52&gt;7,0,C63)</f>
        <v>#DIV/0!</v>
      </c>
      <c r="D93" s="36"/>
      <c r="E93" s="29"/>
    </row>
    <row r="94" spans="2:5" hidden="1" x14ac:dyDescent="0.35">
      <c r="B94" s="24" t="s">
        <v>21</v>
      </c>
      <c r="C94" s="125" t="e">
        <f>IF(C52&gt;7,0,C64)</f>
        <v>#DIV/0!</v>
      </c>
      <c r="D94" s="125"/>
      <c r="E94" s="29"/>
    </row>
    <row r="95" spans="2:5" hidden="1" x14ac:dyDescent="0.35">
      <c r="B95" s="24"/>
      <c r="C95" s="125"/>
      <c r="D95" s="125"/>
      <c r="E95" s="29"/>
    </row>
    <row r="96" spans="2:5" hidden="1" x14ac:dyDescent="0.35">
      <c r="B96" s="24"/>
      <c r="C96" s="125"/>
      <c r="D96" s="125"/>
      <c r="E96" s="29"/>
    </row>
    <row r="97" spans="2:36" hidden="1" x14ac:dyDescent="0.35">
      <c r="B97" s="138" t="s">
        <v>2076</v>
      </c>
      <c r="C97" s="35" t="e">
        <f>C94/C98</f>
        <v>#DIV/0!</v>
      </c>
      <c r="D97" s="29"/>
      <c r="E97" s="29"/>
    </row>
    <row r="98" spans="2:36" hidden="1" x14ac:dyDescent="0.35">
      <c r="B98" s="24" t="s">
        <v>102</v>
      </c>
      <c r="C98" s="382" t="e">
        <f>C13*C16*C17*C45</f>
        <v>#DIV/0!</v>
      </c>
      <c r="D98" s="51"/>
      <c r="E98" s="29"/>
    </row>
    <row r="99" spans="2:36" hidden="1" x14ac:dyDescent="0.35">
      <c r="B99" s="29"/>
      <c r="C99" s="29"/>
      <c r="D99" s="29"/>
      <c r="E99" s="29"/>
    </row>
    <row r="100" spans="2:36" hidden="1" x14ac:dyDescent="0.35">
      <c r="B100" s="24"/>
      <c r="C100" s="51"/>
      <c r="D100" s="29"/>
      <c r="E100" s="29"/>
      <c r="F100" s="126"/>
      <c r="G100" s="126"/>
    </row>
    <row r="101" spans="2:36" hidden="1" x14ac:dyDescent="0.35">
      <c r="B101" s="27" t="s">
        <v>154</v>
      </c>
      <c r="C101" s="29"/>
      <c r="D101" s="29"/>
      <c r="E101" s="29"/>
      <c r="F101" s="126"/>
      <c r="G101" s="126"/>
    </row>
    <row r="102" spans="2:36" hidden="1" x14ac:dyDescent="0.35">
      <c r="B102" s="27" t="s">
        <v>1358</v>
      </c>
      <c r="C102" s="127"/>
      <c r="D102" s="29"/>
      <c r="E102" s="37"/>
      <c r="F102" s="126"/>
    </row>
    <row r="103" spans="2:36" s="290" customFormat="1" hidden="1" x14ac:dyDescent="0.35">
      <c r="B103" s="24" t="s">
        <v>726</v>
      </c>
      <c r="C103" s="37" t="e">
        <f>'Baseline farm'!D223-'Baseline farm'!D227</f>
        <v>#DIV/0!</v>
      </c>
      <c r="D103" s="29"/>
      <c r="E103" s="381"/>
      <c r="F103" s="380"/>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row>
    <row r="104" spans="2:36" s="290" customFormat="1" hidden="1" x14ac:dyDescent="0.35">
      <c r="B104" s="24"/>
      <c r="C104" s="37"/>
      <c r="D104" s="29"/>
      <c r="E104" s="37"/>
      <c r="F104" s="380"/>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row>
    <row r="105" spans="2:36" s="290" customFormat="1" hidden="1" x14ac:dyDescent="0.35">
      <c r="B105" s="24" t="s">
        <v>727</v>
      </c>
      <c r="C105" s="37" t="e">
        <f>'Baseline farm'!D227</f>
        <v>#DIV/0!</v>
      </c>
      <c r="D105" s="29"/>
      <c r="E105" s="37"/>
      <c r="F105" s="380"/>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row>
    <row r="106" spans="2:36" s="290" customFormat="1" hidden="1" x14ac:dyDescent="0.35">
      <c r="B106" s="24"/>
      <c r="C106" s="37"/>
      <c r="D106" s="29"/>
      <c r="E106" s="37"/>
      <c r="F106" s="380"/>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row>
    <row r="107" spans="2:36" hidden="1" x14ac:dyDescent="0.35">
      <c r="B107" s="24" t="s">
        <v>670</v>
      </c>
      <c r="C107" s="37" t="e">
        <f>C103+C105</f>
        <v>#DIV/0!</v>
      </c>
      <c r="D107" s="29"/>
      <c r="E107" s="37"/>
      <c r="F107" s="126"/>
    </row>
    <row r="108" spans="2:36" hidden="1" x14ac:dyDescent="0.35">
      <c r="B108" s="27"/>
      <c r="C108" s="127"/>
      <c r="D108" s="29"/>
      <c r="E108" s="37"/>
      <c r="F108" s="126"/>
    </row>
    <row r="109" spans="2:36" hidden="1" x14ac:dyDescent="0.35">
      <c r="B109" s="24" t="s">
        <v>671</v>
      </c>
      <c r="C109" s="37">
        <f>24.51-(0.0788*C111)</f>
        <v>21.421040000000001</v>
      </c>
      <c r="D109" s="29" t="s">
        <v>732</v>
      </c>
      <c r="E109" s="37"/>
      <c r="F109" s="126"/>
    </row>
    <row r="110" spans="2:36" hidden="1" x14ac:dyDescent="0.35">
      <c r="B110" s="27"/>
      <c r="C110" s="127"/>
      <c r="D110" s="29"/>
      <c r="E110" s="37"/>
      <c r="F110" s="126"/>
    </row>
    <row r="111" spans="2:36" hidden="1" x14ac:dyDescent="0.35">
      <c r="B111" s="24" t="s">
        <v>725</v>
      </c>
      <c r="C111" s="37">
        <f>(C21*10)*0.98</f>
        <v>39.200000000000003</v>
      </c>
      <c r="D111" s="29" t="s">
        <v>674</v>
      </c>
      <c r="E111" s="37"/>
      <c r="F111" s="126"/>
    </row>
    <row r="112" spans="2:36" hidden="1" x14ac:dyDescent="0.35">
      <c r="B112" s="27"/>
      <c r="C112" s="127"/>
      <c r="D112" s="29"/>
      <c r="E112" s="37"/>
      <c r="F112" s="126"/>
    </row>
    <row r="113" spans="1:16384" hidden="1" x14ac:dyDescent="0.35">
      <c r="B113" s="24" t="s">
        <v>675</v>
      </c>
      <c r="C113" s="43" t="e">
        <f>C109*C107/1000</f>
        <v>#DIV/0!</v>
      </c>
      <c r="D113" s="29" t="s">
        <v>676</v>
      </c>
      <c r="E113" s="128"/>
      <c r="F113" s="126"/>
    </row>
    <row r="114" spans="1:16384" hidden="1" x14ac:dyDescent="0.35">
      <c r="B114" s="46"/>
      <c r="C114" s="128"/>
      <c r="D114" s="29"/>
      <c r="E114" s="37"/>
      <c r="F114" s="126"/>
    </row>
    <row r="115" spans="1:16384" hidden="1" x14ac:dyDescent="0.35">
      <c r="B115" s="24" t="s">
        <v>12</v>
      </c>
      <c r="C115" s="32">
        <f>C13</f>
        <v>0</v>
      </c>
      <c r="D115" s="29"/>
      <c r="E115" s="44"/>
      <c r="F115" s="126"/>
    </row>
    <row r="116" spans="1:16384" hidden="1" x14ac:dyDescent="0.35">
      <c r="B116" s="24" t="s">
        <v>13</v>
      </c>
      <c r="C116" s="44" t="e">
        <f>C113*C115*365</f>
        <v>#DIV/0!</v>
      </c>
      <c r="D116" s="29" t="s">
        <v>748</v>
      </c>
      <c r="E116" s="45"/>
      <c r="F116" s="126"/>
    </row>
    <row r="117" spans="1:16384" hidden="1" x14ac:dyDescent="0.35">
      <c r="B117" s="27" t="s">
        <v>14</v>
      </c>
      <c r="C117" s="45" t="e">
        <f>C116*'Emission factors'!C4/1000</f>
        <v>#DIV/0!</v>
      </c>
      <c r="D117" s="29" t="s">
        <v>1524</v>
      </c>
      <c r="E117" s="37"/>
      <c r="F117" s="45"/>
    </row>
    <row r="118" spans="1:16384" hidden="1" x14ac:dyDescent="0.35">
      <c r="B118" s="24"/>
      <c r="C118" s="45"/>
      <c r="D118" s="29"/>
      <c r="E118" s="37"/>
      <c r="F118" s="126"/>
    </row>
    <row r="119" spans="1:16384" hidden="1" x14ac:dyDescent="0.35">
      <c r="B119" s="29"/>
      <c r="C119" s="129"/>
      <c r="D119" s="29"/>
      <c r="E119" s="37"/>
      <c r="F119" s="126"/>
    </row>
    <row r="120" spans="1:16384" hidden="1" x14ac:dyDescent="0.35">
      <c r="B120" s="177"/>
      <c r="C120" s="129"/>
      <c r="D120" s="29"/>
      <c r="E120" s="37"/>
      <c r="F120" s="126"/>
    </row>
    <row r="121" spans="1:16384" hidden="1" x14ac:dyDescent="0.35">
      <c r="B121" s="177"/>
      <c r="C121" s="46"/>
      <c r="D121" s="29"/>
      <c r="E121" s="37"/>
      <c r="F121" s="126"/>
    </row>
    <row r="122" spans="1:16384" hidden="1" x14ac:dyDescent="0.35">
      <c r="B122" s="48" t="s">
        <v>155</v>
      </c>
      <c r="C122" s="37"/>
      <c r="D122" s="29"/>
      <c r="E122" s="130"/>
      <c r="F122" s="183"/>
    </row>
    <row r="123" spans="1:16384" hidden="1" x14ac:dyDescent="0.35">
      <c r="B123" s="27" t="s">
        <v>442</v>
      </c>
      <c r="C123" s="37"/>
      <c r="D123" s="29"/>
      <c r="E123" s="37"/>
      <c r="F123" s="126"/>
      <c r="K123" s="488"/>
      <c r="L123" s="488"/>
      <c r="M123" s="488"/>
    </row>
    <row r="124" spans="1:16384" hidden="1" x14ac:dyDescent="0.35">
      <c r="A124" s="24"/>
      <c r="B124" s="24" t="s">
        <v>728</v>
      </c>
      <c r="C124" s="38" t="e">
        <f>C103</f>
        <v>#DIV/0!</v>
      </c>
      <c r="D124" s="178" t="s">
        <v>970</v>
      </c>
      <c r="E124" s="24"/>
      <c r="F124" s="178"/>
      <c r="G124" s="24"/>
      <c r="H124" s="178"/>
      <c r="I124" s="138"/>
      <c r="J124" s="489"/>
      <c r="K124" s="138"/>
      <c r="L124" s="489"/>
      <c r="M124" s="138"/>
      <c r="N124" s="489"/>
      <c r="O124" s="138"/>
      <c r="P124" s="489"/>
      <c r="Q124" s="138"/>
      <c r="R124" s="489"/>
      <c r="S124" s="138"/>
      <c r="T124" s="489"/>
      <c r="U124" s="138"/>
      <c r="V124" s="489"/>
      <c r="W124" s="138"/>
      <c r="X124" s="489"/>
      <c r="Y124" s="138"/>
      <c r="Z124" s="489"/>
      <c r="AA124" s="138"/>
      <c r="AB124" s="489"/>
      <c r="AC124" s="138"/>
      <c r="AD124" s="489"/>
      <c r="AE124" s="138"/>
      <c r="AF124" s="489"/>
      <c r="AG124" s="138"/>
      <c r="AH124" s="489"/>
      <c r="AI124" s="138"/>
      <c r="AJ124" s="489"/>
      <c r="AK124" s="24"/>
      <c r="AL124" s="178"/>
      <c r="AM124" s="24"/>
      <c r="AN124" s="178"/>
      <c r="AO124" s="24"/>
      <c r="AP124" s="178"/>
      <c r="AQ124" s="24"/>
      <c r="AR124" s="178"/>
      <c r="AS124" s="24"/>
      <c r="AT124" s="178"/>
      <c r="AU124" s="24"/>
      <c r="AV124" s="178"/>
      <c r="AW124" s="24"/>
      <c r="AX124" s="178"/>
      <c r="AY124" s="24"/>
      <c r="AZ124" s="178"/>
      <c r="BA124" s="24"/>
      <c r="BB124" s="178"/>
      <c r="BC124" s="24"/>
      <c r="BD124" s="178"/>
      <c r="BE124" s="24"/>
      <c r="BF124" s="178"/>
      <c r="BG124" s="24"/>
      <c r="BH124" s="178"/>
      <c r="BI124" s="24"/>
      <c r="BJ124" s="178"/>
      <c r="BK124" s="24"/>
      <c r="BL124" s="178"/>
      <c r="BM124" s="24"/>
      <c r="BN124" s="178"/>
      <c r="BO124" s="24"/>
      <c r="BP124" s="178"/>
      <c r="BQ124" s="24"/>
      <c r="BR124" s="178"/>
      <c r="BS124" s="24"/>
      <c r="BT124" s="178"/>
      <c r="BU124" s="24"/>
      <c r="BV124" s="178"/>
      <c r="BW124" s="24"/>
      <c r="BX124" s="178"/>
      <c r="BY124" s="24"/>
      <c r="BZ124" s="178"/>
      <c r="CA124" s="24"/>
      <c r="CB124" s="178"/>
      <c r="CC124" s="24"/>
      <c r="CD124" s="178"/>
      <c r="CE124" s="24"/>
      <c r="CF124" s="178"/>
      <c r="CG124" s="24"/>
      <c r="CH124" s="178"/>
      <c r="CI124" s="24"/>
      <c r="CJ124" s="178"/>
      <c r="CK124" s="24"/>
      <c r="CL124" s="178"/>
      <c r="CM124" s="24"/>
      <c r="CN124" s="178"/>
      <c r="CO124" s="24"/>
      <c r="CP124" s="178"/>
      <c r="CQ124" s="24"/>
      <c r="CR124" s="178"/>
      <c r="CS124" s="24"/>
      <c r="CT124" s="178"/>
      <c r="CU124" s="24"/>
      <c r="CV124" s="178"/>
      <c r="CW124" s="24"/>
      <c r="CX124" s="178"/>
      <c r="CY124" s="24"/>
      <c r="CZ124" s="178"/>
      <c r="DA124" s="24"/>
      <c r="DB124" s="178"/>
      <c r="DC124" s="24"/>
      <c r="DD124" s="178"/>
      <c r="DE124" s="24"/>
      <c r="DF124" s="178"/>
      <c r="DG124" s="24"/>
      <c r="DH124" s="178"/>
      <c r="DI124" s="24"/>
      <c r="DJ124" s="178"/>
      <c r="DK124" s="24"/>
      <c r="DL124" s="178"/>
      <c r="DM124" s="24"/>
      <c r="DN124" s="178"/>
      <c r="DO124" s="24"/>
      <c r="DP124" s="178"/>
      <c r="DQ124" s="24"/>
      <c r="DR124" s="178"/>
      <c r="DS124" s="24"/>
      <c r="DT124" s="178"/>
      <c r="DU124" s="24"/>
      <c r="DV124" s="178"/>
      <c r="DW124" s="24"/>
      <c r="DX124" s="178"/>
      <c r="DY124" s="24"/>
      <c r="DZ124" s="178"/>
      <c r="EA124" s="24"/>
      <c r="EB124" s="178"/>
      <c r="EC124" s="24"/>
      <c r="ED124" s="178"/>
      <c r="EE124" s="24"/>
      <c r="EF124" s="178"/>
      <c r="EG124" s="24"/>
      <c r="EH124" s="178"/>
      <c r="EI124" s="24"/>
      <c r="EJ124" s="178"/>
      <c r="EK124" s="24"/>
      <c r="EL124" s="178"/>
      <c r="EM124" s="24"/>
      <c r="EN124" s="178"/>
      <c r="EO124" s="24"/>
      <c r="EP124" s="178"/>
      <c r="EQ124" s="24"/>
      <c r="ER124" s="178"/>
      <c r="ES124" s="24"/>
      <c r="ET124" s="178"/>
      <c r="EU124" s="24"/>
      <c r="EV124" s="178"/>
      <c r="EW124" s="24"/>
      <c r="EX124" s="178"/>
      <c r="EY124" s="24"/>
      <c r="EZ124" s="178"/>
      <c r="FA124" s="24"/>
      <c r="FB124" s="178"/>
      <c r="FC124" s="24"/>
      <c r="FD124" s="178"/>
      <c r="FE124" s="24"/>
      <c r="FF124" s="178"/>
      <c r="FG124" s="24"/>
      <c r="FH124" s="178"/>
      <c r="FI124" s="24"/>
      <c r="FJ124" s="178"/>
      <c r="FK124" s="24"/>
      <c r="FL124" s="178"/>
      <c r="FM124" s="24"/>
      <c r="FN124" s="178"/>
      <c r="FO124" s="24"/>
      <c r="FP124" s="178"/>
      <c r="FQ124" s="24"/>
      <c r="FR124" s="178"/>
      <c r="FS124" s="24"/>
      <c r="FT124" s="178"/>
      <c r="FU124" s="24"/>
      <c r="FV124" s="178"/>
      <c r="FW124" s="24"/>
      <c r="FX124" s="178"/>
      <c r="FY124" s="24"/>
      <c r="FZ124" s="178"/>
      <c r="GA124" s="24"/>
      <c r="GB124" s="178"/>
      <c r="GC124" s="24"/>
      <c r="GD124" s="178"/>
      <c r="GE124" s="24"/>
      <c r="GF124" s="178"/>
      <c r="GG124" s="24"/>
      <c r="GH124" s="178"/>
      <c r="GI124" s="24"/>
      <c r="GJ124" s="178"/>
      <c r="GK124" s="24"/>
      <c r="GL124" s="178"/>
      <c r="GM124" s="24"/>
      <c r="GN124" s="178"/>
      <c r="GO124" s="24"/>
      <c r="GP124" s="178"/>
      <c r="GQ124" s="24"/>
      <c r="GR124" s="178"/>
      <c r="GS124" s="24"/>
      <c r="GT124" s="178"/>
      <c r="GU124" s="24"/>
      <c r="GV124" s="178"/>
      <c r="GW124" s="24"/>
      <c r="GX124" s="178"/>
      <c r="GY124" s="24"/>
      <c r="GZ124" s="178"/>
      <c r="HA124" s="24"/>
      <c r="HB124" s="178"/>
      <c r="HC124" s="24"/>
      <c r="HD124" s="178"/>
      <c r="HE124" s="24"/>
      <c r="HF124" s="178"/>
      <c r="HG124" s="24"/>
      <c r="HH124" s="178"/>
      <c r="HI124" s="24"/>
      <c r="HJ124" s="178"/>
      <c r="HK124" s="24"/>
      <c r="HL124" s="178"/>
      <c r="HM124" s="24"/>
      <c r="HN124" s="178"/>
      <c r="HO124" s="24"/>
      <c r="HP124" s="178"/>
      <c r="HQ124" s="24"/>
      <c r="HR124" s="178"/>
      <c r="HS124" s="24"/>
      <c r="HT124" s="178"/>
      <c r="HU124" s="24"/>
      <c r="HV124" s="178"/>
      <c r="HW124" s="24"/>
      <c r="HX124" s="178"/>
      <c r="HY124" s="24"/>
      <c r="HZ124" s="178"/>
      <c r="IA124" s="24"/>
      <c r="IB124" s="178"/>
      <c r="IC124" s="24"/>
      <c r="ID124" s="178"/>
      <c r="IE124" s="24"/>
      <c r="IF124" s="178"/>
      <c r="IG124" s="24"/>
      <c r="IH124" s="178"/>
      <c r="II124" s="24"/>
      <c r="IJ124" s="178"/>
      <c r="IK124" s="24"/>
      <c r="IL124" s="178"/>
      <c r="IM124" s="24"/>
      <c r="IN124" s="178"/>
      <c r="IO124" s="24"/>
      <c r="IP124" s="178"/>
      <c r="IQ124" s="24"/>
      <c r="IR124" s="178"/>
      <c r="IS124" s="24"/>
      <c r="IT124" s="178"/>
      <c r="IU124" s="24"/>
      <c r="IV124" s="178"/>
      <c r="IW124" s="24"/>
      <c r="IX124" s="178"/>
      <c r="IY124" s="24"/>
      <c r="IZ124" s="178"/>
      <c r="JA124" s="24"/>
      <c r="JB124" s="178"/>
      <c r="JC124" s="24"/>
      <c r="JD124" s="178"/>
      <c r="JE124" s="24"/>
      <c r="JF124" s="178"/>
      <c r="JG124" s="24"/>
      <c r="JH124" s="178"/>
      <c r="JI124" s="24"/>
      <c r="JJ124" s="178"/>
      <c r="JK124" s="24"/>
      <c r="JL124" s="178"/>
      <c r="JM124" s="24"/>
      <c r="JN124" s="178"/>
      <c r="JO124" s="24"/>
      <c r="JP124" s="178"/>
      <c r="JQ124" s="24"/>
      <c r="JR124" s="178"/>
      <c r="JS124" s="24"/>
      <c r="JT124" s="178"/>
      <c r="JU124" s="24"/>
      <c r="JV124" s="178"/>
      <c r="JW124" s="24"/>
      <c r="JX124" s="178"/>
      <c r="JY124" s="24"/>
      <c r="JZ124" s="178"/>
      <c r="KA124" s="24"/>
      <c r="KB124" s="178"/>
      <c r="KC124" s="24"/>
      <c r="KD124" s="178"/>
      <c r="KE124" s="24"/>
      <c r="KF124" s="178"/>
      <c r="KG124" s="24"/>
      <c r="KH124" s="178"/>
      <c r="KI124" s="24"/>
      <c r="KJ124" s="178"/>
      <c r="KK124" s="24"/>
      <c r="KL124" s="178"/>
      <c r="KM124" s="24"/>
      <c r="KN124" s="178"/>
      <c r="KO124" s="24"/>
      <c r="KP124" s="178"/>
      <c r="KQ124" s="24"/>
      <c r="KR124" s="178"/>
      <c r="KS124" s="24"/>
      <c r="KT124" s="178"/>
      <c r="KU124" s="24"/>
      <c r="KV124" s="178"/>
      <c r="KW124" s="24"/>
      <c r="KX124" s="178"/>
      <c r="KY124" s="24"/>
      <c r="KZ124" s="178"/>
      <c r="LA124" s="24"/>
      <c r="LB124" s="178"/>
      <c r="LC124" s="24"/>
      <c r="LD124" s="178"/>
      <c r="LE124" s="24"/>
      <c r="LF124" s="178"/>
      <c r="LG124" s="24"/>
      <c r="LH124" s="178"/>
      <c r="LI124" s="24"/>
      <c r="LJ124" s="178"/>
      <c r="LK124" s="24"/>
      <c r="LL124" s="178"/>
      <c r="LM124" s="24"/>
      <c r="LN124" s="178"/>
      <c r="LO124" s="24"/>
      <c r="LP124" s="178"/>
      <c r="LQ124" s="24"/>
      <c r="LR124" s="178"/>
      <c r="LS124" s="24"/>
      <c r="LT124" s="178"/>
      <c r="LU124" s="24"/>
      <c r="LV124" s="178"/>
      <c r="LW124" s="24"/>
      <c r="LX124" s="178"/>
      <c r="LY124" s="24"/>
      <c r="LZ124" s="178"/>
      <c r="MA124" s="24"/>
      <c r="MB124" s="178"/>
      <c r="MC124" s="24"/>
      <c r="MD124" s="178"/>
      <c r="ME124" s="24"/>
      <c r="MF124" s="178"/>
      <c r="MG124" s="24"/>
      <c r="MH124" s="178"/>
      <c r="MI124" s="24"/>
      <c r="MJ124" s="178"/>
      <c r="MK124" s="24"/>
      <c r="ML124" s="178"/>
      <c r="MM124" s="24"/>
      <c r="MN124" s="178"/>
      <c r="MO124" s="24"/>
      <c r="MP124" s="178"/>
      <c r="MQ124" s="24"/>
      <c r="MR124" s="178"/>
      <c r="MS124" s="24"/>
      <c r="MT124" s="178"/>
      <c r="MU124" s="24"/>
      <c r="MV124" s="178"/>
      <c r="MW124" s="24"/>
      <c r="MX124" s="178"/>
      <c r="MY124" s="24"/>
      <c r="MZ124" s="178"/>
      <c r="NA124" s="24"/>
      <c r="NB124" s="178"/>
      <c r="NC124" s="24"/>
      <c r="ND124" s="178"/>
      <c r="NE124" s="24"/>
      <c r="NF124" s="178"/>
      <c r="NG124" s="24"/>
      <c r="NH124" s="178"/>
      <c r="NI124" s="24"/>
      <c r="NJ124" s="178"/>
      <c r="NK124" s="24"/>
      <c r="NL124" s="178"/>
      <c r="NM124" s="24"/>
      <c r="NN124" s="178"/>
      <c r="NO124" s="24"/>
      <c r="NP124" s="178"/>
      <c r="NQ124" s="24"/>
      <c r="NR124" s="178"/>
      <c r="NS124" s="24"/>
      <c r="NT124" s="178"/>
      <c r="NU124" s="24"/>
      <c r="NV124" s="178"/>
      <c r="NW124" s="24"/>
      <c r="NX124" s="178"/>
      <c r="NY124" s="24"/>
      <c r="NZ124" s="178"/>
      <c r="OA124" s="24"/>
      <c r="OB124" s="178"/>
      <c r="OC124" s="24"/>
      <c r="OD124" s="178"/>
      <c r="OE124" s="24"/>
      <c r="OF124" s="178"/>
      <c r="OG124" s="24"/>
      <c r="OH124" s="178"/>
      <c r="OI124" s="24"/>
      <c r="OJ124" s="178"/>
      <c r="OK124" s="24"/>
      <c r="OL124" s="178"/>
      <c r="OM124" s="24"/>
      <c r="ON124" s="178"/>
      <c r="OO124" s="24"/>
      <c r="OP124" s="178"/>
      <c r="OQ124" s="24"/>
      <c r="OR124" s="178"/>
      <c r="OS124" s="24"/>
      <c r="OT124" s="178"/>
      <c r="OU124" s="24"/>
      <c r="OV124" s="178"/>
      <c r="OW124" s="24"/>
      <c r="OX124" s="178"/>
      <c r="OY124" s="24"/>
      <c r="OZ124" s="178"/>
      <c r="PA124" s="24"/>
      <c r="PB124" s="178"/>
      <c r="PC124" s="24"/>
      <c r="PD124" s="178"/>
      <c r="PE124" s="24"/>
      <c r="PF124" s="178"/>
      <c r="PG124" s="24"/>
      <c r="PH124" s="178"/>
      <c r="PI124" s="24"/>
      <c r="PJ124" s="178"/>
      <c r="PK124" s="24"/>
      <c r="PL124" s="178"/>
      <c r="PM124" s="24"/>
      <c r="PN124" s="178"/>
      <c r="PO124" s="24"/>
      <c r="PP124" s="178"/>
      <c r="PQ124" s="24"/>
      <c r="PR124" s="178"/>
      <c r="PS124" s="24"/>
      <c r="PT124" s="178"/>
      <c r="PU124" s="24"/>
      <c r="PV124" s="178"/>
      <c r="PW124" s="24"/>
      <c r="PX124" s="178"/>
      <c r="PY124" s="24"/>
      <c r="PZ124" s="178"/>
      <c r="QA124" s="24"/>
      <c r="QB124" s="178"/>
      <c r="QC124" s="24"/>
      <c r="QD124" s="178"/>
      <c r="QE124" s="24"/>
      <c r="QF124" s="178"/>
      <c r="QG124" s="24"/>
      <c r="QH124" s="178"/>
      <c r="QI124" s="24"/>
      <c r="QJ124" s="178"/>
      <c r="QK124" s="24"/>
      <c r="QL124" s="178"/>
      <c r="QM124" s="24"/>
      <c r="QN124" s="178"/>
      <c r="QO124" s="24"/>
      <c r="QP124" s="178"/>
      <c r="QQ124" s="24"/>
      <c r="QR124" s="178"/>
      <c r="QS124" s="24"/>
      <c r="QT124" s="178"/>
      <c r="QU124" s="24"/>
      <c r="QV124" s="178"/>
      <c r="QW124" s="24"/>
      <c r="QX124" s="178"/>
      <c r="QY124" s="24"/>
      <c r="QZ124" s="178"/>
      <c r="RA124" s="24"/>
      <c r="RB124" s="178"/>
      <c r="RC124" s="24"/>
      <c r="RD124" s="178"/>
      <c r="RE124" s="24"/>
      <c r="RF124" s="178"/>
      <c r="RG124" s="24"/>
      <c r="RH124" s="178"/>
      <c r="RI124" s="24"/>
      <c r="RJ124" s="178"/>
      <c r="RK124" s="24"/>
      <c r="RL124" s="178"/>
      <c r="RM124" s="24"/>
      <c r="RN124" s="178"/>
      <c r="RO124" s="24"/>
      <c r="RP124" s="178"/>
      <c r="RQ124" s="24"/>
      <c r="RR124" s="178"/>
      <c r="RS124" s="24"/>
      <c r="RT124" s="178"/>
      <c r="RU124" s="24"/>
      <c r="RV124" s="178"/>
      <c r="RW124" s="24"/>
      <c r="RX124" s="178"/>
      <c r="RY124" s="24"/>
      <c r="RZ124" s="178"/>
      <c r="SA124" s="24"/>
      <c r="SB124" s="178"/>
      <c r="SC124" s="24"/>
      <c r="SD124" s="178"/>
      <c r="SE124" s="24"/>
      <c r="SF124" s="178"/>
      <c r="SG124" s="24"/>
      <c r="SH124" s="178"/>
      <c r="SI124" s="24"/>
      <c r="SJ124" s="178"/>
      <c r="SK124" s="24"/>
      <c r="SL124" s="178"/>
      <c r="SM124" s="24"/>
      <c r="SN124" s="178"/>
      <c r="SO124" s="24"/>
      <c r="SP124" s="178"/>
      <c r="SQ124" s="24"/>
      <c r="SR124" s="178"/>
      <c r="SS124" s="24"/>
      <c r="ST124" s="178"/>
      <c r="SU124" s="24"/>
      <c r="SV124" s="178"/>
      <c r="SW124" s="24"/>
      <c r="SX124" s="178"/>
      <c r="SY124" s="24"/>
      <c r="SZ124" s="178"/>
      <c r="TA124" s="24"/>
      <c r="TB124" s="178"/>
      <c r="TC124" s="24"/>
      <c r="TD124" s="178"/>
      <c r="TE124" s="24"/>
      <c r="TF124" s="178"/>
      <c r="TG124" s="24"/>
      <c r="TH124" s="178"/>
      <c r="TI124" s="24"/>
      <c r="TJ124" s="178"/>
      <c r="TK124" s="24"/>
      <c r="TL124" s="178"/>
      <c r="TM124" s="24"/>
      <c r="TN124" s="178"/>
      <c r="TO124" s="24"/>
      <c r="TP124" s="178"/>
      <c r="TQ124" s="24"/>
      <c r="TR124" s="178"/>
      <c r="TS124" s="24"/>
      <c r="TT124" s="178"/>
      <c r="TU124" s="24"/>
      <c r="TV124" s="178"/>
      <c r="TW124" s="24"/>
      <c r="TX124" s="178"/>
      <c r="TY124" s="24"/>
      <c r="TZ124" s="178"/>
      <c r="UA124" s="24"/>
      <c r="UB124" s="178"/>
      <c r="UC124" s="24"/>
      <c r="UD124" s="178"/>
      <c r="UE124" s="24"/>
      <c r="UF124" s="178"/>
      <c r="UG124" s="24"/>
      <c r="UH124" s="178"/>
      <c r="UI124" s="24"/>
      <c r="UJ124" s="178"/>
      <c r="UK124" s="24"/>
      <c r="UL124" s="178"/>
      <c r="UM124" s="24"/>
      <c r="UN124" s="178"/>
      <c r="UO124" s="24"/>
      <c r="UP124" s="178"/>
      <c r="UQ124" s="24"/>
      <c r="UR124" s="178"/>
      <c r="US124" s="24"/>
      <c r="UT124" s="178"/>
      <c r="UU124" s="24"/>
      <c r="UV124" s="178"/>
      <c r="UW124" s="24"/>
      <c r="UX124" s="178"/>
      <c r="UY124" s="24"/>
      <c r="UZ124" s="178"/>
      <c r="VA124" s="24"/>
      <c r="VB124" s="178"/>
      <c r="VC124" s="24"/>
      <c r="VD124" s="178"/>
      <c r="VE124" s="24"/>
      <c r="VF124" s="178"/>
      <c r="VG124" s="24"/>
      <c r="VH124" s="178"/>
      <c r="VI124" s="24"/>
      <c r="VJ124" s="178"/>
      <c r="VK124" s="24"/>
      <c r="VL124" s="178"/>
      <c r="VM124" s="24"/>
      <c r="VN124" s="178"/>
      <c r="VO124" s="24"/>
      <c r="VP124" s="178"/>
      <c r="VQ124" s="24"/>
      <c r="VR124" s="178"/>
      <c r="VS124" s="24"/>
      <c r="VT124" s="178"/>
      <c r="VU124" s="24"/>
      <c r="VV124" s="178"/>
      <c r="VW124" s="24"/>
      <c r="VX124" s="178"/>
      <c r="VY124" s="24"/>
      <c r="VZ124" s="178"/>
      <c r="WA124" s="24"/>
      <c r="WB124" s="178"/>
      <c r="WC124" s="24"/>
      <c r="WD124" s="178"/>
      <c r="WE124" s="24"/>
      <c r="WF124" s="178"/>
      <c r="WG124" s="24"/>
      <c r="WH124" s="178"/>
      <c r="WI124" s="24"/>
      <c r="WJ124" s="178"/>
      <c r="WK124" s="24"/>
      <c r="WL124" s="178"/>
      <c r="WM124" s="24"/>
      <c r="WN124" s="178"/>
      <c r="WO124" s="24"/>
      <c r="WP124" s="178"/>
      <c r="WQ124" s="24"/>
      <c r="WR124" s="178"/>
      <c r="WS124" s="24"/>
      <c r="WT124" s="178"/>
      <c r="WU124" s="24"/>
      <c r="WV124" s="178"/>
      <c r="WW124" s="24"/>
      <c r="WX124" s="178"/>
      <c r="WY124" s="24"/>
      <c r="WZ124" s="178"/>
      <c r="XA124" s="24"/>
      <c r="XB124" s="178"/>
      <c r="XC124" s="24"/>
      <c r="XD124" s="178"/>
      <c r="XE124" s="24"/>
      <c r="XF124" s="178"/>
      <c r="XG124" s="24"/>
      <c r="XH124" s="178"/>
      <c r="XI124" s="24"/>
      <c r="XJ124" s="178"/>
      <c r="XK124" s="24"/>
      <c r="XL124" s="178"/>
      <c r="XM124" s="24"/>
      <c r="XN124" s="178"/>
      <c r="XO124" s="24"/>
      <c r="XP124" s="178"/>
      <c r="XQ124" s="24"/>
      <c r="XR124" s="178"/>
      <c r="XS124" s="24"/>
      <c r="XT124" s="178"/>
      <c r="XU124" s="24"/>
      <c r="XV124" s="178"/>
      <c r="XW124" s="24"/>
      <c r="XX124" s="178"/>
      <c r="XY124" s="24"/>
      <c r="XZ124" s="178"/>
      <c r="YA124" s="24"/>
      <c r="YB124" s="178"/>
      <c r="YC124" s="24"/>
      <c r="YD124" s="178"/>
      <c r="YE124" s="24"/>
      <c r="YF124" s="178"/>
      <c r="YG124" s="24"/>
      <c r="YH124" s="178"/>
      <c r="YI124" s="24"/>
      <c r="YJ124" s="178"/>
      <c r="YK124" s="24"/>
      <c r="YL124" s="178"/>
      <c r="YM124" s="24"/>
      <c r="YN124" s="178"/>
      <c r="YO124" s="24"/>
      <c r="YP124" s="178"/>
      <c r="YQ124" s="24"/>
      <c r="YR124" s="178"/>
      <c r="YS124" s="24"/>
      <c r="YT124" s="178"/>
      <c r="YU124" s="24"/>
      <c r="YV124" s="178"/>
      <c r="YW124" s="24"/>
      <c r="YX124" s="178"/>
      <c r="YY124" s="24"/>
      <c r="YZ124" s="178"/>
      <c r="ZA124" s="24"/>
      <c r="ZB124" s="178"/>
      <c r="ZC124" s="24"/>
      <c r="ZD124" s="178"/>
      <c r="ZE124" s="24"/>
      <c r="ZF124" s="178"/>
      <c r="ZG124" s="24"/>
      <c r="ZH124" s="178"/>
      <c r="ZI124" s="24"/>
      <c r="ZJ124" s="178"/>
      <c r="ZK124" s="24"/>
      <c r="ZL124" s="178"/>
      <c r="ZM124" s="24"/>
      <c r="ZN124" s="178"/>
      <c r="ZO124" s="24"/>
      <c r="ZP124" s="178"/>
      <c r="ZQ124" s="24"/>
      <c r="ZR124" s="178"/>
      <c r="ZS124" s="24"/>
      <c r="ZT124" s="178"/>
      <c r="ZU124" s="24"/>
      <c r="ZV124" s="178"/>
      <c r="ZW124" s="24"/>
      <c r="ZX124" s="178"/>
      <c r="ZY124" s="24"/>
      <c r="ZZ124" s="178"/>
      <c r="AAA124" s="24"/>
      <c r="AAB124" s="178"/>
      <c r="AAC124" s="24"/>
      <c r="AAD124" s="178"/>
      <c r="AAE124" s="24"/>
      <c r="AAF124" s="178"/>
      <c r="AAG124" s="24"/>
      <c r="AAH124" s="178"/>
      <c r="AAI124" s="24"/>
      <c r="AAJ124" s="178"/>
      <c r="AAK124" s="24"/>
      <c r="AAL124" s="178"/>
      <c r="AAM124" s="24"/>
      <c r="AAN124" s="178"/>
      <c r="AAO124" s="24"/>
      <c r="AAP124" s="178"/>
      <c r="AAQ124" s="24"/>
      <c r="AAR124" s="178"/>
      <c r="AAS124" s="24"/>
      <c r="AAT124" s="178"/>
      <c r="AAU124" s="24"/>
      <c r="AAV124" s="178"/>
      <c r="AAW124" s="24"/>
      <c r="AAX124" s="178"/>
      <c r="AAY124" s="24"/>
      <c r="AAZ124" s="178"/>
      <c r="ABA124" s="24"/>
      <c r="ABB124" s="178"/>
      <c r="ABC124" s="24"/>
      <c r="ABD124" s="178"/>
      <c r="ABE124" s="24"/>
      <c r="ABF124" s="178"/>
      <c r="ABG124" s="24"/>
      <c r="ABH124" s="178"/>
      <c r="ABI124" s="24"/>
      <c r="ABJ124" s="178"/>
      <c r="ABK124" s="24"/>
      <c r="ABL124" s="178"/>
      <c r="ABM124" s="24"/>
      <c r="ABN124" s="178"/>
      <c r="ABO124" s="24"/>
      <c r="ABP124" s="178"/>
      <c r="ABQ124" s="24"/>
      <c r="ABR124" s="178"/>
      <c r="ABS124" s="24"/>
      <c r="ABT124" s="178"/>
      <c r="ABU124" s="24"/>
      <c r="ABV124" s="178"/>
      <c r="ABW124" s="24"/>
      <c r="ABX124" s="178"/>
      <c r="ABY124" s="24"/>
      <c r="ABZ124" s="178"/>
      <c r="ACA124" s="24"/>
      <c r="ACB124" s="178"/>
      <c r="ACC124" s="24"/>
      <c r="ACD124" s="178"/>
      <c r="ACE124" s="24"/>
      <c r="ACF124" s="178"/>
      <c r="ACG124" s="24"/>
      <c r="ACH124" s="178"/>
      <c r="ACI124" s="24"/>
      <c r="ACJ124" s="178"/>
      <c r="ACK124" s="24"/>
      <c r="ACL124" s="178"/>
      <c r="ACM124" s="24"/>
      <c r="ACN124" s="178"/>
      <c r="ACO124" s="24"/>
      <c r="ACP124" s="178"/>
      <c r="ACQ124" s="24"/>
      <c r="ACR124" s="178"/>
      <c r="ACS124" s="24"/>
      <c r="ACT124" s="178"/>
      <c r="ACU124" s="24"/>
      <c r="ACV124" s="178"/>
      <c r="ACW124" s="24"/>
      <c r="ACX124" s="178"/>
      <c r="ACY124" s="24"/>
      <c r="ACZ124" s="178"/>
      <c r="ADA124" s="24"/>
      <c r="ADB124" s="178"/>
      <c r="ADC124" s="24"/>
      <c r="ADD124" s="178"/>
      <c r="ADE124" s="24"/>
      <c r="ADF124" s="178"/>
      <c r="ADG124" s="24"/>
      <c r="ADH124" s="178"/>
      <c r="ADI124" s="24"/>
      <c r="ADJ124" s="178"/>
      <c r="ADK124" s="24"/>
      <c r="ADL124" s="178"/>
      <c r="ADM124" s="24"/>
      <c r="ADN124" s="178"/>
      <c r="ADO124" s="24"/>
      <c r="ADP124" s="178"/>
      <c r="ADQ124" s="24"/>
      <c r="ADR124" s="178"/>
      <c r="ADS124" s="24"/>
      <c r="ADT124" s="178"/>
      <c r="ADU124" s="24"/>
      <c r="ADV124" s="178"/>
      <c r="ADW124" s="24"/>
      <c r="ADX124" s="178"/>
      <c r="ADY124" s="24"/>
      <c r="ADZ124" s="178"/>
      <c r="AEA124" s="24"/>
      <c r="AEB124" s="178"/>
      <c r="AEC124" s="24"/>
      <c r="AED124" s="178"/>
      <c r="AEE124" s="24"/>
      <c r="AEF124" s="178"/>
      <c r="AEG124" s="24"/>
      <c r="AEH124" s="178"/>
      <c r="AEI124" s="24"/>
      <c r="AEJ124" s="178"/>
      <c r="AEK124" s="24"/>
      <c r="AEL124" s="178"/>
      <c r="AEM124" s="24"/>
      <c r="AEN124" s="178"/>
      <c r="AEO124" s="24"/>
      <c r="AEP124" s="178"/>
      <c r="AEQ124" s="24"/>
      <c r="AER124" s="178"/>
      <c r="AES124" s="24"/>
      <c r="AET124" s="178"/>
      <c r="AEU124" s="24"/>
      <c r="AEV124" s="178"/>
      <c r="AEW124" s="24"/>
      <c r="AEX124" s="178"/>
      <c r="AEY124" s="24"/>
      <c r="AEZ124" s="178"/>
      <c r="AFA124" s="24"/>
      <c r="AFB124" s="178"/>
      <c r="AFC124" s="24"/>
      <c r="AFD124" s="178"/>
      <c r="AFE124" s="24"/>
      <c r="AFF124" s="178"/>
      <c r="AFG124" s="24"/>
      <c r="AFH124" s="178"/>
      <c r="AFI124" s="24"/>
      <c r="AFJ124" s="178"/>
      <c r="AFK124" s="24"/>
      <c r="AFL124" s="178"/>
      <c r="AFM124" s="24"/>
      <c r="AFN124" s="178"/>
      <c r="AFO124" s="24"/>
      <c r="AFP124" s="178"/>
      <c r="AFQ124" s="24"/>
      <c r="AFR124" s="178"/>
      <c r="AFS124" s="24"/>
      <c r="AFT124" s="178"/>
      <c r="AFU124" s="24"/>
      <c r="AFV124" s="178"/>
      <c r="AFW124" s="24"/>
      <c r="AFX124" s="178"/>
      <c r="AFY124" s="24"/>
      <c r="AFZ124" s="178"/>
      <c r="AGA124" s="24"/>
      <c r="AGB124" s="178"/>
      <c r="AGC124" s="24"/>
      <c r="AGD124" s="178"/>
      <c r="AGE124" s="24"/>
      <c r="AGF124" s="178"/>
      <c r="AGG124" s="24"/>
      <c r="AGH124" s="178"/>
      <c r="AGI124" s="24"/>
      <c r="AGJ124" s="178"/>
      <c r="AGK124" s="24"/>
      <c r="AGL124" s="178"/>
      <c r="AGM124" s="24"/>
      <c r="AGN124" s="178"/>
      <c r="AGO124" s="24"/>
      <c r="AGP124" s="178"/>
      <c r="AGQ124" s="24"/>
      <c r="AGR124" s="178"/>
      <c r="AGS124" s="24"/>
      <c r="AGT124" s="178"/>
      <c r="AGU124" s="24"/>
      <c r="AGV124" s="178"/>
      <c r="AGW124" s="24"/>
      <c r="AGX124" s="178"/>
      <c r="AGY124" s="24"/>
      <c r="AGZ124" s="178"/>
      <c r="AHA124" s="24"/>
      <c r="AHB124" s="178"/>
      <c r="AHC124" s="24"/>
      <c r="AHD124" s="178"/>
      <c r="AHE124" s="24"/>
      <c r="AHF124" s="178"/>
      <c r="AHG124" s="24"/>
      <c r="AHH124" s="178"/>
      <c r="AHI124" s="24"/>
      <c r="AHJ124" s="178"/>
      <c r="AHK124" s="24"/>
      <c r="AHL124" s="178"/>
      <c r="AHM124" s="24"/>
      <c r="AHN124" s="178"/>
      <c r="AHO124" s="24"/>
      <c r="AHP124" s="178"/>
      <c r="AHQ124" s="24"/>
      <c r="AHR124" s="178"/>
      <c r="AHS124" s="24"/>
      <c r="AHT124" s="178"/>
      <c r="AHU124" s="24"/>
      <c r="AHV124" s="178"/>
      <c r="AHW124" s="24"/>
      <c r="AHX124" s="178"/>
      <c r="AHY124" s="24"/>
      <c r="AHZ124" s="178"/>
      <c r="AIA124" s="24"/>
      <c r="AIB124" s="178"/>
      <c r="AIC124" s="24"/>
      <c r="AID124" s="178"/>
      <c r="AIE124" s="24"/>
      <c r="AIF124" s="178"/>
      <c r="AIG124" s="24"/>
      <c r="AIH124" s="178"/>
      <c r="AII124" s="24"/>
      <c r="AIJ124" s="178"/>
      <c r="AIK124" s="24"/>
      <c r="AIL124" s="178"/>
      <c r="AIM124" s="24"/>
      <c r="AIN124" s="178"/>
      <c r="AIO124" s="24"/>
      <c r="AIP124" s="178"/>
      <c r="AIQ124" s="24"/>
      <c r="AIR124" s="178"/>
      <c r="AIS124" s="24"/>
      <c r="AIT124" s="178"/>
      <c r="AIU124" s="24"/>
      <c r="AIV124" s="178"/>
      <c r="AIW124" s="24"/>
      <c r="AIX124" s="178"/>
      <c r="AIY124" s="24"/>
      <c r="AIZ124" s="178"/>
      <c r="AJA124" s="24"/>
      <c r="AJB124" s="178"/>
      <c r="AJC124" s="24"/>
      <c r="AJD124" s="178"/>
      <c r="AJE124" s="24"/>
      <c r="AJF124" s="178"/>
      <c r="AJG124" s="24"/>
      <c r="AJH124" s="178"/>
      <c r="AJI124" s="24"/>
      <c r="AJJ124" s="178"/>
      <c r="AJK124" s="24"/>
      <c r="AJL124" s="178"/>
      <c r="AJM124" s="24"/>
      <c r="AJN124" s="178"/>
      <c r="AJO124" s="24"/>
      <c r="AJP124" s="178"/>
      <c r="AJQ124" s="24"/>
      <c r="AJR124" s="178"/>
      <c r="AJS124" s="24"/>
      <c r="AJT124" s="178"/>
      <c r="AJU124" s="24"/>
      <c r="AJV124" s="178"/>
      <c r="AJW124" s="24"/>
      <c r="AJX124" s="178"/>
      <c r="AJY124" s="24"/>
      <c r="AJZ124" s="178"/>
      <c r="AKA124" s="24"/>
      <c r="AKB124" s="178"/>
      <c r="AKC124" s="24"/>
      <c r="AKD124" s="178"/>
      <c r="AKE124" s="24"/>
      <c r="AKF124" s="178"/>
      <c r="AKG124" s="24"/>
      <c r="AKH124" s="178"/>
      <c r="AKI124" s="24"/>
      <c r="AKJ124" s="178"/>
      <c r="AKK124" s="24"/>
      <c r="AKL124" s="178"/>
      <c r="AKM124" s="24"/>
      <c r="AKN124" s="178"/>
      <c r="AKO124" s="24"/>
      <c r="AKP124" s="178"/>
      <c r="AKQ124" s="24"/>
      <c r="AKR124" s="178"/>
      <c r="AKS124" s="24"/>
      <c r="AKT124" s="178"/>
      <c r="AKU124" s="24"/>
      <c r="AKV124" s="178"/>
      <c r="AKW124" s="24"/>
      <c r="AKX124" s="178"/>
      <c r="AKY124" s="24"/>
      <c r="AKZ124" s="178"/>
      <c r="ALA124" s="24"/>
      <c r="ALB124" s="178"/>
      <c r="ALC124" s="24"/>
      <c r="ALD124" s="178"/>
      <c r="ALE124" s="24"/>
      <c r="ALF124" s="178"/>
      <c r="ALG124" s="24"/>
      <c r="ALH124" s="178"/>
      <c r="ALI124" s="24"/>
      <c r="ALJ124" s="178"/>
      <c r="ALK124" s="24"/>
      <c r="ALL124" s="178"/>
      <c r="ALM124" s="24"/>
      <c r="ALN124" s="178"/>
      <c r="ALO124" s="24"/>
      <c r="ALP124" s="178"/>
      <c r="ALQ124" s="24"/>
      <c r="ALR124" s="178"/>
      <c r="ALS124" s="24"/>
      <c r="ALT124" s="178"/>
      <c r="ALU124" s="24"/>
      <c r="ALV124" s="178"/>
      <c r="ALW124" s="24"/>
      <c r="ALX124" s="178"/>
      <c r="ALY124" s="24"/>
      <c r="ALZ124" s="178"/>
      <c r="AMA124" s="24"/>
      <c r="AMB124" s="178"/>
      <c r="AMC124" s="24"/>
      <c r="AMD124" s="178"/>
      <c r="AME124" s="24"/>
      <c r="AMF124" s="178"/>
      <c r="AMG124" s="24"/>
      <c r="AMH124" s="178"/>
      <c r="AMI124" s="24"/>
      <c r="AMJ124" s="178"/>
      <c r="AMK124" s="24"/>
      <c r="AML124" s="178"/>
      <c r="AMM124" s="24"/>
      <c r="AMN124" s="178"/>
      <c r="AMO124" s="24"/>
      <c r="AMP124" s="178"/>
      <c r="AMQ124" s="24"/>
      <c r="AMR124" s="178"/>
      <c r="AMS124" s="24"/>
      <c r="AMT124" s="178"/>
      <c r="AMU124" s="24"/>
      <c r="AMV124" s="178"/>
      <c r="AMW124" s="24"/>
      <c r="AMX124" s="178"/>
      <c r="AMY124" s="24"/>
      <c r="AMZ124" s="178"/>
      <c r="ANA124" s="24"/>
      <c r="ANB124" s="178"/>
      <c r="ANC124" s="24"/>
      <c r="AND124" s="178"/>
      <c r="ANE124" s="24"/>
      <c r="ANF124" s="178"/>
      <c r="ANG124" s="24"/>
      <c r="ANH124" s="178"/>
      <c r="ANI124" s="24"/>
      <c r="ANJ124" s="178"/>
      <c r="ANK124" s="24"/>
      <c r="ANL124" s="178"/>
      <c r="ANM124" s="24"/>
      <c r="ANN124" s="178"/>
      <c r="ANO124" s="24"/>
      <c r="ANP124" s="178"/>
      <c r="ANQ124" s="24"/>
      <c r="ANR124" s="178"/>
      <c r="ANS124" s="24"/>
      <c r="ANT124" s="178"/>
      <c r="ANU124" s="24"/>
      <c r="ANV124" s="178"/>
      <c r="ANW124" s="24"/>
      <c r="ANX124" s="178"/>
      <c r="ANY124" s="24"/>
      <c r="ANZ124" s="178"/>
      <c r="AOA124" s="24"/>
      <c r="AOB124" s="178"/>
      <c r="AOC124" s="24"/>
      <c r="AOD124" s="178"/>
      <c r="AOE124" s="24"/>
      <c r="AOF124" s="178"/>
      <c r="AOG124" s="24"/>
      <c r="AOH124" s="178"/>
      <c r="AOI124" s="24"/>
      <c r="AOJ124" s="178"/>
      <c r="AOK124" s="24"/>
      <c r="AOL124" s="178"/>
      <c r="AOM124" s="24"/>
      <c r="AON124" s="178"/>
      <c r="AOO124" s="24"/>
      <c r="AOP124" s="178"/>
      <c r="AOQ124" s="24"/>
      <c r="AOR124" s="178"/>
      <c r="AOS124" s="24"/>
      <c r="AOT124" s="178"/>
      <c r="AOU124" s="24"/>
      <c r="AOV124" s="178"/>
      <c r="AOW124" s="24"/>
      <c r="AOX124" s="178"/>
      <c r="AOY124" s="24"/>
      <c r="AOZ124" s="178"/>
      <c r="APA124" s="24"/>
      <c r="APB124" s="178"/>
      <c r="APC124" s="24"/>
      <c r="APD124" s="178"/>
      <c r="APE124" s="24"/>
      <c r="APF124" s="178"/>
      <c r="APG124" s="24"/>
      <c r="APH124" s="178"/>
      <c r="API124" s="24"/>
      <c r="APJ124" s="178"/>
      <c r="APK124" s="24"/>
      <c r="APL124" s="178"/>
      <c r="APM124" s="24"/>
      <c r="APN124" s="178"/>
      <c r="APO124" s="24"/>
      <c r="APP124" s="178"/>
      <c r="APQ124" s="24"/>
      <c r="APR124" s="178"/>
      <c r="APS124" s="24"/>
      <c r="APT124" s="178"/>
      <c r="APU124" s="24"/>
      <c r="APV124" s="178"/>
      <c r="APW124" s="24"/>
      <c r="APX124" s="178"/>
      <c r="APY124" s="24"/>
      <c r="APZ124" s="178"/>
      <c r="AQA124" s="24"/>
      <c r="AQB124" s="178"/>
      <c r="AQC124" s="24"/>
      <c r="AQD124" s="178"/>
      <c r="AQE124" s="24"/>
      <c r="AQF124" s="178"/>
      <c r="AQG124" s="24"/>
      <c r="AQH124" s="178"/>
      <c r="AQI124" s="24"/>
      <c r="AQJ124" s="178"/>
      <c r="AQK124" s="24"/>
      <c r="AQL124" s="178"/>
      <c r="AQM124" s="24"/>
      <c r="AQN124" s="178"/>
      <c r="AQO124" s="24"/>
      <c r="AQP124" s="178"/>
      <c r="AQQ124" s="24"/>
      <c r="AQR124" s="178"/>
      <c r="AQS124" s="24"/>
      <c r="AQT124" s="178"/>
      <c r="AQU124" s="24"/>
      <c r="AQV124" s="178"/>
      <c r="AQW124" s="24"/>
      <c r="AQX124" s="178"/>
      <c r="AQY124" s="24"/>
      <c r="AQZ124" s="178"/>
      <c r="ARA124" s="24"/>
      <c r="ARB124" s="178"/>
      <c r="ARC124" s="24"/>
      <c r="ARD124" s="178"/>
      <c r="ARE124" s="24"/>
      <c r="ARF124" s="178"/>
      <c r="ARG124" s="24"/>
      <c r="ARH124" s="178"/>
      <c r="ARI124" s="24"/>
      <c r="ARJ124" s="178"/>
      <c r="ARK124" s="24"/>
      <c r="ARL124" s="178"/>
      <c r="ARM124" s="24"/>
      <c r="ARN124" s="178"/>
      <c r="ARO124" s="24"/>
      <c r="ARP124" s="178"/>
      <c r="ARQ124" s="24"/>
      <c r="ARR124" s="178"/>
      <c r="ARS124" s="24"/>
      <c r="ART124" s="178"/>
      <c r="ARU124" s="24"/>
      <c r="ARV124" s="178"/>
      <c r="ARW124" s="24"/>
      <c r="ARX124" s="178"/>
      <c r="ARY124" s="24"/>
      <c r="ARZ124" s="178"/>
      <c r="ASA124" s="24"/>
      <c r="ASB124" s="178"/>
      <c r="ASC124" s="24"/>
      <c r="ASD124" s="178"/>
      <c r="ASE124" s="24"/>
      <c r="ASF124" s="178"/>
      <c r="ASG124" s="24"/>
      <c r="ASH124" s="178"/>
      <c r="ASI124" s="24"/>
      <c r="ASJ124" s="178"/>
      <c r="ASK124" s="24"/>
      <c r="ASL124" s="178"/>
      <c r="ASM124" s="24"/>
      <c r="ASN124" s="178"/>
      <c r="ASO124" s="24"/>
      <c r="ASP124" s="178"/>
      <c r="ASQ124" s="24"/>
      <c r="ASR124" s="178"/>
      <c r="ASS124" s="24"/>
      <c r="AST124" s="178"/>
      <c r="ASU124" s="24"/>
      <c r="ASV124" s="178"/>
      <c r="ASW124" s="24"/>
      <c r="ASX124" s="178"/>
      <c r="ASY124" s="24"/>
      <c r="ASZ124" s="178"/>
      <c r="ATA124" s="24"/>
      <c r="ATB124" s="178"/>
      <c r="ATC124" s="24"/>
      <c r="ATD124" s="178"/>
      <c r="ATE124" s="24"/>
      <c r="ATF124" s="178"/>
      <c r="ATG124" s="24"/>
      <c r="ATH124" s="178"/>
      <c r="ATI124" s="24"/>
      <c r="ATJ124" s="178"/>
      <c r="ATK124" s="24"/>
      <c r="ATL124" s="178"/>
      <c r="ATM124" s="24"/>
      <c r="ATN124" s="178"/>
      <c r="ATO124" s="24"/>
      <c r="ATP124" s="178"/>
      <c r="ATQ124" s="24"/>
      <c r="ATR124" s="178"/>
      <c r="ATS124" s="24"/>
      <c r="ATT124" s="178"/>
      <c r="ATU124" s="24"/>
      <c r="ATV124" s="178"/>
      <c r="ATW124" s="24"/>
      <c r="ATX124" s="178"/>
      <c r="ATY124" s="24"/>
      <c r="ATZ124" s="178"/>
      <c r="AUA124" s="24"/>
      <c r="AUB124" s="178"/>
      <c r="AUC124" s="24"/>
      <c r="AUD124" s="178"/>
      <c r="AUE124" s="24"/>
      <c r="AUF124" s="178"/>
      <c r="AUG124" s="24"/>
      <c r="AUH124" s="178"/>
      <c r="AUI124" s="24"/>
      <c r="AUJ124" s="178"/>
      <c r="AUK124" s="24"/>
      <c r="AUL124" s="178"/>
      <c r="AUM124" s="24"/>
      <c r="AUN124" s="178"/>
      <c r="AUO124" s="24"/>
      <c r="AUP124" s="178"/>
      <c r="AUQ124" s="24"/>
      <c r="AUR124" s="178"/>
      <c r="AUS124" s="24"/>
      <c r="AUT124" s="178"/>
      <c r="AUU124" s="24"/>
      <c r="AUV124" s="178"/>
      <c r="AUW124" s="24"/>
      <c r="AUX124" s="178"/>
      <c r="AUY124" s="24"/>
      <c r="AUZ124" s="178"/>
      <c r="AVA124" s="24"/>
      <c r="AVB124" s="178"/>
      <c r="AVC124" s="24"/>
      <c r="AVD124" s="178"/>
      <c r="AVE124" s="24"/>
      <c r="AVF124" s="178"/>
      <c r="AVG124" s="24"/>
      <c r="AVH124" s="178"/>
      <c r="AVI124" s="24"/>
      <c r="AVJ124" s="178"/>
      <c r="AVK124" s="24"/>
      <c r="AVL124" s="178"/>
      <c r="AVM124" s="24"/>
      <c r="AVN124" s="178"/>
      <c r="AVO124" s="24"/>
      <c r="AVP124" s="178"/>
      <c r="AVQ124" s="24"/>
      <c r="AVR124" s="178"/>
      <c r="AVS124" s="24"/>
      <c r="AVT124" s="178"/>
      <c r="AVU124" s="24"/>
      <c r="AVV124" s="178"/>
      <c r="AVW124" s="24"/>
      <c r="AVX124" s="178"/>
      <c r="AVY124" s="24"/>
      <c r="AVZ124" s="178"/>
      <c r="AWA124" s="24"/>
      <c r="AWB124" s="178"/>
      <c r="AWC124" s="24"/>
      <c r="AWD124" s="178"/>
      <c r="AWE124" s="24"/>
      <c r="AWF124" s="178"/>
      <c r="AWG124" s="24"/>
      <c r="AWH124" s="178"/>
      <c r="AWI124" s="24"/>
      <c r="AWJ124" s="178"/>
      <c r="AWK124" s="24"/>
      <c r="AWL124" s="178"/>
      <c r="AWM124" s="24"/>
      <c r="AWN124" s="178"/>
      <c r="AWO124" s="24"/>
      <c r="AWP124" s="178"/>
      <c r="AWQ124" s="24"/>
      <c r="AWR124" s="178"/>
      <c r="AWS124" s="24"/>
      <c r="AWT124" s="178"/>
      <c r="AWU124" s="24"/>
      <c r="AWV124" s="178"/>
      <c r="AWW124" s="24"/>
      <c r="AWX124" s="178"/>
      <c r="AWY124" s="24"/>
      <c r="AWZ124" s="178"/>
      <c r="AXA124" s="24"/>
      <c r="AXB124" s="178"/>
      <c r="AXC124" s="24"/>
      <c r="AXD124" s="178"/>
      <c r="AXE124" s="24"/>
      <c r="AXF124" s="178"/>
      <c r="AXG124" s="24"/>
      <c r="AXH124" s="178"/>
      <c r="AXI124" s="24"/>
      <c r="AXJ124" s="178"/>
      <c r="AXK124" s="24"/>
      <c r="AXL124" s="178"/>
      <c r="AXM124" s="24"/>
      <c r="AXN124" s="178"/>
      <c r="AXO124" s="24"/>
      <c r="AXP124" s="178"/>
      <c r="AXQ124" s="24"/>
      <c r="AXR124" s="178"/>
      <c r="AXS124" s="24"/>
      <c r="AXT124" s="178"/>
      <c r="AXU124" s="24"/>
      <c r="AXV124" s="178"/>
      <c r="AXW124" s="24"/>
      <c r="AXX124" s="178"/>
      <c r="AXY124" s="24"/>
      <c r="AXZ124" s="178"/>
      <c r="AYA124" s="24"/>
      <c r="AYB124" s="178"/>
      <c r="AYC124" s="24"/>
      <c r="AYD124" s="178"/>
      <c r="AYE124" s="24"/>
      <c r="AYF124" s="178"/>
      <c r="AYG124" s="24"/>
      <c r="AYH124" s="178"/>
      <c r="AYI124" s="24"/>
      <c r="AYJ124" s="178"/>
      <c r="AYK124" s="24"/>
      <c r="AYL124" s="178"/>
      <c r="AYM124" s="24"/>
      <c r="AYN124" s="178"/>
      <c r="AYO124" s="24"/>
      <c r="AYP124" s="178"/>
      <c r="AYQ124" s="24"/>
      <c r="AYR124" s="178"/>
      <c r="AYS124" s="24"/>
      <c r="AYT124" s="178"/>
      <c r="AYU124" s="24"/>
      <c r="AYV124" s="178"/>
      <c r="AYW124" s="24"/>
      <c r="AYX124" s="178"/>
      <c r="AYY124" s="24"/>
      <c r="AYZ124" s="178"/>
      <c r="AZA124" s="24"/>
      <c r="AZB124" s="178"/>
      <c r="AZC124" s="24"/>
      <c r="AZD124" s="178"/>
      <c r="AZE124" s="24"/>
      <c r="AZF124" s="178"/>
      <c r="AZG124" s="24"/>
      <c r="AZH124" s="178"/>
      <c r="AZI124" s="24"/>
      <c r="AZJ124" s="178"/>
      <c r="AZK124" s="24"/>
      <c r="AZL124" s="178"/>
      <c r="AZM124" s="24"/>
      <c r="AZN124" s="178"/>
      <c r="AZO124" s="24"/>
      <c r="AZP124" s="178"/>
      <c r="AZQ124" s="24"/>
      <c r="AZR124" s="178"/>
      <c r="AZS124" s="24"/>
      <c r="AZT124" s="178"/>
      <c r="AZU124" s="24"/>
      <c r="AZV124" s="178"/>
      <c r="AZW124" s="24"/>
      <c r="AZX124" s="178"/>
      <c r="AZY124" s="24"/>
      <c r="AZZ124" s="178"/>
      <c r="BAA124" s="24"/>
      <c r="BAB124" s="178"/>
      <c r="BAC124" s="24"/>
      <c r="BAD124" s="178"/>
      <c r="BAE124" s="24"/>
      <c r="BAF124" s="178"/>
      <c r="BAG124" s="24"/>
      <c r="BAH124" s="178"/>
      <c r="BAI124" s="24"/>
      <c r="BAJ124" s="178"/>
      <c r="BAK124" s="24"/>
      <c r="BAL124" s="178"/>
      <c r="BAM124" s="24"/>
      <c r="BAN124" s="178"/>
      <c r="BAO124" s="24"/>
      <c r="BAP124" s="178"/>
      <c r="BAQ124" s="24"/>
      <c r="BAR124" s="178"/>
      <c r="BAS124" s="24"/>
      <c r="BAT124" s="178"/>
      <c r="BAU124" s="24"/>
      <c r="BAV124" s="178"/>
      <c r="BAW124" s="24"/>
      <c r="BAX124" s="178"/>
      <c r="BAY124" s="24"/>
      <c r="BAZ124" s="178"/>
      <c r="BBA124" s="24"/>
      <c r="BBB124" s="178"/>
      <c r="BBC124" s="24"/>
      <c r="BBD124" s="178"/>
      <c r="BBE124" s="24"/>
      <c r="BBF124" s="178"/>
      <c r="BBG124" s="24"/>
      <c r="BBH124" s="178"/>
      <c r="BBI124" s="24"/>
      <c r="BBJ124" s="178"/>
      <c r="BBK124" s="24"/>
      <c r="BBL124" s="178"/>
      <c r="BBM124" s="24"/>
      <c r="BBN124" s="178"/>
      <c r="BBO124" s="24"/>
      <c r="BBP124" s="178"/>
      <c r="BBQ124" s="24"/>
      <c r="BBR124" s="178"/>
      <c r="BBS124" s="24"/>
      <c r="BBT124" s="178"/>
      <c r="BBU124" s="24"/>
      <c r="BBV124" s="178"/>
      <c r="BBW124" s="24"/>
      <c r="BBX124" s="178"/>
      <c r="BBY124" s="24"/>
      <c r="BBZ124" s="178"/>
      <c r="BCA124" s="24"/>
      <c r="BCB124" s="178"/>
      <c r="BCC124" s="24"/>
      <c r="BCD124" s="178"/>
      <c r="BCE124" s="24"/>
      <c r="BCF124" s="178"/>
      <c r="BCG124" s="24"/>
      <c r="BCH124" s="178"/>
      <c r="BCI124" s="24"/>
      <c r="BCJ124" s="178"/>
      <c r="BCK124" s="24"/>
      <c r="BCL124" s="178"/>
      <c r="BCM124" s="24"/>
      <c r="BCN124" s="178"/>
      <c r="BCO124" s="24"/>
      <c r="BCP124" s="178"/>
      <c r="BCQ124" s="24"/>
      <c r="BCR124" s="178"/>
      <c r="BCS124" s="24"/>
      <c r="BCT124" s="178"/>
      <c r="BCU124" s="24"/>
      <c r="BCV124" s="178"/>
      <c r="BCW124" s="24"/>
      <c r="BCX124" s="178"/>
      <c r="BCY124" s="24"/>
      <c r="BCZ124" s="178"/>
      <c r="BDA124" s="24"/>
      <c r="BDB124" s="178"/>
      <c r="BDC124" s="24"/>
      <c r="BDD124" s="178"/>
      <c r="BDE124" s="24"/>
      <c r="BDF124" s="178"/>
      <c r="BDG124" s="24"/>
      <c r="BDH124" s="178"/>
      <c r="BDI124" s="24"/>
      <c r="BDJ124" s="178"/>
      <c r="BDK124" s="24"/>
      <c r="BDL124" s="178"/>
      <c r="BDM124" s="24"/>
      <c r="BDN124" s="178"/>
      <c r="BDO124" s="24"/>
      <c r="BDP124" s="178"/>
      <c r="BDQ124" s="24"/>
      <c r="BDR124" s="178"/>
      <c r="BDS124" s="24"/>
      <c r="BDT124" s="178"/>
      <c r="BDU124" s="24"/>
      <c r="BDV124" s="178"/>
      <c r="BDW124" s="24"/>
      <c r="BDX124" s="178"/>
      <c r="BDY124" s="24"/>
      <c r="BDZ124" s="178"/>
      <c r="BEA124" s="24"/>
      <c r="BEB124" s="178"/>
      <c r="BEC124" s="24"/>
      <c r="BED124" s="178"/>
      <c r="BEE124" s="24"/>
      <c r="BEF124" s="178"/>
      <c r="BEG124" s="24"/>
      <c r="BEH124" s="178"/>
      <c r="BEI124" s="24"/>
      <c r="BEJ124" s="178"/>
      <c r="BEK124" s="24"/>
      <c r="BEL124" s="178"/>
      <c r="BEM124" s="24"/>
      <c r="BEN124" s="178"/>
      <c r="BEO124" s="24"/>
      <c r="BEP124" s="178"/>
      <c r="BEQ124" s="24"/>
      <c r="BER124" s="178"/>
      <c r="BES124" s="24"/>
      <c r="BET124" s="178"/>
      <c r="BEU124" s="24"/>
      <c r="BEV124" s="178"/>
      <c r="BEW124" s="24"/>
      <c r="BEX124" s="178"/>
      <c r="BEY124" s="24"/>
      <c r="BEZ124" s="178"/>
      <c r="BFA124" s="24"/>
      <c r="BFB124" s="178"/>
      <c r="BFC124" s="24"/>
      <c r="BFD124" s="178"/>
      <c r="BFE124" s="24"/>
      <c r="BFF124" s="178"/>
      <c r="BFG124" s="24"/>
      <c r="BFH124" s="178"/>
      <c r="BFI124" s="24"/>
      <c r="BFJ124" s="178"/>
      <c r="BFK124" s="24"/>
      <c r="BFL124" s="178"/>
      <c r="BFM124" s="24"/>
      <c r="BFN124" s="178"/>
      <c r="BFO124" s="24"/>
      <c r="BFP124" s="178"/>
      <c r="BFQ124" s="24"/>
      <c r="BFR124" s="178"/>
      <c r="BFS124" s="24"/>
      <c r="BFT124" s="178"/>
      <c r="BFU124" s="24"/>
      <c r="BFV124" s="178"/>
      <c r="BFW124" s="24"/>
      <c r="BFX124" s="178"/>
      <c r="BFY124" s="24"/>
      <c r="BFZ124" s="178"/>
      <c r="BGA124" s="24"/>
      <c r="BGB124" s="178"/>
      <c r="BGC124" s="24"/>
      <c r="BGD124" s="178"/>
      <c r="BGE124" s="24"/>
      <c r="BGF124" s="178"/>
      <c r="BGG124" s="24"/>
      <c r="BGH124" s="178"/>
      <c r="BGI124" s="24"/>
      <c r="BGJ124" s="178"/>
      <c r="BGK124" s="24"/>
      <c r="BGL124" s="178"/>
      <c r="BGM124" s="24"/>
      <c r="BGN124" s="178"/>
      <c r="BGO124" s="24"/>
      <c r="BGP124" s="178"/>
      <c r="BGQ124" s="24"/>
      <c r="BGR124" s="178"/>
      <c r="BGS124" s="24"/>
      <c r="BGT124" s="178"/>
      <c r="BGU124" s="24"/>
      <c r="BGV124" s="178"/>
      <c r="BGW124" s="24"/>
      <c r="BGX124" s="178"/>
      <c r="BGY124" s="24"/>
      <c r="BGZ124" s="178"/>
      <c r="BHA124" s="24"/>
      <c r="BHB124" s="178"/>
      <c r="BHC124" s="24"/>
      <c r="BHD124" s="178"/>
      <c r="BHE124" s="24"/>
      <c r="BHF124" s="178"/>
      <c r="BHG124" s="24"/>
      <c r="BHH124" s="178"/>
      <c r="BHI124" s="24"/>
      <c r="BHJ124" s="178"/>
      <c r="BHK124" s="24"/>
      <c r="BHL124" s="178"/>
      <c r="BHM124" s="24"/>
      <c r="BHN124" s="178"/>
      <c r="BHO124" s="24"/>
      <c r="BHP124" s="178"/>
      <c r="BHQ124" s="24"/>
      <c r="BHR124" s="178"/>
      <c r="BHS124" s="24"/>
      <c r="BHT124" s="178"/>
      <c r="BHU124" s="24"/>
      <c r="BHV124" s="178"/>
      <c r="BHW124" s="24"/>
      <c r="BHX124" s="178"/>
      <c r="BHY124" s="24"/>
      <c r="BHZ124" s="178"/>
      <c r="BIA124" s="24"/>
      <c r="BIB124" s="178"/>
      <c r="BIC124" s="24"/>
      <c r="BID124" s="178"/>
      <c r="BIE124" s="24"/>
      <c r="BIF124" s="178"/>
      <c r="BIG124" s="24"/>
      <c r="BIH124" s="178"/>
      <c r="BII124" s="24"/>
      <c r="BIJ124" s="178"/>
      <c r="BIK124" s="24"/>
      <c r="BIL124" s="178"/>
      <c r="BIM124" s="24"/>
      <c r="BIN124" s="178"/>
      <c r="BIO124" s="24"/>
      <c r="BIP124" s="178"/>
      <c r="BIQ124" s="24"/>
      <c r="BIR124" s="178"/>
      <c r="BIS124" s="24"/>
      <c r="BIT124" s="178"/>
      <c r="BIU124" s="24"/>
      <c r="BIV124" s="178"/>
      <c r="BIW124" s="24"/>
      <c r="BIX124" s="178"/>
      <c r="BIY124" s="24"/>
      <c r="BIZ124" s="178"/>
      <c r="BJA124" s="24"/>
      <c r="BJB124" s="178"/>
      <c r="BJC124" s="24"/>
      <c r="BJD124" s="178"/>
      <c r="BJE124" s="24"/>
      <c r="BJF124" s="178"/>
      <c r="BJG124" s="24"/>
      <c r="BJH124" s="178"/>
      <c r="BJI124" s="24"/>
      <c r="BJJ124" s="178"/>
      <c r="BJK124" s="24"/>
      <c r="BJL124" s="178"/>
      <c r="BJM124" s="24"/>
      <c r="BJN124" s="178"/>
      <c r="BJO124" s="24"/>
      <c r="BJP124" s="178"/>
      <c r="BJQ124" s="24"/>
      <c r="BJR124" s="178"/>
      <c r="BJS124" s="24"/>
      <c r="BJT124" s="178"/>
      <c r="BJU124" s="24"/>
      <c r="BJV124" s="178"/>
      <c r="BJW124" s="24"/>
      <c r="BJX124" s="178"/>
      <c r="BJY124" s="24"/>
      <c r="BJZ124" s="178"/>
      <c r="BKA124" s="24"/>
      <c r="BKB124" s="178"/>
      <c r="BKC124" s="24"/>
      <c r="BKD124" s="178"/>
      <c r="BKE124" s="24"/>
      <c r="BKF124" s="178"/>
      <c r="BKG124" s="24"/>
      <c r="BKH124" s="178"/>
      <c r="BKI124" s="24"/>
      <c r="BKJ124" s="178"/>
      <c r="BKK124" s="24"/>
      <c r="BKL124" s="178"/>
      <c r="BKM124" s="24"/>
      <c r="BKN124" s="178"/>
      <c r="BKO124" s="24"/>
      <c r="BKP124" s="178"/>
      <c r="BKQ124" s="24"/>
      <c r="BKR124" s="178"/>
      <c r="BKS124" s="24"/>
      <c r="BKT124" s="178"/>
      <c r="BKU124" s="24"/>
      <c r="BKV124" s="178"/>
      <c r="BKW124" s="24"/>
      <c r="BKX124" s="178"/>
      <c r="BKY124" s="24"/>
      <c r="BKZ124" s="178"/>
      <c r="BLA124" s="24"/>
      <c r="BLB124" s="178"/>
      <c r="BLC124" s="24"/>
      <c r="BLD124" s="178"/>
      <c r="BLE124" s="24"/>
      <c r="BLF124" s="178"/>
      <c r="BLG124" s="24"/>
      <c r="BLH124" s="178"/>
      <c r="BLI124" s="24"/>
      <c r="BLJ124" s="178"/>
      <c r="BLK124" s="24"/>
      <c r="BLL124" s="178"/>
      <c r="BLM124" s="24"/>
      <c r="BLN124" s="178"/>
      <c r="BLO124" s="24"/>
      <c r="BLP124" s="178"/>
      <c r="BLQ124" s="24"/>
      <c r="BLR124" s="178"/>
      <c r="BLS124" s="24"/>
      <c r="BLT124" s="178"/>
      <c r="BLU124" s="24"/>
      <c r="BLV124" s="178"/>
      <c r="BLW124" s="24"/>
      <c r="BLX124" s="178"/>
      <c r="BLY124" s="24"/>
      <c r="BLZ124" s="178"/>
      <c r="BMA124" s="24"/>
      <c r="BMB124" s="178"/>
      <c r="BMC124" s="24"/>
      <c r="BMD124" s="178"/>
      <c r="BME124" s="24"/>
      <c r="BMF124" s="178"/>
      <c r="BMG124" s="24"/>
      <c r="BMH124" s="178"/>
      <c r="BMI124" s="24"/>
      <c r="BMJ124" s="178"/>
      <c r="BMK124" s="24"/>
      <c r="BML124" s="178"/>
      <c r="BMM124" s="24"/>
      <c r="BMN124" s="178"/>
      <c r="BMO124" s="24"/>
      <c r="BMP124" s="178"/>
      <c r="BMQ124" s="24"/>
      <c r="BMR124" s="178"/>
      <c r="BMS124" s="24"/>
      <c r="BMT124" s="178"/>
      <c r="BMU124" s="24"/>
      <c r="BMV124" s="178"/>
      <c r="BMW124" s="24"/>
      <c r="BMX124" s="178"/>
      <c r="BMY124" s="24"/>
      <c r="BMZ124" s="178"/>
      <c r="BNA124" s="24"/>
      <c r="BNB124" s="178"/>
      <c r="BNC124" s="24"/>
      <c r="BND124" s="178"/>
      <c r="BNE124" s="24"/>
      <c r="BNF124" s="178"/>
      <c r="BNG124" s="24"/>
      <c r="BNH124" s="178"/>
      <c r="BNI124" s="24"/>
      <c r="BNJ124" s="178"/>
      <c r="BNK124" s="24"/>
      <c r="BNL124" s="178"/>
      <c r="BNM124" s="24"/>
      <c r="BNN124" s="178"/>
      <c r="BNO124" s="24"/>
      <c r="BNP124" s="178"/>
      <c r="BNQ124" s="24"/>
      <c r="BNR124" s="178"/>
      <c r="BNS124" s="24"/>
      <c r="BNT124" s="178"/>
      <c r="BNU124" s="24"/>
      <c r="BNV124" s="178"/>
      <c r="BNW124" s="24"/>
      <c r="BNX124" s="178"/>
      <c r="BNY124" s="24"/>
      <c r="BNZ124" s="178"/>
      <c r="BOA124" s="24"/>
      <c r="BOB124" s="178"/>
      <c r="BOC124" s="24"/>
      <c r="BOD124" s="178"/>
      <c r="BOE124" s="24"/>
      <c r="BOF124" s="178"/>
      <c r="BOG124" s="24"/>
      <c r="BOH124" s="178"/>
      <c r="BOI124" s="24"/>
      <c r="BOJ124" s="178"/>
      <c r="BOK124" s="24"/>
      <c r="BOL124" s="178"/>
      <c r="BOM124" s="24"/>
      <c r="BON124" s="178"/>
      <c r="BOO124" s="24"/>
      <c r="BOP124" s="178"/>
      <c r="BOQ124" s="24"/>
      <c r="BOR124" s="178"/>
      <c r="BOS124" s="24"/>
      <c r="BOT124" s="178"/>
      <c r="BOU124" s="24"/>
      <c r="BOV124" s="178"/>
      <c r="BOW124" s="24"/>
      <c r="BOX124" s="178"/>
      <c r="BOY124" s="24"/>
      <c r="BOZ124" s="178"/>
      <c r="BPA124" s="24"/>
      <c r="BPB124" s="178"/>
      <c r="BPC124" s="24"/>
      <c r="BPD124" s="178"/>
      <c r="BPE124" s="24"/>
      <c r="BPF124" s="178"/>
      <c r="BPG124" s="24"/>
      <c r="BPH124" s="178"/>
      <c r="BPI124" s="24"/>
      <c r="BPJ124" s="178"/>
      <c r="BPK124" s="24"/>
      <c r="BPL124" s="178"/>
      <c r="BPM124" s="24"/>
      <c r="BPN124" s="178"/>
      <c r="BPO124" s="24"/>
      <c r="BPP124" s="178"/>
      <c r="BPQ124" s="24"/>
      <c r="BPR124" s="178"/>
      <c r="BPS124" s="24"/>
      <c r="BPT124" s="178"/>
      <c r="BPU124" s="24"/>
      <c r="BPV124" s="178"/>
      <c r="BPW124" s="24"/>
      <c r="BPX124" s="178"/>
      <c r="BPY124" s="24"/>
      <c r="BPZ124" s="178"/>
      <c r="BQA124" s="24"/>
      <c r="BQB124" s="178"/>
      <c r="BQC124" s="24"/>
      <c r="BQD124" s="178"/>
      <c r="BQE124" s="24"/>
      <c r="BQF124" s="178"/>
      <c r="BQG124" s="24"/>
      <c r="BQH124" s="178"/>
      <c r="BQI124" s="24"/>
      <c r="BQJ124" s="178"/>
      <c r="BQK124" s="24"/>
      <c r="BQL124" s="178"/>
      <c r="BQM124" s="24"/>
      <c r="BQN124" s="178"/>
      <c r="BQO124" s="24"/>
      <c r="BQP124" s="178"/>
      <c r="BQQ124" s="24"/>
      <c r="BQR124" s="178"/>
      <c r="BQS124" s="24"/>
      <c r="BQT124" s="178"/>
      <c r="BQU124" s="24"/>
      <c r="BQV124" s="178"/>
      <c r="BQW124" s="24"/>
      <c r="BQX124" s="178"/>
      <c r="BQY124" s="24"/>
      <c r="BQZ124" s="178"/>
      <c r="BRA124" s="24"/>
      <c r="BRB124" s="178"/>
      <c r="BRC124" s="24"/>
      <c r="BRD124" s="178"/>
      <c r="BRE124" s="24"/>
      <c r="BRF124" s="178"/>
      <c r="BRG124" s="24"/>
      <c r="BRH124" s="178"/>
      <c r="BRI124" s="24"/>
      <c r="BRJ124" s="178"/>
      <c r="BRK124" s="24"/>
      <c r="BRL124" s="178"/>
      <c r="BRM124" s="24"/>
      <c r="BRN124" s="178"/>
      <c r="BRO124" s="24"/>
      <c r="BRP124" s="178"/>
      <c r="BRQ124" s="24"/>
      <c r="BRR124" s="178"/>
      <c r="BRS124" s="24"/>
      <c r="BRT124" s="178"/>
      <c r="BRU124" s="24"/>
      <c r="BRV124" s="178"/>
      <c r="BRW124" s="24"/>
      <c r="BRX124" s="178"/>
      <c r="BRY124" s="24"/>
      <c r="BRZ124" s="178"/>
      <c r="BSA124" s="24"/>
      <c r="BSB124" s="178"/>
      <c r="BSC124" s="24"/>
      <c r="BSD124" s="178"/>
      <c r="BSE124" s="24"/>
      <c r="BSF124" s="178"/>
      <c r="BSG124" s="24"/>
      <c r="BSH124" s="178"/>
      <c r="BSI124" s="24"/>
      <c r="BSJ124" s="178"/>
      <c r="BSK124" s="24"/>
      <c r="BSL124" s="178"/>
      <c r="BSM124" s="24"/>
      <c r="BSN124" s="178"/>
      <c r="BSO124" s="24"/>
      <c r="BSP124" s="178"/>
      <c r="BSQ124" s="24"/>
      <c r="BSR124" s="178"/>
      <c r="BSS124" s="24"/>
      <c r="BST124" s="178"/>
      <c r="BSU124" s="24"/>
      <c r="BSV124" s="178"/>
      <c r="BSW124" s="24"/>
      <c r="BSX124" s="178"/>
      <c r="BSY124" s="24"/>
      <c r="BSZ124" s="178"/>
      <c r="BTA124" s="24"/>
      <c r="BTB124" s="178"/>
      <c r="BTC124" s="24"/>
      <c r="BTD124" s="178"/>
      <c r="BTE124" s="24"/>
      <c r="BTF124" s="178"/>
      <c r="BTG124" s="24"/>
      <c r="BTH124" s="178"/>
      <c r="BTI124" s="24"/>
      <c r="BTJ124" s="178"/>
      <c r="BTK124" s="24"/>
      <c r="BTL124" s="178"/>
      <c r="BTM124" s="24"/>
      <c r="BTN124" s="178"/>
      <c r="BTO124" s="24"/>
      <c r="BTP124" s="178"/>
      <c r="BTQ124" s="24"/>
      <c r="BTR124" s="178"/>
      <c r="BTS124" s="24"/>
      <c r="BTT124" s="178"/>
      <c r="BTU124" s="24"/>
      <c r="BTV124" s="178"/>
      <c r="BTW124" s="24"/>
      <c r="BTX124" s="178"/>
      <c r="BTY124" s="24"/>
      <c r="BTZ124" s="178"/>
      <c r="BUA124" s="24"/>
      <c r="BUB124" s="178"/>
      <c r="BUC124" s="24"/>
      <c r="BUD124" s="178"/>
      <c r="BUE124" s="24"/>
      <c r="BUF124" s="178"/>
      <c r="BUG124" s="24"/>
      <c r="BUH124" s="178"/>
      <c r="BUI124" s="24"/>
      <c r="BUJ124" s="178"/>
      <c r="BUK124" s="24"/>
      <c r="BUL124" s="178"/>
      <c r="BUM124" s="24"/>
      <c r="BUN124" s="178"/>
      <c r="BUO124" s="24"/>
      <c r="BUP124" s="178"/>
      <c r="BUQ124" s="24"/>
      <c r="BUR124" s="178"/>
      <c r="BUS124" s="24"/>
      <c r="BUT124" s="178"/>
      <c r="BUU124" s="24"/>
      <c r="BUV124" s="178"/>
      <c r="BUW124" s="24"/>
      <c r="BUX124" s="178"/>
      <c r="BUY124" s="24"/>
      <c r="BUZ124" s="178"/>
      <c r="BVA124" s="24"/>
      <c r="BVB124" s="178"/>
      <c r="BVC124" s="24"/>
      <c r="BVD124" s="178"/>
      <c r="BVE124" s="24"/>
      <c r="BVF124" s="178"/>
      <c r="BVG124" s="24"/>
      <c r="BVH124" s="178"/>
      <c r="BVI124" s="24"/>
      <c r="BVJ124" s="178"/>
      <c r="BVK124" s="24"/>
      <c r="BVL124" s="178"/>
      <c r="BVM124" s="24"/>
      <c r="BVN124" s="178"/>
      <c r="BVO124" s="24"/>
      <c r="BVP124" s="178"/>
      <c r="BVQ124" s="24"/>
      <c r="BVR124" s="178"/>
      <c r="BVS124" s="24"/>
      <c r="BVT124" s="178"/>
      <c r="BVU124" s="24"/>
      <c r="BVV124" s="178"/>
      <c r="BVW124" s="24"/>
      <c r="BVX124" s="178"/>
      <c r="BVY124" s="24"/>
      <c r="BVZ124" s="178"/>
      <c r="BWA124" s="24"/>
      <c r="BWB124" s="178"/>
      <c r="BWC124" s="24"/>
      <c r="BWD124" s="178"/>
      <c r="BWE124" s="24"/>
      <c r="BWF124" s="178"/>
      <c r="BWG124" s="24"/>
      <c r="BWH124" s="178"/>
      <c r="BWI124" s="24"/>
      <c r="BWJ124" s="178"/>
      <c r="BWK124" s="24"/>
      <c r="BWL124" s="178"/>
      <c r="BWM124" s="24"/>
      <c r="BWN124" s="178"/>
      <c r="BWO124" s="24"/>
      <c r="BWP124" s="178"/>
      <c r="BWQ124" s="24"/>
      <c r="BWR124" s="178"/>
      <c r="BWS124" s="24"/>
      <c r="BWT124" s="178"/>
      <c r="BWU124" s="24"/>
      <c r="BWV124" s="178"/>
      <c r="BWW124" s="24"/>
      <c r="BWX124" s="178"/>
      <c r="BWY124" s="24"/>
      <c r="BWZ124" s="178"/>
      <c r="BXA124" s="24"/>
      <c r="BXB124" s="178"/>
      <c r="BXC124" s="24"/>
      <c r="BXD124" s="178"/>
      <c r="BXE124" s="24"/>
      <c r="BXF124" s="178"/>
      <c r="BXG124" s="24"/>
      <c r="BXH124" s="178"/>
      <c r="BXI124" s="24"/>
      <c r="BXJ124" s="178"/>
      <c r="BXK124" s="24"/>
      <c r="BXL124" s="178"/>
      <c r="BXM124" s="24"/>
      <c r="BXN124" s="178"/>
      <c r="BXO124" s="24"/>
      <c r="BXP124" s="178"/>
      <c r="BXQ124" s="24"/>
      <c r="BXR124" s="178"/>
      <c r="BXS124" s="24"/>
      <c r="BXT124" s="178"/>
      <c r="BXU124" s="24"/>
      <c r="BXV124" s="178"/>
      <c r="BXW124" s="24"/>
      <c r="BXX124" s="178"/>
      <c r="BXY124" s="24"/>
      <c r="BXZ124" s="178"/>
      <c r="BYA124" s="24"/>
      <c r="BYB124" s="178"/>
      <c r="BYC124" s="24"/>
      <c r="BYD124" s="178"/>
      <c r="BYE124" s="24"/>
      <c r="BYF124" s="178"/>
      <c r="BYG124" s="24"/>
      <c r="BYH124" s="178"/>
      <c r="BYI124" s="24"/>
      <c r="BYJ124" s="178"/>
      <c r="BYK124" s="24"/>
      <c r="BYL124" s="178"/>
      <c r="BYM124" s="24"/>
      <c r="BYN124" s="178"/>
      <c r="BYO124" s="24"/>
      <c r="BYP124" s="178"/>
      <c r="BYQ124" s="24"/>
      <c r="BYR124" s="178"/>
      <c r="BYS124" s="24"/>
      <c r="BYT124" s="178"/>
      <c r="BYU124" s="24"/>
      <c r="BYV124" s="178"/>
      <c r="BYW124" s="24"/>
      <c r="BYX124" s="178"/>
      <c r="BYY124" s="24"/>
      <c r="BYZ124" s="178"/>
      <c r="BZA124" s="24"/>
      <c r="BZB124" s="178"/>
      <c r="BZC124" s="24"/>
      <c r="BZD124" s="178"/>
      <c r="BZE124" s="24"/>
      <c r="BZF124" s="178"/>
      <c r="BZG124" s="24"/>
      <c r="BZH124" s="178"/>
      <c r="BZI124" s="24"/>
      <c r="BZJ124" s="178"/>
      <c r="BZK124" s="24"/>
      <c r="BZL124" s="178"/>
      <c r="BZM124" s="24"/>
      <c r="BZN124" s="178"/>
      <c r="BZO124" s="24"/>
      <c r="BZP124" s="178"/>
      <c r="BZQ124" s="24"/>
      <c r="BZR124" s="178"/>
      <c r="BZS124" s="24"/>
      <c r="BZT124" s="178"/>
      <c r="BZU124" s="24"/>
      <c r="BZV124" s="178"/>
      <c r="BZW124" s="24"/>
      <c r="BZX124" s="178"/>
      <c r="BZY124" s="24"/>
      <c r="BZZ124" s="178"/>
      <c r="CAA124" s="24"/>
      <c r="CAB124" s="178"/>
      <c r="CAC124" s="24"/>
      <c r="CAD124" s="178"/>
      <c r="CAE124" s="24"/>
      <c r="CAF124" s="178"/>
      <c r="CAG124" s="24"/>
      <c r="CAH124" s="178"/>
      <c r="CAI124" s="24"/>
      <c r="CAJ124" s="178"/>
      <c r="CAK124" s="24"/>
      <c r="CAL124" s="178"/>
      <c r="CAM124" s="24"/>
      <c r="CAN124" s="178"/>
      <c r="CAO124" s="24"/>
      <c r="CAP124" s="178"/>
      <c r="CAQ124" s="24"/>
      <c r="CAR124" s="178"/>
      <c r="CAS124" s="24"/>
      <c r="CAT124" s="178"/>
      <c r="CAU124" s="24"/>
      <c r="CAV124" s="178"/>
      <c r="CAW124" s="24"/>
      <c r="CAX124" s="178"/>
      <c r="CAY124" s="24"/>
      <c r="CAZ124" s="178"/>
      <c r="CBA124" s="24"/>
      <c r="CBB124" s="178"/>
      <c r="CBC124" s="24"/>
      <c r="CBD124" s="178"/>
      <c r="CBE124" s="24"/>
      <c r="CBF124" s="178"/>
      <c r="CBG124" s="24"/>
      <c r="CBH124" s="178"/>
      <c r="CBI124" s="24"/>
      <c r="CBJ124" s="178"/>
      <c r="CBK124" s="24"/>
      <c r="CBL124" s="178"/>
      <c r="CBM124" s="24"/>
      <c r="CBN124" s="178"/>
      <c r="CBO124" s="24"/>
      <c r="CBP124" s="178"/>
      <c r="CBQ124" s="24"/>
      <c r="CBR124" s="178"/>
      <c r="CBS124" s="24"/>
      <c r="CBT124" s="178"/>
      <c r="CBU124" s="24"/>
      <c r="CBV124" s="178"/>
      <c r="CBW124" s="24"/>
      <c r="CBX124" s="178"/>
      <c r="CBY124" s="24"/>
      <c r="CBZ124" s="178"/>
      <c r="CCA124" s="24"/>
      <c r="CCB124" s="178"/>
      <c r="CCC124" s="24"/>
      <c r="CCD124" s="178"/>
      <c r="CCE124" s="24"/>
      <c r="CCF124" s="178"/>
      <c r="CCG124" s="24"/>
      <c r="CCH124" s="178"/>
      <c r="CCI124" s="24"/>
      <c r="CCJ124" s="178"/>
      <c r="CCK124" s="24"/>
      <c r="CCL124" s="178"/>
      <c r="CCM124" s="24"/>
      <c r="CCN124" s="178"/>
      <c r="CCO124" s="24"/>
      <c r="CCP124" s="178"/>
      <c r="CCQ124" s="24"/>
      <c r="CCR124" s="178"/>
      <c r="CCS124" s="24"/>
      <c r="CCT124" s="178"/>
      <c r="CCU124" s="24"/>
      <c r="CCV124" s="178"/>
      <c r="CCW124" s="24"/>
      <c r="CCX124" s="178"/>
      <c r="CCY124" s="24"/>
      <c r="CCZ124" s="178"/>
      <c r="CDA124" s="24"/>
      <c r="CDB124" s="178"/>
      <c r="CDC124" s="24"/>
      <c r="CDD124" s="178"/>
      <c r="CDE124" s="24"/>
      <c r="CDF124" s="178"/>
      <c r="CDG124" s="24"/>
      <c r="CDH124" s="178"/>
      <c r="CDI124" s="24"/>
      <c r="CDJ124" s="178"/>
      <c r="CDK124" s="24"/>
      <c r="CDL124" s="178"/>
      <c r="CDM124" s="24"/>
      <c r="CDN124" s="178"/>
      <c r="CDO124" s="24"/>
      <c r="CDP124" s="178"/>
      <c r="CDQ124" s="24"/>
      <c r="CDR124" s="178"/>
      <c r="CDS124" s="24"/>
      <c r="CDT124" s="178"/>
      <c r="CDU124" s="24"/>
      <c r="CDV124" s="178"/>
      <c r="CDW124" s="24"/>
      <c r="CDX124" s="178"/>
      <c r="CDY124" s="24"/>
      <c r="CDZ124" s="178"/>
      <c r="CEA124" s="24"/>
      <c r="CEB124" s="178"/>
      <c r="CEC124" s="24"/>
      <c r="CED124" s="178"/>
      <c r="CEE124" s="24"/>
      <c r="CEF124" s="178"/>
      <c r="CEG124" s="24"/>
      <c r="CEH124" s="178"/>
      <c r="CEI124" s="24"/>
      <c r="CEJ124" s="178"/>
      <c r="CEK124" s="24"/>
      <c r="CEL124" s="178"/>
      <c r="CEM124" s="24"/>
      <c r="CEN124" s="178"/>
      <c r="CEO124" s="24"/>
      <c r="CEP124" s="178"/>
      <c r="CEQ124" s="24"/>
      <c r="CER124" s="178"/>
      <c r="CES124" s="24"/>
      <c r="CET124" s="178"/>
      <c r="CEU124" s="24"/>
      <c r="CEV124" s="178"/>
      <c r="CEW124" s="24"/>
      <c r="CEX124" s="178"/>
      <c r="CEY124" s="24"/>
      <c r="CEZ124" s="178"/>
      <c r="CFA124" s="24"/>
      <c r="CFB124" s="178"/>
      <c r="CFC124" s="24"/>
      <c r="CFD124" s="178"/>
      <c r="CFE124" s="24"/>
      <c r="CFF124" s="178"/>
      <c r="CFG124" s="24"/>
      <c r="CFH124" s="178"/>
      <c r="CFI124" s="24"/>
      <c r="CFJ124" s="178"/>
      <c r="CFK124" s="24"/>
      <c r="CFL124" s="178"/>
      <c r="CFM124" s="24"/>
      <c r="CFN124" s="178"/>
      <c r="CFO124" s="24"/>
      <c r="CFP124" s="178"/>
      <c r="CFQ124" s="24"/>
      <c r="CFR124" s="178"/>
      <c r="CFS124" s="24"/>
      <c r="CFT124" s="178"/>
      <c r="CFU124" s="24"/>
      <c r="CFV124" s="178"/>
      <c r="CFW124" s="24"/>
      <c r="CFX124" s="178"/>
      <c r="CFY124" s="24"/>
      <c r="CFZ124" s="178"/>
      <c r="CGA124" s="24"/>
      <c r="CGB124" s="178"/>
      <c r="CGC124" s="24"/>
      <c r="CGD124" s="178"/>
      <c r="CGE124" s="24"/>
      <c r="CGF124" s="178"/>
      <c r="CGG124" s="24"/>
      <c r="CGH124" s="178"/>
      <c r="CGI124" s="24"/>
      <c r="CGJ124" s="178"/>
      <c r="CGK124" s="24"/>
      <c r="CGL124" s="178"/>
      <c r="CGM124" s="24"/>
      <c r="CGN124" s="178"/>
      <c r="CGO124" s="24"/>
      <c r="CGP124" s="178"/>
      <c r="CGQ124" s="24"/>
      <c r="CGR124" s="178"/>
      <c r="CGS124" s="24"/>
      <c r="CGT124" s="178"/>
      <c r="CGU124" s="24"/>
      <c r="CGV124" s="178"/>
      <c r="CGW124" s="24"/>
      <c r="CGX124" s="178"/>
      <c r="CGY124" s="24"/>
      <c r="CGZ124" s="178"/>
      <c r="CHA124" s="24"/>
      <c r="CHB124" s="178"/>
      <c r="CHC124" s="24"/>
      <c r="CHD124" s="178"/>
      <c r="CHE124" s="24"/>
      <c r="CHF124" s="178"/>
      <c r="CHG124" s="24"/>
      <c r="CHH124" s="178"/>
      <c r="CHI124" s="24"/>
      <c r="CHJ124" s="178"/>
      <c r="CHK124" s="24"/>
      <c r="CHL124" s="178"/>
      <c r="CHM124" s="24"/>
      <c r="CHN124" s="178"/>
      <c r="CHO124" s="24"/>
      <c r="CHP124" s="178"/>
      <c r="CHQ124" s="24"/>
      <c r="CHR124" s="178"/>
      <c r="CHS124" s="24"/>
      <c r="CHT124" s="178"/>
      <c r="CHU124" s="24"/>
      <c r="CHV124" s="178"/>
      <c r="CHW124" s="24"/>
      <c r="CHX124" s="178"/>
      <c r="CHY124" s="24"/>
      <c r="CHZ124" s="178"/>
      <c r="CIA124" s="24"/>
      <c r="CIB124" s="178"/>
      <c r="CIC124" s="24"/>
      <c r="CID124" s="178"/>
      <c r="CIE124" s="24"/>
      <c r="CIF124" s="178"/>
      <c r="CIG124" s="24"/>
      <c r="CIH124" s="178"/>
      <c r="CII124" s="24"/>
      <c r="CIJ124" s="178"/>
      <c r="CIK124" s="24"/>
      <c r="CIL124" s="178"/>
      <c r="CIM124" s="24"/>
      <c r="CIN124" s="178"/>
      <c r="CIO124" s="24"/>
      <c r="CIP124" s="178"/>
      <c r="CIQ124" s="24"/>
      <c r="CIR124" s="178"/>
      <c r="CIS124" s="24"/>
      <c r="CIT124" s="178"/>
      <c r="CIU124" s="24"/>
      <c r="CIV124" s="178"/>
      <c r="CIW124" s="24"/>
      <c r="CIX124" s="178"/>
      <c r="CIY124" s="24"/>
      <c r="CIZ124" s="178"/>
      <c r="CJA124" s="24"/>
      <c r="CJB124" s="178"/>
      <c r="CJC124" s="24"/>
      <c r="CJD124" s="178"/>
      <c r="CJE124" s="24"/>
      <c r="CJF124" s="178"/>
      <c r="CJG124" s="24"/>
      <c r="CJH124" s="178"/>
      <c r="CJI124" s="24"/>
      <c r="CJJ124" s="178"/>
      <c r="CJK124" s="24"/>
      <c r="CJL124" s="178"/>
      <c r="CJM124" s="24"/>
      <c r="CJN124" s="178"/>
      <c r="CJO124" s="24"/>
      <c r="CJP124" s="178"/>
      <c r="CJQ124" s="24"/>
      <c r="CJR124" s="178"/>
      <c r="CJS124" s="24"/>
      <c r="CJT124" s="178"/>
      <c r="CJU124" s="24"/>
      <c r="CJV124" s="178"/>
      <c r="CJW124" s="24"/>
      <c r="CJX124" s="178"/>
      <c r="CJY124" s="24"/>
      <c r="CJZ124" s="178"/>
      <c r="CKA124" s="24"/>
      <c r="CKB124" s="178"/>
      <c r="CKC124" s="24"/>
      <c r="CKD124" s="178"/>
      <c r="CKE124" s="24"/>
      <c r="CKF124" s="178"/>
      <c r="CKG124" s="24"/>
      <c r="CKH124" s="178"/>
      <c r="CKI124" s="24"/>
      <c r="CKJ124" s="178"/>
      <c r="CKK124" s="24"/>
      <c r="CKL124" s="178"/>
      <c r="CKM124" s="24"/>
      <c r="CKN124" s="178"/>
      <c r="CKO124" s="24"/>
      <c r="CKP124" s="178"/>
      <c r="CKQ124" s="24"/>
      <c r="CKR124" s="178"/>
      <c r="CKS124" s="24"/>
      <c r="CKT124" s="178"/>
      <c r="CKU124" s="24"/>
      <c r="CKV124" s="178"/>
      <c r="CKW124" s="24"/>
      <c r="CKX124" s="178"/>
      <c r="CKY124" s="24"/>
      <c r="CKZ124" s="178"/>
      <c r="CLA124" s="24"/>
      <c r="CLB124" s="178"/>
      <c r="CLC124" s="24"/>
      <c r="CLD124" s="178"/>
      <c r="CLE124" s="24"/>
      <c r="CLF124" s="178"/>
      <c r="CLG124" s="24"/>
      <c r="CLH124" s="178"/>
      <c r="CLI124" s="24"/>
      <c r="CLJ124" s="178"/>
      <c r="CLK124" s="24"/>
      <c r="CLL124" s="178"/>
      <c r="CLM124" s="24"/>
      <c r="CLN124" s="178"/>
      <c r="CLO124" s="24"/>
      <c r="CLP124" s="178"/>
      <c r="CLQ124" s="24"/>
      <c r="CLR124" s="178"/>
      <c r="CLS124" s="24"/>
      <c r="CLT124" s="178"/>
      <c r="CLU124" s="24"/>
      <c r="CLV124" s="178"/>
      <c r="CLW124" s="24"/>
      <c r="CLX124" s="178"/>
      <c r="CLY124" s="24"/>
      <c r="CLZ124" s="178"/>
      <c r="CMA124" s="24"/>
      <c r="CMB124" s="178"/>
      <c r="CMC124" s="24"/>
      <c r="CMD124" s="178"/>
      <c r="CME124" s="24"/>
      <c r="CMF124" s="178"/>
      <c r="CMG124" s="24"/>
      <c r="CMH124" s="178"/>
      <c r="CMI124" s="24"/>
      <c r="CMJ124" s="178"/>
      <c r="CMK124" s="24"/>
      <c r="CML124" s="178"/>
      <c r="CMM124" s="24"/>
      <c r="CMN124" s="178"/>
      <c r="CMO124" s="24"/>
      <c r="CMP124" s="178"/>
      <c r="CMQ124" s="24"/>
      <c r="CMR124" s="178"/>
      <c r="CMS124" s="24"/>
      <c r="CMT124" s="178"/>
      <c r="CMU124" s="24"/>
      <c r="CMV124" s="178"/>
      <c r="CMW124" s="24"/>
      <c r="CMX124" s="178"/>
      <c r="CMY124" s="24"/>
      <c r="CMZ124" s="178"/>
      <c r="CNA124" s="24"/>
      <c r="CNB124" s="178"/>
      <c r="CNC124" s="24"/>
      <c r="CND124" s="178"/>
      <c r="CNE124" s="24"/>
      <c r="CNF124" s="178"/>
      <c r="CNG124" s="24"/>
      <c r="CNH124" s="178"/>
      <c r="CNI124" s="24"/>
      <c r="CNJ124" s="178"/>
      <c r="CNK124" s="24"/>
      <c r="CNL124" s="178"/>
      <c r="CNM124" s="24"/>
      <c r="CNN124" s="178"/>
      <c r="CNO124" s="24"/>
      <c r="CNP124" s="178"/>
      <c r="CNQ124" s="24"/>
      <c r="CNR124" s="178"/>
      <c r="CNS124" s="24"/>
      <c r="CNT124" s="178"/>
      <c r="CNU124" s="24"/>
      <c r="CNV124" s="178"/>
      <c r="CNW124" s="24"/>
      <c r="CNX124" s="178"/>
      <c r="CNY124" s="24"/>
      <c r="CNZ124" s="178"/>
      <c r="COA124" s="24"/>
      <c r="COB124" s="178"/>
      <c r="COC124" s="24"/>
      <c r="COD124" s="178"/>
      <c r="COE124" s="24"/>
      <c r="COF124" s="178"/>
      <c r="COG124" s="24"/>
      <c r="COH124" s="178"/>
      <c r="COI124" s="24"/>
      <c r="COJ124" s="178"/>
      <c r="COK124" s="24"/>
      <c r="COL124" s="178"/>
      <c r="COM124" s="24"/>
      <c r="CON124" s="178"/>
      <c r="COO124" s="24"/>
      <c r="COP124" s="178"/>
      <c r="COQ124" s="24"/>
      <c r="COR124" s="178"/>
      <c r="COS124" s="24"/>
      <c r="COT124" s="178"/>
      <c r="COU124" s="24"/>
      <c r="COV124" s="178"/>
      <c r="COW124" s="24"/>
      <c r="COX124" s="178"/>
      <c r="COY124" s="24"/>
      <c r="COZ124" s="178"/>
      <c r="CPA124" s="24"/>
      <c r="CPB124" s="178"/>
      <c r="CPC124" s="24"/>
      <c r="CPD124" s="178"/>
      <c r="CPE124" s="24"/>
      <c r="CPF124" s="178"/>
      <c r="CPG124" s="24"/>
      <c r="CPH124" s="178"/>
      <c r="CPI124" s="24"/>
      <c r="CPJ124" s="178"/>
      <c r="CPK124" s="24"/>
      <c r="CPL124" s="178"/>
      <c r="CPM124" s="24"/>
      <c r="CPN124" s="178"/>
      <c r="CPO124" s="24"/>
      <c r="CPP124" s="178"/>
      <c r="CPQ124" s="24"/>
      <c r="CPR124" s="178"/>
      <c r="CPS124" s="24"/>
      <c r="CPT124" s="178"/>
      <c r="CPU124" s="24"/>
      <c r="CPV124" s="178"/>
      <c r="CPW124" s="24"/>
      <c r="CPX124" s="178"/>
      <c r="CPY124" s="24"/>
      <c r="CPZ124" s="178"/>
      <c r="CQA124" s="24"/>
      <c r="CQB124" s="178"/>
      <c r="CQC124" s="24"/>
      <c r="CQD124" s="178"/>
      <c r="CQE124" s="24"/>
      <c r="CQF124" s="178"/>
      <c r="CQG124" s="24"/>
      <c r="CQH124" s="178"/>
      <c r="CQI124" s="24"/>
      <c r="CQJ124" s="178"/>
      <c r="CQK124" s="24"/>
      <c r="CQL124" s="178"/>
      <c r="CQM124" s="24"/>
      <c r="CQN124" s="178"/>
      <c r="CQO124" s="24"/>
      <c r="CQP124" s="178"/>
      <c r="CQQ124" s="24"/>
      <c r="CQR124" s="178"/>
      <c r="CQS124" s="24"/>
      <c r="CQT124" s="178"/>
      <c r="CQU124" s="24"/>
      <c r="CQV124" s="178"/>
      <c r="CQW124" s="24"/>
      <c r="CQX124" s="178"/>
      <c r="CQY124" s="24"/>
      <c r="CQZ124" s="178"/>
      <c r="CRA124" s="24"/>
      <c r="CRB124" s="178"/>
      <c r="CRC124" s="24"/>
      <c r="CRD124" s="178"/>
      <c r="CRE124" s="24"/>
      <c r="CRF124" s="178"/>
      <c r="CRG124" s="24"/>
      <c r="CRH124" s="178"/>
      <c r="CRI124" s="24"/>
      <c r="CRJ124" s="178"/>
      <c r="CRK124" s="24"/>
      <c r="CRL124" s="178"/>
      <c r="CRM124" s="24"/>
      <c r="CRN124" s="178"/>
      <c r="CRO124" s="24"/>
      <c r="CRP124" s="178"/>
      <c r="CRQ124" s="24"/>
      <c r="CRR124" s="178"/>
      <c r="CRS124" s="24"/>
      <c r="CRT124" s="178"/>
      <c r="CRU124" s="24"/>
      <c r="CRV124" s="178"/>
      <c r="CRW124" s="24"/>
      <c r="CRX124" s="178"/>
      <c r="CRY124" s="24"/>
      <c r="CRZ124" s="178"/>
      <c r="CSA124" s="24"/>
      <c r="CSB124" s="178"/>
      <c r="CSC124" s="24"/>
      <c r="CSD124" s="178"/>
      <c r="CSE124" s="24"/>
      <c r="CSF124" s="178"/>
      <c r="CSG124" s="24"/>
      <c r="CSH124" s="178"/>
      <c r="CSI124" s="24"/>
      <c r="CSJ124" s="178"/>
      <c r="CSK124" s="24"/>
      <c r="CSL124" s="178"/>
      <c r="CSM124" s="24"/>
      <c r="CSN124" s="178"/>
      <c r="CSO124" s="24"/>
      <c r="CSP124" s="178"/>
      <c r="CSQ124" s="24"/>
      <c r="CSR124" s="178"/>
      <c r="CSS124" s="24"/>
      <c r="CST124" s="178"/>
      <c r="CSU124" s="24"/>
      <c r="CSV124" s="178"/>
      <c r="CSW124" s="24"/>
      <c r="CSX124" s="178"/>
      <c r="CSY124" s="24"/>
      <c r="CSZ124" s="178"/>
      <c r="CTA124" s="24"/>
      <c r="CTB124" s="178"/>
      <c r="CTC124" s="24"/>
      <c r="CTD124" s="178"/>
      <c r="CTE124" s="24"/>
      <c r="CTF124" s="178"/>
      <c r="CTG124" s="24"/>
      <c r="CTH124" s="178"/>
      <c r="CTI124" s="24"/>
      <c r="CTJ124" s="178"/>
      <c r="CTK124" s="24"/>
      <c r="CTL124" s="178"/>
      <c r="CTM124" s="24"/>
      <c r="CTN124" s="178"/>
      <c r="CTO124" s="24"/>
      <c r="CTP124" s="178"/>
      <c r="CTQ124" s="24"/>
      <c r="CTR124" s="178"/>
      <c r="CTS124" s="24"/>
      <c r="CTT124" s="178"/>
      <c r="CTU124" s="24"/>
      <c r="CTV124" s="178"/>
      <c r="CTW124" s="24"/>
      <c r="CTX124" s="178"/>
      <c r="CTY124" s="24"/>
      <c r="CTZ124" s="178"/>
      <c r="CUA124" s="24"/>
      <c r="CUB124" s="178"/>
      <c r="CUC124" s="24"/>
      <c r="CUD124" s="178"/>
      <c r="CUE124" s="24"/>
      <c r="CUF124" s="178"/>
      <c r="CUG124" s="24"/>
      <c r="CUH124" s="178"/>
      <c r="CUI124" s="24"/>
      <c r="CUJ124" s="178"/>
      <c r="CUK124" s="24"/>
      <c r="CUL124" s="178"/>
      <c r="CUM124" s="24"/>
      <c r="CUN124" s="178"/>
      <c r="CUO124" s="24"/>
      <c r="CUP124" s="178"/>
      <c r="CUQ124" s="24"/>
      <c r="CUR124" s="178"/>
      <c r="CUS124" s="24"/>
      <c r="CUT124" s="178"/>
      <c r="CUU124" s="24"/>
      <c r="CUV124" s="178"/>
      <c r="CUW124" s="24"/>
      <c r="CUX124" s="178"/>
      <c r="CUY124" s="24"/>
      <c r="CUZ124" s="178"/>
      <c r="CVA124" s="24"/>
      <c r="CVB124" s="178"/>
      <c r="CVC124" s="24"/>
      <c r="CVD124" s="178"/>
      <c r="CVE124" s="24"/>
      <c r="CVF124" s="178"/>
      <c r="CVG124" s="24"/>
      <c r="CVH124" s="178"/>
      <c r="CVI124" s="24"/>
      <c r="CVJ124" s="178"/>
      <c r="CVK124" s="24"/>
      <c r="CVL124" s="178"/>
      <c r="CVM124" s="24"/>
      <c r="CVN124" s="178"/>
      <c r="CVO124" s="24"/>
      <c r="CVP124" s="178"/>
      <c r="CVQ124" s="24"/>
      <c r="CVR124" s="178"/>
      <c r="CVS124" s="24"/>
      <c r="CVT124" s="178"/>
      <c r="CVU124" s="24"/>
      <c r="CVV124" s="178"/>
      <c r="CVW124" s="24"/>
      <c r="CVX124" s="178"/>
      <c r="CVY124" s="24"/>
      <c r="CVZ124" s="178"/>
      <c r="CWA124" s="24"/>
      <c r="CWB124" s="178"/>
      <c r="CWC124" s="24"/>
      <c r="CWD124" s="178"/>
      <c r="CWE124" s="24"/>
      <c r="CWF124" s="178"/>
      <c r="CWG124" s="24"/>
      <c r="CWH124" s="178"/>
      <c r="CWI124" s="24"/>
      <c r="CWJ124" s="178"/>
      <c r="CWK124" s="24"/>
      <c r="CWL124" s="178"/>
      <c r="CWM124" s="24"/>
      <c r="CWN124" s="178"/>
      <c r="CWO124" s="24"/>
      <c r="CWP124" s="178"/>
      <c r="CWQ124" s="24"/>
      <c r="CWR124" s="178"/>
      <c r="CWS124" s="24"/>
      <c r="CWT124" s="178"/>
      <c r="CWU124" s="24"/>
      <c r="CWV124" s="178"/>
      <c r="CWW124" s="24"/>
      <c r="CWX124" s="178"/>
      <c r="CWY124" s="24"/>
      <c r="CWZ124" s="178"/>
      <c r="CXA124" s="24"/>
      <c r="CXB124" s="178"/>
      <c r="CXC124" s="24"/>
      <c r="CXD124" s="178"/>
      <c r="CXE124" s="24"/>
      <c r="CXF124" s="178"/>
      <c r="CXG124" s="24"/>
      <c r="CXH124" s="178"/>
      <c r="CXI124" s="24"/>
      <c r="CXJ124" s="178"/>
      <c r="CXK124" s="24"/>
      <c r="CXL124" s="178"/>
      <c r="CXM124" s="24"/>
      <c r="CXN124" s="178"/>
      <c r="CXO124" s="24"/>
      <c r="CXP124" s="178"/>
      <c r="CXQ124" s="24"/>
      <c r="CXR124" s="178"/>
      <c r="CXS124" s="24"/>
      <c r="CXT124" s="178"/>
      <c r="CXU124" s="24"/>
      <c r="CXV124" s="178"/>
      <c r="CXW124" s="24"/>
      <c r="CXX124" s="178"/>
      <c r="CXY124" s="24"/>
      <c r="CXZ124" s="178"/>
      <c r="CYA124" s="24"/>
      <c r="CYB124" s="178"/>
      <c r="CYC124" s="24"/>
      <c r="CYD124" s="178"/>
      <c r="CYE124" s="24"/>
      <c r="CYF124" s="178"/>
      <c r="CYG124" s="24"/>
      <c r="CYH124" s="178"/>
      <c r="CYI124" s="24"/>
      <c r="CYJ124" s="178"/>
      <c r="CYK124" s="24"/>
      <c r="CYL124" s="178"/>
      <c r="CYM124" s="24"/>
      <c r="CYN124" s="178"/>
      <c r="CYO124" s="24"/>
      <c r="CYP124" s="178"/>
      <c r="CYQ124" s="24"/>
      <c r="CYR124" s="178"/>
      <c r="CYS124" s="24"/>
      <c r="CYT124" s="178"/>
      <c r="CYU124" s="24"/>
      <c r="CYV124" s="178"/>
      <c r="CYW124" s="24"/>
      <c r="CYX124" s="178"/>
      <c r="CYY124" s="24"/>
      <c r="CYZ124" s="178"/>
      <c r="CZA124" s="24"/>
      <c r="CZB124" s="178"/>
      <c r="CZC124" s="24"/>
      <c r="CZD124" s="178"/>
      <c r="CZE124" s="24"/>
      <c r="CZF124" s="178"/>
      <c r="CZG124" s="24"/>
      <c r="CZH124" s="178"/>
      <c r="CZI124" s="24"/>
      <c r="CZJ124" s="178"/>
      <c r="CZK124" s="24"/>
      <c r="CZL124" s="178"/>
      <c r="CZM124" s="24"/>
      <c r="CZN124" s="178"/>
      <c r="CZO124" s="24"/>
      <c r="CZP124" s="178"/>
      <c r="CZQ124" s="24"/>
      <c r="CZR124" s="178"/>
      <c r="CZS124" s="24"/>
      <c r="CZT124" s="178"/>
      <c r="CZU124" s="24"/>
      <c r="CZV124" s="178"/>
      <c r="CZW124" s="24"/>
      <c r="CZX124" s="178"/>
      <c r="CZY124" s="24"/>
      <c r="CZZ124" s="178"/>
      <c r="DAA124" s="24"/>
      <c r="DAB124" s="178"/>
      <c r="DAC124" s="24"/>
      <c r="DAD124" s="178"/>
      <c r="DAE124" s="24"/>
      <c r="DAF124" s="178"/>
      <c r="DAG124" s="24"/>
      <c r="DAH124" s="178"/>
      <c r="DAI124" s="24"/>
      <c r="DAJ124" s="178"/>
      <c r="DAK124" s="24"/>
      <c r="DAL124" s="178"/>
      <c r="DAM124" s="24"/>
      <c r="DAN124" s="178"/>
      <c r="DAO124" s="24"/>
      <c r="DAP124" s="178"/>
      <c r="DAQ124" s="24"/>
      <c r="DAR124" s="178"/>
      <c r="DAS124" s="24"/>
      <c r="DAT124" s="178"/>
      <c r="DAU124" s="24"/>
      <c r="DAV124" s="178"/>
      <c r="DAW124" s="24"/>
      <c r="DAX124" s="178"/>
      <c r="DAY124" s="24"/>
      <c r="DAZ124" s="178"/>
      <c r="DBA124" s="24"/>
      <c r="DBB124" s="178"/>
      <c r="DBC124" s="24"/>
      <c r="DBD124" s="178"/>
      <c r="DBE124" s="24"/>
      <c r="DBF124" s="178"/>
      <c r="DBG124" s="24"/>
      <c r="DBH124" s="178"/>
      <c r="DBI124" s="24"/>
      <c r="DBJ124" s="178"/>
      <c r="DBK124" s="24"/>
      <c r="DBL124" s="178"/>
      <c r="DBM124" s="24"/>
      <c r="DBN124" s="178"/>
      <c r="DBO124" s="24"/>
      <c r="DBP124" s="178"/>
      <c r="DBQ124" s="24"/>
      <c r="DBR124" s="178"/>
      <c r="DBS124" s="24"/>
      <c r="DBT124" s="178"/>
      <c r="DBU124" s="24"/>
      <c r="DBV124" s="178"/>
      <c r="DBW124" s="24"/>
      <c r="DBX124" s="178"/>
      <c r="DBY124" s="24"/>
      <c r="DBZ124" s="178"/>
      <c r="DCA124" s="24"/>
      <c r="DCB124" s="178"/>
      <c r="DCC124" s="24"/>
      <c r="DCD124" s="178"/>
      <c r="DCE124" s="24"/>
      <c r="DCF124" s="178"/>
      <c r="DCG124" s="24"/>
      <c r="DCH124" s="178"/>
      <c r="DCI124" s="24"/>
      <c r="DCJ124" s="178"/>
      <c r="DCK124" s="24"/>
      <c r="DCL124" s="178"/>
      <c r="DCM124" s="24"/>
      <c r="DCN124" s="178"/>
      <c r="DCO124" s="24"/>
      <c r="DCP124" s="178"/>
      <c r="DCQ124" s="24"/>
      <c r="DCR124" s="178"/>
      <c r="DCS124" s="24"/>
      <c r="DCT124" s="178"/>
      <c r="DCU124" s="24"/>
      <c r="DCV124" s="178"/>
      <c r="DCW124" s="24"/>
      <c r="DCX124" s="178"/>
      <c r="DCY124" s="24"/>
      <c r="DCZ124" s="178"/>
      <c r="DDA124" s="24"/>
      <c r="DDB124" s="178"/>
      <c r="DDC124" s="24"/>
      <c r="DDD124" s="178"/>
      <c r="DDE124" s="24"/>
      <c r="DDF124" s="178"/>
      <c r="DDG124" s="24"/>
      <c r="DDH124" s="178"/>
      <c r="DDI124" s="24"/>
      <c r="DDJ124" s="178"/>
      <c r="DDK124" s="24"/>
      <c r="DDL124" s="178"/>
      <c r="DDM124" s="24"/>
      <c r="DDN124" s="178"/>
      <c r="DDO124" s="24"/>
      <c r="DDP124" s="178"/>
      <c r="DDQ124" s="24"/>
      <c r="DDR124" s="178"/>
      <c r="DDS124" s="24"/>
      <c r="DDT124" s="178"/>
      <c r="DDU124" s="24"/>
      <c r="DDV124" s="178"/>
      <c r="DDW124" s="24"/>
      <c r="DDX124" s="178"/>
      <c r="DDY124" s="24"/>
      <c r="DDZ124" s="178"/>
      <c r="DEA124" s="24"/>
      <c r="DEB124" s="178"/>
      <c r="DEC124" s="24"/>
      <c r="DED124" s="178"/>
      <c r="DEE124" s="24"/>
      <c r="DEF124" s="178"/>
      <c r="DEG124" s="24"/>
      <c r="DEH124" s="178"/>
      <c r="DEI124" s="24"/>
      <c r="DEJ124" s="178"/>
      <c r="DEK124" s="24"/>
      <c r="DEL124" s="178"/>
      <c r="DEM124" s="24"/>
      <c r="DEN124" s="178"/>
      <c r="DEO124" s="24"/>
      <c r="DEP124" s="178"/>
      <c r="DEQ124" s="24"/>
      <c r="DER124" s="178"/>
      <c r="DES124" s="24"/>
      <c r="DET124" s="178"/>
      <c r="DEU124" s="24"/>
      <c r="DEV124" s="178"/>
      <c r="DEW124" s="24"/>
      <c r="DEX124" s="178"/>
      <c r="DEY124" s="24"/>
      <c r="DEZ124" s="178"/>
      <c r="DFA124" s="24"/>
      <c r="DFB124" s="178"/>
      <c r="DFC124" s="24"/>
      <c r="DFD124" s="178"/>
      <c r="DFE124" s="24"/>
      <c r="DFF124" s="178"/>
      <c r="DFG124" s="24"/>
      <c r="DFH124" s="178"/>
      <c r="DFI124" s="24"/>
      <c r="DFJ124" s="178"/>
      <c r="DFK124" s="24"/>
      <c r="DFL124" s="178"/>
      <c r="DFM124" s="24"/>
      <c r="DFN124" s="178"/>
      <c r="DFO124" s="24"/>
      <c r="DFP124" s="178"/>
      <c r="DFQ124" s="24"/>
      <c r="DFR124" s="178"/>
      <c r="DFS124" s="24"/>
      <c r="DFT124" s="178"/>
      <c r="DFU124" s="24"/>
      <c r="DFV124" s="178"/>
      <c r="DFW124" s="24"/>
      <c r="DFX124" s="178"/>
      <c r="DFY124" s="24"/>
      <c r="DFZ124" s="178"/>
      <c r="DGA124" s="24"/>
      <c r="DGB124" s="178"/>
      <c r="DGC124" s="24"/>
      <c r="DGD124" s="178"/>
      <c r="DGE124" s="24"/>
      <c r="DGF124" s="178"/>
      <c r="DGG124" s="24"/>
      <c r="DGH124" s="178"/>
      <c r="DGI124" s="24"/>
      <c r="DGJ124" s="178"/>
      <c r="DGK124" s="24"/>
      <c r="DGL124" s="178"/>
      <c r="DGM124" s="24"/>
      <c r="DGN124" s="178"/>
      <c r="DGO124" s="24"/>
      <c r="DGP124" s="178"/>
      <c r="DGQ124" s="24"/>
      <c r="DGR124" s="178"/>
      <c r="DGS124" s="24"/>
      <c r="DGT124" s="178"/>
      <c r="DGU124" s="24"/>
      <c r="DGV124" s="178"/>
      <c r="DGW124" s="24"/>
      <c r="DGX124" s="178"/>
      <c r="DGY124" s="24"/>
      <c r="DGZ124" s="178"/>
      <c r="DHA124" s="24"/>
      <c r="DHB124" s="178"/>
      <c r="DHC124" s="24"/>
      <c r="DHD124" s="178"/>
      <c r="DHE124" s="24"/>
      <c r="DHF124" s="178"/>
      <c r="DHG124" s="24"/>
      <c r="DHH124" s="178"/>
      <c r="DHI124" s="24"/>
      <c r="DHJ124" s="178"/>
      <c r="DHK124" s="24"/>
      <c r="DHL124" s="178"/>
      <c r="DHM124" s="24"/>
      <c r="DHN124" s="178"/>
      <c r="DHO124" s="24"/>
      <c r="DHP124" s="178"/>
      <c r="DHQ124" s="24"/>
      <c r="DHR124" s="178"/>
      <c r="DHS124" s="24"/>
      <c r="DHT124" s="178"/>
      <c r="DHU124" s="24"/>
      <c r="DHV124" s="178"/>
      <c r="DHW124" s="24"/>
      <c r="DHX124" s="178"/>
      <c r="DHY124" s="24"/>
      <c r="DHZ124" s="178"/>
      <c r="DIA124" s="24"/>
      <c r="DIB124" s="178"/>
      <c r="DIC124" s="24"/>
      <c r="DID124" s="178"/>
      <c r="DIE124" s="24"/>
      <c r="DIF124" s="178"/>
      <c r="DIG124" s="24"/>
      <c r="DIH124" s="178"/>
      <c r="DII124" s="24"/>
      <c r="DIJ124" s="178"/>
      <c r="DIK124" s="24"/>
      <c r="DIL124" s="178"/>
      <c r="DIM124" s="24"/>
      <c r="DIN124" s="178"/>
      <c r="DIO124" s="24"/>
      <c r="DIP124" s="178"/>
      <c r="DIQ124" s="24"/>
      <c r="DIR124" s="178"/>
      <c r="DIS124" s="24"/>
      <c r="DIT124" s="178"/>
      <c r="DIU124" s="24"/>
      <c r="DIV124" s="178"/>
      <c r="DIW124" s="24"/>
      <c r="DIX124" s="178"/>
      <c r="DIY124" s="24"/>
      <c r="DIZ124" s="178"/>
      <c r="DJA124" s="24"/>
      <c r="DJB124" s="178"/>
      <c r="DJC124" s="24"/>
      <c r="DJD124" s="178"/>
      <c r="DJE124" s="24"/>
      <c r="DJF124" s="178"/>
      <c r="DJG124" s="24"/>
      <c r="DJH124" s="178"/>
      <c r="DJI124" s="24"/>
      <c r="DJJ124" s="178"/>
      <c r="DJK124" s="24"/>
      <c r="DJL124" s="178"/>
      <c r="DJM124" s="24"/>
      <c r="DJN124" s="178"/>
      <c r="DJO124" s="24"/>
      <c r="DJP124" s="178"/>
      <c r="DJQ124" s="24"/>
      <c r="DJR124" s="178"/>
      <c r="DJS124" s="24"/>
      <c r="DJT124" s="178"/>
      <c r="DJU124" s="24"/>
      <c r="DJV124" s="178"/>
      <c r="DJW124" s="24"/>
      <c r="DJX124" s="178"/>
      <c r="DJY124" s="24"/>
      <c r="DJZ124" s="178"/>
      <c r="DKA124" s="24"/>
      <c r="DKB124" s="178"/>
      <c r="DKC124" s="24"/>
      <c r="DKD124" s="178"/>
      <c r="DKE124" s="24"/>
      <c r="DKF124" s="178"/>
      <c r="DKG124" s="24"/>
      <c r="DKH124" s="178"/>
      <c r="DKI124" s="24"/>
      <c r="DKJ124" s="178"/>
      <c r="DKK124" s="24"/>
      <c r="DKL124" s="178"/>
      <c r="DKM124" s="24"/>
      <c r="DKN124" s="178"/>
      <c r="DKO124" s="24"/>
      <c r="DKP124" s="178"/>
      <c r="DKQ124" s="24"/>
      <c r="DKR124" s="178"/>
      <c r="DKS124" s="24"/>
      <c r="DKT124" s="178"/>
      <c r="DKU124" s="24"/>
      <c r="DKV124" s="178"/>
      <c r="DKW124" s="24"/>
      <c r="DKX124" s="178"/>
      <c r="DKY124" s="24"/>
      <c r="DKZ124" s="178"/>
      <c r="DLA124" s="24"/>
      <c r="DLB124" s="178"/>
      <c r="DLC124" s="24"/>
      <c r="DLD124" s="178"/>
      <c r="DLE124" s="24"/>
      <c r="DLF124" s="178"/>
      <c r="DLG124" s="24"/>
      <c r="DLH124" s="178"/>
      <c r="DLI124" s="24"/>
      <c r="DLJ124" s="178"/>
      <c r="DLK124" s="24"/>
      <c r="DLL124" s="178"/>
      <c r="DLM124" s="24"/>
      <c r="DLN124" s="178"/>
      <c r="DLO124" s="24"/>
      <c r="DLP124" s="178"/>
      <c r="DLQ124" s="24"/>
      <c r="DLR124" s="178"/>
      <c r="DLS124" s="24"/>
      <c r="DLT124" s="178"/>
      <c r="DLU124" s="24"/>
      <c r="DLV124" s="178"/>
      <c r="DLW124" s="24"/>
      <c r="DLX124" s="178"/>
      <c r="DLY124" s="24"/>
      <c r="DLZ124" s="178"/>
      <c r="DMA124" s="24"/>
      <c r="DMB124" s="178"/>
      <c r="DMC124" s="24"/>
      <c r="DMD124" s="178"/>
      <c r="DME124" s="24"/>
      <c r="DMF124" s="178"/>
      <c r="DMG124" s="24"/>
      <c r="DMH124" s="178"/>
      <c r="DMI124" s="24"/>
      <c r="DMJ124" s="178"/>
      <c r="DMK124" s="24"/>
      <c r="DML124" s="178"/>
      <c r="DMM124" s="24"/>
      <c r="DMN124" s="178"/>
      <c r="DMO124" s="24"/>
      <c r="DMP124" s="178"/>
      <c r="DMQ124" s="24"/>
      <c r="DMR124" s="178"/>
      <c r="DMS124" s="24"/>
      <c r="DMT124" s="178"/>
      <c r="DMU124" s="24"/>
      <c r="DMV124" s="178"/>
      <c r="DMW124" s="24"/>
      <c r="DMX124" s="178"/>
      <c r="DMY124" s="24"/>
      <c r="DMZ124" s="178"/>
      <c r="DNA124" s="24"/>
      <c r="DNB124" s="178"/>
      <c r="DNC124" s="24"/>
      <c r="DND124" s="178"/>
      <c r="DNE124" s="24"/>
      <c r="DNF124" s="178"/>
      <c r="DNG124" s="24"/>
      <c r="DNH124" s="178"/>
      <c r="DNI124" s="24"/>
      <c r="DNJ124" s="178"/>
      <c r="DNK124" s="24"/>
      <c r="DNL124" s="178"/>
      <c r="DNM124" s="24"/>
      <c r="DNN124" s="178"/>
      <c r="DNO124" s="24"/>
      <c r="DNP124" s="178"/>
      <c r="DNQ124" s="24"/>
      <c r="DNR124" s="178"/>
      <c r="DNS124" s="24"/>
      <c r="DNT124" s="178"/>
      <c r="DNU124" s="24"/>
      <c r="DNV124" s="178"/>
      <c r="DNW124" s="24"/>
      <c r="DNX124" s="178"/>
      <c r="DNY124" s="24"/>
      <c r="DNZ124" s="178"/>
      <c r="DOA124" s="24"/>
      <c r="DOB124" s="178"/>
      <c r="DOC124" s="24"/>
      <c r="DOD124" s="178"/>
      <c r="DOE124" s="24"/>
      <c r="DOF124" s="178"/>
      <c r="DOG124" s="24"/>
      <c r="DOH124" s="178"/>
      <c r="DOI124" s="24"/>
      <c r="DOJ124" s="178"/>
      <c r="DOK124" s="24"/>
      <c r="DOL124" s="178"/>
      <c r="DOM124" s="24"/>
      <c r="DON124" s="178"/>
      <c r="DOO124" s="24"/>
      <c r="DOP124" s="178"/>
      <c r="DOQ124" s="24"/>
      <c r="DOR124" s="178"/>
      <c r="DOS124" s="24"/>
      <c r="DOT124" s="178"/>
      <c r="DOU124" s="24"/>
      <c r="DOV124" s="178"/>
      <c r="DOW124" s="24"/>
      <c r="DOX124" s="178"/>
      <c r="DOY124" s="24"/>
      <c r="DOZ124" s="178"/>
      <c r="DPA124" s="24"/>
      <c r="DPB124" s="178"/>
      <c r="DPC124" s="24"/>
      <c r="DPD124" s="178"/>
      <c r="DPE124" s="24"/>
      <c r="DPF124" s="178"/>
      <c r="DPG124" s="24"/>
      <c r="DPH124" s="178"/>
      <c r="DPI124" s="24"/>
      <c r="DPJ124" s="178"/>
      <c r="DPK124" s="24"/>
      <c r="DPL124" s="178"/>
      <c r="DPM124" s="24"/>
      <c r="DPN124" s="178"/>
      <c r="DPO124" s="24"/>
      <c r="DPP124" s="178"/>
      <c r="DPQ124" s="24"/>
      <c r="DPR124" s="178"/>
      <c r="DPS124" s="24"/>
      <c r="DPT124" s="178"/>
      <c r="DPU124" s="24"/>
      <c r="DPV124" s="178"/>
      <c r="DPW124" s="24"/>
      <c r="DPX124" s="178"/>
      <c r="DPY124" s="24"/>
      <c r="DPZ124" s="178"/>
      <c r="DQA124" s="24"/>
      <c r="DQB124" s="178"/>
      <c r="DQC124" s="24"/>
      <c r="DQD124" s="178"/>
      <c r="DQE124" s="24"/>
      <c r="DQF124" s="178"/>
      <c r="DQG124" s="24"/>
      <c r="DQH124" s="178"/>
      <c r="DQI124" s="24"/>
      <c r="DQJ124" s="178"/>
      <c r="DQK124" s="24"/>
      <c r="DQL124" s="178"/>
      <c r="DQM124" s="24"/>
      <c r="DQN124" s="178"/>
      <c r="DQO124" s="24"/>
      <c r="DQP124" s="178"/>
      <c r="DQQ124" s="24"/>
      <c r="DQR124" s="178"/>
      <c r="DQS124" s="24"/>
      <c r="DQT124" s="178"/>
      <c r="DQU124" s="24"/>
      <c r="DQV124" s="178"/>
      <c r="DQW124" s="24"/>
      <c r="DQX124" s="178"/>
      <c r="DQY124" s="24"/>
      <c r="DQZ124" s="178"/>
      <c r="DRA124" s="24"/>
      <c r="DRB124" s="178"/>
      <c r="DRC124" s="24"/>
      <c r="DRD124" s="178"/>
      <c r="DRE124" s="24"/>
      <c r="DRF124" s="178"/>
      <c r="DRG124" s="24"/>
      <c r="DRH124" s="178"/>
      <c r="DRI124" s="24"/>
      <c r="DRJ124" s="178"/>
      <c r="DRK124" s="24"/>
      <c r="DRL124" s="178"/>
      <c r="DRM124" s="24"/>
      <c r="DRN124" s="178"/>
      <c r="DRO124" s="24"/>
      <c r="DRP124" s="178"/>
      <c r="DRQ124" s="24"/>
      <c r="DRR124" s="178"/>
      <c r="DRS124" s="24"/>
      <c r="DRT124" s="178"/>
      <c r="DRU124" s="24"/>
      <c r="DRV124" s="178"/>
      <c r="DRW124" s="24"/>
      <c r="DRX124" s="178"/>
      <c r="DRY124" s="24"/>
      <c r="DRZ124" s="178"/>
      <c r="DSA124" s="24"/>
      <c r="DSB124" s="178"/>
      <c r="DSC124" s="24"/>
      <c r="DSD124" s="178"/>
      <c r="DSE124" s="24"/>
      <c r="DSF124" s="178"/>
      <c r="DSG124" s="24"/>
      <c r="DSH124" s="178"/>
      <c r="DSI124" s="24"/>
      <c r="DSJ124" s="178"/>
      <c r="DSK124" s="24"/>
      <c r="DSL124" s="178"/>
      <c r="DSM124" s="24"/>
      <c r="DSN124" s="178"/>
      <c r="DSO124" s="24"/>
      <c r="DSP124" s="178"/>
      <c r="DSQ124" s="24"/>
      <c r="DSR124" s="178"/>
      <c r="DSS124" s="24"/>
      <c r="DST124" s="178"/>
      <c r="DSU124" s="24"/>
      <c r="DSV124" s="178"/>
      <c r="DSW124" s="24"/>
      <c r="DSX124" s="178"/>
      <c r="DSY124" s="24"/>
      <c r="DSZ124" s="178"/>
      <c r="DTA124" s="24"/>
      <c r="DTB124" s="178"/>
      <c r="DTC124" s="24"/>
      <c r="DTD124" s="178"/>
      <c r="DTE124" s="24"/>
      <c r="DTF124" s="178"/>
      <c r="DTG124" s="24"/>
      <c r="DTH124" s="178"/>
      <c r="DTI124" s="24"/>
      <c r="DTJ124" s="178"/>
      <c r="DTK124" s="24"/>
      <c r="DTL124" s="178"/>
      <c r="DTM124" s="24"/>
      <c r="DTN124" s="178"/>
      <c r="DTO124" s="24"/>
      <c r="DTP124" s="178"/>
      <c r="DTQ124" s="24"/>
      <c r="DTR124" s="178"/>
      <c r="DTS124" s="24"/>
      <c r="DTT124" s="178"/>
      <c r="DTU124" s="24"/>
      <c r="DTV124" s="178"/>
      <c r="DTW124" s="24"/>
      <c r="DTX124" s="178"/>
      <c r="DTY124" s="24"/>
      <c r="DTZ124" s="178"/>
      <c r="DUA124" s="24"/>
      <c r="DUB124" s="178"/>
      <c r="DUC124" s="24"/>
      <c r="DUD124" s="178"/>
      <c r="DUE124" s="24"/>
      <c r="DUF124" s="178"/>
      <c r="DUG124" s="24"/>
      <c r="DUH124" s="178"/>
      <c r="DUI124" s="24"/>
      <c r="DUJ124" s="178"/>
      <c r="DUK124" s="24"/>
      <c r="DUL124" s="178"/>
      <c r="DUM124" s="24"/>
      <c r="DUN124" s="178"/>
      <c r="DUO124" s="24"/>
      <c r="DUP124" s="178"/>
      <c r="DUQ124" s="24"/>
      <c r="DUR124" s="178"/>
      <c r="DUS124" s="24"/>
      <c r="DUT124" s="178"/>
      <c r="DUU124" s="24"/>
      <c r="DUV124" s="178"/>
      <c r="DUW124" s="24"/>
      <c r="DUX124" s="178"/>
      <c r="DUY124" s="24"/>
      <c r="DUZ124" s="178"/>
      <c r="DVA124" s="24"/>
      <c r="DVB124" s="178"/>
      <c r="DVC124" s="24"/>
      <c r="DVD124" s="178"/>
      <c r="DVE124" s="24"/>
      <c r="DVF124" s="178"/>
      <c r="DVG124" s="24"/>
      <c r="DVH124" s="178"/>
      <c r="DVI124" s="24"/>
      <c r="DVJ124" s="178"/>
      <c r="DVK124" s="24"/>
      <c r="DVL124" s="178"/>
      <c r="DVM124" s="24"/>
      <c r="DVN124" s="178"/>
      <c r="DVO124" s="24"/>
      <c r="DVP124" s="178"/>
      <c r="DVQ124" s="24"/>
      <c r="DVR124" s="178"/>
      <c r="DVS124" s="24"/>
      <c r="DVT124" s="178"/>
      <c r="DVU124" s="24"/>
      <c r="DVV124" s="178"/>
      <c r="DVW124" s="24"/>
      <c r="DVX124" s="178"/>
      <c r="DVY124" s="24"/>
      <c r="DVZ124" s="178"/>
      <c r="DWA124" s="24"/>
      <c r="DWB124" s="178"/>
      <c r="DWC124" s="24"/>
      <c r="DWD124" s="178"/>
      <c r="DWE124" s="24"/>
      <c r="DWF124" s="178"/>
      <c r="DWG124" s="24"/>
      <c r="DWH124" s="178"/>
      <c r="DWI124" s="24"/>
      <c r="DWJ124" s="178"/>
      <c r="DWK124" s="24"/>
      <c r="DWL124" s="178"/>
      <c r="DWM124" s="24"/>
      <c r="DWN124" s="178"/>
      <c r="DWO124" s="24"/>
      <c r="DWP124" s="178"/>
      <c r="DWQ124" s="24"/>
      <c r="DWR124" s="178"/>
      <c r="DWS124" s="24"/>
      <c r="DWT124" s="178"/>
      <c r="DWU124" s="24"/>
      <c r="DWV124" s="178"/>
      <c r="DWW124" s="24"/>
      <c r="DWX124" s="178"/>
      <c r="DWY124" s="24"/>
      <c r="DWZ124" s="178"/>
      <c r="DXA124" s="24"/>
      <c r="DXB124" s="178"/>
      <c r="DXC124" s="24"/>
      <c r="DXD124" s="178"/>
      <c r="DXE124" s="24"/>
      <c r="DXF124" s="178"/>
      <c r="DXG124" s="24"/>
      <c r="DXH124" s="178"/>
      <c r="DXI124" s="24"/>
      <c r="DXJ124" s="178"/>
      <c r="DXK124" s="24"/>
      <c r="DXL124" s="178"/>
      <c r="DXM124" s="24"/>
      <c r="DXN124" s="178"/>
      <c r="DXO124" s="24"/>
      <c r="DXP124" s="178"/>
      <c r="DXQ124" s="24"/>
      <c r="DXR124" s="178"/>
      <c r="DXS124" s="24"/>
      <c r="DXT124" s="178"/>
      <c r="DXU124" s="24"/>
      <c r="DXV124" s="178"/>
      <c r="DXW124" s="24"/>
      <c r="DXX124" s="178"/>
      <c r="DXY124" s="24"/>
      <c r="DXZ124" s="178"/>
      <c r="DYA124" s="24"/>
      <c r="DYB124" s="178"/>
      <c r="DYC124" s="24"/>
      <c r="DYD124" s="178"/>
      <c r="DYE124" s="24"/>
      <c r="DYF124" s="178"/>
      <c r="DYG124" s="24"/>
      <c r="DYH124" s="178"/>
      <c r="DYI124" s="24"/>
      <c r="DYJ124" s="178"/>
      <c r="DYK124" s="24"/>
      <c r="DYL124" s="178"/>
      <c r="DYM124" s="24"/>
      <c r="DYN124" s="178"/>
      <c r="DYO124" s="24"/>
      <c r="DYP124" s="178"/>
      <c r="DYQ124" s="24"/>
      <c r="DYR124" s="178"/>
      <c r="DYS124" s="24"/>
      <c r="DYT124" s="178"/>
      <c r="DYU124" s="24"/>
      <c r="DYV124" s="178"/>
      <c r="DYW124" s="24"/>
      <c r="DYX124" s="178"/>
      <c r="DYY124" s="24"/>
      <c r="DYZ124" s="178"/>
      <c r="DZA124" s="24"/>
      <c r="DZB124" s="178"/>
      <c r="DZC124" s="24"/>
      <c r="DZD124" s="178"/>
      <c r="DZE124" s="24"/>
      <c r="DZF124" s="178"/>
      <c r="DZG124" s="24"/>
      <c r="DZH124" s="178"/>
      <c r="DZI124" s="24"/>
      <c r="DZJ124" s="178"/>
      <c r="DZK124" s="24"/>
      <c r="DZL124" s="178"/>
      <c r="DZM124" s="24"/>
      <c r="DZN124" s="178"/>
      <c r="DZO124" s="24"/>
      <c r="DZP124" s="178"/>
      <c r="DZQ124" s="24"/>
      <c r="DZR124" s="178"/>
      <c r="DZS124" s="24"/>
      <c r="DZT124" s="178"/>
      <c r="DZU124" s="24"/>
      <c r="DZV124" s="178"/>
      <c r="DZW124" s="24"/>
      <c r="DZX124" s="178"/>
      <c r="DZY124" s="24"/>
      <c r="DZZ124" s="178"/>
      <c r="EAA124" s="24"/>
      <c r="EAB124" s="178"/>
      <c r="EAC124" s="24"/>
      <c r="EAD124" s="178"/>
      <c r="EAE124" s="24"/>
      <c r="EAF124" s="178"/>
      <c r="EAG124" s="24"/>
      <c r="EAH124" s="178"/>
      <c r="EAI124" s="24"/>
      <c r="EAJ124" s="178"/>
      <c r="EAK124" s="24"/>
      <c r="EAL124" s="178"/>
      <c r="EAM124" s="24"/>
      <c r="EAN124" s="178"/>
      <c r="EAO124" s="24"/>
      <c r="EAP124" s="178"/>
      <c r="EAQ124" s="24"/>
      <c r="EAR124" s="178"/>
      <c r="EAS124" s="24"/>
      <c r="EAT124" s="178"/>
      <c r="EAU124" s="24"/>
      <c r="EAV124" s="178"/>
      <c r="EAW124" s="24"/>
      <c r="EAX124" s="178"/>
      <c r="EAY124" s="24"/>
      <c r="EAZ124" s="178"/>
      <c r="EBA124" s="24"/>
      <c r="EBB124" s="178"/>
      <c r="EBC124" s="24"/>
      <c r="EBD124" s="178"/>
      <c r="EBE124" s="24"/>
      <c r="EBF124" s="178"/>
      <c r="EBG124" s="24"/>
      <c r="EBH124" s="178"/>
      <c r="EBI124" s="24"/>
      <c r="EBJ124" s="178"/>
      <c r="EBK124" s="24"/>
      <c r="EBL124" s="178"/>
      <c r="EBM124" s="24"/>
      <c r="EBN124" s="178"/>
      <c r="EBO124" s="24"/>
      <c r="EBP124" s="178"/>
      <c r="EBQ124" s="24"/>
      <c r="EBR124" s="178"/>
      <c r="EBS124" s="24"/>
      <c r="EBT124" s="178"/>
      <c r="EBU124" s="24"/>
      <c r="EBV124" s="178"/>
      <c r="EBW124" s="24"/>
      <c r="EBX124" s="178"/>
      <c r="EBY124" s="24"/>
      <c r="EBZ124" s="178"/>
      <c r="ECA124" s="24"/>
      <c r="ECB124" s="178"/>
      <c r="ECC124" s="24"/>
      <c r="ECD124" s="178"/>
      <c r="ECE124" s="24"/>
      <c r="ECF124" s="178"/>
      <c r="ECG124" s="24"/>
      <c r="ECH124" s="178"/>
      <c r="ECI124" s="24"/>
      <c r="ECJ124" s="178"/>
      <c r="ECK124" s="24"/>
      <c r="ECL124" s="178"/>
      <c r="ECM124" s="24"/>
      <c r="ECN124" s="178"/>
      <c r="ECO124" s="24"/>
      <c r="ECP124" s="178"/>
      <c r="ECQ124" s="24"/>
      <c r="ECR124" s="178"/>
      <c r="ECS124" s="24"/>
      <c r="ECT124" s="178"/>
      <c r="ECU124" s="24"/>
      <c r="ECV124" s="178"/>
      <c r="ECW124" s="24"/>
      <c r="ECX124" s="178"/>
      <c r="ECY124" s="24"/>
      <c r="ECZ124" s="178"/>
      <c r="EDA124" s="24"/>
      <c r="EDB124" s="178"/>
      <c r="EDC124" s="24"/>
      <c r="EDD124" s="178"/>
      <c r="EDE124" s="24"/>
      <c r="EDF124" s="178"/>
      <c r="EDG124" s="24"/>
      <c r="EDH124" s="178"/>
      <c r="EDI124" s="24"/>
      <c r="EDJ124" s="178"/>
      <c r="EDK124" s="24"/>
      <c r="EDL124" s="178"/>
      <c r="EDM124" s="24"/>
      <c r="EDN124" s="178"/>
      <c r="EDO124" s="24"/>
      <c r="EDP124" s="178"/>
      <c r="EDQ124" s="24"/>
      <c r="EDR124" s="178"/>
      <c r="EDS124" s="24"/>
      <c r="EDT124" s="178"/>
      <c r="EDU124" s="24"/>
      <c r="EDV124" s="178"/>
      <c r="EDW124" s="24"/>
      <c r="EDX124" s="178"/>
      <c r="EDY124" s="24"/>
      <c r="EDZ124" s="178"/>
      <c r="EEA124" s="24"/>
      <c r="EEB124" s="178"/>
      <c r="EEC124" s="24"/>
      <c r="EED124" s="178"/>
      <c r="EEE124" s="24"/>
      <c r="EEF124" s="178"/>
      <c r="EEG124" s="24"/>
      <c r="EEH124" s="178"/>
      <c r="EEI124" s="24"/>
      <c r="EEJ124" s="178"/>
      <c r="EEK124" s="24"/>
      <c r="EEL124" s="178"/>
      <c r="EEM124" s="24"/>
      <c r="EEN124" s="178"/>
      <c r="EEO124" s="24"/>
      <c r="EEP124" s="178"/>
      <c r="EEQ124" s="24"/>
      <c r="EER124" s="178"/>
      <c r="EES124" s="24"/>
      <c r="EET124" s="178"/>
      <c r="EEU124" s="24"/>
      <c r="EEV124" s="178"/>
      <c r="EEW124" s="24"/>
      <c r="EEX124" s="178"/>
      <c r="EEY124" s="24"/>
      <c r="EEZ124" s="178"/>
      <c r="EFA124" s="24"/>
      <c r="EFB124" s="178"/>
      <c r="EFC124" s="24"/>
      <c r="EFD124" s="178"/>
      <c r="EFE124" s="24"/>
      <c r="EFF124" s="178"/>
      <c r="EFG124" s="24"/>
      <c r="EFH124" s="178"/>
      <c r="EFI124" s="24"/>
      <c r="EFJ124" s="178"/>
      <c r="EFK124" s="24"/>
      <c r="EFL124" s="178"/>
      <c r="EFM124" s="24"/>
      <c r="EFN124" s="178"/>
      <c r="EFO124" s="24"/>
      <c r="EFP124" s="178"/>
      <c r="EFQ124" s="24"/>
      <c r="EFR124" s="178"/>
      <c r="EFS124" s="24"/>
      <c r="EFT124" s="178"/>
      <c r="EFU124" s="24"/>
      <c r="EFV124" s="178"/>
      <c r="EFW124" s="24"/>
      <c r="EFX124" s="178"/>
      <c r="EFY124" s="24"/>
      <c r="EFZ124" s="178"/>
      <c r="EGA124" s="24"/>
      <c r="EGB124" s="178"/>
      <c r="EGC124" s="24"/>
      <c r="EGD124" s="178"/>
      <c r="EGE124" s="24"/>
      <c r="EGF124" s="178"/>
      <c r="EGG124" s="24"/>
      <c r="EGH124" s="178"/>
      <c r="EGI124" s="24"/>
      <c r="EGJ124" s="178"/>
      <c r="EGK124" s="24"/>
      <c r="EGL124" s="178"/>
      <c r="EGM124" s="24"/>
      <c r="EGN124" s="178"/>
      <c r="EGO124" s="24"/>
      <c r="EGP124" s="178"/>
      <c r="EGQ124" s="24"/>
      <c r="EGR124" s="178"/>
      <c r="EGS124" s="24"/>
      <c r="EGT124" s="178"/>
      <c r="EGU124" s="24"/>
      <c r="EGV124" s="178"/>
      <c r="EGW124" s="24"/>
      <c r="EGX124" s="178"/>
      <c r="EGY124" s="24"/>
      <c r="EGZ124" s="178"/>
      <c r="EHA124" s="24"/>
      <c r="EHB124" s="178"/>
      <c r="EHC124" s="24"/>
      <c r="EHD124" s="178"/>
      <c r="EHE124" s="24"/>
      <c r="EHF124" s="178"/>
      <c r="EHG124" s="24"/>
      <c r="EHH124" s="178"/>
      <c r="EHI124" s="24"/>
      <c r="EHJ124" s="178"/>
      <c r="EHK124" s="24"/>
      <c r="EHL124" s="178"/>
      <c r="EHM124" s="24"/>
      <c r="EHN124" s="178"/>
      <c r="EHO124" s="24"/>
      <c r="EHP124" s="178"/>
      <c r="EHQ124" s="24"/>
      <c r="EHR124" s="178"/>
      <c r="EHS124" s="24"/>
      <c r="EHT124" s="178"/>
      <c r="EHU124" s="24"/>
      <c r="EHV124" s="178"/>
      <c r="EHW124" s="24"/>
      <c r="EHX124" s="178"/>
      <c r="EHY124" s="24"/>
      <c r="EHZ124" s="178"/>
      <c r="EIA124" s="24"/>
      <c r="EIB124" s="178"/>
      <c r="EIC124" s="24"/>
      <c r="EID124" s="178"/>
      <c r="EIE124" s="24"/>
      <c r="EIF124" s="178"/>
      <c r="EIG124" s="24"/>
      <c r="EIH124" s="178"/>
      <c r="EII124" s="24"/>
      <c r="EIJ124" s="178"/>
      <c r="EIK124" s="24"/>
      <c r="EIL124" s="178"/>
      <c r="EIM124" s="24"/>
      <c r="EIN124" s="178"/>
      <c r="EIO124" s="24"/>
      <c r="EIP124" s="178"/>
      <c r="EIQ124" s="24"/>
      <c r="EIR124" s="178"/>
      <c r="EIS124" s="24"/>
      <c r="EIT124" s="178"/>
      <c r="EIU124" s="24"/>
      <c r="EIV124" s="178"/>
      <c r="EIW124" s="24"/>
      <c r="EIX124" s="178"/>
      <c r="EIY124" s="24"/>
      <c r="EIZ124" s="178"/>
      <c r="EJA124" s="24"/>
      <c r="EJB124" s="178"/>
      <c r="EJC124" s="24"/>
      <c r="EJD124" s="178"/>
      <c r="EJE124" s="24"/>
      <c r="EJF124" s="178"/>
      <c r="EJG124" s="24"/>
      <c r="EJH124" s="178"/>
      <c r="EJI124" s="24"/>
      <c r="EJJ124" s="178"/>
      <c r="EJK124" s="24"/>
      <c r="EJL124" s="178"/>
      <c r="EJM124" s="24"/>
      <c r="EJN124" s="178"/>
      <c r="EJO124" s="24"/>
      <c r="EJP124" s="178"/>
      <c r="EJQ124" s="24"/>
      <c r="EJR124" s="178"/>
      <c r="EJS124" s="24"/>
      <c r="EJT124" s="178"/>
      <c r="EJU124" s="24"/>
      <c r="EJV124" s="178"/>
      <c r="EJW124" s="24"/>
      <c r="EJX124" s="178"/>
      <c r="EJY124" s="24"/>
      <c r="EJZ124" s="178"/>
      <c r="EKA124" s="24"/>
      <c r="EKB124" s="178"/>
      <c r="EKC124" s="24"/>
      <c r="EKD124" s="178"/>
      <c r="EKE124" s="24"/>
      <c r="EKF124" s="178"/>
      <c r="EKG124" s="24"/>
      <c r="EKH124" s="178"/>
      <c r="EKI124" s="24"/>
      <c r="EKJ124" s="178"/>
      <c r="EKK124" s="24"/>
      <c r="EKL124" s="178"/>
      <c r="EKM124" s="24"/>
      <c r="EKN124" s="178"/>
      <c r="EKO124" s="24"/>
      <c r="EKP124" s="178"/>
      <c r="EKQ124" s="24"/>
      <c r="EKR124" s="178"/>
      <c r="EKS124" s="24"/>
      <c r="EKT124" s="178"/>
      <c r="EKU124" s="24"/>
      <c r="EKV124" s="178"/>
      <c r="EKW124" s="24"/>
      <c r="EKX124" s="178"/>
      <c r="EKY124" s="24"/>
      <c r="EKZ124" s="178"/>
      <c r="ELA124" s="24"/>
      <c r="ELB124" s="178"/>
      <c r="ELC124" s="24"/>
      <c r="ELD124" s="178"/>
      <c r="ELE124" s="24"/>
      <c r="ELF124" s="178"/>
      <c r="ELG124" s="24"/>
      <c r="ELH124" s="178"/>
      <c r="ELI124" s="24"/>
      <c r="ELJ124" s="178"/>
      <c r="ELK124" s="24"/>
      <c r="ELL124" s="178"/>
      <c r="ELM124" s="24"/>
      <c r="ELN124" s="178"/>
      <c r="ELO124" s="24"/>
      <c r="ELP124" s="178"/>
      <c r="ELQ124" s="24"/>
      <c r="ELR124" s="178"/>
      <c r="ELS124" s="24"/>
      <c r="ELT124" s="178"/>
      <c r="ELU124" s="24"/>
      <c r="ELV124" s="178"/>
      <c r="ELW124" s="24"/>
      <c r="ELX124" s="178"/>
      <c r="ELY124" s="24"/>
      <c r="ELZ124" s="178"/>
      <c r="EMA124" s="24"/>
      <c r="EMB124" s="178"/>
      <c r="EMC124" s="24"/>
      <c r="EMD124" s="178"/>
      <c r="EME124" s="24"/>
      <c r="EMF124" s="178"/>
      <c r="EMG124" s="24"/>
      <c r="EMH124" s="178"/>
      <c r="EMI124" s="24"/>
      <c r="EMJ124" s="178"/>
      <c r="EMK124" s="24"/>
      <c r="EML124" s="178"/>
      <c r="EMM124" s="24"/>
      <c r="EMN124" s="178"/>
      <c r="EMO124" s="24"/>
      <c r="EMP124" s="178"/>
      <c r="EMQ124" s="24"/>
      <c r="EMR124" s="178"/>
      <c r="EMS124" s="24"/>
      <c r="EMT124" s="178"/>
      <c r="EMU124" s="24"/>
      <c r="EMV124" s="178"/>
      <c r="EMW124" s="24"/>
      <c r="EMX124" s="178"/>
      <c r="EMY124" s="24"/>
      <c r="EMZ124" s="178"/>
      <c r="ENA124" s="24"/>
      <c r="ENB124" s="178"/>
      <c r="ENC124" s="24"/>
      <c r="END124" s="178"/>
      <c r="ENE124" s="24"/>
      <c r="ENF124" s="178"/>
      <c r="ENG124" s="24"/>
      <c r="ENH124" s="178"/>
      <c r="ENI124" s="24"/>
      <c r="ENJ124" s="178"/>
      <c r="ENK124" s="24"/>
      <c r="ENL124" s="178"/>
      <c r="ENM124" s="24"/>
      <c r="ENN124" s="178"/>
      <c r="ENO124" s="24"/>
      <c r="ENP124" s="178"/>
      <c r="ENQ124" s="24"/>
      <c r="ENR124" s="178"/>
      <c r="ENS124" s="24"/>
      <c r="ENT124" s="178"/>
      <c r="ENU124" s="24"/>
      <c r="ENV124" s="178"/>
      <c r="ENW124" s="24"/>
      <c r="ENX124" s="178"/>
      <c r="ENY124" s="24"/>
      <c r="ENZ124" s="178"/>
      <c r="EOA124" s="24"/>
      <c r="EOB124" s="178"/>
      <c r="EOC124" s="24"/>
      <c r="EOD124" s="178"/>
      <c r="EOE124" s="24"/>
      <c r="EOF124" s="178"/>
      <c r="EOG124" s="24"/>
      <c r="EOH124" s="178"/>
      <c r="EOI124" s="24"/>
      <c r="EOJ124" s="178"/>
      <c r="EOK124" s="24"/>
      <c r="EOL124" s="178"/>
      <c r="EOM124" s="24"/>
      <c r="EON124" s="178"/>
      <c r="EOO124" s="24"/>
      <c r="EOP124" s="178"/>
      <c r="EOQ124" s="24"/>
      <c r="EOR124" s="178"/>
      <c r="EOS124" s="24"/>
      <c r="EOT124" s="178"/>
      <c r="EOU124" s="24"/>
      <c r="EOV124" s="178"/>
      <c r="EOW124" s="24"/>
      <c r="EOX124" s="178"/>
      <c r="EOY124" s="24"/>
      <c r="EOZ124" s="178"/>
      <c r="EPA124" s="24"/>
      <c r="EPB124" s="178"/>
      <c r="EPC124" s="24"/>
      <c r="EPD124" s="178"/>
      <c r="EPE124" s="24"/>
      <c r="EPF124" s="178"/>
      <c r="EPG124" s="24"/>
      <c r="EPH124" s="178"/>
      <c r="EPI124" s="24"/>
      <c r="EPJ124" s="178"/>
      <c r="EPK124" s="24"/>
      <c r="EPL124" s="178"/>
      <c r="EPM124" s="24"/>
      <c r="EPN124" s="178"/>
      <c r="EPO124" s="24"/>
      <c r="EPP124" s="178"/>
      <c r="EPQ124" s="24"/>
      <c r="EPR124" s="178"/>
      <c r="EPS124" s="24"/>
      <c r="EPT124" s="178"/>
      <c r="EPU124" s="24"/>
      <c r="EPV124" s="178"/>
      <c r="EPW124" s="24"/>
      <c r="EPX124" s="178"/>
      <c r="EPY124" s="24"/>
      <c r="EPZ124" s="178"/>
      <c r="EQA124" s="24"/>
      <c r="EQB124" s="178"/>
      <c r="EQC124" s="24"/>
      <c r="EQD124" s="178"/>
      <c r="EQE124" s="24"/>
      <c r="EQF124" s="178"/>
      <c r="EQG124" s="24"/>
      <c r="EQH124" s="178"/>
      <c r="EQI124" s="24"/>
      <c r="EQJ124" s="178"/>
      <c r="EQK124" s="24"/>
      <c r="EQL124" s="178"/>
      <c r="EQM124" s="24"/>
      <c r="EQN124" s="178"/>
      <c r="EQO124" s="24"/>
      <c r="EQP124" s="178"/>
      <c r="EQQ124" s="24"/>
      <c r="EQR124" s="178"/>
      <c r="EQS124" s="24"/>
      <c r="EQT124" s="178"/>
      <c r="EQU124" s="24"/>
      <c r="EQV124" s="178"/>
      <c r="EQW124" s="24"/>
      <c r="EQX124" s="178"/>
      <c r="EQY124" s="24"/>
      <c r="EQZ124" s="178"/>
      <c r="ERA124" s="24"/>
      <c r="ERB124" s="178"/>
      <c r="ERC124" s="24"/>
      <c r="ERD124" s="178"/>
      <c r="ERE124" s="24"/>
      <c r="ERF124" s="178"/>
      <c r="ERG124" s="24"/>
      <c r="ERH124" s="178"/>
      <c r="ERI124" s="24"/>
      <c r="ERJ124" s="178"/>
      <c r="ERK124" s="24"/>
      <c r="ERL124" s="178"/>
      <c r="ERM124" s="24"/>
      <c r="ERN124" s="178"/>
      <c r="ERO124" s="24"/>
      <c r="ERP124" s="178"/>
      <c r="ERQ124" s="24"/>
      <c r="ERR124" s="178"/>
      <c r="ERS124" s="24"/>
      <c r="ERT124" s="178"/>
      <c r="ERU124" s="24"/>
      <c r="ERV124" s="178"/>
      <c r="ERW124" s="24"/>
      <c r="ERX124" s="178"/>
      <c r="ERY124" s="24"/>
      <c r="ERZ124" s="178"/>
      <c r="ESA124" s="24"/>
      <c r="ESB124" s="178"/>
      <c r="ESC124" s="24"/>
      <c r="ESD124" s="178"/>
      <c r="ESE124" s="24"/>
      <c r="ESF124" s="178"/>
      <c r="ESG124" s="24"/>
      <c r="ESH124" s="178"/>
      <c r="ESI124" s="24"/>
      <c r="ESJ124" s="178"/>
      <c r="ESK124" s="24"/>
      <c r="ESL124" s="178"/>
      <c r="ESM124" s="24"/>
      <c r="ESN124" s="178"/>
      <c r="ESO124" s="24"/>
      <c r="ESP124" s="178"/>
      <c r="ESQ124" s="24"/>
      <c r="ESR124" s="178"/>
      <c r="ESS124" s="24"/>
      <c r="EST124" s="178"/>
      <c r="ESU124" s="24"/>
      <c r="ESV124" s="178"/>
      <c r="ESW124" s="24"/>
      <c r="ESX124" s="178"/>
      <c r="ESY124" s="24"/>
      <c r="ESZ124" s="178"/>
      <c r="ETA124" s="24"/>
      <c r="ETB124" s="178"/>
      <c r="ETC124" s="24"/>
      <c r="ETD124" s="178"/>
      <c r="ETE124" s="24"/>
      <c r="ETF124" s="178"/>
      <c r="ETG124" s="24"/>
      <c r="ETH124" s="178"/>
      <c r="ETI124" s="24"/>
      <c r="ETJ124" s="178"/>
      <c r="ETK124" s="24"/>
      <c r="ETL124" s="178"/>
      <c r="ETM124" s="24"/>
      <c r="ETN124" s="178"/>
      <c r="ETO124" s="24"/>
      <c r="ETP124" s="178"/>
      <c r="ETQ124" s="24"/>
      <c r="ETR124" s="178"/>
      <c r="ETS124" s="24"/>
      <c r="ETT124" s="178"/>
      <c r="ETU124" s="24"/>
      <c r="ETV124" s="178"/>
      <c r="ETW124" s="24"/>
      <c r="ETX124" s="178"/>
      <c r="ETY124" s="24"/>
      <c r="ETZ124" s="178"/>
      <c r="EUA124" s="24"/>
      <c r="EUB124" s="178"/>
      <c r="EUC124" s="24"/>
      <c r="EUD124" s="178"/>
      <c r="EUE124" s="24"/>
      <c r="EUF124" s="178"/>
      <c r="EUG124" s="24"/>
      <c r="EUH124" s="178"/>
      <c r="EUI124" s="24"/>
      <c r="EUJ124" s="178"/>
      <c r="EUK124" s="24"/>
      <c r="EUL124" s="178"/>
      <c r="EUM124" s="24"/>
      <c r="EUN124" s="178"/>
      <c r="EUO124" s="24"/>
      <c r="EUP124" s="178"/>
      <c r="EUQ124" s="24"/>
      <c r="EUR124" s="178"/>
      <c r="EUS124" s="24"/>
      <c r="EUT124" s="178"/>
      <c r="EUU124" s="24"/>
      <c r="EUV124" s="178"/>
      <c r="EUW124" s="24"/>
      <c r="EUX124" s="178"/>
      <c r="EUY124" s="24"/>
      <c r="EUZ124" s="178"/>
      <c r="EVA124" s="24"/>
      <c r="EVB124" s="178"/>
      <c r="EVC124" s="24"/>
      <c r="EVD124" s="178"/>
      <c r="EVE124" s="24"/>
      <c r="EVF124" s="178"/>
      <c r="EVG124" s="24"/>
      <c r="EVH124" s="178"/>
      <c r="EVI124" s="24"/>
      <c r="EVJ124" s="178"/>
      <c r="EVK124" s="24"/>
      <c r="EVL124" s="178"/>
      <c r="EVM124" s="24"/>
      <c r="EVN124" s="178"/>
      <c r="EVO124" s="24"/>
      <c r="EVP124" s="178"/>
      <c r="EVQ124" s="24"/>
      <c r="EVR124" s="178"/>
      <c r="EVS124" s="24"/>
      <c r="EVT124" s="178"/>
      <c r="EVU124" s="24"/>
      <c r="EVV124" s="178"/>
      <c r="EVW124" s="24"/>
      <c r="EVX124" s="178"/>
      <c r="EVY124" s="24"/>
      <c r="EVZ124" s="178"/>
      <c r="EWA124" s="24"/>
      <c r="EWB124" s="178"/>
      <c r="EWC124" s="24"/>
      <c r="EWD124" s="178"/>
      <c r="EWE124" s="24"/>
      <c r="EWF124" s="178"/>
      <c r="EWG124" s="24"/>
      <c r="EWH124" s="178"/>
      <c r="EWI124" s="24"/>
      <c r="EWJ124" s="178"/>
      <c r="EWK124" s="24"/>
      <c r="EWL124" s="178"/>
      <c r="EWM124" s="24"/>
      <c r="EWN124" s="178"/>
      <c r="EWO124" s="24"/>
      <c r="EWP124" s="178"/>
      <c r="EWQ124" s="24"/>
      <c r="EWR124" s="178"/>
      <c r="EWS124" s="24"/>
      <c r="EWT124" s="178"/>
      <c r="EWU124" s="24"/>
      <c r="EWV124" s="178"/>
      <c r="EWW124" s="24"/>
      <c r="EWX124" s="178"/>
      <c r="EWY124" s="24"/>
      <c r="EWZ124" s="178"/>
      <c r="EXA124" s="24"/>
      <c r="EXB124" s="178"/>
      <c r="EXC124" s="24"/>
      <c r="EXD124" s="178"/>
      <c r="EXE124" s="24"/>
      <c r="EXF124" s="178"/>
      <c r="EXG124" s="24"/>
      <c r="EXH124" s="178"/>
      <c r="EXI124" s="24"/>
      <c r="EXJ124" s="178"/>
      <c r="EXK124" s="24"/>
      <c r="EXL124" s="178"/>
      <c r="EXM124" s="24"/>
      <c r="EXN124" s="178"/>
      <c r="EXO124" s="24"/>
      <c r="EXP124" s="178"/>
      <c r="EXQ124" s="24"/>
      <c r="EXR124" s="178"/>
      <c r="EXS124" s="24"/>
      <c r="EXT124" s="178"/>
      <c r="EXU124" s="24"/>
      <c r="EXV124" s="178"/>
      <c r="EXW124" s="24"/>
      <c r="EXX124" s="178"/>
      <c r="EXY124" s="24"/>
      <c r="EXZ124" s="178"/>
      <c r="EYA124" s="24"/>
      <c r="EYB124" s="178"/>
      <c r="EYC124" s="24"/>
      <c r="EYD124" s="178"/>
      <c r="EYE124" s="24"/>
      <c r="EYF124" s="178"/>
      <c r="EYG124" s="24"/>
      <c r="EYH124" s="178"/>
      <c r="EYI124" s="24"/>
      <c r="EYJ124" s="178"/>
      <c r="EYK124" s="24"/>
      <c r="EYL124" s="178"/>
      <c r="EYM124" s="24"/>
      <c r="EYN124" s="178"/>
      <c r="EYO124" s="24"/>
      <c r="EYP124" s="178"/>
      <c r="EYQ124" s="24"/>
      <c r="EYR124" s="178"/>
      <c r="EYS124" s="24"/>
      <c r="EYT124" s="178"/>
      <c r="EYU124" s="24"/>
      <c r="EYV124" s="178"/>
      <c r="EYW124" s="24"/>
      <c r="EYX124" s="178"/>
      <c r="EYY124" s="24"/>
      <c r="EYZ124" s="178"/>
      <c r="EZA124" s="24"/>
      <c r="EZB124" s="178"/>
      <c r="EZC124" s="24"/>
      <c r="EZD124" s="178"/>
      <c r="EZE124" s="24"/>
      <c r="EZF124" s="178"/>
      <c r="EZG124" s="24"/>
      <c r="EZH124" s="178"/>
      <c r="EZI124" s="24"/>
      <c r="EZJ124" s="178"/>
      <c r="EZK124" s="24"/>
      <c r="EZL124" s="178"/>
      <c r="EZM124" s="24"/>
      <c r="EZN124" s="178"/>
      <c r="EZO124" s="24"/>
      <c r="EZP124" s="178"/>
      <c r="EZQ124" s="24"/>
      <c r="EZR124" s="178"/>
      <c r="EZS124" s="24"/>
      <c r="EZT124" s="178"/>
      <c r="EZU124" s="24"/>
      <c r="EZV124" s="178"/>
      <c r="EZW124" s="24"/>
      <c r="EZX124" s="178"/>
      <c r="EZY124" s="24"/>
      <c r="EZZ124" s="178"/>
      <c r="FAA124" s="24"/>
      <c r="FAB124" s="178"/>
      <c r="FAC124" s="24"/>
      <c r="FAD124" s="178"/>
      <c r="FAE124" s="24"/>
      <c r="FAF124" s="178"/>
      <c r="FAG124" s="24"/>
      <c r="FAH124" s="178"/>
      <c r="FAI124" s="24"/>
      <c r="FAJ124" s="178"/>
      <c r="FAK124" s="24"/>
      <c r="FAL124" s="178"/>
      <c r="FAM124" s="24"/>
      <c r="FAN124" s="178"/>
      <c r="FAO124" s="24"/>
      <c r="FAP124" s="178"/>
      <c r="FAQ124" s="24"/>
      <c r="FAR124" s="178"/>
      <c r="FAS124" s="24"/>
      <c r="FAT124" s="178"/>
      <c r="FAU124" s="24"/>
      <c r="FAV124" s="178"/>
      <c r="FAW124" s="24"/>
      <c r="FAX124" s="178"/>
      <c r="FAY124" s="24"/>
      <c r="FAZ124" s="178"/>
      <c r="FBA124" s="24"/>
      <c r="FBB124" s="178"/>
      <c r="FBC124" s="24"/>
      <c r="FBD124" s="178"/>
      <c r="FBE124" s="24"/>
      <c r="FBF124" s="178"/>
      <c r="FBG124" s="24"/>
      <c r="FBH124" s="178"/>
      <c r="FBI124" s="24"/>
      <c r="FBJ124" s="178"/>
      <c r="FBK124" s="24"/>
      <c r="FBL124" s="178"/>
      <c r="FBM124" s="24"/>
      <c r="FBN124" s="178"/>
      <c r="FBO124" s="24"/>
      <c r="FBP124" s="178"/>
      <c r="FBQ124" s="24"/>
      <c r="FBR124" s="178"/>
      <c r="FBS124" s="24"/>
      <c r="FBT124" s="178"/>
      <c r="FBU124" s="24"/>
      <c r="FBV124" s="178"/>
      <c r="FBW124" s="24"/>
      <c r="FBX124" s="178"/>
      <c r="FBY124" s="24"/>
      <c r="FBZ124" s="178"/>
      <c r="FCA124" s="24"/>
      <c r="FCB124" s="178"/>
      <c r="FCC124" s="24"/>
      <c r="FCD124" s="178"/>
      <c r="FCE124" s="24"/>
      <c r="FCF124" s="178"/>
      <c r="FCG124" s="24"/>
      <c r="FCH124" s="178"/>
      <c r="FCI124" s="24"/>
      <c r="FCJ124" s="178"/>
      <c r="FCK124" s="24"/>
      <c r="FCL124" s="178"/>
      <c r="FCM124" s="24"/>
      <c r="FCN124" s="178"/>
      <c r="FCO124" s="24"/>
      <c r="FCP124" s="178"/>
      <c r="FCQ124" s="24"/>
      <c r="FCR124" s="178"/>
      <c r="FCS124" s="24"/>
      <c r="FCT124" s="178"/>
      <c r="FCU124" s="24"/>
      <c r="FCV124" s="178"/>
      <c r="FCW124" s="24"/>
      <c r="FCX124" s="178"/>
      <c r="FCY124" s="24"/>
      <c r="FCZ124" s="178"/>
      <c r="FDA124" s="24"/>
      <c r="FDB124" s="178"/>
      <c r="FDC124" s="24"/>
      <c r="FDD124" s="178"/>
      <c r="FDE124" s="24"/>
      <c r="FDF124" s="178"/>
      <c r="FDG124" s="24"/>
      <c r="FDH124" s="178"/>
      <c r="FDI124" s="24"/>
      <c r="FDJ124" s="178"/>
      <c r="FDK124" s="24"/>
      <c r="FDL124" s="178"/>
      <c r="FDM124" s="24"/>
      <c r="FDN124" s="178"/>
      <c r="FDO124" s="24"/>
      <c r="FDP124" s="178"/>
      <c r="FDQ124" s="24"/>
      <c r="FDR124" s="178"/>
      <c r="FDS124" s="24"/>
      <c r="FDT124" s="178"/>
      <c r="FDU124" s="24"/>
      <c r="FDV124" s="178"/>
      <c r="FDW124" s="24"/>
      <c r="FDX124" s="178"/>
      <c r="FDY124" s="24"/>
      <c r="FDZ124" s="178"/>
      <c r="FEA124" s="24"/>
      <c r="FEB124" s="178"/>
      <c r="FEC124" s="24"/>
      <c r="FED124" s="178"/>
      <c r="FEE124" s="24"/>
      <c r="FEF124" s="178"/>
      <c r="FEG124" s="24"/>
      <c r="FEH124" s="178"/>
      <c r="FEI124" s="24"/>
      <c r="FEJ124" s="178"/>
      <c r="FEK124" s="24"/>
      <c r="FEL124" s="178"/>
      <c r="FEM124" s="24"/>
      <c r="FEN124" s="178"/>
      <c r="FEO124" s="24"/>
      <c r="FEP124" s="178"/>
      <c r="FEQ124" s="24"/>
      <c r="FER124" s="178"/>
      <c r="FES124" s="24"/>
      <c r="FET124" s="178"/>
      <c r="FEU124" s="24"/>
      <c r="FEV124" s="178"/>
      <c r="FEW124" s="24"/>
      <c r="FEX124" s="178"/>
      <c r="FEY124" s="24"/>
      <c r="FEZ124" s="178"/>
      <c r="FFA124" s="24"/>
      <c r="FFB124" s="178"/>
      <c r="FFC124" s="24"/>
      <c r="FFD124" s="178"/>
      <c r="FFE124" s="24"/>
      <c r="FFF124" s="178"/>
      <c r="FFG124" s="24"/>
      <c r="FFH124" s="178"/>
      <c r="FFI124" s="24"/>
      <c r="FFJ124" s="178"/>
      <c r="FFK124" s="24"/>
      <c r="FFL124" s="178"/>
      <c r="FFM124" s="24"/>
      <c r="FFN124" s="178"/>
      <c r="FFO124" s="24"/>
      <c r="FFP124" s="178"/>
      <c r="FFQ124" s="24"/>
      <c r="FFR124" s="178"/>
      <c r="FFS124" s="24"/>
      <c r="FFT124" s="178"/>
      <c r="FFU124" s="24"/>
      <c r="FFV124" s="178"/>
      <c r="FFW124" s="24"/>
      <c r="FFX124" s="178"/>
      <c r="FFY124" s="24"/>
      <c r="FFZ124" s="178"/>
      <c r="FGA124" s="24"/>
      <c r="FGB124" s="178"/>
      <c r="FGC124" s="24"/>
      <c r="FGD124" s="178"/>
      <c r="FGE124" s="24"/>
      <c r="FGF124" s="178"/>
      <c r="FGG124" s="24"/>
      <c r="FGH124" s="178"/>
      <c r="FGI124" s="24"/>
      <c r="FGJ124" s="178"/>
      <c r="FGK124" s="24"/>
      <c r="FGL124" s="178"/>
      <c r="FGM124" s="24"/>
      <c r="FGN124" s="178"/>
      <c r="FGO124" s="24"/>
      <c r="FGP124" s="178"/>
      <c r="FGQ124" s="24"/>
      <c r="FGR124" s="178"/>
      <c r="FGS124" s="24"/>
      <c r="FGT124" s="178"/>
      <c r="FGU124" s="24"/>
      <c r="FGV124" s="178"/>
      <c r="FGW124" s="24"/>
      <c r="FGX124" s="178"/>
      <c r="FGY124" s="24"/>
      <c r="FGZ124" s="178"/>
      <c r="FHA124" s="24"/>
      <c r="FHB124" s="178"/>
      <c r="FHC124" s="24"/>
      <c r="FHD124" s="178"/>
      <c r="FHE124" s="24"/>
      <c r="FHF124" s="178"/>
      <c r="FHG124" s="24"/>
      <c r="FHH124" s="178"/>
      <c r="FHI124" s="24"/>
      <c r="FHJ124" s="178"/>
      <c r="FHK124" s="24"/>
      <c r="FHL124" s="178"/>
      <c r="FHM124" s="24"/>
      <c r="FHN124" s="178"/>
      <c r="FHO124" s="24"/>
      <c r="FHP124" s="178"/>
      <c r="FHQ124" s="24"/>
      <c r="FHR124" s="178"/>
      <c r="FHS124" s="24"/>
      <c r="FHT124" s="178"/>
      <c r="FHU124" s="24"/>
      <c r="FHV124" s="178"/>
      <c r="FHW124" s="24"/>
      <c r="FHX124" s="178"/>
      <c r="FHY124" s="24"/>
      <c r="FHZ124" s="178"/>
      <c r="FIA124" s="24"/>
      <c r="FIB124" s="178"/>
      <c r="FIC124" s="24"/>
      <c r="FID124" s="178"/>
      <c r="FIE124" s="24"/>
      <c r="FIF124" s="178"/>
      <c r="FIG124" s="24"/>
      <c r="FIH124" s="178"/>
      <c r="FII124" s="24"/>
      <c r="FIJ124" s="178"/>
      <c r="FIK124" s="24"/>
      <c r="FIL124" s="178"/>
      <c r="FIM124" s="24"/>
      <c r="FIN124" s="178"/>
      <c r="FIO124" s="24"/>
      <c r="FIP124" s="178"/>
      <c r="FIQ124" s="24"/>
      <c r="FIR124" s="178"/>
      <c r="FIS124" s="24"/>
      <c r="FIT124" s="178"/>
      <c r="FIU124" s="24"/>
      <c r="FIV124" s="178"/>
      <c r="FIW124" s="24"/>
      <c r="FIX124" s="178"/>
      <c r="FIY124" s="24"/>
      <c r="FIZ124" s="178"/>
      <c r="FJA124" s="24"/>
      <c r="FJB124" s="178"/>
      <c r="FJC124" s="24"/>
      <c r="FJD124" s="178"/>
      <c r="FJE124" s="24"/>
      <c r="FJF124" s="178"/>
      <c r="FJG124" s="24"/>
      <c r="FJH124" s="178"/>
      <c r="FJI124" s="24"/>
      <c r="FJJ124" s="178"/>
      <c r="FJK124" s="24"/>
      <c r="FJL124" s="178"/>
      <c r="FJM124" s="24"/>
      <c r="FJN124" s="178"/>
      <c r="FJO124" s="24"/>
      <c r="FJP124" s="178"/>
      <c r="FJQ124" s="24"/>
      <c r="FJR124" s="178"/>
      <c r="FJS124" s="24"/>
      <c r="FJT124" s="178"/>
      <c r="FJU124" s="24"/>
      <c r="FJV124" s="178"/>
      <c r="FJW124" s="24"/>
      <c r="FJX124" s="178"/>
      <c r="FJY124" s="24"/>
      <c r="FJZ124" s="178"/>
      <c r="FKA124" s="24"/>
      <c r="FKB124" s="178"/>
      <c r="FKC124" s="24"/>
      <c r="FKD124" s="178"/>
      <c r="FKE124" s="24"/>
      <c r="FKF124" s="178"/>
      <c r="FKG124" s="24"/>
      <c r="FKH124" s="178"/>
      <c r="FKI124" s="24"/>
      <c r="FKJ124" s="178"/>
      <c r="FKK124" s="24"/>
      <c r="FKL124" s="178"/>
      <c r="FKM124" s="24"/>
      <c r="FKN124" s="178"/>
      <c r="FKO124" s="24"/>
      <c r="FKP124" s="178"/>
      <c r="FKQ124" s="24"/>
      <c r="FKR124" s="178"/>
      <c r="FKS124" s="24"/>
      <c r="FKT124" s="178"/>
      <c r="FKU124" s="24"/>
      <c r="FKV124" s="178"/>
      <c r="FKW124" s="24"/>
      <c r="FKX124" s="178"/>
      <c r="FKY124" s="24"/>
      <c r="FKZ124" s="178"/>
      <c r="FLA124" s="24"/>
      <c r="FLB124" s="178"/>
      <c r="FLC124" s="24"/>
      <c r="FLD124" s="178"/>
      <c r="FLE124" s="24"/>
      <c r="FLF124" s="178"/>
      <c r="FLG124" s="24"/>
      <c r="FLH124" s="178"/>
      <c r="FLI124" s="24"/>
      <c r="FLJ124" s="178"/>
      <c r="FLK124" s="24"/>
      <c r="FLL124" s="178"/>
      <c r="FLM124" s="24"/>
      <c r="FLN124" s="178"/>
      <c r="FLO124" s="24"/>
      <c r="FLP124" s="178"/>
      <c r="FLQ124" s="24"/>
      <c r="FLR124" s="178"/>
      <c r="FLS124" s="24"/>
      <c r="FLT124" s="178"/>
      <c r="FLU124" s="24"/>
      <c r="FLV124" s="178"/>
      <c r="FLW124" s="24"/>
      <c r="FLX124" s="178"/>
      <c r="FLY124" s="24"/>
      <c r="FLZ124" s="178"/>
      <c r="FMA124" s="24"/>
      <c r="FMB124" s="178"/>
      <c r="FMC124" s="24"/>
      <c r="FMD124" s="178"/>
      <c r="FME124" s="24"/>
      <c r="FMF124" s="178"/>
      <c r="FMG124" s="24"/>
      <c r="FMH124" s="178"/>
      <c r="FMI124" s="24"/>
      <c r="FMJ124" s="178"/>
      <c r="FMK124" s="24"/>
      <c r="FML124" s="178"/>
      <c r="FMM124" s="24"/>
      <c r="FMN124" s="178"/>
      <c r="FMO124" s="24"/>
      <c r="FMP124" s="178"/>
      <c r="FMQ124" s="24"/>
      <c r="FMR124" s="178"/>
      <c r="FMS124" s="24"/>
      <c r="FMT124" s="178"/>
      <c r="FMU124" s="24"/>
      <c r="FMV124" s="178"/>
      <c r="FMW124" s="24"/>
      <c r="FMX124" s="178"/>
      <c r="FMY124" s="24"/>
      <c r="FMZ124" s="178"/>
      <c r="FNA124" s="24"/>
      <c r="FNB124" s="178"/>
      <c r="FNC124" s="24"/>
      <c r="FND124" s="178"/>
      <c r="FNE124" s="24"/>
      <c r="FNF124" s="178"/>
      <c r="FNG124" s="24"/>
      <c r="FNH124" s="178"/>
      <c r="FNI124" s="24"/>
      <c r="FNJ124" s="178"/>
      <c r="FNK124" s="24"/>
      <c r="FNL124" s="178"/>
      <c r="FNM124" s="24"/>
      <c r="FNN124" s="178"/>
      <c r="FNO124" s="24"/>
      <c r="FNP124" s="178"/>
      <c r="FNQ124" s="24"/>
      <c r="FNR124" s="178"/>
      <c r="FNS124" s="24"/>
      <c r="FNT124" s="178"/>
      <c r="FNU124" s="24"/>
      <c r="FNV124" s="178"/>
      <c r="FNW124" s="24"/>
      <c r="FNX124" s="178"/>
      <c r="FNY124" s="24"/>
      <c r="FNZ124" s="178"/>
      <c r="FOA124" s="24"/>
      <c r="FOB124" s="178"/>
      <c r="FOC124" s="24"/>
      <c r="FOD124" s="178"/>
      <c r="FOE124" s="24"/>
      <c r="FOF124" s="178"/>
      <c r="FOG124" s="24"/>
      <c r="FOH124" s="178"/>
      <c r="FOI124" s="24"/>
      <c r="FOJ124" s="178"/>
      <c r="FOK124" s="24"/>
      <c r="FOL124" s="178"/>
      <c r="FOM124" s="24"/>
      <c r="FON124" s="178"/>
      <c r="FOO124" s="24"/>
      <c r="FOP124" s="178"/>
      <c r="FOQ124" s="24"/>
      <c r="FOR124" s="178"/>
      <c r="FOS124" s="24"/>
      <c r="FOT124" s="178"/>
      <c r="FOU124" s="24"/>
      <c r="FOV124" s="178"/>
      <c r="FOW124" s="24"/>
      <c r="FOX124" s="178"/>
      <c r="FOY124" s="24"/>
      <c r="FOZ124" s="178"/>
      <c r="FPA124" s="24"/>
      <c r="FPB124" s="178"/>
      <c r="FPC124" s="24"/>
      <c r="FPD124" s="178"/>
      <c r="FPE124" s="24"/>
      <c r="FPF124" s="178"/>
      <c r="FPG124" s="24"/>
      <c r="FPH124" s="178"/>
      <c r="FPI124" s="24"/>
      <c r="FPJ124" s="178"/>
      <c r="FPK124" s="24"/>
      <c r="FPL124" s="178"/>
      <c r="FPM124" s="24"/>
      <c r="FPN124" s="178"/>
      <c r="FPO124" s="24"/>
      <c r="FPP124" s="178"/>
      <c r="FPQ124" s="24"/>
      <c r="FPR124" s="178"/>
      <c r="FPS124" s="24"/>
      <c r="FPT124" s="178"/>
      <c r="FPU124" s="24"/>
      <c r="FPV124" s="178"/>
      <c r="FPW124" s="24"/>
      <c r="FPX124" s="178"/>
      <c r="FPY124" s="24"/>
      <c r="FPZ124" s="178"/>
      <c r="FQA124" s="24"/>
      <c r="FQB124" s="178"/>
      <c r="FQC124" s="24"/>
      <c r="FQD124" s="178"/>
      <c r="FQE124" s="24"/>
      <c r="FQF124" s="178"/>
      <c r="FQG124" s="24"/>
      <c r="FQH124" s="178"/>
      <c r="FQI124" s="24"/>
      <c r="FQJ124" s="178"/>
      <c r="FQK124" s="24"/>
      <c r="FQL124" s="178"/>
      <c r="FQM124" s="24"/>
      <c r="FQN124" s="178"/>
      <c r="FQO124" s="24"/>
      <c r="FQP124" s="178"/>
      <c r="FQQ124" s="24"/>
      <c r="FQR124" s="178"/>
      <c r="FQS124" s="24"/>
      <c r="FQT124" s="178"/>
      <c r="FQU124" s="24"/>
      <c r="FQV124" s="178"/>
      <c r="FQW124" s="24"/>
      <c r="FQX124" s="178"/>
      <c r="FQY124" s="24"/>
      <c r="FQZ124" s="178"/>
      <c r="FRA124" s="24"/>
      <c r="FRB124" s="178"/>
      <c r="FRC124" s="24"/>
      <c r="FRD124" s="178"/>
      <c r="FRE124" s="24"/>
      <c r="FRF124" s="178"/>
      <c r="FRG124" s="24"/>
      <c r="FRH124" s="178"/>
      <c r="FRI124" s="24"/>
      <c r="FRJ124" s="178"/>
      <c r="FRK124" s="24"/>
      <c r="FRL124" s="178"/>
      <c r="FRM124" s="24"/>
      <c r="FRN124" s="178"/>
      <c r="FRO124" s="24"/>
      <c r="FRP124" s="178"/>
      <c r="FRQ124" s="24"/>
      <c r="FRR124" s="178"/>
      <c r="FRS124" s="24"/>
      <c r="FRT124" s="178"/>
      <c r="FRU124" s="24"/>
      <c r="FRV124" s="178"/>
      <c r="FRW124" s="24"/>
      <c r="FRX124" s="178"/>
      <c r="FRY124" s="24"/>
      <c r="FRZ124" s="178"/>
      <c r="FSA124" s="24"/>
      <c r="FSB124" s="178"/>
      <c r="FSC124" s="24"/>
      <c r="FSD124" s="178"/>
      <c r="FSE124" s="24"/>
      <c r="FSF124" s="178"/>
      <c r="FSG124" s="24"/>
      <c r="FSH124" s="178"/>
      <c r="FSI124" s="24"/>
      <c r="FSJ124" s="178"/>
      <c r="FSK124" s="24"/>
      <c r="FSL124" s="178"/>
      <c r="FSM124" s="24"/>
      <c r="FSN124" s="178"/>
      <c r="FSO124" s="24"/>
      <c r="FSP124" s="178"/>
      <c r="FSQ124" s="24"/>
      <c r="FSR124" s="178"/>
      <c r="FSS124" s="24"/>
      <c r="FST124" s="178"/>
      <c r="FSU124" s="24"/>
      <c r="FSV124" s="178"/>
      <c r="FSW124" s="24"/>
      <c r="FSX124" s="178"/>
      <c r="FSY124" s="24"/>
      <c r="FSZ124" s="178"/>
      <c r="FTA124" s="24"/>
      <c r="FTB124" s="178"/>
      <c r="FTC124" s="24"/>
      <c r="FTD124" s="178"/>
      <c r="FTE124" s="24"/>
      <c r="FTF124" s="178"/>
      <c r="FTG124" s="24"/>
      <c r="FTH124" s="178"/>
      <c r="FTI124" s="24"/>
      <c r="FTJ124" s="178"/>
      <c r="FTK124" s="24"/>
      <c r="FTL124" s="178"/>
      <c r="FTM124" s="24"/>
      <c r="FTN124" s="178"/>
      <c r="FTO124" s="24"/>
      <c r="FTP124" s="178"/>
      <c r="FTQ124" s="24"/>
      <c r="FTR124" s="178"/>
      <c r="FTS124" s="24"/>
      <c r="FTT124" s="178"/>
      <c r="FTU124" s="24"/>
      <c r="FTV124" s="178"/>
      <c r="FTW124" s="24"/>
      <c r="FTX124" s="178"/>
      <c r="FTY124" s="24"/>
      <c r="FTZ124" s="178"/>
      <c r="FUA124" s="24"/>
      <c r="FUB124" s="178"/>
      <c r="FUC124" s="24"/>
      <c r="FUD124" s="178"/>
      <c r="FUE124" s="24"/>
      <c r="FUF124" s="178"/>
      <c r="FUG124" s="24"/>
      <c r="FUH124" s="178"/>
      <c r="FUI124" s="24"/>
      <c r="FUJ124" s="178"/>
      <c r="FUK124" s="24"/>
      <c r="FUL124" s="178"/>
      <c r="FUM124" s="24"/>
      <c r="FUN124" s="178"/>
      <c r="FUO124" s="24"/>
      <c r="FUP124" s="178"/>
      <c r="FUQ124" s="24"/>
      <c r="FUR124" s="178"/>
      <c r="FUS124" s="24"/>
      <c r="FUT124" s="178"/>
      <c r="FUU124" s="24"/>
      <c r="FUV124" s="178"/>
      <c r="FUW124" s="24"/>
      <c r="FUX124" s="178"/>
      <c r="FUY124" s="24"/>
      <c r="FUZ124" s="178"/>
      <c r="FVA124" s="24"/>
      <c r="FVB124" s="178"/>
      <c r="FVC124" s="24"/>
      <c r="FVD124" s="178"/>
      <c r="FVE124" s="24"/>
      <c r="FVF124" s="178"/>
      <c r="FVG124" s="24"/>
      <c r="FVH124" s="178"/>
      <c r="FVI124" s="24"/>
      <c r="FVJ124" s="178"/>
      <c r="FVK124" s="24"/>
      <c r="FVL124" s="178"/>
      <c r="FVM124" s="24"/>
      <c r="FVN124" s="178"/>
      <c r="FVO124" s="24"/>
      <c r="FVP124" s="178"/>
      <c r="FVQ124" s="24"/>
      <c r="FVR124" s="178"/>
      <c r="FVS124" s="24"/>
      <c r="FVT124" s="178"/>
      <c r="FVU124" s="24"/>
      <c r="FVV124" s="178"/>
      <c r="FVW124" s="24"/>
      <c r="FVX124" s="178"/>
      <c r="FVY124" s="24"/>
      <c r="FVZ124" s="178"/>
      <c r="FWA124" s="24"/>
      <c r="FWB124" s="178"/>
      <c r="FWC124" s="24"/>
      <c r="FWD124" s="178"/>
      <c r="FWE124" s="24"/>
      <c r="FWF124" s="178"/>
      <c r="FWG124" s="24"/>
      <c r="FWH124" s="178"/>
      <c r="FWI124" s="24"/>
      <c r="FWJ124" s="178"/>
      <c r="FWK124" s="24"/>
      <c r="FWL124" s="178"/>
      <c r="FWM124" s="24"/>
      <c r="FWN124" s="178"/>
      <c r="FWO124" s="24"/>
      <c r="FWP124" s="178"/>
      <c r="FWQ124" s="24"/>
      <c r="FWR124" s="178"/>
      <c r="FWS124" s="24"/>
      <c r="FWT124" s="178"/>
      <c r="FWU124" s="24"/>
      <c r="FWV124" s="178"/>
      <c r="FWW124" s="24"/>
      <c r="FWX124" s="178"/>
      <c r="FWY124" s="24"/>
      <c r="FWZ124" s="178"/>
      <c r="FXA124" s="24"/>
      <c r="FXB124" s="178"/>
      <c r="FXC124" s="24"/>
      <c r="FXD124" s="178"/>
      <c r="FXE124" s="24"/>
      <c r="FXF124" s="178"/>
      <c r="FXG124" s="24"/>
      <c r="FXH124" s="178"/>
      <c r="FXI124" s="24"/>
      <c r="FXJ124" s="178"/>
      <c r="FXK124" s="24"/>
      <c r="FXL124" s="178"/>
      <c r="FXM124" s="24"/>
      <c r="FXN124" s="178"/>
      <c r="FXO124" s="24"/>
      <c r="FXP124" s="178"/>
      <c r="FXQ124" s="24"/>
      <c r="FXR124" s="178"/>
      <c r="FXS124" s="24"/>
      <c r="FXT124" s="178"/>
      <c r="FXU124" s="24"/>
      <c r="FXV124" s="178"/>
      <c r="FXW124" s="24"/>
      <c r="FXX124" s="178"/>
      <c r="FXY124" s="24"/>
      <c r="FXZ124" s="178"/>
      <c r="FYA124" s="24"/>
      <c r="FYB124" s="178"/>
      <c r="FYC124" s="24"/>
      <c r="FYD124" s="178"/>
      <c r="FYE124" s="24"/>
      <c r="FYF124" s="178"/>
      <c r="FYG124" s="24"/>
      <c r="FYH124" s="178"/>
      <c r="FYI124" s="24"/>
      <c r="FYJ124" s="178"/>
      <c r="FYK124" s="24"/>
      <c r="FYL124" s="178"/>
      <c r="FYM124" s="24"/>
      <c r="FYN124" s="178"/>
      <c r="FYO124" s="24"/>
      <c r="FYP124" s="178"/>
      <c r="FYQ124" s="24"/>
      <c r="FYR124" s="178"/>
      <c r="FYS124" s="24"/>
      <c r="FYT124" s="178"/>
      <c r="FYU124" s="24"/>
      <c r="FYV124" s="178"/>
      <c r="FYW124" s="24"/>
      <c r="FYX124" s="178"/>
      <c r="FYY124" s="24"/>
      <c r="FYZ124" s="178"/>
      <c r="FZA124" s="24"/>
      <c r="FZB124" s="178"/>
      <c r="FZC124" s="24"/>
      <c r="FZD124" s="178"/>
      <c r="FZE124" s="24"/>
      <c r="FZF124" s="178"/>
      <c r="FZG124" s="24"/>
      <c r="FZH124" s="178"/>
      <c r="FZI124" s="24"/>
      <c r="FZJ124" s="178"/>
      <c r="FZK124" s="24"/>
      <c r="FZL124" s="178"/>
      <c r="FZM124" s="24"/>
      <c r="FZN124" s="178"/>
      <c r="FZO124" s="24"/>
      <c r="FZP124" s="178"/>
      <c r="FZQ124" s="24"/>
      <c r="FZR124" s="178"/>
      <c r="FZS124" s="24"/>
      <c r="FZT124" s="178"/>
      <c r="FZU124" s="24"/>
      <c r="FZV124" s="178"/>
      <c r="FZW124" s="24"/>
      <c r="FZX124" s="178"/>
      <c r="FZY124" s="24"/>
      <c r="FZZ124" s="178"/>
      <c r="GAA124" s="24"/>
      <c r="GAB124" s="178"/>
      <c r="GAC124" s="24"/>
      <c r="GAD124" s="178"/>
      <c r="GAE124" s="24"/>
      <c r="GAF124" s="178"/>
      <c r="GAG124" s="24"/>
      <c r="GAH124" s="178"/>
      <c r="GAI124" s="24"/>
      <c r="GAJ124" s="178"/>
      <c r="GAK124" s="24"/>
      <c r="GAL124" s="178"/>
      <c r="GAM124" s="24"/>
      <c r="GAN124" s="178"/>
      <c r="GAO124" s="24"/>
      <c r="GAP124" s="178"/>
      <c r="GAQ124" s="24"/>
      <c r="GAR124" s="178"/>
      <c r="GAS124" s="24"/>
      <c r="GAT124" s="178"/>
      <c r="GAU124" s="24"/>
      <c r="GAV124" s="178"/>
      <c r="GAW124" s="24"/>
      <c r="GAX124" s="178"/>
      <c r="GAY124" s="24"/>
      <c r="GAZ124" s="178"/>
      <c r="GBA124" s="24"/>
      <c r="GBB124" s="178"/>
      <c r="GBC124" s="24"/>
      <c r="GBD124" s="178"/>
      <c r="GBE124" s="24"/>
      <c r="GBF124" s="178"/>
      <c r="GBG124" s="24"/>
      <c r="GBH124" s="178"/>
      <c r="GBI124" s="24"/>
      <c r="GBJ124" s="178"/>
      <c r="GBK124" s="24"/>
      <c r="GBL124" s="178"/>
      <c r="GBM124" s="24"/>
      <c r="GBN124" s="178"/>
      <c r="GBO124" s="24"/>
      <c r="GBP124" s="178"/>
      <c r="GBQ124" s="24"/>
      <c r="GBR124" s="178"/>
      <c r="GBS124" s="24"/>
      <c r="GBT124" s="178"/>
      <c r="GBU124" s="24"/>
      <c r="GBV124" s="178"/>
      <c r="GBW124" s="24"/>
      <c r="GBX124" s="178"/>
      <c r="GBY124" s="24"/>
      <c r="GBZ124" s="178"/>
      <c r="GCA124" s="24"/>
      <c r="GCB124" s="178"/>
      <c r="GCC124" s="24"/>
      <c r="GCD124" s="178"/>
      <c r="GCE124" s="24"/>
      <c r="GCF124" s="178"/>
      <c r="GCG124" s="24"/>
      <c r="GCH124" s="178"/>
      <c r="GCI124" s="24"/>
      <c r="GCJ124" s="178"/>
      <c r="GCK124" s="24"/>
      <c r="GCL124" s="178"/>
      <c r="GCM124" s="24"/>
      <c r="GCN124" s="178"/>
      <c r="GCO124" s="24"/>
      <c r="GCP124" s="178"/>
      <c r="GCQ124" s="24"/>
      <c r="GCR124" s="178"/>
      <c r="GCS124" s="24"/>
      <c r="GCT124" s="178"/>
      <c r="GCU124" s="24"/>
      <c r="GCV124" s="178"/>
      <c r="GCW124" s="24"/>
      <c r="GCX124" s="178"/>
      <c r="GCY124" s="24"/>
      <c r="GCZ124" s="178"/>
      <c r="GDA124" s="24"/>
      <c r="GDB124" s="178"/>
      <c r="GDC124" s="24"/>
      <c r="GDD124" s="178"/>
      <c r="GDE124" s="24"/>
      <c r="GDF124" s="178"/>
      <c r="GDG124" s="24"/>
      <c r="GDH124" s="178"/>
      <c r="GDI124" s="24"/>
      <c r="GDJ124" s="178"/>
      <c r="GDK124" s="24"/>
      <c r="GDL124" s="178"/>
      <c r="GDM124" s="24"/>
      <c r="GDN124" s="178"/>
      <c r="GDO124" s="24"/>
      <c r="GDP124" s="178"/>
      <c r="GDQ124" s="24"/>
      <c r="GDR124" s="178"/>
      <c r="GDS124" s="24"/>
      <c r="GDT124" s="178"/>
      <c r="GDU124" s="24"/>
      <c r="GDV124" s="178"/>
      <c r="GDW124" s="24"/>
      <c r="GDX124" s="178"/>
      <c r="GDY124" s="24"/>
      <c r="GDZ124" s="178"/>
      <c r="GEA124" s="24"/>
      <c r="GEB124" s="178"/>
      <c r="GEC124" s="24"/>
      <c r="GED124" s="178"/>
      <c r="GEE124" s="24"/>
      <c r="GEF124" s="178"/>
      <c r="GEG124" s="24"/>
      <c r="GEH124" s="178"/>
      <c r="GEI124" s="24"/>
      <c r="GEJ124" s="178"/>
      <c r="GEK124" s="24"/>
      <c r="GEL124" s="178"/>
      <c r="GEM124" s="24"/>
      <c r="GEN124" s="178"/>
      <c r="GEO124" s="24"/>
      <c r="GEP124" s="178"/>
      <c r="GEQ124" s="24"/>
      <c r="GER124" s="178"/>
      <c r="GES124" s="24"/>
      <c r="GET124" s="178"/>
      <c r="GEU124" s="24"/>
      <c r="GEV124" s="178"/>
      <c r="GEW124" s="24"/>
      <c r="GEX124" s="178"/>
      <c r="GEY124" s="24"/>
      <c r="GEZ124" s="178"/>
      <c r="GFA124" s="24"/>
      <c r="GFB124" s="178"/>
      <c r="GFC124" s="24"/>
      <c r="GFD124" s="178"/>
      <c r="GFE124" s="24"/>
      <c r="GFF124" s="178"/>
      <c r="GFG124" s="24"/>
      <c r="GFH124" s="178"/>
      <c r="GFI124" s="24"/>
      <c r="GFJ124" s="178"/>
      <c r="GFK124" s="24"/>
      <c r="GFL124" s="178"/>
      <c r="GFM124" s="24"/>
      <c r="GFN124" s="178"/>
      <c r="GFO124" s="24"/>
      <c r="GFP124" s="178"/>
      <c r="GFQ124" s="24"/>
      <c r="GFR124" s="178"/>
      <c r="GFS124" s="24"/>
      <c r="GFT124" s="178"/>
      <c r="GFU124" s="24"/>
      <c r="GFV124" s="178"/>
      <c r="GFW124" s="24"/>
      <c r="GFX124" s="178"/>
      <c r="GFY124" s="24"/>
      <c r="GFZ124" s="178"/>
      <c r="GGA124" s="24"/>
      <c r="GGB124" s="178"/>
      <c r="GGC124" s="24"/>
      <c r="GGD124" s="178"/>
      <c r="GGE124" s="24"/>
      <c r="GGF124" s="178"/>
      <c r="GGG124" s="24"/>
      <c r="GGH124" s="178"/>
      <c r="GGI124" s="24"/>
      <c r="GGJ124" s="178"/>
      <c r="GGK124" s="24"/>
      <c r="GGL124" s="178"/>
      <c r="GGM124" s="24"/>
      <c r="GGN124" s="178"/>
      <c r="GGO124" s="24"/>
      <c r="GGP124" s="178"/>
      <c r="GGQ124" s="24"/>
      <c r="GGR124" s="178"/>
      <c r="GGS124" s="24"/>
      <c r="GGT124" s="178"/>
      <c r="GGU124" s="24"/>
      <c r="GGV124" s="178"/>
      <c r="GGW124" s="24"/>
      <c r="GGX124" s="178"/>
      <c r="GGY124" s="24"/>
      <c r="GGZ124" s="178"/>
      <c r="GHA124" s="24"/>
      <c r="GHB124" s="178"/>
      <c r="GHC124" s="24"/>
      <c r="GHD124" s="178"/>
      <c r="GHE124" s="24"/>
      <c r="GHF124" s="178"/>
      <c r="GHG124" s="24"/>
      <c r="GHH124" s="178"/>
      <c r="GHI124" s="24"/>
      <c r="GHJ124" s="178"/>
      <c r="GHK124" s="24"/>
      <c r="GHL124" s="178"/>
      <c r="GHM124" s="24"/>
      <c r="GHN124" s="178"/>
      <c r="GHO124" s="24"/>
      <c r="GHP124" s="178"/>
      <c r="GHQ124" s="24"/>
      <c r="GHR124" s="178"/>
      <c r="GHS124" s="24"/>
      <c r="GHT124" s="178"/>
      <c r="GHU124" s="24"/>
      <c r="GHV124" s="178"/>
      <c r="GHW124" s="24"/>
      <c r="GHX124" s="178"/>
      <c r="GHY124" s="24"/>
      <c r="GHZ124" s="178"/>
      <c r="GIA124" s="24"/>
      <c r="GIB124" s="178"/>
      <c r="GIC124" s="24"/>
      <c r="GID124" s="178"/>
      <c r="GIE124" s="24"/>
      <c r="GIF124" s="178"/>
      <c r="GIG124" s="24"/>
      <c r="GIH124" s="178"/>
      <c r="GII124" s="24"/>
      <c r="GIJ124" s="178"/>
      <c r="GIK124" s="24"/>
      <c r="GIL124" s="178"/>
      <c r="GIM124" s="24"/>
      <c r="GIN124" s="178"/>
      <c r="GIO124" s="24"/>
      <c r="GIP124" s="178"/>
      <c r="GIQ124" s="24"/>
      <c r="GIR124" s="178"/>
      <c r="GIS124" s="24"/>
      <c r="GIT124" s="178"/>
      <c r="GIU124" s="24"/>
      <c r="GIV124" s="178"/>
      <c r="GIW124" s="24"/>
      <c r="GIX124" s="178"/>
      <c r="GIY124" s="24"/>
      <c r="GIZ124" s="178"/>
      <c r="GJA124" s="24"/>
      <c r="GJB124" s="178"/>
      <c r="GJC124" s="24"/>
      <c r="GJD124" s="178"/>
      <c r="GJE124" s="24"/>
      <c r="GJF124" s="178"/>
      <c r="GJG124" s="24"/>
      <c r="GJH124" s="178"/>
      <c r="GJI124" s="24"/>
      <c r="GJJ124" s="178"/>
      <c r="GJK124" s="24"/>
      <c r="GJL124" s="178"/>
      <c r="GJM124" s="24"/>
      <c r="GJN124" s="178"/>
      <c r="GJO124" s="24"/>
      <c r="GJP124" s="178"/>
      <c r="GJQ124" s="24"/>
      <c r="GJR124" s="178"/>
      <c r="GJS124" s="24"/>
      <c r="GJT124" s="178"/>
      <c r="GJU124" s="24"/>
      <c r="GJV124" s="178"/>
      <c r="GJW124" s="24"/>
      <c r="GJX124" s="178"/>
      <c r="GJY124" s="24"/>
      <c r="GJZ124" s="178"/>
      <c r="GKA124" s="24"/>
      <c r="GKB124" s="178"/>
      <c r="GKC124" s="24"/>
      <c r="GKD124" s="178"/>
      <c r="GKE124" s="24"/>
      <c r="GKF124" s="178"/>
      <c r="GKG124" s="24"/>
      <c r="GKH124" s="178"/>
      <c r="GKI124" s="24"/>
      <c r="GKJ124" s="178"/>
      <c r="GKK124" s="24"/>
      <c r="GKL124" s="178"/>
      <c r="GKM124" s="24"/>
      <c r="GKN124" s="178"/>
      <c r="GKO124" s="24"/>
      <c r="GKP124" s="178"/>
      <c r="GKQ124" s="24"/>
      <c r="GKR124" s="178"/>
      <c r="GKS124" s="24"/>
      <c r="GKT124" s="178"/>
      <c r="GKU124" s="24"/>
      <c r="GKV124" s="178"/>
      <c r="GKW124" s="24"/>
      <c r="GKX124" s="178"/>
      <c r="GKY124" s="24"/>
      <c r="GKZ124" s="178"/>
      <c r="GLA124" s="24"/>
      <c r="GLB124" s="178"/>
      <c r="GLC124" s="24"/>
      <c r="GLD124" s="178"/>
      <c r="GLE124" s="24"/>
      <c r="GLF124" s="178"/>
      <c r="GLG124" s="24"/>
      <c r="GLH124" s="178"/>
      <c r="GLI124" s="24"/>
      <c r="GLJ124" s="178"/>
      <c r="GLK124" s="24"/>
      <c r="GLL124" s="178"/>
      <c r="GLM124" s="24"/>
      <c r="GLN124" s="178"/>
      <c r="GLO124" s="24"/>
      <c r="GLP124" s="178"/>
      <c r="GLQ124" s="24"/>
      <c r="GLR124" s="178"/>
      <c r="GLS124" s="24"/>
      <c r="GLT124" s="178"/>
      <c r="GLU124" s="24"/>
      <c r="GLV124" s="178"/>
      <c r="GLW124" s="24"/>
      <c r="GLX124" s="178"/>
      <c r="GLY124" s="24"/>
      <c r="GLZ124" s="178"/>
      <c r="GMA124" s="24"/>
      <c r="GMB124" s="178"/>
      <c r="GMC124" s="24"/>
      <c r="GMD124" s="178"/>
      <c r="GME124" s="24"/>
      <c r="GMF124" s="178"/>
      <c r="GMG124" s="24"/>
      <c r="GMH124" s="178"/>
      <c r="GMI124" s="24"/>
      <c r="GMJ124" s="178"/>
      <c r="GMK124" s="24"/>
      <c r="GML124" s="178"/>
      <c r="GMM124" s="24"/>
      <c r="GMN124" s="178"/>
      <c r="GMO124" s="24"/>
      <c r="GMP124" s="178"/>
      <c r="GMQ124" s="24"/>
      <c r="GMR124" s="178"/>
      <c r="GMS124" s="24"/>
      <c r="GMT124" s="178"/>
      <c r="GMU124" s="24"/>
      <c r="GMV124" s="178"/>
      <c r="GMW124" s="24"/>
      <c r="GMX124" s="178"/>
      <c r="GMY124" s="24"/>
      <c r="GMZ124" s="178"/>
      <c r="GNA124" s="24"/>
      <c r="GNB124" s="178"/>
      <c r="GNC124" s="24"/>
      <c r="GND124" s="178"/>
      <c r="GNE124" s="24"/>
      <c r="GNF124" s="178"/>
      <c r="GNG124" s="24"/>
      <c r="GNH124" s="178"/>
      <c r="GNI124" s="24"/>
      <c r="GNJ124" s="178"/>
      <c r="GNK124" s="24"/>
      <c r="GNL124" s="178"/>
      <c r="GNM124" s="24"/>
      <c r="GNN124" s="178"/>
      <c r="GNO124" s="24"/>
      <c r="GNP124" s="178"/>
      <c r="GNQ124" s="24"/>
      <c r="GNR124" s="178"/>
      <c r="GNS124" s="24"/>
      <c r="GNT124" s="178"/>
      <c r="GNU124" s="24"/>
      <c r="GNV124" s="178"/>
      <c r="GNW124" s="24"/>
      <c r="GNX124" s="178"/>
      <c r="GNY124" s="24"/>
      <c r="GNZ124" s="178"/>
      <c r="GOA124" s="24"/>
      <c r="GOB124" s="178"/>
      <c r="GOC124" s="24"/>
      <c r="GOD124" s="178"/>
      <c r="GOE124" s="24"/>
      <c r="GOF124" s="178"/>
      <c r="GOG124" s="24"/>
      <c r="GOH124" s="178"/>
      <c r="GOI124" s="24"/>
      <c r="GOJ124" s="178"/>
      <c r="GOK124" s="24"/>
      <c r="GOL124" s="178"/>
      <c r="GOM124" s="24"/>
      <c r="GON124" s="178"/>
      <c r="GOO124" s="24"/>
      <c r="GOP124" s="178"/>
      <c r="GOQ124" s="24"/>
      <c r="GOR124" s="178"/>
      <c r="GOS124" s="24"/>
      <c r="GOT124" s="178"/>
      <c r="GOU124" s="24"/>
      <c r="GOV124" s="178"/>
      <c r="GOW124" s="24"/>
      <c r="GOX124" s="178"/>
      <c r="GOY124" s="24"/>
      <c r="GOZ124" s="178"/>
      <c r="GPA124" s="24"/>
      <c r="GPB124" s="178"/>
      <c r="GPC124" s="24"/>
      <c r="GPD124" s="178"/>
      <c r="GPE124" s="24"/>
      <c r="GPF124" s="178"/>
      <c r="GPG124" s="24"/>
      <c r="GPH124" s="178"/>
      <c r="GPI124" s="24"/>
      <c r="GPJ124" s="178"/>
      <c r="GPK124" s="24"/>
      <c r="GPL124" s="178"/>
      <c r="GPM124" s="24"/>
      <c r="GPN124" s="178"/>
      <c r="GPO124" s="24"/>
      <c r="GPP124" s="178"/>
      <c r="GPQ124" s="24"/>
      <c r="GPR124" s="178"/>
      <c r="GPS124" s="24"/>
      <c r="GPT124" s="178"/>
      <c r="GPU124" s="24"/>
      <c r="GPV124" s="178"/>
      <c r="GPW124" s="24"/>
      <c r="GPX124" s="178"/>
      <c r="GPY124" s="24"/>
      <c r="GPZ124" s="178"/>
      <c r="GQA124" s="24"/>
      <c r="GQB124" s="178"/>
      <c r="GQC124" s="24"/>
      <c r="GQD124" s="178"/>
      <c r="GQE124" s="24"/>
      <c r="GQF124" s="178"/>
      <c r="GQG124" s="24"/>
      <c r="GQH124" s="178"/>
      <c r="GQI124" s="24"/>
      <c r="GQJ124" s="178"/>
      <c r="GQK124" s="24"/>
      <c r="GQL124" s="178"/>
      <c r="GQM124" s="24"/>
      <c r="GQN124" s="178"/>
      <c r="GQO124" s="24"/>
      <c r="GQP124" s="178"/>
      <c r="GQQ124" s="24"/>
      <c r="GQR124" s="178"/>
      <c r="GQS124" s="24"/>
      <c r="GQT124" s="178"/>
      <c r="GQU124" s="24"/>
      <c r="GQV124" s="178"/>
      <c r="GQW124" s="24"/>
      <c r="GQX124" s="178"/>
      <c r="GQY124" s="24"/>
      <c r="GQZ124" s="178"/>
      <c r="GRA124" s="24"/>
      <c r="GRB124" s="178"/>
      <c r="GRC124" s="24"/>
      <c r="GRD124" s="178"/>
      <c r="GRE124" s="24"/>
      <c r="GRF124" s="178"/>
      <c r="GRG124" s="24"/>
      <c r="GRH124" s="178"/>
      <c r="GRI124" s="24"/>
      <c r="GRJ124" s="178"/>
      <c r="GRK124" s="24"/>
      <c r="GRL124" s="178"/>
      <c r="GRM124" s="24"/>
      <c r="GRN124" s="178"/>
      <c r="GRO124" s="24"/>
      <c r="GRP124" s="178"/>
      <c r="GRQ124" s="24"/>
      <c r="GRR124" s="178"/>
      <c r="GRS124" s="24"/>
      <c r="GRT124" s="178"/>
      <c r="GRU124" s="24"/>
      <c r="GRV124" s="178"/>
      <c r="GRW124" s="24"/>
      <c r="GRX124" s="178"/>
      <c r="GRY124" s="24"/>
      <c r="GRZ124" s="178"/>
      <c r="GSA124" s="24"/>
      <c r="GSB124" s="178"/>
      <c r="GSC124" s="24"/>
      <c r="GSD124" s="178"/>
      <c r="GSE124" s="24"/>
      <c r="GSF124" s="178"/>
      <c r="GSG124" s="24"/>
      <c r="GSH124" s="178"/>
      <c r="GSI124" s="24"/>
      <c r="GSJ124" s="178"/>
      <c r="GSK124" s="24"/>
      <c r="GSL124" s="178"/>
      <c r="GSM124" s="24"/>
      <c r="GSN124" s="178"/>
      <c r="GSO124" s="24"/>
      <c r="GSP124" s="178"/>
      <c r="GSQ124" s="24"/>
      <c r="GSR124" s="178"/>
      <c r="GSS124" s="24"/>
      <c r="GST124" s="178"/>
      <c r="GSU124" s="24"/>
      <c r="GSV124" s="178"/>
      <c r="GSW124" s="24"/>
      <c r="GSX124" s="178"/>
      <c r="GSY124" s="24"/>
      <c r="GSZ124" s="178"/>
      <c r="GTA124" s="24"/>
      <c r="GTB124" s="178"/>
      <c r="GTC124" s="24"/>
      <c r="GTD124" s="178"/>
      <c r="GTE124" s="24"/>
      <c r="GTF124" s="178"/>
      <c r="GTG124" s="24"/>
      <c r="GTH124" s="178"/>
      <c r="GTI124" s="24"/>
      <c r="GTJ124" s="178"/>
      <c r="GTK124" s="24"/>
      <c r="GTL124" s="178"/>
      <c r="GTM124" s="24"/>
      <c r="GTN124" s="178"/>
      <c r="GTO124" s="24"/>
      <c r="GTP124" s="178"/>
      <c r="GTQ124" s="24"/>
      <c r="GTR124" s="178"/>
      <c r="GTS124" s="24"/>
      <c r="GTT124" s="178"/>
      <c r="GTU124" s="24"/>
      <c r="GTV124" s="178"/>
      <c r="GTW124" s="24"/>
      <c r="GTX124" s="178"/>
      <c r="GTY124" s="24"/>
      <c r="GTZ124" s="178"/>
      <c r="GUA124" s="24"/>
      <c r="GUB124" s="178"/>
      <c r="GUC124" s="24"/>
      <c r="GUD124" s="178"/>
      <c r="GUE124" s="24"/>
      <c r="GUF124" s="178"/>
      <c r="GUG124" s="24"/>
      <c r="GUH124" s="178"/>
      <c r="GUI124" s="24"/>
      <c r="GUJ124" s="178"/>
      <c r="GUK124" s="24"/>
      <c r="GUL124" s="178"/>
      <c r="GUM124" s="24"/>
      <c r="GUN124" s="178"/>
      <c r="GUO124" s="24"/>
      <c r="GUP124" s="178"/>
      <c r="GUQ124" s="24"/>
      <c r="GUR124" s="178"/>
      <c r="GUS124" s="24"/>
      <c r="GUT124" s="178"/>
      <c r="GUU124" s="24"/>
      <c r="GUV124" s="178"/>
      <c r="GUW124" s="24"/>
      <c r="GUX124" s="178"/>
      <c r="GUY124" s="24"/>
      <c r="GUZ124" s="178"/>
      <c r="GVA124" s="24"/>
      <c r="GVB124" s="178"/>
      <c r="GVC124" s="24"/>
      <c r="GVD124" s="178"/>
      <c r="GVE124" s="24"/>
      <c r="GVF124" s="178"/>
      <c r="GVG124" s="24"/>
      <c r="GVH124" s="178"/>
      <c r="GVI124" s="24"/>
      <c r="GVJ124" s="178"/>
      <c r="GVK124" s="24"/>
      <c r="GVL124" s="178"/>
      <c r="GVM124" s="24"/>
      <c r="GVN124" s="178"/>
      <c r="GVO124" s="24"/>
      <c r="GVP124" s="178"/>
      <c r="GVQ124" s="24"/>
      <c r="GVR124" s="178"/>
      <c r="GVS124" s="24"/>
      <c r="GVT124" s="178"/>
      <c r="GVU124" s="24"/>
      <c r="GVV124" s="178"/>
      <c r="GVW124" s="24"/>
      <c r="GVX124" s="178"/>
      <c r="GVY124" s="24"/>
      <c r="GVZ124" s="178"/>
      <c r="GWA124" s="24"/>
      <c r="GWB124" s="178"/>
      <c r="GWC124" s="24"/>
      <c r="GWD124" s="178"/>
      <c r="GWE124" s="24"/>
      <c r="GWF124" s="178"/>
      <c r="GWG124" s="24"/>
      <c r="GWH124" s="178"/>
      <c r="GWI124" s="24"/>
      <c r="GWJ124" s="178"/>
      <c r="GWK124" s="24"/>
      <c r="GWL124" s="178"/>
      <c r="GWM124" s="24"/>
      <c r="GWN124" s="178"/>
      <c r="GWO124" s="24"/>
      <c r="GWP124" s="178"/>
      <c r="GWQ124" s="24"/>
      <c r="GWR124" s="178"/>
      <c r="GWS124" s="24"/>
      <c r="GWT124" s="178"/>
      <c r="GWU124" s="24"/>
      <c r="GWV124" s="178"/>
      <c r="GWW124" s="24"/>
      <c r="GWX124" s="178"/>
      <c r="GWY124" s="24"/>
      <c r="GWZ124" s="178"/>
      <c r="GXA124" s="24"/>
      <c r="GXB124" s="178"/>
      <c r="GXC124" s="24"/>
      <c r="GXD124" s="178"/>
      <c r="GXE124" s="24"/>
      <c r="GXF124" s="178"/>
      <c r="GXG124" s="24"/>
      <c r="GXH124" s="178"/>
      <c r="GXI124" s="24"/>
      <c r="GXJ124" s="178"/>
      <c r="GXK124" s="24"/>
      <c r="GXL124" s="178"/>
      <c r="GXM124" s="24"/>
      <c r="GXN124" s="178"/>
      <c r="GXO124" s="24"/>
      <c r="GXP124" s="178"/>
      <c r="GXQ124" s="24"/>
      <c r="GXR124" s="178"/>
      <c r="GXS124" s="24"/>
      <c r="GXT124" s="178"/>
      <c r="GXU124" s="24"/>
      <c r="GXV124" s="178"/>
      <c r="GXW124" s="24"/>
      <c r="GXX124" s="178"/>
      <c r="GXY124" s="24"/>
      <c r="GXZ124" s="178"/>
      <c r="GYA124" s="24"/>
      <c r="GYB124" s="178"/>
      <c r="GYC124" s="24"/>
      <c r="GYD124" s="178"/>
      <c r="GYE124" s="24"/>
      <c r="GYF124" s="178"/>
      <c r="GYG124" s="24"/>
      <c r="GYH124" s="178"/>
      <c r="GYI124" s="24"/>
      <c r="GYJ124" s="178"/>
      <c r="GYK124" s="24"/>
      <c r="GYL124" s="178"/>
      <c r="GYM124" s="24"/>
      <c r="GYN124" s="178"/>
      <c r="GYO124" s="24"/>
      <c r="GYP124" s="178"/>
      <c r="GYQ124" s="24"/>
      <c r="GYR124" s="178"/>
      <c r="GYS124" s="24"/>
      <c r="GYT124" s="178"/>
      <c r="GYU124" s="24"/>
      <c r="GYV124" s="178"/>
      <c r="GYW124" s="24"/>
      <c r="GYX124" s="178"/>
      <c r="GYY124" s="24"/>
      <c r="GYZ124" s="178"/>
      <c r="GZA124" s="24"/>
      <c r="GZB124" s="178"/>
      <c r="GZC124" s="24"/>
      <c r="GZD124" s="178"/>
      <c r="GZE124" s="24"/>
      <c r="GZF124" s="178"/>
      <c r="GZG124" s="24"/>
      <c r="GZH124" s="178"/>
      <c r="GZI124" s="24"/>
      <c r="GZJ124" s="178"/>
      <c r="GZK124" s="24"/>
      <c r="GZL124" s="178"/>
      <c r="GZM124" s="24"/>
      <c r="GZN124" s="178"/>
      <c r="GZO124" s="24"/>
      <c r="GZP124" s="178"/>
      <c r="GZQ124" s="24"/>
      <c r="GZR124" s="178"/>
      <c r="GZS124" s="24"/>
      <c r="GZT124" s="178"/>
      <c r="GZU124" s="24"/>
      <c r="GZV124" s="178"/>
      <c r="GZW124" s="24"/>
      <c r="GZX124" s="178"/>
      <c r="GZY124" s="24"/>
      <c r="GZZ124" s="178"/>
      <c r="HAA124" s="24"/>
      <c r="HAB124" s="178"/>
      <c r="HAC124" s="24"/>
      <c r="HAD124" s="178"/>
      <c r="HAE124" s="24"/>
      <c r="HAF124" s="178"/>
      <c r="HAG124" s="24"/>
      <c r="HAH124" s="178"/>
      <c r="HAI124" s="24"/>
      <c r="HAJ124" s="178"/>
      <c r="HAK124" s="24"/>
      <c r="HAL124" s="178"/>
      <c r="HAM124" s="24"/>
      <c r="HAN124" s="178"/>
      <c r="HAO124" s="24"/>
      <c r="HAP124" s="178"/>
      <c r="HAQ124" s="24"/>
      <c r="HAR124" s="178"/>
      <c r="HAS124" s="24"/>
      <c r="HAT124" s="178"/>
      <c r="HAU124" s="24"/>
      <c r="HAV124" s="178"/>
      <c r="HAW124" s="24"/>
      <c r="HAX124" s="178"/>
      <c r="HAY124" s="24"/>
      <c r="HAZ124" s="178"/>
      <c r="HBA124" s="24"/>
      <c r="HBB124" s="178"/>
      <c r="HBC124" s="24"/>
      <c r="HBD124" s="178"/>
      <c r="HBE124" s="24"/>
      <c r="HBF124" s="178"/>
      <c r="HBG124" s="24"/>
      <c r="HBH124" s="178"/>
      <c r="HBI124" s="24"/>
      <c r="HBJ124" s="178"/>
      <c r="HBK124" s="24"/>
      <c r="HBL124" s="178"/>
      <c r="HBM124" s="24"/>
      <c r="HBN124" s="178"/>
      <c r="HBO124" s="24"/>
      <c r="HBP124" s="178"/>
      <c r="HBQ124" s="24"/>
      <c r="HBR124" s="178"/>
      <c r="HBS124" s="24"/>
      <c r="HBT124" s="178"/>
      <c r="HBU124" s="24"/>
      <c r="HBV124" s="178"/>
      <c r="HBW124" s="24"/>
      <c r="HBX124" s="178"/>
      <c r="HBY124" s="24"/>
      <c r="HBZ124" s="178"/>
      <c r="HCA124" s="24"/>
      <c r="HCB124" s="178"/>
      <c r="HCC124" s="24"/>
      <c r="HCD124" s="178"/>
      <c r="HCE124" s="24"/>
      <c r="HCF124" s="178"/>
      <c r="HCG124" s="24"/>
      <c r="HCH124" s="178"/>
      <c r="HCI124" s="24"/>
      <c r="HCJ124" s="178"/>
      <c r="HCK124" s="24"/>
      <c r="HCL124" s="178"/>
      <c r="HCM124" s="24"/>
      <c r="HCN124" s="178"/>
      <c r="HCO124" s="24"/>
      <c r="HCP124" s="178"/>
      <c r="HCQ124" s="24"/>
      <c r="HCR124" s="178"/>
      <c r="HCS124" s="24"/>
      <c r="HCT124" s="178"/>
      <c r="HCU124" s="24"/>
      <c r="HCV124" s="178"/>
      <c r="HCW124" s="24"/>
      <c r="HCX124" s="178"/>
      <c r="HCY124" s="24"/>
      <c r="HCZ124" s="178"/>
      <c r="HDA124" s="24"/>
      <c r="HDB124" s="178"/>
      <c r="HDC124" s="24"/>
      <c r="HDD124" s="178"/>
      <c r="HDE124" s="24"/>
      <c r="HDF124" s="178"/>
      <c r="HDG124" s="24"/>
      <c r="HDH124" s="178"/>
      <c r="HDI124" s="24"/>
      <c r="HDJ124" s="178"/>
      <c r="HDK124" s="24"/>
      <c r="HDL124" s="178"/>
      <c r="HDM124" s="24"/>
      <c r="HDN124" s="178"/>
      <c r="HDO124" s="24"/>
      <c r="HDP124" s="178"/>
      <c r="HDQ124" s="24"/>
      <c r="HDR124" s="178"/>
      <c r="HDS124" s="24"/>
      <c r="HDT124" s="178"/>
      <c r="HDU124" s="24"/>
      <c r="HDV124" s="178"/>
      <c r="HDW124" s="24"/>
      <c r="HDX124" s="178"/>
      <c r="HDY124" s="24"/>
      <c r="HDZ124" s="178"/>
      <c r="HEA124" s="24"/>
      <c r="HEB124" s="178"/>
      <c r="HEC124" s="24"/>
      <c r="HED124" s="178"/>
      <c r="HEE124" s="24"/>
      <c r="HEF124" s="178"/>
      <c r="HEG124" s="24"/>
      <c r="HEH124" s="178"/>
      <c r="HEI124" s="24"/>
      <c r="HEJ124" s="178"/>
      <c r="HEK124" s="24"/>
      <c r="HEL124" s="178"/>
      <c r="HEM124" s="24"/>
      <c r="HEN124" s="178"/>
      <c r="HEO124" s="24"/>
      <c r="HEP124" s="178"/>
      <c r="HEQ124" s="24"/>
      <c r="HER124" s="178"/>
      <c r="HES124" s="24"/>
      <c r="HET124" s="178"/>
      <c r="HEU124" s="24"/>
      <c r="HEV124" s="178"/>
      <c r="HEW124" s="24"/>
      <c r="HEX124" s="178"/>
      <c r="HEY124" s="24"/>
      <c r="HEZ124" s="178"/>
      <c r="HFA124" s="24"/>
      <c r="HFB124" s="178"/>
      <c r="HFC124" s="24"/>
      <c r="HFD124" s="178"/>
      <c r="HFE124" s="24"/>
      <c r="HFF124" s="178"/>
      <c r="HFG124" s="24"/>
      <c r="HFH124" s="178"/>
      <c r="HFI124" s="24"/>
      <c r="HFJ124" s="178"/>
      <c r="HFK124" s="24"/>
      <c r="HFL124" s="178"/>
      <c r="HFM124" s="24"/>
      <c r="HFN124" s="178"/>
      <c r="HFO124" s="24"/>
      <c r="HFP124" s="178"/>
      <c r="HFQ124" s="24"/>
      <c r="HFR124" s="178"/>
      <c r="HFS124" s="24"/>
      <c r="HFT124" s="178"/>
      <c r="HFU124" s="24"/>
      <c r="HFV124" s="178"/>
      <c r="HFW124" s="24"/>
      <c r="HFX124" s="178"/>
      <c r="HFY124" s="24"/>
      <c r="HFZ124" s="178"/>
      <c r="HGA124" s="24"/>
      <c r="HGB124" s="178"/>
      <c r="HGC124" s="24"/>
      <c r="HGD124" s="178"/>
      <c r="HGE124" s="24"/>
      <c r="HGF124" s="178"/>
      <c r="HGG124" s="24"/>
      <c r="HGH124" s="178"/>
      <c r="HGI124" s="24"/>
      <c r="HGJ124" s="178"/>
      <c r="HGK124" s="24"/>
      <c r="HGL124" s="178"/>
      <c r="HGM124" s="24"/>
      <c r="HGN124" s="178"/>
      <c r="HGO124" s="24"/>
      <c r="HGP124" s="178"/>
      <c r="HGQ124" s="24"/>
      <c r="HGR124" s="178"/>
      <c r="HGS124" s="24"/>
      <c r="HGT124" s="178"/>
      <c r="HGU124" s="24"/>
      <c r="HGV124" s="178"/>
      <c r="HGW124" s="24"/>
      <c r="HGX124" s="178"/>
      <c r="HGY124" s="24"/>
      <c r="HGZ124" s="178"/>
      <c r="HHA124" s="24"/>
      <c r="HHB124" s="178"/>
      <c r="HHC124" s="24"/>
      <c r="HHD124" s="178"/>
      <c r="HHE124" s="24"/>
      <c r="HHF124" s="178"/>
      <c r="HHG124" s="24"/>
      <c r="HHH124" s="178"/>
      <c r="HHI124" s="24"/>
      <c r="HHJ124" s="178"/>
      <c r="HHK124" s="24"/>
      <c r="HHL124" s="178"/>
      <c r="HHM124" s="24"/>
      <c r="HHN124" s="178"/>
      <c r="HHO124" s="24"/>
      <c r="HHP124" s="178"/>
      <c r="HHQ124" s="24"/>
      <c r="HHR124" s="178"/>
      <c r="HHS124" s="24"/>
      <c r="HHT124" s="178"/>
      <c r="HHU124" s="24"/>
      <c r="HHV124" s="178"/>
      <c r="HHW124" s="24"/>
      <c r="HHX124" s="178"/>
      <c r="HHY124" s="24"/>
      <c r="HHZ124" s="178"/>
      <c r="HIA124" s="24"/>
      <c r="HIB124" s="178"/>
      <c r="HIC124" s="24"/>
      <c r="HID124" s="178"/>
      <c r="HIE124" s="24"/>
      <c r="HIF124" s="178"/>
      <c r="HIG124" s="24"/>
      <c r="HIH124" s="178"/>
      <c r="HII124" s="24"/>
      <c r="HIJ124" s="178"/>
      <c r="HIK124" s="24"/>
      <c r="HIL124" s="178"/>
      <c r="HIM124" s="24"/>
      <c r="HIN124" s="178"/>
      <c r="HIO124" s="24"/>
      <c r="HIP124" s="178"/>
      <c r="HIQ124" s="24"/>
      <c r="HIR124" s="178"/>
      <c r="HIS124" s="24"/>
      <c r="HIT124" s="178"/>
      <c r="HIU124" s="24"/>
      <c r="HIV124" s="178"/>
      <c r="HIW124" s="24"/>
      <c r="HIX124" s="178"/>
      <c r="HIY124" s="24"/>
      <c r="HIZ124" s="178"/>
      <c r="HJA124" s="24"/>
      <c r="HJB124" s="178"/>
      <c r="HJC124" s="24"/>
      <c r="HJD124" s="178"/>
      <c r="HJE124" s="24"/>
      <c r="HJF124" s="178"/>
      <c r="HJG124" s="24"/>
      <c r="HJH124" s="178"/>
      <c r="HJI124" s="24"/>
      <c r="HJJ124" s="178"/>
      <c r="HJK124" s="24"/>
      <c r="HJL124" s="178"/>
      <c r="HJM124" s="24"/>
      <c r="HJN124" s="178"/>
      <c r="HJO124" s="24"/>
      <c r="HJP124" s="178"/>
      <c r="HJQ124" s="24"/>
      <c r="HJR124" s="178"/>
      <c r="HJS124" s="24"/>
      <c r="HJT124" s="178"/>
      <c r="HJU124" s="24"/>
      <c r="HJV124" s="178"/>
      <c r="HJW124" s="24"/>
      <c r="HJX124" s="178"/>
      <c r="HJY124" s="24"/>
      <c r="HJZ124" s="178"/>
      <c r="HKA124" s="24"/>
      <c r="HKB124" s="178"/>
      <c r="HKC124" s="24"/>
      <c r="HKD124" s="178"/>
      <c r="HKE124" s="24"/>
      <c r="HKF124" s="178"/>
      <c r="HKG124" s="24"/>
      <c r="HKH124" s="178"/>
      <c r="HKI124" s="24"/>
      <c r="HKJ124" s="178"/>
      <c r="HKK124" s="24"/>
      <c r="HKL124" s="178"/>
      <c r="HKM124" s="24"/>
      <c r="HKN124" s="178"/>
      <c r="HKO124" s="24"/>
      <c r="HKP124" s="178"/>
      <c r="HKQ124" s="24"/>
      <c r="HKR124" s="178"/>
      <c r="HKS124" s="24"/>
      <c r="HKT124" s="178"/>
      <c r="HKU124" s="24"/>
      <c r="HKV124" s="178"/>
      <c r="HKW124" s="24"/>
      <c r="HKX124" s="178"/>
      <c r="HKY124" s="24"/>
      <c r="HKZ124" s="178"/>
      <c r="HLA124" s="24"/>
      <c r="HLB124" s="178"/>
      <c r="HLC124" s="24"/>
      <c r="HLD124" s="178"/>
      <c r="HLE124" s="24"/>
      <c r="HLF124" s="178"/>
      <c r="HLG124" s="24"/>
      <c r="HLH124" s="178"/>
      <c r="HLI124" s="24"/>
      <c r="HLJ124" s="178"/>
      <c r="HLK124" s="24"/>
      <c r="HLL124" s="178"/>
      <c r="HLM124" s="24"/>
      <c r="HLN124" s="178"/>
      <c r="HLO124" s="24"/>
      <c r="HLP124" s="178"/>
      <c r="HLQ124" s="24"/>
      <c r="HLR124" s="178"/>
      <c r="HLS124" s="24"/>
      <c r="HLT124" s="178"/>
      <c r="HLU124" s="24"/>
      <c r="HLV124" s="178"/>
      <c r="HLW124" s="24"/>
      <c r="HLX124" s="178"/>
      <c r="HLY124" s="24"/>
      <c r="HLZ124" s="178"/>
      <c r="HMA124" s="24"/>
      <c r="HMB124" s="178"/>
      <c r="HMC124" s="24"/>
      <c r="HMD124" s="178"/>
      <c r="HME124" s="24"/>
      <c r="HMF124" s="178"/>
      <c r="HMG124" s="24"/>
      <c r="HMH124" s="178"/>
      <c r="HMI124" s="24"/>
      <c r="HMJ124" s="178"/>
      <c r="HMK124" s="24"/>
      <c r="HML124" s="178"/>
      <c r="HMM124" s="24"/>
      <c r="HMN124" s="178"/>
      <c r="HMO124" s="24"/>
      <c r="HMP124" s="178"/>
      <c r="HMQ124" s="24"/>
      <c r="HMR124" s="178"/>
      <c r="HMS124" s="24"/>
      <c r="HMT124" s="178"/>
      <c r="HMU124" s="24"/>
      <c r="HMV124" s="178"/>
      <c r="HMW124" s="24"/>
      <c r="HMX124" s="178"/>
      <c r="HMY124" s="24"/>
      <c r="HMZ124" s="178"/>
      <c r="HNA124" s="24"/>
      <c r="HNB124" s="178"/>
      <c r="HNC124" s="24"/>
      <c r="HND124" s="178"/>
      <c r="HNE124" s="24"/>
      <c r="HNF124" s="178"/>
      <c r="HNG124" s="24"/>
      <c r="HNH124" s="178"/>
      <c r="HNI124" s="24"/>
      <c r="HNJ124" s="178"/>
      <c r="HNK124" s="24"/>
      <c r="HNL124" s="178"/>
      <c r="HNM124" s="24"/>
      <c r="HNN124" s="178"/>
      <c r="HNO124" s="24"/>
      <c r="HNP124" s="178"/>
      <c r="HNQ124" s="24"/>
      <c r="HNR124" s="178"/>
      <c r="HNS124" s="24"/>
      <c r="HNT124" s="178"/>
      <c r="HNU124" s="24"/>
      <c r="HNV124" s="178"/>
      <c r="HNW124" s="24"/>
      <c r="HNX124" s="178"/>
      <c r="HNY124" s="24"/>
      <c r="HNZ124" s="178"/>
      <c r="HOA124" s="24"/>
      <c r="HOB124" s="178"/>
      <c r="HOC124" s="24"/>
      <c r="HOD124" s="178"/>
      <c r="HOE124" s="24"/>
      <c r="HOF124" s="178"/>
      <c r="HOG124" s="24"/>
      <c r="HOH124" s="178"/>
      <c r="HOI124" s="24"/>
      <c r="HOJ124" s="178"/>
      <c r="HOK124" s="24"/>
      <c r="HOL124" s="178"/>
      <c r="HOM124" s="24"/>
      <c r="HON124" s="178"/>
      <c r="HOO124" s="24"/>
      <c r="HOP124" s="178"/>
      <c r="HOQ124" s="24"/>
      <c r="HOR124" s="178"/>
      <c r="HOS124" s="24"/>
      <c r="HOT124" s="178"/>
      <c r="HOU124" s="24"/>
      <c r="HOV124" s="178"/>
      <c r="HOW124" s="24"/>
      <c r="HOX124" s="178"/>
      <c r="HOY124" s="24"/>
      <c r="HOZ124" s="178"/>
      <c r="HPA124" s="24"/>
      <c r="HPB124" s="178"/>
      <c r="HPC124" s="24"/>
      <c r="HPD124" s="178"/>
      <c r="HPE124" s="24"/>
      <c r="HPF124" s="178"/>
      <c r="HPG124" s="24"/>
      <c r="HPH124" s="178"/>
      <c r="HPI124" s="24"/>
      <c r="HPJ124" s="178"/>
      <c r="HPK124" s="24"/>
      <c r="HPL124" s="178"/>
      <c r="HPM124" s="24"/>
      <c r="HPN124" s="178"/>
      <c r="HPO124" s="24"/>
      <c r="HPP124" s="178"/>
      <c r="HPQ124" s="24"/>
      <c r="HPR124" s="178"/>
      <c r="HPS124" s="24"/>
      <c r="HPT124" s="178"/>
      <c r="HPU124" s="24"/>
      <c r="HPV124" s="178"/>
      <c r="HPW124" s="24"/>
      <c r="HPX124" s="178"/>
      <c r="HPY124" s="24"/>
      <c r="HPZ124" s="178"/>
      <c r="HQA124" s="24"/>
      <c r="HQB124" s="178"/>
      <c r="HQC124" s="24"/>
      <c r="HQD124" s="178"/>
      <c r="HQE124" s="24"/>
      <c r="HQF124" s="178"/>
      <c r="HQG124" s="24"/>
      <c r="HQH124" s="178"/>
      <c r="HQI124" s="24"/>
      <c r="HQJ124" s="178"/>
      <c r="HQK124" s="24"/>
      <c r="HQL124" s="178"/>
      <c r="HQM124" s="24"/>
      <c r="HQN124" s="178"/>
      <c r="HQO124" s="24"/>
      <c r="HQP124" s="178"/>
      <c r="HQQ124" s="24"/>
      <c r="HQR124" s="178"/>
      <c r="HQS124" s="24"/>
      <c r="HQT124" s="178"/>
      <c r="HQU124" s="24"/>
      <c r="HQV124" s="178"/>
      <c r="HQW124" s="24"/>
      <c r="HQX124" s="178"/>
      <c r="HQY124" s="24"/>
      <c r="HQZ124" s="178"/>
      <c r="HRA124" s="24"/>
      <c r="HRB124" s="178"/>
      <c r="HRC124" s="24"/>
      <c r="HRD124" s="178"/>
      <c r="HRE124" s="24"/>
      <c r="HRF124" s="178"/>
      <c r="HRG124" s="24"/>
      <c r="HRH124" s="178"/>
      <c r="HRI124" s="24"/>
      <c r="HRJ124" s="178"/>
      <c r="HRK124" s="24"/>
      <c r="HRL124" s="178"/>
      <c r="HRM124" s="24"/>
      <c r="HRN124" s="178"/>
      <c r="HRO124" s="24"/>
      <c r="HRP124" s="178"/>
      <c r="HRQ124" s="24"/>
      <c r="HRR124" s="178"/>
      <c r="HRS124" s="24"/>
      <c r="HRT124" s="178"/>
      <c r="HRU124" s="24"/>
      <c r="HRV124" s="178"/>
      <c r="HRW124" s="24"/>
      <c r="HRX124" s="178"/>
      <c r="HRY124" s="24"/>
      <c r="HRZ124" s="178"/>
      <c r="HSA124" s="24"/>
      <c r="HSB124" s="178"/>
      <c r="HSC124" s="24"/>
      <c r="HSD124" s="178"/>
      <c r="HSE124" s="24"/>
      <c r="HSF124" s="178"/>
      <c r="HSG124" s="24"/>
      <c r="HSH124" s="178"/>
      <c r="HSI124" s="24"/>
      <c r="HSJ124" s="178"/>
      <c r="HSK124" s="24"/>
      <c r="HSL124" s="178"/>
      <c r="HSM124" s="24"/>
      <c r="HSN124" s="178"/>
      <c r="HSO124" s="24"/>
      <c r="HSP124" s="178"/>
      <c r="HSQ124" s="24"/>
      <c r="HSR124" s="178"/>
      <c r="HSS124" s="24"/>
      <c r="HST124" s="178"/>
      <c r="HSU124" s="24"/>
      <c r="HSV124" s="178"/>
      <c r="HSW124" s="24"/>
      <c r="HSX124" s="178"/>
      <c r="HSY124" s="24"/>
      <c r="HSZ124" s="178"/>
      <c r="HTA124" s="24"/>
      <c r="HTB124" s="178"/>
      <c r="HTC124" s="24"/>
      <c r="HTD124" s="178"/>
      <c r="HTE124" s="24"/>
      <c r="HTF124" s="178"/>
      <c r="HTG124" s="24"/>
      <c r="HTH124" s="178"/>
      <c r="HTI124" s="24"/>
      <c r="HTJ124" s="178"/>
      <c r="HTK124" s="24"/>
      <c r="HTL124" s="178"/>
      <c r="HTM124" s="24"/>
      <c r="HTN124" s="178"/>
      <c r="HTO124" s="24"/>
      <c r="HTP124" s="178"/>
      <c r="HTQ124" s="24"/>
      <c r="HTR124" s="178"/>
      <c r="HTS124" s="24"/>
      <c r="HTT124" s="178"/>
      <c r="HTU124" s="24"/>
      <c r="HTV124" s="178"/>
      <c r="HTW124" s="24"/>
      <c r="HTX124" s="178"/>
      <c r="HTY124" s="24"/>
      <c r="HTZ124" s="178"/>
      <c r="HUA124" s="24"/>
      <c r="HUB124" s="178"/>
      <c r="HUC124" s="24"/>
      <c r="HUD124" s="178"/>
      <c r="HUE124" s="24"/>
      <c r="HUF124" s="178"/>
      <c r="HUG124" s="24"/>
      <c r="HUH124" s="178"/>
      <c r="HUI124" s="24"/>
      <c r="HUJ124" s="178"/>
      <c r="HUK124" s="24"/>
      <c r="HUL124" s="178"/>
      <c r="HUM124" s="24"/>
      <c r="HUN124" s="178"/>
      <c r="HUO124" s="24"/>
      <c r="HUP124" s="178"/>
      <c r="HUQ124" s="24"/>
      <c r="HUR124" s="178"/>
      <c r="HUS124" s="24"/>
      <c r="HUT124" s="178"/>
      <c r="HUU124" s="24"/>
      <c r="HUV124" s="178"/>
      <c r="HUW124" s="24"/>
      <c r="HUX124" s="178"/>
      <c r="HUY124" s="24"/>
      <c r="HUZ124" s="178"/>
      <c r="HVA124" s="24"/>
      <c r="HVB124" s="178"/>
      <c r="HVC124" s="24"/>
      <c r="HVD124" s="178"/>
      <c r="HVE124" s="24"/>
      <c r="HVF124" s="178"/>
      <c r="HVG124" s="24"/>
      <c r="HVH124" s="178"/>
      <c r="HVI124" s="24"/>
      <c r="HVJ124" s="178"/>
      <c r="HVK124" s="24"/>
      <c r="HVL124" s="178"/>
      <c r="HVM124" s="24"/>
      <c r="HVN124" s="178"/>
      <c r="HVO124" s="24"/>
      <c r="HVP124" s="178"/>
      <c r="HVQ124" s="24"/>
      <c r="HVR124" s="178"/>
      <c r="HVS124" s="24"/>
      <c r="HVT124" s="178"/>
      <c r="HVU124" s="24"/>
      <c r="HVV124" s="178"/>
      <c r="HVW124" s="24"/>
      <c r="HVX124" s="178"/>
      <c r="HVY124" s="24"/>
      <c r="HVZ124" s="178"/>
      <c r="HWA124" s="24"/>
      <c r="HWB124" s="178"/>
      <c r="HWC124" s="24"/>
      <c r="HWD124" s="178"/>
      <c r="HWE124" s="24"/>
      <c r="HWF124" s="178"/>
      <c r="HWG124" s="24"/>
      <c r="HWH124" s="178"/>
      <c r="HWI124" s="24"/>
      <c r="HWJ124" s="178"/>
      <c r="HWK124" s="24"/>
      <c r="HWL124" s="178"/>
      <c r="HWM124" s="24"/>
      <c r="HWN124" s="178"/>
      <c r="HWO124" s="24"/>
      <c r="HWP124" s="178"/>
      <c r="HWQ124" s="24"/>
      <c r="HWR124" s="178"/>
      <c r="HWS124" s="24"/>
      <c r="HWT124" s="178"/>
      <c r="HWU124" s="24"/>
      <c r="HWV124" s="178"/>
      <c r="HWW124" s="24"/>
      <c r="HWX124" s="178"/>
      <c r="HWY124" s="24"/>
      <c r="HWZ124" s="178"/>
      <c r="HXA124" s="24"/>
      <c r="HXB124" s="178"/>
      <c r="HXC124" s="24"/>
      <c r="HXD124" s="178"/>
      <c r="HXE124" s="24"/>
      <c r="HXF124" s="178"/>
      <c r="HXG124" s="24"/>
      <c r="HXH124" s="178"/>
      <c r="HXI124" s="24"/>
      <c r="HXJ124" s="178"/>
      <c r="HXK124" s="24"/>
      <c r="HXL124" s="178"/>
      <c r="HXM124" s="24"/>
      <c r="HXN124" s="178"/>
      <c r="HXO124" s="24"/>
      <c r="HXP124" s="178"/>
      <c r="HXQ124" s="24"/>
      <c r="HXR124" s="178"/>
      <c r="HXS124" s="24"/>
      <c r="HXT124" s="178"/>
      <c r="HXU124" s="24"/>
      <c r="HXV124" s="178"/>
      <c r="HXW124" s="24"/>
      <c r="HXX124" s="178"/>
      <c r="HXY124" s="24"/>
      <c r="HXZ124" s="178"/>
      <c r="HYA124" s="24"/>
      <c r="HYB124" s="178"/>
      <c r="HYC124" s="24"/>
      <c r="HYD124" s="178"/>
      <c r="HYE124" s="24"/>
      <c r="HYF124" s="178"/>
      <c r="HYG124" s="24"/>
      <c r="HYH124" s="178"/>
      <c r="HYI124" s="24"/>
      <c r="HYJ124" s="178"/>
      <c r="HYK124" s="24"/>
      <c r="HYL124" s="178"/>
      <c r="HYM124" s="24"/>
      <c r="HYN124" s="178"/>
      <c r="HYO124" s="24"/>
      <c r="HYP124" s="178"/>
      <c r="HYQ124" s="24"/>
      <c r="HYR124" s="178"/>
      <c r="HYS124" s="24"/>
      <c r="HYT124" s="178"/>
      <c r="HYU124" s="24"/>
      <c r="HYV124" s="178"/>
      <c r="HYW124" s="24"/>
      <c r="HYX124" s="178"/>
      <c r="HYY124" s="24"/>
      <c r="HYZ124" s="178"/>
      <c r="HZA124" s="24"/>
      <c r="HZB124" s="178"/>
      <c r="HZC124" s="24"/>
      <c r="HZD124" s="178"/>
      <c r="HZE124" s="24"/>
      <c r="HZF124" s="178"/>
      <c r="HZG124" s="24"/>
      <c r="HZH124" s="178"/>
      <c r="HZI124" s="24"/>
      <c r="HZJ124" s="178"/>
      <c r="HZK124" s="24"/>
      <c r="HZL124" s="178"/>
      <c r="HZM124" s="24"/>
      <c r="HZN124" s="178"/>
      <c r="HZO124" s="24"/>
      <c r="HZP124" s="178"/>
      <c r="HZQ124" s="24"/>
      <c r="HZR124" s="178"/>
      <c r="HZS124" s="24"/>
      <c r="HZT124" s="178"/>
      <c r="HZU124" s="24"/>
      <c r="HZV124" s="178"/>
      <c r="HZW124" s="24"/>
      <c r="HZX124" s="178"/>
      <c r="HZY124" s="24"/>
      <c r="HZZ124" s="178"/>
      <c r="IAA124" s="24"/>
      <c r="IAB124" s="178"/>
      <c r="IAC124" s="24"/>
      <c r="IAD124" s="178"/>
      <c r="IAE124" s="24"/>
      <c r="IAF124" s="178"/>
      <c r="IAG124" s="24"/>
      <c r="IAH124" s="178"/>
      <c r="IAI124" s="24"/>
      <c r="IAJ124" s="178"/>
      <c r="IAK124" s="24"/>
      <c r="IAL124" s="178"/>
      <c r="IAM124" s="24"/>
      <c r="IAN124" s="178"/>
      <c r="IAO124" s="24"/>
      <c r="IAP124" s="178"/>
      <c r="IAQ124" s="24"/>
      <c r="IAR124" s="178"/>
      <c r="IAS124" s="24"/>
      <c r="IAT124" s="178"/>
      <c r="IAU124" s="24"/>
      <c r="IAV124" s="178"/>
      <c r="IAW124" s="24"/>
      <c r="IAX124" s="178"/>
      <c r="IAY124" s="24"/>
      <c r="IAZ124" s="178"/>
      <c r="IBA124" s="24"/>
      <c r="IBB124" s="178"/>
      <c r="IBC124" s="24"/>
      <c r="IBD124" s="178"/>
      <c r="IBE124" s="24"/>
      <c r="IBF124" s="178"/>
      <c r="IBG124" s="24"/>
      <c r="IBH124" s="178"/>
      <c r="IBI124" s="24"/>
      <c r="IBJ124" s="178"/>
      <c r="IBK124" s="24"/>
      <c r="IBL124" s="178"/>
      <c r="IBM124" s="24"/>
      <c r="IBN124" s="178"/>
      <c r="IBO124" s="24"/>
      <c r="IBP124" s="178"/>
      <c r="IBQ124" s="24"/>
      <c r="IBR124" s="178"/>
      <c r="IBS124" s="24"/>
      <c r="IBT124" s="178"/>
      <c r="IBU124" s="24"/>
      <c r="IBV124" s="178"/>
      <c r="IBW124" s="24"/>
      <c r="IBX124" s="178"/>
      <c r="IBY124" s="24"/>
      <c r="IBZ124" s="178"/>
      <c r="ICA124" s="24"/>
      <c r="ICB124" s="178"/>
      <c r="ICC124" s="24"/>
      <c r="ICD124" s="178"/>
      <c r="ICE124" s="24"/>
      <c r="ICF124" s="178"/>
      <c r="ICG124" s="24"/>
      <c r="ICH124" s="178"/>
      <c r="ICI124" s="24"/>
      <c r="ICJ124" s="178"/>
      <c r="ICK124" s="24"/>
      <c r="ICL124" s="178"/>
      <c r="ICM124" s="24"/>
      <c r="ICN124" s="178"/>
      <c r="ICO124" s="24"/>
      <c r="ICP124" s="178"/>
      <c r="ICQ124" s="24"/>
      <c r="ICR124" s="178"/>
      <c r="ICS124" s="24"/>
      <c r="ICT124" s="178"/>
      <c r="ICU124" s="24"/>
      <c r="ICV124" s="178"/>
      <c r="ICW124" s="24"/>
      <c r="ICX124" s="178"/>
      <c r="ICY124" s="24"/>
      <c r="ICZ124" s="178"/>
      <c r="IDA124" s="24"/>
      <c r="IDB124" s="178"/>
      <c r="IDC124" s="24"/>
      <c r="IDD124" s="178"/>
      <c r="IDE124" s="24"/>
      <c r="IDF124" s="178"/>
      <c r="IDG124" s="24"/>
      <c r="IDH124" s="178"/>
      <c r="IDI124" s="24"/>
      <c r="IDJ124" s="178"/>
      <c r="IDK124" s="24"/>
      <c r="IDL124" s="178"/>
      <c r="IDM124" s="24"/>
      <c r="IDN124" s="178"/>
      <c r="IDO124" s="24"/>
      <c r="IDP124" s="178"/>
      <c r="IDQ124" s="24"/>
      <c r="IDR124" s="178"/>
      <c r="IDS124" s="24"/>
      <c r="IDT124" s="178"/>
      <c r="IDU124" s="24"/>
      <c r="IDV124" s="178"/>
      <c r="IDW124" s="24"/>
      <c r="IDX124" s="178"/>
      <c r="IDY124" s="24"/>
      <c r="IDZ124" s="178"/>
      <c r="IEA124" s="24"/>
      <c r="IEB124" s="178"/>
      <c r="IEC124" s="24"/>
      <c r="IED124" s="178"/>
      <c r="IEE124" s="24"/>
      <c r="IEF124" s="178"/>
      <c r="IEG124" s="24"/>
      <c r="IEH124" s="178"/>
      <c r="IEI124" s="24"/>
      <c r="IEJ124" s="178"/>
      <c r="IEK124" s="24"/>
      <c r="IEL124" s="178"/>
      <c r="IEM124" s="24"/>
      <c r="IEN124" s="178"/>
      <c r="IEO124" s="24"/>
      <c r="IEP124" s="178"/>
      <c r="IEQ124" s="24"/>
      <c r="IER124" s="178"/>
      <c r="IES124" s="24"/>
      <c r="IET124" s="178"/>
      <c r="IEU124" s="24"/>
      <c r="IEV124" s="178"/>
      <c r="IEW124" s="24"/>
      <c r="IEX124" s="178"/>
      <c r="IEY124" s="24"/>
      <c r="IEZ124" s="178"/>
      <c r="IFA124" s="24"/>
      <c r="IFB124" s="178"/>
      <c r="IFC124" s="24"/>
      <c r="IFD124" s="178"/>
      <c r="IFE124" s="24"/>
      <c r="IFF124" s="178"/>
      <c r="IFG124" s="24"/>
      <c r="IFH124" s="178"/>
      <c r="IFI124" s="24"/>
      <c r="IFJ124" s="178"/>
      <c r="IFK124" s="24"/>
      <c r="IFL124" s="178"/>
      <c r="IFM124" s="24"/>
      <c r="IFN124" s="178"/>
      <c r="IFO124" s="24"/>
      <c r="IFP124" s="178"/>
      <c r="IFQ124" s="24"/>
      <c r="IFR124" s="178"/>
      <c r="IFS124" s="24"/>
      <c r="IFT124" s="178"/>
      <c r="IFU124" s="24"/>
      <c r="IFV124" s="178"/>
      <c r="IFW124" s="24"/>
      <c r="IFX124" s="178"/>
      <c r="IFY124" s="24"/>
      <c r="IFZ124" s="178"/>
      <c r="IGA124" s="24"/>
      <c r="IGB124" s="178"/>
      <c r="IGC124" s="24"/>
      <c r="IGD124" s="178"/>
      <c r="IGE124" s="24"/>
      <c r="IGF124" s="178"/>
      <c r="IGG124" s="24"/>
      <c r="IGH124" s="178"/>
      <c r="IGI124" s="24"/>
      <c r="IGJ124" s="178"/>
      <c r="IGK124" s="24"/>
      <c r="IGL124" s="178"/>
      <c r="IGM124" s="24"/>
      <c r="IGN124" s="178"/>
      <c r="IGO124" s="24"/>
      <c r="IGP124" s="178"/>
      <c r="IGQ124" s="24"/>
      <c r="IGR124" s="178"/>
      <c r="IGS124" s="24"/>
      <c r="IGT124" s="178"/>
      <c r="IGU124" s="24"/>
      <c r="IGV124" s="178"/>
      <c r="IGW124" s="24"/>
      <c r="IGX124" s="178"/>
      <c r="IGY124" s="24"/>
      <c r="IGZ124" s="178"/>
      <c r="IHA124" s="24"/>
      <c r="IHB124" s="178"/>
      <c r="IHC124" s="24"/>
      <c r="IHD124" s="178"/>
      <c r="IHE124" s="24"/>
      <c r="IHF124" s="178"/>
      <c r="IHG124" s="24"/>
      <c r="IHH124" s="178"/>
      <c r="IHI124" s="24"/>
      <c r="IHJ124" s="178"/>
      <c r="IHK124" s="24"/>
      <c r="IHL124" s="178"/>
      <c r="IHM124" s="24"/>
      <c r="IHN124" s="178"/>
      <c r="IHO124" s="24"/>
      <c r="IHP124" s="178"/>
      <c r="IHQ124" s="24"/>
      <c r="IHR124" s="178"/>
      <c r="IHS124" s="24"/>
      <c r="IHT124" s="178"/>
      <c r="IHU124" s="24"/>
      <c r="IHV124" s="178"/>
      <c r="IHW124" s="24"/>
      <c r="IHX124" s="178"/>
      <c r="IHY124" s="24"/>
      <c r="IHZ124" s="178"/>
      <c r="IIA124" s="24"/>
      <c r="IIB124" s="178"/>
      <c r="IIC124" s="24"/>
      <c r="IID124" s="178"/>
      <c r="IIE124" s="24"/>
      <c r="IIF124" s="178"/>
      <c r="IIG124" s="24"/>
      <c r="IIH124" s="178"/>
      <c r="III124" s="24"/>
      <c r="IIJ124" s="178"/>
      <c r="IIK124" s="24"/>
      <c r="IIL124" s="178"/>
      <c r="IIM124" s="24"/>
      <c r="IIN124" s="178"/>
      <c r="IIO124" s="24"/>
      <c r="IIP124" s="178"/>
      <c r="IIQ124" s="24"/>
      <c r="IIR124" s="178"/>
      <c r="IIS124" s="24"/>
      <c r="IIT124" s="178"/>
      <c r="IIU124" s="24"/>
      <c r="IIV124" s="178"/>
      <c r="IIW124" s="24"/>
      <c r="IIX124" s="178"/>
      <c r="IIY124" s="24"/>
      <c r="IIZ124" s="178"/>
      <c r="IJA124" s="24"/>
      <c r="IJB124" s="178"/>
      <c r="IJC124" s="24"/>
      <c r="IJD124" s="178"/>
      <c r="IJE124" s="24"/>
      <c r="IJF124" s="178"/>
      <c r="IJG124" s="24"/>
      <c r="IJH124" s="178"/>
      <c r="IJI124" s="24"/>
      <c r="IJJ124" s="178"/>
      <c r="IJK124" s="24"/>
      <c r="IJL124" s="178"/>
      <c r="IJM124" s="24"/>
      <c r="IJN124" s="178"/>
      <c r="IJO124" s="24"/>
      <c r="IJP124" s="178"/>
      <c r="IJQ124" s="24"/>
      <c r="IJR124" s="178"/>
      <c r="IJS124" s="24"/>
      <c r="IJT124" s="178"/>
      <c r="IJU124" s="24"/>
      <c r="IJV124" s="178"/>
      <c r="IJW124" s="24"/>
      <c r="IJX124" s="178"/>
      <c r="IJY124" s="24"/>
      <c r="IJZ124" s="178"/>
      <c r="IKA124" s="24"/>
      <c r="IKB124" s="178"/>
      <c r="IKC124" s="24"/>
      <c r="IKD124" s="178"/>
      <c r="IKE124" s="24"/>
      <c r="IKF124" s="178"/>
      <c r="IKG124" s="24"/>
      <c r="IKH124" s="178"/>
      <c r="IKI124" s="24"/>
      <c r="IKJ124" s="178"/>
      <c r="IKK124" s="24"/>
      <c r="IKL124" s="178"/>
      <c r="IKM124" s="24"/>
      <c r="IKN124" s="178"/>
      <c r="IKO124" s="24"/>
      <c r="IKP124" s="178"/>
      <c r="IKQ124" s="24"/>
      <c r="IKR124" s="178"/>
      <c r="IKS124" s="24"/>
      <c r="IKT124" s="178"/>
      <c r="IKU124" s="24"/>
      <c r="IKV124" s="178"/>
      <c r="IKW124" s="24"/>
      <c r="IKX124" s="178"/>
      <c r="IKY124" s="24"/>
      <c r="IKZ124" s="178"/>
      <c r="ILA124" s="24"/>
      <c r="ILB124" s="178"/>
      <c r="ILC124" s="24"/>
      <c r="ILD124" s="178"/>
      <c r="ILE124" s="24"/>
      <c r="ILF124" s="178"/>
      <c r="ILG124" s="24"/>
      <c r="ILH124" s="178"/>
      <c r="ILI124" s="24"/>
      <c r="ILJ124" s="178"/>
      <c r="ILK124" s="24"/>
      <c r="ILL124" s="178"/>
      <c r="ILM124" s="24"/>
      <c r="ILN124" s="178"/>
      <c r="ILO124" s="24"/>
      <c r="ILP124" s="178"/>
      <c r="ILQ124" s="24"/>
      <c r="ILR124" s="178"/>
      <c r="ILS124" s="24"/>
      <c r="ILT124" s="178"/>
      <c r="ILU124" s="24"/>
      <c r="ILV124" s="178"/>
      <c r="ILW124" s="24"/>
      <c r="ILX124" s="178"/>
      <c r="ILY124" s="24"/>
      <c r="ILZ124" s="178"/>
      <c r="IMA124" s="24"/>
      <c r="IMB124" s="178"/>
      <c r="IMC124" s="24"/>
      <c r="IMD124" s="178"/>
      <c r="IME124" s="24"/>
      <c r="IMF124" s="178"/>
      <c r="IMG124" s="24"/>
      <c r="IMH124" s="178"/>
      <c r="IMI124" s="24"/>
      <c r="IMJ124" s="178"/>
      <c r="IMK124" s="24"/>
      <c r="IML124" s="178"/>
      <c r="IMM124" s="24"/>
      <c r="IMN124" s="178"/>
      <c r="IMO124" s="24"/>
      <c r="IMP124" s="178"/>
      <c r="IMQ124" s="24"/>
      <c r="IMR124" s="178"/>
      <c r="IMS124" s="24"/>
      <c r="IMT124" s="178"/>
      <c r="IMU124" s="24"/>
      <c r="IMV124" s="178"/>
      <c r="IMW124" s="24"/>
      <c r="IMX124" s="178"/>
      <c r="IMY124" s="24"/>
      <c r="IMZ124" s="178"/>
      <c r="INA124" s="24"/>
      <c r="INB124" s="178"/>
      <c r="INC124" s="24"/>
      <c r="IND124" s="178"/>
      <c r="INE124" s="24"/>
      <c r="INF124" s="178"/>
      <c r="ING124" s="24"/>
      <c r="INH124" s="178"/>
      <c r="INI124" s="24"/>
      <c r="INJ124" s="178"/>
      <c r="INK124" s="24"/>
      <c r="INL124" s="178"/>
      <c r="INM124" s="24"/>
      <c r="INN124" s="178"/>
      <c r="INO124" s="24"/>
      <c r="INP124" s="178"/>
      <c r="INQ124" s="24"/>
      <c r="INR124" s="178"/>
      <c r="INS124" s="24"/>
      <c r="INT124" s="178"/>
      <c r="INU124" s="24"/>
      <c r="INV124" s="178"/>
      <c r="INW124" s="24"/>
      <c r="INX124" s="178"/>
      <c r="INY124" s="24"/>
      <c r="INZ124" s="178"/>
      <c r="IOA124" s="24"/>
      <c r="IOB124" s="178"/>
      <c r="IOC124" s="24"/>
      <c r="IOD124" s="178"/>
      <c r="IOE124" s="24"/>
      <c r="IOF124" s="178"/>
      <c r="IOG124" s="24"/>
      <c r="IOH124" s="178"/>
      <c r="IOI124" s="24"/>
      <c r="IOJ124" s="178"/>
      <c r="IOK124" s="24"/>
      <c r="IOL124" s="178"/>
      <c r="IOM124" s="24"/>
      <c r="ION124" s="178"/>
      <c r="IOO124" s="24"/>
      <c r="IOP124" s="178"/>
      <c r="IOQ124" s="24"/>
      <c r="IOR124" s="178"/>
      <c r="IOS124" s="24"/>
      <c r="IOT124" s="178"/>
      <c r="IOU124" s="24"/>
      <c r="IOV124" s="178"/>
      <c r="IOW124" s="24"/>
      <c r="IOX124" s="178"/>
      <c r="IOY124" s="24"/>
      <c r="IOZ124" s="178"/>
      <c r="IPA124" s="24"/>
      <c r="IPB124" s="178"/>
      <c r="IPC124" s="24"/>
      <c r="IPD124" s="178"/>
      <c r="IPE124" s="24"/>
      <c r="IPF124" s="178"/>
      <c r="IPG124" s="24"/>
      <c r="IPH124" s="178"/>
      <c r="IPI124" s="24"/>
      <c r="IPJ124" s="178"/>
      <c r="IPK124" s="24"/>
      <c r="IPL124" s="178"/>
      <c r="IPM124" s="24"/>
      <c r="IPN124" s="178"/>
      <c r="IPO124" s="24"/>
      <c r="IPP124" s="178"/>
      <c r="IPQ124" s="24"/>
      <c r="IPR124" s="178"/>
      <c r="IPS124" s="24"/>
      <c r="IPT124" s="178"/>
      <c r="IPU124" s="24"/>
      <c r="IPV124" s="178"/>
      <c r="IPW124" s="24"/>
      <c r="IPX124" s="178"/>
      <c r="IPY124" s="24"/>
      <c r="IPZ124" s="178"/>
      <c r="IQA124" s="24"/>
      <c r="IQB124" s="178"/>
      <c r="IQC124" s="24"/>
      <c r="IQD124" s="178"/>
      <c r="IQE124" s="24"/>
      <c r="IQF124" s="178"/>
      <c r="IQG124" s="24"/>
      <c r="IQH124" s="178"/>
      <c r="IQI124" s="24"/>
      <c r="IQJ124" s="178"/>
      <c r="IQK124" s="24"/>
      <c r="IQL124" s="178"/>
      <c r="IQM124" s="24"/>
      <c r="IQN124" s="178"/>
      <c r="IQO124" s="24"/>
      <c r="IQP124" s="178"/>
      <c r="IQQ124" s="24"/>
      <c r="IQR124" s="178"/>
      <c r="IQS124" s="24"/>
      <c r="IQT124" s="178"/>
      <c r="IQU124" s="24"/>
      <c r="IQV124" s="178"/>
      <c r="IQW124" s="24"/>
      <c r="IQX124" s="178"/>
      <c r="IQY124" s="24"/>
      <c r="IQZ124" s="178"/>
      <c r="IRA124" s="24"/>
      <c r="IRB124" s="178"/>
      <c r="IRC124" s="24"/>
      <c r="IRD124" s="178"/>
      <c r="IRE124" s="24"/>
      <c r="IRF124" s="178"/>
      <c r="IRG124" s="24"/>
      <c r="IRH124" s="178"/>
      <c r="IRI124" s="24"/>
      <c r="IRJ124" s="178"/>
      <c r="IRK124" s="24"/>
      <c r="IRL124" s="178"/>
      <c r="IRM124" s="24"/>
      <c r="IRN124" s="178"/>
      <c r="IRO124" s="24"/>
      <c r="IRP124" s="178"/>
      <c r="IRQ124" s="24"/>
      <c r="IRR124" s="178"/>
      <c r="IRS124" s="24"/>
      <c r="IRT124" s="178"/>
      <c r="IRU124" s="24"/>
      <c r="IRV124" s="178"/>
      <c r="IRW124" s="24"/>
      <c r="IRX124" s="178"/>
      <c r="IRY124" s="24"/>
      <c r="IRZ124" s="178"/>
      <c r="ISA124" s="24"/>
      <c r="ISB124" s="178"/>
      <c r="ISC124" s="24"/>
      <c r="ISD124" s="178"/>
      <c r="ISE124" s="24"/>
      <c r="ISF124" s="178"/>
      <c r="ISG124" s="24"/>
      <c r="ISH124" s="178"/>
      <c r="ISI124" s="24"/>
      <c r="ISJ124" s="178"/>
      <c r="ISK124" s="24"/>
      <c r="ISL124" s="178"/>
      <c r="ISM124" s="24"/>
      <c r="ISN124" s="178"/>
      <c r="ISO124" s="24"/>
      <c r="ISP124" s="178"/>
      <c r="ISQ124" s="24"/>
      <c r="ISR124" s="178"/>
      <c r="ISS124" s="24"/>
      <c r="IST124" s="178"/>
      <c r="ISU124" s="24"/>
      <c r="ISV124" s="178"/>
      <c r="ISW124" s="24"/>
      <c r="ISX124" s="178"/>
      <c r="ISY124" s="24"/>
      <c r="ISZ124" s="178"/>
      <c r="ITA124" s="24"/>
      <c r="ITB124" s="178"/>
      <c r="ITC124" s="24"/>
      <c r="ITD124" s="178"/>
      <c r="ITE124" s="24"/>
      <c r="ITF124" s="178"/>
      <c r="ITG124" s="24"/>
      <c r="ITH124" s="178"/>
      <c r="ITI124" s="24"/>
      <c r="ITJ124" s="178"/>
      <c r="ITK124" s="24"/>
      <c r="ITL124" s="178"/>
      <c r="ITM124" s="24"/>
      <c r="ITN124" s="178"/>
      <c r="ITO124" s="24"/>
      <c r="ITP124" s="178"/>
      <c r="ITQ124" s="24"/>
      <c r="ITR124" s="178"/>
      <c r="ITS124" s="24"/>
      <c r="ITT124" s="178"/>
      <c r="ITU124" s="24"/>
      <c r="ITV124" s="178"/>
      <c r="ITW124" s="24"/>
      <c r="ITX124" s="178"/>
      <c r="ITY124" s="24"/>
      <c r="ITZ124" s="178"/>
      <c r="IUA124" s="24"/>
      <c r="IUB124" s="178"/>
      <c r="IUC124" s="24"/>
      <c r="IUD124" s="178"/>
      <c r="IUE124" s="24"/>
      <c r="IUF124" s="178"/>
      <c r="IUG124" s="24"/>
      <c r="IUH124" s="178"/>
      <c r="IUI124" s="24"/>
      <c r="IUJ124" s="178"/>
      <c r="IUK124" s="24"/>
      <c r="IUL124" s="178"/>
      <c r="IUM124" s="24"/>
      <c r="IUN124" s="178"/>
      <c r="IUO124" s="24"/>
      <c r="IUP124" s="178"/>
      <c r="IUQ124" s="24"/>
      <c r="IUR124" s="178"/>
      <c r="IUS124" s="24"/>
      <c r="IUT124" s="178"/>
      <c r="IUU124" s="24"/>
      <c r="IUV124" s="178"/>
      <c r="IUW124" s="24"/>
      <c r="IUX124" s="178"/>
      <c r="IUY124" s="24"/>
      <c r="IUZ124" s="178"/>
      <c r="IVA124" s="24"/>
      <c r="IVB124" s="178"/>
      <c r="IVC124" s="24"/>
      <c r="IVD124" s="178"/>
      <c r="IVE124" s="24"/>
      <c r="IVF124" s="178"/>
      <c r="IVG124" s="24"/>
      <c r="IVH124" s="178"/>
      <c r="IVI124" s="24"/>
      <c r="IVJ124" s="178"/>
      <c r="IVK124" s="24"/>
      <c r="IVL124" s="178"/>
      <c r="IVM124" s="24"/>
      <c r="IVN124" s="178"/>
      <c r="IVO124" s="24"/>
      <c r="IVP124" s="178"/>
      <c r="IVQ124" s="24"/>
      <c r="IVR124" s="178"/>
      <c r="IVS124" s="24"/>
      <c r="IVT124" s="178"/>
      <c r="IVU124" s="24"/>
      <c r="IVV124" s="178"/>
      <c r="IVW124" s="24"/>
      <c r="IVX124" s="178"/>
      <c r="IVY124" s="24"/>
      <c r="IVZ124" s="178"/>
      <c r="IWA124" s="24"/>
      <c r="IWB124" s="178"/>
      <c r="IWC124" s="24"/>
      <c r="IWD124" s="178"/>
      <c r="IWE124" s="24"/>
      <c r="IWF124" s="178"/>
      <c r="IWG124" s="24"/>
      <c r="IWH124" s="178"/>
      <c r="IWI124" s="24"/>
      <c r="IWJ124" s="178"/>
      <c r="IWK124" s="24"/>
      <c r="IWL124" s="178"/>
      <c r="IWM124" s="24"/>
      <c r="IWN124" s="178"/>
      <c r="IWO124" s="24"/>
      <c r="IWP124" s="178"/>
      <c r="IWQ124" s="24"/>
      <c r="IWR124" s="178"/>
      <c r="IWS124" s="24"/>
      <c r="IWT124" s="178"/>
      <c r="IWU124" s="24"/>
      <c r="IWV124" s="178"/>
      <c r="IWW124" s="24"/>
      <c r="IWX124" s="178"/>
      <c r="IWY124" s="24"/>
      <c r="IWZ124" s="178"/>
      <c r="IXA124" s="24"/>
      <c r="IXB124" s="178"/>
      <c r="IXC124" s="24"/>
      <c r="IXD124" s="178"/>
      <c r="IXE124" s="24"/>
      <c r="IXF124" s="178"/>
      <c r="IXG124" s="24"/>
      <c r="IXH124" s="178"/>
      <c r="IXI124" s="24"/>
      <c r="IXJ124" s="178"/>
      <c r="IXK124" s="24"/>
      <c r="IXL124" s="178"/>
      <c r="IXM124" s="24"/>
      <c r="IXN124" s="178"/>
      <c r="IXO124" s="24"/>
      <c r="IXP124" s="178"/>
      <c r="IXQ124" s="24"/>
      <c r="IXR124" s="178"/>
      <c r="IXS124" s="24"/>
      <c r="IXT124" s="178"/>
      <c r="IXU124" s="24"/>
      <c r="IXV124" s="178"/>
      <c r="IXW124" s="24"/>
      <c r="IXX124" s="178"/>
      <c r="IXY124" s="24"/>
      <c r="IXZ124" s="178"/>
      <c r="IYA124" s="24"/>
      <c r="IYB124" s="178"/>
      <c r="IYC124" s="24"/>
      <c r="IYD124" s="178"/>
      <c r="IYE124" s="24"/>
      <c r="IYF124" s="178"/>
      <c r="IYG124" s="24"/>
      <c r="IYH124" s="178"/>
      <c r="IYI124" s="24"/>
      <c r="IYJ124" s="178"/>
      <c r="IYK124" s="24"/>
      <c r="IYL124" s="178"/>
      <c r="IYM124" s="24"/>
      <c r="IYN124" s="178"/>
      <c r="IYO124" s="24"/>
      <c r="IYP124" s="178"/>
      <c r="IYQ124" s="24"/>
      <c r="IYR124" s="178"/>
      <c r="IYS124" s="24"/>
      <c r="IYT124" s="178"/>
      <c r="IYU124" s="24"/>
      <c r="IYV124" s="178"/>
      <c r="IYW124" s="24"/>
      <c r="IYX124" s="178"/>
      <c r="IYY124" s="24"/>
      <c r="IYZ124" s="178"/>
      <c r="IZA124" s="24"/>
      <c r="IZB124" s="178"/>
      <c r="IZC124" s="24"/>
      <c r="IZD124" s="178"/>
      <c r="IZE124" s="24"/>
      <c r="IZF124" s="178"/>
      <c r="IZG124" s="24"/>
      <c r="IZH124" s="178"/>
      <c r="IZI124" s="24"/>
      <c r="IZJ124" s="178"/>
      <c r="IZK124" s="24"/>
      <c r="IZL124" s="178"/>
      <c r="IZM124" s="24"/>
      <c r="IZN124" s="178"/>
      <c r="IZO124" s="24"/>
      <c r="IZP124" s="178"/>
      <c r="IZQ124" s="24"/>
      <c r="IZR124" s="178"/>
      <c r="IZS124" s="24"/>
      <c r="IZT124" s="178"/>
      <c r="IZU124" s="24"/>
      <c r="IZV124" s="178"/>
      <c r="IZW124" s="24"/>
      <c r="IZX124" s="178"/>
      <c r="IZY124" s="24"/>
      <c r="IZZ124" s="178"/>
      <c r="JAA124" s="24"/>
      <c r="JAB124" s="178"/>
      <c r="JAC124" s="24"/>
      <c r="JAD124" s="178"/>
      <c r="JAE124" s="24"/>
      <c r="JAF124" s="178"/>
      <c r="JAG124" s="24"/>
      <c r="JAH124" s="178"/>
      <c r="JAI124" s="24"/>
      <c r="JAJ124" s="178"/>
      <c r="JAK124" s="24"/>
      <c r="JAL124" s="178"/>
      <c r="JAM124" s="24"/>
      <c r="JAN124" s="178"/>
      <c r="JAO124" s="24"/>
      <c r="JAP124" s="178"/>
      <c r="JAQ124" s="24"/>
      <c r="JAR124" s="178"/>
      <c r="JAS124" s="24"/>
      <c r="JAT124" s="178"/>
      <c r="JAU124" s="24"/>
      <c r="JAV124" s="178"/>
      <c r="JAW124" s="24"/>
      <c r="JAX124" s="178"/>
      <c r="JAY124" s="24"/>
      <c r="JAZ124" s="178"/>
      <c r="JBA124" s="24"/>
      <c r="JBB124" s="178"/>
      <c r="JBC124" s="24"/>
      <c r="JBD124" s="178"/>
      <c r="JBE124" s="24"/>
      <c r="JBF124" s="178"/>
      <c r="JBG124" s="24"/>
      <c r="JBH124" s="178"/>
      <c r="JBI124" s="24"/>
      <c r="JBJ124" s="178"/>
      <c r="JBK124" s="24"/>
      <c r="JBL124" s="178"/>
      <c r="JBM124" s="24"/>
      <c r="JBN124" s="178"/>
      <c r="JBO124" s="24"/>
      <c r="JBP124" s="178"/>
      <c r="JBQ124" s="24"/>
      <c r="JBR124" s="178"/>
      <c r="JBS124" s="24"/>
      <c r="JBT124" s="178"/>
      <c r="JBU124" s="24"/>
      <c r="JBV124" s="178"/>
      <c r="JBW124" s="24"/>
      <c r="JBX124" s="178"/>
      <c r="JBY124" s="24"/>
      <c r="JBZ124" s="178"/>
      <c r="JCA124" s="24"/>
      <c r="JCB124" s="178"/>
      <c r="JCC124" s="24"/>
      <c r="JCD124" s="178"/>
      <c r="JCE124" s="24"/>
      <c r="JCF124" s="178"/>
      <c r="JCG124" s="24"/>
      <c r="JCH124" s="178"/>
      <c r="JCI124" s="24"/>
      <c r="JCJ124" s="178"/>
      <c r="JCK124" s="24"/>
      <c r="JCL124" s="178"/>
      <c r="JCM124" s="24"/>
      <c r="JCN124" s="178"/>
      <c r="JCO124" s="24"/>
      <c r="JCP124" s="178"/>
      <c r="JCQ124" s="24"/>
      <c r="JCR124" s="178"/>
      <c r="JCS124" s="24"/>
      <c r="JCT124" s="178"/>
      <c r="JCU124" s="24"/>
      <c r="JCV124" s="178"/>
      <c r="JCW124" s="24"/>
      <c r="JCX124" s="178"/>
      <c r="JCY124" s="24"/>
      <c r="JCZ124" s="178"/>
      <c r="JDA124" s="24"/>
      <c r="JDB124" s="178"/>
      <c r="JDC124" s="24"/>
      <c r="JDD124" s="178"/>
      <c r="JDE124" s="24"/>
      <c r="JDF124" s="178"/>
      <c r="JDG124" s="24"/>
      <c r="JDH124" s="178"/>
      <c r="JDI124" s="24"/>
      <c r="JDJ124" s="178"/>
      <c r="JDK124" s="24"/>
      <c r="JDL124" s="178"/>
      <c r="JDM124" s="24"/>
      <c r="JDN124" s="178"/>
      <c r="JDO124" s="24"/>
      <c r="JDP124" s="178"/>
      <c r="JDQ124" s="24"/>
      <c r="JDR124" s="178"/>
      <c r="JDS124" s="24"/>
      <c r="JDT124" s="178"/>
      <c r="JDU124" s="24"/>
      <c r="JDV124" s="178"/>
      <c r="JDW124" s="24"/>
      <c r="JDX124" s="178"/>
      <c r="JDY124" s="24"/>
      <c r="JDZ124" s="178"/>
      <c r="JEA124" s="24"/>
      <c r="JEB124" s="178"/>
      <c r="JEC124" s="24"/>
      <c r="JED124" s="178"/>
      <c r="JEE124" s="24"/>
      <c r="JEF124" s="178"/>
      <c r="JEG124" s="24"/>
      <c r="JEH124" s="178"/>
      <c r="JEI124" s="24"/>
      <c r="JEJ124" s="178"/>
      <c r="JEK124" s="24"/>
      <c r="JEL124" s="178"/>
      <c r="JEM124" s="24"/>
      <c r="JEN124" s="178"/>
      <c r="JEO124" s="24"/>
      <c r="JEP124" s="178"/>
      <c r="JEQ124" s="24"/>
      <c r="JER124" s="178"/>
      <c r="JES124" s="24"/>
      <c r="JET124" s="178"/>
      <c r="JEU124" s="24"/>
      <c r="JEV124" s="178"/>
      <c r="JEW124" s="24"/>
      <c r="JEX124" s="178"/>
      <c r="JEY124" s="24"/>
      <c r="JEZ124" s="178"/>
      <c r="JFA124" s="24"/>
      <c r="JFB124" s="178"/>
      <c r="JFC124" s="24"/>
      <c r="JFD124" s="178"/>
      <c r="JFE124" s="24"/>
      <c r="JFF124" s="178"/>
      <c r="JFG124" s="24"/>
      <c r="JFH124" s="178"/>
      <c r="JFI124" s="24"/>
      <c r="JFJ124" s="178"/>
      <c r="JFK124" s="24"/>
      <c r="JFL124" s="178"/>
      <c r="JFM124" s="24"/>
      <c r="JFN124" s="178"/>
      <c r="JFO124" s="24"/>
      <c r="JFP124" s="178"/>
      <c r="JFQ124" s="24"/>
      <c r="JFR124" s="178"/>
      <c r="JFS124" s="24"/>
      <c r="JFT124" s="178"/>
      <c r="JFU124" s="24"/>
      <c r="JFV124" s="178"/>
      <c r="JFW124" s="24"/>
      <c r="JFX124" s="178"/>
      <c r="JFY124" s="24"/>
      <c r="JFZ124" s="178"/>
      <c r="JGA124" s="24"/>
      <c r="JGB124" s="178"/>
      <c r="JGC124" s="24"/>
      <c r="JGD124" s="178"/>
      <c r="JGE124" s="24"/>
      <c r="JGF124" s="178"/>
      <c r="JGG124" s="24"/>
      <c r="JGH124" s="178"/>
      <c r="JGI124" s="24"/>
      <c r="JGJ124" s="178"/>
      <c r="JGK124" s="24"/>
      <c r="JGL124" s="178"/>
      <c r="JGM124" s="24"/>
      <c r="JGN124" s="178"/>
      <c r="JGO124" s="24"/>
      <c r="JGP124" s="178"/>
      <c r="JGQ124" s="24"/>
      <c r="JGR124" s="178"/>
      <c r="JGS124" s="24"/>
      <c r="JGT124" s="178"/>
      <c r="JGU124" s="24"/>
      <c r="JGV124" s="178"/>
      <c r="JGW124" s="24"/>
      <c r="JGX124" s="178"/>
      <c r="JGY124" s="24"/>
      <c r="JGZ124" s="178"/>
      <c r="JHA124" s="24"/>
      <c r="JHB124" s="178"/>
      <c r="JHC124" s="24"/>
      <c r="JHD124" s="178"/>
      <c r="JHE124" s="24"/>
      <c r="JHF124" s="178"/>
      <c r="JHG124" s="24"/>
      <c r="JHH124" s="178"/>
      <c r="JHI124" s="24"/>
      <c r="JHJ124" s="178"/>
      <c r="JHK124" s="24"/>
      <c r="JHL124" s="178"/>
      <c r="JHM124" s="24"/>
      <c r="JHN124" s="178"/>
      <c r="JHO124" s="24"/>
      <c r="JHP124" s="178"/>
      <c r="JHQ124" s="24"/>
      <c r="JHR124" s="178"/>
      <c r="JHS124" s="24"/>
      <c r="JHT124" s="178"/>
      <c r="JHU124" s="24"/>
      <c r="JHV124" s="178"/>
      <c r="JHW124" s="24"/>
      <c r="JHX124" s="178"/>
      <c r="JHY124" s="24"/>
      <c r="JHZ124" s="178"/>
      <c r="JIA124" s="24"/>
      <c r="JIB124" s="178"/>
      <c r="JIC124" s="24"/>
      <c r="JID124" s="178"/>
      <c r="JIE124" s="24"/>
      <c r="JIF124" s="178"/>
      <c r="JIG124" s="24"/>
      <c r="JIH124" s="178"/>
      <c r="JII124" s="24"/>
      <c r="JIJ124" s="178"/>
      <c r="JIK124" s="24"/>
      <c r="JIL124" s="178"/>
      <c r="JIM124" s="24"/>
      <c r="JIN124" s="178"/>
      <c r="JIO124" s="24"/>
      <c r="JIP124" s="178"/>
      <c r="JIQ124" s="24"/>
      <c r="JIR124" s="178"/>
      <c r="JIS124" s="24"/>
      <c r="JIT124" s="178"/>
      <c r="JIU124" s="24"/>
      <c r="JIV124" s="178"/>
      <c r="JIW124" s="24"/>
      <c r="JIX124" s="178"/>
      <c r="JIY124" s="24"/>
      <c r="JIZ124" s="178"/>
      <c r="JJA124" s="24"/>
      <c r="JJB124" s="178"/>
      <c r="JJC124" s="24"/>
      <c r="JJD124" s="178"/>
      <c r="JJE124" s="24"/>
      <c r="JJF124" s="178"/>
      <c r="JJG124" s="24"/>
      <c r="JJH124" s="178"/>
      <c r="JJI124" s="24"/>
      <c r="JJJ124" s="178"/>
      <c r="JJK124" s="24"/>
      <c r="JJL124" s="178"/>
      <c r="JJM124" s="24"/>
      <c r="JJN124" s="178"/>
      <c r="JJO124" s="24"/>
      <c r="JJP124" s="178"/>
      <c r="JJQ124" s="24"/>
      <c r="JJR124" s="178"/>
      <c r="JJS124" s="24"/>
      <c r="JJT124" s="178"/>
      <c r="JJU124" s="24"/>
      <c r="JJV124" s="178"/>
      <c r="JJW124" s="24"/>
      <c r="JJX124" s="178"/>
      <c r="JJY124" s="24"/>
      <c r="JJZ124" s="178"/>
      <c r="JKA124" s="24"/>
      <c r="JKB124" s="178"/>
      <c r="JKC124" s="24"/>
      <c r="JKD124" s="178"/>
      <c r="JKE124" s="24"/>
      <c r="JKF124" s="178"/>
      <c r="JKG124" s="24"/>
      <c r="JKH124" s="178"/>
      <c r="JKI124" s="24"/>
      <c r="JKJ124" s="178"/>
      <c r="JKK124" s="24"/>
      <c r="JKL124" s="178"/>
      <c r="JKM124" s="24"/>
      <c r="JKN124" s="178"/>
      <c r="JKO124" s="24"/>
      <c r="JKP124" s="178"/>
      <c r="JKQ124" s="24"/>
      <c r="JKR124" s="178"/>
      <c r="JKS124" s="24"/>
      <c r="JKT124" s="178"/>
      <c r="JKU124" s="24"/>
      <c r="JKV124" s="178"/>
      <c r="JKW124" s="24"/>
      <c r="JKX124" s="178"/>
      <c r="JKY124" s="24"/>
      <c r="JKZ124" s="178"/>
      <c r="JLA124" s="24"/>
      <c r="JLB124" s="178"/>
      <c r="JLC124" s="24"/>
      <c r="JLD124" s="178"/>
      <c r="JLE124" s="24"/>
      <c r="JLF124" s="178"/>
      <c r="JLG124" s="24"/>
      <c r="JLH124" s="178"/>
      <c r="JLI124" s="24"/>
      <c r="JLJ124" s="178"/>
      <c r="JLK124" s="24"/>
      <c r="JLL124" s="178"/>
      <c r="JLM124" s="24"/>
      <c r="JLN124" s="178"/>
      <c r="JLO124" s="24"/>
      <c r="JLP124" s="178"/>
      <c r="JLQ124" s="24"/>
      <c r="JLR124" s="178"/>
      <c r="JLS124" s="24"/>
      <c r="JLT124" s="178"/>
      <c r="JLU124" s="24"/>
      <c r="JLV124" s="178"/>
      <c r="JLW124" s="24"/>
      <c r="JLX124" s="178"/>
      <c r="JLY124" s="24"/>
      <c r="JLZ124" s="178"/>
      <c r="JMA124" s="24"/>
      <c r="JMB124" s="178"/>
      <c r="JMC124" s="24"/>
      <c r="JMD124" s="178"/>
      <c r="JME124" s="24"/>
      <c r="JMF124" s="178"/>
      <c r="JMG124" s="24"/>
      <c r="JMH124" s="178"/>
      <c r="JMI124" s="24"/>
      <c r="JMJ124" s="178"/>
      <c r="JMK124" s="24"/>
      <c r="JML124" s="178"/>
      <c r="JMM124" s="24"/>
      <c r="JMN124" s="178"/>
      <c r="JMO124" s="24"/>
      <c r="JMP124" s="178"/>
      <c r="JMQ124" s="24"/>
      <c r="JMR124" s="178"/>
      <c r="JMS124" s="24"/>
      <c r="JMT124" s="178"/>
      <c r="JMU124" s="24"/>
      <c r="JMV124" s="178"/>
      <c r="JMW124" s="24"/>
      <c r="JMX124" s="178"/>
      <c r="JMY124" s="24"/>
      <c r="JMZ124" s="178"/>
      <c r="JNA124" s="24"/>
      <c r="JNB124" s="178"/>
      <c r="JNC124" s="24"/>
      <c r="JND124" s="178"/>
      <c r="JNE124" s="24"/>
      <c r="JNF124" s="178"/>
      <c r="JNG124" s="24"/>
      <c r="JNH124" s="178"/>
      <c r="JNI124" s="24"/>
      <c r="JNJ124" s="178"/>
      <c r="JNK124" s="24"/>
      <c r="JNL124" s="178"/>
      <c r="JNM124" s="24"/>
      <c r="JNN124" s="178"/>
      <c r="JNO124" s="24"/>
      <c r="JNP124" s="178"/>
      <c r="JNQ124" s="24"/>
      <c r="JNR124" s="178"/>
      <c r="JNS124" s="24"/>
      <c r="JNT124" s="178"/>
      <c r="JNU124" s="24"/>
      <c r="JNV124" s="178"/>
      <c r="JNW124" s="24"/>
      <c r="JNX124" s="178"/>
      <c r="JNY124" s="24"/>
      <c r="JNZ124" s="178"/>
      <c r="JOA124" s="24"/>
      <c r="JOB124" s="178"/>
      <c r="JOC124" s="24"/>
      <c r="JOD124" s="178"/>
      <c r="JOE124" s="24"/>
      <c r="JOF124" s="178"/>
      <c r="JOG124" s="24"/>
      <c r="JOH124" s="178"/>
      <c r="JOI124" s="24"/>
      <c r="JOJ124" s="178"/>
      <c r="JOK124" s="24"/>
      <c r="JOL124" s="178"/>
      <c r="JOM124" s="24"/>
      <c r="JON124" s="178"/>
      <c r="JOO124" s="24"/>
      <c r="JOP124" s="178"/>
      <c r="JOQ124" s="24"/>
      <c r="JOR124" s="178"/>
      <c r="JOS124" s="24"/>
      <c r="JOT124" s="178"/>
      <c r="JOU124" s="24"/>
      <c r="JOV124" s="178"/>
      <c r="JOW124" s="24"/>
      <c r="JOX124" s="178"/>
      <c r="JOY124" s="24"/>
      <c r="JOZ124" s="178"/>
      <c r="JPA124" s="24"/>
      <c r="JPB124" s="178"/>
      <c r="JPC124" s="24"/>
      <c r="JPD124" s="178"/>
      <c r="JPE124" s="24"/>
      <c r="JPF124" s="178"/>
      <c r="JPG124" s="24"/>
      <c r="JPH124" s="178"/>
      <c r="JPI124" s="24"/>
      <c r="JPJ124" s="178"/>
      <c r="JPK124" s="24"/>
      <c r="JPL124" s="178"/>
      <c r="JPM124" s="24"/>
      <c r="JPN124" s="178"/>
      <c r="JPO124" s="24"/>
      <c r="JPP124" s="178"/>
      <c r="JPQ124" s="24"/>
      <c r="JPR124" s="178"/>
      <c r="JPS124" s="24"/>
      <c r="JPT124" s="178"/>
      <c r="JPU124" s="24"/>
      <c r="JPV124" s="178"/>
      <c r="JPW124" s="24"/>
      <c r="JPX124" s="178"/>
      <c r="JPY124" s="24"/>
      <c r="JPZ124" s="178"/>
      <c r="JQA124" s="24"/>
      <c r="JQB124" s="178"/>
      <c r="JQC124" s="24"/>
      <c r="JQD124" s="178"/>
      <c r="JQE124" s="24"/>
      <c r="JQF124" s="178"/>
      <c r="JQG124" s="24"/>
      <c r="JQH124" s="178"/>
      <c r="JQI124" s="24"/>
      <c r="JQJ124" s="178"/>
      <c r="JQK124" s="24"/>
      <c r="JQL124" s="178"/>
      <c r="JQM124" s="24"/>
      <c r="JQN124" s="178"/>
      <c r="JQO124" s="24"/>
      <c r="JQP124" s="178"/>
      <c r="JQQ124" s="24"/>
      <c r="JQR124" s="178"/>
      <c r="JQS124" s="24"/>
      <c r="JQT124" s="178"/>
      <c r="JQU124" s="24"/>
      <c r="JQV124" s="178"/>
      <c r="JQW124" s="24"/>
      <c r="JQX124" s="178"/>
      <c r="JQY124" s="24"/>
      <c r="JQZ124" s="178"/>
      <c r="JRA124" s="24"/>
      <c r="JRB124" s="178"/>
      <c r="JRC124" s="24"/>
      <c r="JRD124" s="178"/>
      <c r="JRE124" s="24"/>
      <c r="JRF124" s="178"/>
      <c r="JRG124" s="24"/>
      <c r="JRH124" s="178"/>
      <c r="JRI124" s="24"/>
      <c r="JRJ124" s="178"/>
      <c r="JRK124" s="24"/>
      <c r="JRL124" s="178"/>
      <c r="JRM124" s="24"/>
      <c r="JRN124" s="178"/>
      <c r="JRO124" s="24"/>
      <c r="JRP124" s="178"/>
      <c r="JRQ124" s="24"/>
      <c r="JRR124" s="178"/>
      <c r="JRS124" s="24"/>
      <c r="JRT124" s="178"/>
      <c r="JRU124" s="24"/>
      <c r="JRV124" s="178"/>
      <c r="JRW124" s="24"/>
      <c r="JRX124" s="178"/>
      <c r="JRY124" s="24"/>
      <c r="JRZ124" s="178"/>
      <c r="JSA124" s="24"/>
      <c r="JSB124" s="178"/>
      <c r="JSC124" s="24"/>
      <c r="JSD124" s="178"/>
      <c r="JSE124" s="24"/>
      <c r="JSF124" s="178"/>
      <c r="JSG124" s="24"/>
      <c r="JSH124" s="178"/>
      <c r="JSI124" s="24"/>
      <c r="JSJ124" s="178"/>
      <c r="JSK124" s="24"/>
      <c r="JSL124" s="178"/>
      <c r="JSM124" s="24"/>
      <c r="JSN124" s="178"/>
      <c r="JSO124" s="24"/>
      <c r="JSP124" s="178"/>
      <c r="JSQ124" s="24"/>
      <c r="JSR124" s="178"/>
      <c r="JSS124" s="24"/>
      <c r="JST124" s="178"/>
      <c r="JSU124" s="24"/>
      <c r="JSV124" s="178"/>
      <c r="JSW124" s="24"/>
      <c r="JSX124" s="178"/>
      <c r="JSY124" s="24"/>
      <c r="JSZ124" s="178"/>
      <c r="JTA124" s="24"/>
      <c r="JTB124" s="178"/>
      <c r="JTC124" s="24"/>
      <c r="JTD124" s="178"/>
      <c r="JTE124" s="24"/>
      <c r="JTF124" s="178"/>
      <c r="JTG124" s="24"/>
      <c r="JTH124" s="178"/>
      <c r="JTI124" s="24"/>
      <c r="JTJ124" s="178"/>
      <c r="JTK124" s="24"/>
      <c r="JTL124" s="178"/>
      <c r="JTM124" s="24"/>
      <c r="JTN124" s="178"/>
      <c r="JTO124" s="24"/>
      <c r="JTP124" s="178"/>
      <c r="JTQ124" s="24"/>
      <c r="JTR124" s="178"/>
      <c r="JTS124" s="24"/>
      <c r="JTT124" s="178"/>
      <c r="JTU124" s="24"/>
      <c r="JTV124" s="178"/>
      <c r="JTW124" s="24"/>
      <c r="JTX124" s="178"/>
      <c r="JTY124" s="24"/>
      <c r="JTZ124" s="178"/>
      <c r="JUA124" s="24"/>
      <c r="JUB124" s="178"/>
      <c r="JUC124" s="24"/>
      <c r="JUD124" s="178"/>
      <c r="JUE124" s="24"/>
      <c r="JUF124" s="178"/>
      <c r="JUG124" s="24"/>
      <c r="JUH124" s="178"/>
      <c r="JUI124" s="24"/>
      <c r="JUJ124" s="178"/>
      <c r="JUK124" s="24"/>
      <c r="JUL124" s="178"/>
      <c r="JUM124" s="24"/>
      <c r="JUN124" s="178"/>
      <c r="JUO124" s="24"/>
      <c r="JUP124" s="178"/>
      <c r="JUQ124" s="24"/>
      <c r="JUR124" s="178"/>
      <c r="JUS124" s="24"/>
      <c r="JUT124" s="178"/>
      <c r="JUU124" s="24"/>
      <c r="JUV124" s="178"/>
      <c r="JUW124" s="24"/>
      <c r="JUX124" s="178"/>
      <c r="JUY124" s="24"/>
      <c r="JUZ124" s="178"/>
      <c r="JVA124" s="24"/>
      <c r="JVB124" s="178"/>
      <c r="JVC124" s="24"/>
      <c r="JVD124" s="178"/>
      <c r="JVE124" s="24"/>
      <c r="JVF124" s="178"/>
      <c r="JVG124" s="24"/>
      <c r="JVH124" s="178"/>
      <c r="JVI124" s="24"/>
      <c r="JVJ124" s="178"/>
      <c r="JVK124" s="24"/>
      <c r="JVL124" s="178"/>
      <c r="JVM124" s="24"/>
      <c r="JVN124" s="178"/>
      <c r="JVO124" s="24"/>
      <c r="JVP124" s="178"/>
      <c r="JVQ124" s="24"/>
      <c r="JVR124" s="178"/>
      <c r="JVS124" s="24"/>
      <c r="JVT124" s="178"/>
      <c r="JVU124" s="24"/>
      <c r="JVV124" s="178"/>
      <c r="JVW124" s="24"/>
      <c r="JVX124" s="178"/>
      <c r="JVY124" s="24"/>
      <c r="JVZ124" s="178"/>
      <c r="JWA124" s="24"/>
      <c r="JWB124" s="178"/>
      <c r="JWC124" s="24"/>
      <c r="JWD124" s="178"/>
      <c r="JWE124" s="24"/>
      <c r="JWF124" s="178"/>
      <c r="JWG124" s="24"/>
      <c r="JWH124" s="178"/>
      <c r="JWI124" s="24"/>
      <c r="JWJ124" s="178"/>
      <c r="JWK124" s="24"/>
      <c r="JWL124" s="178"/>
      <c r="JWM124" s="24"/>
      <c r="JWN124" s="178"/>
      <c r="JWO124" s="24"/>
      <c r="JWP124" s="178"/>
      <c r="JWQ124" s="24"/>
      <c r="JWR124" s="178"/>
      <c r="JWS124" s="24"/>
      <c r="JWT124" s="178"/>
      <c r="JWU124" s="24"/>
      <c r="JWV124" s="178"/>
      <c r="JWW124" s="24"/>
      <c r="JWX124" s="178"/>
      <c r="JWY124" s="24"/>
      <c r="JWZ124" s="178"/>
      <c r="JXA124" s="24"/>
      <c r="JXB124" s="178"/>
      <c r="JXC124" s="24"/>
      <c r="JXD124" s="178"/>
      <c r="JXE124" s="24"/>
      <c r="JXF124" s="178"/>
      <c r="JXG124" s="24"/>
      <c r="JXH124" s="178"/>
      <c r="JXI124" s="24"/>
      <c r="JXJ124" s="178"/>
      <c r="JXK124" s="24"/>
      <c r="JXL124" s="178"/>
      <c r="JXM124" s="24"/>
      <c r="JXN124" s="178"/>
      <c r="JXO124" s="24"/>
      <c r="JXP124" s="178"/>
      <c r="JXQ124" s="24"/>
      <c r="JXR124" s="178"/>
      <c r="JXS124" s="24"/>
      <c r="JXT124" s="178"/>
      <c r="JXU124" s="24"/>
      <c r="JXV124" s="178"/>
      <c r="JXW124" s="24"/>
      <c r="JXX124" s="178"/>
      <c r="JXY124" s="24"/>
      <c r="JXZ124" s="178"/>
      <c r="JYA124" s="24"/>
      <c r="JYB124" s="178"/>
      <c r="JYC124" s="24"/>
      <c r="JYD124" s="178"/>
      <c r="JYE124" s="24"/>
      <c r="JYF124" s="178"/>
      <c r="JYG124" s="24"/>
      <c r="JYH124" s="178"/>
      <c r="JYI124" s="24"/>
      <c r="JYJ124" s="178"/>
      <c r="JYK124" s="24"/>
      <c r="JYL124" s="178"/>
      <c r="JYM124" s="24"/>
      <c r="JYN124" s="178"/>
      <c r="JYO124" s="24"/>
      <c r="JYP124" s="178"/>
      <c r="JYQ124" s="24"/>
      <c r="JYR124" s="178"/>
      <c r="JYS124" s="24"/>
      <c r="JYT124" s="178"/>
      <c r="JYU124" s="24"/>
      <c r="JYV124" s="178"/>
      <c r="JYW124" s="24"/>
      <c r="JYX124" s="178"/>
      <c r="JYY124" s="24"/>
      <c r="JYZ124" s="178"/>
      <c r="JZA124" s="24"/>
      <c r="JZB124" s="178"/>
      <c r="JZC124" s="24"/>
      <c r="JZD124" s="178"/>
      <c r="JZE124" s="24"/>
      <c r="JZF124" s="178"/>
      <c r="JZG124" s="24"/>
      <c r="JZH124" s="178"/>
      <c r="JZI124" s="24"/>
      <c r="JZJ124" s="178"/>
      <c r="JZK124" s="24"/>
      <c r="JZL124" s="178"/>
      <c r="JZM124" s="24"/>
      <c r="JZN124" s="178"/>
      <c r="JZO124" s="24"/>
      <c r="JZP124" s="178"/>
      <c r="JZQ124" s="24"/>
      <c r="JZR124" s="178"/>
      <c r="JZS124" s="24"/>
      <c r="JZT124" s="178"/>
      <c r="JZU124" s="24"/>
      <c r="JZV124" s="178"/>
      <c r="JZW124" s="24"/>
      <c r="JZX124" s="178"/>
      <c r="JZY124" s="24"/>
      <c r="JZZ124" s="178"/>
      <c r="KAA124" s="24"/>
      <c r="KAB124" s="178"/>
      <c r="KAC124" s="24"/>
      <c r="KAD124" s="178"/>
      <c r="KAE124" s="24"/>
      <c r="KAF124" s="178"/>
      <c r="KAG124" s="24"/>
      <c r="KAH124" s="178"/>
      <c r="KAI124" s="24"/>
      <c r="KAJ124" s="178"/>
      <c r="KAK124" s="24"/>
      <c r="KAL124" s="178"/>
      <c r="KAM124" s="24"/>
      <c r="KAN124" s="178"/>
      <c r="KAO124" s="24"/>
      <c r="KAP124" s="178"/>
      <c r="KAQ124" s="24"/>
      <c r="KAR124" s="178"/>
      <c r="KAS124" s="24"/>
      <c r="KAT124" s="178"/>
      <c r="KAU124" s="24"/>
      <c r="KAV124" s="178"/>
      <c r="KAW124" s="24"/>
      <c r="KAX124" s="178"/>
      <c r="KAY124" s="24"/>
      <c r="KAZ124" s="178"/>
      <c r="KBA124" s="24"/>
      <c r="KBB124" s="178"/>
      <c r="KBC124" s="24"/>
      <c r="KBD124" s="178"/>
      <c r="KBE124" s="24"/>
      <c r="KBF124" s="178"/>
      <c r="KBG124" s="24"/>
      <c r="KBH124" s="178"/>
      <c r="KBI124" s="24"/>
      <c r="KBJ124" s="178"/>
      <c r="KBK124" s="24"/>
      <c r="KBL124" s="178"/>
      <c r="KBM124" s="24"/>
      <c r="KBN124" s="178"/>
      <c r="KBO124" s="24"/>
      <c r="KBP124" s="178"/>
      <c r="KBQ124" s="24"/>
      <c r="KBR124" s="178"/>
      <c r="KBS124" s="24"/>
      <c r="KBT124" s="178"/>
      <c r="KBU124" s="24"/>
      <c r="KBV124" s="178"/>
      <c r="KBW124" s="24"/>
      <c r="KBX124" s="178"/>
      <c r="KBY124" s="24"/>
      <c r="KBZ124" s="178"/>
      <c r="KCA124" s="24"/>
      <c r="KCB124" s="178"/>
      <c r="KCC124" s="24"/>
      <c r="KCD124" s="178"/>
      <c r="KCE124" s="24"/>
      <c r="KCF124" s="178"/>
      <c r="KCG124" s="24"/>
      <c r="KCH124" s="178"/>
      <c r="KCI124" s="24"/>
      <c r="KCJ124" s="178"/>
      <c r="KCK124" s="24"/>
      <c r="KCL124" s="178"/>
      <c r="KCM124" s="24"/>
      <c r="KCN124" s="178"/>
      <c r="KCO124" s="24"/>
      <c r="KCP124" s="178"/>
      <c r="KCQ124" s="24"/>
      <c r="KCR124" s="178"/>
      <c r="KCS124" s="24"/>
      <c r="KCT124" s="178"/>
      <c r="KCU124" s="24"/>
      <c r="KCV124" s="178"/>
      <c r="KCW124" s="24"/>
      <c r="KCX124" s="178"/>
      <c r="KCY124" s="24"/>
      <c r="KCZ124" s="178"/>
      <c r="KDA124" s="24"/>
      <c r="KDB124" s="178"/>
      <c r="KDC124" s="24"/>
      <c r="KDD124" s="178"/>
      <c r="KDE124" s="24"/>
      <c r="KDF124" s="178"/>
      <c r="KDG124" s="24"/>
      <c r="KDH124" s="178"/>
      <c r="KDI124" s="24"/>
      <c r="KDJ124" s="178"/>
      <c r="KDK124" s="24"/>
      <c r="KDL124" s="178"/>
      <c r="KDM124" s="24"/>
      <c r="KDN124" s="178"/>
      <c r="KDO124" s="24"/>
      <c r="KDP124" s="178"/>
      <c r="KDQ124" s="24"/>
      <c r="KDR124" s="178"/>
      <c r="KDS124" s="24"/>
      <c r="KDT124" s="178"/>
      <c r="KDU124" s="24"/>
      <c r="KDV124" s="178"/>
      <c r="KDW124" s="24"/>
      <c r="KDX124" s="178"/>
      <c r="KDY124" s="24"/>
      <c r="KDZ124" s="178"/>
      <c r="KEA124" s="24"/>
      <c r="KEB124" s="178"/>
      <c r="KEC124" s="24"/>
      <c r="KED124" s="178"/>
      <c r="KEE124" s="24"/>
      <c r="KEF124" s="178"/>
      <c r="KEG124" s="24"/>
      <c r="KEH124" s="178"/>
      <c r="KEI124" s="24"/>
      <c r="KEJ124" s="178"/>
      <c r="KEK124" s="24"/>
      <c r="KEL124" s="178"/>
      <c r="KEM124" s="24"/>
      <c r="KEN124" s="178"/>
      <c r="KEO124" s="24"/>
      <c r="KEP124" s="178"/>
      <c r="KEQ124" s="24"/>
      <c r="KER124" s="178"/>
      <c r="KES124" s="24"/>
      <c r="KET124" s="178"/>
      <c r="KEU124" s="24"/>
      <c r="KEV124" s="178"/>
      <c r="KEW124" s="24"/>
      <c r="KEX124" s="178"/>
      <c r="KEY124" s="24"/>
      <c r="KEZ124" s="178"/>
      <c r="KFA124" s="24"/>
      <c r="KFB124" s="178"/>
      <c r="KFC124" s="24"/>
      <c r="KFD124" s="178"/>
      <c r="KFE124" s="24"/>
      <c r="KFF124" s="178"/>
      <c r="KFG124" s="24"/>
      <c r="KFH124" s="178"/>
      <c r="KFI124" s="24"/>
      <c r="KFJ124" s="178"/>
      <c r="KFK124" s="24"/>
      <c r="KFL124" s="178"/>
      <c r="KFM124" s="24"/>
      <c r="KFN124" s="178"/>
      <c r="KFO124" s="24"/>
      <c r="KFP124" s="178"/>
      <c r="KFQ124" s="24"/>
      <c r="KFR124" s="178"/>
      <c r="KFS124" s="24"/>
      <c r="KFT124" s="178"/>
      <c r="KFU124" s="24"/>
      <c r="KFV124" s="178"/>
      <c r="KFW124" s="24"/>
      <c r="KFX124" s="178"/>
      <c r="KFY124" s="24"/>
      <c r="KFZ124" s="178"/>
      <c r="KGA124" s="24"/>
      <c r="KGB124" s="178"/>
      <c r="KGC124" s="24"/>
      <c r="KGD124" s="178"/>
      <c r="KGE124" s="24"/>
      <c r="KGF124" s="178"/>
      <c r="KGG124" s="24"/>
      <c r="KGH124" s="178"/>
      <c r="KGI124" s="24"/>
      <c r="KGJ124" s="178"/>
      <c r="KGK124" s="24"/>
      <c r="KGL124" s="178"/>
      <c r="KGM124" s="24"/>
      <c r="KGN124" s="178"/>
      <c r="KGO124" s="24"/>
      <c r="KGP124" s="178"/>
      <c r="KGQ124" s="24"/>
      <c r="KGR124" s="178"/>
      <c r="KGS124" s="24"/>
      <c r="KGT124" s="178"/>
      <c r="KGU124" s="24"/>
      <c r="KGV124" s="178"/>
      <c r="KGW124" s="24"/>
      <c r="KGX124" s="178"/>
      <c r="KGY124" s="24"/>
      <c r="KGZ124" s="178"/>
      <c r="KHA124" s="24"/>
      <c r="KHB124" s="178"/>
      <c r="KHC124" s="24"/>
      <c r="KHD124" s="178"/>
      <c r="KHE124" s="24"/>
      <c r="KHF124" s="178"/>
      <c r="KHG124" s="24"/>
      <c r="KHH124" s="178"/>
      <c r="KHI124" s="24"/>
      <c r="KHJ124" s="178"/>
      <c r="KHK124" s="24"/>
      <c r="KHL124" s="178"/>
      <c r="KHM124" s="24"/>
      <c r="KHN124" s="178"/>
      <c r="KHO124" s="24"/>
      <c r="KHP124" s="178"/>
      <c r="KHQ124" s="24"/>
      <c r="KHR124" s="178"/>
      <c r="KHS124" s="24"/>
      <c r="KHT124" s="178"/>
      <c r="KHU124" s="24"/>
      <c r="KHV124" s="178"/>
      <c r="KHW124" s="24"/>
      <c r="KHX124" s="178"/>
      <c r="KHY124" s="24"/>
      <c r="KHZ124" s="178"/>
      <c r="KIA124" s="24"/>
      <c r="KIB124" s="178"/>
      <c r="KIC124" s="24"/>
      <c r="KID124" s="178"/>
      <c r="KIE124" s="24"/>
      <c r="KIF124" s="178"/>
      <c r="KIG124" s="24"/>
      <c r="KIH124" s="178"/>
      <c r="KII124" s="24"/>
      <c r="KIJ124" s="178"/>
      <c r="KIK124" s="24"/>
      <c r="KIL124" s="178"/>
      <c r="KIM124" s="24"/>
      <c r="KIN124" s="178"/>
      <c r="KIO124" s="24"/>
      <c r="KIP124" s="178"/>
      <c r="KIQ124" s="24"/>
      <c r="KIR124" s="178"/>
      <c r="KIS124" s="24"/>
      <c r="KIT124" s="178"/>
      <c r="KIU124" s="24"/>
      <c r="KIV124" s="178"/>
      <c r="KIW124" s="24"/>
      <c r="KIX124" s="178"/>
      <c r="KIY124" s="24"/>
      <c r="KIZ124" s="178"/>
      <c r="KJA124" s="24"/>
      <c r="KJB124" s="178"/>
      <c r="KJC124" s="24"/>
      <c r="KJD124" s="178"/>
      <c r="KJE124" s="24"/>
      <c r="KJF124" s="178"/>
      <c r="KJG124" s="24"/>
      <c r="KJH124" s="178"/>
      <c r="KJI124" s="24"/>
      <c r="KJJ124" s="178"/>
      <c r="KJK124" s="24"/>
      <c r="KJL124" s="178"/>
      <c r="KJM124" s="24"/>
      <c r="KJN124" s="178"/>
      <c r="KJO124" s="24"/>
      <c r="KJP124" s="178"/>
      <c r="KJQ124" s="24"/>
      <c r="KJR124" s="178"/>
      <c r="KJS124" s="24"/>
      <c r="KJT124" s="178"/>
      <c r="KJU124" s="24"/>
      <c r="KJV124" s="178"/>
      <c r="KJW124" s="24"/>
      <c r="KJX124" s="178"/>
      <c r="KJY124" s="24"/>
      <c r="KJZ124" s="178"/>
      <c r="KKA124" s="24"/>
      <c r="KKB124" s="178"/>
      <c r="KKC124" s="24"/>
      <c r="KKD124" s="178"/>
      <c r="KKE124" s="24"/>
      <c r="KKF124" s="178"/>
      <c r="KKG124" s="24"/>
      <c r="KKH124" s="178"/>
      <c r="KKI124" s="24"/>
      <c r="KKJ124" s="178"/>
      <c r="KKK124" s="24"/>
      <c r="KKL124" s="178"/>
      <c r="KKM124" s="24"/>
      <c r="KKN124" s="178"/>
      <c r="KKO124" s="24"/>
      <c r="KKP124" s="178"/>
      <c r="KKQ124" s="24"/>
      <c r="KKR124" s="178"/>
      <c r="KKS124" s="24"/>
      <c r="KKT124" s="178"/>
      <c r="KKU124" s="24"/>
      <c r="KKV124" s="178"/>
      <c r="KKW124" s="24"/>
      <c r="KKX124" s="178"/>
      <c r="KKY124" s="24"/>
      <c r="KKZ124" s="178"/>
      <c r="KLA124" s="24"/>
      <c r="KLB124" s="178"/>
      <c r="KLC124" s="24"/>
      <c r="KLD124" s="178"/>
      <c r="KLE124" s="24"/>
      <c r="KLF124" s="178"/>
      <c r="KLG124" s="24"/>
      <c r="KLH124" s="178"/>
      <c r="KLI124" s="24"/>
      <c r="KLJ124" s="178"/>
      <c r="KLK124" s="24"/>
      <c r="KLL124" s="178"/>
      <c r="KLM124" s="24"/>
      <c r="KLN124" s="178"/>
      <c r="KLO124" s="24"/>
      <c r="KLP124" s="178"/>
      <c r="KLQ124" s="24"/>
      <c r="KLR124" s="178"/>
      <c r="KLS124" s="24"/>
      <c r="KLT124" s="178"/>
      <c r="KLU124" s="24"/>
      <c r="KLV124" s="178"/>
      <c r="KLW124" s="24"/>
      <c r="KLX124" s="178"/>
      <c r="KLY124" s="24"/>
      <c r="KLZ124" s="178"/>
      <c r="KMA124" s="24"/>
      <c r="KMB124" s="178"/>
      <c r="KMC124" s="24"/>
      <c r="KMD124" s="178"/>
      <c r="KME124" s="24"/>
      <c r="KMF124" s="178"/>
      <c r="KMG124" s="24"/>
      <c r="KMH124" s="178"/>
      <c r="KMI124" s="24"/>
      <c r="KMJ124" s="178"/>
      <c r="KMK124" s="24"/>
      <c r="KML124" s="178"/>
      <c r="KMM124" s="24"/>
      <c r="KMN124" s="178"/>
      <c r="KMO124" s="24"/>
      <c r="KMP124" s="178"/>
      <c r="KMQ124" s="24"/>
      <c r="KMR124" s="178"/>
      <c r="KMS124" s="24"/>
      <c r="KMT124" s="178"/>
      <c r="KMU124" s="24"/>
      <c r="KMV124" s="178"/>
      <c r="KMW124" s="24"/>
      <c r="KMX124" s="178"/>
      <c r="KMY124" s="24"/>
      <c r="KMZ124" s="178"/>
      <c r="KNA124" s="24"/>
      <c r="KNB124" s="178"/>
      <c r="KNC124" s="24"/>
      <c r="KND124" s="178"/>
      <c r="KNE124" s="24"/>
      <c r="KNF124" s="178"/>
      <c r="KNG124" s="24"/>
      <c r="KNH124" s="178"/>
      <c r="KNI124" s="24"/>
      <c r="KNJ124" s="178"/>
      <c r="KNK124" s="24"/>
      <c r="KNL124" s="178"/>
      <c r="KNM124" s="24"/>
      <c r="KNN124" s="178"/>
      <c r="KNO124" s="24"/>
      <c r="KNP124" s="178"/>
      <c r="KNQ124" s="24"/>
      <c r="KNR124" s="178"/>
      <c r="KNS124" s="24"/>
      <c r="KNT124" s="178"/>
      <c r="KNU124" s="24"/>
      <c r="KNV124" s="178"/>
      <c r="KNW124" s="24"/>
      <c r="KNX124" s="178"/>
      <c r="KNY124" s="24"/>
      <c r="KNZ124" s="178"/>
      <c r="KOA124" s="24"/>
      <c r="KOB124" s="178"/>
      <c r="KOC124" s="24"/>
      <c r="KOD124" s="178"/>
      <c r="KOE124" s="24"/>
      <c r="KOF124" s="178"/>
      <c r="KOG124" s="24"/>
      <c r="KOH124" s="178"/>
      <c r="KOI124" s="24"/>
      <c r="KOJ124" s="178"/>
      <c r="KOK124" s="24"/>
      <c r="KOL124" s="178"/>
      <c r="KOM124" s="24"/>
      <c r="KON124" s="178"/>
      <c r="KOO124" s="24"/>
      <c r="KOP124" s="178"/>
      <c r="KOQ124" s="24"/>
      <c r="KOR124" s="178"/>
      <c r="KOS124" s="24"/>
      <c r="KOT124" s="178"/>
      <c r="KOU124" s="24"/>
      <c r="KOV124" s="178"/>
      <c r="KOW124" s="24"/>
      <c r="KOX124" s="178"/>
      <c r="KOY124" s="24"/>
      <c r="KOZ124" s="178"/>
      <c r="KPA124" s="24"/>
      <c r="KPB124" s="178"/>
      <c r="KPC124" s="24"/>
      <c r="KPD124" s="178"/>
      <c r="KPE124" s="24"/>
      <c r="KPF124" s="178"/>
      <c r="KPG124" s="24"/>
      <c r="KPH124" s="178"/>
      <c r="KPI124" s="24"/>
      <c r="KPJ124" s="178"/>
      <c r="KPK124" s="24"/>
      <c r="KPL124" s="178"/>
      <c r="KPM124" s="24"/>
      <c r="KPN124" s="178"/>
      <c r="KPO124" s="24"/>
      <c r="KPP124" s="178"/>
      <c r="KPQ124" s="24"/>
      <c r="KPR124" s="178"/>
      <c r="KPS124" s="24"/>
      <c r="KPT124" s="178"/>
      <c r="KPU124" s="24"/>
      <c r="KPV124" s="178"/>
      <c r="KPW124" s="24"/>
      <c r="KPX124" s="178"/>
      <c r="KPY124" s="24"/>
      <c r="KPZ124" s="178"/>
      <c r="KQA124" s="24"/>
      <c r="KQB124" s="178"/>
      <c r="KQC124" s="24"/>
      <c r="KQD124" s="178"/>
      <c r="KQE124" s="24"/>
      <c r="KQF124" s="178"/>
      <c r="KQG124" s="24"/>
      <c r="KQH124" s="178"/>
      <c r="KQI124" s="24"/>
      <c r="KQJ124" s="178"/>
      <c r="KQK124" s="24"/>
      <c r="KQL124" s="178"/>
      <c r="KQM124" s="24"/>
      <c r="KQN124" s="178"/>
      <c r="KQO124" s="24"/>
      <c r="KQP124" s="178"/>
      <c r="KQQ124" s="24"/>
      <c r="KQR124" s="178"/>
      <c r="KQS124" s="24"/>
      <c r="KQT124" s="178"/>
      <c r="KQU124" s="24"/>
      <c r="KQV124" s="178"/>
      <c r="KQW124" s="24"/>
      <c r="KQX124" s="178"/>
      <c r="KQY124" s="24"/>
      <c r="KQZ124" s="178"/>
      <c r="KRA124" s="24"/>
      <c r="KRB124" s="178"/>
      <c r="KRC124" s="24"/>
      <c r="KRD124" s="178"/>
      <c r="KRE124" s="24"/>
      <c r="KRF124" s="178"/>
      <c r="KRG124" s="24"/>
      <c r="KRH124" s="178"/>
      <c r="KRI124" s="24"/>
      <c r="KRJ124" s="178"/>
      <c r="KRK124" s="24"/>
      <c r="KRL124" s="178"/>
      <c r="KRM124" s="24"/>
      <c r="KRN124" s="178"/>
      <c r="KRO124" s="24"/>
      <c r="KRP124" s="178"/>
      <c r="KRQ124" s="24"/>
      <c r="KRR124" s="178"/>
      <c r="KRS124" s="24"/>
      <c r="KRT124" s="178"/>
      <c r="KRU124" s="24"/>
      <c r="KRV124" s="178"/>
      <c r="KRW124" s="24"/>
      <c r="KRX124" s="178"/>
      <c r="KRY124" s="24"/>
      <c r="KRZ124" s="178"/>
      <c r="KSA124" s="24"/>
      <c r="KSB124" s="178"/>
      <c r="KSC124" s="24"/>
      <c r="KSD124" s="178"/>
      <c r="KSE124" s="24"/>
      <c r="KSF124" s="178"/>
      <c r="KSG124" s="24"/>
      <c r="KSH124" s="178"/>
      <c r="KSI124" s="24"/>
      <c r="KSJ124" s="178"/>
      <c r="KSK124" s="24"/>
      <c r="KSL124" s="178"/>
      <c r="KSM124" s="24"/>
      <c r="KSN124" s="178"/>
      <c r="KSO124" s="24"/>
      <c r="KSP124" s="178"/>
      <c r="KSQ124" s="24"/>
      <c r="KSR124" s="178"/>
      <c r="KSS124" s="24"/>
      <c r="KST124" s="178"/>
      <c r="KSU124" s="24"/>
      <c r="KSV124" s="178"/>
      <c r="KSW124" s="24"/>
      <c r="KSX124" s="178"/>
      <c r="KSY124" s="24"/>
      <c r="KSZ124" s="178"/>
      <c r="KTA124" s="24"/>
      <c r="KTB124" s="178"/>
      <c r="KTC124" s="24"/>
      <c r="KTD124" s="178"/>
      <c r="KTE124" s="24"/>
      <c r="KTF124" s="178"/>
      <c r="KTG124" s="24"/>
      <c r="KTH124" s="178"/>
      <c r="KTI124" s="24"/>
      <c r="KTJ124" s="178"/>
      <c r="KTK124" s="24"/>
      <c r="KTL124" s="178"/>
      <c r="KTM124" s="24"/>
      <c r="KTN124" s="178"/>
      <c r="KTO124" s="24"/>
      <c r="KTP124" s="178"/>
      <c r="KTQ124" s="24"/>
      <c r="KTR124" s="178"/>
      <c r="KTS124" s="24"/>
      <c r="KTT124" s="178"/>
      <c r="KTU124" s="24"/>
      <c r="KTV124" s="178"/>
      <c r="KTW124" s="24"/>
      <c r="KTX124" s="178"/>
      <c r="KTY124" s="24"/>
      <c r="KTZ124" s="178"/>
      <c r="KUA124" s="24"/>
      <c r="KUB124" s="178"/>
      <c r="KUC124" s="24"/>
      <c r="KUD124" s="178"/>
      <c r="KUE124" s="24"/>
      <c r="KUF124" s="178"/>
      <c r="KUG124" s="24"/>
      <c r="KUH124" s="178"/>
      <c r="KUI124" s="24"/>
      <c r="KUJ124" s="178"/>
      <c r="KUK124" s="24"/>
      <c r="KUL124" s="178"/>
      <c r="KUM124" s="24"/>
      <c r="KUN124" s="178"/>
      <c r="KUO124" s="24"/>
      <c r="KUP124" s="178"/>
      <c r="KUQ124" s="24"/>
      <c r="KUR124" s="178"/>
      <c r="KUS124" s="24"/>
      <c r="KUT124" s="178"/>
      <c r="KUU124" s="24"/>
      <c r="KUV124" s="178"/>
      <c r="KUW124" s="24"/>
      <c r="KUX124" s="178"/>
      <c r="KUY124" s="24"/>
      <c r="KUZ124" s="178"/>
      <c r="KVA124" s="24"/>
      <c r="KVB124" s="178"/>
      <c r="KVC124" s="24"/>
      <c r="KVD124" s="178"/>
      <c r="KVE124" s="24"/>
      <c r="KVF124" s="178"/>
      <c r="KVG124" s="24"/>
      <c r="KVH124" s="178"/>
      <c r="KVI124" s="24"/>
      <c r="KVJ124" s="178"/>
      <c r="KVK124" s="24"/>
      <c r="KVL124" s="178"/>
      <c r="KVM124" s="24"/>
      <c r="KVN124" s="178"/>
      <c r="KVO124" s="24"/>
      <c r="KVP124" s="178"/>
      <c r="KVQ124" s="24"/>
      <c r="KVR124" s="178"/>
      <c r="KVS124" s="24"/>
      <c r="KVT124" s="178"/>
      <c r="KVU124" s="24"/>
      <c r="KVV124" s="178"/>
      <c r="KVW124" s="24"/>
      <c r="KVX124" s="178"/>
      <c r="KVY124" s="24"/>
      <c r="KVZ124" s="178"/>
      <c r="KWA124" s="24"/>
      <c r="KWB124" s="178"/>
      <c r="KWC124" s="24"/>
      <c r="KWD124" s="178"/>
      <c r="KWE124" s="24"/>
      <c r="KWF124" s="178"/>
      <c r="KWG124" s="24"/>
      <c r="KWH124" s="178"/>
      <c r="KWI124" s="24"/>
      <c r="KWJ124" s="178"/>
      <c r="KWK124" s="24"/>
      <c r="KWL124" s="178"/>
      <c r="KWM124" s="24"/>
      <c r="KWN124" s="178"/>
      <c r="KWO124" s="24"/>
      <c r="KWP124" s="178"/>
      <c r="KWQ124" s="24"/>
      <c r="KWR124" s="178"/>
      <c r="KWS124" s="24"/>
      <c r="KWT124" s="178"/>
      <c r="KWU124" s="24"/>
      <c r="KWV124" s="178"/>
      <c r="KWW124" s="24"/>
      <c r="KWX124" s="178"/>
      <c r="KWY124" s="24"/>
      <c r="KWZ124" s="178"/>
      <c r="KXA124" s="24"/>
      <c r="KXB124" s="178"/>
      <c r="KXC124" s="24"/>
      <c r="KXD124" s="178"/>
      <c r="KXE124" s="24"/>
      <c r="KXF124" s="178"/>
      <c r="KXG124" s="24"/>
      <c r="KXH124" s="178"/>
      <c r="KXI124" s="24"/>
      <c r="KXJ124" s="178"/>
      <c r="KXK124" s="24"/>
      <c r="KXL124" s="178"/>
      <c r="KXM124" s="24"/>
      <c r="KXN124" s="178"/>
      <c r="KXO124" s="24"/>
      <c r="KXP124" s="178"/>
      <c r="KXQ124" s="24"/>
      <c r="KXR124" s="178"/>
      <c r="KXS124" s="24"/>
      <c r="KXT124" s="178"/>
      <c r="KXU124" s="24"/>
      <c r="KXV124" s="178"/>
      <c r="KXW124" s="24"/>
      <c r="KXX124" s="178"/>
      <c r="KXY124" s="24"/>
      <c r="KXZ124" s="178"/>
      <c r="KYA124" s="24"/>
      <c r="KYB124" s="178"/>
      <c r="KYC124" s="24"/>
      <c r="KYD124" s="178"/>
      <c r="KYE124" s="24"/>
      <c r="KYF124" s="178"/>
      <c r="KYG124" s="24"/>
      <c r="KYH124" s="178"/>
      <c r="KYI124" s="24"/>
      <c r="KYJ124" s="178"/>
      <c r="KYK124" s="24"/>
      <c r="KYL124" s="178"/>
      <c r="KYM124" s="24"/>
      <c r="KYN124" s="178"/>
      <c r="KYO124" s="24"/>
      <c r="KYP124" s="178"/>
      <c r="KYQ124" s="24"/>
      <c r="KYR124" s="178"/>
      <c r="KYS124" s="24"/>
      <c r="KYT124" s="178"/>
      <c r="KYU124" s="24"/>
      <c r="KYV124" s="178"/>
      <c r="KYW124" s="24"/>
      <c r="KYX124" s="178"/>
      <c r="KYY124" s="24"/>
      <c r="KYZ124" s="178"/>
      <c r="KZA124" s="24"/>
      <c r="KZB124" s="178"/>
      <c r="KZC124" s="24"/>
      <c r="KZD124" s="178"/>
      <c r="KZE124" s="24"/>
      <c r="KZF124" s="178"/>
      <c r="KZG124" s="24"/>
      <c r="KZH124" s="178"/>
      <c r="KZI124" s="24"/>
      <c r="KZJ124" s="178"/>
      <c r="KZK124" s="24"/>
      <c r="KZL124" s="178"/>
      <c r="KZM124" s="24"/>
      <c r="KZN124" s="178"/>
      <c r="KZO124" s="24"/>
      <c r="KZP124" s="178"/>
      <c r="KZQ124" s="24"/>
      <c r="KZR124" s="178"/>
      <c r="KZS124" s="24"/>
      <c r="KZT124" s="178"/>
      <c r="KZU124" s="24"/>
      <c r="KZV124" s="178"/>
      <c r="KZW124" s="24"/>
      <c r="KZX124" s="178"/>
      <c r="KZY124" s="24"/>
      <c r="KZZ124" s="178"/>
      <c r="LAA124" s="24"/>
      <c r="LAB124" s="178"/>
      <c r="LAC124" s="24"/>
      <c r="LAD124" s="178"/>
      <c r="LAE124" s="24"/>
      <c r="LAF124" s="178"/>
      <c r="LAG124" s="24"/>
      <c r="LAH124" s="178"/>
      <c r="LAI124" s="24"/>
      <c r="LAJ124" s="178"/>
      <c r="LAK124" s="24"/>
      <c r="LAL124" s="178"/>
      <c r="LAM124" s="24"/>
      <c r="LAN124" s="178"/>
      <c r="LAO124" s="24"/>
      <c r="LAP124" s="178"/>
      <c r="LAQ124" s="24"/>
      <c r="LAR124" s="178"/>
      <c r="LAS124" s="24"/>
      <c r="LAT124" s="178"/>
      <c r="LAU124" s="24"/>
      <c r="LAV124" s="178"/>
      <c r="LAW124" s="24"/>
      <c r="LAX124" s="178"/>
      <c r="LAY124" s="24"/>
      <c r="LAZ124" s="178"/>
      <c r="LBA124" s="24"/>
      <c r="LBB124" s="178"/>
      <c r="LBC124" s="24"/>
      <c r="LBD124" s="178"/>
      <c r="LBE124" s="24"/>
      <c r="LBF124" s="178"/>
      <c r="LBG124" s="24"/>
      <c r="LBH124" s="178"/>
      <c r="LBI124" s="24"/>
      <c r="LBJ124" s="178"/>
      <c r="LBK124" s="24"/>
      <c r="LBL124" s="178"/>
      <c r="LBM124" s="24"/>
      <c r="LBN124" s="178"/>
      <c r="LBO124" s="24"/>
      <c r="LBP124" s="178"/>
      <c r="LBQ124" s="24"/>
      <c r="LBR124" s="178"/>
      <c r="LBS124" s="24"/>
      <c r="LBT124" s="178"/>
      <c r="LBU124" s="24"/>
      <c r="LBV124" s="178"/>
      <c r="LBW124" s="24"/>
      <c r="LBX124" s="178"/>
      <c r="LBY124" s="24"/>
      <c r="LBZ124" s="178"/>
      <c r="LCA124" s="24"/>
      <c r="LCB124" s="178"/>
      <c r="LCC124" s="24"/>
      <c r="LCD124" s="178"/>
      <c r="LCE124" s="24"/>
      <c r="LCF124" s="178"/>
      <c r="LCG124" s="24"/>
      <c r="LCH124" s="178"/>
      <c r="LCI124" s="24"/>
      <c r="LCJ124" s="178"/>
      <c r="LCK124" s="24"/>
      <c r="LCL124" s="178"/>
      <c r="LCM124" s="24"/>
      <c r="LCN124" s="178"/>
      <c r="LCO124" s="24"/>
      <c r="LCP124" s="178"/>
      <c r="LCQ124" s="24"/>
      <c r="LCR124" s="178"/>
      <c r="LCS124" s="24"/>
      <c r="LCT124" s="178"/>
      <c r="LCU124" s="24"/>
      <c r="LCV124" s="178"/>
      <c r="LCW124" s="24"/>
      <c r="LCX124" s="178"/>
      <c r="LCY124" s="24"/>
      <c r="LCZ124" s="178"/>
      <c r="LDA124" s="24"/>
      <c r="LDB124" s="178"/>
      <c r="LDC124" s="24"/>
      <c r="LDD124" s="178"/>
      <c r="LDE124" s="24"/>
      <c r="LDF124" s="178"/>
      <c r="LDG124" s="24"/>
      <c r="LDH124" s="178"/>
      <c r="LDI124" s="24"/>
      <c r="LDJ124" s="178"/>
      <c r="LDK124" s="24"/>
      <c r="LDL124" s="178"/>
      <c r="LDM124" s="24"/>
      <c r="LDN124" s="178"/>
      <c r="LDO124" s="24"/>
      <c r="LDP124" s="178"/>
      <c r="LDQ124" s="24"/>
      <c r="LDR124" s="178"/>
      <c r="LDS124" s="24"/>
      <c r="LDT124" s="178"/>
      <c r="LDU124" s="24"/>
      <c r="LDV124" s="178"/>
      <c r="LDW124" s="24"/>
      <c r="LDX124" s="178"/>
      <c r="LDY124" s="24"/>
      <c r="LDZ124" s="178"/>
      <c r="LEA124" s="24"/>
      <c r="LEB124" s="178"/>
      <c r="LEC124" s="24"/>
      <c r="LED124" s="178"/>
      <c r="LEE124" s="24"/>
      <c r="LEF124" s="178"/>
      <c r="LEG124" s="24"/>
      <c r="LEH124" s="178"/>
      <c r="LEI124" s="24"/>
      <c r="LEJ124" s="178"/>
      <c r="LEK124" s="24"/>
      <c r="LEL124" s="178"/>
      <c r="LEM124" s="24"/>
      <c r="LEN124" s="178"/>
      <c r="LEO124" s="24"/>
      <c r="LEP124" s="178"/>
      <c r="LEQ124" s="24"/>
      <c r="LER124" s="178"/>
      <c r="LES124" s="24"/>
      <c r="LET124" s="178"/>
      <c r="LEU124" s="24"/>
      <c r="LEV124" s="178"/>
      <c r="LEW124" s="24"/>
      <c r="LEX124" s="178"/>
      <c r="LEY124" s="24"/>
      <c r="LEZ124" s="178"/>
      <c r="LFA124" s="24"/>
      <c r="LFB124" s="178"/>
      <c r="LFC124" s="24"/>
      <c r="LFD124" s="178"/>
      <c r="LFE124" s="24"/>
      <c r="LFF124" s="178"/>
      <c r="LFG124" s="24"/>
      <c r="LFH124" s="178"/>
      <c r="LFI124" s="24"/>
      <c r="LFJ124" s="178"/>
      <c r="LFK124" s="24"/>
      <c r="LFL124" s="178"/>
      <c r="LFM124" s="24"/>
      <c r="LFN124" s="178"/>
      <c r="LFO124" s="24"/>
      <c r="LFP124" s="178"/>
      <c r="LFQ124" s="24"/>
      <c r="LFR124" s="178"/>
      <c r="LFS124" s="24"/>
      <c r="LFT124" s="178"/>
      <c r="LFU124" s="24"/>
      <c r="LFV124" s="178"/>
      <c r="LFW124" s="24"/>
      <c r="LFX124" s="178"/>
      <c r="LFY124" s="24"/>
      <c r="LFZ124" s="178"/>
      <c r="LGA124" s="24"/>
      <c r="LGB124" s="178"/>
      <c r="LGC124" s="24"/>
      <c r="LGD124" s="178"/>
      <c r="LGE124" s="24"/>
      <c r="LGF124" s="178"/>
      <c r="LGG124" s="24"/>
      <c r="LGH124" s="178"/>
      <c r="LGI124" s="24"/>
      <c r="LGJ124" s="178"/>
      <c r="LGK124" s="24"/>
      <c r="LGL124" s="178"/>
      <c r="LGM124" s="24"/>
      <c r="LGN124" s="178"/>
      <c r="LGO124" s="24"/>
      <c r="LGP124" s="178"/>
      <c r="LGQ124" s="24"/>
      <c r="LGR124" s="178"/>
      <c r="LGS124" s="24"/>
      <c r="LGT124" s="178"/>
      <c r="LGU124" s="24"/>
      <c r="LGV124" s="178"/>
      <c r="LGW124" s="24"/>
      <c r="LGX124" s="178"/>
      <c r="LGY124" s="24"/>
      <c r="LGZ124" s="178"/>
      <c r="LHA124" s="24"/>
      <c r="LHB124" s="178"/>
      <c r="LHC124" s="24"/>
      <c r="LHD124" s="178"/>
      <c r="LHE124" s="24"/>
      <c r="LHF124" s="178"/>
      <c r="LHG124" s="24"/>
      <c r="LHH124" s="178"/>
      <c r="LHI124" s="24"/>
      <c r="LHJ124" s="178"/>
      <c r="LHK124" s="24"/>
      <c r="LHL124" s="178"/>
      <c r="LHM124" s="24"/>
      <c r="LHN124" s="178"/>
      <c r="LHO124" s="24"/>
      <c r="LHP124" s="178"/>
      <c r="LHQ124" s="24"/>
      <c r="LHR124" s="178"/>
      <c r="LHS124" s="24"/>
      <c r="LHT124" s="178"/>
      <c r="LHU124" s="24"/>
      <c r="LHV124" s="178"/>
      <c r="LHW124" s="24"/>
      <c r="LHX124" s="178"/>
      <c r="LHY124" s="24"/>
      <c r="LHZ124" s="178"/>
      <c r="LIA124" s="24"/>
      <c r="LIB124" s="178"/>
      <c r="LIC124" s="24"/>
      <c r="LID124" s="178"/>
      <c r="LIE124" s="24"/>
      <c r="LIF124" s="178"/>
      <c r="LIG124" s="24"/>
      <c r="LIH124" s="178"/>
      <c r="LII124" s="24"/>
      <c r="LIJ124" s="178"/>
      <c r="LIK124" s="24"/>
      <c r="LIL124" s="178"/>
      <c r="LIM124" s="24"/>
      <c r="LIN124" s="178"/>
      <c r="LIO124" s="24"/>
      <c r="LIP124" s="178"/>
      <c r="LIQ124" s="24"/>
      <c r="LIR124" s="178"/>
      <c r="LIS124" s="24"/>
      <c r="LIT124" s="178"/>
      <c r="LIU124" s="24"/>
      <c r="LIV124" s="178"/>
      <c r="LIW124" s="24"/>
      <c r="LIX124" s="178"/>
      <c r="LIY124" s="24"/>
      <c r="LIZ124" s="178"/>
      <c r="LJA124" s="24"/>
      <c r="LJB124" s="178"/>
      <c r="LJC124" s="24"/>
      <c r="LJD124" s="178"/>
      <c r="LJE124" s="24"/>
      <c r="LJF124" s="178"/>
      <c r="LJG124" s="24"/>
      <c r="LJH124" s="178"/>
      <c r="LJI124" s="24"/>
      <c r="LJJ124" s="178"/>
      <c r="LJK124" s="24"/>
      <c r="LJL124" s="178"/>
      <c r="LJM124" s="24"/>
      <c r="LJN124" s="178"/>
      <c r="LJO124" s="24"/>
      <c r="LJP124" s="178"/>
      <c r="LJQ124" s="24"/>
      <c r="LJR124" s="178"/>
      <c r="LJS124" s="24"/>
      <c r="LJT124" s="178"/>
      <c r="LJU124" s="24"/>
      <c r="LJV124" s="178"/>
      <c r="LJW124" s="24"/>
      <c r="LJX124" s="178"/>
      <c r="LJY124" s="24"/>
      <c r="LJZ124" s="178"/>
      <c r="LKA124" s="24"/>
      <c r="LKB124" s="178"/>
      <c r="LKC124" s="24"/>
      <c r="LKD124" s="178"/>
      <c r="LKE124" s="24"/>
      <c r="LKF124" s="178"/>
      <c r="LKG124" s="24"/>
      <c r="LKH124" s="178"/>
      <c r="LKI124" s="24"/>
      <c r="LKJ124" s="178"/>
      <c r="LKK124" s="24"/>
      <c r="LKL124" s="178"/>
      <c r="LKM124" s="24"/>
      <c r="LKN124" s="178"/>
      <c r="LKO124" s="24"/>
      <c r="LKP124" s="178"/>
      <c r="LKQ124" s="24"/>
      <c r="LKR124" s="178"/>
      <c r="LKS124" s="24"/>
      <c r="LKT124" s="178"/>
      <c r="LKU124" s="24"/>
      <c r="LKV124" s="178"/>
      <c r="LKW124" s="24"/>
      <c r="LKX124" s="178"/>
      <c r="LKY124" s="24"/>
      <c r="LKZ124" s="178"/>
      <c r="LLA124" s="24"/>
      <c r="LLB124" s="178"/>
      <c r="LLC124" s="24"/>
      <c r="LLD124" s="178"/>
      <c r="LLE124" s="24"/>
      <c r="LLF124" s="178"/>
      <c r="LLG124" s="24"/>
      <c r="LLH124" s="178"/>
      <c r="LLI124" s="24"/>
      <c r="LLJ124" s="178"/>
      <c r="LLK124" s="24"/>
      <c r="LLL124" s="178"/>
      <c r="LLM124" s="24"/>
      <c r="LLN124" s="178"/>
      <c r="LLO124" s="24"/>
      <c r="LLP124" s="178"/>
      <c r="LLQ124" s="24"/>
      <c r="LLR124" s="178"/>
      <c r="LLS124" s="24"/>
      <c r="LLT124" s="178"/>
      <c r="LLU124" s="24"/>
      <c r="LLV124" s="178"/>
      <c r="LLW124" s="24"/>
      <c r="LLX124" s="178"/>
      <c r="LLY124" s="24"/>
      <c r="LLZ124" s="178"/>
      <c r="LMA124" s="24"/>
      <c r="LMB124" s="178"/>
      <c r="LMC124" s="24"/>
      <c r="LMD124" s="178"/>
      <c r="LME124" s="24"/>
      <c r="LMF124" s="178"/>
      <c r="LMG124" s="24"/>
      <c r="LMH124" s="178"/>
      <c r="LMI124" s="24"/>
      <c r="LMJ124" s="178"/>
      <c r="LMK124" s="24"/>
      <c r="LML124" s="178"/>
      <c r="LMM124" s="24"/>
      <c r="LMN124" s="178"/>
      <c r="LMO124" s="24"/>
      <c r="LMP124" s="178"/>
      <c r="LMQ124" s="24"/>
      <c r="LMR124" s="178"/>
      <c r="LMS124" s="24"/>
      <c r="LMT124" s="178"/>
      <c r="LMU124" s="24"/>
      <c r="LMV124" s="178"/>
      <c r="LMW124" s="24"/>
      <c r="LMX124" s="178"/>
      <c r="LMY124" s="24"/>
      <c r="LMZ124" s="178"/>
      <c r="LNA124" s="24"/>
      <c r="LNB124" s="178"/>
      <c r="LNC124" s="24"/>
      <c r="LND124" s="178"/>
      <c r="LNE124" s="24"/>
      <c r="LNF124" s="178"/>
      <c r="LNG124" s="24"/>
      <c r="LNH124" s="178"/>
      <c r="LNI124" s="24"/>
      <c r="LNJ124" s="178"/>
      <c r="LNK124" s="24"/>
      <c r="LNL124" s="178"/>
      <c r="LNM124" s="24"/>
      <c r="LNN124" s="178"/>
      <c r="LNO124" s="24"/>
      <c r="LNP124" s="178"/>
      <c r="LNQ124" s="24"/>
      <c r="LNR124" s="178"/>
      <c r="LNS124" s="24"/>
      <c r="LNT124" s="178"/>
      <c r="LNU124" s="24"/>
      <c r="LNV124" s="178"/>
      <c r="LNW124" s="24"/>
      <c r="LNX124" s="178"/>
      <c r="LNY124" s="24"/>
      <c r="LNZ124" s="178"/>
      <c r="LOA124" s="24"/>
      <c r="LOB124" s="178"/>
      <c r="LOC124" s="24"/>
      <c r="LOD124" s="178"/>
      <c r="LOE124" s="24"/>
      <c r="LOF124" s="178"/>
      <c r="LOG124" s="24"/>
      <c r="LOH124" s="178"/>
      <c r="LOI124" s="24"/>
      <c r="LOJ124" s="178"/>
      <c r="LOK124" s="24"/>
      <c r="LOL124" s="178"/>
      <c r="LOM124" s="24"/>
      <c r="LON124" s="178"/>
      <c r="LOO124" s="24"/>
      <c r="LOP124" s="178"/>
      <c r="LOQ124" s="24"/>
      <c r="LOR124" s="178"/>
      <c r="LOS124" s="24"/>
      <c r="LOT124" s="178"/>
      <c r="LOU124" s="24"/>
      <c r="LOV124" s="178"/>
      <c r="LOW124" s="24"/>
      <c r="LOX124" s="178"/>
      <c r="LOY124" s="24"/>
      <c r="LOZ124" s="178"/>
      <c r="LPA124" s="24"/>
      <c r="LPB124" s="178"/>
      <c r="LPC124" s="24"/>
      <c r="LPD124" s="178"/>
      <c r="LPE124" s="24"/>
      <c r="LPF124" s="178"/>
      <c r="LPG124" s="24"/>
      <c r="LPH124" s="178"/>
      <c r="LPI124" s="24"/>
      <c r="LPJ124" s="178"/>
      <c r="LPK124" s="24"/>
      <c r="LPL124" s="178"/>
      <c r="LPM124" s="24"/>
      <c r="LPN124" s="178"/>
      <c r="LPO124" s="24"/>
      <c r="LPP124" s="178"/>
      <c r="LPQ124" s="24"/>
      <c r="LPR124" s="178"/>
      <c r="LPS124" s="24"/>
      <c r="LPT124" s="178"/>
      <c r="LPU124" s="24"/>
      <c r="LPV124" s="178"/>
      <c r="LPW124" s="24"/>
      <c r="LPX124" s="178"/>
      <c r="LPY124" s="24"/>
      <c r="LPZ124" s="178"/>
      <c r="LQA124" s="24"/>
      <c r="LQB124" s="178"/>
      <c r="LQC124" s="24"/>
      <c r="LQD124" s="178"/>
      <c r="LQE124" s="24"/>
      <c r="LQF124" s="178"/>
      <c r="LQG124" s="24"/>
      <c r="LQH124" s="178"/>
      <c r="LQI124" s="24"/>
      <c r="LQJ124" s="178"/>
      <c r="LQK124" s="24"/>
      <c r="LQL124" s="178"/>
      <c r="LQM124" s="24"/>
      <c r="LQN124" s="178"/>
      <c r="LQO124" s="24"/>
      <c r="LQP124" s="178"/>
      <c r="LQQ124" s="24"/>
      <c r="LQR124" s="178"/>
      <c r="LQS124" s="24"/>
      <c r="LQT124" s="178"/>
      <c r="LQU124" s="24"/>
      <c r="LQV124" s="178"/>
      <c r="LQW124" s="24"/>
      <c r="LQX124" s="178"/>
      <c r="LQY124" s="24"/>
      <c r="LQZ124" s="178"/>
      <c r="LRA124" s="24"/>
      <c r="LRB124" s="178"/>
      <c r="LRC124" s="24"/>
      <c r="LRD124" s="178"/>
      <c r="LRE124" s="24"/>
      <c r="LRF124" s="178"/>
      <c r="LRG124" s="24"/>
      <c r="LRH124" s="178"/>
      <c r="LRI124" s="24"/>
      <c r="LRJ124" s="178"/>
      <c r="LRK124" s="24"/>
      <c r="LRL124" s="178"/>
      <c r="LRM124" s="24"/>
      <c r="LRN124" s="178"/>
      <c r="LRO124" s="24"/>
      <c r="LRP124" s="178"/>
      <c r="LRQ124" s="24"/>
      <c r="LRR124" s="178"/>
      <c r="LRS124" s="24"/>
      <c r="LRT124" s="178"/>
      <c r="LRU124" s="24"/>
      <c r="LRV124" s="178"/>
      <c r="LRW124" s="24"/>
      <c r="LRX124" s="178"/>
      <c r="LRY124" s="24"/>
      <c r="LRZ124" s="178"/>
      <c r="LSA124" s="24"/>
      <c r="LSB124" s="178"/>
      <c r="LSC124" s="24"/>
      <c r="LSD124" s="178"/>
      <c r="LSE124" s="24"/>
      <c r="LSF124" s="178"/>
      <c r="LSG124" s="24"/>
      <c r="LSH124" s="178"/>
      <c r="LSI124" s="24"/>
      <c r="LSJ124" s="178"/>
      <c r="LSK124" s="24"/>
      <c r="LSL124" s="178"/>
      <c r="LSM124" s="24"/>
      <c r="LSN124" s="178"/>
      <c r="LSO124" s="24"/>
      <c r="LSP124" s="178"/>
      <c r="LSQ124" s="24"/>
      <c r="LSR124" s="178"/>
      <c r="LSS124" s="24"/>
      <c r="LST124" s="178"/>
      <c r="LSU124" s="24"/>
      <c r="LSV124" s="178"/>
      <c r="LSW124" s="24"/>
      <c r="LSX124" s="178"/>
      <c r="LSY124" s="24"/>
      <c r="LSZ124" s="178"/>
      <c r="LTA124" s="24"/>
      <c r="LTB124" s="178"/>
      <c r="LTC124" s="24"/>
      <c r="LTD124" s="178"/>
      <c r="LTE124" s="24"/>
      <c r="LTF124" s="178"/>
      <c r="LTG124" s="24"/>
      <c r="LTH124" s="178"/>
      <c r="LTI124" s="24"/>
      <c r="LTJ124" s="178"/>
      <c r="LTK124" s="24"/>
      <c r="LTL124" s="178"/>
      <c r="LTM124" s="24"/>
      <c r="LTN124" s="178"/>
      <c r="LTO124" s="24"/>
      <c r="LTP124" s="178"/>
      <c r="LTQ124" s="24"/>
      <c r="LTR124" s="178"/>
      <c r="LTS124" s="24"/>
      <c r="LTT124" s="178"/>
      <c r="LTU124" s="24"/>
      <c r="LTV124" s="178"/>
      <c r="LTW124" s="24"/>
      <c r="LTX124" s="178"/>
      <c r="LTY124" s="24"/>
      <c r="LTZ124" s="178"/>
      <c r="LUA124" s="24"/>
      <c r="LUB124" s="178"/>
      <c r="LUC124" s="24"/>
      <c r="LUD124" s="178"/>
      <c r="LUE124" s="24"/>
      <c r="LUF124" s="178"/>
      <c r="LUG124" s="24"/>
      <c r="LUH124" s="178"/>
      <c r="LUI124" s="24"/>
      <c r="LUJ124" s="178"/>
      <c r="LUK124" s="24"/>
      <c r="LUL124" s="178"/>
      <c r="LUM124" s="24"/>
      <c r="LUN124" s="178"/>
      <c r="LUO124" s="24"/>
      <c r="LUP124" s="178"/>
      <c r="LUQ124" s="24"/>
      <c r="LUR124" s="178"/>
      <c r="LUS124" s="24"/>
      <c r="LUT124" s="178"/>
      <c r="LUU124" s="24"/>
      <c r="LUV124" s="178"/>
      <c r="LUW124" s="24"/>
      <c r="LUX124" s="178"/>
      <c r="LUY124" s="24"/>
      <c r="LUZ124" s="178"/>
      <c r="LVA124" s="24"/>
      <c r="LVB124" s="178"/>
      <c r="LVC124" s="24"/>
      <c r="LVD124" s="178"/>
      <c r="LVE124" s="24"/>
      <c r="LVF124" s="178"/>
      <c r="LVG124" s="24"/>
      <c r="LVH124" s="178"/>
      <c r="LVI124" s="24"/>
      <c r="LVJ124" s="178"/>
      <c r="LVK124" s="24"/>
      <c r="LVL124" s="178"/>
      <c r="LVM124" s="24"/>
      <c r="LVN124" s="178"/>
      <c r="LVO124" s="24"/>
      <c r="LVP124" s="178"/>
      <c r="LVQ124" s="24"/>
      <c r="LVR124" s="178"/>
      <c r="LVS124" s="24"/>
      <c r="LVT124" s="178"/>
      <c r="LVU124" s="24"/>
      <c r="LVV124" s="178"/>
      <c r="LVW124" s="24"/>
      <c r="LVX124" s="178"/>
      <c r="LVY124" s="24"/>
      <c r="LVZ124" s="178"/>
      <c r="LWA124" s="24"/>
      <c r="LWB124" s="178"/>
      <c r="LWC124" s="24"/>
      <c r="LWD124" s="178"/>
      <c r="LWE124" s="24"/>
      <c r="LWF124" s="178"/>
      <c r="LWG124" s="24"/>
      <c r="LWH124" s="178"/>
      <c r="LWI124" s="24"/>
      <c r="LWJ124" s="178"/>
      <c r="LWK124" s="24"/>
      <c r="LWL124" s="178"/>
      <c r="LWM124" s="24"/>
      <c r="LWN124" s="178"/>
      <c r="LWO124" s="24"/>
      <c r="LWP124" s="178"/>
      <c r="LWQ124" s="24"/>
      <c r="LWR124" s="178"/>
      <c r="LWS124" s="24"/>
      <c r="LWT124" s="178"/>
      <c r="LWU124" s="24"/>
      <c r="LWV124" s="178"/>
      <c r="LWW124" s="24"/>
      <c r="LWX124" s="178"/>
      <c r="LWY124" s="24"/>
      <c r="LWZ124" s="178"/>
      <c r="LXA124" s="24"/>
      <c r="LXB124" s="178"/>
      <c r="LXC124" s="24"/>
      <c r="LXD124" s="178"/>
      <c r="LXE124" s="24"/>
      <c r="LXF124" s="178"/>
      <c r="LXG124" s="24"/>
      <c r="LXH124" s="178"/>
      <c r="LXI124" s="24"/>
      <c r="LXJ124" s="178"/>
      <c r="LXK124" s="24"/>
      <c r="LXL124" s="178"/>
      <c r="LXM124" s="24"/>
      <c r="LXN124" s="178"/>
      <c r="LXO124" s="24"/>
      <c r="LXP124" s="178"/>
      <c r="LXQ124" s="24"/>
      <c r="LXR124" s="178"/>
      <c r="LXS124" s="24"/>
      <c r="LXT124" s="178"/>
      <c r="LXU124" s="24"/>
      <c r="LXV124" s="178"/>
      <c r="LXW124" s="24"/>
      <c r="LXX124" s="178"/>
      <c r="LXY124" s="24"/>
      <c r="LXZ124" s="178"/>
      <c r="LYA124" s="24"/>
      <c r="LYB124" s="178"/>
      <c r="LYC124" s="24"/>
      <c r="LYD124" s="178"/>
      <c r="LYE124" s="24"/>
      <c r="LYF124" s="178"/>
      <c r="LYG124" s="24"/>
      <c r="LYH124" s="178"/>
      <c r="LYI124" s="24"/>
      <c r="LYJ124" s="178"/>
      <c r="LYK124" s="24"/>
      <c r="LYL124" s="178"/>
      <c r="LYM124" s="24"/>
      <c r="LYN124" s="178"/>
      <c r="LYO124" s="24"/>
      <c r="LYP124" s="178"/>
      <c r="LYQ124" s="24"/>
      <c r="LYR124" s="178"/>
      <c r="LYS124" s="24"/>
      <c r="LYT124" s="178"/>
      <c r="LYU124" s="24"/>
      <c r="LYV124" s="178"/>
      <c r="LYW124" s="24"/>
      <c r="LYX124" s="178"/>
      <c r="LYY124" s="24"/>
      <c r="LYZ124" s="178"/>
      <c r="LZA124" s="24"/>
      <c r="LZB124" s="178"/>
      <c r="LZC124" s="24"/>
      <c r="LZD124" s="178"/>
      <c r="LZE124" s="24"/>
      <c r="LZF124" s="178"/>
      <c r="LZG124" s="24"/>
      <c r="LZH124" s="178"/>
      <c r="LZI124" s="24"/>
      <c r="LZJ124" s="178"/>
      <c r="LZK124" s="24"/>
      <c r="LZL124" s="178"/>
      <c r="LZM124" s="24"/>
      <c r="LZN124" s="178"/>
      <c r="LZO124" s="24"/>
      <c r="LZP124" s="178"/>
      <c r="LZQ124" s="24"/>
      <c r="LZR124" s="178"/>
      <c r="LZS124" s="24"/>
      <c r="LZT124" s="178"/>
      <c r="LZU124" s="24"/>
      <c r="LZV124" s="178"/>
      <c r="LZW124" s="24"/>
      <c r="LZX124" s="178"/>
      <c r="LZY124" s="24"/>
      <c r="LZZ124" s="178"/>
      <c r="MAA124" s="24"/>
      <c r="MAB124" s="178"/>
      <c r="MAC124" s="24"/>
      <c r="MAD124" s="178"/>
      <c r="MAE124" s="24"/>
      <c r="MAF124" s="178"/>
      <c r="MAG124" s="24"/>
      <c r="MAH124" s="178"/>
      <c r="MAI124" s="24"/>
      <c r="MAJ124" s="178"/>
      <c r="MAK124" s="24"/>
      <c r="MAL124" s="178"/>
      <c r="MAM124" s="24"/>
      <c r="MAN124" s="178"/>
      <c r="MAO124" s="24"/>
      <c r="MAP124" s="178"/>
      <c r="MAQ124" s="24"/>
      <c r="MAR124" s="178"/>
      <c r="MAS124" s="24"/>
      <c r="MAT124" s="178"/>
      <c r="MAU124" s="24"/>
      <c r="MAV124" s="178"/>
      <c r="MAW124" s="24"/>
      <c r="MAX124" s="178"/>
      <c r="MAY124" s="24"/>
      <c r="MAZ124" s="178"/>
      <c r="MBA124" s="24"/>
      <c r="MBB124" s="178"/>
      <c r="MBC124" s="24"/>
      <c r="MBD124" s="178"/>
      <c r="MBE124" s="24"/>
      <c r="MBF124" s="178"/>
      <c r="MBG124" s="24"/>
      <c r="MBH124" s="178"/>
      <c r="MBI124" s="24"/>
      <c r="MBJ124" s="178"/>
      <c r="MBK124" s="24"/>
      <c r="MBL124" s="178"/>
      <c r="MBM124" s="24"/>
      <c r="MBN124" s="178"/>
      <c r="MBO124" s="24"/>
      <c r="MBP124" s="178"/>
      <c r="MBQ124" s="24"/>
      <c r="MBR124" s="178"/>
      <c r="MBS124" s="24"/>
      <c r="MBT124" s="178"/>
      <c r="MBU124" s="24"/>
      <c r="MBV124" s="178"/>
      <c r="MBW124" s="24"/>
      <c r="MBX124" s="178"/>
      <c r="MBY124" s="24"/>
      <c r="MBZ124" s="178"/>
      <c r="MCA124" s="24"/>
      <c r="MCB124" s="178"/>
      <c r="MCC124" s="24"/>
      <c r="MCD124" s="178"/>
      <c r="MCE124" s="24"/>
      <c r="MCF124" s="178"/>
      <c r="MCG124" s="24"/>
      <c r="MCH124" s="178"/>
      <c r="MCI124" s="24"/>
      <c r="MCJ124" s="178"/>
      <c r="MCK124" s="24"/>
      <c r="MCL124" s="178"/>
      <c r="MCM124" s="24"/>
      <c r="MCN124" s="178"/>
      <c r="MCO124" s="24"/>
      <c r="MCP124" s="178"/>
      <c r="MCQ124" s="24"/>
      <c r="MCR124" s="178"/>
      <c r="MCS124" s="24"/>
      <c r="MCT124" s="178"/>
      <c r="MCU124" s="24"/>
      <c r="MCV124" s="178"/>
      <c r="MCW124" s="24"/>
      <c r="MCX124" s="178"/>
      <c r="MCY124" s="24"/>
      <c r="MCZ124" s="178"/>
      <c r="MDA124" s="24"/>
      <c r="MDB124" s="178"/>
      <c r="MDC124" s="24"/>
      <c r="MDD124" s="178"/>
      <c r="MDE124" s="24"/>
      <c r="MDF124" s="178"/>
      <c r="MDG124" s="24"/>
      <c r="MDH124" s="178"/>
      <c r="MDI124" s="24"/>
      <c r="MDJ124" s="178"/>
      <c r="MDK124" s="24"/>
      <c r="MDL124" s="178"/>
      <c r="MDM124" s="24"/>
      <c r="MDN124" s="178"/>
      <c r="MDO124" s="24"/>
      <c r="MDP124" s="178"/>
      <c r="MDQ124" s="24"/>
      <c r="MDR124" s="178"/>
      <c r="MDS124" s="24"/>
      <c r="MDT124" s="178"/>
      <c r="MDU124" s="24"/>
      <c r="MDV124" s="178"/>
      <c r="MDW124" s="24"/>
      <c r="MDX124" s="178"/>
      <c r="MDY124" s="24"/>
      <c r="MDZ124" s="178"/>
      <c r="MEA124" s="24"/>
      <c r="MEB124" s="178"/>
      <c r="MEC124" s="24"/>
      <c r="MED124" s="178"/>
      <c r="MEE124" s="24"/>
      <c r="MEF124" s="178"/>
      <c r="MEG124" s="24"/>
      <c r="MEH124" s="178"/>
      <c r="MEI124" s="24"/>
      <c r="MEJ124" s="178"/>
      <c r="MEK124" s="24"/>
      <c r="MEL124" s="178"/>
      <c r="MEM124" s="24"/>
      <c r="MEN124" s="178"/>
      <c r="MEO124" s="24"/>
      <c r="MEP124" s="178"/>
      <c r="MEQ124" s="24"/>
      <c r="MER124" s="178"/>
      <c r="MES124" s="24"/>
      <c r="MET124" s="178"/>
      <c r="MEU124" s="24"/>
      <c r="MEV124" s="178"/>
      <c r="MEW124" s="24"/>
      <c r="MEX124" s="178"/>
      <c r="MEY124" s="24"/>
      <c r="MEZ124" s="178"/>
      <c r="MFA124" s="24"/>
      <c r="MFB124" s="178"/>
      <c r="MFC124" s="24"/>
      <c r="MFD124" s="178"/>
      <c r="MFE124" s="24"/>
      <c r="MFF124" s="178"/>
      <c r="MFG124" s="24"/>
      <c r="MFH124" s="178"/>
      <c r="MFI124" s="24"/>
      <c r="MFJ124" s="178"/>
      <c r="MFK124" s="24"/>
      <c r="MFL124" s="178"/>
      <c r="MFM124" s="24"/>
      <c r="MFN124" s="178"/>
      <c r="MFO124" s="24"/>
      <c r="MFP124" s="178"/>
      <c r="MFQ124" s="24"/>
      <c r="MFR124" s="178"/>
      <c r="MFS124" s="24"/>
      <c r="MFT124" s="178"/>
      <c r="MFU124" s="24"/>
      <c r="MFV124" s="178"/>
      <c r="MFW124" s="24"/>
      <c r="MFX124" s="178"/>
      <c r="MFY124" s="24"/>
      <c r="MFZ124" s="178"/>
      <c r="MGA124" s="24"/>
      <c r="MGB124" s="178"/>
      <c r="MGC124" s="24"/>
      <c r="MGD124" s="178"/>
      <c r="MGE124" s="24"/>
      <c r="MGF124" s="178"/>
      <c r="MGG124" s="24"/>
      <c r="MGH124" s="178"/>
      <c r="MGI124" s="24"/>
      <c r="MGJ124" s="178"/>
      <c r="MGK124" s="24"/>
      <c r="MGL124" s="178"/>
      <c r="MGM124" s="24"/>
      <c r="MGN124" s="178"/>
      <c r="MGO124" s="24"/>
      <c r="MGP124" s="178"/>
      <c r="MGQ124" s="24"/>
      <c r="MGR124" s="178"/>
      <c r="MGS124" s="24"/>
      <c r="MGT124" s="178"/>
      <c r="MGU124" s="24"/>
      <c r="MGV124" s="178"/>
      <c r="MGW124" s="24"/>
      <c r="MGX124" s="178"/>
      <c r="MGY124" s="24"/>
      <c r="MGZ124" s="178"/>
      <c r="MHA124" s="24"/>
      <c r="MHB124" s="178"/>
      <c r="MHC124" s="24"/>
      <c r="MHD124" s="178"/>
      <c r="MHE124" s="24"/>
      <c r="MHF124" s="178"/>
      <c r="MHG124" s="24"/>
      <c r="MHH124" s="178"/>
      <c r="MHI124" s="24"/>
      <c r="MHJ124" s="178"/>
      <c r="MHK124" s="24"/>
      <c r="MHL124" s="178"/>
      <c r="MHM124" s="24"/>
      <c r="MHN124" s="178"/>
      <c r="MHO124" s="24"/>
      <c r="MHP124" s="178"/>
      <c r="MHQ124" s="24"/>
      <c r="MHR124" s="178"/>
      <c r="MHS124" s="24"/>
      <c r="MHT124" s="178"/>
      <c r="MHU124" s="24"/>
      <c r="MHV124" s="178"/>
      <c r="MHW124" s="24"/>
      <c r="MHX124" s="178"/>
      <c r="MHY124" s="24"/>
      <c r="MHZ124" s="178"/>
      <c r="MIA124" s="24"/>
      <c r="MIB124" s="178"/>
      <c r="MIC124" s="24"/>
      <c r="MID124" s="178"/>
      <c r="MIE124" s="24"/>
      <c r="MIF124" s="178"/>
      <c r="MIG124" s="24"/>
      <c r="MIH124" s="178"/>
      <c r="MII124" s="24"/>
      <c r="MIJ124" s="178"/>
      <c r="MIK124" s="24"/>
      <c r="MIL124" s="178"/>
      <c r="MIM124" s="24"/>
      <c r="MIN124" s="178"/>
      <c r="MIO124" s="24"/>
      <c r="MIP124" s="178"/>
      <c r="MIQ124" s="24"/>
      <c r="MIR124" s="178"/>
      <c r="MIS124" s="24"/>
      <c r="MIT124" s="178"/>
      <c r="MIU124" s="24"/>
      <c r="MIV124" s="178"/>
      <c r="MIW124" s="24"/>
      <c r="MIX124" s="178"/>
      <c r="MIY124" s="24"/>
      <c r="MIZ124" s="178"/>
      <c r="MJA124" s="24"/>
      <c r="MJB124" s="178"/>
      <c r="MJC124" s="24"/>
      <c r="MJD124" s="178"/>
      <c r="MJE124" s="24"/>
      <c r="MJF124" s="178"/>
      <c r="MJG124" s="24"/>
      <c r="MJH124" s="178"/>
      <c r="MJI124" s="24"/>
      <c r="MJJ124" s="178"/>
      <c r="MJK124" s="24"/>
      <c r="MJL124" s="178"/>
      <c r="MJM124" s="24"/>
      <c r="MJN124" s="178"/>
      <c r="MJO124" s="24"/>
      <c r="MJP124" s="178"/>
      <c r="MJQ124" s="24"/>
      <c r="MJR124" s="178"/>
      <c r="MJS124" s="24"/>
      <c r="MJT124" s="178"/>
      <c r="MJU124" s="24"/>
      <c r="MJV124" s="178"/>
      <c r="MJW124" s="24"/>
      <c r="MJX124" s="178"/>
      <c r="MJY124" s="24"/>
      <c r="MJZ124" s="178"/>
      <c r="MKA124" s="24"/>
      <c r="MKB124" s="178"/>
      <c r="MKC124" s="24"/>
      <c r="MKD124" s="178"/>
      <c r="MKE124" s="24"/>
      <c r="MKF124" s="178"/>
      <c r="MKG124" s="24"/>
      <c r="MKH124" s="178"/>
      <c r="MKI124" s="24"/>
      <c r="MKJ124" s="178"/>
      <c r="MKK124" s="24"/>
      <c r="MKL124" s="178"/>
      <c r="MKM124" s="24"/>
      <c r="MKN124" s="178"/>
      <c r="MKO124" s="24"/>
      <c r="MKP124" s="178"/>
      <c r="MKQ124" s="24"/>
      <c r="MKR124" s="178"/>
      <c r="MKS124" s="24"/>
      <c r="MKT124" s="178"/>
      <c r="MKU124" s="24"/>
      <c r="MKV124" s="178"/>
      <c r="MKW124" s="24"/>
      <c r="MKX124" s="178"/>
      <c r="MKY124" s="24"/>
      <c r="MKZ124" s="178"/>
      <c r="MLA124" s="24"/>
      <c r="MLB124" s="178"/>
      <c r="MLC124" s="24"/>
      <c r="MLD124" s="178"/>
      <c r="MLE124" s="24"/>
      <c r="MLF124" s="178"/>
      <c r="MLG124" s="24"/>
      <c r="MLH124" s="178"/>
      <c r="MLI124" s="24"/>
      <c r="MLJ124" s="178"/>
      <c r="MLK124" s="24"/>
      <c r="MLL124" s="178"/>
      <c r="MLM124" s="24"/>
      <c r="MLN124" s="178"/>
      <c r="MLO124" s="24"/>
      <c r="MLP124" s="178"/>
      <c r="MLQ124" s="24"/>
      <c r="MLR124" s="178"/>
      <c r="MLS124" s="24"/>
      <c r="MLT124" s="178"/>
      <c r="MLU124" s="24"/>
      <c r="MLV124" s="178"/>
      <c r="MLW124" s="24"/>
      <c r="MLX124" s="178"/>
      <c r="MLY124" s="24"/>
      <c r="MLZ124" s="178"/>
      <c r="MMA124" s="24"/>
      <c r="MMB124" s="178"/>
      <c r="MMC124" s="24"/>
      <c r="MMD124" s="178"/>
      <c r="MME124" s="24"/>
      <c r="MMF124" s="178"/>
      <c r="MMG124" s="24"/>
      <c r="MMH124" s="178"/>
      <c r="MMI124" s="24"/>
      <c r="MMJ124" s="178"/>
      <c r="MMK124" s="24"/>
      <c r="MML124" s="178"/>
      <c r="MMM124" s="24"/>
      <c r="MMN124" s="178"/>
      <c r="MMO124" s="24"/>
      <c r="MMP124" s="178"/>
      <c r="MMQ124" s="24"/>
      <c r="MMR124" s="178"/>
      <c r="MMS124" s="24"/>
      <c r="MMT124" s="178"/>
      <c r="MMU124" s="24"/>
      <c r="MMV124" s="178"/>
      <c r="MMW124" s="24"/>
      <c r="MMX124" s="178"/>
      <c r="MMY124" s="24"/>
      <c r="MMZ124" s="178"/>
      <c r="MNA124" s="24"/>
      <c r="MNB124" s="178"/>
      <c r="MNC124" s="24"/>
      <c r="MND124" s="178"/>
      <c r="MNE124" s="24"/>
      <c r="MNF124" s="178"/>
      <c r="MNG124" s="24"/>
      <c r="MNH124" s="178"/>
      <c r="MNI124" s="24"/>
      <c r="MNJ124" s="178"/>
      <c r="MNK124" s="24"/>
      <c r="MNL124" s="178"/>
      <c r="MNM124" s="24"/>
      <c r="MNN124" s="178"/>
      <c r="MNO124" s="24"/>
      <c r="MNP124" s="178"/>
      <c r="MNQ124" s="24"/>
      <c r="MNR124" s="178"/>
      <c r="MNS124" s="24"/>
      <c r="MNT124" s="178"/>
      <c r="MNU124" s="24"/>
      <c r="MNV124" s="178"/>
      <c r="MNW124" s="24"/>
      <c r="MNX124" s="178"/>
      <c r="MNY124" s="24"/>
      <c r="MNZ124" s="178"/>
      <c r="MOA124" s="24"/>
      <c r="MOB124" s="178"/>
      <c r="MOC124" s="24"/>
      <c r="MOD124" s="178"/>
      <c r="MOE124" s="24"/>
      <c r="MOF124" s="178"/>
      <c r="MOG124" s="24"/>
      <c r="MOH124" s="178"/>
      <c r="MOI124" s="24"/>
      <c r="MOJ124" s="178"/>
      <c r="MOK124" s="24"/>
      <c r="MOL124" s="178"/>
      <c r="MOM124" s="24"/>
      <c r="MON124" s="178"/>
      <c r="MOO124" s="24"/>
      <c r="MOP124" s="178"/>
      <c r="MOQ124" s="24"/>
      <c r="MOR124" s="178"/>
      <c r="MOS124" s="24"/>
      <c r="MOT124" s="178"/>
      <c r="MOU124" s="24"/>
      <c r="MOV124" s="178"/>
      <c r="MOW124" s="24"/>
      <c r="MOX124" s="178"/>
      <c r="MOY124" s="24"/>
      <c r="MOZ124" s="178"/>
      <c r="MPA124" s="24"/>
      <c r="MPB124" s="178"/>
      <c r="MPC124" s="24"/>
      <c r="MPD124" s="178"/>
      <c r="MPE124" s="24"/>
      <c r="MPF124" s="178"/>
      <c r="MPG124" s="24"/>
      <c r="MPH124" s="178"/>
      <c r="MPI124" s="24"/>
      <c r="MPJ124" s="178"/>
      <c r="MPK124" s="24"/>
      <c r="MPL124" s="178"/>
      <c r="MPM124" s="24"/>
      <c r="MPN124" s="178"/>
      <c r="MPO124" s="24"/>
      <c r="MPP124" s="178"/>
      <c r="MPQ124" s="24"/>
      <c r="MPR124" s="178"/>
      <c r="MPS124" s="24"/>
      <c r="MPT124" s="178"/>
      <c r="MPU124" s="24"/>
      <c r="MPV124" s="178"/>
      <c r="MPW124" s="24"/>
      <c r="MPX124" s="178"/>
      <c r="MPY124" s="24"/>
      <c r="MPZ124" s="178"/>
      <c r="MQA124" s="24"/>
      <c r="MQB124" s="178"/>
      <c r="MQC124" s="24"/>
      <c r="MQD124" s="178"/>
      <c r="MQE124" s="24"/>
      <c r="MQF124" s="178"/>
      <c r="MQG124" s="24"/>
      <c r="MQH124" s="178"/>
      <c r="MQI124" s="24"/>
      <c r="MQJ124" s="178"/>
      <c r="MQK124" s="24"/>
      <c r="MQL124" s="178"/>
      <c r="MQM124" s="24"/>
      <c r="MQN124" s="178"/>
      <c r="MQO124" s="24"/>
      <c r="MQP124" s="178"/>
      <c r="MQQ124" s="24"/>
      <c r="MQR124" s="178"/>
      <c r="MQS124" s="24"/>
      <c r="MQT124" s="178"/>
      <c r="MQU124" s="24"/>
      <c r="MQV124" s="178"/>
      <c r="MQW124" s="24"/>
      <c r="MQX124" s="178"/>
      <c r="MQY124" s="24"/>
      <c r="MQZ124" s="178"/>
      <c r="MRA124" s="24"/>
      <c r="MRB124" s="178"/>
      <c r="MRC124" s="24"/>
      <c r="MRD124" s="178"/>
      <c r="MRE124" s="24"/>
      <c r="MRF124" s="178"/>
      <c r="MRG124" s="24"/>
      <c r="MRH124" s="178"/>
      <c r="MRI124" s="24"/>
      <c r="MRJ124" s="178"/>
      <c r="MRK124" s="24"/>
      <c r="MRL124" s="178"/>
      <c r="MRM124" s="24"/>
      <c r="MRN124" s="178"/>
      <c r="MRO124" s="24"/>
      <c r="MRP124" s="178"/>
      <c r="MRQ124" s="24"/>
      <c r="MRR124" s="178"/>
      <c r="MRS124" s="24"/>
      <c r="MRT124" s="178"/>
      <c r="MRU124" s="24"/>
      <c r="MRV124" s="178"/>
      <c r="MRW124" s="24"/>
      <c r="MRX124" s="178"/>
      <c r="MRY124" s="24"/>
      <c r="MRZ124" s="178"/>
      <c r="MSA124" s="24"/>
      <c r="MSB124" s="178"/>
      <c r="MSC124" s="24"/>
      <c r="MSD124" s="178"/>
      <c r="MSE124" s="24"/>
      <c r="MSF124" s="178"/>
      <c r="MSG124" s="24"/>
      <c r="MSH124" s="178"/>
      <c r="MSI124" s="24"/>
      <c r="MSJ124" s="178"/>
      <c r="MSK124" s="24"/>
      <c r="MSL124" s="178"/>
      <c r="MSM124" s="24"/>
      <c r="MSN124" s="178"/>
      <c r="MSO124" s="24"/>
      <c r="MSP124" s="178"/>
      <c r="MSQ124" s="24"/>
      <c r="MSR124" s="178"/>
      <c r="MSS124" s="24"/>
      <c r="MST124" s="178"/>
      <c r="MSU124" s="24"/>
      <c r="MSV124" s="178"/>
      <c r="MSW124" s="24"/>
      <c r="MSX124" s="178"/>
      <c r="MSY124" s="24"/>
      <c r="MSZ124" s="178"/>
      <c r="MTA124" s="24"/>
      <c r="MTB124" s="178"/>
      <c r="MTC124" s="24"/>
      <c r="MTD124" s="178"/>
      <c r="MTE124" s="24"/>
      <c r="MTF124" s="178"/>
      <c r="MTG124" s="24"/>
      <c r="MTH124" s="178"/>
      <c r="MTI124" s="24"/>
      <c r="MTJ124" s="178"/>
      <c r="MTK124" s="24"/>
      <c r="MTL124" s="178"/>
      <c r="MTM124" s="24"/>
      <c r="MTN124" s="178"/>
      <c r="MTO124" s="24"/>
      <c r="MTP124" s="178"/>
      <c r="MTQ124" s="24"/>
      <c r="MTR124" s="178"/>
      <c r="MTS124" s="24"/>
      <c r="MTT124" s="178"/>
      <c r="MTU124" s="24"/>
      <c r="MTV124" s="178"/>
      <c r="MTW124" s="24"/>
      <c r="MTX124" s="178"/>
      <c r="MTY124" s="24"/>
      <c r="MTZ124" s="178"/>
      <c r="MUA124" s="24"/>
      <c r="MUB124" s="178"/>
      <c r="MUC124" s="24"/>
      <c r="MUD124" s="178"/>
      <c r="MUE124" s="24"/>
      <c r="MUF124" s="178"/>
      <c r="MUG124" s="24"/>
      <c r="MUH124" s="178"/>
      <c r="MUI124" s="24"/>
      <c r="MUJ124" s="178"/>
      <c r="MUK124" s="24"/>
      <c r="MUL124" s="178"/>
      <c r="MUM124" s="24"/>
      <c r="MUN124" s="178"/>
      <c r="MUO124" s="24"/>
      <c r="MUP124" s="178"/>
      <c r="MUQ124" s="24"/>
      <c r="MUR124" s="178"/>
      <c r="MUS124" s="24"/>
      <c r="MUT124" s="178"/>
      <c r="MUU124" s="24"/>
      <c r="MUV124" s="178"/>
      <c r="MUW124" s="24"/>
      <c r="MUX124" s="178"/>
      <c r="MUY124" s="24"/>
      <c r="MUZ124" s="178"/>
      <c r="MVA124" s="24"/>
      <c r="MVB124" s="178"/>
      <c r="MVC124" s="24"/>
      <c r="MVD124" s="178"/>
      <c r="MVE124" s="24"/>
      <c r="MVF124" s="178"/>
      <c r="MVG124" s="24"/>
      <c r="MVH124" s="178"/>
      <c r="MVI124" s="24"/>
      <c r="MVJ124" s="178"/>
      <c r="MVK124" s="24"/>
      <c r="MVL124" s="178"/>
      <c r="MVM124" s="24"/>
      <c r="MVN124" s="178"/>
      <c r="MVO124" s="24"/>
      <c r="MVP124" s="178"/>
      <c r="MVQ124" s="24"/>
      <c r="MVR124" s="178"/>
      <c r="MVS124" s="24"/>
      <c r="MVT124" s="178"/>
      <c r="MVU124" s="24"/>
      <c r="MVV124" s="178"/>
      <c r="MVW124" s="24"/>
      <c r="MVX124" s="178"/>
      <c r="MVY124" s="24"/>
      <c r="MVZ124" s="178"/>
      <c r="MWA124" s="24"/>
      <c r="MWB124" s="178"/>
      <c r="MWC124" s="24"/>
      <c r="MWD124" s="178"/>
      <c r="MWE124" s="24"/>
      <c r="MWF124" s="178"/>
      <c r="MWG124" s="24"/>
      <c r="MWH124" s="178"/>
      <c r="MWI124" s="24"/>
      <c r="MWJ124" s="178"/>
      <c r="MWK124" s="24"/>
      <c r="MWL124" s="178"/>
      <c r="MWM124" s="24"/>
      <c r="MWN124" s="178"/>
      <c r="MWO124" s="24"/>
      <c r="MWP124" s="178"/>
      <c r="MWQ124" s="24"/>
      <c r="MWR124" s="178"/>
      <c r="MWS124" s="24"/>
      <c r="MWT124" s="178"/>
      <c r="MWU124" s="24"/>
      <c r="MWV124" s="178"/>
      <c r="MWW124" s="24"/>
      <c r="MWX124" s="178"/>
      <c r="MWY124" s="24"/>
      <c r="MWZ124" s="178"/>
      <c r="MXA124" s="24"/>
      <c r="MXB124" s="178"/>
      <c r="MXC124" s="24"/>
      <c r="MXD124" s="178"/>
      <c r="MXE124" s="24"/>
      <c r="MXF124" s="178"/>
      <c r="MXG124" s="24"/>
      <c r="MXH124" s="178"/>
      <c r="MXI124" s="24"/>
      <c r="MXJ124" s="178"/>
      <c r="MXK124" s="24"/>
      <c r="MXL124" s="178"/>
      <c r="MXM124" s="24"/>
      <c r="MXN124" s="178"/>
      <c r="MXO124" s="24"/>
      <c r="MXP124" s="178"/>
      <c r="MXQ124" s="24"/>
      <c r="MXR124" s="178"/>
      <c r="MXS124" s="24"/>
      <c r="MXT124" s="178"/>
      <c r="MXU124" s="24"/>
      <c r="MXV124" s="178"/>
      <c r="MXW124" s="24"/>
      <c r="MXX124" s="178"/>
      <c r="MXY124" s="24"/>
      <c r="MXZ124" s="178"/>
      <c r="MYA124" s="24"/>
      <c r="MYB124" s="178"/>
      <c r="MYC124" s="24"/>
      <c r="MYD124" s="178"/>
      <c r="MYE124" s="24"/>
      <c r="MYF124" s="178"/>
      <c r="MYG124" s="24"/>
      <c r="MYH124" s="178"/>
      <c r="MYI124" s="24"/>
      <c r="MYJ124" s="178"/>
      <c r="MYK124" s="24"/>
      <c r="MYL124" s="178"/>
      <c r="MYM124" s="24"/>
      <c r="MYN124" s="178"/>
      <c r="MYO124" s="24"/>
      <c r="MYP124" s="178"/>
      <c r="MYQ124" s="24"/>
      <c r="MYR124" s="178"/>
      <c r="MYS124" s="24"/>
      <c r="MYT124" s="178"/>
      <c r="MYU124" s="24"/>
      <c r="MYV124" s="178"/>
      <c r="MYW124" s="24"/>
      <c r="MYX124" s="178"/>
      <c r="MYY124" s="24"/>
      <c r="MYZ124" s="178"/>
      <c r="MZA124" s="24"/>
      <c r="MZB124" s="178"/>
      <c r="MZC124" s="24"/>
      <c r="MZD124" s="178"/>
      <c r="MZE124" s="24"/>
      <c r="MZF124" s="178"/>
      <c r="MZG124" s="24"/>
      <c r="MZH124" s="178"/>
      <c r="MZI124" s="24"/>
      <c r="MZJ124" s="178"/>
      <c r="MZK124" s="24"/>
      <c r="MZL124" s="178"/>
      <c r="MZM124" s="24"/>
      <c r="MZN124" s="178"/>
      <c r="MZO124" s="24"/>
      <c r="MZP124" s="178"/>
      <c r="MZQ124" s="24"/>
      <c r="MZR124" s="178"/>
      <c r="MZS124" s="24"/>
      <c r="MZT124" s="178"/>
      <c r="MZU124" s="24"/>
      <c r="MZV124" s="178"/>
      <c r="MZW124" s="24"/>
      <c r="MZX124" s="178"/>
      <c r="MZY124" s="24"/>
      <c r="MZZ124" s="178"/>
      <c r="NAA124" s="24"/>
      <c r="NAB124" s="178"/>
      <c r="NAC124" s="24"/>
      <c r="NAD124" s="178"/>
      <c r="NAE124" s="24"/>
      <c r="NAF124" s="178"/>
      <c r="NAG124" s="24"/>
      <c r="NAH124" s="178"/>
      <c r="NAI124" s="24"/>
      <c r="NAJ124" s="178"/>
      <c r="NAK124" s="24"/>
      <c r="NAL124" s="178"/>
      <c r="NAM124" s="24"/>
      <c r="NAN124" s="178"/>
      <c r="NAO124" s="24"/>
      <c r="NAP124" s="178"/>
      <c r="NAQ124" s="24"/>
      <c r="NAR124" s="178"/>
      <c r="NAS124" s="24"/>
      <c r="NAT124" s="178"/>
      <c r="NAU124" s="24"/>
      <c r="NAV124" s="178"/>
      <c r="NAW124" s="24"/>
      <c r="NAX124" s="178"/>
      <c r="NAY124" s="24"/>
      <c r="NAZ124" s="178"/>
      <c r="NBA124" s="24"/>
      <c r="NBB124" s="178"/>
      <c r="NBC124" s="24"/>
      <c r="NBD124" s="178"/>
      <c r="NBE124" s="24"/>
      <c r="NBF124" s="178"/>
      <c r="NBG124" s="24"/>
      <c r="NBH124" s="178"/>
      <c r="NBI124" s="24"/>
      <c r="NBJ124" s="178"/>
      <c r="NBK124" s="24"/>
      <c r="NBL124" s="178"/>
      <c r="NBM124" s="24"/>
      <c r="NBN124" s="178"/>
      <c r="NBO124" s="24"/>
      <c r="NBP124" s="178"/>
      <c r="NBQ124" s="24"/>
      <c r="NBR124" s="178"/>
      <c r="NBS124" s="24"/>
      <c r="NBT124" s="178"/>
      <c r="NBU124" s="24"/>
      <c r="NBV124" s="178"/>
      <c r="NBW124" s="24"/>
      <c r="NBX124" s="178"/>
      <c r="NBY124" s="24"/>
      <c r="NBZ124" s="178"/>
      <c r="NCA124" s="24"/>
      <c r="NCB124" s="178"/>
      <c r="NCC124" s="24"/>
      <c r="NCD124" s="178"/>
      <c r="NCE124" s="24"/>
      <c r="NCF124" s="178"/>
      <c r="NCG124" s="24"/>
      <c r="NCH124" s="178"/>
      <c r="NCI124" s="24"/>
      <c r="NCJ124" s="178"/>
      <c r="NCK124" s="24"/>
      <c r="NCL124" s="178"/>
      <c r="NCM124" s="24"/>
      <c r="NCN124" s="178"/>
      <c r="NCO124" s="24"/>
      <c r="NCP124" s="178"/>
      <c r="NCQ124" s="24"/>
      <c r="NCR124" s="178"/>
      <c r="NCS124" s="24"/>
      <c r="NCT124" s="178"/>
      <c r="NCU124" s="24"/>
      <c r="NCV124" s="178"/>
      <c r="NCW124" s="24"/>
      <c r="NCX124" s="178"/>
      <c r="NCY124" s="24"/>
      <c r="NCZ124" s="178"/>
      <c r="NDA124" s="24"/>
      <c r="NDB124" s="178"/>
      <c r="NDC124" s="24"/>
      <c r="NDD124" s="178"/>
      <c r="NDE124" s="24"/>
      <c r="NDF124" s="178"/>
      <c r="NDG124" s="24"/>
      <c r="NDH124" s="178"/>
      <c r="NDI124" s="24"/>
      <c r="NDJ124" s="178"/>
      <c r="NDK124" s="24"/>
      <c r="NDL124" s="178"/>
      <c r="NDM124" s="24"/>
      <c r="NDN124" s="178"/>
      <c r="NDO124" s="24"/>
      <c r="NDP124" s="178"/>
      <c r="NDQ124" s="24"/>
      <c r="NDR124" s="178"/>
      <c r="NDS124" s="24"/>
      <c r="NDT124" s="178"/>
      <c r="NDU124" s="24"/>
      <c r="NDV124" s="178"/>
      <c r="NDW124" s="24"/>
      <c r="NDX124" s="178"/>
      <c r="NDY124" s="24"/>
      <c r="NDZ124" s="178"/>
      <c r="NEA124" s="24"/>
      <c r="NEB124" s="178"/>
      <c r="NEC124" s="24"/>
      <c r="NED124" s="178"/>
      <c r="NEE124" s="24"/>
      <c r="NEF124" s="178"/>
      <c r="NEG124" s="24"/>
      <c r="NEH124" s="178"/>
      <c r="NEI124" s="24"/>
      <c r="NEJ124" s="178"/>
      <c r="NEK124" s="24"/>
      <c r="NEL124" s="178"/>
      <c r="NEM124" s="24"/>
      <c r="NEN124" s="178"/>
      <c r="NEO124" s="24"/>
      <c r="NEP124" s="178"/>
      <c r="NEQ124" s="24"/>
      <c r="NER124" s="178"/>
      <c r="NES124" s="24"/>
      <c r="NET124" s="178"/>
      <c r="NEU124" s="24"/>
      <c r="NEV124" s="178"/>
      <c r="NEW124" s="24"/>
      <c r="NEX124" s="178"/>
      <c r="NEY124" s="24"/>
      <c r="NEZ124" s="178"/>
      <c r="NFA124" s="24"/>
      <c r="NFB124" s="178"/>
      <c r="NFC124" s="24"/>
      <c r="NFD124" s="178"/>
      <c r="NFE124" s="24"/>
      <c r="NFF124" s="178"/>
      <c r="NFG124" s="24"/>
      <c r="NFH124" s="178"/>
      <c r="NFI124" s="24"/>
      <c r="NFJ124" s="178"/>
      <c r="NFK124" s="24"/>
      <c r="NFL124" s="178"/>
      <c r="NFM124" s="24"/>
      <c r="NFN124" s="178"/>
      <c r="NFO124" s="24"/>
      <c r="NFP124" s="178"/>
      <c r="NFQ124" s="24"/>
      <c r="NFR124" s="178"/>
      <c r="NFS124" s="24"/>
      <c r="NFT124" s="178"/>
      <c r="NFU124" s="24"/>
      <c r="NFV124" s="178"/>
      <c r="NFW124" s="24"/>
      <c r="NFX124" s="178"/>
      <c r="NFY124" s="24"/>
      <c r="NFZ124" s="178"/>
      <c r="NGA124" s="24"/>
      <c r="NGB124" s="178"/>
      <c r="NGC124" s="24"/>
      <c r="NGD124" s="178"/>
      <c r="NGE124" s="24"/>
      <c r="NGF124" s="178"/>
      <c r="NGG124" s="24"/>
      <c r="NGH124" s="178"/>
      <c r="NGI124" s="24"/>
      <c r="NGJ124" s="178"/>
      <c r="NGK124" s="24"/>
      <c r="NGL124" s="178"/>
      <c r="NGM124" s="24"/>
      <c r="NGN124" s="178"/>
      <c r="NGO124" s="24"/>
      <c r="NGP124" s="178"/>
      <c r="NGQ124" s="24"/>
      <c r="NGR124" s="178"/>
      <c r="NGS124" s="24"/>
      <c r="NGT124" s="178"/>
      <c r="NGU124" s="24"/>
      <c r="NGV124" s="178"/>
      <c r="NGW124" s="24"/>
      <c r="NGX124" s="178"/>
      <c r="NGY124" s="24"/>
      <c r="NGZ124" s="178"/>
      <c r="NHA124" s="24"/>
      <c r="NHB124" s="178"/>
      <c r="NHC124" s="24"/>
      <c r="NHD124" s="178"/>
      <c r="NHE124" s="24"/>
      <c r="NHF124" s="178"/>
      <c r="NHG124" s="24"/>
      <c r="NHH124" s="178"/>
      <c r="NHI124" s="24"/>
      <c r="NHJ124" s="178"/>
      <c r="NHK124" s="24"/>
      <c r="NHL124" s="178"/>
      <c r="NHM124" s="24"/>
      <c r="NHN124" s="178"/>
      <c r="NHO124" s="24"/>
      <c r="NHP124" s="178"/>
      <c r="NHQ124" s="24"/>
      <c r="NHR124" s="178"/>
      <c r="NHS124" s="24"/>
      <c r="NHT124" s="178"/>
      <c r="NHU124" s="24"/>
      <c r="NHV124" s="178"/>
      <c r="NHW124" s="24"/>
      <c r="NHX124" s="178"/>
      <c r="NHY124" s="24"/>
      <c r="NHZ124" s="178"/>
      <c r="NIA124" s="24"/>
      <c r="NIB124" s="178"/>
      <c r="NIC124" s="24"/>
      <c r="NID124" s="178"/>
      <c r="NIE124" s="24"/>
      <c r="NIF124" s="178"/>
      <c r="NIG124" s="24"/>
      <c r="NIH124" s="178"/>
      <c r="NII124" s="24"/>
      <c r="NIJ124" s="178"/>
      <c r="NIK124" s="24"/>
      <c r="NIL124" s="178"/>
      <c r="NIM124" s="24"/>
      <c r="NIN124" s="178"/>
      <c r="NIO124" s="24"/>
      <c r="NIP124" s="178"/>
      <c r="NIQ124" s="24"/>
      <c r="NIR124" s="178"/>
      <c r="NIS124" s="24"/>
      <c r="NIT124" s="178"/>
      <c r="NIU124" s="24"/>
      <c r="NIV124" s="178"/>
      <c r="NIW124" s="24"/>
      <c r="NIX124" s="178"/>
      <c r="NIY124" s="24"/>
      <c r="NIZ124" s="178"/>
      <c r="NJA124" s="24"/>
      <c r="NJB124" s="178"/>
      <c r="NJC124" s="24"/>
      <c r="NJD124" s="178"/>
      <c r="NJE124" s="24"/>
      <c r="NJF124" s="178"/>
      <c r="NJG124" s="24"/>
      <c r="NJH124" s="178"/>
      <c r="NJI124" s="24"/>
      <c r="NJJ124" s="178"/>
      <c r="NJK124" s="24"/>
      <c r="NJL124" s="178"/>
      <c r="NJM124" s="24"/>
      <c r="NJN124" s="178"/>
      <c r="NJO124" s="24"/>
      <c r="NJP124" s="178"/>
      <c r="NJQ124" s="24"/>
      <c r="NJR124" s="178"/>
      <c r="NJS124" s="24"/>
      <c r="NJT124" s="178"/>
      <c r="NJU124" s="24"/>
      <c r="NJV124" s="178"/>
      <c r="NJW124" s="24"/>
      <c r="NJX124" s="178"/>
      <c r="NJY124" s="24"/>
      <c r="NJZ124" s="178"/>
      <c r="NKA124" s="24"/>
      <c r="NKB124" s="178"/>
      <c r="NKC124" s="24"/>
      <c r="NKD124" s="178"/>
      <c r="NKE124" s="24"/>
      <c r="NKF124" s="178"/>
      <c r="NKG124" s="24"/>
      <c r="NKH124" s="178"/>
      <c r="NKI124" s="24"/>
      <c r="NKJ124" s="178"/>
      <c r="NKK124" s="24"/>
      <c r="NKL124" s="178"/>
      <c r="NKM124" s="24"/>
      <c r="NKN124" s="178"/>
      <c r="NKO124" s="24"/>
      <c r="NKP124" s="178"/>
      <c r="NKQ124" s="24"/>
      <c r="NKR124" s="178"/>
      <c r="NKS124" s="24"/>
      <c r="NKT124" s="178"/>
      <c r="NKU124" s="24"/>
      <c r="NKV124" s="178"/>
      <c r="NKW124" s="24"/>
      <c r="NKX124" s="178"/>
      <c r="NKY124" s="24"/>
      <c r="NKZ124" s="178"/>
      <c r="NLA124" s="24"/>
      <c r="NLB124" s="178"/>
      <c r="NLC124" s="24"/>
      <c r="NLD124" s="178"/>
      <c r="NLE124" s="24"/>
      <c r="NLF124" s="178"/>
      <c r="NLG124" s="24"/>
      <c r="NLH124" s="178"/>
      <c r="NLI124" s="24"/>
      <c r="NLJ124" s="178"/>
      <c r="NLK124" s="24"/>
      <c r="NLL124" s="178"/>
      <c r="NLM124" s="24"/>
      <c r="NLN124" s="178"/>
      <c r="NLO124" s="24"/>
      <c r="NLP124" s="178"/>
      <c r="NLQ124" s="24"/>
      <c r="NLR124" s="178"/>
      <c r="NLS124" s="24"/>
      <c r="NLT124" s="178"/>
      <c r="NLU124" s="24"/>
      <c r="NLV124" s="178"/>
      <c r="NLW124" s="24"/>
      <c r="NLX124" s="178"/>
      <c r="NLY124" s="24"/>
      <c r="NLZ124" s="178"/>
      <c r="NMA124" s="24"/>
      <c r="NMB124" s="178"/>
      <c r="NMC124" s="24"/>
      <c r="NMD124" s="178"/>
      <c r="NME124" s="24"/>
      <c r="NMF124" s="178"/>
      <c r="NMG124" s="24"/>
      <c r="NMH124" s="178"/>
      <c r="NMI124" s="24"/>
      <c r="NMJ124" s="178"/>
      <c r="NMK124" s="24"/>
      <c r="NML124" s="178"/>
      <c r="NMM124" s="24"/>
      <c r="NMN124" s="178"/>
      <c r="NMO124" s="24"/>
      <c r="NMP124" s="178"/>
      <c r="NMQ124" s="24"/>
      <c r="NMR124" s="178"/>
      <c r="NMS124" s="24"/>
      <c r="NMT124" s="178"/>
      <c r="NMU124" s="24"/>
      <c r="NMV124" s="178"/>
      <c r="NMW124" s="24"/>
      <c r="NMX124" s="178"/>
      <c r="NMY124" s="24"/>
      <c r="NMZ124" s="178"/>
      <c r="NNA124" s="24"/>
      <c r="NNB124" s="178"/>
      <c r="NNC124" s="24"/>
      <c r="NND124" s="178"/>
      <c r="NNE124" s="24"/>
      <c r="NNF124" s="178"/>
      <c r="NNG124" s="24"/>
      <c r="NNH124" s="178"/>
      <c r="NNI124" s="24"/>
      <c r="NNJ124" s="178"/>
      <c r="NNK124" s="24"/>
      <c r="NNL124" s="178"/>
      <c r="NNM124" s="24"/>
      <c r="NNN124" s="178"/>
      <c r="NNO124" s="24"/>
      <c r="NNP124" s="178"/>
      <c r="NNQ124" s="24"/>
      <c r="NNR124" s="178"/>
      <c r="NNS124" s="24"/>
      <c r="NNT124" s="178"/>
      <c r="NNU124" s="24"/>
      <c r="NNV124" s="178"/>
      <c r="NNW124" s="24"/>
      <c r="NNX124" s="178"/>
      <c r="NNY124" s="24"/>
      <c r="NNZ124" s="178"/>
      <c r="NOA124" s="24"/>
      <c r="NOB124" s="178"/>
      <c r="NOC124" s="24"/>
      <c r="NOD124" s="178"/>
      <c r="NOE124" s="24"/>
      <c r="NOF124" s="178"/>
      <c r="NOG124" s="24"/>
      <c r="NOH124" s="178"/>
      <c r="NOI124" s="24"/>
      <c r="NOJ124" s="178"/>
      <c r="NOK124" s="24"/>
      <c r="NOL124" s="178"/>
      <c r="NOM124" s="24"/>
      <c r="NON124" s="178"/>
      <c r="NOO124" s="24"/>
      <c r="NOP124" s="178"/>
      <c r="NOQ124" s="24"/>
      <c r="NOR124" s="178"/>
      <c r="NOS124" s="24"/>
      <c r="NOT124" s="178"/>
      <c r="NOU124" s="24"/>
      <c r="NOV124" s="178"/>
      <c r="NOW124" s="24"/>
      <c r="NOX124" s="178"/>
      <c r="NOY124" s="24"/>
      <c r="NOZ124" s="178"/>
      <c r="NPA124" s="24"/>
      <c r="NPB124" s="178"/>
      <c r="NPC124" s="24"/>
      <c r="NPD124" s="178"/>
      <c r="NPE124" s="24"/>
      <c r="NPF124" s="178"/>
      <c r="NPG124" s="24"/>
      <c r="NPH124" s="178"/>
      <c r="NPI124" s="24"/>
      <c r="NPJ124" s="178"/>
      <c r="NPK124" s="24"/>
      <c r="NPL124" s="178"/>
      <c r="NPM124" s="24"/>
      <c r="NPN124" s="178"/>
      <c r="NPO124" s="24"/>
      <c r="NPP124" s="178"/>
      <c r="NPQ124" s="24"/>
      <c r="NPR124" s="178"/>
      <c r="NPS124" s="24"/>
      <c r="NPT124" s="178"/>
      <c r="NPU124" s="24"/>
      <c r="NPV124" s="178"/>
      <c r="NPW124" s="24"/>
      <c r="NPX124" s="178"/>
      <c r="NPY124" s="24"/>
      <c r="NPZ124" s="178"/>
      <c r="NQA124" s="24"/>
      <c r="NQB124" s="178"/>
      <c r="NQC124" s="24"/>
      <c r="NQD124" s="178"/>
      <c r="NQE124" s="24"/>
      <c r="NQF124" s="178"/>
      <c r="NQG124" s="24"/>
      <c r="NQH124" s="178"/>
      <c r="NQI124" s="24"/>
      <c r="NQJ124" s="178"/>
      <c r="NQK124" s="24"/>
      <c r="NQL124" s="178"/>
      <c r="NQM124" s="24"/>
      <c r="NQN124" s="178"/>
      <c r="NQO124" s="24"/>
      <c r="NQP124" s="178"/>
      <c r="NQQ124" s="24"/>
      <c r="NQR124" s="178"/>
      <c r="NQS124" s="24"/>
      <c r="NQT124" s="178"/>
      <c r="NQU124" s="24"/>
      <c r="NQV124" s="178"/>
      <c r="NQW124" s="24"/>
      <c r="NQX124" s="178"/>
      <c r="NQY124" s="24"/>
      <c r="NQZ124" s="178"/>
      <c r="NRA124" s="24"/>
      <c r="NRB124" s="178"/>
      <c r="NRC124" s="24"/>
      <c r="NRD124" s="178"/>
      <c r="NRE124" s="24"/>
      <c r="NRF124" s="178"/>
      <c r="NRG124" s="24"/>
      <c r="NRH124" s="178"/>
      <c r="NRI124" s="24"/>
      <c r="NRJ124" s="178"/>
      <c r="NRK124" s="24"/>
      <c r="NRL124" s="178"/>
      <c r="NRM124" s="24"/>
      <c r="NRN124" s="178"/>
      <c r="NRO124" s="24"/>
      <c r="NRP124" s="178"/>
      <c r="NRQ124" s="24"/>
      <c r="NRR124" s="178"/>
      <c r="NRS124" s="24"/>
      <c r="NRT124" s="178"/>
      <c r="NRU124" s="24"/>
      <c r="NRV124" s="178"/>
      <c r="NRW124" s="24"/>
      <c r="NRX124" s="178"/>
      <c r="NRY124" s="24"/>
      <c r="NRZ124" s="178"/>
      <c r="NSA124" s="24"/>
      <c r="NSB124" s="178"/>
      <c r="NSC124" s="24"/>
      <c r="NSD124" s="178"/>
      <c r="NSE124" s="24"/>
      <c r="NSF124" s="178"/>
      <c r="NSG124" s="24"/>
      <c r="NSH124" s="178"/>
      <c r="NSI124" s="24"/>
      <c r="NSJ124" s="178"/>
      <c r="NSK124" s="24"/>
      <c r="NSL124" s="178"/>
      <c r="NSM124" s="24"/>
      <c r="NSN124" s="178"/>
      <c r="NSO124" s="24"/>
      <c r="NSP124" s="178"/>
      <c r="NSQ124" s="24"/>
      <c r="NSR124" s="178"/>
      <c r="NSS124" s="24"/>
      <c r="NST124" s="178"/>
      <c r="NSU124" s="24"/>
      <c r="NSV124" s="178"/>
      <c r="NSW124" s="24"/>
      <c r="NSX124" s="178"/>
      <c r="NSY124" s="24"/>
      <c r="NSZ124" s="178"/>
      <c r="NTA124" s="24"/>
      <c r="NTB124" s="178"/>
      <c r="NTC124" s="24"/>
      <c r="NTD124" s="178"/>
      <c r="NTE124" s="24"/>
      <c r="NTF124" s="178"/>
      <c r="NTG124" s="24"/>
      <c r="NTH124" s="178"/>
      <c r="NTI124" s="24"/>
      <c r="NTJ124" s="178"/>
      <c r="NTK124" s="24"/>
      <c r="NTL124" s="178"/>
      <c r="NTM124" s="24"/>
      <c r="NTN124" s="178"/>
      <c r="NTO124" s="24"/>
      <c r="NTP124" s="178"/>
      <c r="NTQ124" s="24"/>
      <c r="NTR124" s="178"/>
      <c r="NTS124" s="24"/>
      <c r="NTT124" s="178"/>
      <c r="NTU124" s="24"/>
      <c r="NTV124" s="178"/>
      <c r="NTW124" s="24"/>
      <c r="NTX124" s="178"/>
      <c r="NTY124" s="24"/>
      <c r="NTZ124" s="178"/>
      <c r="NUA124" s="24"/>
      <c r="NUB124" s="178"/>
      <c r="NUC124" s="24"/>
      <c r="NUD124" s="178"/>
      <c r="NUE124" s="24"/>
      <c r="NUF124" s="178"/>
      <c r="NUG124" s="24"/>
      <c r="NUH124" s="178"/>
      <c r="NUI124" s="24"/>
      <c r="NUJ124" s="178"/>
      <c r="NUK124" s="24"/>
      <c r="NUL124" s="178"/>
      <c r="NUM124" s="24"/>
      <c r="NUN124" s="178"/>
      <c r="NUO124" s="24"/>
      <c r="NUP124" s="178"/>
      <c r="NUQ124" s="24"/>
      <c r="NUR124" s="178"/>
      <c r="NUS124" s="24"/>
      <c r="NUT124" s="178"/>
      <c r="NUU124" s="24"/>
      <c r="NUV124" s="178"/>
      <c r="NUW124" s="24"/>
      <c r="NUX124" s="178"/>
      <c r="NUY124" s="24"/>
      <c r="NUZ124" s="178"/>
      <c r="NVA124" s="24"/>
      <c r="NVB124" s="178"/>
      <c r="NVC124" s="24"/>
      <c r="NVD124" s="178"/>
      <c r="NVE124" s="24"/>
      <c r="NVF124" s="178"/>
      <c r="NVG124" s="24"/>
      <c r="NVH124" s="178"/>
      <c r="NVI124" s="24"/>
      <c r="NVJ124" s="178"/>
      <c r="NVK124" s="24"/>
      <c r="NVL124" s="178"/>
      <c r="NVM124" s="24"/>
      <c r="NVN124" s="178"/>
      <c r="NVO124" s="24"/>
      <c r="NVP124" s="178"/>
      <c r="NVQ124" s="24"/>
      <c r="NVR124" s="178"/>
      <c r="NVS124" s="24"/>
      <c r="NVT124" s="178"/>
      <c r="NVU124" s="24"/>
      <c r="NVV124" s="178"/>
      <c r="NVW124" s="24"/>
      <c r="NVX124" s="178"/>
      <c r="NVY124" s="24"/>
      <c r="NVZ124" s="178"/>
      <c r="NWA124" s="24"/>
      <c r="NWB124" s="178"/>
      <c r="NWC124" s="24"/>
      <c r="NWD124" s="178"/>
      <c r="NWE124" s="24"/>
      <c r="NWF124" s="178"/>
      <c r="NWG124" s="24"/>
      <c r="NWH124" s="178"/>
      <c r="NWI124" s="24"/>
      <c r="NWJ124" s="178"/>
      <c r="NWK124" s="24"/>
      <c r="NWL124" s="178"/>
      <c r="NWM124" s="24"/>
      <c r="NWN124" s="178"/>
      <c r="NWO124" s="24"/>
      <c r="NWP124" s="178"/>
      <c r="NWQ124" s="24"/>
      <c r="NWR124" s="178"/>
      <c r="NWS124" s="24"/>
      <c r="NWT124" s="178"/>
      <c r="NWU124" s="24"/>
      <c r="NWV124" s="178"/>
      <c r="NWW124" s="24"/>
      <c r="NWX124" s="178"/>
      <c r="NWY124" s="24"/>
      <c r="NWZ124" s="178"/>
      <c r="NXA124" s="24"/>
      <c r="NXB124" s="178"/>
      <c r="NXC124" s="24"/>
      <c r="NXD124" s="178"/>
      <c r="NXE124" s="24"/>
      <c r="NXF124" s="178"/>
      <c r="NXG124" s="24"/>
      <c r="NXH124" s="178"/>
      <c r="NXI124" s="24"/>
      <c r="NXJ124" s="178"/>
      <c r="NXK124" s="24"/>
      <c r="NXL124" s="178"/>
      <c r="NXM124" s="24"/>
      <c r="NXN124" s="178"/>
      <c r="NXO124" s="24"/>
      <c r="NXP124" s="178"/>
      <c r="NXQ124" s="24"/>
      <c r="NXR124" s="178"/>
      <c r="NXS124" s="24"/>
      <c r="NXT124" s="178"/>
      <c r="NXU124" s="24"/>
      <c r="NXV124" s="178"/>
      <c r="NXW124" s="24"/>
      <c r="NXX124" s="178"/>
      <c r="NXY124" s="24"/>
      <c r="NXZ124" s="178"/>
      <c r="NYA124" s="24"/>
      <c r="NYB124" s="178"/>
      <c r="NYC124" s="24"/>
      <c r="NYD124" s="178"/>
      <c r="NYE124" s="24"/>
      <c r="NYF124" s="178"/>
      <c r="NYG124" s="24"/>
      <c r="NYH124" s="178"/>
      <c r="NYI124" s="24"/>
      <c r="NYJ124" s="178"/>
      <c r="NYK124" s="24"/>
      <c r="NYL124" s="178"/>
      <c r="NYM124" s="24"/>
      <c r="NYN124" s="178"/>
      <c r="NYO124" s="24"/>
      <c r="NYP124" s="178"/>
      <c r="NYQ124" s="24"/>
      <c r="NYR124" s="178"/>
      <c r="NYS124" s="24"/>
      <c r="NYT124" s="178"/>
      <c r="NYU124" s="24"/>
      <c r="NYV124" s="178"/>
      <c r="NYW124" s="24"/>
      <c r="NYX124" s="178"/>
      <c r="NYY124" s="24"/>
      <c r="NYZ124" s="178"/>
      <c r="NZA124" s="24"/>
      <c r="NZB124" s="178"/>
      <c r="NZC124" s="24"/>
      <c r="NZD124" s="178"/>
      <c r="NZE124" s="24"/>
      <c r="NZF124" s="178"/>
      <c r="NZG124" s="24"/>
      <c r="NZH124" s="178"/>
      <c r="NZI124" s="24"/>
      <c r="NZJ124" s="178"/>
      <c r="NZK124" s="24"/>
      <c r="NZL124" s="178"/>
      <c r="NZM124" s="24"/>
      <c r="NZN124" s="178"/>
      <c r="NZO124" s="24"/>
      <c r="NZP124" s="178"/>
      <c r="NZQ124" s="24"/>
      <c r="NZR124" s="178"/>
      <c r="NZS124" s="24"/>
      <c r="NZT124" s="178"/>
      <c r="NZU124" s="24"/>
      <c r="NZV124" s="178"/>
      <c r="NZW124" s="24"/>
      <c r="NZX124" s="178"/>
      <c r="NZY124" s="24"/>
      <c r="NZZ124" s="178"/>
      <c r="OAA124" s="24"/>
      <c r="OAB124" s="178"/>
      <c r="OAC124" s="24"/>
      <c r="OAD124" s="178"/>
      <c r="OAE124" s="24"/>
      <c r="OAF124" s="178"/>
      <c r="OAG124" s="24"/>
      <c r="OAH124" s="178"/>
      <c r="OAI124" s="24"/>
      <c r="OAJ124" s="178"/>
      <c r="OAK124" s="24"/>
      <c r="OAL124" s="178"/>
      <c r="OAM124" s="24"/>
      <c r="OAN124" s="178"/>
      <c r="OAO124" s="24"/>
      <c r="OAP124" s="178"/>
      <c r="OAQ124" s="24"/>
      <c r="OAR124" s="178"/>
      <c r="OAS124" s="24"/>
      <c r="OAT124" s="178"/>
      <c r="OAU124" s="24"/>
      <c r="OAV124" s="178"/>
      <c r="OAW124" s="24"/>
      <c r="OAX124" s="178"/>
      <c r="OAY124" s="24"/>
      <c r="OAZ124" s="178"/>
      <c r="OBA124" s="24"/>
      <c r="OBB124" s="178"/>
      <c r="OBC124" s="24"/>
      <c r="OBD124" s="178"/>
      <c r="OBE124" s="24"/>
      <c r="OBF124" s="178"/>
      <c r="OBG124" s="24"/>
      <c r="OBH124" s="178"/>
      <c r="OBI124" s="24"/>
      <c r="OBJ124" s="178"/>
      <c r="OBK124" s="24"/>
      <c r="OBL124" s="178"/>
      <c r="OBM124" s="24"/>
      <c r="OBN124" s="178"/>
      <c r="OBO124" s="24"/>
      <c r="OBP124" s="178"/>
      <c r="OBQ124" s="24"/>
      <c r="OBR124" s="178"/>
      <c r="OBS124" s="24"/>
      <c r="OBT124" s="178"/>
      <c r="OBU124" s="24"/>
      <c r="OBV124" s="178"/>
      <c r="OBW124" s="24"/>
      <c r="OBX124" s="178"/>
      <c r="OBY124" s="24"/>
      <c r="OBZ124" s="178"/>
      <c r="OCA124" s="24"/>
      <c r="OCB124" s="178"/>
      <c r="OCC124" s="24"/>
      <c r="OCD124" s="178"/>
      <c r="OCE124" s="24"/>
      <c r="OCF124" s="178"/>
      <c r="OCG124" s="24"/>
      <c r="OCH124" s="178"/>
      <c r="OCI124" s="24"/>
      <c r="OCJ124" s="178"/>
      <c r="OCK124" s="24"/>
      <c r="OCL124" s="178"/>
      <c r="OCM124" s="24"/>
      <c r="OCN124" s="178"/>
      <c r="OCO124" s="24"/>
      <c r="OCP124" s="178"/>
      <c r="OCQ124" s="24"/>
      <c r="OCR124" s="178"/>
      <c r="OCS124" s="24"/>
      <c r="OCT124" s="178"/>
      <c r="OCU124" s="24"/>
      <c r="OCV124" s="178"/>
      <c r="OCW124" s="24"/>
      <c r="OCX124" s="178"/>
      <c r="OCY124" s="24"/>
      <c r="OCZ124" s="178"/>
      <c r="ODA124" s="24"/>
      <c r="ODB124" s="178"/>
      <c r="ODC124" s="24"/>
      <c r="ODD124" s="178"/>
      <c r="ODE124" s="24"/>
      <c r="ODF124" s="178"/>
      <c r="ODG124" s="24"/>
      <c r="ODH124" s="178"/>
      <c r="ODI124" s="24"/>
      <c r="ODJ124" s="178"/>
      <c r="ODK124" s="24"/>
      <c r="ODL124" s="178"/>
      <c r="ODM124" s="24"/>
      <c r="ODN124" s="178"/>
      <c r="ODO124" s="24"/>
      <c r="ODP124" s="178"/>
      <c r="ODQ124" s="24"/>
      <c r="ODR124" s="178"/>
      <c r="ODS124" s="24"/>
      <c r="ODT124" s="178"/>
      <c r="ODU124" s="24"/>
      <c r="ODV124" s="178"/>
      <c r="ODW124" s="24"/>
      <c r="ODX124" s="178"/>
      <c r="ODY124" s="24"/>
      <c r="ODZ124" s="178"/>
      <c r="OEA124" s="24"/>
      <c r="OEB124" s="178"/>
      <c r="OEC124" s="24"/>
      <c r="OED124" s="178"/>
      <c r="OEE124" s="24"/>
      <c r="OEF124" s="178"/>
      <c r="OEG124" s="24"/>
      <c r="OEH124" s="178"/>
      <c r="OEI124" s="24"/>
      <c r="OEJ124" s="178"/>
      <c r="OEK124" s="24"/>
      <c r="OEL124" s="178"/>
      <c r="OEM124" s="24"/>
      <c r="OEN124" s="178"/>
      <c r="OEO124" s="24"/>
      <c r="OEP124" s="178"/>
      <c r="OEQ124" s="24"/>
      <c r="OER124" s="178"/>
      <c r="OES124" s="24"/>
      <c r="OET124" s="178"/>
      <c r="OEU124" s="24"/>
      <c r="OEV124" s="178"/>
      <c r="OEW124" s="24"/>
      <c r="OEX124" s="178"/>
      <c r="OEY124" s="24"/>
      <c r="OEZ124" s="178"/>
      <c r="OFA124" s="24"/>
      <c r="OFB124" s="178"/>
      <c r="OFC124" s="24"/>
      <c r="OFD124" s="178"/>
      <c r="OFE124" s="24"/>
      <c r="OFF124" s="178"/>
      <c r="OFG124" s="24"/>
      <c r="OFH124" s="178"/>
      <c r="OFI124" s="24"/>
      <c r="OFJ124" s="178"/>
      <c r="OFK124" s="24"/>
      <c r="OFL124" s="178"/>
      <c r="OFM124" s="24"/>
      <c r="OFN124" s="178"/>
      <c r="OFO124" s="24"/>
      <c r="OFP124" s="178"/>
      <c r="OFQ124" s="24"/>
      <c r="OFR124" s="178"/>
      <c r="OFS124" s="24"/>
      <c r="OFT124" s="178"/>
      <c r="OFU124" s="24"/>
      <c r="OFV124" s="178"/>
      <c r="OFW124" s="24"/>
      <c r="OFX124" s="178"/>
      <c r="OFY124" s="24"/>
      <c r="OFZ124" s="178"/>
      <c r="OGA124" s="24"/>
      <c r="OGB124" s="178"/>
      <c r="OGC124" s="24"/>
      <c r="OGD124" s="178"/>
      <c r="OGE124" s="24"/>
      <c r="OGF124" s="178"/>
      <c r="OGG124" s="24"/>
      <c r="OGH124" s="178"/>
      <c r="OGI124" s="24"/>
      <c r="OGJ124" s="178"/>
      <c r="OGK124" s="24"/>
      <c r="OGL124" s="178"/>
      <c r="OGM124" s="24"/>
      <c r="OGN124" s="178"/>
      <c r="OGO124" s="24"/>
      <c r="OGP124" s="178"/>
      <c r="OGQ124" s="24"/>
      <c r="OGR124" s="178"/>
      <c r="OGS124" s="24"/>
      <c r="OGT124" s="178"/>
      <c r="OGU124" s="24"/>
      <c r="OGV124" s="178"/>
      <c r="OGW124" s="24"/>
      <c r="OGX124" s="178"/>
      <c r="OGY124" s="24"/>
      <c r="OGZ124" s="178"/>
      <c r="OHA124" s="24"/>
      <c r="OHB124" s="178"/>
      <c r="OHC124" s="24"/>
      <c r="OHD124" s="178"/>
      <c r="OHE124" s="24"/>
      <c r="OHF124" s="178"/>
      <c r="OHG124" s="24"/>
      <c r="OHH124" s="178"/>
      <c r="OHI124" s="24"/>
      <c r="OHJ124" s="178"/>
      <c r="OHK124" s="24"/>
      <c r="OHL124" s="178"/>
      <c r="OHM124" s="24"/>
      <c r="OHN124" s="178"/>
      <c r="OHO124" s="24"/>
      <c r="OHP124" s="178"/>
      <c r="OHQ124" s="24"/>
      <c r="OHR124" s="178"/>
      <c r="OHS124" s="24"/>
      <c r="OHT124" s="178"/>
      <c r="OHU124" s="24"/>
      <c r="OHV124" s="178"/>
      <c r="OHW124" s="24"/>
      <c r="OHX124" s="178"/>
      <c r="OHY124" s="24"/>
      <c r="OHZ124" s="178"/>
      <c r="OIA124" s="24"/>
      <c r="OIB124" s="178"/>
      <c r="OIC124" s="24"/>
      <c r="OID124" s="178"/>
      <c r="OIE124" s="24"/>
      <c r="OIF124" s="178"/>
      <c r="OIG124" s="24"/>
      <c r="OIH124" s="178"/>
      <c r="OII124" s="24"/>
      <c r="OIJ124" s="178"/>
      <c r="OIK124" s="24"/>
      <c r="OIL124" s="178"/>
      <c r="OIM124" s="24"/>
      <c r="OIN124" s="178"/>
      <c r="OIO124" s="24"/>
      <c r="OIP124" s="178"/>
      <c r="OIQ124" s="24"/>
      <c r="OIR124" s="178"/>
      <c r="OIS124" s="24"/>
      <c r="OIT124" s="178"/>
      <c r="OIU124" s="24"/>
      <c r="OIV124" s="178"/>
      <c r="OIW124" s="24"/>
      <c r="OIX124" s="178"/>
      <c r="OIY124" s="24"/>
      <c r="OIZ124" s="178"/>
      <c r="OJA124" s="24"/>
      <c r="OJB124" s="178"/>
      <c r="OJC124" s="24"/>
      <c r="OJD124" s="178"/>
      <c r="OJE124" s="24"/>
      <c r="OJF124" s="178"/>
      <c r="OJG124" s="24"/>
      <c r="OJH124" s="178"/>
      <c r="OJI124" s="24"/>
      <c r="OJJ124" s="178"/>
      <c r="OJK124" s="24"/>
      <c r="OJL124" s="178"/>
      <c r="OJM124" s="24"/>
      <c r="OJN124" s="178"/>
      <c r="OJO124" s="24"/>
      <c r="OJP124" s="178"/>
      <c r="OJQ124" s="24"/>
      <c r="OJR124" s="178"/>
      <c r="OJS124" s="24"/>
      <c r="OJT124" s="178"/>
      <c r="OJU124" s="24"/>
      <c r="OJV124" s="178"/>
      <c r="OJW124" s="24"/>
      <c r="OJX124" s="178"/>
      <c r="OJY124" s="24"/>
      <c r="OJZ124" s="178"/>
      <c r="OKA124" s="24"/>
      <c r="OKB124" s="178"/>
      <c r="OKC124" s="24"/>
      <c r="OKD124" s="178"/>
      <c r="OKE124" s="24"/>
      <c r="OKF124" s="178"/>
      <c r="OKG124" s="24"/>
      <c r="OKH124" s="178"/>
      <c r="OKI124" s="24"/>
      <c r="OKJ124" s="178"/>
      <c r="OKK124" s="24"/>
      <c r="OKL124" s="178"/>
      <c r="OKM124" s="24"/>
      <c r="OKN124" s="178"/>
      <c r="OKO124" s="24"/>
      <c r="OKP124" s="178"/>
      <c r="OKQ124" s="24"/>
      <c r="OKR124" s="178"/>
      <c r="OKS124" s="24"/>
      <c r="OKT124" s="178"/>
      <c r="OKU124" s="24"/>
      <c r="OKV124" s="178"/>
      <c r="OKW124" s="24"/>
      <c r="OKX124" s="178"/>
      <c r="OKY124" s="24"/>
      <c r="OKZ124" s="178"/>
      <c r="OLA124" s="24"/>
      <c r="OLB124" s="178"/>
      <c r="OLC124" s="24"/>
      <c r="OLD124" s="178"/>
      <c r="OLE124" s="24"/>
      <c r="OLF124" s="178"/>
      <c r="OLG124" s="24"/>
      <c r="OLH124" s="178"/>
      <c r="OLI124" s="24"/>
      <c r="OLJ124" s="178"/>
      <c r="OLK124" s="24"/>
      <c r="OLL124" s="178"/>
      <c r="OLM124" s="24"/>
      <c r="OLN124" s="178"/>
      <c r="OLO124" s="24"/>
      <c r="OLP124" s="178"/>
      <c r="OLQ124" s="24"/>
      <c r="OLR124" s="178"/>
      <c r="OLS124" s="24"/>
      <c r="OLT124" s="178"/>
      <c r="OLU124" s="24"/>
      <c r="OLV124" s="178"/>
      <c r="OLW124" s="24"/>
      <c r="OLX124" s="178"/>
      <c r="OLY124" s="24"/>
      <c r="OLZ124" s="178"/>
      <c r="OMA124" s="24"/>
      <c r="OMB124" s="178"/>
      <c r="OMC124" s="24"/>
      <c r="OMD124" s="178"/>
      <c r="OME124" s="24"/>
      <c r="OMF124" s="178"/>
      <c r="OMG124" s="24"/>
      <c r="OMH124" s="178"/>
      <c r="OMI124" s="24"/>
      <c r="OMJ124" s="178"/>
      <c r="OMK124" s="24"/>
      <c r="OML124" s="178"/>
      <c r="OMM124" s="24"/>
      <c r="OMN124" s="178"/>
      <c r="OMO124" s="24"/>
      <c r="OMP124" s="178"/>
      <c r="OMQ124" s="24"/>
      <c r="OMR124" s="178"/>
      <c r="OMS124" s="24"/>
      <c r="OMT124" s="178"/>
      <c r="OMU124" s="24"/>
      <c r="OMV124" s="178"/>
      <c r="OMW124" s="24"/>
      <c r="OMX124" s="178"/>
      <c r="OMY124" s="24"/>
      <c r="OMZ124" s="178"/>
      <c r="ONA124" s="24"/>
      <c r="ONB124" s="178"/>
      <c r="ONC124" s="24"/>
      <c r="OND124" s="178"/>
      <c r="ONE124" s="24"/>
      <c r="ONF124" s="178"/>
      <c r="ONG124" s="24"/>
      <c r="ONH124" s="178"/>
      <c r="ONI124" s="24"/>
      <c r="ONJ124" s="178"/>
      <c r="ONK124" s="24"/>
      <c r="ONL124" s="178"/>
      <c r="ONM124" s="24"/>
      <c r="ONN124" s="178"/>
      <c r="ONO124" s="24"/>
      <c r="ONP124" s="178"/>
      <c r="ONQ124" s="24"/>
      <c r="ONR124" s="178"/>
      <c r="ONS124" s="24"/>
      <c r="ONT124" s="178"/>
      <c r="ONU124" s="24"/>
      <c r="ONV124" s="178"/>
      <c r="ONW124" s="24"/>
      <c r="ONX124" s="178"/>
      <c r="ONY124" s="24"/>
      <c r="ONZ124" s="178"/>
      <c r="OOA124" s="24"/>
      <c r="OOB124" s="178"/>
      <c r="OOC124" s="24"/>
      <c r="OOD124" s="178"/>
      <c r="OOE124" s="24"/>
      <c r="OOF124" s="178"/>
      <c r="OOG124" s="24"/>
      <c r="OOH124" s="178"/>
      <c r="OOI124" s="24"/>
      <c r="OOJ124" s="178"/>
      <c r="OOK124" s="24"/>
      <c r="OOL124" s="178"/>
      <c r="OOM124" s="24"/>
      <c r="OON124" s="178"/>
      <c r="OOO124" s="24"/>
      <c r="OOP124" s="178"/>
      <c r="OOQ124" s="24"/>
      <c r="OOR124" s="178"/>
      <c r="OOS124" s="24"/>
      <c r="OOT124" s="178"/>
      <c r="OOU124" s="24"/>
      <c r="OOV124" s="178"/>
      <c r="OOW124" s="24"/>
      <c r="OOX124" s="178"/>
      <c r="OOY124" s="24"/>
      <c r="OOZ124" s="178"/>
      <c r="OPA124" s="24"/>
      <c r="OPB124" s="178"/>
      <c r="OPC124" s="24"/>
      <c r="OPD124" s="178"/>
      <c r="OPE124" s="24"/>
      <c r="OPF124" s="178"/>
      <c r="OPG124" s="24"/>
      <c r="OPH124" s="178"/>
      <c r="OPI124" s="24"/>
      <c r="OPJ124" s="178"/>
      <c r="OPK124" s="24"/>
      <c r="OPL124" s="178"/>
      <c r="OPM124" s="24"/>
      <c r="OPN124" s="178"/>
      <c r="OPO124" s="24"/>
      <c r="OPP124" s="178"/>
      <c r="OPQ124" s="24"/>
      <c r="OPR124" s="178"/>
      <c r="OPS124" s="24"/>
      <c r="OPT124" s="178"/>
      <c r="OPU124" s="24"/>
      <c r="OPV124" s="178"/>
      <c r="OPW124" s="24"/>
      <c r="OPX124" s="178"/>
      <c r="OPY124" s="24"/>
      <c r="OPZ124" s="178"/>
      <c r="OQA124" s="24"/>
      <c r="OQB124" s="178"/>
      <c r="OQC124" s="24"/>
      <c r="OQD124" s="178"/>
      <c r="OQE124" s="24"/>
      <c r="OQF124" s="178"/>
      <c r="OQG124" s="24"/>
      <c r="OQH124" s="178"/>
      <c r="OQI124" s="24"/>
      <c r="OQJ124" s="178"/>
      <c r="OQK124" s="24"/>
      <c r="OQL124" s="178"/>
      <c r="OQM124" s="24"/>
      <c r="OQN124" s="178"/>
      <c r="OQO124" s="24"/>
      <c r="OQP124" s="178"/>
      <c r="OQQ124" s="24"/>
      <c r="OQR124" s="178"/>
      <c r="OQS124" s="24"/>
      <c r="OQT124" s="178"/>
      <c r="OQU124" s="24"/>
      <c r="OQV124" s="178"/>
      <c r="OQW124" s="24"/>
      <c r="OQX124" s="178"/>
      <c r="OQY124" s="24"/>
      <c r="OQZ124" s="178"/>
      <c r="ORA124" s="24"/>
      <c r="ORB124" s="178"/>
      <c r="ORC124" s="24"/>
      <c r="ORD124" s="178"/>
      <c r="ORE124" s="24"/>
      <c r="ORF124" s="178"/>
      <c r="ORG124" s="24"/>
      <c r="ORH124" s="178"/>
      <c r="ORI124" s="24"/>
      <c r="ORJ124" s="178"/>
      <c r="ORK124" s="24"/>
      <c r="ORL124" s="178"/>
      <c r="ORM124" s="24"/>
      <c r="ORN124" s="178"/>
      <c r="ORO124" s="24"/>
      <c r="ORP124" s="178"/>
      <c r="ORQ124" s="24"/>
      <c r="ORR124" s="178"/>
      <c r="ORS124" s="24"/>
      <c r="ORT124" s="178"/>
      <c r="ORU124" s="24"/>
      <c r="ORV124" s="178"/>
      <c r="ORW124" s="24"/>
      <c r="ORX124" s="178"/>
      <c r="ORY124" s="24"/>
      <c r="ORZ124" s="178"/>
      <c r="OSA124" s="24"/>
      <c r="OSB124" s="178"/>
      <c r="OSC124" s="24"/>
      <c r="OSD124" s="178"/>
      <c r="OSE124" s="24"/>
      <c r="OSF124" s="178"/>
      <c r="OSG124" s="24"/>
      <c r="OSH124" s="178"/>
      <c r="OSI124" s="24"/>
      <c r="OSJ124" s="178"/>
      <c r="OSK124" s="24"/>
      <c r="OSL124" s="178"/>
      <c r="OSM124" s="24"/>
      <c r="OSN124" s="178"/>
      <c r="OSO124" s="24"/>
      <c r="OSP124" s="178"/>
      <c r="OSQ124" s="24"/>
      <c r="OSR124" s="178"/>
      <c r="OSS124" s="24"/>
      <c r="OST124" s="178"/>
      <c r="OSU124" s="24"/>
      <c r="OSV124" s="178"/>
      <c r="OSW124" s="24"/>
      <c r="OSX124" s="178"/>
      <c r="OSY124" s="24"/>
      <c r="OSZ124" s="178"/>
      <c r="OTA124" s="24"/>
      <c r="OTB124" s="178"/>
      <c r="OTC124" s="24"/>
      <c r="OTD124" s="178"/>
      <c r="OTE124" s="24"/>
      <c r="OTF124" s="178"/>
      <c r="OTG124" s="24"/>
      <c r="OTH124" s="178"/>
      <c r="OTI124" s="24"/>
      <c r="OTJ124" s="178"/>
      <c r="OTK124" s="24"/>
      <c r="OTL124" s="178"/>
      <c r="OTM124" s="24"/>
      <c r="OTN124" s="178"/>
      <c r="OTO124" s="24"/>
      <c r="OTP124" s="178"/>
      <c r="OTQ124" s="24"/>
      <c r="OTR124" s="178"/>
      <c r="OTS124" s="24"/>
      <c r="OTT124" s="178"/>
      <c r="OTU124" s="24"/>
      <c r="OTV124" s="178"/>
      <c r="OTW124" s="24"/>
      <c r="OTX124" s="178"/>
      <c r="OTY124" s="24"/>
      <c r="OTZ124" s="178"/>
      <c r="OUA124" s="24"/>
      <c r="OUB124" s="178"/>
      <c r="OUC124" s="24"/>
      <c r="OUD124" s="178"/>
      <c r="OUE124" s="24"/>
      <c r="OUF124" s="178"/>
      <c r="OUG124" s="24"/>
      <c r="OUH124" s="178"/>
      <c r="OUI124" s="24"/>
      <c r="OUJ124" s="178"/>
      <c r="OUK124" s="24"/>
      <c r="OUL124" s="178"/>
      <c r="OUM124" s="24"/>
      <c r="OUN124" s="178"/>
      <c r="OUO124" s="24"/>
      <c r="OUP124" s="178"/>
      <c r="OUQ124" s="24"/>
      <c r="OUR124" s="178"/>
      <c r="OUS124" s="24"/>
      <c r="OUT124" s="178"/>
      <c r="OUU124" s="24"/>
      <c r="OUV124" s="178"/>
      <c r="OUW124" s="24"/>
      <c r="OUX124" s="178"/>
      <c r="OUY124" s="24"/>
      <c r="OUZ124" s="178"/>
      <c r="OVA124" s="24"/>
      <c r="OVB124" s="178"/>
      <c r="OVC124" s="24"/>
      <c r="OVD124" s="178"/>
      <c r="OVE124" s="24"/>
      <c r="OVF124" s="178"/>
      <c r="OVG124" s="24"/>
      <c r="OVH124" s="178"/>
      <c r="OVI124" s="24"/>
      <c r="OVJ124" s="178"/>
      <c r="OVK124" s="24"/>
      <c r="OVL124" s="178"/>
      <c r="OVM124" s="24"/>
      <c r="OVN124" s="178"/>
      <c r="OVO124" s="24"/>
      <c r="OVP124" s="178"/>
      <c r="OVQ124" s="24"/>
      <c r="OVR124" s="178"/>
      <c r="OVS124" s="24"/>
      <c r="OVT124" s="178"/>
      <c r="OVU124" s="24"/>
      <c r="OVV124" s="178"/>
      <c r="OVW124" s="24"/>
      <c r="OVX124" s="178"/>
      <c r="OVY124" s="24"/>
      <c r="OVZ124" s="178"/>
      <c r="OWA124" s="24"/>
      <c r="OWB124" s="178"/>
      <c r="OWC124" s="24"/>
      <c r="OWD124" s="178"/>
      <c r="OWE124" s="24"/>
      <c r="OWF124" s="178"/>
      <c r="OWG124" s="24"/>
      <c r="OWH124" s="178"/>
      <c r="OWI124" s="24"/>
      <c r="OWJ124" s="178"/>
      <c r="OWK124" s="24"/>
      <c r="OWL124" s="178"/>
      <c r="OWM124" s="24"/>
      <c r="OWN124" s="178"/>
      <c r="OWO124" s="24"/>
      <c r="OWP124" s="178"/>
      <c r="OWQ124" s="24"/>
      <c r="OWR124" s="178"/>
      <c r="OWS124" s="24"/>
      <c r="OWT124" s="178"/>
      <c r="OWU124" s="24"/>
      <c r="OWV124" s="178"/>
      <c r="OWW124" s="24"/>
      <c r="OWX124" s="178"/>
      <c r="OWY124" s="24"/>
      <c r="OWZ124" s="178"/>
      <c r="OXA124" s="24"/>
      <c r="OXB124" s="178"/>
      <c r="OXC124" s="24"/>
      <c r="OXD124" s="178"/>
      <c r="OXE124" s="24"/>
      <c r="OXF124" s="178"/>
      <c r="OXG124" s="24"/>
      <c r="OXH124" s="178"/>
      <c r="OXI124" s="24"/>
      <c r="OXJ124" s="178"/>
      <c r="OXK124" s="24"/>
      <c r="OXL124" s="178"/>
      <c r="OXM124" s="24"/>
      <c r="OXN124" s="178"/>
      <c r="OXO124" s="24"/>
      <c r="OXP124" s="178"/>
      <c r="OXQ124" s="24"/>
      <c r="OXR124" s="178"/>
      <c r="OXS124" s="24"/>
      <c r="OXT124" s="178"/>
      <c r="OXU124" s="24"/>
      <c r="OXV124" s="178"/>
      <c r="OXW124" s="24"/>
      <c r="OXX124" s="178"/>
      <c r="OXY124" s="24"/>
      <c r="OXZ124" s="178"/>
      <c r="OYA124" s="24"/>
      <c r="OYB124" s="178"/>
      <c r="OYC124" s="24"/>
      <c r="OYD124" s="178"/>
      <c r="OYE124" s="24"/>
      <c r="OYF124" s="178"/>
      <c r="OYG124" s="24"/>
      <c r="OYH124" s="178"/>
      <c r="OYI124" s="24"/>
      <c r="OYJ124" s="178"/>
      <c r="OYK124" s="24"/>
      <c r="OYL124" s="178"/>
      <c r="OYM124" s="24"/>
      <c r="OYN124" s="178"/>
      <c r="OYO124" s="24"/>
      <c r="OYP124" s="178"/>
      <c r="OYQ124" s="24"/>
      <c r="OYR124" s="178"/>
      <c r="OYS124" s="24"/>
      <c r="OYT124" s="178"/>
      <c r="OYU124" s="24"/>
      <c r="OYV124" s="178"/>
      <c r="OYW124" s="24"/>
      <c r="OYX124" s="178"/>
      <c r="OYY124" s="24"/>
      <c r="OYZ124" s="178"/>
      <c r="OZA124" s="24"/>
      <c r="OZB124" s="178"/>
      <c r="OZC124" s="24"/>
      <c r="OZD124" s="178"/>
      <c r="OZE124" s="24"/>
      <c r="OZF124" s="178"/>
      <c r="OZG124" s="24"/>
      <c r="OZH124" s="178"/>
      <c r="OZI124" s="24"/>
      <c r="OZJ124" s="178"/>
      <c r="OZK124" s="24"/>
      <c r="OZL124" s="178"/>
      <c r="OZM124" s="24"/>
      <c r="OZN124" s="178"/>
      <c r="OZO124" s="24"/>
      <c r="OZP124" s="178"/>
      <c r="OZQ124" s="24"/>
      <c r="OZR124" s="178"/>
      <c r="OZS124" s="24"/>
      <c r="OZT124" s="178"/>
      <c r="OZU124" s="24"/>
      <c r="OZV124" s="178"/>
      <c r="OZW124" s="24"/>
      <c r="OZX124" s="178"/>
      <c r="OZY124" s="24"/>
      <c r="OZZ124" s="178"/>
      <c r="PAA124" s="24"/>
      <c r="PAB124" s="178"/>
      <c r="PAC124" s="24"/>
      <c r="PAD124" s="178"/>
      <c r="PAE124" s="24"/>
      <c r="PAF124" s="178"/>
      <c r="PAG124" s="24"/>
      <c r="PAH124" s="178"/>
      <c r="PAI124" s="24"/>
      <c r="PAJ124" s="178"/>
      <c r="PAK124" s="24"/>
      <c r="PAL124" s="178"/>
      <c r="PAM124" s="24"/>
      <c r="PAN124" s="178"/>
      <c r="PAO124" s="24"/>
      <c r="PAP124" s="178"/>
      <c r="PAQ124" s="24"/>
      <c r="PAR124" s="178"/>
      <c r="PAS124" s="24"/>
      <c r="PAT124" s="178"/>
      <c r="PAU124" s="24"/>
      <c r="PAV124" s="178"/>
      <c r="PAW124" s="24"/>
      <c r="PAX124" s="178"/>
      <c r="PAY124" s="24"/>
      <c r="PAZ124" s="178"/>
      <c r="PBA124" s="24"/>
      <c r="PBB124" s="178"/>
      <c r="PBC124" s="24"/>
      <c r="PBD124" s="178"/>
      <c r="PBE124" s="24"/>
      <c r="PBF124" s="178"/>
      <c r="PBG124" s="24"/>
      <c r="PBH124" s="178"/>
      <c r="PBI124" s="24"/>
      <c r="PBJ124" s="178"/>
      <c r="PBK124" s="24"/>
      <c r="PBL124" s="178"/>
      <c r="PBM124" s="24"/>
      <c r="PBN124" s="178"/>
      <c r="PBO124" s="24"/>
      <c r="PBP124" s="178"/>
      <c r="PBQ124" s="24"/>
      <c r="PBR124" s="178"/>
      <c r="PBS124" s="24"/>
      <c r="PBT124" s="178"/>
      <c r="PBU124" s="24"/>
      <c r="PBV124" s="178"/>
      <c r="PBW124" s="24"/>
      <c r="PBX124" s="178"/>
      <c r="PBY124" s="24"/>
      <c r="PBZ124" s="178"/>
      <c r="PCA124" s="24"/>
      <c r="PCB124" s="178"/>
      <c r="PCC124" s="24"/>
      <c r="PCD124" s="178"/>
      <c r="PCE124" s="24"/>
      <c r="PCF124" s="178"/>
      <c r="PCG124" s="24"/>
      <c r="PCH124" s="178"/>
      <c r="PCI124" s="24"/>
      <c r="PCJ124" s="178"/>
      <c r="PCK124" s="24"/>
      <c r="PCL124" s="178"/>
      <c r="PCM124" s="24"/>
      <c r="PCN124" s="178"/>
      <c r="PCO124" s="24"/>
      <c r="PCP124" s="178"/>
      <c r="PCQ124" s="24"/>
      <c r="PCR124" s="178"/>
      <c r="PCS124" s="24"/>
      <c r="PCT124" s="178"/>
      <c r="PCU124" s="24"/>
      <c r="PCV124" s="178"/>
      <c r="PCW124" s="24"/>
      <c r="PCX124" s="178"/>
      <c r="PCY124" s="24"/>
      <c r="PCZ124" s="178"/>
      <c r="PDA124" s="24"/>
      <c r="PDB124" s="178"/>
      <c r="PDC124" s="24"/>
      <c r="PDD124" s="178"/>
      <c r="PDE124" s="24"/>
      <c r="PDF124" s="178"/>
      <c r="PDG124" s="24"/>
      <c r="PDH124" s="178"/>
      <c r="PDI124" s="24"/>
      <c r="PDJ124" s="178"/>
      <c r="PDK124" s="24"/>
      <c r="PDL124" s="178"/>
      <c r="PDM124" s="24"/>
      <c r="PDN124" s="178"/>
      <c r="PDO124" s="24"/>
      <c r="PDP124" s="178"/>
      <c r="PDQ124" s="24"/>
      <c r="PDR124" s="178"/>
      <c r="PDS124" s="24"/>
      <c r="PDT124" s="178"/>
      <c r="PDU124" s="24"/>
      <c r="PDV124" s="178"/>
      <c r="PDW124" s="24"/>
      <c r="PDX124" s="178"/>
      <c r="PDY124" s="24"/>
      <c r="PDZ124" s="178"/>
      <c r="PEA124" s="24"/>
      <c r="PEB124" s="178"/>
      <c r="PEC124" s="24"/>
      <c r="PED124" s="178"/>
      <c r="PEE124" s="24"/>
      <c r="PEF124" s="178"/>
      <c r="PEG124" s="24"/>
      <c r="PEH124" s="178"/>
      <c r="PEI124" s="24"/>
      <c r="PEJ124" s="178"/>
      <c r="PEK124" s="24"/>
      <c r="PEL124" s="178"/>
      <c r="PEM124" s="24"/>
      <c r="PEN124" s="178"/>
      <c r="PEO124" s="24"/>
      <c r="PEP124" s="178"/>
      <c r="PEQ124" s="24"/>
      <c r="PER124" s="178"/>
      <c r="PES124" s="24"/>
      <c r="PET124" s="178"/>
      <c r="PEU124" s="24"/>
      <c r="PEV124" s="178"/>
      <c r="PEW124" s="24"/>
      <c r="PEX124" s="178"/>
      <c r="PEY124" s="24"/>
      <c r="PEZ124" s="178"/>
      <c r="PFA124" s="24"/>
      <c r="PFB124" s="178"/>
      <c r="PFC124" s="24"/>
      <c r="PFD124" s="178"/>
      <c r="PFE124" s="24"/>
      <c r="PFF124" s="178"/>
      <c r="PFG124" s="24"/>
      <c r="PFH124" s="178"/>
      <c r="PFI124" s="24"/>
      <c r="PFJ124" s="178"/>
      <c r="PFK124" s="24"/>
      <c r="PFL124" s="178"/>
      <c r="PFM124" s="24"/>
      <c r="PFN124" s="178"/>
      <c r="PFO124" s="24"/>
      <c r="PFP124" s="178"/>
      <c r="PFQ124" s="24"/>
      <c r="PFR124" s="178"/>
      <c r="PFS124" s="24"/>
      <c r="PFT124" s="178"/>
      <c r="PFU124" s="24"/>
      <c r="PFV124" s="178"/>
      <c r="PFW124" s="24"/>
      <c r="PFX124" s="178"/>
      <c r="PFY124" s="24"/>
      <c r="PFZ124" s="178"/>
      <c r="PGA124" s="24"/>
      <c r="PGB124" s="178"/>
      <c r="PGC124" s="24"/>
      <c r="PGD124" s="178"/>
      <c r="PGE124" s="24"/>
      <c r="PGF124" s="178"/>
      <c r="PGG124" s="24"/>
      <c r="PGH124" s="178"/>
      <c r="PGI124" s="24"/>
      <c r="PGJ124" s="178"/>
      <c r="PGK124" s="24"/>
      <c r="PGL124" s="178"/>
      <c r="PGM124" s="24"/>
      <c r="PGN124" s="178"/>
      <c r="PGO124" s="24"/>
      <c r="PGP124" s="178"/>
      <c r="PGQ124" s="24"/>
      <c r="PGR124" s="178"/>
      <c r="PGS124" s="24"/>
      <c r="PGT124" s="178"/>
      <c r="PGU124" s="24"/>
      <c r="PGV124" s="178"/>
      <c r="PGW124" s="24"/>
      <c r="PGX124" s="178"/>
      <c r="PGY124" s="24"/>
      <c r="PGZ124" s="178"/>
      <c r="PHA124" s="24"/>
      <c r="PHB124" s="178"/>
      <c r="PHC124" s="24"/>
      <c r="PHD124" s="178"/>
      <c r="PHE124" s="24"/>
      <c r="PHF124" s="178"/>
      <c r="PHG124" s="24"/>
      <c r="PHH124" s="178"/>
      <c r="PHI124" s="24"/>
      <c r="PHJ124" s="178"/>
      <c r="PHK124" s="24"/>
      <c r="PHL124" s="178"/>
      <c r="PHM124" s="24"/>
      <c r="PHN124" s="178"/>
      <c r="PHO124" s="24"/>
      <c r="PHP124" s="178"/>
      <c r="PHQ124" s="24"/>
      <c r="PHR124" s="178"/>
      <c r="PHS124" s="24"/>
      <c r="PHT124" s="178"/>
      <c r="PHU124" s="24"/>
      <c r="PHV124" s="178"/>
      <c r="PHW124" s="24"/>
      <c r="PHX124" s="178"/>
      <c r="PHY124" s="24"/>
      <c r="PHZ124" s="178"/>
      <c r="PIA124" s="24"/>
      <c r="PIB124" s="178"/>
      <c r="PIC124" s="24"/>
      <c r="PID124" s="178"/>
      <c r="PIE124" s="24"/>
      <c r="PIF124" s="178"/>
      <c r="PIG124" s="24"/>
      <c r="PIH124" s="178"/>
      <c r="PII124" s="24"/>
      <c r="PIJ124" s="178"/>
      <c r="PIK124" s="24"/>
      <c r="PIL124" s="178"/>
      <c r="PIM124" s="24"/>
      <c r="PIN124" s="178"/>
      <c r="PIO124" s="24"/>
      <c r="PIP124" s="178"/>
      <c r="PIQ124" s="24"/>
      <c r="PIR124" s="178"/>
      <c r="PIS124" s="24"/>
      <c r="PIT124" s="178"/>
      <c r="PIU124" s="24"/>
      <c r="PIV124" s="178"/>
      <c r="PIW124" s="24"/>
      <c r="PIX124" s="178"/>
      <c r="PIY124" s="24"/>
      <c r="PIZ124" s="178"/>
      <c r="PJA124" s="24"/>
      <c r="PJB124" s="178"/>
      <c r="PJC124" s="24"/>
      <c r="PJD124" s="178"/>
      <c r="PJE124" s="24"/>
      <c r="PJF124" s="178"/>
      <c r="PJG124" s="24"/>
      <c r="PJH124" s="178"/>
      <c r="PJI124" s="24"/>
      <c r="PJJ124" s="178"/>
      <c r="PJK124" s="24"/>
      <c r="PJL124" s="178"/>
      <c r="PJM124" s="24"/>
      <c r="PJN124" s="178"/>
      <c r="PJO124" s="24"/>
      <c r="PJP124" s="178"/>
      <c r="PJQ124" s="24"/>
      <c r="PJR124" s="178"/>
      <c r="PJS124" s="24"/>
      <c r="PJT124" s="178"/>
      <c r="PJU124" s="24"/>
      <c r="PJV124" s="178"/>
      <c r="PJW124" s="24"/>
      <c r="PJX124" s="178"/>
      <c r="PJY124" s="24"/>
      <c r="PJZ124" s="178"/>
      <c r="PKA124" s="24"/>
      <c r="PKB124" s="178"/>
      <c r="PKC124" s="24"/>
      <c r="PKD124" s="178"/>
      <c r="PKE124" s="24"/>
      <c r="PKF124" s="178"/>
      <c r="PKG124" s="24"/>
      <c r="PKH124" s="178"/>
      <c r="PKI124" s="24"/>
      <c r="PKJ124" s="178"/>
      <c r="PKK124" s="24"/>
      <c r="PKL124" s="178"/>
      <c r="PKM124" s="24"/>
      <c r="PKN124" s="178"/>
      <c r="PKO124" s="24"/>
      <c r="PKP124" s="178"/>
      <c r="PKQ124" s="24"/>
      <c r="PKR124" s="178"/>
      <c r="PKS124" s="24"/>
      <c r="PKT124" s="178"/>
      <c r="PKU124" s="24"/>
      <c r="PKV124" s="178"/>
      <c r="PKW124" s="24"/>
      <c r="PKX124" s="178"/>
      <c r="PKY124" s="24"/>
      <c r="PKZ124" s="178"/>
      <c r="PLA124" s="24"/>
      <c r="PLB124" s="178"/>
      <c r="PLC124" s="24"/>
      <c r="PLD124" s="178"/>
      <c r="PLE124" s="24"/>
      <c r="PLF124" s="178"/>
      <c r="PLG124" s="24"/>
      <c r="PLH124" s="178"/>
      <c r="PLI124" s="24"/>
      <c r="PLJ124" s="178"/>
      <c r="PLK124" s="24"/>
      <c r="PLL124" s="178"/>
      <c r="PLM124" s="24"/>
      <c r="PLN124" s="178"/>
      <c r="PLO124" s="24"/>
      <c r="PLP124" s="178"/>
      <c r="PLQ124" s="24"/>
      <c r="PLR124" s="178"/>
      <c r="PLS124" s="24"/>
      <c r="PLT124" s="178"/>
      <c r="PLU124" s="24"/>
      <c r="PLV124" s="178"/>
      <c r="PLW124" s="24"/>
      <c r="PLX124" s="178"/>
      <c r="PLY124" s="24"/>
      <c r="PLZ124" s="178"/>
      <c r="PMA124" s="24"/>
      <c r="PMB124" s="178"/>
      <c r="PMC124" s="24"/>
      <c r="PMD124" s="178"/>
      <c r="PME124" s="24"/>
      <c r="PMF124" s="178"/>
      <c r="PMG124" s="24"/>
      <c r="PMH124" s="178"/>
      <c r="PMI124" s="24"/>
      <c r="PMJ124" s="178"/>
      <c r="PMK124" s="24"/>
      <c r="PML124" s="178"/>
      <c r="PMM124" s="24"/>
      <c r="PMN124" s="178"/>
      <c r="PMO124" s="24"/>
      <c r="PMP124" s="178"/>
      <c r="PMQ124" s="24"/>
      <c r="PMR124" s="178"/>
      <c r="PMS124" s="24"/>
      <c r="PMT124" s="178"/>
      <c r="PMU124" s="24"/>
      <c r="PMV124" s="178"/>
      <c r="PMW124" s="24"/>
      <c r="PMX124" s="178"/>
      <c r="PMY124" s="24"/>
      <c r="PMZ124" s="178"/>
      <c r="PNA124" s="24"/>
      <c r="PNB124" s="178"/>
      <c r="PNC124" s="24"/>
      <c r="PND124" s="178"/>
      <c r="PNE124" s="24"/>
      <c r="PNF124" s="178"/>
      <c r="PNG124" s="24"/>
      <c r="PNH124" s="178"/>
      <c r="PNI124" s="24"/>
      <c r="PNJ124" s="178"/>
      <c r="PNK124" s="24"/>
      <c r="PNL124" s="178"/>
      <c r="PNM124" s="24"/>
      <c r="PNN124" s="178"/>
      <c r="PNO124" s="24"/>
      <c r="PNP124" s="178"/>
      <c r="PNQ124" s="24"/>
      <c r="PNR124" s="178"/>
      <c r="PNS124" s="24"/>
      <c r="PNT124" s="178"/>
      <c r="PNU124" s="24"/>
      <c r="PNV124" s="178"/>
      <c r="PNW124" s="24"/>
      <c r="PNX124" s="178"/>
      <c r="PNY124" s="24"/>
      <c r="PNZ124" s="178"/>
      <c r="POA124" s="24"/>
      <c r="POB124" s="178"/>
      <c r="POC124" s="24"/>
      <c r="POD124" s="178"/>
      <c r="POE124" s="24"/>
      <c r="POF124" s="178"/>
      <c r="POG124" s="24"/>
      <c r="POH124" s="178"/>
      <c r="POI124" s="24"/>
      <c r="POJ124" s="178"/>
      <c r="POK124" s="24"/>
      <c r="POL124" s="178"/>
      <c r="POM124" s="24"/>
      <c r="PON124" s="178"/>
      <c r="POO124" s="24"/>
      <c r="POP124" s="178"/>
      <c r="POQ124" s="24"/>
      <c r="POR124" s="178"/>
      <c r="POS124" s="24"/>
      <c r="POT124" s="178"/>
      <c r="POU124" s="24"/>
      <c r="POV124" s="178"/>
      <c r="POW124" s="24"/>
      <c r="POX124" s="178"/>
      <c r="POY124" s="24"/>
      <c r="POZ124" s="178"/>
      <c r="PPA124" s="24"/>
      <c r="PPB124" s="178"/>
      <c r="PPC124" s="24"/>
      <c r="PPD124" s="178"/>
      <c r="PPE124" s="24"/>
      <c r="PPF124" s="178"/>
      <c r="PPG124" s="24"/>
      <c r="PPH124" s="178"/>
      <c r="PPI124" s="24"/>
      <c r="PPJ124" s="178"/>
      <c r="PPK124" s="24"/>
      <c r="PPL124" s="178"/>
      <c r="PPM124" s="24"/>
      <c r="PPN124" s="178"/>
      <c r="PPO124" s="24"/>
      <c r="PPP124" s="178"/>
      <c r="PPQ124" s="24"/>
      <c r="PPR124" s="178"/>
      <c r="PPS124" s="24"/>
      <c r="PPT124" s="178"/>
      <c r="PPU124" s="24"/>
      <c r="PPV124" s="178"/>
      <c r="PPW124" s="24"/>
      <c r="PPX124" s="178"/>
      <c r="PPY124" s="24"/>
      <c r="PPZ124" s="178"/>
      <c r="PQA124" s="24"/>
      <c r="PQB124" s="178"/>
      <c r="PQC124" s="24"/>
      <c r="PQD124" s="178"/>
      <c r="PQE124" s="24"/>
      <c r="PQF124" s="178"/>
      <c r="PQG124" s="24"/>
      <c r="PQH124" s="178"/>
      <c r="PQI124" s="24"/>
      <c r="PQJ124" s="178"/>
      <c r="PQK124" s="24"/>
      <c r="PQL124" s="178"/>
      <c r="PQM124" s="24"/>
      <c r="PQN124" s="178"/>
      <c r="PQO124" s="24"/>
      <c r="PQP124" s="178"/>
      <c r="PQQ124" s="24"/>
      <c r="PQR124" s="178"/>
      <c r="PQS124" s="24"/>
      <c r="PQT124" s="178"/>
      <c r="PQU124" s="24"/>
      <c r="PQV124" s="178"/>
      <c r="PQW124" s="24"/>
      <c r="PQX124" s="178"/>
      <c r="PQY124" s="24"/>
      <c r="PQZ124" s="178"/>
      <c r="PRA124" s="24"/>
      <c r="PRB124" s="178"/>
      <c r="PRC124" s="24"/>
      <c r="PRD124" s="178"/>
      <c r="PRE124" s="24"/>
      <c r="PRF124" s="178"/>
      <c r="PRG124" s="24"/>
      <c r="PRH124" s="178"/>
      <c r="PRI124" s="24"/>
      <c r="PRJ124" s="178"/>
      <c r="PRK124" s="24"/>
      <c r="PRL124" s="178"/>
      <c r="PRM124" s="24"/>
      <c r="PRN124" s="178"/>
      <c r="PRO124" s="24"/>
      <c r="PRP124" s="178"/>
      <c r="PRQ124" s="24"/>
      <c r="PRR124" s="178"/>
      <c r="PRS124" s="24"/>
      <c r="PRT124" s="178"/>
      <c r="PRU124" s="24"/>
      <c r="PRV124" s="178"/>
      <c r="PRW124" s="24"/>
      <c r="PRX124" s="178"/>
      <c r="PRY124" s="24"/>
      <c r="PRZ124" s="178"/>
      <c r="PSA124" s="24"/>
      <c r="PSB124" s="178"/>
      <c r="PSC124" s="24"/>
      <c r="PSD124" s="178"/>
      <c r="PSE124" s="24"/>
      <c r="PSF124" s="178"/>
      <c r="PSG124" s="24"/>
      <c r="PSH124" s="178"/>
      <c r="PSI124" s="24"/>
      <c r="PSJ124" s="178"/>
      <c r="PSK124" s="24"/>
      <c r="PSL124" s="178"/>
      <c r="PSM124" s="24"/>
      <c r="PSN124" s="178"/>
      <c r="PSO124" s="24"/>
      <c r="PSP124" s="178"/>
      <c r="PSQ124" s="24"/>
      <c r="PSR124" s="178"/>
      <c r="PSS124" s="24"/>
      <c r="PST124" s="178"/>
      <c r="PSU124" s="24"/>
      <c r="PSV124" s="178"/>
      <c r="PSW124" s="24"/>
      <c r="PSX124" s="178"/>
      <c r="PSY124" s="24"/>
      <c r="PSZ124" s="178"/>
      <c r="PTA124" s="24"/>
      <c r="PTB124" s="178"/>
      <c r="PTC124" s="24"/>
      <c r="PTD124" s="178"/>
      <c r="PTE124" s="24"/>
      <c r="PTF124" s="178"/>
      <c r="PTG124" s="24"/>
      <c r="PTH124" s="178"/>
      <c r="PTI124" s="24"/>
      <c r="PTJ124" s="178"/>
      <c r="PTK124" s="24"/>
      <c r="PTL124" s="178"/>
      <c r="PTM124" s="24"/>
      <c r="PTN124" s="178"/>
      <c r="PTO124" s="24"/>
      <c r="PTP124" s="178"/>
      <c r="PTQ124" s="24"/>
      <c r="PTR124" s="178"/>
      <c r="PTS124" s="24"/>
      <c r="PTT124" s="178"/>
      <c r="PTU124" s="24"/>
      <c r="PTV124" s="178"/>
      <c r="PTW124" s="24"/>
      <c r="PTX124" s="178"/>
      <c r="PTY124" s="24"/>
      <c r="PTZ124" s="178"/>
      <c r="PUA124" s="24"/>
      <c r="PUB124" s="178"/>
      <c r="PUC124" s="24"/>
      <c r="PUD124" s="178"/>
      <c r="PUE124" s="24"/>
      <c r="PUF124" s="178"/>
      <c r="PUG124" s="24"/>
      <c r="PUH124" s="178"/>
      <c r="PUI124" s="24"/>
      <c r="PUJ124" s="178"/>
      <c r="PUK124" s="24"/>
      <c r="PUL124" s="178"/>
      <c r="PUM124" s="24"/>
      <c r="PUN124" s="178"/>
      <c r="PUO124" s="24"/>
      <c r="PUP124" s="178"/>
      <c r="PUQ124" s="24"/>
      <c r="PUR124" s="178"/>
      <c r="PUS124" s="24"/>
      <c r="PUT124" s="178"/>
      <c r="PUU124" s="24"/>
      <c r="PUV124" s="178"/>
      <c r="PUW124" s="24"/>
      <c r="PUX124" s="178"/>
      <c r="PUY124" s="24"/>
      <c r="PUZ124" s="178"/>
      <c r="PVA124" s="24"/>
      <c r="PVB124" s="178"/>
      <c r="PVC124" s="24"/>
      <c r="PVD124" s="178"/>
      <c r="PVE124" s="24"/>
      <c r="PVF124" s="178"/>
      <c r="PVG124" s="24"/>
      <c r="PVH124" s="178"/>
      <c r="PVI124" s="24"/>
      <c r="PVJ124" s="178"/>
      <c r="PVK124" s="24"/>
      <c r="PVL124" s="178"/>
      <c r="PVM124" s="24"/>
      <c r="PVN124" s="178"/>
      <c r="PVO124" s="24"/>
      <c r="PVP124" s="178"/>
      <c r="PVQ124" s="24"/>
      <c r="PVR124" s="178"/>
      <c r="PVS124" s="24"/>
      <c r="PVT124" s="178"/>
      <c r="PVU124" s="24"/>
      <c r="PVV124" s="178"/>
      <c r="PVW124" s="24"/>
      <c r="PVX124" s="178"/>
      <c r="PVY124" s="24"/>
      <c r="PVZ124" s="178"/>
      <c r="PWA124" s="24"/>
      <c r="PWB124" s="178"/>
      <c r="PWC124" s="24"/>
      <c r="PWD124" s="178"/>
      <c r="PWE124" s="24"/>
      <c r="PWF124" s="178"/>
      <c r="PWG124" s="24"/>
      <c r="PWH124" s="178"/>
      <c r="PWI124" s="24"/>
      <c r="PWJ124" s="178"/>
      <c r="PWK124" s="24"/>
      <c r="PWL124" s="178"/>
      <c r="PWM124" s="24"/>
      <c r="PWN124" s="178"/>
      <c r="PWO124" s="24"/>
      <c r="PWP124" s="178"/>
      <c r="PWQ124" s="24"/>
      <c r="PWR124" s="178"/>
      <c r="PWS124" s="24"/>
      <c r="PWT124" s="178"/>
      <c r="PWU124" s="24"/>
      <c r="PWV124" s="178"/>
      <c r="PWW124" s="24"/>
      <c r="PWX124" s="178"/>
      <c r="PWY124" s="24"/>
      <c r="PWZ124" s="178"/>
      <c r="PXA124" s="24"/>
      <c r="PXB124" s="178"/>
      <c r="PXC124" s="24"/>
      <c r="PXD124" s="178"/>
      <c r="PXE124" s="24"/>
      <c r="PXF124" s="178"/>
      <c r="PXG124" s="24"/>
      <c r="PXH124" s="178"/>
      <c r="PXI124" s="24"/>
      <c r="PXJ124" s="178"/>
      <c r="PXK124" s="24"/>
      <c r="PXL124" s="178"/>
      <c r="PXM124" s="24"/>
      <c r="PXN124" s="178"/>
      <c r="PXO124" s="24"/>
      <c r="PXP124" s="178"/>
      <c r="PXQ124" s="24"/>
      <c r="PXR124" s="178"/>
      <c r="PXS124" s="24"/>
      <c r="PXT124" s="178"/>
      <c r="PXU124" s="24"/>
      <c r="PXV124" s="178"/>
      <c r="PXW124" s="24"/>
      <c r="PXX124" s="178"/>
      <c r="PXY124" s="24"/>
      <c r="PXZ124" s="178"/>
      <c r="PYA124" s="24"/>
      <c r="PYB124" s="178"/>
      <c r="PYC124" s="24"/>
      <c r="PYD124" s="178"/>
      <c r="PYE124" s="24"/>
      <c r="PYF124" s="178"/>
      <c r="PYG124" s="24"/>
      <c r="PYH124" s="178"/>
      <c r="PYI124" s="24"/>
      <c r="PYJ124" s="178"/>
      <c r="PYK124" s="24"/>
      <c r="PYL124" s="178"/>
      <c r="PYM124" s="24"/>
      <c r="PYN124" s="178"/>
      <c r="PYO124" s="24"/>
      <c r="PYP124" s="178"/>
      <c r="PYQ124" s="24"/>
      <c r="PYR124" s="178"/>
      <c r="PYS124" s="24"/>
      <c r="PYT124" s="178"/>
      <c r="PYU124" s="24"/>
      <c r="PYV124" s="178"/>
      <c r="PYW124" s="24"/>
      <c r="PYX124" s="178"/>
      <c r="PYY124" s="24"/>
      <c r="PYZ124" s="178"/>
      <c r="PZA124" s="24"/>
      <c r="PZB124" s="178"/>
      <c r="PZC124" s="24"/>
      <c r="PZD124" s="178"/>
      <c r="PZE124" s="24"/>
      <c r="PZF124" s="178"/>
      <c r="PZG124" s="24"/>
      <c r="PZH124" s="178"/>
      <c r="PZI124" s="24"/>
      <c r="PZJ124" s="178"/>
      <c r="PZK124" s="24"/>
      <c r="PZL124" s="178"/>
      <c r="PZM124" s="24"/>
      <c r="PZN124" s="178"/>
      <c r="PZO124" s="24"/>
      <c r="PZP124" s="178"/>
      <c r="PZQ124" s="24"/>
      <c r="PZR124" s="178"/>
      <c r="PZS124" s="24"/>
      <c r="PZT124" s="178"/>
      <c r="PZU124" s="24"/>
      <c r="PZV124" s="178"/>
      <c r="PZW124" s="24"/>
      <c r="PZX124" s="178"/>
      <c r="PZY124" s="24"/>
      <c r="PZZ124" s="178"/>
      <c r="QAA124" s="24"/>
      <c r="QAB124" s="178"/>
      <c r="QAC124" s="24"/>
      <c r="QAD124" s="178"/>
      <c r="QAE124" s="24"/>
      <c r="QAF124" s="178"/>
      <c r="QAG124" s="24"/>
      <c r="QAH124" s="178"/>
      <c r="QAI124" s="24"/>
      <c r="QAJ124" s="178"/>
      <c r="QAK124" s="24"/>
      <c r="QAL124" s="178"/>
      <c r="QAM124" s="24"/>
      <c r="QAN124" s="178"/>
      <c r="QAO124" s="24"/>
      <c r="QAP124" s="178"/>
      <c r="QAQ124" s="24"/>
      <c r="QAR124" s="178"/>
      <c r="QAS124" s="24"/>
      <c r="QAT124" s="178"/>
      <c r="QAU124" s="24"/>
      <c r="QAV124" s="178"/>
      <c r="QAW124" s="24"/>
      <c r="QAX124" s="178"/>
      <c r="QAY124" s="24"/>
      <c r="QAZ124" s="178"/>
      <c r="QBA124" s="24"/>
      <c r="QBB124" s="178"/>
      <c r="QBC124" s="24"/>
      <c r="QBD124" s="178"/>
      <c r="QBE124" s="24"/>
      <c r="QBF124" s="178"/>
      <c r="QBG124" s="24"/>
      <c r="QBH124" s="178"/>
      <c r="QBI124" s="24"/>
      <c r="QBJ124" s="178"/>
      <c r="QBK124" s="24"/>
      <c r="QBL124" s="178"/>
      <c r="QBM124" s="24"/>
      <c r="QBN124" s="178"/>
      <c r="QBO124" s="24"/>
      <c r="QBP124" s="178"/>
      <c r="QBQ124" s="24"/>
      <c r="QBR124" s="178"/>
      <c r="QBS124" s="24"/>
      <c r="QBT124" s="178"/>
      <c r="QBU124" s="24"/>
      <c r="QBV124" s="178"/>
      <c r="QBW124" s="24"/>
      <c r="QBX124" s="178"/>
      <c r="QBY124" s="24"/>
      <c r="QBZ124" s="178"/>
      <c r="QCA124" s="24"/>
      <c r="QCB124" s="178"/>
      <c r="QCC124" s="24"/>
      <c r="QCD124" s="178"/>
      <c r="QCE124" s="24"/>
      <c r="QCF124" s="178"/>
      <c r="QCG124" s="24"/>
      <c r="QCH124" s="178"/>
      <c r="QCI124" s="24"/>
      <c r="QCJ124" s="178"/>
      <c r="QCK124" s="24"/>
      <c r="QCL124" s="178"/>
      <c r="QCM124" s="24"/>
      <c r="QCN124" s="178"/>
      <c r="QCO124" s="24"/>
      <c r="QCP124" s="178"/>
      <c r="QCQ124" s="24"/>
      <c r="QCR124" s="178"/>
      <c r="QCS124" s="24"/>
      <c r="QCT124" s="178"/>
      <c r="QCU124" s="24"/>
      <c r="QCV124" s="178"/>
      <c r="QCW124" s="24"/>
      <c r="QCX124" s="178"/>
      <c r="QCY124" s="24"/>
      <c r="QCZ124" s="178"/>
      <c r="QDA124" s="24"/>
      <c r="QDB124" s="178"/>
      <c r="QDC124" s="24"/>
      <c r="QDD124" s="178"/>
      <c r="QDE124" s="24"/>
      <c r="QDF124" s="178"/>
      <c r="QDG124" s="24"/>
      <c r="QDH124" s="178"/>
      <c r="QDI124" s="24"/>
      <c r="QDJ124" s="178"/>
      <c r="QDK124" s="24"/>
      <c r="QDL124" s="178"/>
      <c r="QDM124" s="24"/>
      <c r="QDN124" s="178"/>
      <c r="QDO124" s="24"/>
      <c r="QDP124" s="178"/>
      <c r="QDQ124" s="24"/>
      <c r="QDR124" s="178"/>
      <c r="QDS124" s="24"/>
      <c r="QDT124" s="178"/>
      <c r="QDU124" s="24"/>
      <c r="QDV124" s="178"/>
      <c r="QDW124" s="24"/>
      <c r="QDX124" s="178"/>
      <c r="QDY124" s="24"/>
      <c r="QDZ124" s="178"/>
      <c r="QEA124" s="24"/>
      <c r="QEB124" s="178"/>
      <c r="QEC124" s="24"/>
      <c r="QED124" s="178"/>
      <c r="QEE124" s="24"/>
      <c r="QEF124" s="178"/>
      <c r="QEG124" s="24"/>
      <c r="QEH124" s="178"/>
      <c r="QEI124" s="24"/>
      <c r="QEJ124" s="178"/>
      <c r="QEK124" s="24"/>
      <c r="QEL124" s="178"/>
      <c r="QEM124" s="24"/>
      <c r="QEN124" s="178"/>
      <c r="QEO124" s="24"/>
      <c r="QEP124" s="178"/>
      <c r="QEQ124" s="24"/>
      <c r="QER124" s="178"/>
      <c r="QES124" s="24"/>
      <c r="QET124" s="178"/>
      <c r="QEU124" s="24"/>
      <c r="QEV124" s="178"/>
      <c r="QEW124" s="24"/>
      <c r="QEX124" s="178"/>
      <c r="QEY124" s="24"/>
      <c r="QEZ124" s="178"/>
      <c r="QFA124" s="24"/>
      <c r="QFB124" s="178"/>
      <c r="QFC124" s="24"/>
      <c r="QFD124" s="178"/>
      <c r="QFE124" s="24"/>
      <c r="QFF124" s="178"/>
      <c r="QFG124" s="24"/>
      <c r="QFH124" s="178"/>
      <c r="QFI124" s="24"/>
      <c r="QFJ124" s="178"/>
      <c r="QFK124" s="24"/>
      <c r="QFL124" s="178"/>
      <c r="QFM124" s="24"/>
      <c r="QFN124" s="178"/>
      <c r="QFO124" s="24"/>
      <c r="QFP124" s="178"/>
      <c r="QFQ124" s="24"/>
      <c r="QFR124" s="178"/>
      <c r="QFS124" s="24"/>
      <c r="QFT124" s="178"/>
      <c r="QFU124" s="24"/>
      <c r="QFV124" s="178"/>
      <c r="QFW124" s="24"/>
      <c r="QFX124" s="178"/>
      <c r="QFY124" s="24"/>
      <c r="QFZ124" s="178"/>
      <c r="QGA124" s="24"/>
      <c r="QGB124" s="178"/>
      <c r="QGC124" s="24"/>
      <c r="QGD124" s="178"/>
      <c r="QGE124" s="24"/>
      <c r="QGF124" s="178"/>
      <c r="QGG124" s="24"/>
      <c r="QGH124" s="178"/>
      <c r="QGI124" s="24"/>
      <c r="QGJ124" s="178"/>
      <c r="QGK124" s="24"/>
      <c r="QGL124" s="178"/>
      <c r="QGM124" s="24"/>
      <c r="QGN124" s="178"/>
      <c r="QGO124" s="24"/>
      <c r="QGP124" s="178"/>
      <c r="QGQ124" s="24"/>
      <c r="QGR124" s="178"/>
      <c r="QGS124" s="24"/>
      <c r="QGT124" s="178"/>
      <c r="QGU124" s="24"/>
      <c r="QGV124" s="178"/>
      <c r="QGW124" s="24"/>
      <c r="QGX124" s="178"/>
      <c r="QGY124" s="24"/>
      <c r="QGZ124" s="178"/>
      <c r="QHA124" s="24"/>
      <c r="QHB124" s="178"/>
      <c r="QHC124" s="24"/>
      <c r="QHD124" s="178"/>
      <c r="QHE124" s="24"/>
      <c r="QHF124" s="178"/>
      <c r="QHG124" s="24"/>
      <c r="QHH124" s="178"/>
      <c r="QHI124" s="24"/>
      <c r="QHJ124" s="178"/>
      <c r="QHK124" s="24"/>
      <c r="QHL124" s="178"/>
      <c r="QHM124" s="24"/>
      <c r="QHN124" s="178"/>
      <c r="QHO124" s="24"/>
      <c r="QHP124" s="178"/>
      <c r="QHQ124" s="24"/>
      <c r="QHR124" s="178"/>
      <c r="QHS124" s="24"/>
      <c r="QHT124" s="178"/>
      <c r="QHU124" s="24"/>
      <c r="QHV124" s="178"/>
      <c r="QHW124" s="24"/>
      <c r="QHX124" s="178"/>
      <c r="QHY124" s="24"/>
      <c r="QHZ124" s="178"/>
      <c r="QIA124" s="24"/>
      <c r="QIB124" s="178"/>
      <c r="QIC124" s="24"/>
      <c r="QID124" s="178"/>
      <c r="QIE124" s="24"/>
      <c r="QIF124" s="178"/>
      <c r="QIG124" s="24"/>
      <c r="QIH124" s="178"/>
      <c r="QII124" s="24"/>
      <c r="QIJ124" s="178"/>
      <c r="QIK124" s="24"/>
      <c r="QIL124" s="178"/>
      <c r="QIM124" s="24"/>
      <c r="QIN124" s="178"/>
      <c r="QIO124" s="24"/>
      <c r="QIP124" s="178"/>
      <c r="QIQ124" s="24"/>
      <c r="QIR124" s="178"/>
      <c r="QIS124" s="24"/>
      <c r="QIT124" s="178"/>
      <c r="QIU124" s="24"/>
      <c r="QIV124" s="178"/>
      <c r="QIW124" s="24"/>
      <c r="QIX124" s="178"/>
      <c r="QIY124" s="24"/>
      <c r="QIZ124" s="178"/>
      <c r="QJA124" s="24"/>
      <c r="QJB124" s="178"/>
      <c r="QJC124" s="24"/>
      <c r="QJD124" s="178"/>
      <c r="QJE124" s="24"/>
      <c r="QJF124" s="178"/>
      <c r="QJG124" s="24"/>
      <c r="QJH124" s="178"/>
      <c r="QJI124" s="24"/>
      <c r="QJJ124" s="178"/>
      <c r="QJK124" s="24"/>
      <c r="QJL124" s="178"/>
      <c r="QJM124" s="24"/>
      <c r="QJN124" s="178"/>
      <c r="QJO124" s="24"/>
      <c r="QJP124" s="178"/>
      <c r="QJQ124" s="24"/>
      <c r="QJR124" s="178"/>
      <c r="QJS124" s="24"/>
      <c r="QJT124" s="178"/>
      <c r="QJU124" s="24"/>
      <c r="QJV124" s="178"/>
      <c r="QJW124" s="24"/>
      <c r="QJX124" s="178"/>
      <c r="QJY124" s="24"/>
      <c r="QJZ124" s="178"/>
      <c r="QKA124" s="24"/>
      <c r="QKB124" s="178"/>
      <c r="QKC124" s="24"/>
      <c r="QKD124" s="178"/>
      <c r="QKE124" s="24"/>
      <c r="QKF124" s="178"/>
      <c r="QKG124" s="24"/>
      <c r="QKH124" s="178"/>
      <c r="QKI124" s="24"/>
      <c r="QKJ124" s="178"/>
      <c r="QKK124" s="24"/>
      <c r="QKL124" s="178"/>
      <c r="QKM124" s="24"/>
      <c r="QKN124" s="178"/>
      <c r="QKO124" s="24"/>
      <c r="QKP124" s="178"/>
      <c r="QKQ124" s="24"/>
      <c r="QKR124" s="178"/>
      <c r="QKS124" s="24"/>
      <c r="QKT124" s="178"/>
      <c r="QKU124" s="24"/>
      <c r="QKV124" s="178"/>
      <c r="QKW124" s="24"/>
      <c r="QKX124" s="178"/>
      <c r="QKY124" s="24"/>
      <c r="QKZ124" s="178"/>
      <c r="QLA124" s="24"/>
      <c r="QLB124" s="178"/>
      <c r="QLC124" s="24"/>
      <c r="QLD124" s="178"/>
      <c r="QLE124" s="24"/>
      <c r="QLF124" s="178"/>
      <c r="QLG124" s="24"/>
      <c r="QLH124" s="178"/>
      <c r="QLI124" s="24"/>
      <c r="QLJ124" s="178"/>
      <c r="QLK124" s="24"/>
      <c r="QLL124" s="178"/>
      <c r="QLM124" s="24"/>
      <c r="QLN124" s="178"/>
      <c r="QLO124" s="24"/>
      <c r="QLP124" s="178"/>
      <c r="QLQ124" s="24"/>
      <c r="QLR124" s="178"/>
      <c r="QLS124" s="24"/>
      <c r="QLT124" s="178"/>
      <c r="QLU124" s="24"/>
      <c r="QLV124" s="178"/>
      <c r="QLW124" s="24"/>
      <c r="QLX124" s="178"/>
      <c r="QLY124" s="24"/>
      <c r="QLZ124" s="178"/>
      <c r="QMA124" s="24"/>
      <c r="QMB124" s="178"/>
      <c r="QMC124" s="24"/>
      <c r="QMD124" s="178"/>
      <c r="QME124" s="24"/>
      <c r="QMF124" s="178"/>
      <c r="QMG124" s="24"/>
      <c r="QMH124" s="178"/>
      <c r="QMI124" s="24"/>
      <c r="QMJ124" s="178"/>
      <c r="QMK124" s="24"/>
      <c r="QML124" s="178"/>
      <c r="QMM124" s="24"/>
      <c r="QMN124" s="178"/>
      <c r="QMO124" s="24"/>
      <c r="QMP124" s="178"/>
      <c r="QMQ124" s="24"/>
      <c r="QMR124" s="178"/>
      <c r="QMS124" s="24"/>
      <c r="QMT124" s="178"/>
      <c r="QMU124" s="24"/>
      <c r="QMV124" s="178"/>
      <c r="QMW124" s="24"/>
      <c r="QMX124" s="178"/>
      <c r="QMY124" s="24"/>
      <c r="QMZ124" s="178"/>
      <c r="QNA124" s="24"/>
      <c r="QNB124" s="178"/>
      <c r="QNC124" s="24"/>
      <c r="QND124" s="178"/>
      <c r="QNE124" s="24"/>
      <c r="QNF124" s="178"/>
      <c r="QNG124" s="24"/>
      <c r="QNH124" s="178"/>
      <c r="QNI124" s="24"/>
      <c r="QNJ124" s="178"/>
      <c r="QNK124" s="24"/>
      <c r="QNL124" s="178"/>
      <c r="QNM124" s="24"/>
      <c r="QNN124" s="178"/>
      <c r="QNO124" s="24"/>
      <c r="QNP124" s="178"/>
      <c r="QNQ124" s="24"/>
      <c r="QNR124" s="178"/>
      <c r="QNS124" s="24"/>
      <c r="QNT124" s="178"/>
      <c r="QNU124" s="24"/>
      <c r="QNV124" s="178"/>
      <c r="QNW124" s="24"/>
      <c r="QNX124" s="178"/>
      <c r="QNY124" s="24"/>
      <c r="QNZ124" s="178"/>
      <c r="QOA124" s="24"/>
      <c r="QOB124" s="178"/>
      <c r="QOC124" s="24"/>
      <c r="QOD124" s="178"/>
      <c r="QOE124" s="24"/>
      <c r="QOF124" s="178"/>
      <c r="QOG124" s="24"/>
      <c r="QOH124" s="178"/>
      <c r="QOI124" s="24"/>
      <c r="QOJ124" s="178"/>
      <c r="QOK124" s="24"/>
      <c r="QOL124" s="178"/>
      <c r="QOM124" s="24"/>
      <c r="QON124" s="178"/>
      <c r="QOO124" s="24"/>
      <c r="QOP124" s="178"/>
      <c r="QOQ124" s="24"/>
      <c r="QOR124" s="178"/>
      <c r="QOS124" s="24"/>
      <c r="QOT124" s="178"/>
      <c r="QOU124" s="24"/>
      <c r="QOV124" s="178"/>
      <c r="QOW124" s="24"/>
      <c r="QOX124" s="178"/>
      <c r="QOY124" s="24"/>
      <c r="QOZ124" s="178"/>
      <c r="QPA124" s="24"/>
      <c r="QPB124" s="178"/>
      <c r="QPC124" s="24"/>
      <c r="QPD124" s="178"/>
      <c r="QPE124" s="24"/>
      <c r="QPF124" s="178"/>
      <c r="QPG124" s="24"/>
      <c r="QPH124" s="178"/>
      <c r="QPI124" s="24"/>
      <c r="QPJ124" s="178"/>
      <c r="QPK124" s="24"/>
      <c r="QPL124" s="178"/>
      <c r="QPM124" s="24"/>
      <c r="QPN124" s="178"/>
      <c r="QPO124" s="24"/>
      <c r="QPP124" s="178"/>
      <c r="QPQ124" s="24"/>
      <c r="QPR124" s="178"/>
      <c r="QPS124" s="24"/>
      <c r="QPT124" s="178"/>
      <c r="QPU124" s="24"/>
      <c r="QPV124" s="178"/>
      <c r="QPW124" s="24"/>
      <c r="QPX124" s="178"/>
      <c r="QPY124" s="24"/>
      <c r="QPZ124" s="178"/>
      <c r="QQA124" s="24"/>
      <c r="QQB124" s="178"/>
      <c r="QQC124" s="24"/>
      <c r="QQD124" s="178"/>
      <c r="QQE124" s="24"/>
      <c r="QQF124" s="178"/>
      <c r="QQG124" s="24"/>
      <c r="QQH124" s="178"/>
      <c r="QQI124" s="24"/>
      <c r="QQJ124" s="178"/>
      <c r="QQK124" s="24"/>
      <c r="QQL124" s="178"/>
      <c r="QQM124" s="24"/>
      <c r="QQN124" s="178"/>
      <c r="QQO124" s="24"/>
      <c r="QQP124" s="178"/>
      <c r="QQQ124" s="24"/>
      <c r="QQR124" s="178"/>
      <c r="QQS124" s="24"/>
      <c r="QQT124" s="178"/>
      <c r="QQU124" s="24"/>
      <c r="QQV124" s="178"/>
      <c r="QQW124" s="24"/>
      <c r="QQX124" s="178"/>
      <c r="QQY124" s="24"/>
      <c r="QQZ124" s="178"/>
      <c r="QRA124" s="24"/>
      <c r="QRB124" s="178"/>
      <c r="QRC124" s="24"/>
      <c r="QRD124" s="178"/>
      <c r="QRE124" s="24"/>
      <c r="QRF124" s="178"/>
      <c r="QRG124" s="24"/>
      <c r="QRH124" s="178"/>
      <c r="QRI124" s="24"/>
      <c r="QRJ124" s="178"/>
      <c r="QRK124" s="24"/>
      <c r="QRL124" s="178"/>
      <c r="QRM124" s="24"/>
      <c r="QRN124" s="178"/>
      <c r="QRO124" s="24"/>
      <c r="QRP124" s="178"/>
      <c r="QRQ124" s="24"/>
      <c r="QRR124" s="178"/>
      <c r="QRS124" s="24"/>
      <c r="QRT124" s="178"/>
      <c r="QRU124" s="24"/>
      <c r="QRV124" s="178"/>
      <c r="QRW124" s="24"/>
      <c r="QRX124" s="178"/>
      <c r="QRY124" s="24"/>
      <c r="QRZ124" s="178"/>
      <c r="QSA124" s="24"/>
      <c r="QSB124" s="178"/>
      <c r="QSC124" s="24"/>
      <c r="QSD124" s="178"/>
      <c r="QSE124" s="24"/>
      <c r="QSF124" s="178"/>
      <c r="QSG124" s="24"/>
      <c r="QSH124" s="178"/>
      <c r="QSI124" s="24"/>
      <c r="QSJ124" s="178"/>
      <c r="QSK124" s="24"/>
      <c r="QSL124" s="178"/>
      <c r="QSM124" s="24"/>
      <c r="QSN124" s="178"/>
      <c r="QSO124" s="24"/>
      <c r="QSP124" s="178"/>
      <c r="QSQ124" s="24"/>
      <c r="QSR124" s="178"/>
      <c r="QSS124" s="24"/>
      <c r="QST124" s="178"/>
      <c r="QSU124" s="24"/>
      <c r="QSV124" s="178"/>
      <c r="QSW124" s="24"/>
      <c r="QSX124" s="178"/>
      <c r="QSY124" s="24"/>
      <c r="QSZ124" s="178"/>
      <c r="QTA124" s="24"/>
      <c r="QTB124" s="178"/>
      <c r="QTC124" s="24"/>
      <c r="QTD124" s="178"/>
      <c r="QTE124" s="24"/>
      <c r="QTF124" s="178"/>
      <c r="QTG124" s="24"/>
      <c r="QTH124" s="178"/>
      <c r="QTI124" s="24"/>
      <c r="QTJ124" s="178"/>
      <c r="QTK124" s="24"/>
      <c r="QTL124" s="178"/>
      <c r="QTM124" s="24"/>
      <c r="QTN124" s="178"/>
      <c r="QTO124" s="24"/>
      <c r="QTP124" s="178"/>
      <c r="QTQ124" s="24"/>
      <c r="QTR124" s="178"/>
      <c r="QTS124" s="24"/>
      <c r="QTT124" s="178"/>
      <c r="QTU124" s="24"/>
      <c r="QTV124" s="178"/>
      <c r="QTW124" s="24"/>
      <c r="QTX124" s="178"/>
      <c r="QTY124" s="24"/>
      <c r="QTZ124" s="178"/>
      <c r="QUA124" s="24"/>
      <c r="QUB124" s="178"/>
      <c r="QUC124" s="24"/>
      <c r="QUD124" s="178"/>
      <c r="QUE124" s="24"/>
      <c r="QUF124" s="178"/>
      <c r="QUG124" s="24"/>
      <c r="QUH124" s="178"/>
      <c r="QUI124" s="24"/>
      <c r="QUJ124" s="178"/>
      <c r="QUK124" s="24"/>
      <c r="QUL124" s="178"/>
      <c r="QUM124" s="24"/>
      <c r="QUN124" s="178"/>
      <c r="QUO124" s="24"/>
      <c r="QUP124" s="178"/>
      <c r="QUQ124" s="24"/>
      <c r="QUR124" s="178"/>
      <c r="QUS124" s="24"/>
      <c r="QUT124" s="178"/>
      <c r="QUU124" s="24"/>
      <c r="QUV124" s="178"/>
      <c r="QUW124" s="24"/>
      <c r="QUX124" s="178"/>
      <c r="QUY124" s="24"/>
      <c r="QUZ124" s="178"/>
      <c r="QVA124" s="24"/>
      <c r="QVB124" s="178"/>
      <c r="QVC124" s="24"/>
      <c r="QVD124" s="178"/>
      <c r="QVE124" s="24"/>
      <c r="QVF124" s="178"/>
      <c r="QVG124" s="24"/>
      <c r="QVH124" s="178"/>
      <c r="QVI124" s="24"/>
      <c r="QVJ124" s="178"/>
      <c r="QVK124" s="24"/>
      <c r="QVL124" s="178"/>
      <c r="QVM124" s="24"/>
      <c r="QVN124" s="178"/>
      <c r="QVO124" s="24"/>
      <c r="QVP124" s="178"/>
      <c r="QVQ124" s="24"/>
      <c r="QVR124" s="178"/>
      <c r="QVS124" s="24"/>
      <c r="QVT124" s="178"/>
      <c r="QVU124" s="24"/>
      <c r="QVV124" s="178"/>
      <c r="QVW124" s="24"/>
      <c r="QVX124" s="178"/>
      <c r="QVY124" s="24"/>
      <c r="QVZ124" s="178"/>
      <c r="QWA124" s="24"/>
      <c r="QWB124" s="178"/>
      <c r="QWC124" s="24"/>
      <c r="QWD124" s="178"/>
      <c r="QWE124" s="24"/>
      <c r="QWF124" s="178"/>
      <c r="QWG124" s="24"/>
      <c r="QWH124" s="178"/>
      <c r="QWI124" s="24"/>
      <c r="QWJ124" s="178"/>
      <c r="QWK124" s="24"/>
      <c r="QWL124" s="178"/>
      <c r="QWM124" s="24"/>
      <c r="QWN124" s="178"/>
      <c r="QWO124" s="24"/>
      <c r="QWP124" s="178"/>
      <c r="QWQ124" s="24"/>
      <c r="QWR124" s="178"/>
      <c r="QWS124" s="24"/>
      <c r="QWT124" s="178"/>
      <c r="QWU124" s="24"/>
      <c r="QWV124" s="178"/>
      <c r="QWW124" s="24"/>
      <c r="QWX124" s="178"/>
      <c r="QWY124" s="24"/>
      <c r="QWZ124" s="178"/>
      <c r="QXA124" s="24"/>
      <c r="QXB124" s="178"/>
      <c r="QXC124" s="24"/>
      <c r="QXD124" s="178"/>
      <c r="QXE124" s="24"/>
      <c r="QXF124" s="178"/>
      <c r="QXG124" s="24"/>
      <c r="QXH124" s="178"/>
      <c r="QXI124" s="24"/>
      <c r="QXJ124" s="178"/>
      <c r="QXK124" s="24"/>
      <c r="QXL124" s="178"/>
      <c r="QXM124" s="24"/>
      <c r="QXN124" s="178"/>
      <c r="QXO124" s="24"/>
      <c r="QXP124" s="178"/>
      <c r="QXQ124" s="24"/>
      <c r="QXR124" s="178"/>
      <c r="QXS124" s="24"/>
      <c r="QXT124" s="178"/>
      <c r="QXU124" s="24"/>
      <c r="QXV124" s="178"/>
      <c r="QXW124" s="24"/>
      <c r="QXX124" s="178"/>
      <c r="QXY124" s="24"/>
      <c r="QXZ124" s="178"/>
      <c r="QYA124" s="24"/>
      <c r="QYB124" s="178"/>
      <c r="QYC124" s="24"/>
      <c r="QYD124" s="178"/>
      <c r="QYE124" s="24"/>
      <c r="QYF124" s="178"/>
      <c r="QYG124" s="24"/>
      <c r="QYH124" s="178"/>
      <c r="QYI124" s="24"/>
      <c r="QYJ124" s="178"/>
      <c r="QYK124" s="24"/>
      <c r="QYL124" s="178"/>
      <c r="QYM124" s="24"/>
      <c r="QYN124" s="178"/>
      <c r="QYO124" s="24"/>
      <c r="QYP124" s="178"/>
      <c r="QYQ124" s="24"/>
      <c r="QYR124" s="178"/>
      <c r="QYS124" s="24"/>
      <c r="QYT124" s="178"/>
      <c r="QYU124" s="24"/>
      <c r="QYV124" s="178"/>
      <c r="QYW124" s="24"/>
      <c r="QYX124" s="178"/>
      <c r="QYY124" s="24"/>
      <c r="QYZ124" s="178"/>
      <c r="QZA124" s="24"/>
      <c r="QZB124" s="178"/>
      <c r="QZC124" s="24"/>
      <c r="QZD124" s="178"/>
      <c r="QZE124" s="24"/>
      <c r="QZF124" s="178"/>
      <c r="QZG124" s="24"/>
      <c r="QZH124" s="178"/>
      <c r="QZI124" s="24"/>
      <c r="QZJ124" s="178"/>
      <c r="QZK124" s="24"/>
      <c r="QZL124" s="178"/>
      <c r="QZM124" s="24"/>
      <c r="QZN124" s="178"/>
      <c r="QZO124" s="24"/>
      <c r="QZP124" s="178"/>
      <c r="QZQ124" s="24"/>
      <c r="QZR124" s="178"/>
      <c r="QZS124" s="24"/>
      <c r="QZT124" s="178"/>
      <c r="QZU124" s="24"/>
      <c r="QZV124" s="178"/>
      <c r="QZW124" s="24"/>
      <c r="QZX124" s="178"/>
      <c r="QZY124" s="24"/>
      <c r="QZZ124" s="178"/>
      <c r="RAA124" s="24"/>
      <c r="RAB124" s="178"/>
      <c r="RAC124" s="24"/>
      <c r="RAD124" s="178"/>
      <c r="RAE124" s="24"/>
      <c r="RAF124" s="178"/>
      <c r="RAG124" s="24"/>
      <c r="RAH124" s="178"/>
      <c r="RAI124" s="24"/>
      <c r="RAJ124" s="178"/>
      <c r="RAK124" s="24"/>
      <c r="RAL124" s="178"/>
      <c r="RAM124" s="24"/>
      <c r="RAN124" s="178"/>
      <c r="RAO124" s="24"/>
      <c r="RAP124" s="178"/>
      <c r="RAQ124" s="24"/>
      <c r="RAR124" s="178"/>
      <c r="RAS124" s="24"/>
      <c r="RAT124" s="178"/>
      <c r="RAU124" s="24"/>
      <c r="RAV124" s="178"/>
      <c r="RAW124" s="24"/>
      <c r="RAX124" s="178"/>
      <c r="RAY124" s="24"/>
      <c r="RAZ124" s="178"/>
      <c r="RBA124" s="24"/>
      <c r="RBB124" s="178"/>
      <c r="RBC124" s="24"/>
      <c r="RBD124" s="178"/>
      <c r="RBE124" s="24"/>
      <c r="RBF124" s="178"/>
      <c r="RBG124" s="24"/>
      <c r="RBH124" s="178"/>
      <c r="RBI124" s="24"/>
      <c r="RBJ124" s="178"/>
      <c r="RBK124" s="24"/>
      <c r="RBL124" s="178"/>
      <c r="RBM124" s="24"/>
      <c r="RBN124" s="178"/>
      <c r="RBO124" s="24"/>
      <c r="RBP124" s="178"/>
      <c r="RBQ124" s="24"/>
      <c r="RBR124" s="178"/>
      <c r="RBS124" s="24"/>
      <c r="RBT124" s="178"/>
      <c r="RBU124" s="24"/>
      <c r="RBV124" s="178"/>
      <c r="RBW124" s="24"/>
      <c r="RBX124" s="178"/>
      <c r="RBY124" s="24"/>
      <c r="RBZ124" s="178"/>
      <c r="RCA124" s="24"/>
      <c r="RCB124" s="178"/>
      <c r="RCC124" s="24"/>
      <c r="RCD124" s="178"/>
      <c r="RCE124" s="24"/>
      <c r="RCF124" s="178"/>
      <c r="RCG124" s="24"/>
      <c r="RCH124" s="178"/>
      <c r="RCI124" s="24"/>
      <c r="RCJ124" s="178"/>
      <c r="RCK124" s="24"/>
      <c r="RCL124" s="178"/>
      <c r="RCM124" s="24"/>
      <c r="RCN124" s="178"/>
      <c r="RCO124" s="24"/>
      <c r="RCP124" s="178"/>
      <c r="RCQ124" s="24"/>
      <c r="RCR124" s="178"/>
      <c r="RCS124" s="24"/>
      <c r="RCT124" s="178"/>
      <c r="RCU124" s="24"/>
      <c r="RCV124" s="178"/>
      <c r="RCW124" s="24"/>
      <c r="RCX124" s="178"/>
      <c r="RCY124" s="24"/>
      <c r="RCZ124" s="178"/>
      <c r="RDA124" s="24"/>
      <c r="RDB124" s="178"/>
      <c r="RDC124" s="24"/>
      <c r="RDD124" s="178"/>
      <c r="RDE124" s="24"/>
      <c r="RDF124" s="178"/>
      <c r="RDG124" s="24"/>
      <c r="RDH124" s="178"/>
      <c r="RDI124" s="24"/>
      <c r="RDJ124" s="178"/>
      <c r="RDK124" s="24"/>
      <c r="RDL124" s="178"/>
      <c r="RDM124" s="24"/>
      <c r="RDN124" s="178"/>
      <c r="RDO124" s="24"/>
      <c r="RDP124" s="178"/>
      <c r="RDQ124" s="24"/>
      <c r="RDR124" s="178"/>
      <c r="RDS124" s="24"/>
      <c r="RDT124" s="178"/>
      <c r="RDU124" s="24"/>
      <c r="RDV124" s="178"/>
      <c r="RDW124" s="24"/>
      <c r="RDX124" s="178"/>
      <c r="RDY124" s="24"/>
      <c r="RDZ124" s="178"/>
      <c r="REA124" s="24"/>
      <c r="REB124" s="178"/>
      <c r="REC124" s="24"/>
      <c r="RED124" s="178"/>
      <c r="REE124" s="24"/>
      <c r="REF124" s="178"/>
      <c r="REG124" s="24"/>
      <c r="REH124" s="178"/>
      <c r="REI124" s="24"/>
      <c r="REJ124" s="178"/>
      <c r="REK124" s="24"/>
      <c r="REL124" s="178"/>
      <c r="REM124" s="24"/>
      <c r="REN124" s="178"/>
      <c r="REO124" s="24"/>
      <c r="REP124" s="178"/>
      <c r="REQ124" s="24"/>
      <c r="RER124" s="178"/>
      <c r="RES124" s="24"/>
      <c r="RET124" s="178"/>
      <c r="REU124" s="24"/>
      <c r="REV124" s="178"/>
      <c r="REW124" s="24"/>
      <c r="REX124" s="178"/>
      <c r="REY124" s="24"/>
      <c r="REZ124" s="178"/>
      <c r="RFA124" s="24"/>
      <c r="RFB124" s="178"/>
      <c r="RFC124" s="24"/>
      <c r="RFD124" s="178"/>
      <c r="RFE124" s="24"/>
      <c r="RFF124" s="178"/>
      <c r="RFG124" s="24"/>
      <c r="RFH124" s="178"/>
      <c r="RFI124" s="24"/>
      <c r="RFJ124" s="178"/>
      <c r="RFK124" s="24"/>
      <c r="RFL124" s="178"/>
      <c r="RFM124" s="24"/>
      <c r="RFN124" s="178"/>
      <c r="RFO124" s="24"/>
      <c r="RFP124" s="178"/>
      <c r="RFQ124" s="24"/>
      <c r="RFR124" s="178"/>
      <c r="RFS124" s="24"/>
      <c r="RFT124" s="178"/>
      <c r="RFU124" s="24"/>
      <c r="RFV124" s="178"/>
      <c r="RFW124" s="24"/>
      <c r="RFX124" s="178"/>
      <c r="RFY124" s="24"/>
      <c r="RFZ124" s="178"/>
      <c r="RGA124" s="24"/>
      <c r="RGB124" s="178"/>
      <c r="RGC124" s="24"/>
      <c r="RGD124" s="178"/>
      <c r="RGE124" s="24"/>
      <c r="RGF124" s="178"/>
      <c r="RGG124" s="24"/>
      <c r="RGH124" s="178"/>
      <c r="RGI124" s="24"/>
      <c r="RGJ124" s="178"/>
      <c r="RGK124" s="24"/>
      <c r="RGL124" s="178"/>
      <c r="RGM124" s="24"/>
      <c r="RGN124" s="178"/>
      <c r="RGO124" s="24"/>
      <c r="RGP124" s="178"/>
      <c r="RGQ124" s="24"/>
      <c r="RGR124" s="178"/>
      <c r="RGS124" s="24"/>
      <c r="RGT124" s="178"/>
      <c r="RGU124" s="24"/>
      <c r="RGV124" s="178"/>
      <c r="RGW124" s="24"/>
      <c r="RGX124" s="178"/>
      <c r="RGY124" s="24"/>
      <c r="RGZ124" s="178"/>
      <c r="RHA124" s="24"/>
      <c r="RHB124" s="178"/>
      <c r="RHC124" s="24"/>
      <c r="RHD124" s="178"/>
      <c r="RHE124" s="24"/>
      <c r="RHF124" s="178"/>
      <c r="RHG124" s="24"/>
      <c r="RHH124" s="178"/>
      <c r="RHI124" s="24"/>
      <c r="RHJ124" s="178"/>
      <c r="RHK124" s="24"/>
      <c r="RHL124" s="178"/>
      <c r="RHM124" s="24"/>
      <c r="RHN124" s="178"/>
      <c r="RHO124" s="24"/>
      <c r="RHP124" s="178"/>
      <c r="RHQ124" s="24"/>
      <c r="RHR124" s="178"/>
      <c r="RHS124" s="24"/>
      <c r="RHT124" s="178"/>
      <c r="RHU124" s="24"/>
      <c r="RHV124" s="178"/>
      <c r="RHW124" s="24"/>
      <c r="RHX124" s="178"/>
      <c r="RHY124" s="24"/>
      <c r="RHZ124" s="178"/>
      <c r="RIA124" s="24"/>
      <c r="RIB124" s="178"/>
      <c r="RIC124" s="24"/>
      <c r="RID124" s="178"/>
      <c r="RIE124" s="24"/>
      <c r="RIF124" s="178"/>
      <c r="RIG124" s="24"/>
      <c r="RIH124" s="178"/>
      <c r="RII124" s="24"/>
      <c r="RIJ124" s="178"/>
      <c r="RIK124" s="24"/>
      <c r="RIL124" s="178"/>
      <c r="RIM124" s="24"/>
      <c r="RIN124" s="178"/>
      <c r="RIO124" s="24"/>
      <c r="RIP124" s="178"/>
      <c r="RIQ124" s="24"/>
      <c r="RIR124" s="178"/>
      <c r="RIS124" s="24"/>
      <c r="RIT124" s="178"/>
      <c r="RIU124" s="24"/>
      <c r="RIV124" s="178"/>
      <c r="RIW124" s="24"/>
      <c r="RIX124" s="178"/>
      <c r="RIY124" s="24"/>
      <c r="RIZ124" s="178"/>
      <c r="RJA124" s="24"/>
      <c r="RJB124" s="178"/>
      <c r="RJC124" s="24"/>
      <c r="RJD124" s="178"/>
      <c r="RJE124" s="24"/>
      <c r="RJF124" s="178"/>
      <c r="RJG124" s="24"/>
      <c r="RJH124" s="178"/>
      <c r="RJI124" s="24"/>
      <c r="RJJ124" s="178"/>
      <c r="RJK124" s="24"/>
      <c r="RJL124" s="178"/>
      <c r="RJM124" s="24"/>
      <c r="RJN124" s="178"/>
      <c r="RJO124" s="24"/>
      <c r="RJP124" s="178"/>
      <c r="RJQ124" s="24"/>
      <c r="RJR124" s="178"/>
      <c r="RJS124" s="24"/>
      <c r="RJT124" s="178"/>
      <c r="RJU124" s="24"/>
      <c r="RJV124" s="178"/>
      <c r="RJW124" s="24"/>
      <c r="RJX124" s="178"/>
      <c r="RJY124" s="24"/>
      <c r="RJZ124" s="178"/>
      <c r="RKA124" s="24"/>
      <c r="RKB124" s="178"/>
      <c r="RKC124" s="24"/>
      <c r="RKD124" s="178"/>
      <c r="RKE124" s="24"/>
      <c r="RKF124" s="178"/>
      <c r="RKG124" s="24"/>
      <c r="RKH124" s="178"/>
      <c r="RKI124" s="24"/>
      <c r="RKJ124" s="178"/>
      <c r="RKK124" s="24"/>
      <c r="RKL124" s="178"/>
      <c r="RKM124" s="24"/>
      <c r="RKN124" s="178"/>
      <c r="RKO124" s="24"/>
      <c r="RKP124" s="178"/>
      <c r="RKQ124" s="24"/>
      <c r="RKR124" s="178"/>
      <c r="RKS124" s="24"/>
      <c r="RKT124" s="178"/>
      <c r="RKU124" s="24"/>
      <c r="RKV124" s="178"/>
      <c r="RKW124" s="24"/>
      <c r="RKX124" s="178"/>
      <c r="RKY124" s="24"/>
      <c r="RKZ124" s="178"/>
      <c r="RLA124" s="24"/>
      <c r="RLB124" s="178"/>
      <c r="RLC124" s="24"/>
      <c r="RLD124" s="178"/>
      <c r="RLE124" s="24"/>
      <c r="RLF124" s="178"/>
      <c r="RLG124" s="24"/>
      <c r="RLH124" s="178"/>
      <c r="RLI124" s="24"/>
      <c r="RLJ124" s="178"/>
      <c r="RLK124" s="24"/>
      <c r="RLL124" s="178"/>
      <c r="RLM124" s="24"/>
      <c r="RLN124" s="178"/>
      <c r="RLO124" s="24"/>
      <c r="RLP124" s="178"/>
      <c r="RLQ124" s="24"/>
      <c r="RLR124" s="178"/>
      <c r="RLS124" s="24"/>
      <c r="RLT124" s="178"/>
      <c r="RLU124" s="24"/>
      <c r="RLV124" s="178"/>
      <c r="RLW124" s="24"/>
      <c r="RLX124" s="178"/>
      <c r="RLY124" s="24"/>
      <c r="RLZ124" s="178"/>
      <c r="RMA124" s="24"/>
      <c r="RMB124" s="178"/>
      <c r="RMC124" s="24"/>
      <c r="RMD124" s="178"/>
      <c r="RME124" s="24"/>
      <c r="RMF124" s="178"/>
      <c r="RMG124" s="24"/>
      <c r="RMH124" s="178"/>
      <c r="RMI124" s="24"/>
      <c r="RMJ124" s="178"/>
      <c r="RMK124" s="24"/>
      <c r="RML124" s="178"/>
      <c r="RMM124" s="24"/>
      <c r="RMN124" s="178"/>
      <c r="RMO124" s="24"/>
      <c r="RMP124" s="178"/>
      <c r="RMQ124" s="24"/>
      <c r="RMR124" s="178"/>
      <c r="RMS124" s="24"/>
      <c r="RMT124" s="178"/>
      <c r="RMU124" s="24"/>
      <c r="RMV124" s="178"/>
      <c r="RMW124" s="24"/>
      <c r="RMX124" s="178"/>
      <c r="RMY124" s="24"/>
      <c r="RMZ124" s="178"/>
      <c r="RNA124" s="24"/>
      <c r="RNB124" s="178"/>
      <c r="RNC124" s="24"/>
      <c r="RND124" s="178"/>
      <c r="RNE124" s="24"/>
      <c r="RNF124" s="178"/>
      <c r="RNG124" s="24"/>
      <c r="RNH124" s="178"/>
      <c r="RNI124" s="24"/>
      <c r="RNJ124" s="178"/>
      <c r="RNK124" s="24"/>
      <c r="RNL124" s="178"/>
      <c r="RNM124" s="24"/>
      <c r="RNN124" s="178"/>
      <c r="RNO124" s="24"/>
      <c r="RNP124" s="178"/>
      <c r="RNQ124" s="24"/>
      <c r="RNR124" s="178"/>
      <c r="RNS124" s="24"/>
      <c r="RNT124" s="178"/>
      <c r="RNU124" s="24"/>
      <c r="RNV124" s="178"/>
      <c r="RNW124" s="24"/>
      <c r="RNX124" s="178"/>
      <c r="RNY124" s="24"/>
      <c r="RNZ124" s="178"/>
      <c r="ROA124" s="24"/>
      <c r="ROB124" s="178"/>
      <c r="ROC124" s="24"/>
      <c r="ROD124" s="178"/>
      <c r="ROE124" s="24"/>
      <c r="ROF124" s="178"/>
      <c r="ROG124" s="24"/>
      <c r="ROH124" s="178"/>
      <c r="ROI124" s="24"/>
      <c r="ROJ124" s="178"/>
      <c r="ROK124" s="24"/>
      <c r="ROL124" s="178"/>
      <c r="ROM124" s="24"/>
      <c r="RON124" s="178"/>
      <c r="ROO124" s="24"/>
      <c r="ROP124" s="178"/>
      <c r="ROQ124" s="24"/>
      <c r="ROR124" s="178"/>
      <c r="ROS124" s="24"/>
      <c r="ROT124" s="178"/>
      <c r="ROU124" s="24"/>
      <c r="ROV124" s="178"/>
      <c r="ROW124" s="24"/>
      <c r="ROX124" s="178"/>
      <c r="ROY124" s="24"/>
      <c r="ROZ124" s="178"/>
      <c r="RPA124" s="24"/>
      <c r="RPB124" s="178"/>
      <c r="RPC124" s="24"/>
      <c r="RPD124" s="178"/>
      <c r="RPE124" s="24"/>
      <c r="RPF124" s="178"/>
      <c r="RPG124" s="24"/>
      <c r="RPH124" s="178"/>
      <c r="RPI124" s="24"/>
      <c r="RPJ124" s="178"/>
      <c r="RPK124" s="24"/>
      <c r="RPL124" s="178"/>
      <c r="RPM124" s="24"/>
      <c r="RPN124" s="178"/>
      <c r="RPO124" s="24"/>
      <c r="RPP124" s="178"/>
      <c r="RPQ124" s="24"/>
      <c r="RPR124" s="178"/>
      <c r="RPS124" s="24"/>
      <c r="RPT124" s="178"/>
      <c r="RPU124" s="24"/>
      <c r="RPV124" s="178"/>
      <c r="RPW124" s="24"/>
      <c r="RPX124" s="178"/>
      <c r="RPY124" s="24"/>
      <c r="RPZ124" s="178"/>
      <c r="RQA124" s="24"/>
      <c r="RQB124" s="178"/>
      <c r="RQC124" s="24"/>
      <c r="RQD124" s="178"/>
      <c r="RQE124" s="24"/>
      <c r="RQF124" s="178"/>
      <c r="RQG124" s="24"/>
      <c r="RQH124" s="178"/>
      <c r="RQI124" s="24"/>
      <c r="RQJ124" s="178"/>
      <c r="RQK124" s="24"/>
      <c r="RQL124" s="178"/>
      <c r="RQM124" s="24"/>
      <c r="RQN124" s="178"/>
      <c r="RQO124" s="24"/>
      <c r="RQP124" s="178"/>
      <c r="RQQ124" s="24"/>
      <c r="RQR124" s="178"/>
      <c r="RQS124" s="24"/>
      <c r="RQT124" s="178"/>
      <c r="RQU124" s="24"/>
      <c r="RQV124" s="178"/>
      <c r="RQW124" s="24"/>
      <c r="RQX124" s="178"/>
      <c r="RQY124" s="24"/>
      <c r="RQZ124" s="178"/>
      <c r="RRA124" s="24"/>
      <c r="RRB124" s="178"/>
      <c r="RRC124" s="24"/>
      <c r="RRD124" s="178"/>
      <c r="RRE124" s="24"/>
      <c r="RRF124" s="178"/>
      <c r="RRG124" s="24"/>
      <c r="RRH124" s="178"/>
      <c r="RRI124" s="24"/>
      <c r="RRJ124" s="178"/>
      <c r="RRK124" s="24"/>
      <c r="RRL124" s="178"/>
      <c r="RRM124" s="24"/>
      <c r="RRN124" s="178"/>
      <c r="RRO124" s="24"/>
      <c r="RRP124" s="178"/>
      <c r="RRQ124" s="24"/>
      <c r="RRR124" s="178"/>
      <c r="RRS124" s="24"/>
      <c r="RRT124" s="178"/>
      <c r="RRU124" s="24"/>
      <c r="RRV124" s="178"/>
      <c r="RRW124" s="24"/>
      <c r="RRX124" s="178"/>
      <c r="RRY124" s="24"/>
      <c r="RRZ124" s="178"/>
      <c r="RSA124" s="24"/>
      <c r="RSB124" s="178"/>
      <c r="RSC124" s="24"/>
      <c r="RSD124" s="178"/>
      <c r="RSE124" s="24"/>
      <c r="RSF124" s="178"/>
      <c r="RSG124" s="24"/>
      <c r="RSH124" s="178"/>
      <c r="RSI124" s="24"/>
      <c r="RSJ124" s="178"/>
      <c r="RSK124" s="24"/>
      <c r="RSL124" s="178"/>
      <c r="RSM124" s="24"/>
      <c r="RSN124" s="178"/>
      <c r="RSO124" s="24"/>
      <c r="RSP124" s="178"/>
      <c r="RSQ124" s="24"/>
      <c r="RSR124" s="178"/>
      <c r="RSS124" s="24"/>
      <c r="RST124" s="178"/>
      <c r="RSU124" s="24"/>
      <c r="RSV124" s="178"/>
      <c r="RSW124" s="24"/>
      <c r="RSX124" s="178"/>
      <c r="RSY124" s="24"/>
      <c r="RSZ124" s="178"/>
      <c r="RTA124" s="24"/>
      <c r="RTB124" s="178"/>
      <c r="RTC124" s="24"/>
      <c r="RTD124" s="178"/>
      <c r="RTE124" s="24"/>
      <c r="RTF124" s="178"/>
      <c r="RTG124" s="24"/>
      <c r="RTH124" s="178"/>
      <c r="RTI124" s="24"/>
      <c r="RTJ124" s="178"/>
      <c r="RTK124" s="24"/>
      <c r="RTL124" s="178"/>
      <c r="RTM124" s="24"/>
      <c r="RTN124" s="178"/>
      <c r="RTO124" s="24"/>
      <c r="RTP124" s="178"/>
      <c r="RTQ124" s="24"/>
      <c r="RTR124" s="178"/>
      <c r="RTS124" s="24"/>
      <c r="RTT124" s="178"/>
      <c r="RTU124" s="24"/>
      <c r="RTV124" s="178"/>
      <c r="RTW124" s="24"/>
      <c r="RTX124" s="178"/>
      <c r="RTY124" s="24"/>
      <c r="RTZ124" s="178"/>
      <c r="RUA124" s="24"/>
      <c r="RUB124" s="178"/>
      <c r="RUC124" s="24"/>
      <c r="RUD124" s="178"/>
      <c r="RUE124" s="24"/>
      <c r="RUF124" s="178"/>
      <c r="RUG124" s="24"/>
      <c r="RUH124" s="178"/>
      <c r="RUI124" s="24"/>
      <c r="RUJ124" s="178"/>
      <c r="RUK124" s="24"/>
      <c r="RUL124" s="178"/>
      <c r="RUM124" s="24"/>
      <c r="RUN124" s="178"/>
      <c r="RUO124" s="24"/>
      <c r="RUP124" s="178"/>
      <c r="RUQ124" s="24"/>
      <c r="RUR124" s="178"/>
      <c r="RUS124" s="24"/>
      <c r="RUT124" s="178"/>
      <c r="RUU124" s="24"/>
      <c r="RUV124" s="178"/>
      <c r="RUW124" s="24"/>
      <c r="RUX124" s="178"/>
      <c r="RUY124" s="24"/>
      <c r="RUZ124" s="178"/>
      <c r="RVA124" s="24"/>
      <c r="RVB124" s="178"/>
      <c r="RVC124" s="24"/>
      <c r="RVD124" s="178"/>
      <c r="RVE124" s="24"/>
      <c r="RVF124" s="178"/>
      <c r="RVG124" s="24"/>
      <c r="RVH124" s="178"/>
      <c r="RVI124" s="24"/>
      <c r="RVJ124" s="178"/>
      <c r="RVK124" s="24"/>
      <c r="RVL124" s="178"/>
      <c r="RVM124" s="24"/>
      <c r="RVN124" s="178"/>
      <c r="RVO124" s="24"/>
      <c r="RVP124" s="178"/>
      <c r="RVQ124" s="24"/>
      <c r="RVR124" s="178"/>
      <c r="RVS124" s="24"/>
      <c r="RVT124" s="178"/>
      <c r="RVU124" s="24"/>
      <c r="RVV124" s="178"/>
      <c r="RVW124" s="24"/>
      <c r="RVX124" s="178"/>
      <c r="RVY124" s="24"/>
      <c r="RVZ124" s="178"/>
      <c r="RWA124" s="24"/>
      <c r="RWB124" s="178"/>
      <c r="RWC124" s="24"/>
      <c r="RWD124" s="178"/>
      <c r="RWE124" s="24"/>
      <c r="RWF124" s="178"/>
      <c r="RWG124" s="24"/>
      <c r="RWH124" s="178"/>
      <c r="RWI124" s="24"/>
      <c r="RWJ124" s="178"/>
      <c r="RWK124" s="24"/>
      <c r="RWL124" s="178"/>
      <c r="RWM124" s="24"/>
      <c r="RWN124" s="178"/>
      <c r="RWO124" s="24"/>
      <c r="RWP124" s="178"/>
      <c r="RWQ124" s="24"/>
      <c r="RWR124" s="178"/>
      <c r="RWS124" s="24"/>
      <c r="RWT124" s="178"/>
      <c r="RWU124" s="24"/>
      <c r="RWV124" s="178"/>
      <c r="RWW124" s="24"/>
      <c r="RWX124" s="178"/>
      <c r="RWY124" s="24"/>
      <c r="RWZ124" s="178"/>
      <c r="RXA124" s="24"/>
      <c r="RXB124" s="178"/>
      <c r="RXC124" s="24"/>
      <c r="RXD124" s="178"/>
      <c r="RXE124" s="24"/>
      <c r="RXF124" s="178"/>
      <c r="RXG124" s="24"/>
      <c r="RXH124" s="178"/>
      <c r="RXI124" s="24"/>
      <c r="RXJ124" s="178"/>
      <c r="RXK124" s="24"/>
      <c r="RXL124" s="178"/>
      <c r="RXM124" s="24"/>
      <c r="RXN124" s="178"/>
      <c r="RXO124" s="24"/>
      <c r="RXP124" s="178"/>
      <c r="RXQ124" s="24"/>
      <c r="RXR124" s="178"/>
      <c r="RXS124" s="24"/>
      <c r="RXT124" s="178"/>
      <c r="RXU124" s="24"/>
      <c r="RXV124" s="178"/>
      <c r="RXW124" s="24"/>
      <c r="RXX124" s="178"/>
      <c r="RXY124" s="24"/>
      <c r="RXZ124" s="178"/>
      <c r="RYA124" s="24"/>
      <c r="RYB124" s="178"/>
      <c r="RYC124" s="24"/>
      <c r="RYD124" s="178"/>
      <c r="RYE124" s="24"/>
      <c r="RYF124" s="178"/>
      <c r="RYG124" s="24"/>
      <c r="RYH124" s="178"/>
      <c r="RYI124" s="24"/>
      <c r="RYJ124" s="178"/>
      <c r="RYK124" s="24"/>
      <c r="RYL124" s="178"/>
      <c r="RYM124" s="24"/>
      <c r="RYN124" s="178"/>
      <c r="RYO124" s="24"/>
      <c r="RYP124" s="178"/>
      <c r="RYQ124" s="24"/>
      <c r="RYR124" s="178"/>
      <c r="RYS124" s="24"/>
      <c r="RYT124" s="178"/>
      <c r="RYU124" s="24"/>
      <c r="RYV124" s="178"/>
      <c r="RYW124" s="24"/>
      <c r="RYX124" s="178"/>
      <c r="RYY124" s="24"/>
      <c r="RYZ124" s="178"/>
      <c r="RZA124" s="24"/>
      <c r="RZB124" s="178"/>
      <c r="RZC124" s="24"/>
      <c r="RZD124" s="178"/>
      <c r="RZE124" s="24"/>
      <c r="RZF124" s="178"/>
      <c r="RZG124" s="24"/>
      <c r="RZH124" s="178"/>
      <c r="RZI124" s="24"/>
      <c r="RZJ124" s="178"/>
      <c r="RZK124" s="24"/>
      <c r="RZL124" s="178"/>
      <c r="RZM124" s="24"/>
      <c r="RZN124" s="178"/>
      <c r="RZO124" s="24"/>
      <c r="RZP124" s="178"/>
      <c r="RZQ124" s="24"/>
      <c r="RZR124" s="178"/>
      <c r="RZS124" s="24"/>
      <c r="RZT124" s="178"/>
      <c r="RZU124" s="24"/>
      <c r="RZV124" s="178"/>
      <c r="RZW124" s="24"/>
      <c r="RZX124" s="178"/>
      <c r="RZY124" s="24"/>
      <c r="RZZ124" s="178"/>
      <c r="SAA124" s="24"/>
      <c r="SAB124" s="178"/>
      <c r="SAC124" s="24"/>
      <c r="SAD124" s="178"/>
      <c r="SAE124" s="24"/>
      <c r="SAF124" s="178"/>
      <c r="SAG124" s="24"/>
      <c r="SAH124" s="178"/>
      <c r="SAI124" s="24"/>
      <c r="SAJ124" s="178"/>
      <c r="SAK124" s="24"/>
      <c r="SAL124" s="178"/>
      <c r="SAM124" s="24"/>
      <c r="SAN124" s="178"/>
      <c r="SAO124" s="24"/>
      <c r="SAP124" s="178"/>
      <c r="SAQ124" s="24"/>
      <c r="SAR124" s="178"/>
      <c r="SAS124" s="24"/>
      <c r="SAT124" s="178"/>
      <c r="SAU124" s="24"/>
      <c r="SAV124" s="178"/>
      <c r="SAW124" s="24"/>
      <c r="SAX124" s="178"/>
      <c r="SAY124" s="24"/>
      <c r="SAZ124" s="178"/>
      <c r="SBA124" s="24"/>
      <c r="SBB124" s="178"/>
      <c r="SBC124" s="24"/>
      <c r="SBD124" s="178"/>
      <c r="SBE124" s="24"/>
      <c r="SBF124" s="178"/>
      <c r="SBG124" s="24"/>
      <c r="SBH124" s="178"/>
      <c r="SBI124" s="24"/>
      <c r="SBJ124" s="178"/>
      <c r="SBK124" s="24"/>
      <c r="SBL124" s="178"/>
      <c r="SBM124" s="24"/>
      <c r="SBN124" s="178"/>
      <c r="SBO124" s="24"/>
      <c r="SBP124" s="178"/>
      <c r="SBQ124" s="24"/>
      <c r="SBR124" s="178"/>
      <c r="SBS124" s="24"/>
      <c r="SBT124" s="178"/>
      <c r="SBU124" s="24"/>
      <c r="SBV124" s="178"/>
      <c r="SBW124" s="24"/>
      <c r="SBX124" s="178"/>
      <c r="SBY124" s="24"/>
      <c r="SBZ124" s="178"/>
      <c r="SCA124" s="24"/>
      <c r="SCB124" s="178"/>
      <c r="SCC124" s="24"/>
      <c r="SCD124" s="178"/>
      <c r="SCE124" s="24"/>
      <c r="SCF124" s="178"/>
      <c r="SCG124" s="24"/>
      <c r="SCH124" s="178"/>
      <c r="SCI124" s="24"/>
      <c r="SCJ124" s="178"/>
      <c r="SCK124" s="24"/>
      <c r="SCL124" s="178"/>
      <c r="SCM124" s="24"/>
      <c r="SCN124" s="178"/>
      <c r="SCO124" s="24"/>
      <c r="SCP124" s="178"/>
      <c r="SCQ124" s="24"/>
      <c r="SCR124" s="178"/>
      <c r="SCS124" s="24"/>
      <c r="SCT124" s="178"/>
      <c r="SCU124" s="24"/>
      <c r="SCV124" s="178"/>
      <c r="SCW124" s="24"/>
      <c r="SCX124" s="178"/>
      <c r="SCY124" s="24"/>
      <c r="SCZ124" s="178"/>
      <c r="SDA124" s="24"/>
      <c r="SDB124" s="178"/>
      <c r="SDC124" s="24"/>
      <c r="SDD124" s="178"/>
      <c r="SDE124" s="24"/>
      <c r="SDF124" s="178"/>
      <c r="SDG124" s="24"/>
      <c r="SDH124" s="178"/>
      <c r="SDI124" s="24"/>
      <c r="SDJ124" s="178"/>
      <c r="SDK124" s="24"/>
      <c r="SDL124" s="178"/>
      <c r="SDM124" s="24"/>
      <c r="SDN124" s="178"/>
      <c r="SDO124" s="24"/>
      <c r="SDP124" s="178"/>
      <c r="SDQ124" s="24"/>
      <c r="SDR124" s="178"/>
      <c r="SDS124" s="24"/>
      <c r="SDT124" s="178"/>
      <c r="SDU124" s="24"/>
      <c r="SDV124" s="178"/>
      <c r="SDW124" s="24"/>
      <c r="SDX124" s="178"/>
      <c r="SDY124" s="24"/>
      <c r="SDZ124" s="178"/>
      <c r="SEA124" s="24"/>
      <c r="SEB124" s="178"/>
      <c r="SEC124" s="24"/>
      <c r="SED124" s="178"/>
      <c r="SEE124" s="24"/>
      <c r="SEF124" s="178"/>
      <c r="SEG124" s="24"/>
      <c r="SEH124" s="178"/>
      <c r="SEI124" s="24"/>
      <c r="SEJ124" s="178"/>
      <c r="SEK124" s="24"/>
      <c r="SEL124" s="178"/>
      <c r="SEM124" s="24"/>
      <c r="SEN124" s="178"/>
      <c r="SEO124" s="24"/>
      <c r="SEP124" s="178"/>
      <c r="SEQ124" s="24"/>
      <c r="SER124" s="178"/>
      <c r="SES124" s="24"/>
      <c r="SET124" s="178"/>
      <c r="SEU124" s="24"/>
      <c r="SEV124" s="178"/>
      <c r="SEW124" s="24"/>
      <c r="SEX124" s="178"/>
      <c r="SEY124" s="24"/>
      <c r="SEZ124" s="178"/>
      <c r="SFA124" s="24"/>
      <c r="SFB124" s="178"/>
      <c r="SFC124" s="24"/>
      <c r="SFD124" s="178"/>
      <c r="SFE124" s="24"/>
      <c r="SFF124" s="178"/>
      <c r="SFG124" s="24"/>
      <c r="SFH124" s="178"/>
      <c r="SFI124" s="24"/>
      <c r="SFJ124" s="178"/>
      <c r="SFK124" s="24"/>
      <c r="SFL124" s="178"/>
      <c r="SFM124" s="24"/>
      <c r="SFN124" s="178"/>
      <c r="SFO124" s="24"/>
      <c r="SFP124" s="178"/>
      <c r="SFQ124" s="24"/>
      <c r="SFR124" s="178"/>
      <c r="SFS124" s="24"/>
      <c r="SFT124" s="178"/>
      <c r="SFU124" s="24"/>
      <c r="SFV124" s="178"/>
      <c r="SFW124" s="24"/>
      <c r="SFX124" s="178"/>
      <c r="SFY124" s="24"/>
      <c r="SFZ124" s="178"/>
      <c r="SGA124" s="24"/>
      <c r="SGB124" s="178"/>
      <c r="SGC124" s="24"/>
      <c r="SGD124" s="178"/>
      <c r="SGE124" s="24"/>
      <c r="SGF124" s="178"/>
      <c r="SGG124" s="24"/>
      <c r="SGH124" s="178"/>
      <c r="SGI124" s="24"/>
      <c r="SGJ124" s="178"/>
      <c r="SGK124" s="24"/>
      <c r="SGL124" s="178"/>
      <c r="SGM124" s="24"/>
      <c r="SGN124" s="178"/>
      <c r="SGO124" s="24"/>
      <c r="SGP124" s="178"/>
      <c r="SGQ124" s="24"/>
      <c r="SGR124" s="178"/>
      <c r="SGS124" s="24"/>
      <c r="SGT124" s="178"/>
      <c r="SGU124" s="24"/>
      <c r="SGV124" s="178"/>
      <c r="SGW124" s="24"/>
      <c r="SGX124" s="178"/>
      <c r="SGY124" s="24"/>
      <c r="SGZ124" s="178"/>
      <c r="SHA124" s="24"/>
      <c r="SHB124" s="178"/>
      <c r="SHC124" s="24"/>
      <c r="SHD124" s="178"/>
      <c r="SHE124" s="24"/>
      <c r="SHF124" s="178"/>
      <c r="SHG124" s="24"/>
      <c r="SHH124" s="178"/>
      <c r="SHI124" s="24"/>
      <c r="SHJ124" s="178"/>
      <c r="SHK124" s="24"/>
      <c r="SHL124" s="178"/>
      <c r="SHM124" s="24"/>
      <c r="SHN124" s="178"/>
      <c r="SHO124" s="24"/>
      <c r="SHP124" s="178"/>
      <c r="SHQ124" s="24"/>
      <c r="SHR124" s="178"/>
      <c r="SHS124" s="24"/>
      <c r="SHT124" s="178"/>
      <c r="SHU124" s="24"/>
      <c r="SHV124" s="178"/>
      <c r="SHW124" s="24"/>
      <c r="SHX124" s="178"/>
      <c r="SHY124" s="24"/>
      <c r="SHZ124" s="178"/>
      <c r="SIA124" s="24"/>
      <c r="SIB124" s="178"/>
      <c r="SIC124" s="24"/>
      <c r="SID124" s="178"/>
      <c r="SIE124" s="24"/>
      <c r="SIF124" s="178"/>
      <c r="SIG124" s="24"/>
      <c r="SIH124" s="178"/>
      <c r="SII124" s="24"/>
      <c r="SIJ124" s="178"/>
      <c r="SIK124" s="24"/>
      <c r="SIL124" s="178"/>
      <c r="SIM124" s="24"/>
      <c r="SIN124" s="178"/>
      <c r="SIO124" s="24"/>
      <c r="SIP124" s="178"/>
      <c r="SIQ124" s="24"/>
      <c r="SIR124" s="178"/>
      <c r="SIS124" s="24"/>
      <c r="SIT124" s="178"/>
      <c r="SIU124" s="24"/>
      <c r="SIV124" s="178"/>
      <c r="SIW124" s="24"/>
      <c r="SIX124" s="178"/>
      <c r="SIY124" s="24"/>
      <c r="SIZ124" s="178"/>
      <c r="SJA124" s="24"/>
      <c r="SJB124" s="178"/>
      <c r="SJC124" s="24"/>
      <c r="SJD124" s="178"/>
      <c r="SJE124" s="24"/>
      <c r="SJF124" s="178"/>
      <c r="SJG124" s="24"/>
      <c r="SJH124" s="178"/>
      <c r="SJI124" s="24"/>
      <c r="SJJ124" s="178"/>
      <c r="SJK124" s="24"/>
      <c r="SJL124" s="178"/>
      <c r="SJM124" s="24"/>
      <c r="SJN124" s="178"/>
      <c r="SJO124" s="24"/>
      <c r="SJP124" s="178"/>
      <c r="SJQ124" s="24"/>
      <c r="SJR124" s="178"/>
      <c r="SJS124" s="24"/>
      <c r="SJT124" s="178"/>
      <c r="SJU124" s="24"/>
      <c r="SJV124" s="178"/>
      <c r="SJW124" s="24"/>
      <c r="SJX124" s="178"/>
      <c r="SJY124" s="24"/>
      <c r="SJZ124" s="178"/>
      <c r="SKA124" s="24"/>
      <c r="SKB124" s="178"/>
      <c r="SKC124" s="24"/>
      <c r="SKD124" s="178"/>
      <c r="SKE124" s="24"/>
      <c r="SKF124" s="178"/>
      <c r="SKG124" s="24"/>
      <c r="SKH124" s="178"/>
      <c r="SKI124" s="24"/>
      <c r="SKJ124" s="178"/>
      <c r="SKK124" s="24"/>
      <c r="SKL124" s="178"/>
      <c r="SKM124" s="24"/>
      <c r="SKN124" s="178"/>
      <c r="SKO124" s="24"/>
      <c r="SKP124" s="178"/>
      <c r="SKQ124" s="24"/>
      <c r="SKR124" s="178"/>
      <c r="SKS124" s="24"/>
      <c r="SKT124" s="178"/>
      <c r="SKU124" s="24"/>
      <c r="SKV124" s="178"/>
      <c r="SKW124" s="24"/>
      <c r="SKX124" s="178"/>
      <c r="SKY124" s="24"/>
      <c r="SKZ124" s="178"/>
      <c r="SLA124" s="24"/>
      <c r="SLB124" s="178"/>
      <c r="SLC124" s="24"/>
      <c r="SLD124" s="178"/>
      <c r="SLE124" s="24"/>
      <c r="SLF124" s="178"/>
      <c r="SLG124" s="24"/>
      <c r="SLH124" s="178"/>
      <c r="SLI124" s="24"/>
      <c r="SLJ124" s="178"/>
      <c r="SLK124" s="24"/>
      <c r="SLL124" s="178"/>
      <c r="SLM124" s="24"/>
      <c r="SLN124" s="178"/>
      <c r="SLO124" s="24"/>
      <c r="SLP124" s="178"/>
      <c r="SLQ124" s="24"/>
      <c r="SLR124" s="178"/>
      <c r="SLS124" s="24"/>
      <c r="SLT124" s="178"/>
      <c r="SLU124" s="24"/>
      <c r="SLV124" s="178"/>
      <c r="SLW124" s="24"/>
      <c r="SLX124" s="178"/>
      <c r="SLY124" s="24"/>
      <c r="SLZ124" s="178"/>
      <c r="SMA124" s="24"/>
      <c r="SMB124" s="178"/>
      <c r="SMC124" s="24"/>
      <c r="SMD124" s="178"/>
      <c r="SME124" s="24"/>
      <c r="SMF124" s="178"/>
      <c r="SMG124" s="24"/>
      <c r="SMH124" s="178"/>
      <c r="SMI124" s="24"/>
      <c r="SMJ124" s="178"/>
      <c r="SMK124" s="24"/>
      <c r="SML124" s="178"/>
      <c r="SMM124" s="24"/>
      <c r="SMN124" s="178"/>
      <c r="SMO124" s="24"/>
      <c r="SMP124" s="178"/>
      <c r="SMQ124" s="24"/>
      <c r="SMR124" s="178"/>
      <c r="SMS124" s="24"/>
      <c r="SMT124" s="178"/>
      <c r="SMU124" s="24"/>
      <c r="SMV124" s="178"/>
      <c r="SMW124" s="24"/>
      <c r="SMX124" s="178"/>
      <c r="SMY124" s="24"/>
      <c r="SMZ124" s="178"/>
      <c r="SNA124" s="24"/>
      <c r="SNB124" s="178"/>
      <c r="SNC124" s="24"/>
      <c r="SND124" s="178"/>
      <c r="SNE124" s="24"/>
      <c r="SNF124" s="178"/>
      <c r="SNG124" s="24"/>
      <c r="SNH124" s="178"/>
      <c r="SNI124" s="24"/>
      <c r="SNJ124" s="178"/>
      <c r="SNK124" s="24"/>
      <c r="SNL124" s="178"/>
      <c r="SNM124" s="24"/>
      <c r="SNN124" s="178"/>
      <c r="SNO124" s="24"/>
      <c r="SNP124" s="178"/>
      <c r="SNQ124" s="24"/>
      <c r="SNR124" s="178"/>
      <c r="SNS124" s="24"/>
      <c r="SNT124" s="178"/>
      <c r="SNU124" s="24"/>
      <c r="SNV124" s="178"/>
      <c r="SNW124" s="24"/>
      <c r="SNX124" s="178"/>
      <c r="SNY124" s="24"/>
      <c r="SNZ124" s="178"/>
      <c r="SOA124" s="24"/>
      <c r="SOB124" s="178"/>
      <c r="SOC124" s="24"/>
      <c r="SOD124" s="178"/>
      <c r="SOE124" s="24"/>
      <c r="SOF124" s="178"/>
      <c r="SOG124" s="24"/>
      <c r="SOH124" s="178"/>
      <c r="SOI124" s="24"/>
      <c r="SOJ124" s="178"/>
      <c r="SOK124" s="24"/>
      <c r="SOL124" s="178"/>
      <c r="SOM124" s="24"/>
      <c r="SON124" s="178"/>
      <c r="SOO124" s="24"/>
      <c r="SOP124" s="178"/>
      <c r="SOQ124" s="24"/>
      <c r="SOR124" s="178"/>
      <c r="SOS124" s="24"/>
      <c r="SOT124" s="178"/>
      <c r="SOU124" s="24"/>
      <c r="SOV124" s="178"/>
      <c r="SOW124" s="24"/>
      <c r="SOX124" s="178"/>
      <c r="SOY124" s="24"/>
      <c r="SOZ124" s="178"/>
      <c r="SPA124" s="24"/>
      <c r="SPB124" s="178"/>
      <c r="SPC124" s="24"/>
      <c r="SPD124" s="178"/>
      <c r="SPE124" s="24"/>
      <c r="SPF124" s="178"/>
      <c r="SPG124" s="24"/>
      <c r="SPH124" s="178"/>
      <c r="SPI124" s="24"/>
      <c r="SPJ124" s="178"/>
      <c r="SPK124" s="24"/>
      <c r="SPL124" s="178"/>
      <c r="SPM124" s="24"/>
      <c r="SPN124" s="178"/>
      <c r="SPO124" s="24"/>
      <c r="SPP124" s="178"/>
      <c r="SPQ124" s="24"/>
      <c r="SPR124" s="178"/>
      <c r="SPS124" s="24"/>
      <c r="SPT124" s="178"/>
      <c r="SPU124" s="24"/>
      <c r="SPV124" s="178"/>
      <c r="SPW124" s="24"/>
      <c r="SPX124" s="178"/>
      <c r="SPY124" s="24"/>
      <c r="SPZ124" s="178"/>
      <c r="SQA124" s="24"/>
      <c r="SQB124" s="178"/>
      <c r="SQC124" s="24"/>
      <c r="SQD124" s="178"/>
      <c r="SQE124" s="24"/>
      <c r="SQF124" s="178"/>
      <c r="SQG124" s="24"/>
      <c r="SQH124" s="178"/>
      <c r="SQI124" s="24"/>
      <c r="SQJ124" s="178"/>
      <c r="SQK124" s="24"/>
      <c r="SQL124" s="178"/>
      <c r="SQM124" s="24"/>
      <c r="SQN124" s="178"/>
      <c r="SQO124" s="24"/>
      <c r="SQP124" s="178"/>
      <c r="SQQ124" s="24"/>
      <c r="SQR124" s="178"/>
      <c r="SQS124" s="24"/>
      <c r="SQT124" s="178"/>
      <c r="SQU124" s="24"/>
      <c r="SQV124" s="178"/>
      <c r="SQW124" s="24"/>
      <c r="SQX124" s="178"/>
      <c r="SQY124" s="24"/>
      <c r="SQZ124" s="178"/>
      <c r="SRA124" s="24"/>
      <c r="SRB124" s="178"/>
      <c r="SRC124" s="24"/>
      <c r="SRD124" s="178"/>
      <c r="SRE124" s="24"/>
      <c r="SRF124" s="178"/>
      <c r="SRG124" s="24"/>
      <c r="SRH124" s="178"/>
      <c r="SRI124" s="24"/>
      <c r="SRJ124" s="178"/>
      <c r="SRK124" s="24"/>
      <c r="SRL124" s="178"/>
      <c r="SRM124" s="24"/>
      <c r="SRN124" s="178"/>
      <c r="SRO124" s="24"/>
      <c r="SRP124" s="178"/>
      <c r="SRQ124" s="24"/>
      <c r="SRR124" s="178"/>
      <c r="SRS124" s="24"/>
      <c r="SRT124" s="178"/>
      <c r="SRU124" s="24"/>
      <c r="SRV124" s="178"/>
      <c r="SRW124" s="24"/>
      <c r="SRX124" s="178"/>
      <c r="SRY124" s="24"/>
      <c r="SRZ124" s="178"/>
      <c r="SSA124" s="24"/>
      <c r="SSB124" s="178"/>
      <c r="SSC124" s="24"/>
      <c r="SSD124" s="178"/>
      <c r="SSE124" s="24"/>
      <c r="SSF124" s="178"/>
      <c r="SSG124" s="24"/>
      <c r="SSH124" s="178"/>
      <c r="SSI124" s="24"/>
      <c r="SSJ124" s="178"/>
      <c r="SSK124" s="24"/>
      <c r="SSL124" s="178"/>
      <c r="SSM124" s="24"/>
      <c r="SSN124" s="178"/>
      <c r="SSO124" s="24"/>
      <c r="SSP124" s="178"/>
      <c r="SSQ124" s="24"/>
      <c r="SSR124" s="178"/>
      <c r="SSS124" s="24"/>
      <c r="SST124" s="178"/>
      <c r="SSU124" s="24"/>
      <c r="SSV124" s="178"/>
      <c r="SSW124" s="24"/>
      <c r="SSX124" s="178"/>
      <c r="SSY124" s="24"/>
      <c r="SSZ124" s="178"/>
      <c r="STA124" s="24"/>
      <c r="STB124" s="178"/>
      <c r="STC124" s="24"/>
      <c r="STD124" s="178"/>
      <c r="STE124" s="24"/>
      <c r="STF124" s="178"/>
      <c r="STG124" s="24"/>
      <c r="STH124" s="178"/>
      <c r="STI124" s="24"/>
      <c r="STJ124" s="178"/>
      <c r="STK124" s="24"/>
      <c r="STL124" s="178"/>
      <c r="STM124" s="24"/>
      <c r="STN124" s="178"/>
      <c r="STO124" s="24"/>
      <c r="STP124" s="178"/>
      <c r="STQ124" s="24"/>
      <c r="STR124" s="178"/>
      <c r="STS124" s="24"/>
      <c r="STT124" s="178"/>
      <c r="STU124" s="24"/>
      <c r="STV124" s="178"/>
      <c r="STW124" s="24"/>
      <c r="STX124" s="178"/>
      <c r="STY124" s="24"/>
      <c r="STZ124" s="178"/>
      <c r="SUA124" s="24"/>
      <c r="SUB124" s="178"/>
      <c r="SUC124" s="24"/>
      <c r="SUD124" s="178"/>
      <c r="SUE124" s="24"/>
      <c r="SUF124" s="178"/>
      <c r="SUG124" s="24"/>
      <c r="SUH124" s="178"/>
      <c r="SUI124" s="24"/>
      <c r="SUJ124" s="178"/>
      <c r="SUK124" s="24"/>
      <c r="SUL124" s="178"/>
      <c r="SUM124" s="24"/>
      <c r="SUN124" s="178"/>
      <c r="SUO124" s="24"/>
      <c r="SUP124" s="178"/>
      <c r="SUQ124" s="24"/>
      <c r="SUR124" s="178"/>
      <c r="SUS124" s="24"/>
      <c r="SUT124" s="178"/>
      <c r="SUU124" s="24"/>
      <c r="SUV124" s="178"/>
      <c r="SUW124" s="24"/>
      <c r="SUX124" s="178"/>
      <c r="SUY124" s="24"/>
      <c r="SUZ124" s="178"/>
      <c r="SVA124" s="24"/>
      <c r="SVB124" s="178"/>
      <c r="SVC124" s="24"/>
      <c r="SVD124" s="178"/>
      <c r="SVE124" s="24"/>
      <c r="SVF124" s="178"/>
      <c r="SVG124" s="24"/>
      <c r="SVH124" s="178"/>
      <c r="SVI124" s="24"/>
      <c r="SVJ124" s="178"/>
      <c r="SVK124" s="24"/>
      <c r="SVL124" s="178"/>
      <c r="SVM124" s="24"/>
      <c r="SVN124" s="178"/>
      <c r="SVO124" s="24"/>
      <c r="SVP124" s="178"/>
      <c r="SVQ124" s="24"/>
      <c r="SVR124" s="178"/>
      <c r="SVS124" s="24"/>
      <c r="SVT124" s="178"/>
      <c r="SVU124" s="24"/>
      <c r="SVV124" s="178"/>
      <c r="SVW124" s="24"/>
      <c r="SVX124" s="178"/>
      <c r="SVY124" s="24"/>
      <c r="SVZ124" s="178"/>
      <c r="SWA124" s="24"/>
      <c r="SWB124" s="178"/>
      <c r="SWC124" s="24"/>
      <c r="SWD124" s="178"/>
      <c r="SWE124" s="24"/>
      <c r="SWF124" s="178"/>
      <c r="SWG124" s="24"/>
      <c r="SWH124" s="178"/>
      <c r="SWI124" s="24"/>
      <c r="SWJ124" s="178"/>
      <c r="SWK124" s="24"/>
      <c r="SWL124" s="178"/>
      <c r="SWM124" s="24"/>
      <c r="SWN124" s="178"/>
      <c r="SWO124" s="24"/>
      <c r="SWP124" s="178"/>
      <c r="SWQ124" s="24"/>
      <c r="SWR124" s="178"/>
      <c r="SWS124" s="24"/>
      <c r="SWT124" s="178"/>
      <c r="SWU124" s="24"/>
      <c r="SWV124" s="178"/>
      <c r="SWW124" s="24"/>
      <c r="SWX124" s="178"/>
      <c r="SWY124" s="24"/>
      <c r="SWZ124" s="178"/>
      <c r="SXA124" s="24"/>
      <c r="SXB124" s="178"/>
      <c r="SXC124" s="24"/>
      <c r="SXD124" s="178"/>
      <c r="SXE124" s="24"/>
      <c r="SXF124" s="178"/>
      <c r="SXG124" s="24"/>
      <c r="SXH124" s="178"/>
      <c r="SXI124" s="24"/>
      <c r="SXJ124" s="178"/>
      <c r="SXK124" s="24"/>
      <c r="SXL124" s="178"/>
      <c r="SXM124" s="24"/>
      <c r="SXN124" s="178"/>
      <c r="SXO124" s="24"/>
      <c r="SXP124" s="178"/>
      <c r="SXQ124" s="24"/>
      <c r="SXR124" s="178"/>
      <c r="SXS124" s="24"/>
      <c r="SXT124" s="178"/>
      <c r="SXU124" s="24"/>
      <c r="SXV124" s="178"/>
      <c r="SXW124" s="24"/>
      <c r="SXX124" s="178"/>
      <c r="SXY124" s="24"/>
      <c r="SXZ124" s="178"/>
      <c r="SYA124" s="24"/>
      <c r="SYB124" s="178"/>
      <c r="SYC124" s="24"/>
      <c r="SYD124" s="178"/>
      <c r="SYE124" s="24"/>
      <c r="SYF124" s="178"/>
      <c r="SYG124" s="24"/>
      <c r="SYH124" s="178"/>
      <c r="SYI124" s="24"/>
      <c r="SYJ124" s="178"/>
      <c r="SYK124" s="24"/>
      <c r="SYL124" s="178"/>
      <c r="SYM124" s="24"/>
      <c r="SYN124" s="178"/>
      <c r="SYO124" s="24"/>
      <c r="SYP124" s="178"/>
      <c r="SYQ124" s="24"/>
      <c r="SYR124" s="178"/>
      <c r="SYS124" s="24"/>
      <c r="SYT124" s="178"/>
      <c r="SYU124" s="24"/>
      <c r="SYV124" s="178"/>
      <c r="SYW124" s="24"/>
      <c r="SYX124" s="178"/>
      <c r="SYY124" s="24"/>
      <c r="SYZ124" s="178"/>
      <c r="SZA124" s="24"/>
      <c r="SZB124" s="178"/>
      <c r="SZC124" s="24"/>
      <c r="SZD124" s="178"/>
      <c r="SZE124" s="24"/>
      <c r="SZF124" s="178"/>
      <c r="SZG124" s="24"/>
      <c r="SZH124" s="178"/>
      <c r="SZI124" s="24"/>
      <c r="SZJ124" s="178"/>
      <c r="SZK124" s="24"/>
      <c r="SZL124" s="178"/>
      <c r="SZM124" s="24"/>
      <c r="SZN124" s="178"/>
      <c r="SZO124" s="24"/>
      <c r="SZP124" s="178"/>
      <c r="SZQ124" s="24"/>
      <c r="SZR124" s="178"/>
      <c r="SZS124" s="24"/>
      <c r="SZT124" s="178"/>
      <c r="SZU124" s="24"/>
      <c r="SZV124" s="178"/>
      <c r="SZW124" s="24"/>
      <c r="SZX124" s="178"/>
      <c r="SZY124" s="24"/>
      <c r="SZZ124" s="178"/>
      <c r="TAA124" s="24"/>
      <c r="TAB124" s="178"/>
      <c r="TAC124" s="24"/>
      <c r="TAD124" s="178"/>
      <c r="TAE124" s="24"/>
      <c r="TAF124" s="178"/>
      <c r="TAG124" s="24"/>
      <c r="TAH124" s="178"/>
      <c r="TAI124" s="24"/>
      <c r="TAJ124" s="178"/>
      <c r="TAK124" s="24"/>
      <c r="TAL124" s="178"/>
      <c r="TAM124" s="24"/>
      <c r="TAN124" s="178"/>
      <c r="TAO124" s="24"/>
      <c r="TAP124" s="178"/>
      <c r="TAQ124" s="24"/>
      <c r="TAR124" s="178"/>
      <c r="TAS124" s="24"/>
      <c r="TAT124" s="178"/>
      <c r="TAU124" s="24"/>
      <c r="TAV124" s="178"/>
      <c r="TAW124" s="24"/>
      <c r="TAX124" s="178"/>
      <c r="TAY124" s="24"/>
      <c r="TAZ124" s="178"/>
      <c r="TBA124" s="24"/>
      <c r="TBB124" s="178"/>
      <c r="TBC124" s="24"/>
      <c r="TBD124" s="178"/>
      <c r="TBE124" s="24"/>
      <c r="TBF124" s="178"/>
      <c r="TBG124" s="24"/>
      <c r="TBH124" s="178"/>
      <c r="TBI124" s="24"/>
      <c r="TBJ124" s="178"/>
      <c r="TBK124" s="24"/>
      <c r="TBL124" s="178"/>
      <c r="TBM124" s="24"/>
      <c r="TBN124" s="178"/>
      <c r="TBO124" s="24"/>
      <c r="TBP124" s="178"/>
      <c r="TBQ124" s="24"/>
      <c r="TBR124" s="178"/>
      <c r="TBS124" s="24"/>
      <c r="TBT124" s="178"/>
      <c r="TBU124" s="24"/>
      <c r="TBV124" s="178"/>
      <c r="TBW124" s="24"/>
      <c r="TBX124" s="178"/>
      <c r="TBY124" s="24"/>
      <c r="TBZ124" s="178"/>
      <c r="TCA124" s="24"/>
      <c r="TCB124" s="178"/>
      <c r="TCC124" s="24"/>
      <c r="TCD124" s="178"/>
      <c r="TCE124" s="24"/>
      <c r="TCF124" s="178"/>
      <c r="TCG124" s="24"/>
      <c r="TCH124" s="178"/>
      <c r="TCI124" s="24"/>
      <c r="TCJ124" s="178"/>
      <c r="TCK124" s="24"/>
      <c r="TCL124" s="178"/>
      <c r="TCM124" s="24"/>
      <c r="TCN124" s="178"/>
      <c r="TCO124" s="24"/>
      <c r="TCP124" s="178"/>
      <c r="TCQ124" s="24"/>
      <c r="TCR124" s="178"/>
      <c r="TCS124" s="24"/>
      <c r="TCT124" s="178"/>
      <c r="TCU124" s="24"/>
      <c r="TCV124" s="178"/>
      <c r="TCW124" s="24"/>
      <c r="TCX124" s="178"/>
      <c r="TCY124" s="24"/>
      <c r="TCZ124" s="178"/>
      <c r="TDA124" s="24"/>
      <c r="TDB124" s="178"/>
      <c r="TDC124" s="24"/>
      <c r="TDD124" s="178"/>
      <c r="TDE124" s="24"/>
      <c r="TDF124" s="178"/>
      <c r="TDG124" s="24"/>
      <c r="TDH124" s="178"/>
      <c r="TDI124" s="24"/>
      <c r="TDJ124" s="178"/>
      <c r="TDK124" s="24"/>
      <c r="TDL124" s="178"/>
      <c r="TDM124" s="24"/>
      <c r="TDN124" s="178"/>
      <c r="TDO124" s="24"/>
      <c r="TDP124" s="178"/>
      <c r="TDQ124" s="24"/>
      <c r="TDR124" s="178"/>
      <c r="TDS124" s="24"/>
      <c r="TDT124" s="178"/>
      <c r="TDU124" s="24"/>
      <c r="TDV124" s="178"/>
      <c r="TDW124" s="24"/>
      <c r="TDX124" s="178"/>
      <c r="TDY124" s="24"/>
      <c r="TDZ124" s="178"/>
      <c r="TEA124" s="24"/>
      <c r="TEB124" s="178"/>
      <c r="TEC124" s="24"/>
      <c r="TED124" s="178"/>
      <c r="TEE124" s="24"/>
      <c r="TEF124" s="178"/>
      <c r="TEG124" s="24"/>
      <c r="TEH124" s="178"/>
      <c r="TEI124" s="24"/>
      <c r="TEJ124" s="178"/>
      <c r="TEK124" s="24"/>
      <c r="TEL124" s="178"/>
      <c r="TEM124" s="24"/>
      <c r="TEN124" s="178"/>
      <c r="TEO124" s="24"/>
      <c r="TEP124" s="178"/>
      <c r="TEQ124" s="24"/>
      <c r="TER124" s="178"/>
      <c r="TES124" s="24"/>
      <c r="TET124" s="178"/>
      <c r="TEU124" s="24"/>
      <c r="TEV124" s="178"/>
      <c r="TEW124" s="24"/>
      <c r="TEX124" s="178"/>
      <c r="TEY124" s="24"/>
      <c r="TEZ124" s="178"/>
      <c r="TFA124" s="24"/>
      <c r="TFB124" s="178"/>
      <c r="TFC124" s="24"/>
      <c r="TFD124" s="178"/>
      <c r="TFE124" s="24"/>
      <c r="TFF124" s="178"/>
      <c r="TFG124" s="24"/>
      <c r="TFH124" s="178"/>
      <c r="TFI124" s="24"/>
      <c r="TFJ124" s="178"/>
      <c r="TFK124" s="24"/>
      <c r="TFL124" s="178"/>
      <c r="TFM124" s="24"/>
      <c r="TFN124" s="178"/>
      <c r="TFO124" s="24"/>
      <c r="TFP124" s="178"/>
      <c r="TFQ124" s="24"/>
      <c r="TFR124" s="178"/>
      <c r="TFS124" s="24"/>
      <c r="TFT124" s="178"/>
      <c r="TFU124" s="24"/>
      <c r="TFV124" s="178"/>
      <c r="TFW124" s="24"/>
      <c r="TFX124" s="178"/>
      <c r="TFY124" s="24"/>
      <c r="TFZ124" s="178"/>
      <c r="TGA124" s="24"/>
      <c r="TGB124" s="178"/>
      <c r="TGC124" s="24"/>
      <c r="TGD124" s="178"/>
      <c r="TGE124" s="24"/>
      <c r="TGF124" s="178"/>
      <c r="TGG124" s="24"/>
      <c r="TGH124" s="178"/>
      <c r="TGI124" s="24"/>
      <c r="TGJ124" s="178"/>
      <c r="TGK124" s="24"/>
      <c r="TGL124" s="178"/>
      <c r="TGM124" s="24"/>
      <c r="TGN124" s="178"/>
      <c r="TGO124" s="24"/>
      <c r="TGP124" s="178"/>
      <c r="TGQ124" s="24"/>
      <c r="TGR124" s="178"/>
      <c r="TGS124" s="24"/>
      <c r="TGT124" s="178"/>
      <c r="TGU124" s="24"/>
      <c r="TGV124" s="178"/>
      <c r="TGW124" s="24"/>
      <c r="TGX124" s="178"/>
      <c r="TGY124" s="24"/>
      <c r="TGZ124" s="178"/>
      <c r="THA124" s="24"/>
      <c r="THB124" s="178"/>
      <c r="THC124" s="24"/>
      <c r="THD124" s="178"/>
      <c r="THE124" s="24"/>
      <c r="THF124" s="178"/>
      <c r="THG124" s="24"/>
      <c r="THH124" s="178"/>
      <c r="THI124" s="24"/>
      <c r="THJ124" s="178"/>
      <c r="THK124" s="24"/>
      <c r="THL124" s="178"/>
      <c r="THM124" s="24"/>
      <c r="THN124" s="178"/>
      <c r="THO124" s="24"/>
      <c r="THP124" s="178"/>
      <c r="THQ124" s="24"/>
      <c r="THR124" s="178"/>
      <c r="THS124" s="24"/>
      <c r="THT124" s="178"/>
      <c r="THU124" s="24"/>
      <c r="THV124" s="178"/>
      <c r="THW124" s="24"/>
      <c r="THX124" s="178"/>
      <c r="THY124" s="24"/>
      <c r="THZ124" s="178"/>
      <c r="TIA124" s="24"/>
      <c r="TIB124" s="178"/>
      <c r="TIC124" s="24"/>
      <c r="TID124" s="178"/>
      <c r="TIE124" s="24"/>
      <c r="TIF124" s="178"/>
      <c r="TIG124" s="24"/>
      <c r="TIH124" s="178"/>
      <c r="TII124" s="24"/>
      <c r="TIJ124" s="178"/>
      <c r="TIK124" s="24"/>
      <c r="TIL124" s="178"/>
      <c r="TIM124" s="24"/>
      <c r="TIN124" s="178"/>
      <c r="TIO124" s="24"/>
      <c r="TIP124" s="178"/>
      <c r="TIQ124" s="24"/>
      <c r="TIR124" s="178"/>
      <c r="TIS124" s="24"/>
      <c r="TIT124" s="178"/>
      <c r="TIU124" s="24"/>
      <c r="TIV124" s="178"/>
      <c r="TIW124" s="24"/>
      <c r="TIX124" s="178"/>
      <c r="TIY124" s="24"/>
      <c r="TIZ124" s="178"/>
      <c r="TJA124" s="24"/>
      <c r="TJB124" s="178"/>
      <c r="TJC124" s="24"/>
      <c r="TJD124" s="178"/>
      <c r="TJE124" s="24"/>
      <c r="TJF124" s="178"/>
      <c r="TJG124" s="24"/>
      <c r="TJH124" s="178"/>
      <c r="TJI124" s="24"/>
      <c r="TJJ124" s="178"/>
      <c r="TJK124" s="24"/>
      <c r="TJL124" s="178"/>
      <c r="TJM124" s="24"/>
      <c r="TJN124" s="178"/>
      <c r="TJO124" s="24"/>
      <c r="TJP124" s="178"/>
      <c r="TJQ124" s="24"/>
      <c r="TJR124" s="178"/>
      <c r="TJS124" s="24"/>
      <c r="TJT124" s="178"/>
      <c r="TJU124" s="24"/>
      <c r="TJV124" s="178"/>
      <c r="TJW124" s="24"/>
      <c r="TJX124" s="178"/>
      <c r="TJY124" s="24"/>
      <c r="TJZ124" s="178"/>
      <c r="TKA124" s="24"/>
      <c r="TKB124" s="178"/>
      <c r="TKC124" s="24"/>
      <c r="TKD124" s="178"/>
      <c r="TKE124" s="24"/>
      <c r="TKF124" s="178"/>
      <c r="TKG124" s="24"/>
      <c r="TKH124" s="178"/>
      <c r="TKI124" s="24"/>
      <c r="TKJ124" s="178"/>
      <c r="TKK124" s="24"/>
      <c r="TKL124" s="178"/>
      <c r="TKM124" s="24"/>
      <c r="TKN124" s="178"/>
      <c r="TKO124" s="24"/>
      <c r="TKP124" s="178"/>
      <c r="TKQ124" s="24"/>
      <c r="TKR124" s="178"/>
      <c r="TKS124" s="24"/>
      <c r="TKT124" s="178"/>
      <c r="TKU124" s="24"/>
      <c r="TKV124" s="178"/>
      <c r="TKW124" s="24"/>
      <c r="TKX124" s="178"/>
      <c r="TKY124" s="24"/>
      <c r="TKZ124" s="178"/>
      <c r="TLA124" s="24"/>
      <c r="TLB124" s="178"/>
      <c r="TLC124" s="24"/>
      <c r="TLD124" s="178"/>
      <c r="TLE124" s="24"/>
      <c r="TLF124" s="178"/>
      <c r="TLG124" s="24"/>
      <c r="TLH124" s="178"/>
      <c r="TLI124" s="24"/>
      <c r="TLJ124" s="178"/>
      <c r="TLK124" s="24"/>
      <c r="TLL124" s="178"/>
      <c r="TLM124" s="24"/>
      <c r="TLN124" s="178"/>
      <c r="TLO124" s="24"/>
      <c r="TLP124" s="178"/>
      <c r="TLQ124" s="24"/>
      <c r="TLR124" s="178"/>
      <c r="TLS124" s="24"/>
      <c r="TLT124" s="178"/>
      <c r="TLU124" s="24"/>
      <c r="TLV124" s="178"/>
      <c r="TLW124" s="24"/>
      <c r="TLX124" s="178"/>
      <c r="TLY124" s="24"/>
      <c r="TLZ124" s="178"/>
      <c r="TMA124" s="24"/>
      <c r="TMB124" s="178"/>
      <c r="TMC124" s="24"/>
      <c r="TMD124" s="178"/>
      <c r="TME124" s="24"/>
      <c r="TMF124" s="178"/>
      <c r="TMG124" s="24"/>
      <c r="TMH124" s="178"/>
      <c r="TMI124" s="24"/>
      <c r="TMJ124" s="178"/>
      <c r="TMK124" s="24"/>
      <c r="TML124" s="178"/>
      <c r="TMM124" s="24"/>
      <c r="TMN124" s="178"/>
      <c r="TMO124" s="24"/>
      <c r="TMP124" s="178"/>
      <c r="TMQ124" s="24"/>
      <c r="TMR124" s="178"/>
      <c r="TMS124" s="24"/>
      <c r="TMT124" s="178"/>
      <c r="TMU124" s="24"/>
      <c r="TMV124" s="178"/>
      <c r="TMW124" s="24"/>
      <c r="TMX124" s="178"/>
      <c r="TMY124" s="24"/>
      <c r="TMZ124" s="178"/>
      <c r="TNA124" s="24"/>
      <c r="TNB124" s="178"/>
      <c r="TNC124" s="24"/>
      <c r="TND124" s="178"/>
      <c r="TNE124" s="24"/>
      <c r="TNF124" s="178"/>
      <c r="TNG124" s="24"/>
      <c r="TNH124" s="178"/>
      <c r="TNI124" s="24"/>
      <c r="TNJ124" s="178"/>
      <c r="TNK124" s="24"/>
      <c r="TNL124" s="178"/>
      <c r="TNM124" s="24"/>
      <c r="TNN124" s="178"/>
      <c r="TNO124" s="24"/>
      <c r="TNP124" s="178"/>
      <c r="TNQ124" s="24"/>
      <c r="TNR124" s="178"/>
      <c r="TNS124" s="24"/>
      <c r="TNT124" s="178"/>
      <c r="TNU124" s="24"/>
      <c r="TNV124" s="178"/>
      <c r="TNW124" s="24"/>
      <c r="TNX124" s="178"/>
      <c r="TNY124" s="24"/>
      <c r="TNZ124" s="178"/>
      <c r="TOA124" s="24"/>
      <c r="TOB124" s="178"/>
      <c r="TOC124" s="24"/>
      <c r="TOD124" s="178"/>
      <c r="TOE124" s="24"/>
      <c r="TOF124" s="178"/>
      <c r="TOG124" s="24"/>
      <c r="TOH124" s="178"/>
      <c r="TOI124" s="24"/>
      <c r="TOJ124" s="178"/>
      <c r="TOK124" s="24"/>
      <c r="TOL124" s="178"/>
      <c r="TOM124" s="24"/>
      <c r="TON124" s="178"/>
      <c r="TOO124" s="24"/>
      <c r="TOP124" s="178"/>
      <c r="TOQ124" s="24"/>
      <c r="TOR124" s="178"/>
      <c r="TOS124" s="24"/>
      <c r="TOT124" s="178"/>
      <c r="TOU124" s="24"/>
      <c r="TOV124" s="178"/>
      <c r="TOW124" s="24"/>
      <c r="TOX124" s="178"/>
      <c r="TOY124" s="24"/>
      <c r="TOZ124" s="178"/>
      <c r="TPA124" s="24"/>
      <c r="TPB124" s="178"/>
      <c r="TPC124" s="24"/>
      <c r="TPD124" s="178"/>
      <c r="TPE124" s="24"/>
      <c r="TPF124" s="178"/>
      <c r="TPG124" s="24"/>
      <c r="TPH124" s="178"/>
      <c r="TPI124" s="24"/>
      <c r="TPJ124" s="178"/>
      <c r="TPK124" s="24"/>
      <c r="TPL124" s="178"/>
      <c r="TPM124" s="24"/>
      <c r="TPN124" s="178"/>
      <c r="TPO124" s="24"/>
      <c r="TPP124" s="178"/>
      <c r="TPQ124" s="24"/>
      <c r="TPR124" s="178"/>
      <c r="TPS124" s="24"/>
      <c r="TPT124" s="178"/>
      <c r="TPU124" s="24"/>
      <c r="TPV124" s="178"/>
      <c r="TPW124" s="24"/>
      <c r="TPX124" s="178"/>
      <c r="TPY124" s="24"/>
      <c r="TPZ124" s="178"/>
      <c r="TQA124" s="24"/>
      <c r="TQB124" s="178"/>
      <c r="TQC124" s="24"/>
      <c r="TQD124" s="178"/>
      <c r="TQE124" s="24"/>
      <c r="TQF124" s="178"/>
      <c r="TQG124" s="24"/>
      <c r="TQH124" s="178"/>
      <c r="TQI124" s="24"/>
      <c r="TQJ124" s="178"/>
      <c r="TQK124" s="24"/>
      <c r="TQL124" s="178"/>
      <c r="TQM124" s="24"/>
      <c r="TQN124" s="178"/>
      <c r="TQO124" s="24"/>
      <c r="TQP124" s="178"/>
      <c r="TQQ124" s="24"/>
      <c r="TQR124" s="178"/>
      <c r="TQS124" s="24"/>
      <c r="TQT124" s="178"/>
      <c r="TQU124" s="24"/>
      <c r="TQV124" s="178"/>
      <c r="TQW124" s="24"/>
      <c r="TQX124" s="178"/>
      <c r="TQY124" s="24"/>
      <c r="TQZ124" s="178"/>
      <c r="TRA124" s="24"/>
      <c r="TRB124" s="178"/>
      <c r="TRC124" s="24"/>
      <c r="TRD124" s="178"/>
      <c r="TRE124" s="24"/>
      <c r="TRF124" s="178"/>
      <c r="TRG124" s="24"/>
      <c r="TRH124" s="178"/>
      <c r="TRI124" s="24"/>
      <c r="TRJ124" s="178"/>
      <c r="TRK124" s="24"/>
      <c r="TRL124" s="178"/>
      <c r="TRM124" s="24"/>
      <c r="TRN124" s="178"/>
      <c r="TRO124" s="24"/>
      <c r="TRP124" s="178"/>
      <c r="TRQ124" s="24"/>
      <c r="TRR124" s="178"/>
      <c r="TRS124" s="24"/>
      <c r="TRT124" s="178"/>
      <c r="TRU124" s="24"/>
      <c r="TRV124" s="178"/>
      <c r="TRW124" s="24"/>
      <c r="TRX124" s="178"/>
      <c r="TRY124" s="24"/>
      <c r="TRZ124" s="178"/>
      <c r="TSA124" s="24"/>
      <c r="TSB124" s="178"/>
      <c r="TSC124" s="24"/>
      <c r="TSD124" s="178"/>
      <c r="TSE124" s="24"/>
      <c r="TSF124" s="178"/>
      <c r="TSG124" s="24"/>
      <c r="TSH124" s="178"/>
      <c r="TSI124" s="24"/>
      <c r="TSJ124" s="178"/>
      <c r="TSK124" s="24"/>
      <c r="TSL124" s="178"/>
      <c r="TSM124" s="24"/>
      <c r="TSN124" s="178"/>
      <c r="TSO124" s="24"/>
      <c r="TSP124" s="178"/>
      <c r="TSQ124" s="24"/>
      <c r="TSR124" s="178"/>
      <c r="TSS124" s="24"/>
      <c r="TST124" s="178"/>
      <c r="TSU124" s="24"/>
      <c r="TSV124" s="178"/>
      <c r="TSW124" s="24"/>
      <c r="TSX124" s="178"/>
      <c r="TSY124" s="24"/>
      <c r="TSZ124" s="178"/>
      <c r="TTA124" s="24"/>
      <c r="TTB124" s="178"/>
      <c r="TTC124" s="24"/>
      <c r="TTD124" s="178"/>
      <c r="TTE124" s="24"/>
      <c r="TTF124" s="178"/>
      <c r="TTG124" s="24"/>
      <c r="TTH124" s="178"/>
      <c r="TTI124" s="24"/>
      <c r="TTJ124" s="178"/>
      <c r="TTK124" s="24"/>
      <c r="TTL124" s="178"/>
      <c r="TTM124" s="24"/>
      <c r="TTN124" s="178"/>
      <c r="TTO124" s="24"/>
      <c r="TTP124" s="178"/>
      <c r="TTQ124" s="24"/>
      <c r="TTR124" s="178"/>
      <c r="TTS124" s="24"/>
      <c r="TTT124" s="178"/>
      <c r="TTU124" s="24"/>
      <c r="TTV124" s="178"/>
      <c r="TTW124" s="24"/>
      <c r="TTX124" s="178"/>
      <c r="TTY124" s="24"/>
      <c r="TTZ124" s="178"/>
      <c r="TUA124" s="24"/>
      <c r="TUB124" s="178"/>
      <c r="TUC124" s="24"/>
      <c r="TUD124" s="178"/>
      <c r="TUE124" s="24"/>
      <c r="TUF124" s="178"/>
      <c r="TUG124" s="24"/>
      <c r="TUH124" s="178"/>
      <c r="TUI124" s="24"/>
      <c r="TUJ124" s="178"/>
      <c r="TUK124" s="24"/>
      <c r="TUL124" s="178"/>
      <c r="TUM124" s="24"/>
      <c r="TUN124" s="178"/>
      <c r="TUO124" s="24"/>
      <c r="TUP124" s="178"/>
      <c r="TUQ124" s="24"/>
      <c r="TUR124" s="178"/>
      <c r="TUS124" s="24"/>
      <c r="TUT124" s="178"/>
      <c r="TUU124" s="24"/>
      <c r="TUV124" s="178"/>
      <c r="TUW124" s="24"/>
      <c r="TUX124" s="178"/>
      <c r="TUY124" s="24"/>
      <c r="TUZ124" s="178"/>
      <c r="TVA124" s="24"/>
      <c r="TVB124" s="178"/>
      <c r="TVC124" s="24"/>
      <c r="TVD124" s="178"/>
      <c r="TVE124" s="24"/>
      <c r="TVF124" s="178"/>
      <c r="TVG124" s="24"/>
      <c r="TVH124" s="178"/>
      <c r="TVI124" s="24"/>
      <c r="TVJ124" s="178"/>
      <c r="TVK124" s="24"/>
      <c r="TVL124" s="178"/>
      <c r="TVM124" s="24"/>
      <c r="TVN124" s="178"/>
      <c r="TVO124" s="24"/>
      <c r="TVP124" s="178"/>
      <c r="TVQ124" s="24"/>
      <c r="TVR124" s="178"/>
      <c r="TVS124" s="24"/>
      <c r="TVT124" s="178"/>
      <c r="TVU124" s="24"/>
      <c r="TVV124" s="178"/>
      <c r="TVW124" s="24"/>
      <c r="TVX124" s="178"/>
      <c r="TVY124" s="24"/>
      <c r="TVZ124" s="178"/>
      <c r="TWA124" s="24"/>
      <c r="TWB124" s="178"/>
      <c r="TWC124" s="24"/>
      <c r="TWD124" s="178"/>
      <c r="TWE124" s="24"/>
      <c r="TWF124" s="178"/>
      <c r="TWG124" s="24"/>
      <c r="TWH124" s="178"/>
      <c r="TWI124" s="24"/>
      <c r="TWJ124" s="178"/>
      <c r="TWK124" s="24"/>
      <c r="TWL124" s="178"/>
      <c r="TWM124" s="24"/>
      <c r="TWN124" s="178"/>
      <c r="TWO124" s="24"/>
      <c r="TWP124" s="178"/>
      <c r="TWQ124" s="24"/>
      <c r="TWR124" s="178"/>
      <c r="TWS124" s="24"/>
      <c r="TWT124" s="178"/>
      <c r="TWU124" s="24"/>
      <c r="TWV124" s="178"/>
      <c r="TWW124" s="24"/>
      <c r="TWX124" s="178"/>
      <c r="TWY124" s="24"/>
      <c r="TWZ124" s="178"/>
      <c r="TXA124" s="24"/>
      <c r="TXB124" s="178"/>
      <c r="TXC124" s="24"/>
      <c r="TXD124" s="178"/>
      <c r="TXE124" s="24"/>
      <c r="TXF124" s="178"/>
      <c r="TXG124" s="24"/>
      <c r="TXH124" s="178"/>
      <c r="TXI124" s="24"/>
      <c r="TXJ124" s="178"/>
      <c r="TXK124" s="24"/>
      <c r="TXL124" s="178"/>
      <c r="TXM124" s="24"/>
      <c r="TXN124" s="178"/>
      <c r="TXO124" s="24"/>
      <c r="TXP124" s="178"/>
      <c r="TXQ124" s="24"/>
      <c r="TXR124" s="178"/>
      <c r="TXS124" s="24"/>
      <c r="TXT124" s="178"/>
      <c r="TXU124" s="24"/>
      <c r="TXV124" s="178"/>
      <c r="TXW124" s="24"/>
      <c r="TXX124" s="178"/>
      <c r="TXY124" s="24"/>
      <c r="TXZ124" s="178"/>
      <c r="TYA124" s="24"/>
      <c r="TYB124" s="178"/>
      <c r="TYC124" s="24"/>
      <c r="TYD124" s="178"/>
      <c r="TYE124" s="24"/>
      <c r="TYF124" s="178"/>
      <c r="TYG124" s="24"/>
      <c r="TYH124" s="178"/>
      <c r="TYI124" s="24"/>
      <c r="TYJ124" s="178"/>
      <c r="TYK124" s="24"/>
      <c r="TYL124" s="178"/>
      <c r="TYM124" s="24"/>
      <c r="TYN124" s="178"/>
      <c r="TYO124" s="24"/>
      <c r="TYP124" s="178"/>
      <c r="TYQ124" s="24"/>
      <c r="TYR124" s="178"/>
      <c r="TYS124" s="24"/>
      <c r="TYT124" s="178"/>
      <c r="TYU124" s="24"/>
      <c r="TYV124" s="178"/>
      <c r="TYW124" s="24"/>
      <c r="TYX124" s="178"/>
      <c r="TYY124" s="24"/>
      <c r="TYZ124" s="178"/>
      <c r="TZA124" s="24"/>
      <c r="TZB124" s="178"/>
      <c r="TZC124" s="24"/>
      <c r="TZD124" s="178"/>
      <c r="TZE124" s="24"/>
      <c r="TZF124" s="178"/>
      <c r="TZG124" s="24"/>
      <c r="TZH124" s="178"/>
      <c r="TZI124" s="24"/>
      <c r="TZJ124" s="178"/>
      <c r="TZK124" s="24"/>
      <c r="TZL124" s="178"/>
      <c r="TZM124" s="24"/>
      <c r="TZN124" s="178"/>
      <c r="TZO124" s="24"/>
      <c r="TZP124" s="178"/>
      <c r="TZQ124" s="24"/>
      <c r="TZR124" s="178"/>
      <c r="TZS124" s="24"/>
      <c r="TZT124" s="178"/>
      <c r="TZU124" s="24"/>
      <c r="TZV124" s="178"/>
      <c r="TZW124" s="24"/>
      <c r="TZX124" s="178"/>
      <c r="TZY124" s="24"/>
      <c r="TZZ124" s="178"/>
      <c r="UAA124" s="24"/>
      <c r="UAB124" s="178"/>
      <c r="UAC124" s="24"/>
      <c r="UAD124" s="178"/>
      <c r="UAE124" s="24"/>
      <c r="UAF124" s="178"/>
      <c r="UAG124" s="24"/>
      <c r="UAH124" s="178"/>
      <c r="UAI124" s="24"/>
      <c r="UAJ124" s="178"/>
      <c r="UAK124" s="24"/>
      <c r="UAL124" s="178"/>
      <c r="UAM124" s="24"/>
      <c r="UAN124" s="178"/>
      <c r="UAO124" s="24"/>
      <c r="UAP124" s="178"/>
      <c r="UAQ124" s="24"/>
      <c r="UAR124" s="178"/>
      <c r="UAS124" s="24"/>
      <c r="UAT124" s="178"/>
      <c r="UAU124" s="24"/>
      <c r="UAV124" s="178"/>
      <c r="UAW124" s="24"/>
      <c r="UAX124" s="178"/>
      <c r="UAY124" s="24"/>
      <c r="UAZ124" s="178"/>
      <c r="UBA124" s="24"/>
      <c r="UBB124" s="178"/>
      <c r="UBC124" s="24"/>
      <c r="UBD124" s="178"/>
      <c r="UBE124" s="24"/>
      <c r="UBF124" s="178"/>
      <c r="UBG124" s="24"/>
      <c r="UBH124" s="178"/>
      <c r="UBI124" s="24"/>
      <c r="UBJ124" s="178"/>
      <c r="UBK124" s="24"/>
      <c r="UBL124" s="178"/>
      <c r="UBM124" s="24"/>
      <c r="UBN124" s="178"/>
      <c r="UBO124" s="24"/>
      <c r="UBP124" s="178"/>
      <c r="UBQ124" s="24"/>
      <c r="UBR124" s="178"/>
      <c r="UBS124" s="24"/>
      <c r="UBT124" s="178"/>
      <c r="UBU124" s="24"/>
      <c r="UBV124" s="178"/>
      <c r="UBW124" s="24"/>
      <c r="UBX124" s="178"/>
      <c r="UBY124" s="24"/>
      <c r="UBZ124" s="178"/>
      <c r="UCA124" s="24"/>
      <c r="UCB124" s="178"/>
      <c r="UCC124" s="24"/>
      <c r="UCD124" s="178"/>
      <c r="UCE124" s="24"/>
      <c r="UCF124" s="178"/>
      <c r="UCG124" s="24"/>
      <c r="UCH124" s="178"/>
      <c r="UCI124" s="24"/>
      <c r="UCJ124" s="178"/>
      <c r="UCK124" s="24"/>
      <c r="UCL124" s="178"/>
      <c r="UCM124" s="24"/>
      <c r="UCN124" s="178"/>
      <c r="UCO124" s="24"/>
      <c r="UCP124" s="178"/>
      <c r="UCQ124" s="24"/>
      <c r="UCR124" s="178"/>
      <c r="UCS124" s="24"/>
      <c r="UCT124" s="178"/>
      <c r="UCU124" s="24"/>
      <c r="UCV124" s="178"/>
      <c r="UCW124" s="24"/>
      <c r="UCX124" s="178"/>
      <c r="UCY124" s="24"/>
      <c r="UCZ124" s="178"/>
      <c r="UDA124" s="24"/>
      <c r="UDB124" s="178"/>
      <c r="UDC124" s="24"/>
      <c r="UDD124" s="178"/>
      <c r="UDE124" s="24"/>
      <c r="UDF124" s="178"/>
      <c r="UDG124" s="24"/>
      <c r="UDH124" s="178"/>
      <c r="UDI124" s="24"/>
      <c r="UDJ124" s="178"/>
      <c r="UDK124" s="24"/>
      <c r="UDL124" s="178"/>
      <c r="UDM124" s="24"/>
      <c r="UDN124" s="178"/>
      <c r="UDO124" s="24"/>
      <c r="UDP124" s="178"/>
      <c r="UDQ124" s="24"/>
      <c r="UDR124" s="178"/>
      <c r="UDS124" s="24"/>
      <c r="UDT124" s="178"/>
      <c r="UDU124" s="24"/>
      <c r="UDV124" s="178"/>
      <c r="UDW124" s="24"/>
      <c r="UDX124" s="178"/>
      <c r="UDY124" s="24"/>
      <c r="UDZ124" s="178"/>
      <c r="UEA124" s="24"/>
      <c r="UEB124" s="178"/>
      <c r="UEC124" s="24"/>
      <c r="UED124" s="178"/>
      <c r="UEE124" s="24"/>
      <c r="UEF124" s="178"/>
      <c r="UEG124" s="24"/>
      <c r="UEH124" s="178"/>
      <c r="UEI124" s="24"/>
      <c r="UEJ124" s="178"/>
      <c r="UEK124" s="24"/>
      <c r="UEL124" s="178"/>
      <c r="UEM124" s="24"/>
      <c r="UEN124" s="178"/>
      <c r="UEO124" s="24"/>
      <c r="UEP124" s="178"/>
      <c r="UEQ124" s="24"/>
      <c r="UER124" s="178"/>
      <c r="UES124" s="24"/>
      <c r="UET124" s="178"/>
      <c r="UEU124" s="24"/>
      <c r="UEV124" s="178"/>
      <c r="UEW124" s="24"/>
      <c r="UEX124" s="178"/>
      <c r="UEY124" s="24"/>
      <c r="UEZ124" s="178"/>
      <c r="UFA124" s="24"/>
      <c r="UFB124" s="178"/>
      <c r="UFC124" s="24"/>
      <c r="UFD124" s="178"/>
      <c r="UFE124" s="24"/>
      <c r="UFF124" s="178"/>
      <c r="UFG124" s="24"/>
      <c r="UFH124" s="178"/>
      <c r="UFI124" s="24"/>
      <c r="UFJ124" s="178"/>
      <c r="UFK124" s="24"/>
      <c r="UFL124" s="178"/>
      <c r="UFM124" s="24"/>
      <c r="UFN124" s="178"/>
      <c r="UFO124" s="24"/>
      <c r="UFP124" s="178"/>
      <c r="UFQ124" s="24"/>
      <c r="UFR124" s="178"/>
      <c r="UFS124" s="24"/>
      <c r="UFT124" s="178"/>
      <c r="UFU124" s="24"/>
      <c r="UFV124" s="178"/>
      <c r="UFW124" s="24"/>
      <c r="UFX124" s="178"/>
      <c r="UFY124" s="24"/>
      <c r="UFZ124" s="178"/>
      <c r="UGA124" s="24"/>
      <c r="UGB124" s="178"/>
      <c r="UGC124" s="24"/>
      <c r="UGD124" s="178"/>
      <c r="UGE124" s="24"/>
      <c r="UGF124" s="178"/>
      <c r="UGG124" s="24"/>
      <c r="UGH124" s="178"/>
      <c r="UGI124" s="24"/>
      <c r="UGJ124" s="178"/>
      <c r="UGK124" s="24"/>
      <c r="UGL124" s="178"/>
      <c r="UGM124" s="24"/>
      <c r="UGN124" s="178"/>
      <c r="UGO124" s="24"/>
      <c r="UGP124" s="178"/>
      <c r="UGQ124" s="24"/>
      <c r="UGR124" s="178"/>
      <c r="UGS124" s="24"/>
      <c r="UGT124" s="178"/>
      <c r="UGU124" s="24"/>
      <c r="UGV124" s="178"/>
      <c r="UGW124" s="24"/>
      <c r="UGX124" s="178"/>
      <c r="UGY124" s="24"/>
      <c r="UGZ124" s="178"/>
      <c r="UHA124" s="24"/>
      <c r="UHB124" s="178"/>
      <c r="UHC124" s="24"/>
      <c r="UHD124" s="178"/>
      <c r="UHE124" s="24"/>
      <c r="UHF124" s="178"/>
      <c r="UHG124" s="24"/>
      <c r="UHH124" s="178"/>
      <c r="UHI124" s="24"/>
      <c r="UHJ124" s="178"/>
      <c r="UHK124" s="24"/>
      <c r="UHL124" s="178"/>
      <c r="UHM124" s="24"/>
      <c r="UHN124" s="178"/>
      <c r="UHO124" s="24"/>
      <c r="UHP124" s="178"/>
      <c r="UHQ124" s="24"/>
      <c r="UHR124" s="178"/>
      <c r="UHS124" s="24"/>
      <c r="UHT124" s="178"/>
      <c r="UHU124" s="24"/>
      <c r="UHV124" s="178"/>
      <c r="UHW124" s="24"/>
      <c r="UHX124" s="178"/>
      <c r="UHY124" s="24"/>
      <c r="UHZ124" s="178"/>
      <c r="UIA124" s="24"/>
      <c r="UIB124" s="178"/>
      <c r="UIC124" s="24"/>
      <c r="UID124" s="178"/>
      <c r="UIE124" s="24"/>
      <c r="UIF124" s="178"/>
      <c r="UIG124" s="24"/>
      <c r="UIH124" s="178"/>
      <c r="UII124" s="24"/>
      <c r="UIJ124" s="178"/>
      <c r="UIK124" s="24"/>
      <c r="UIL124" s="178"/>
      <c r="UIM124" s="24"/>
      <c r="UIN124" s="178"/>
      <c r="UIO124" s="24"/>
      <c r="UIP124" s="178"/>
      <c r="UIQ124" s="24"/>
      <c r="UIR124" s="178"/>
      <c r="UIS124" s="24"/>
      <c r="UIT124" s="178"/>
      <c r="UIU124" s="24"/>
      <c r="UIV124" s="178"/>
      <c r="UIW124" s="24"/>
      <c r="UIX124" s="178"/>
      <c r="UIY124" s="24"/>
      <c r="UIZ124" s="178"/>
      <c r="UJA124" s="24"/>
      <c r="UJB124" s="178"/>
      <c r="UJC124" s="24"/>
      <c r="UJD124" s="178"/>
      <c r="UJE124" s="24"/>
      <c r="UJF124" s="178"/>
      <c r="UJG124" s="24"/>
      <c r="UJH124" s="178"/>
      <c r="UJI124" s="24"/>
      <c r="UJJ124" s="178"/>
      <c r="UJK124" s="24"/>
      <c r="UJL124" s="178"/>
      <c r="UJM124" s="24"/>
      <c r="UJN124" s="178"/>
      <c r="UJO124" s="24"/>
      <c r="UJP124" s="178"/>
      <c r="UJQ124" s="24"/>
      <c r="UJR124" s="178"/>
      <c r="UJS124" s="24"/>
      <c r="UJT124" s="178"/>
      <c r="UJU124" s="24"/>
      <c r="UJV124" s="178"/>
      <c r="UJW124" s="24"/>
      <c r="UJX124" s="178"/>
      <c r="UJY124" s="24"/>
      <c r="UJZ124" s="178"/>
      <c r="UKA124" s="24"/>
      <c r="UKB124" s="178"/>
      <c r="UKC124" s="24"/>
      <c r="UKD124" s="178"/>
      <c r="UKE124" s="24"/>
      <c r="UKF124" s="178"/>
      <c r="UKG124" s="24"/>
      <c r="UKH124" s="178"/>
      <c r="UKI124" s="24"/>
      <c r="UKJ124" s="178"/>
      <c r="UKK124" s="24"/>
      <c r="UKL124" s="178"/>
      <c r="UKM124" s="24"/>
      <c r="UKN124" s="178"/>
      <c r="UKO124" s="24"/>
      <c r="UKP124" s="178"/>
      <c r="UKQ124" s="24"/>
      <c r="UKR124" s="178"/>
      <c r="UKS124" s="24"/>
      <c r="UKT124" s="178"/>
      <c r="UKU124" s="24"/>
      <c r="UKV124" s="178"/>
      <c r="UKW124" s="24"/>
      <c r="UKX124" s="178"/>
      <c r="UKY124" s="24"/>
      <c r="UKZ124" s="178"/>
      <c r="ULA124" s="24"/>
      <c r="ULB124" s="178"/>
      <c r="ULC124" s="24"/>
      <c r="ULD124" s="178"/>
      <c r="ULE124" s="24"/>
      <c r="ULF124" s="178"/>
      <c r="ULG124" s="24"/>
      <c r="ULH124" s="178"/>
      <c r="ULI124" s="24"/>
      <c r="ULJ124" s="178"/>
      <c r="ULK124" s="24"/>
      <c r="ULL124" s="178"/>
      <c r="ULM124" s="24"/>
      <c r="ULN124" s="178"/>
      <c r="ULO124" s="24"/>
      <c r="ULP124" s="178"/>
      <c r="ULQ124" s="24"/>
      <c r="ULR124" s="178"/>
      <c r="ULS124" s="24"/>
      <c r="ULT124" s="178"/>
      <c r="ULU124" s="24"/>
      <c r="ULV124" s="178"/>
      <c r="ULW124" s="24"/>
      <c r="ULX124" s="178"/>
      <c r="ULY124" s="24"/>
      <c r="ULZ124" s="178"/>
      <c r="UMA124" s="24"/>
      <c r="UMB124" s="178"/>
      <c r="UMC124" s="24"/>
      <c r="UMD124" s="178"/>
      <c r="UME124" s="24"/>
      <c r="UMF124" s="178"/>
      <c r="UMG124" s="24"/>
      <c r="UMH124" s="178"/>
      <c r="UMI124" s="24"/>
      <c r="UMJ124" s="178"/>
      <c r="UMK124" s="24"/>
      <c r="UML124" s="178"/>
      <c r="UMM124" s="24"/>
      <c r="UMN124" s="178"/>
      <c r="UMO124" s="24"/>
      <c r="UMP124" s="178"/>
      <c r="UMQ124" s="24"/>
      <c r="UMR124" s="178"/>
      <c r="UMS124" s="24"/>
      <c r="UMT124" s="178"/>
      <c r="UMU124" s="24"/>
      <c r="UMV124" s="178"/>
      <c r="UMW124" s="24"/>
      <c r="UMX124" s="178"/>
      <c r="UMY124" s="24"/>
      <c r="UMZ124" s="178"/>
      <c r="UNA124" s="24"/>
      <c r="UNB124" s="178"/>
      <c r="UNC124" s="24"/>
      <c r="UND124" s="178"/>
      <c r="UNE124" s="24"/>
      <c r="UNF124" s="178"/>
      <c r="UNG124" s="24"/>
      <c r="UNH124" s="178"/>
      <c r="UNI124" s="24"/>
      <c r="UNJ124" s="178"/>
      <c r="UNK124" s="24"/>
      <c r="UNL124" s="178"/>
      <c r="UNM124" s="24"/>
      <c r="UNN124" s="178"/>
      <c r="UNO124" s="24"/>
      <c r="UNP124" s="178"/>
      <c r="UNQ124" s="24"/>
      <c r="UNR124" s="178"/>
      <c r="UNS124" s="24"/>
      <c r="UNT124" s="178"/>
      <c r="UNU124" s="24"/>
      <c r="UNV124" s="178"/>
      <c r="UNW124" s="24"/>
      <c r="UNX124" s="178"/>
      <c r="UNY124" s="24"/>
      <c r="UNZ124" s="178"/>
      <c r="UOA124" s="24"/>
      <c r="UOB124" s="178"/>
      <c r="UOC124" s="24"/>
      <c r="UOD124" s="178"/>
      <c r="UOE124" s="24"/>
      <c r="UOF124" s="178"/>
      <c r="UOG124" s="24"/>
      <c r="UOH124" s="178"/>
      <c r="UOI124" s="24"/>
      <c r="UOJ124" s="178"/>
      <c r="UOK124" s="24"/>
      <c r="UOL124" s="178"/>
      <c r="UOM124" s="24"/>
      <c r="UON124" s="178"/>
      <c r="UOO124" s="24"/>
      <c r="UOP124" s="178"/>
      <c r="UOQ124" s="24"/>
      <c r="UOR124" s="178"/>
      <c r="UOS124" s="24"/>
      <c r="UOT124" s="178"/>
      <c r="UOU124" s="24"/>
      <c r="UOV124" s="178"/>
      <c r="UOW124" s="24"/>
      <c r="UOX124" s="178"/>
      <c r="UOY124" s="24"/>
      <c r="UOZ124" s="178"/>
      <c r="UPA124" s="24"/>
      <c r="UPB124" s="178"/>
      <c r="UPC124" s="24"/>
      <c r="UPD124" s="178"/>
      <c r="UPE124" s="24"/>
      <c r="UPF124" s="178"/>
      <c r="UPG124" s="24"/>
      <c r="UPH124" s="178"/>
      <c r="UPI124" s="24"/>
      <c r="UPJ124" s="178"/>
      <c r="UPK124" s="24"/>
      <c r="UPL124" s="178"/>
      <c r="UPM124" s="24"/>
      <c r="UPN124" s="178"/>
      <c r="UPO124" s="24"/>
      <c r="UPP124" s="178"/>
      <c r="UPQ124" s="24"/>
      <c r="UPR124" s="178"/>
      <c r="UPS124" s="24"/>
      <c r="UPT124" s="178"/>
      <c r="UPU124" s="24"/>
      <c r="UPV124" s="178"/>
      <c r="UPW124" s="24"/>
      <c r="UPX124" s="178"/>
      <c r="UPY124" s="24"/>
      <c r="UPZ124" s="178"/>
      <c r="UQA124" s="24"/>
      <c r="UQB124" s="178"/>
      <c r="UQC124" s="24"/>
      <c r="UQD124" s="178"/>
      <c r="UQE124" s="24"/>
      <c r="UQF124" s="178"/>
      <c r="UQG124" s="24"/>
      <c r="UQH124" s="178"/>
      <c r="UQI124" s="24"/>
      <c r="UQJ124" s="178"/>
      <c r="UQK124" s="24"/>
      <c r="UQL124" s="178"/>
      <c r="UQM124" s="24"/>
      <c r="UQN124" s="178"/>
      <c r="UQO124" s="24"/>
      <c r="UQP124" s="178"/>
      <c r="UQQ124" s="24"/>
      <c r="UQR124" s="178"/>
      <c r="UQS124" s="24"/>
      <c r="UQT124" s="178"/>
      <c r="UQU124" s="24"/>
      <c r="UQV124" s="178"/>
      <c r="UQW124" s="24"/>
      <c r="UQX124" s="178"/>
      <c r="UQY124" s="24"/>
      <c r="UQZ124" s="178"/>
      <c r="URA124" s="24"/>
      <c r="URB124" s="178"/>
      <c r="URC124" s="24"/>
      <c r="URD124" s="178"/>
      <c r="URE124" s="24"/>
      <c r="URF124" s="178"/>
      <c r="URG124" s="24"/>
      <c r="URH124" s="178"/>
      <c r="URI124" s="24"/>
      <c r="URJ124" s="178"/>
      <c r="URK124" s="24"/>
      <c r="URL124" s="178"/>
      <c r="URM124" s="24"/>
      <c r="URN124" s="178"/>
      <c r="URO124" s="24"/>
      <c r="URP124" s="178"/>
      <c r="URQ124" s="24"/>
      <c r="URR124" s="178"/>
      <c r="URS124" s="24"/>
      <c r="URT124" s="178"/>
      <c r="URU124" s="24"/>
      <c r="URV124" s="178"/>
      <c r="URW124" s="24"/>
      <c r="URX124" s="178"/>
      <c r="URY124" s="24"/>
      <c r="URZ124" s="178"/>
      <c r="USA124" s="24"/>
      <c r="USB124" s="178"/>
      <c r="USC124" s="24"/>
      <c r="USD124" s="178"/>
      <c r="USE124" s="24"/>
      <c r="USF124" s="178"/>
      <c r="USG124" s="24"/>
      <c r="USH124" s="178"/>
      <c r="USI124" s="24"/>
      <c r="USJ124" s="178"/>
      <c r="USK124" s="24"/>
      <c r="USL124" s="178"/>
      <c r="USM124" s="24"/>
      <c r="USN124" s="178"/>
      <c r="USO124" s="24"/>
      <c r="USP124" s="178"/>
      <c r="USQ124" s="24"/>
      <c r="USR124" s="178"/>
      <c r="USS124" s="24"/>
      <c r="UST124" s="178"/>
      <c r="USU124" s="24"/>
      <c r="USV124" s="178"/>
      <c r="USW124" s="24"/>
      <c r="USX124" s="178"/>
      <c r="USY124" s="24"/>
      <c r="USZ124" s="178"/>
      <c r="UTA124" s="24"/>
      <c r="UTB124" s="178"/>
      <c r="UTC124" s="24"/>
      <c r="UTD124" s="178"/>
      <c r="UTE124" s="24"/>
      <c r="UTF124" s="178"/>
      <c r="UTG124" s="24"/>
      <c r="UTH124" s="178"/>
      <c r="UTI124" s="24"/>
      <c r="UTJ124" s="178"/>
      <c r="UTK124" s="24"/>
      <c r="UTL124" s="178"/>
      <c r="UTM124" s="24"/>
      <c r="UTN124" s="178"/>
      <c r="UTO124" s="24"/>
      <c r="UTP124" s="178"/>
      <c r="UTQ124" s="24"/>
      <c r="UTR124" s="178"/>
      <c r="UTS124" s="24"/>
      <c r="UTT124" s="178"/>
      <c r="UTU124" s="24"/>
      <c r="UTV124" s="178"/>
      <c r="UTW124" s="24"/>
      <c r="UTX124" s="178"/>
      <c r="UTY124" s="24"/>
      <c r="UTZ124" s="178"/>
      <c r="UUA124" s="24"/>
      <c r="UUB124" s="178"/>
      <c r="UUC124" s="24"/>
      <c r="UUD124" s="178"/>
      <c r="UUE124" s="24"/>
      <c r="UUF124" s="178"/>
      <c r="UUG124" s="24"/>
      <c r="UUH124" s="178"/>
      <c r="UUI124" s="24"/>
      <c r="UUJ124" s="178"/>
      <c r="UUK124" s="24"/>
      <c r="UUL124" s="178"/>
      <c r="UUM124" s="24"/>
      <c r="UUN124" s="178"/>
      <c r="UUO124" s="24"/>
      <c r="UUP124" s="178"/>
      <c r="UUQ124" s="24"/>
      <c r="UUR124" s="178"/>
      <c r="UUS124" s="24"/>
      <c r="UUT124" s="178"/>
      <c r="UUU124" s="24"/>
      <c r="UUV124" s="178"/>
      <c r="UUW124" s="24"/>
      <c r="UUX124" s="178"/>
      <c r="UUY124" s="24"/>
      <c r="UUZ124" s="178"/>
      <c r="UVA124" s="24"/>
      <c r="UVB124" s="178"/>
      <c r="UVC124" s="24"/>
      <c r="UVD124" s="178"/>
      <c r="UVE124" s="24"/>
      <c r="UVF124" s="178"/>
      <c r="UVG124" s="24"/>
      <c r="UVH124" s="178"/>
      <c r="UVI124" s="24"/>
      <c r="UVJ124" s="178"/>
      <c r="UVK124" s="24"/>
      <c r="UVL124" s="178"/>
      <c r="UVM124" s="24"/>
      <c r="UVN124" s="178"/>
      <c r="UVO124" s="24"/>
      <c r="UVP124" s="178"/>
      <c r="UVQ124" s="24"/>
      <c r="UVR124" s="178"/>
      <c r="UVS124" s="24"/>
      <c r="UVT124" s="178"/>
      <c r="UVU124" s="24"/>
      <c r="UVV124" s="178"/>
      <c r="UVW124" s="24"/>
      <c r="UVX124" s="178"/>
      <c r="UVY124" s="24"/>
      <c r="UVZ124" s="178"/>
      <c r="UWA124" s="24"/>
      <c r="UWB124" s="178"/>
      <c r="UWC124" s="24"/>
      <c r="UWD124" s="178"/>
      <c r="UWE124" s="24"/>
      <c r="UWF124" s="178"/>
      <c r="UWG124" s="24"/>
      <c r="UWH124" s="178"/>
      <c r="UWI124" s="24"/>
      <c r="UWJ124" s="178"/>
      <c r="UWK124" s="24"/>
      <c r="UWL124" s="178"/>
      <c r="UWM124" s="24"/>
      <c r="UWN124" s="178"/>
      <c r="UWO124" s="24"/>
      <c r="UWP124" s="178"/>
      <c r="UWQ124" s="24"/>
      <c r="UWR124" s="178"/>
      <c r="UWS124" s="24"/>
      <c r="UWT124" s="178"/>
      <c r="UWU124" s="24"/>
      <c r="UWV124" s="178"/>
      <c r="UWW124" s="24"/>
      <c r="UWX124" s="178"/>
      <c r="UWY124" s="24"/>
      <c r="UWZ124" s="178"/>
      <c r="UXA124" s="24"/>
      <c r="UXB124" s="178"/>
      <c r="UXC124" s="24"/>
      <c r="UXD124" s="178"/>
      <c r="UXE124" s="24"/>
      <c r="UXF124" s="178"/>
      <c r="UXG124" s="24"/>
      <c r="UXH124" s="178"/>
      <c r="UXI124" s="24"/>
      <c r="UXJ124" s="178"/>
      <c r="UXK124" s="24"/>
      <c r="UXL124" s="178"/>
      <c r="UXM124" s="24"/>
      <c r="UXN124" s="178"/>
      <c r="UXO124" s="24"/>
      <c r="UXP124" s="178"/>
      <c r="UXQ124" s="24"/>
      <c r="UXR124" s="178"/>
      <c r="UXS124" s="24"/>
      <c r="UXT124" s="178"/>
      <c r="UXU124" s="24"/>
      <c r="UXV124" s="178"/>
      <c r="UXW124" s="24"/>
      <c r="UXX124" s="178"/>
      <c r="UXY124" s="24"/>
      <c r="UXZ124" s="178"/>
      <c r="UYA124" s="24"/>
      <c r="UYB124" s="178"/>
      <c r="UYC124" s="24"/>
      <c r="UYD124" s="178"/>
      <c r="UYE124" s="24"/>
      <c r="UYF124" s="178"/>
      <c r="UYG124" s="24"/>
      <c r="UYH124" s="178"/>
      <c r="UYI124" s="24"/>
      <c r="UYJ124" s="178"/>
      <c r="UYK124" s="24"/>
      <c r="UYL124" s="178"/>
      <c r="UYM124" s="24"/>
      <c r="UYN124" s="178"/>
      <c r="UYO124" s="24"/>
      <c r="UYP124" s="178"/>
      <c r="UYQ124" s="24"/>
      <c r="UYR124" s="178"/>
      <c r="UYS124" s="24"/>
      <c r="UYT124" s="178"/>
      <c r="UYU124" s="24"/>
      <c r="UYV124" s="178"/>
      <c r="UYW124" s="24"/>
      <c r="UYX124" s="178"/>
      <c r="UYY124" s="24"/>
      <c r="UYZ124" s="178"/>
      <c r="UZA124" s="24"/>
      <c r="UZB124" s="178"/>
      <c r="UZC124" s="24"/>
      <c r="UZD124" s="178"/>
      <c r="UZE124" s="24"/>
      <c r="UZF124" s="178"/>
      <c r="UZG124" s="24"/>
      <c r="UZH124" s="178"/>
      <c r="UZI124" s="24"/>
      <c r="UZJ124" s="178"/>
      <c r="UZK124" s="24"/>
      <c r="UZL124" s="178"/>
      <c r="UZM124" s="24"/>
      <c r="UZN124" s="178"/>
      <c r="UZO124" s="24"/>
      <c r="UZP124" s="178"/>
      <c r="UZQ124" s="24"/>
      <c r="UZR124" s="178"/>
      <c r="UZS124" s="24"/>
      <c r="UZT124" s="178"/>
      <c r="UZU124" s="24"/>
      <c r="UZV124" s="178"/>
      <c r="UZW124" s="24"/>
      <c r="UZX124" s="178"/>
      <c r="UZY124" s="24"/>
      <c r="UZZ124" s="178"/>
      <c r="VAA124" s="24"/>
      <c r="VAB124" s="178"/>
      <c r="VAC124" s="24"/>
      <c r="VAD124" s="178"/>
      <c r="VAE124" s="24"/>
      <c r="VAF124" s="178"/>
      <c r="VAG124" s="24"/>
      <c r="VAH124" s="178"/>
      <c r="VAI124" s="24"/>
      <c r="VAJ124" s="178"/>
      <c r="VAK124" s="24"/>
      <c r="VAL124" s="178"/>
      <c r="VAM124" s="24"/>
      <c r="VAN124" s="178"/>
      <c r="VAO124" s="24"/>
      <c r="VAP124" s="178"/>
      <c r="VAQ124" s="24"/>
      <c r="VAR124" s="178"/>
      <c r="VAS124" s="24"/>
      <c r="VAT124" s="178"/>
      <c r="VAU124" s="24"/>
      <c r="VAV124" s="178"/>
      <c r="VAW124" s="24"/>
      <c r="VAX124" s="178"/>
      <c r="VAY124" s="24"/>
      <c r="VAZ124" s="178"/>
      <c r="VBA124" s="24"/>
      <c r="VBB124" s="178"/>
      <c r="VBC124" s="24"/>
      <c r="VBD124" s="178"/>
      <c r="VBE124" s="24"/>
      <c r="VBF124" s="178"/>
      <c r="VBG124" s="24"/>
      <c r="VBH124" s="178"/>
      <c r="VBI124" s="24"/>
      <c r="VBJ124" s="178"/>
      <c r="VBK124" s="24"/>
      <c r="VBL124" s="178"/>
      <c r="VBM124" s="24"/>
      <c r="VBN124" s="178"/>
      <c r="VBO124" s="24"/>
      <c r="VBP124" s="178"/>
      <c r="VBQ124" s="24"/>
      <c r="VBR124" s="178"/>
      <c r="VBS124" s="24"/>
      <c r="VBT124" s="178"/>
      <c r="VBU124" s="24"/>
      <c r="VBV124" s="178"/>
      <c r="VBW124" s="24"/>
      <c r="VBX124" s="178"/>
      <c r="VBY124" s="24"/>
      <c r="VBZ124" s="178"/>
      <c r="VCA124" s="24"/>
      <c r="VCB124" s="178"/>
      <c r="VCC124" s="24"/>
      <c r="VCD124" s="178"/>
      <c r="VCE124" s="24"/>
      <c r="VCF124" s="178"/>
      <c r="VCG124" s="24"/>
      <c r="VCH124" s="178"/>
      <c r="VCI124" s="24"/>
      <c r="VCJ124" s="178"/>
      <c r="VCK124" s="24"/>
      <c r="VCL124" s="178"/>
      <c r="VCM124" s="24"/>
      <c r="VCN124" s="178"/>
      <c r="VCO124" s="24"/>
      <c r="VCP124" s="178"/>
      <c r="VCQ124" s="24"/>
      <c r="VCR124" s="178"/>
      <c r="VCS124" s="24"/>
      <c r="VCT124" s="178"/>
      <c r="VCU124" s="24"/>
      <c r="VCV124" s="178"/>
      <c r="VCW124" s="24"/>
      <c r="VCX124" s="178"/>
      <c r="VCY124" s="24"/>
      <c r="VCZ124" s="178"/>
      <c r="VDA124" s="24"/>
      <c r="VDB124" s="178"/>
      <c r="VDC124" s="24"/>
      <c r="VDD124" s="178"/>
      <c r="VDE124" s="24"/>
      <c r="VDF124" s="178"/>
      <c r="VDG124" s="24"/>
      <c r="VDH124" s="178"/>
      <c r="VDI124" s="24"/>
      <c r="VDJ124" s="178"/>
      <c r="VDK124" s="24"/>
      <c r="VDL124" s="178"/>
      <c r="VDM124" s="24"/>
      <c r="VDN124" s="178"/>
      <c r="VDO124" s="24"/>
      <c r="VDP124" s="178"/>
      <c r="VDQ124" s="24"/>
      <c r="VDR124" s="178"/>
      <c r="VDS124" s="24"/>
      <c r="VDT124" s="178"/>
      <c r="VDU124" s="24"/>
      <c r="VDV124" s="178"/>
      <c r="VDW124" s="24"/>
      <c r="VDX124" s="178"/>
      <c r="VDY124" s="24"/>
      <c r="VDZ124" s="178"/>
      <c r="VEA124" s="24"/>
      <c r="VEB124" s="178"/>
      <c r="VEC124" s="24"/>
      <c r="VED124" s="178"/>
      <c r="VEE124" s="24"/>
      <c r="VEF124" s="178"/>
      <c r="VEG124" s="24"/>
      <c r="VEH124" s="178"/>
      <c r="VEI124" s="24"/>
      <c r="VEJ124" s="178"/>
      <c r="VEK124" s="24"/>
      <c r="VEL124" s="178"/>
      <c r="VEM124" s="24"/>
      <c r="VEN124" s="178"/>
      <c r="VEO124" s="24"/>
      <c r="VEP124" s="178"/>
      <c r="VEQ124" s="24"/>
      <c r="VER124" s="178"/>
      <c r="VES124" s="24"/>
      <c r="VET124" s="178"/>
      <c r="VEU124" s="24"/>
      <c r="VEV124" s="178"/>
      <c r="VEW124" s="24"/>
      <c r="VEX124" s="178"/>
      <c r="VEY124" s="24"/>
      <c r="VEZ124" s="178"/>
      <c r="VFA124" s="24"/>
      <c r="VFB124" s="178"/>
      <c r="VFC124" s="24"/>
      <c r="VFD124" s="178"/>
      <c r="VFE124" s="24"/>
      <c r="VFF124" s="178"/>
      <c r="VFG124" s="24"/>
      <c r="VFH124" s="178"/>
      <c r="VFI124" s="24"/>
      <c r="VFJ124" s="178"/>
      <c r="VFK124" s="24"/>
      <c r="VFL124" s="178"/>
      <c r="VFM124" s="24"/>
      <c r="VFN124" s="178"/>
      <c r="VFO124" s="24"/>
      <c r="VFP124" s="178"/>
      <c r="VFQ124" s="24"/>
      <c r="VFR124" s="178"/>
      <c r="VFS124" s="24"/>
      <c r="VFT124" s="178"/>
      <c r="VFU124" s="24"/>
      <c r="VFV124" s="178"/>
      <c r="VFW124" s="24"/>
      <c r="VFX124" s="178"/>
      <c r="VFY124" s="24"/>
      <c r="VFZ124" s="178"/>
      <c r="VGA124" s="24"/>
      <c r="VGB124" s="178"/>
      <c r="VGC124" s="24"/>
      <c r="VGD124" s="178"/>
      <c r="VGE124" s="24"/>
      <c r="VGF124" s="178"/>
      <c r="VGG124" s="24"/>
      <c r="VGH124" s="178"/>
      <c r="VGI124" s="24"/>
      <c r="VGJ124" s="178"/>
      <c r="VGK124" s="24"/>
      <c r="VGL124" s="178"/>
      <c r="VGM124" s="24"/>
      <c r="VGN124" s="178"/>
      <c r="VGO124" s="24"/>
      <c r="VGP124" s="178"/>
      <c r="VGQ124" s="24"/>
      <c r="VGR124" s="178"/>
      <c r="VGS124" s="24"/>
      <c r="VGT124" s="178"/>
      <c r="VGU124" s="24"/>
      <c r="VGV124" s="178"/>
      <c r="VGW124" s="24"/>
      <c r="VGX124" s="178"/>
      <c r="VGY124" s="24"/>
      <c r="VGZ124" s="178"/>
      <c r="VHA124" s="24"/>
      <c r="VHB124" s="178"/>
      <c r="VHC124" s="24"/>
      <c r="VHD124" s="178"/>
      <c r="VHE124" s="24"/>
      <c r="VHF124" s="178"/>
      <c r="VHG124" s="24"/>
      <c r="VHH124" s="178"/>
      <c r="VHI124" s="24"/>
      <c r="VHJ124" s="178"/>
      <c r="VHK124" s="24"/>
      <c r="VHL124" s="178"/>
      <c r="VHM124" s="24"/>
      <c r="VHN124" s="178"/>
      <c r="VHO124" s="24"/>
      <c r="VHP124" s="178"/>
      <c r="VHQ124" s="24"/>
      <c r="VHR124" s="178"/>
      <c r="VHS124" s="24"/>
      <c r="VHT124" s="178"/>
      <c r="VHU124" s="24"/>
      <c r="VHV124" s="178"/>
      <c r="VHW124" s="24"/>
      <c r="VHX124" s="178"/>
      <c r="VHY124" s="24"/>
      <c r="VHZ124" s="178"/>
      <c r="VIA124" s="24"/>
      <c r="VIB124" s="178"/>
      <c r="VIC124" s="24"/>
      <c r="VID124" s="178"/>
      <c r="VIE124" s="24"/>
      <c r="VIF124" s="178"/>
      <c r="VIG124" s="24"/>
      <c r="VIH124" s="178"/>
      <c r="VII124" s="24"/>
      <c r="VIJ124" s="178"/>
      <c r="VIK124" s="24"/>
      <c r="VIL124" s="178"/>
      <c r="VIM124" s="24"/>
      <c r="VIN124" s="178"/>
      <c r="VIO124" s="24"/>
      <c r="VIP124" s="178"/>
      <c r="VIQ124" s="24"/>
      <c r="VIR124" s="178"/>
      <c r="VIS124" s="24"/>
      <c r="VIT124" s="178"/>
      <c r="VIU124" s="24"/>
      <c r="VIV124" s="178"/>
      <c r="VIW124" s="24"/>
      <c r="VIX124" s="178"/>
      <c r="VIY124" s="24"/>
      <c r="VIZ124" s="178"/>
      <c r="VJA124" s="24"/>
      <c r="VJB124" s="178"/>
      <c r="VJC124" s="24"/>
      <c r="VJD124" s="178"/>
      <c r="VJE124" s="24"/>
      <c r="VJF124" s="178"/>
      <c r="VJG124" s="24"/>
      <c r="VJH124" s="178"/>
      <c r="VJI124" s="24"/>
      <c r="VJJ124" s="178"/>
      <c r="VJK124" s="24"/>
      <c r="VJL124" s="178"/>
      <c r="VJM124" s="24"/>
      <c r="VJN124" s="178"/>
      <c r="VJO124" s="24"/>
      <c r="VJP124" s="178"/>
      <c r="VJQ124" s="24"/>
      <c r="VJR124" s="178"/>
      <c r="VJS124" s="24"/>
      <c r="VJT124" s="178"/>
      <c r="VJU124" s="24"/>
      <c r="VJV124" s="178"/>
      <c r="VJW124" s="24"/>
      <c r="VJX124" s="178"/>
      <c r="VJY124" s="24"/>
      <c r="VJZ124" s="178"/>
      <c r="VKA124" s="24"/>
      <c r="VKB124" s="178"/>
      <c r="VKC124" s="24"/>
      <c r="VKD124" s="178"/>
      <c r="VKE124" s="24"/>
      <c r="VKF124" s="178"/>
      <c r="VKG124" s="24"/>
      <c r="VKH124" s="178"/>
      <c r="VKI124" s="24"/>
      <c r="VKJ124" s="178"/>
      <c r="VKK124" s="24"/>
      <c r="VKL124" s="178"/>
      <c r="VKM124" s="24"/>
      <c r="VKN124" s="178"/>
      <c r="VKO124" s="24"/>
      <c r="VKP124" s="178"/>
      <c r="VKQ124" s="24"/>
      <c r="VKR124" s="178"/>
      <c r="VKS124" s="24"/>
      <c r="VKT124" s="178"/>
      <c r="VKU124" s="24"/>
      <c r="VKV124" s="178"/>
      <c r="VKW124" s="24"/>
      <c r="VKX124" s="178"/>
      <c r="VKY124" s="24"/>
      <c r="VKZ124" s="178"/>
      <c r="VLA124" s="24"/>
      <c r="VLB124" s="178"/>
      <c r="VLC124" s="24"/>
      <c r="VLD124" s="178"/>
      <c r="VLE124" s="24"/>
      <c r="VLF124" s="178"/>
      <c r="VLG124" s="24"/>
      <c r="VLH124" s="178"/>
      <c r="VLI124" s="24"/>
      <c r="VLJ124" s="178"/>
      <c r="VLK124" s="24"/>
      <c r="VLL124" s="178"/>
      <c r="VLM124" s="24"/>
      <c r="VLN124" s="178"/>
      <c r="VLO124" s="24"/>
      <c r="VLP124" s="178"/>
      <c r="VLQ124" s="24"/>
      <c r="VLR124" s="178"/>
      <c r="VLS124" s="24"/>
      <c r="VLT124" s="178"/>
      <c r="VLU124" s="24"/>
      <c r="VLV124" s="178"/>
      <c r="VLW124" s="24"/>
      <c r="VLX124" s="178"/>
      <c r="VLY124" s="24"/>
      <c r="VLZ124" s="178"/>
      <c r="VMA124" s="24"/>
      <c r="VMB124" s="178"/>
      <c r="VMC124" s="24"/>
      <c r="VMD124" s="178"/>
      <c r="VME124" s="24"/>
      <c r="VMF124" s="178"/>
      <c r="VMG124" s="24"/>
      <c r="VMH124" s="178"/>
      <c r="VMI124" s="24"/>
      <c r="VMJ124" s="178"/>
      <c r="VMK124" s="24"/>
      <c r="VML124" s="178"/>
      <c r="VMM124" s="24"/>
      <c r="VMN124" s="178"/>
      <c r="VMO124" s="24"/>
      <c r="VMP124" s="178"/>
      <c r="VMQ124" s="24"/>
      <c r="VMR124" s="178"/>
      <c r="VMS124" s="24"/>
      <c r="VMT124" s="178"/>
      <c r="VMU124" s="24"/>
      <c r="VMV124" s="178"/>
      <c r="VMW124" s="24"/>
      <c r="VMX124" s="178"/>
      <c r="VMY124" s="24"/>
      <c r="VMZ124" s="178"/>
      <c r="VNA124" s="24"/>
      <c r="VNB124" s="178"/>
      <c r="VNC124" s="24"/>
      <c r="VND124" s="178"/>
      <c r="VNE124" s="24"/>
      <c r="VNF124" s="178"/>
      <c r="VNG124" s="24"/>
      <c r="VNH124" s="178"/>
      <c r="VNI124" s="24"/>
      <c r="VNJ124" s="178"/>
      <c r="VNK124" s="24"/>
      <c r="VNL124" s="178"/>
      <c r="VNM124" s="24"/>
      <c r="VNN124" s="178"/>
      <c r="VNO124" s="24"/>
      <c r="VNP124" s="178"/>
      <c r="VNQ124" s="24"/>
      <c r="VNR124" s="178"/>
      <c r="VNS124" s="24"/>
      <c r="VNT124" s="178"/>
      <c r="VNU124" s="24"/>
      <c r="VNV124" s="178"/>
      <c r="VNW124" s="24"/>
      <c r="VNX124" s="178"/>
      <c r="VNY124" s="24"/>
      <c r="VNZ124" s="178"/>
      <c r="VOA124" s="24"/>
      <c r="VOB124" s="178"/>
      <c r="VOC124" s="24"/>
      <c r="VOD124" s="178"/>
      <c r="VOE124" s="24"/>
      <c r="VOF124" s="178"/>
      <c r="VOG124" s="24"/>
      <c r="VOH124" s="178"/>
      <c r="VOI124" s="24"/>
      <c r="VOJ124" s="178"/>
      <c r="VOK124" s="24"/>
      <c r="VOL124" s="178"/>
      <c r="VOM124" s="24"/>
      <c r="VON124" s="178"/>
      <c r="VOO124" s="24"/>
      <c r="VOP124" s="178"/>
      <c r="VOQ124" s="24"/>
      <c r="VOR124" s="178"/>
      <c r="VOS124" s="24"/>
      <c r="VOT124" s="178"/>
      <c r="VOU124" s="24"/>
      <c r="VOV124" s="178"/>
      <c r="VOW124" s="24"/>
      <c r="VOX124" s="178"/>
      <c r="VOY124" s="24"/>
      <c r="VOZ124" s="178"/>
      <c r="VPA124" s="24"/>
      <c r="VPB124" s="178"/>
      <c r="VPC124" s="24"/>
      <c r="VPD124" s="178"/>
      <c r="VPE124" s="24"/>
      <c r="VPF124" s="178"/>
      <c r="VPG124" s="24"/>
      <c r="VPH124" s="178"/>
      <c r="VPI124" s="24"/>
      <c r="VPJ124" s="178"/>
      <c r="VPK124" s="24"/>
      <c r="VPL124" s="178"/>
      <c r="VPM124" s="24"/>
      <c r="VPN124" s="178"/>
      <c r="VPO124" s="24"/>
      <c r="VPP124" s="178"/>
      <c r="VPQ124" s="24"/>
      <c r="VPR124" s="178"/>
      <c r="VPS124" s="24"/>
      <c r="VPT124" s="178"/>
      <c r="VPU124" s="24"/>
      <c r="VPV124" s="178"/>
      <c r="VPW124" s="24"/>
      <c r="VPX124" s="178"/>
      <c r="VPY124" s="24"/>
      <c r="VPZ124" s="178"/>
      <c r="VQA124" s="24"/>
      <c r="VQB124" s="178"/>
      <c r="VQC124" s="24"/>
      <c r="VQD124" s="178"/>
      <c r="VQE124" s="24"/>
      <c r="VQF124" s="178"/>
      <c r="VQG124" s="24"/>
      <c r="VQH124" s="178"/>
      <c r="VQI124" s="24"/>
      <c r="VQJ124" s="178"/>
      <c r="VQK124" s="24"/>
      <c r="VQL124" s="178"/>
      <c r="VQM124" s="24"/>
      <c r="VQN124" s="178"/>
      <c r="VQO124" s="24"/>
      <c r="VQP124" s="178"/>
      <c r="VQQ124" s="24"/>
      <c r="VQR124" s="178"/>
      <c r="VQS124" s="24"/>
      <c r="VQT124" s="178"/>
      <c r="VQU124" s="24"/>
      <c r="VQV124" s="178"/>
      <c r="VQW124" s="24"/>
      <c r="VQX124" s="178"/>
      <c r="VQY124" s="24"/>
      <c r="VQZ124" s="178"/>
      <c r="VRA124" s="24"/>
      <c r="VRB124" s="178"/>
      <c r="VRC124" s="24"/>
      <c r="VRD124" s="178"/>
      <c r="VRE124" s="24"/>
      <c r="VRF124" s="178"/>
      <c r="VRG124" s="24"/>
      <c r="VRH124" s="178"/>
      <c r="VRI124" s="24"/>
      <c r="VRJ124" s="178"/>
      <c r="VRK124" s="24"/>
      <c r="VRL124" s="178"/>
      <c r="VRM124" s="24"/>
      <c r="VRN124" s="178"/>
      <c r="VRO124" s="24"/>
      <c r="VRP124" s="178"/>
      <c r="VRQ124" s="24"/>
      <c r="VRR124" s="178"/>
      <c r="VRS124" s="24"/>
      <c r="VRT124" s="178"/>
      <c r="VRU124" s="24"/>
      <c r="VRV124" s="178"/>
      <c r="VRW124" s="24"/>
      <c r="VRX124" s="178"/>
      <c r="VRY124" s="24"/>
      <c r="VRZ124" s="178"/>
      <c r="VSA124" s="24"/>
      <c r="VSB124" s="178"/>
      <c r="VSC124" s="24"/>
      <c r="VSD124" s="178"/>
      <c r="VSE124" s="24"/>
      <c r="VSF124" s="178"/>
      <c r="VSG124" s="24"/>
      <c r="VSH124" s="178"/>
      <c r="VSI124" s="24"/>
      <c r="VSJ124" s="178"/>
      <c r="VSK124" s="24"/>
      <c r="VSL124" s="178"/>
      <c r="VSM124" s="24"/>
      <c r="VSN124" s="178"/>
      <c r="VSO124" s="24"/>
      <c r="VSP124" s="178"/>
      <c r="VSQ124" s="24"/>
      <c r="VSR124" s="178"/>
      <c r="VSS124" s="24"/>
      <c r="VST124" s="178"/>
      <c r="VSU124" s="24"/>
      <c r="VSV124" s="178"/>
      <c r="VSW124" s="24"/>
      <c r="VSX124" s="178"/>
      <c r="VSY124" s="24"/>
      <c r="VSZ124" s="178"/>
      <c r="VTA124" s="24"/>
      <c r="VTB124" s="178"/>
      <c r="VTC124" s="24"/>
      <c r="VTD124" s="178"/>
      <c r="VTE124" s="24"/>
      <c r="VTF124" s="178"/>
      <c r="VTG124" s="24"/>
      <c r="VTH124" s="178"/>
      <c r="VTI124" s="24"/>
      <c r="VTJ124" s="178"/>
      <c r="VTK124" s="24"/>
      <c r="VTL124" s="178"/>
      <c r="VTM124" s="24"/>
      <c r="VTN124" s="178"/>
      <c r="VTO124" s="24"/>
      <c r="VTP124" s="178"/>
      <c r="VTQ124" s="24"/>
      <c r="VTR124" s="178"/>
      <c r="VTS124" s="24"/>
      <c r="VTT124" s="178"/>
      <c r="VTU124" s="24"/>
      <c r="VTV124" s="178"/>
      <c r="VTW124" s="24"/>
      <c r="VTX124" s="178"/>
      <c r="VTY124" s="24"/>
      <c r="VTZ124" s="178"/>
      <c r="VUA124" s="24"/>
      <c r="VUB124" s="178"/>
      <c r="VUC124" s="24"/>
      <c r="VUD124" s="178"/>
      <c r="VUE124" s="24"/>
      <c r="VUF124" s="178"/>
      <c r="VUG124" s="24"/>
      <c r="VUH124" s="178"/>
      <c r="VUI124" s="24"/>
      <c r="VUJ124" s="178"/>
      <c r="VUK124" s="24"/>
      <c r="VUL124" s="178"/>
      <c r="VUM124" s="24"/>
      <c r="VUN124" s="178"/>
      <c r="VUO124" s="24"/>
      <c r="VUP124" s="178"/>
      <c r="VUQ124" s="24"/>
      <c r="VUR124" s="178"/>
      <c r="VUS124" s="24"/>
      <c r="VUT124" s="178"/>
      <c r="VUU124" s="24"/>
      <c r="VUV124" s="178"/>
      <c r="VUW124" s="24"/>
      <c r="VUX124" s="178"/>
      <c r="VUY124" s="24"/>
      <c r="VUZ124" s="178"/>
      <c r="VVA124" s="24"/>
      <c r="VVB124" s="178"/>
      <c r="VVC124" s="24"/>
      <c r="VVD124" s="178"/>
      <c r="VVE124" s="24"/>
      <c r="VVF124" s="178"/>
      <c r="VVG124" s="24"/>
      <c r="VVH124" s="178"/>
      <c r="VVI124" s="24"/>
      <c r="VVJ124" s="178"/>
      <c r="VVK124" s="24"/>
      <c r="VVL124" s="178"/>
      <c r="VVM124" s="24"/>
      <c r="VVN124" s="178"/>
      <c r="VVO124" s="24"/>
      <c r="VVP124" s="178"/>
      <c r="VVQ124" s="24"/>
      <c r="VVR124" s="178"/>
      <c r="VVS124" s="24"/>
      <c r="VVT124" s="178"/>
      <c r="VVU124" s="24"/>
      <c r="VVV124" s="178"/>
      <c r="VVW124" s="24"/>
      <c r="VVX124" s="178"/>
      <c r="VVY124" s="24"/>
      <c r="VVZ124" s="178"/>
      <c r="VWA124" s="24"/>
      <c r="VWB124" s="178"/>
      <c r="VWC124" s="24"/>
      <c r="VWD124" s="178"/>
      <c r="VWE124" s="24"/>
      <c r="VWF124" s="178"/>
      <c r="VWG124" s="24"/>
      <c r="VWH124" s="178"/>
      <c r="VWI124" s="24"/>
      <c r="VWJ124" s="178"/>
      <c r="VWK124" s="24"/>
      <c r="VWL124" s="178"/>
      <c r="VWM124" s="24"/>
      <c r="VWN124" s="178"/>
      <c r="VWO124" s="24"/>
      <c r="VWP124" s="178"/>
      <c r="VWQ124" s="24"/>
      <c r="VWR124" s="178"/>
      <c r="VWS124" s="24"/>
      <c r="VWT124" s="178"/>
      <c r="VWU124" s="24"/>
      <c r="VWV124" s="178"/>
      <c r="VWW124" s="24"/>
      <c r="VWX124" s="178"/>
      <c r="VWY124" s="24"/>
      <c r="VWZ124" s="178"/>
      <c r="VXA124" s="24"/>
      <c r="VXB124" s="178"/>
      <c r="VXC124" s="24"/>
      <c r="VXD124" s="178"/>
      <c r="VXE124" s="24"/>
      <c r="VXF124" s="178"/>
      <c r="VXG124" s="24"/>
      <c r="VXH124" s="178"/>
      <c r="VXI124" s="24"/>
      <c r="VXJ124" s="178"/>
      <c r="VXK124" s="24"/>
      <c r="VXL124" s="178"/>
      <c r="VXM124" s="24"/>
      <c r="VXN124" s="178"/>
      <c r="VXO124" s="24"/>
      <c r="VXP124" s="178"/>
      <c r="VXQ124" s="24"/>
      <c r="VXR124" s="178"/>
      <c r="VXS124" s="24"/>
      <c r="VXT124" s="178"/>
      <c r="VXU124" s="24"/>
      <c r="VXV124" s="178"/>
      <c r="VXW124" s="24"/>
      <c r="VXX124" s="178"/>
      <c r="VXY124" s="24"/>
      <c r="VXZ124" s="178"/>
      <c r="VYA124" s="24"/>
      <c r="VYB124" s="178"/>
      <c r="VYC124" s="24"/>
      <c r="VYD124" s="178"/>
      <c r="VYE124" s="24"/>
      <c r="VYF124" s="178"/>
      <c r="VYG124" s="24"/>
      <c r="VYH124" s="178"/>
      <c r="VYI124" s="24"/>
      <c r="VYJ124" s="178"/>
      <c r="VYK124" s="24"/>
      <c r="VYL124" s="178"/>
      <c r="VYM124" s="24"/>
      <c r="VYN124" s="178"/>
      <c r="VYO124" s="24"/>
      <c r="VYP124" s="178"/>
      <c r="VYQ124" s="24"/>
      <c r="VYR124" s="178"/>
      <c r="VYS124" s="24"/>
      <c r="VYT124" s="178"/>
      <c r="VYU124" s="24"/>
      <c r="VYV124" s="178"/>
      <c r="VYW124" s="24"/>
      <c r="VYX124" s="178"/>
      <c r="VYY124" s="24"/>
      <c r="VYZ124" s="178"/>
      <c r="VZA124" s="24"/>
      <c r="VZB124" s="178"/>
      <c r="VZC124" s="24"/>
      <c r="VZD124" s="178"/>
      <c r="VZE124" s="24"/>
      <c r="VZF124" s="178"/>
      <c r="VZG124" s="24"/>
      <c r="VZH124" s="178"/>
      <c r="VZI124" s="24"/>
      <c r="VZJ124" s="178"/>
      <c r="VZK124" s="24"/>
      <c r="VZL124" s="178"/>
      <c r="VZM124" s="24"/>
      <c r="VZN124" s="178"/>
      <c r="VZO124" s="24"/>
      <c r="VZP124" s="178"/>
      <c r="VZQ124" s="24"/>
      <c r="VZR124" s="178"/>
      <c r="VZS124" s="24"/>
      <c r="VZT124" s="178"/>
      <c r="VZU124" s="24"/>
      <c r="VZV124" s="178"/>
      <c r="VZW124" s="24"/>
      <c r="VZX124" s="178"/>
      <c r="VZY124" s="24"/>
      <c r="VZZ124" s="178"/>
      <c r="WAA124" s="24"/>
      <c r="WAB124" s="178"/>
      <c r="WAC124" s="24"/>
      <c r="WAD124" s="178"/>
      <c r="WAE124" s="24"/>
      <c r="WAF124" s="178"/>
      <c r="WAG124" s="24"/>
      <c r="WAH124" s="178"/>
      <c r="WAI124" s="24"/>
      <c r="WAJ124" s="178"/>
      <c r="WAK124" s="24"/>
      <c r="WAL124" s="178"/>
      <c r="WAM124" s="24"/>
      <c r="WAN124" s="178"/>
      <c r="WAO124" s="24"/>
      <c r="WAP124" s="178"/>
      <c r="WAQ124" s="24"/>
      <c r="WAR124" s="178"/>
      <c r="WAS124" s="24"/>
      <c r="WAT124" s="178"/>
      <c r="WAU124" s="24"/>
      <c r="WAV124" s="178"/>
      <c r="WAW124" s="24"/>
      <c r="WAX124" s="178"/>
      <c r="WAY124" s="24"/>
      <c r="WAZ124" s="178"/>
      <c r="WBA124" s="24"/>
      <c r="WBB124" s="178"/>
      <c r="WBC124" s="24"/>
      <c r="WBD124" s="178"/>
      <c r="WBE124" s="24"/>
      <c r="WBF124" s="178"/>
      <c r="WBG124" s="24"/>
      <c r="WBH124" s="178"/>
      <c r="WBI124" s="24"/>
      <c r="WBJ124" s="178"/>
      <c r="WBK124" s="24"/>
      <c r="WBL124" s="178"/>
      <c r="WBM124" s="24"/>
      <c r="WBN124" s="178"/>
      <c r="WBO124" s="24"/>
      <c r="WBP124" s="178"/>
      <c r="WBQ124" s="24"/>
      <c r="WBR124" s="178"/>
      <c r="WBS124" s="24"/>
      <c r="WBT124" s="178"/>
      <c r="WBU124" s="24"/>
      <c r="WBV124" s="178"/>
      <c r="WBW124" s="24"/>
      <c r="WBX124" s="178"/>
      <c r="WBY124" s="24"/>
      <c r="WBZ124" s="178"/>
      <c r="WCA124" s="24"/>
      <c r="WCB124" s="178"/>
      <c r="WCC124" s="24"/>
      <c r="WCD124" s="178"/>
      <c r="WCE124" s="24"/>
      <c r="WCF124" s="178"/>
      <c r="WCG124" s="24"/>
      <c r="WCH124" s="178"/>
      <c r="WCI124" s="24"/>
      <c r="WCJ124" s="178"/>
      <c r="WCK124" s="24"/>
      <c r="WCL124" s="178"/>
      <c r="WCM124" s="24"/>
      <c r="WCN124" s="178"/>
      <c r="WCO124" s="24"/>
      <c r="WCP124" s="178"/>
      <c r="WCQ124" s="24"/>
      <c r="WCR124" s="178"/>
      <c r="WCS124" s="24"/>
      <c r="WCT124" s="178"/>
      <c r="WCU124" s="24"/>
      <c r="WCV124" s="178"/>
      <c r="WCW124" s="24"/>
      <c r="WCX124" s="178"/>
      <c r="WCY124" s="24"/>
      <c r="WCZ124" s="178"/>
      <c r="WDA124" s="24"/>
      <c r="WDB124" s="178"/>
      <c r="WDC124" s="24"/>
      <c r="WDD124" s="178"/>
      <c r="WDE124" s="24"/>
      <c r="WDF124" s="178"/>
      <c r="WDG124" s="24"/>
      <c r="WDH124" s="178"/>
      <c r="WDI124" s="24"/>
      <c r="WDJ124" s="178"/>
      <c r="WDK124" s="24"/>
      <c r="WDL124" s="178"/>
      <c r="WDM124" s="24"/>
      <c r="WDN124" s="178"/>
      <c r="WDO124" s="24"/>
      <c r="WDP124" s="178"/>
      <c r="WDQ124" s="24"/>
      <c r="WDR124" s="178"/>
      <c r="WDS124" s="24"/>
      <c r="WDT124" s="178"/>
      <c r="WDU124" s="24"/>
      <c r="WDV124" s="178"/>
      <c r="WDW124" s="24"/>
      <c r="WDX124" s="178"/>
      <c r="WDY124" s="24"/>
      <c r="WDZ124" s="178"/>
      <c r="WEA124" s="24"/>
      <c r="WEB124" s="178"/>
      <c r="WEC124" s="24"/>
      <c r="WED124" s="178"/>
      <c r="WEE124" s="24"/>
      <c r="WEF124" s="178"/>
      <c r="WEG124" s="24"/>
      <c r="WEH124" s="178"/>
      <c r="WEI124" s="24"/>
      <c r="WEJ124" s="178"/>
      <c r="WEK124" s="24"/>
      <c r="WEL124" s="178"/>
      <c r="WEM124" s="24"/>
      <c r="WEN124" s="178"/>
      <c r="WEO124" s="24"/>
      <c r="WEP124" s="178"/>
      <c r="WEQ124" s="24"/>
      <c r="WER124" s="178"/>
      <c r="WES124" s="24"/>
      <c r="WET124" s="178"/>
      <c r="WEU124" s="24"/>
      <c r="WEV124" s="178"/>
      <c r="WEW124" s="24"/>
      <c r="WEX124" s="178"/>
      <c r="WEY124" s="24"/>
      <c r="WEZ124" s="178"/>
      <c r="WFA124" s="24"/>
      <c r="WFB124" s="178"/>
      <c r="WFC124" s="24"/>
      <c r="WFD124" s="178"/>
      <c r="WFE124" s="24"/>
      <c r="WFF124" s="178"/>
      <c r="WFG124" s="24"/>
      <c r="WFH124" s="178"/>
      <c r="WFI124" s="24"/>
      <c r="WFJ124" s="178"/>
      <c r="WFK124" s="24"/>
      <c r="WFL124" s="178"/>
      <c r="WFM124" s="24"/>
      <c r="WFN124" s="178"/>
      <c r="WFO124" s="24"/>
      <c r="WFP124" s="178"/>
      <c r="WFQ124" s="24"/>
      <c r="WFR124" s="178"/>
      <c r="WFS124" s="24"/>
      <c r="WFT124" s="178"/>
      <c r="WFU124" s="24"/>
      <c r="WFV124" s="178"/>
      <c r="WFW124" s="24"/>
      <c r="WFX124" s="178"/>
      <c r="WFY124" s="24"/>
      <c r="WFZ124" s="178"/>
      <c r="WGA124" s="24"/>
      <c r="WGB124" s="178"/>
      <c r="WGC124" s="24"/>
      <c r="WGD124" s="178"/>
      <c r="WGE124" s="24"/>
      <c r="WGF124" s="178"/>
      <c r="WGG124" s="24"/>
      <c r="WGH124" s="178"/>
      <c r="WGI124" s="24"/>
      <c r="WGJ124" s="178"/>
      <c r="WGK124" s="24"/>
      <c r="WGL124" s="178"/>
      <c r="WGM124" s="24"/>
      <c r="WGN124" s="178"/>
      <c r="WGO124" s="24"/>
      <c r="WGP124" s="178"/>
      <c r="WGQ124" s="24"/>
      <c r="WGR124" s="178"/>
      <c r="WGS124" s="24"/>
      <c r="WGT124" s="178"/>
      <c r="WGU124" s="24"/>
      <c r="WGV124" s="178"/>
      <c r="WGW124" s="24"/>
      <c r="WGX124" s="178"/>
      <c r="WGY124" s="24"/>
      <c r="WGZ124" s="178"/>
      <c r="WHA124" s="24"/>
      <c r="WHB124" s="178"/>
      <c r="WHC124" s="24"/>
      <c r="WHD124" s="178"/>
      <c r="WHE124" s="24"/>
      <c r="WHF124" s="178"/>
      <c r="WHG124" s="24"/>
      <c r="WHH124" s="178"/>
      <c r="WHI124" s="24"/>
      <c r="WHJ124" s="178"/>
      <c r="WHK124" s="24"/>
      <c r="WHL124" s="178"/>
      <c r="WHM124" s="24"/>
      <c r="WHN124" s="178"/>
      <c r="WHO124" s="24"/>
      <c r="WHP124" s="178"/>
      <c r="WHQ124" s="24"/>
      <c r="WHR124" s="178"/>
      <c r="WHS124" s="24"/>
      <c r="WHT124" s="178"/>
      <c r="WHU124" s="24"/>
      <c r="WHV124" s="178"/>
      <c r="WHW124" s="24"/>
      <c r="WHX124" s="178"/>
      <c r="WHY124" s="24"/>
      <c r="WHZ124" s="178"/>
      <c r="WIA124" s="24"/>
      <c r="WIB124" s="178"/>
      <c r="WIC124" s="24"/>
      <c r="WID124" s="178"/>
      <c r="WIE124" s="24"/>
      <c r="WIF124" s="178"/>
      <c r="WIG124" s="24"/>
      <c r="WIH124" s="178"/>
      <c r="WII124" s="24"/>
      <c r="WIJ124" s="178"/>
      <c r="WIK124" s="24"/>
      <c r="WIL124" s="178"/>
      <c r="WIM124" s="24"/>
      <c r="WIN124" s="178"/>
      <c r="WIO124" s="24"/>
      <c r="WIP124" s="178"/>
      <c r="WIQ124" s="24"/>
      <c r="WIR124" s="178"/>
      <c r="WIS124" s="24"/>
      <c r="WIT124" s="178"/>
      <c r="WIU124" s="24"/>
      <c r="WIV124" s="178"/>
      <c r="WIW124" s="24"/>
      <c r="WIX124" s="178"/>
      <c r="WIY124" s="24"/>
      <c r="WIZ124" s="178"/>
      <c r="WJA124" s="24"/>
      <c r="WJB124" s="178"/>
      <c r="WJC124" s="24"/>
      <c r="WJD124" s="178"/>
      <c r="WJE124" s="24"/>
      <c r="WJF124" s="178"/>
      <c r="WJG124" s="24"/>
      <c r="WJH124" s="178"/>
      <c r="WJI124" s="24"/>
      <c r="WJJ124" s="178"/>
      <c r="WJK124" s="24"/>
      <c r="WJL124" s="178"/>
      <c r="WJM124" s="24"/>
      <c r="WJN124" s="178"/>
      <c r="WJO124" s="24"/>
      <c r="WJP124" s="178"/>
      <c r="WJQ124" s="24"/>
      <c r="WJR124" s="178"/>
      <c r="WJS124" s="24"/>
      <c r="WJT124" s="178"/>
      <c r="WJU124" s="24"/>
      <c r="WJV124" s="178"/>
      <c r="WJW124" s="24"/>
      <c r="WJX124" s="178"/>
      <c r="WJY124" s="24"/>
      <c r="WJZ124" s="178"/>
      <c r="WKA124" s="24"/>
      <c r="WKB124" s="178"/>
      <c r="WKC124" s="24"/>
      <c r="WKD124" s="178"/>
      <c r="WKE124" s="24"/>
      <c r="WKF124" s="178"/>
      <c r="WKG124" s="24"/>
      <c r="WKH124" s="178"/>
      <c r="WKI124" s="24"/>
      <c r="WKJ124" s="178"/>
      <c r="WKK124" s="24"/>
      <c r="WKL124" s="178"/>
      <c r="WKM124" s="24"/>
      <c r="WKN124" s="178"/>
      <c r="WKO124" s="24"/>
      <c r="WKP124" s="178"/>
      <c r="WKQ124" s="24"/>
      <c r="WKR124" s="178"/>
      <c r="WKS124" s="24"/>
      <c r="WKT124" s="178"/>
      <c r="WKU124" s="24"/>
      <c r="WKV124" s="178"/>
      <c r="WKW124" s="24"/>
      <c r="WKX124" s="178"/>
      <c r="WKY124" s="24"/>
      <c r="WKZ124" s="178"/>
      <c r="WLA124" s="24"/>
      <c r="WLB124" s="178"/>
      <c r="WLC124" s="24"/>
      <c r="WLD124" s="178"/>
      <c r="WLE124" s="24"/>
      <c r="WLF124" s="178"/>
      <c r="WLG124" s="24"/>
      <c r="WLH124" s="178"/>
      <c r="WLI124" s="24"/>
      <c r="WLJ124" s="178"/>
      <c r="WLK124" s="24"/>
      <c r="WLL124" s="178"/>
      <c r="WLM124" s="24"/>
      <c r="WLN124" s="178"/>
      <c r="WLO124" s="24"/>
      <c r="WLP124" s="178"/>
      <c r="WLQ124" s="24"/>
      <c r="WLR124" s="178"/>
      <c r="WLS124" s="24"/>
      <c r="WLT124" s="178"/>
      <c r="WLU124" s="24"/>
      <c r="WLV124" s="178"/>
      <c r="WLW124" s="24"/>
      <c r="WLX124" s="178"/>
      <c r="WLY124" s="24"/>
      <c r="WLZ124" s="178"/>
      <c r="WMA124" s="24"/>
      <c r="WMB124" s="178"/>
      <c r="WMC124" s="24"/>
      <c r="WMD124" s="178"/>
      <c r="WME124" s="24"/>
      <c r="WMF124" s="178"/>
      <c r="WMG124" s="24"/>
      <c r="WMH124" s="178"/>
      <c r="WMI124" s="24"/>
      <c r="WMJ124" s="178"/>
      <c r="WMK124" s="24"/>
      <c r="WML124" s="178"/>
      <c r="WMM124" s="24"/>
      <c r="WMN124" s="178"/>
      <c r="WMO124" s="24"/>
      <c r="WMP124" s="178"/>
      <c r="WMQ124" s="24"/>
      <c r="WMR124" s="178"/>
      <c r="WMS124" s="24"/>
      <c r="WMT124" s="178"/>
      <c r="WMU124" s="24"/>
      <c r="WMV124" s="178"/>
      <c r="WMW124" s="24"/>
      <c r="WMX124" s="178"/>
      <c r="WMY124" s="24"/>
      <c r="WMZ124" s="178"/>
      <c r="WNA124" s="24"/>
      <c r="WNB124" s="178"/>
      <c r="WNC124" s="24"/>
      <c r="WND124" s="178"/>
      <c r="WNE124" s="24"/>
      <c r="WNF124" s="178"/>
      <c r="WNG124" s="24"/>
      <c r="WNH124" s="178"/>
      <c r="WNI124" s="24"/>
      <c r="WNJ124" s="178"/>
      <c r="WNK124" s="24"/>
      <c r="WNL124" s="178"/>
      <c r="WNM124" s="24"/>
      <c r="WNN124" s="178"/>
      <c r="WNO124" s="24"/>
      <c r="WNP124" s="178"/>
      <c r="WNQ124" s="24"/>
      <c r="WNR124" s="178"/>
      <c r="WNS124" s="24"/>
      <c r="WNT124" s="178"/>
      <c r="WNU124" s="24"/>
      <c r="WNV124" s="178"/>
      <c r="WNW124" s="24"/>
      <c r="WNX124" s="178"/>
      <c r="WNY124" s="24"/>
      <c r="WNZ124" s="178"/>
      <c r="WOA124" s="24"/>
      <c r="WOB124" s="178"/>
      <c r="WOC124" s="24"/>
      <c r="WOD124" s="178"/>
      <c r="WOE124" s="24"/>
      <c r="WOF124" s="178"/>
      <c r="WOG124" s="24"/>
      <c r="WOH124" s="178"/>
      <c r="WOI124" s="24"/>
      <c r="WOJ124" s="178"/>
      <c r="WOK124" s="24"/>
      <c r="WOL124" s="178"/>
      <c r="WOM124" s="24"/>
      <c r="WON124" s="178"/>
      <c r="WOO124" s="24"/>
      <c r="WOP124" s="178"/>
      <c r="WOQ124" s="24"/>
      <c r="WOR124" s="178"/>
      <c r="WOS124" s="24"/>
      <c r="WOT124" s="178"/>
      <c r="WOU124" s="24"/>
      <c r="WOV124" s="178"/>
      <c r="WOW124" s="24"/>
      <c r="WOX124" s="178"/>
      <c r="WOY124" s="24"/>
      <c r="WOZ124" s="178"/>
      <c r="WPA124" s="24"/>
      <c r="WPB124" s="178"/>
      <c r="WPC124" s="24"/>
      <c r="WPD124" s="178"/>
      <c r="WPE124" s="24"/>
      <c r="WPF124" s="178"/>
      <c r="WPG124" s="24"/>
      <c r="WPH124" s="178"/>
      <c r="WPI124" s="24"/>
      <c r="WPJ124" s="178"/>
      <c r="WPK124" s="24"/>
      <c r="WPL124" s="178"/>
      <c r="WPM124" s="24"/>
      <c r="WPN124" s="178"/>
      <c r="WPO124" s="24"/>
      <c r="WPP124" s="178"/>
      <c r="WPQ124" s="24"/>
      <c r="WPR124" s="178"/>
      <c r="WPS124" s="24"/>
      <c r="WPT124" s="178"/>
      <c r="WPU124" s="24"/>
      <c r="WPV124" s="178"/>
      <c r="WPW124" s="24"/>
      <c r="WPX124" s="178"/>
      <c r="WPY124" s="24"/>
      <c r="WPZ124" s="178"/>
      <c r="WQA124" s="24"/>
      <c r="WQB124" s="178"/>
      <c r="WQC124" s="24"/>
      <c r="WQD124" s="178"/>
      <c r="WQE124" s="24"/>
      <c r="WQF124" s="178"/>
      <c r="WQG124" s="24"/>
      <c r="WQH124" s="178"/>
      <c r="WQI124" s="24"/>
      <c r="WQJ124" s="178"/>
      <c r="WQK124" s="24"/>
      <c r="WQL124" s="178"/>
      <c r="WQM124" s="24"/>
      <c r="WQN124" s="178"/>
      <c r="WQO124" s="24"/>
      <c r="WQP124" s="178"/>
      <c r="WQQ124" s="24"/>
      <c r="WQR124" s="178"/>
      <c r="WQS124" s="24"/>
      <c r="WQT124" s="178"/>
      <c r="WQU124" s="24"/>
      <c r="WQV124" s="178"/>
      <c r="WQW124" s="24"/>
      <c r="WQX124" s="178"/>
      <c r="WQY124" s="24"/>
      <c r="WQZ124" s="178"/>
      <c r="WRA124" s="24"/>
      <c r="WRB124" s="178"/>
      <c r="WRC124" s="24"/>
      <c r="WRD124" s="178"/>
      <c r="WRE124" s="24"/>
      <c r="WRF124" s="178"/>
      <c r="WRG124" s="24"/>
      <c r="WRH124" s="178"/>
      <c r="WRI124" s="24"/>
      <c r="WRJ124" s="178"/>
      <c r="WRK124" s="24"/>
      <c r="WRL124" s="178"/>
      <c r="WRM124" s="24"/>
      <c r="WRN124" s="178"/>
      <c r="WRO124" s="24"/>
      <c r="WRP124" s="178"/>
      <c r="WRQ124" s="24"/>
      <c r="WRR124" s="178"/>
      <c r="WRS124" s="24"/>
      <c r="WRT124" s="178"/>
      <c r="WRU124" s="24"/>
      <c r="WRV124" s="178"/>
      <c r="WRW124" s="24"/>
      <c r="WRX124" s="178"/>
      <c r="WRY124" s="24"/>
      <c r="WRZ124" s="178"/>
      <c r="WSA124" s="24"/>
      <c r="WSB124" s="178"/>
      <c r="WSC124" s="24"/>
      <c r="WSD124" s="178"/>
      <c r="WSE124" s="24"/>
      <c r="WSF124" s="178"/>
      <c r="WSG124" s="24"/>
      <c r="WSH124" s="178"/>
      <c r="WSI124" s="24"/>
      <c r="WSJ124" s="178"/>
      <c r="WSK124" s="24"/>
      <c r="WSL124" s="178"/>
      <c r="WSM124" s="24"/>
      <c r="WSN124" s="178"/>
      <c r="WSO124" s="24"/>
      <c r="WSP124" s="178"/>
      <c r="WSQ124" s="24"/>
      <c r="WSR124" s="178"/>
      <c r="WSS124" s="24"/>
      <c r="WST124" s="178"/>
      <c r="WSU124" s="24"/>
      <c r="WSV124" s="178"/>
      <c r="WSW124" s="24"/>
      <c r="WSX124" s="178"/>
      <c r="WSY124" s="24"/>
      <c r="WSZ124" s="178"/>
      <c r="WTA124" s="24"/>
      <c r="WTB124" s="178"/>
      <c r="WTC124" s="24"/>
      <c r="WTD124" s="178"/>
      <c r="WTE124" s="24"/>
      <c r="WTF124" s="178"/>
      <c r="WTG124" s="24"/>
      <c r="WTH124" s="178"/>
      <c r="WTI124" s="24"/>
      <c r="WTJ124" s="178"/>
      <c r="WTK124" s="24"/>
      <c r="WTL124" s="178"/>
      <c r="WTM124" s="24"/>
      <c r="WTN124" s="178"/>
      <c r="WTO124" s="24"/>
      <c r="WTP124" s="178"/>
      <c r="WTQ124" s="24"/>
      <c r="WTR124" s="178"/>
      <c r="WTS124" s="24"/>
      <c r="WTT124" s="178"/>
      <c r="WTU124" s="24"/>
      <c r="WTV124" s="178"/>
      <c r="WTW124" s="24"/>
      <c r="WTX124" s="178"/>
      <c r="WTY124" s="24"/>
      <c r="WTZ124" s="178"/>
      <c r="WUA124" s="24"/>
      <c r="WUB124" s="178"/>
      <c r="WUC124" s="24"/>
      <c r="WUD124" s="178"/>
      <c r="WUE124" s="24"/>
      <c r="WUF124" s="178"/>
      <c r="WUG124" s="24"/>
      <c r="WUH124" s="178"/>
      <c r="WUI124" s="24"/>
      <c r="WUJ124" s="178"/>
      <c r="WUK124" s="24"/>
      <c r="WUL124" s="178"/>
      <c r="WUM124" s="24"/>
      <c r="WUN124" s="178"/>
      <c r="WUO124" s="24"/>
      <c r="WUP124" s="178"/>
      <c r="WUQ124" s="24"/>
      <c r="WUR124" s="178"/>
      <c r="WUS124" s="24"/>
      <c r="WUT124" s="178"/>
      <c r="WUU124" s="24"/>
      <c r="WUV124" s="178"/>
      <c r="WUW124" s="24"/>
      <c r="WUX124" s="178"/>
      <c r="WUY124" s="24"/>
      <c r="WUZ124" s="178"/>
      <c r="WVA124" s="24"/>
      <c r="WVB124" s="178"/>
      <c r="WVC124" s="24"/>
      <c r="WVD124" s="178"/>
      <c r="WVE124" s="24"/>
      <c r="WVF124" s="178"/>
      <c r="WVG124" s="24"/>
      <c r="WVH124" s="178"/>
      <c r="WVI124" s="24"/>
      <c r="WVJ124" s="178"/>
      <c r="WVK124" s="24"/>
      <c r="WVL124" s="178"/>
      <c r="WVM124" s="24"/>
      <c r="WVN124" s="178"/>
      <c r="WVO124" s="24"/>
      <c r="WVP124" s="178"/>
      <c r="WVQ124" s="24"/>
      <c r="WVR124" s="178"/>
      <c r="WVS124" s="24"/>
      <c r="WVT124" s="178"/>
      <c r="WVU124" s="24"/>
      <c r="WVV124" s="178"/>
      <c r="WVW124" s="24"/>
      <c r="WVX124" s="178"/>
      <c r="WVY124" s="24"/>
      <c r="WVZ124" s="178"/>
      <c r="WWA124" s="24"/>
      <c r="WWB124" s="178"/>
      <c r="WWC124" s="24"/>
      <c r="WWD124" s="178"/>
      <c r="WWE124" s="24"/>
      <c r="WWF124" s="178"/>
      <c r="WWG124" s="24"/>
      <c r="WWH124" s="178"/>
      <c r="WWI124" s="24"/>
      <c r="WWJ124" s="178"/>
      <c r="WWK124" s="24"/>
      <c r="WWL124" s="178"/>
      <c r="WWM124" s="24"/>
      <c r="WWN124" s="178"/>
      <c r="WWO124" s="24"/>
      <c r="WWP124" s="178"/>
      <c r="WWQ124" s="24"/>
      <c r="WWR124" s="178"/>
      <c r="WWS124" s="24"/>
      <c r="WWT124" s="178"/>
      <c r="WWU124" s="24"/>
      <c r="WWV124" s="178"/>
      <c r="WWW124" s="24"/>
      <c r="WWX124" s="178"/>
      <c r="WWY124" s="24"/>
      <c r="WWZ124" s="178"/>
      <c r="WXA124" s="24"/>
      <c r="WXB124" s="178"/>
      <c r="WXC124" s="24"/>
      <c r="WXD124" s="178"/>
      <c r="WXE124" s="24"/>
      <c r="WXF124" s="178"/>
      <c r="WXG124" s="24"/>
      <c r="WXH124" s="178"/>
      <c r="WXI124" s="24"/>
      <c r="WXJ124" s="178"/>
      <c r="WXK124" s="24"/>
      <c r="WXL124" s="178"/>
      <c r="WXM124" s="24"/>
      <c r="WXN124" s="178"/>
      <c r="WXO124" s="24"/>
      <c r="WXP124" s="178"/>
      <c r="WXQ124" s="24"/>
      <c r="WXR124" s="178"/>
      <c r="WXS124" s="24"/>
      <c r="WXT124" s="178"/>
      <c r="WXU124" s="24"/>
      <c r="WXV124" s="178"/>
      <c r="WXW124" s="24"/>
      <c r="WXX124" s="178"/>
      <c r="WXY124" s="24"/>
      <c r="WXZ124" s="178"/>
      <c r="WYA124" s="24"/>
      <c r="WYB124" s="178"/>
      <c r="WYC124" s="24"/>
      <c r="WYD124" s="178"/>
      <c r="WYE124" s="24"/>
      <c r="WYF124" s="178"/>
      <c r="WYG124" s="24"/>
      <c r="WYH124" s="178"/>
      <c r="WYI124" s="24"/>
      <c r="WYJ124" s="178"/>
      <c r="WYK124" s="24"/>
      <c r="WYL124" s="178"/>
      <c r="WYM124" s="24"/>
      <c r="WYN124" s="178"/>
      <c r="WYO124" s="24"/>
      <c r="WYP124" s="178"/>
      <c r="WYQ124" s="24"/>
      <c r="WYR124" s="178"/>
      <c r="WYS124" s="24"/>
      <c r="WYT124" s="178"/>
      <c r="WYU124" s="24"/>
      <c r="WYV124" s="178"/>
      <c r="WYW124" s="24"/>
      <c r="WYX124" s="178"/>
      <c r="WYY124" s="24"/>
      <c r="WYZ124" s="178"/>
      <c r="WZA124" s="24"/>
      <c r="WZB124" s="178"/>
      <c r="WZC124" s="24"/>
      <c r="WZD124" s="178"/>
      <c r="WZE124" s="24"/>
      <c r="WZF124" s="178"/>
      <c r="WZG124" s="24"/>
      <c r="WZH124" s="178"/>
      <c r="WZI124" s="24"/>
      <c r="WZJ124" s="178"/>
      <c r="WZK124" s="24"/>
      <c r="WZL124" s="178"/>
      <c r="WZM124" s="24"/>
      <c r="WZN124" s="178"/>
      <c r="WZO124" s="24"/>
      <c r="WZP124" s="178"/>
      <c r="WZQ124" s="24"/>
      <c r="WZR124" s="178"/>
      <c r="WZS124" s="24"/>
      <c r="WZT124" s="178"/>
      <c r="WZU124" s="24"/>
      <c r="WZV124" s="178"/>
      <c r="WZW124" s="24"/>
      <c r="WZX124" s="178"/>
      <c r="WZY124" s="24"/>
      <c r="WZZ124" s="178"/>
      <c r="XAA124" s="24"/>
      <c r="XAB124" s="178"/>
      <c r="XAC124" s="24"/>
      <c r="XAD124" s="178"/>
      <c r="XAE124" s="24"/>
      <c r="XAF124" s="178"/>
      <c r="XAG124" s="24"/>
      <c r="XAH124" s="178"/>
      <c r="XAI124" s="24"/>
      <c r="XAJ124" s="178"/>
      <c r="XAK124" s="24"/>
      <c r="XAL124" s="178"/>
      <c r="XAM124" s="24"/>
      <c r="XAN124" s="178"/>
      <c r="XAO124" s="24"/>
      <c r="XAP124" s="178"/>
      <c r="XAQ124" s="24"/>
      <c r="XAR124" s="178"/>
      <c r="XAS124" s="24"/>
      <c r="XAT124" s="178"/>
      <c r="XAU124" s="24"/>
      <c r="XAV124" s="178"/>
      <c r="XAW124" s="24"/>
      <c r="XAX124" s="178"/>
      <c r="XAY124" s="24"/>
      <c r="XAZ124" s="178"/>
      <c r="XBA124" s="24"/>
      <c r="XBB124" s="178"/>
      <c r="XBC124" s="24"/>
      <c r="XBD124" s="178"/>
      <c r="XBE124" s="24"/>
      <c r="XBF124" s="178"/>
      <c r="XBG124" s="24"/>
      <c r="XBH124" s="178"/>
      <c r="XBI124" s="24"/>
      <c r="XBJ124" s="178"/>
      <c r="XBK124" s="24"/>
      <c r="XBL124" s="178"/>
      <c r="XBM124" s="24"/>
      <c r="XBN124" s="178"/>
      <c r="XBO124" s="24"/>
      <c r="XBP124" s="178"/>
      <c r="XBQ124" s="24"/>
      <c r="XBR124" s="178"/>
      <c r="XBS124" s="24"/>
      <c r="XBT124" s="178"/>
      <c r="XBU124" s="24"/>
      <c r="XBV124" s="178"/>
      <c r="XBW124" s="24"/>
      <c r="XBX124" s="178"/>
      <c r="XBY124" s="24"/>
      <c r="XBZ124" s="178"/>
      <c r="XCA124" s="24"/>
      <c r="XCB124" s="178"/>
      <c r="XCC124" s="24"/>
      <c r="XCD124" s="178"/>
      <c r="XCE124" s="24"/>
      <c r="XCF124" s="178"/>
      <c r="XCG124" s="24"/>
      <c r="XCH124" s="178"/>
      <c r="XCI124" s="24"/>
      <c r="XCJ124" s="178"/>
      <c r="XCK124" s="24"/>
      <c r="XCL124" s="178"/>
      <c r="XCM124" s="24"/>
      <c r="XCN124" s="178"/>
      <c r="XCO124" s="24"/>
      <c r="XCP124" s="178"/>
      <c r="XCQ124" s="24"/>
      <c r="XCR124" s="178"/>
      <c r="XCS124" s="24"/>
      <c r="XCT124" s="178"/>
      <c r="XCU124" s="24"/>
      <c r="XCV124" s="178"/>
      <c r="XCW124" s="24"/>
      <c r="XCX124" s="178"/>
      <c r="XCY124" s="24"/>
      <c r="XCZ124" s="178"/>
      <c r="XDA124" s="24"/>
      <c r="XDB124" s="178"/>
      <c r="XDC124" s="24"/>
      <c r="XDD124" s="178"/>
      <c r="XDE124" s="24"/>
      <c r="XDF124" s="178"/>
      <c r="XDG124" s="24"/>
      <c r="XDH124" s="178"/>
      <c r="XDI124" s="24"/>
      <c r="XDJ124" s="178"/>
      <c r="XDK124" s="24"/>
      <c r="XDL124" s="178"/>
      <c r="XDM124" s="24"/>
      <c r="XDN124" s="178"/>
      <c r="XDO124" s="24"/>
      <c r="XDP124" s="178"/>
      <c r="XDQ124" s="24"/>
      <c r="XDR124" s="178"/>
      <c r="XDS124" s="24"/>
      <c r="XDT124" s="178"/>
      <c r="XDU124" s="24"/>
      <c r="XDV124" s="178"/>
      <c r="XDW124" s="24"/>
      <c r="XDX124" s="178"/>
      <c r="XDY124" s="24"/>
      <c r="XDZ124" s="178"/>
      <c r="XEA124" s="24"/>
      <c r="XEB124" s="178"/>
      <c r="XEC124" s="24"/>
      <c r="XED124" s="178"/>
      <c r="XEE124" s="24"/>
      <c r="XEF124" s="178"/>
      <c r="XEG124" s="24"/>
      <c r="XEH124" s="178"/>
      <c r="XEI124" s="24"/>
      <c r="XEJ124" s="178"/>
      <c r="XEK124" s="24"/>
      <c r="XEL124" s="178"/>
      <c r="XEM124" s="24"/>
      <c r="XEN124" s="178"/>
      <c r="XEO124" s="24"/>
      <c r="XEP124" s="178"/>
      <c r="XEQ124" s="24"/>
      <c r="XER124" s="178"/>
      <c r="XES124" s="24"/>
      <c r="XET124" s="178"/>
      <c r="XEU124" s="24"/>
      <c r="XEV124" s="178"/>
      <c r="XEW124" s="24"/>
      <c r="XEX124" s="178"/>
      <c r="XEY124" s="24"/>
      <c r="XEZ124" s="178"/>
      <c r="XFA124" s="24"/>
      <c r="XFB124" s="178"/>
      <c r="XFC124" s="24"/>
      <c r="XFD124" s="178"/>
    </row>
    <row r="125" spans="1:16384" hidden="1" x14ac:dyDescent="0.35">
      <c r="A125" s="24"/>
      <c r="B125" s="40"/>
      <c r="C125" s="24"/>
      <c r="D125" s="40"/>
      <c r="E125" s="24"/>
      <c r="F125" s="40"/>
      <c r="G125" s="24"/>
      <c r="H125" s="40"/>
      <c r="I125" s="138"/>
      <c r="J125" s="487"/>
      <c r="K125" s="138"/>
      <c r="L125" s="487"/>
      <c r="M125" s="138"/>
      <c r="N125" s="487"/>
      <c r="O125" s="138"/>
      <c r="P125" s="487"/>
      <c r="Q125" s="138"/>
      <c r="R125" s="487"/>
      <c r="S125" s="138"/>
      <c r="T125" s="487"/>
      <c r="U125" s="138"/>
      <c r="V125" s="487"/>
      <c r="W125" s="138"/>
      <c r="X125" s="487"/>
      <c r="Y125" s="138"/>
      <c r="Z125" s="487"/>
      <c r="AA125" s="138"/>
      <c r="AB125" s="487"/>
      <c r="AC125" s="138"/>
      <c r="AD125" s="487"/>
      <c r="AE125" s="138"/>
      <c r="AF125" s="487"/>
      <c r="AG125" s="138"/>
      <c r="AH125" s="487"/>
      <c r="AI125" s="138"/>
      <c r="AJ125" s="487"/>
      <c r="AK125" s="24"/>
      <c r="AL125" s="40"/>
      <c r="AM125" s="24"/>
      <c r="AN125" s="40"/>
      <c r="AO125" s="24"/>
      <c r="AP125" s="40"/>
      <c r="AQ125" s="24"/>
      <c r="AR125" s="40"/>
      <c r="AS125" s="24"/>
      <c r="AT125" s="40"/>
      <c r="AU125" s="24"/>
      <c r="AV125" s="40"/>
      <c r="AW125" s="24"/>
      <c r="AX125" s="40"/>
      <c r="AY125" s="24"/>
      <c r="AZ125" s="40"/>
      <c r="BA125" s="24"/>
      <c r="BB125" s="40"/>
      <c r="BC125" s="24"/>
      <c r="BD125" s="40"/>
      <c r="BE125" s="24"/>
      <c r="BF125" s="40"/>
      <c r="BG125" s="24"/>
      <c r="BH125" s="40"/>
      <c r="BI125" s="24"/>
      <c r="BJ125" s="40"/>
      <c r="BK125" s="24"/>
      <c r="BL125" s="40"/>
      <c r="BM125" s="24"/>
      <c r="BN125" s="40"/>
      <c r="BO125" s="24"/>
      <c r="BP125" s="40"/>
      <c r="BQ125" s="24"/>
      <c r="BR125" s="40"/>
      <c r="BS125" s="24"/>
      <c r="BT125" s="40"/>
      <c r="BU125" s="24"/>
      <c r="BV125" s="40"/>
      <c r="BW125" s="24"/>
      <c r="BX125" s="40"/>
      <c r="BY125" s="24"/>
      <c r="BZ125" s="40"/>
      <c r="CA125" s="24"/>
      <c r="CB125" s="40"/>
      <c r="CC125" s="24"/>
      <c r="CD125" s="40"/>
      <c r="CE125" s="24"/>
      <c r="CF125" s="40"/>
      <c r="CG125" s="24"/>
      <c r="CH125" s="40"/>
      <c r="CI125" s="24"/>
      <c r="CJ125" s="40"/>
      <c r="CK125" s="24"/>
      <c r="CL125" s="40"/>
      <c r="CM125" s="24"/>
      <c r="CN125" s="40"/>
      <c r="CO125" s="24"/>
      <c r="CP125" s="40"/>
      <c r="CQ125" s="24"/>
      <c r="CR125" s="40"/>
      <c r="CS125" s="24"/>
      <c r="CT125" s="40"/>
      <c r="CU125" s="24"/>
      <c r="CV125" s="40"/>
      <c r="CW125" s="24"/>
      <c r="CX125" s="40"/>
      <c r="CY125" s="24"/>
      <c r="CZ125" s="40"/>
      <c r="DA125" s="24"/>
      <c r="DB125" s="40"/>
      <c r="DC125" s="24"/>
      <c r="DD125" s="40"/>
      <c r="DE125" s="24"/>
      <c r="DF125" s="40"/>
      <c r="DG125" s="24"/>
      <c r="DH125" s="40"/>
      <c r="DI125" s="24"/>
      <c r="DJ125" s="40"/>
      <c r="DK125" s="24"/>
      <c r="DL125" s="40"/>
      <c r="DM125" s="24"/>
      <c r="DN125" s="40"/>
      <c r="DO125" s="24"/>
      <c r="DP125" s="40"/>
      <c r="DQ125" s="24"/>
      <c r="DR125" s="40"/>
      <c r="DS125" s="24"/>
      <c r="DT125" s="40"/>
      <c r="DU125" s="24"/>
      <c r="DV125" s="40"/>
      <c r="DW125" s="24"/>
      <c r="DX125" s="40"/>
      <c r="DY125" s="24"/>
      <c r="DZ125" s="40"/>
      <c r="EA125" s="24"/>
      <c r="EB125" s="40"/>
      <c r="EC125" s="24"/>
      <c r="ED125" s="40"/>
      <c r="EE125" s="24"/>
      <c r="EF125" s="40"/>
      <c r="EG125" s="24"/>
      <c r="EH125" s="40"/>
      <c r="EI125" s="24"/>
      <c r="EJ125" s="40"/>
      <c r="EK125" s="24"/>
      <c r="EL125" s="40"/>
      <c r="EM125" s="24"/>
      <c r="EN125" s="40"/>
      <c r="EO125" s="24"/>
      <c r="EP125" s="40"/>
      <c r="EQ125" s="24"/>
      <c r="ER125" s="40"/>
      <c r="ES125" s="24"/>
      <c r="ET125" s="40"/>
      <c r="EU125" s="24"/>
      <c r="EV125" s="40"/>
      <c r="EW125" s="24"/>
      <c r="EX125" s="40"/>
      <c r="EY125" s="24"/>
      <c r="EZ125" s="40"/>
      <c r="FA125" s="24"/>
      <c r="FB125" s="40"/>
      <c r="FC125" s="24"/>
      <c r="FD125" s="40"/>
      <c r="FE125" s="24"/>
      <c r="FF125" s="40"/>
      <c r="FG125" s="24"/>
      <c r="FH125" s="40"/>
      <c r="FI125" s="24"/>
      <c r="FJ125" s="40"/>
      <c r="FK125" s="24"/>
      <c r="FL125" s="40"/>
      <c r="FM125" s="24"/>
      <c r="FN125" s="40"/>
      <c r="FO125" s="24"/>
      <c r="FP125" s="40"/>
      <c r="FQ125" s="24"/>
      <c r="FR125" s="40"/>
      <c r="FS125" s="24"/>
      <c r="FT125" s="40"/>
      <c r="FU125" s="24"/>
      <c r="FV125" s="40"/>
      <c r="FW125" s="24"/>
      <c r="FX125" s="40"/>
      <c r="FY125" s="24"/>
      <c r="FZ125" s="40"/>
      <c r="GA125" s="24"/>
      <c r="GB125" s="40"/>
      <c r="GC125" s="24"/>
      <c r="GD125" s="40"/>
      <c r="GE125" s="24"/>
      <c r="GF125" s="40"/>
      <c r="GG125" s="24"/>
      <c r="GH125" s="40"/>
      <c r="GI125" s="24"/>
      <c r="GJ125" s="40"/>
      <c r="GK125" s="24"/>
      <c r="GL125" s="40"/>
      <c r="GM125" s="24"/>
      <c r="GN125" s="40"/>
      <c r="GO125" s="24"/>
      <c r="GP125" s="40"/>
      <c r="GQ125" s="24"/>
      <c r="GR125" s="40"/>
      <c r="GS125" s="24"/>
      <c r="GT125" s="40"/>
      <c r="GU125" s="24"/>
      <c r="GV125" s="40"/>
      <c r="GW125" s="24"/>
      <c r="GX125" s="40"/>
      <c r="GY125" s="24"/>
      <c r="GZ125" s="40"/>
      <c r="HA125" s="24"/>
      <c r="HB125" s="40"/>
      <c r="HC125" s="24"/>
      <c r="HD125" s="40"/>
      <c r="HE125" s="24"/>
      <c r="HF125" s="40"/>
      <c r="HG125" s="24"/>
      <c r="HH125" s="40"/>
      <c r="HI125" s="24"/>
      <c r="HJ125" s="40"/>
      <c r="HK125" s="24"/>
      <c r="HL125" s="40"/>
      <c r="HM125" s="24"/>
      <c r="HN125" s="40"/>
      <c r="HO125" s="24"/>
      <c r="HP125" s="40"/>
      <c r="HQ125" s="24"/>
      <c r="HR125" s="40"/>
      <c r="HS125" s="24"/>
      <c r="HT125" s="40"/>
      <c r="HU125" s="24"/>
      <c r="HV125" s="40"/>
      <c r="HW125" s="24"/>
      <c r="HX125" s="40"/>
      <c r="HY125" s="24"/>
      <c r="HZ125" s="40"/>
      <c r="IA125" s="24"/>
      <c r="IB125" s="40"/>
      <c r="IC125" s="24"/>
      <c r="ID125" s="40"/>
      <c r="IE125" s="24"/>
      <c r="IF125" s="40"/>
      <c r="IG125" s="24"/>
      <c r="IH125" s="40"/>
      <c r="II125" s="24"/>
      <c r="IJ125" s="40"/>
      <c r="IK125" s="24"/>
      <c r="IL125" s="40"/>
      <c r="IM125" s="24"/>
      <c r="IN125" s="40"/>
      <c r="IO125" s="24"/>
      <c r="IP125" s="40"/>
      <c r="IQ125" s="24"/>
      <c r="IR125" s="40"/>
      <c r="IS125" s="24"/>
      <c r="IT125" s="40"/>
      <c r="IU125" s="24"/>
      <c r="IV125" s="40"/>
      <c r="IW125" s="24"/>
      <c r="IX125" s="40"/>
      <c r="IY125" s="24"/>
      <c r="IZ125" s="40"/>
      <c r="JA125" s="24"/>
      <c r="JB125" s="40"/>
      <c r="JC125" s="24"/>
      <c r="JD125" s="40"/>
      <c r="JE125" s="24"/>
      <c r="JF125" s="40"/>
      <c r="JG125" s="24"/>
      <c r="JH125" s="40"/>
      <c r="JI125" s="24"/>
      <c r="JJ125" s="40"/>
      <c r="JK125" s="24"/>
      <c r="JL125" s="40"/>
      <c r="JM125" s="24"/>
      <c r="JN125" s="40"/>
      <c r="JO125" s="24"/>
      <c r="JP125" s="40"/>
      <c r="JQ125" s="24"/>
      <c r="JR125" s="40"/>
      <c r="JS125" s="24"/>
      <c r="JT125" s="40"/>
      <c r="JU125" s="24"/>
      <c r="JV125" s="40"/>
      <c r="JW125" s="24"/>
      <c r="JX125" s="40"/>
      <c r="JY125" s="24"/>
      <c r="JZ125" s="40"/>
      <c r="KA125" s="24"/>
      <c r="KB125" s="40"/>
      <c r="KC125" s="24"/>
      <c r="KD125" s="40"/>
      <c r="KE125" s="24"/>
      <c r="KF125" s="40"/>
      <c r="KG125" s="24"/>
      <c r="KH125" s="40"/>
      <c r="KI125" s="24"/>
      <c r="KJ125" s="40"/>
      <c r="KK125" s="24"/>
      <c r="KL125" s="40"/>
      <c r="KM125" s="24"/>
      <c r="KN125" s="40"/>
      <c r="KO125" s="24"/>
      <c r="KP125" s="40"/>
      <c r="KQ125" s="24"/>
      <c r="KR125" s="40"/>
      <c r="KS125" s="24"/>
      <c r="KT125" s="40"/>
      <c r="KU125" s="24"/>
      <c r="KV125" s="40"/>
      <c r="KW125" s="24"/>
      <c r="KX125" s="40"/>
      <c r="KY125" s="24"/>
      <c r="KZ125" s="40"/>
      <c r="LA125" s="24"/>
      <c r="LB125" s="40"/>
      <c r="LC125" s="24"/>
      <c r="LD125" s="40"/>
      <c r="LE125" s="24"/>
      <c r="LF125" s="40"/>
      <c r="LG125" s="24"/>
      <c r="LH125" s="40"/>
      <c r="LI125" s="24"/>
      <c r="LJ125" s="40"/>
      <c r="LK125" s="24"/>
      <c r="LL125" s="40"/>
      <c r="LM125" s="24"/>
      <c r="LN125" s="40"/>
      <c r="LO125" s="24"/>
      <c r="LP125" s="40"/>
      <c r="LQ125" s="24"/>
      <c r="LR125" s="40"/>
      <c r="LS125" s="24"/>
      <c r="LT125" s="40"/>
      <c r="LU125" s="24"/>
      <c r="LV125" s="40"/>
      <c r="LW125" s="24"/>
      <c r="LX125" s="40"/>
      <c r="LY125" s="24"/>
      <c r="LZ125" s="40"/>
      <c r="MA125" s="24"/>
      <c r="MB125" s="40"/>
      <c r="MC125" s="24"/>
      <c r="MD125" s="40"/>
      <c r="ME125" s="24"/>
      <c r="MF125" s="40"/>
      <c r="MG125" s="24"/>
      <c r="MH125" s="40"/>
      <c r="MI125" s="24"/>
      <c r="MJ125" s="40"/>
      <c r="MK125" s="24"/>
      <c r="ML125" s="40"/>
      <c r="MM125" s="24"/>
      <c r="MN125" s="40"/>
      <c r="MO125" s="24"/>
      <c r="MP125" s="40"/>
      <c r="MQ125" s="24"/>
      <c r="MR125" s="40"/>
      <c r="MS125" s="24"/>
      <c r="MT125" s="40"/>
      <c r="MU125" s="24"/>
      <c r="MV125" s="40"/>
      <c r="MW125" s="24"/>
      <c r="MX125" s="40"/>
      <c r="MY125" s="24"/>
      <c r="MZ125" s="40"/>
      <c r="NA125" s="24"/>
      <c r="NB125" s="40"/>
      <c r="NC125" s="24"/>
      <c r="ND125" s="40"/>
      <c r="NE125" s="24"/>
      <c r="NF125" s="40"/>
      <c r="NG125" s="24"/>
      <c r="NH125" s="40"/>
      <c r="NI125" s="24"/>
      <c r="NJ125" s="40"/>
      <c r="NK125" s="24"/>
      <c r="NL125" s="40"/>
      <c r="NM125" s="24"/>
      <c r="NN125" s="40"/>
      <c r="NO125" s="24"/>
      <c r="NP125" s="40"/>
      <c r="NQ125" s="24"/>
      <c r="NR125" s="40"/>
      <c r="NS125" s="24"/>
      <c r="NT125" s="40"/>
      <c r="NU125" s="24"/>
      <c r="NV125" s="40"/>
      <c r="NW125" s="24"/>
      <c r="NX125" s="40"/>
      <c r="NY125" s="24"/>
      <c r="NZ125" s="40"/>
      <c r="OA125" s="24"/>
      <c r="OB125" s="40"/>
      <c r="OC125" s="24"/>
      <c r="OD125" s="40"/>
      <c r="OE125" s="24"/>
      <c r="OF125" s="40"/>
      <c r="OG125" s="24"/>
      <c r="OH125" s="40"/>
      <c r="OI125" s="24"/>
      <c r="OJ125" s="40"/>
      <c r="OK125" s="24"/>
      <c r="OL125" s="40"/>
      <c r="OM125" s="24"/>
      <c r="ON125" s="40"/>
      <c r="OO125" s="24"/>
      <c r="OP125" s="40"/>
      <c r="OQ125" s="24"/>
      <c r="OR125" s="40"/>
      <c r="OS125" s="24"/>
      <c r="OT125" s="40"/>
      <c r="OU125" s="24"/>
      <c r="OV125" s="40"/>
      <c r="OW125" s="24"/>
      <c r="OX125" s="40"/>
      <c r="OY125" s="24"/>
      <c r="OZ125" s="40"/>
      <c r="PA125" s="24"/>
      <c r="PB125" s="40"/>
      <c r="PC125" s="24"/>
      <c r="PD125" s="40"/>
      <c r="PE125" s="24"/>
      <c r="PF125" s="40"/>
      <c r="PG125" s="24"/>
      <c r="PH125" s="40"/>
      <c r="PI125" s="24"/>
      <c r="PJ125" s="40"/>
      <c r="PK125" s="24"/>
      <c r="PL125" s="40"/>
      <c r="PM125" s="24"/>
      <c r="PN125" s="40"/>
      <c r="PO125" s="24"/>
      <c r="PP125" s="40"/>
      <c r="PQ125" s="24"/>
      <c r="PR125" s="40"/>
      <c r="PS125" s="24"/>
      <c r="PT125" s="40"/>
      <c r="PU125" s="24"/>
      <c r="PV125" s="40"/>
      <c r="PW125" s="24"/>
      <c r="PX125" s="40"/>
      <c r="PY125" s="24"/>
      <c r="PZ125" s="40"/>
      <c r="QA125" s="24"/>
      <c r="QB125" s="40"/>
      <c r="QC125" s="24"/>
      <c r="QD125" s="40"/>
      <c r="QE125" s="24"/>
      <c r="QF125" s="40"/>
      <c r="QG125" s="24"/>
      <c r="QH125" s="40"/>
      <c r="QI125" s="24"/>
      <c r="QJ125" s="40"/>
      <c r="QK125" s="24"/>
      <c r="QL125" s="40"/>
      <c r="QM125" s="24"/>
      <c r="QN125" s="40"/>
      <c r="QO125" s="24"/>
      <c r="QP125" s="40"/>
      <c r="QQ125" s="24"/>
      <c r="QR125" s="40"/>
      <c r="QS125" s="24"/>
      <c r="QT125" s="40"/>
      <c r="QU125" s="24"/>
      <c r="QV125" s="40"/>
      <c r="QW125" s="24"/>
      <c r="QX125" s="40"/>
      <c r="QY125" s="24"/>
      <c r="QZ125" s="40"/>
      <c r="RA125" s="24"/>
      <c r="RB125" s="40"/>
      <c r="RC125" s="24"/>
      <c r="RD125" s="40"/>
      <c r="RE125" s="24"/>
      <c r="RF125" s="40"/>
      <c r="RG125" s="24"/>
      <c r="RH125" s="40"/>
      <c r="RI125" s="24"/>
      <c r="RJ125" s="40"/>
      <c r="RK125" s="24"/>
      <c r="RL125" s="40"/>
      <c r="RM125" s="24"/>
      <c r="RN125" s="40"/>
      <c r="RO125" s="24"/>
      <c r="RP125" s="40"/>
      <c r="RQ125" s="24"/>
      <c r="RR125" s="40"/>
      <c r="RS125" s="24"/>
      <c r="RT125" s="40"/>
      <c r="RU125" s="24"/>
      <c r="RV125" s="40"/>
      <c r="RW125" s="24"/>
      <c r="RX125" s="40"/>
      <c r="RY125" s="24"/>
      <c r="RZ125" s="40"/>
      <c r="SA125" s="24"/>
      <c r="SB125" s="40"/>
      <c r="SC125" s="24"/>
      <c r="SD125" s="40"/>
      <c r="SE125" s="24"/>
      <c r="SF125" s="40"/>
      <c r="SG125" s="24"/>
      <c r="SH125" s="40"/>
      <c r="SI125" s="24"/>
      <c r="SJ125" s="40"/>
      <c r="SK125" s="24"/>
      <c r="SL125" s="40"/>
      <c r="SM125" s="24"/>
      <c r="SN125" s="40"/>
      <c r="SO125" s="24"/>
      <c r="SP125" s="40"/>
      <c r="SQ125" s="24"/>
      <c r="SR125" s="40"/>
      <c r="SS125" s="24"/>
      <c r="ST125" s="40"/>
      <c r="SU125" s="24"/>
      <c r="SV125" s="40"/>
      <c r="SW125" s="24"/>
      <c r="SX125" s="40"/>
      <c r="SY125" s="24"/>
      <c r="SZ125" s="40"/>
      <c r="TA125" s="24"/>
      <c r="TB125" s="40"/>
      <c r="TC125" s="24"/>
      <c r="TD125" s="40"/>
      <c r="TE125" s="24"/>
      <c r="TF125" s="40"/>
      <c r="TG125" s="24"/>
      <c r="TH125" s="40"/>
      <c r="TI125" s="24"/>
      <c r="TJ125" s="40"/>
      <c r="TK125" s="24"/>
      <c r="TL125" s="40"/>
      <c r="TM125" s="24"/>
      <c r="TN125" s="40"/>
      <c r="TO125" s="24"/>
      <c r="TP125" s="40"/>
      <c r="TQ125" s="24"/>
      <c r="TR125" s="40"/>
      <c r="TS125" s="24"/>
      <c r="TT125" s="40"/>
      <c r="TU125" s="24"/>
      <c r="TV125" s="40"/>
      <c r="TW125" s="24"/>
      <c r="TX125" s="40"/>
      <c r="TY125" s="24"/>
      <c r="TZ125" s="40"/>
      <c r="UA125" s="24"/>
      <c r="UB125" s="40"/>
      <c r="UC125" s="24"/>
      <c r="UD125" s="40"/>
      <c r="UE125" s="24"/>
      <c r="UF125" s="40"/>
      <c r="UG125" s="24"/>
      <c r="UH125" s="40"/>
      <c r="UI125" s="24"/>
      <c r="UJ125" s="40"/>
      <c r="UK125" s="24"/>
      <c r="UL125" s="40"/>
      <c r="UM125" s="24"/>
      <c r="UN125" s="40"/>
      <c r="UO125" s="24"/>
      <c r="UP125" s="40"/>
      <c r="UQ125" s="24"/>
      <c r="UR125" s="40"/>
      <c r="US125" s="24"/>
      <c r="UT125" s="40"/>
      <c r="UU125" s="24"/>
      <c r="UV125" s="40"/>
      <c r="UW125" s="24"/>
      <c r="UX125" s="40"/>
      <c r="UY125" s="24"/>
      <c r="UZ125" s="40"/>
      <c r="VA125" s="24"/>
      <c r="VB125" s="40"/>
      <c r="VC125" s="24"/>
      <c r="VD125" s="40"/>
      <c r="VE125" s="24"/>
      <c r="VF125" s="40"/>
      <c r="VG125" s="24"/>
      <c r="VH125" s="40"/>
      <c r="VI125" s="24"/>
      <c r="VJ125" s="40"/>
      <c r="VK125" s="24"/>
      <c r="VL125" s="40"/>
      <c r="VM125" s="24"/>
      <c r="VN125" s="40"/>
      <c r="VO125" s="24"/>
      <c r="VP125" s="40"/>
      <c r="VQ125" s="24"/>
      <c r="VR125" s="40"/>
      <c r="VS125" s="24"/>
      <c r="VT125" s="40"/>
      <c r="VU125" s="24"/>
      <c r="VV125" s="40"/>
      <c r="VW125" s="24"/>
      <c r="VX125" s="40"/>
      <c r="VY125" s="24"/>
      <c r="VZ125" s="40"/>
      <c r="WA125" s="24"/>
      <c r="WB125" s="40"/>
      <c r="WC125" s="24"/>
      <c r="WD125" s="40"/>
      <c r="WE125" s="24"/>
      <c r="WF125" s="40"/>
      <c r="WG125" s="24"/>
      <c r="WH125" s="40"/>
      <c r="WI125" s="24"/>
      <c r="WJ125" s="40"/>
      <c r="WK125" s="24"/>
      <c r="WL125" s="40"/>
      <c r="WM125" s="24"/>
      <c r="WN125" s="40"/>
      <c r="WO125" s="24"/>
      <c r="WP125" s="40"/>
      <c r="WQ125" s="24"/>
      <c r="WR125" s="40"/>
      <c r="WS125" s="24"/>
      <c r="WT125" s="40"/>
      <c r="WU125" s="24"/>
      <c r="WV125" s="40"/>
      <c r="WW125" s="24"/>
      <c r="WX125" s="40"/>
      <c r="WY125" s="24"/>
      <c r="WZ125" s="40"/>
      <c r="XA125" s="24"/>
      <c r="XB125" s="40"/>
      <c r="XC125" s="24"/>
      <c r="XD125" s="40"/>
      <c r="XE125" s="24"/>
      <c r="XF125" s="40"/>
      <c r="XG125" s="24"/>
      <c r="XH125" s="40"/>
      <c r="XI125" s="24"/>
      <c r="XJ125" s="40"/>
      <c r="XK125" s="24"/>
      <c r="XL125" s="40"/>
      <c r="XM125" s="24"/>
      <c r="XN125" s="40"/>
      <c r="XO125" s="24"/>
      <c r="XP125" s="40"/>
      <c r="XQ125" s="24"/>
      <c r="XR125" s="40"/>
      <c r="XS125" s="24"/>
      <c r="XT125" s="40"/>
      <c r="XU125" s="24"/>
      <c r="XV125" s="40"/>
      <c r="XW125" s="24"/>
      <c r="XX125" s="40"/>
      <c r="XY125" s="24"/>
      <c r="XZ125" s="40"/>
      <c r="YA125" s="24"/>
      <c r="YB125" s="40"/>
      <c r="YC125" s="24"/>
      <c r="YD125" s="40"/>
      <c r="YE125" s="24"/>
      <c r="YF125" s="40"/>
      <c r="YG125" s="24"/>
      <c r="YH125" s="40"/>
      <c r="YI125" s="24"/>
      <c r="YJ125" s="40"/>
      <c r="YK125" s="24"/>
      <c r="YL125" s="40"/>
      <c r="YM125" s="24"/>
      <c r="YN125" s="40"/>
      <c r="YO125" s="24"/>
      <c r="YP125" s="40"/>
      <c r="YQ125" s="24"/>
      <c r="YR125" s="40"/>
      <c r="YS125" s="24"/>
      <c r="YT125" s="40"/>
      <c r="YU125" s="24"/>
      <c r="YV125" s="40"/>
      <c r="YW125" s="24"/>
      <c r="YX125" s="40"/>
      <c r="YY125" s="24"/>
      <c r="YZ125" s="40"/>
      <c r="ZA125" s="24"/>
      <c r="ZB125" s="40"/>
      <c r="ZC125" s="24"/>
      <c r="ZD125" s="40"/>
      <c r="ZE125" s="24"/>
      <c r="ZF125" s="40"/>
      <c r="ZG125" s="24"/>
      <c r="ZH125" s="40"/>
      <c r="ZI125" s="24"/>
      <c r="ZJ125" s="40"/>
      <c r="ZK125" s="24"/>
      <c r="ZL125" s="40"/>
      <c r="ZM125" s="24"/>
      <c r="ZN125" s="40"/>
      <c r="ZO125" s="24"/>
      <c r="ZP125" s="40"/>
      <c r="ZQ125" s="24"/>
      <c r="ZR125" s="40"/>
      <c r="ZS125" s="24"/>
      <c r="ZT125" s="40"/>
      <c r="ZU125" s="24"/>
      <c r="ZV125" s="40"/>
      <c r="ZW125" s="24"/>
      <c r="ZX125" s="40"/>
      <c r="ZY125" s="24"/>
      <c r="ZZ125" s="40"/>
      <c r="AAA125" s="24"/>
      <c r="AAB125" s="40"/>
      <c r="AAC125" s="24"/>
      <c r="AAD125" s="40"/>
      <c r="AAE125" s="24"/>
      <c r="AAF125" s="40"/>
      <c r="AAG125" s="24"/>
      <c r="AAH125" s="40"/>
      <c r="AAI125" s="24"/>
      <c r="AAJ125" s="40"/>
      <c r="AAK125" s="24"/>
      <c r="AAL125" s="40"/>
      <c r="AAM125" s="24"/>
      <c r="AAN125" s="40"/>
      <c r="AAO125" s="24"/>
      <c r="AAP125" s="40"/>
      <c r="AAQ125" s="24"/>
      <c r="AAR125" s="40"/>
      <c r="AAS125" s="24"/>
      <c r="AAT125" s="40"/>
      <c r="AAU125" s="24"/>
      <c r="AAV125" s="40"/>
      <c r="AAW125" s="24"/>
      <c r="AAX125" s="40"/>
      <c r="AAY125" s="24"/>
      <c r="AAZ125" s="40"/>
      <c r="ABA125" s="24"/>
      <c r="ABB125" s="40"/>
      <c r="ABC125" s="24"/>
      <c r="ABD125" s="40"/>
      <c r="ABE125" s="24"/>
      <c r="ABF125" s="40"/>
      <c r="ABG125" s="24"/>
      <c r="ABH125" s="40"/>
      <c r="ABI125" s="24"/>
      <c r="ABJ125" s="40"/>
      <c r="ABK125" s="24"/>
      <c r="ABL125" s="40"/>
      <c r="ABM125" s="24"/>
      <c r="ABN125" s="40"/>
      <c r="ABO125" s="24"/>
      <c r="ABP125" s="40"/>
      <c r="ABQ125" s="24"/>
      <c r="ABR125" s="40"/>
      <c r="ABS125" s="24"/>
      <c r="ABT125" s="40"/>
      <c r="ABU125" s="24"/>
      <c r="ABV125" s="40"/>
      <c r="ABW125" s="24"/>
      <c r="ABX125" s="40"/>
      <c r="ABY125" s="24"/>
      <c r="ABZ125" s="40"/>
      <c r="ACA125" s="24"/>
      <c r="ACB125" s="40"/>
      <c r="ACC125" s="24"/>
      <c r="ACD125" s="40"/>
      <c r="ACE125" s="24"/>
      <c r="ACF125" s="40"/>
      <c r="ACG125" s="24"/>
      <c r="ACH125" s="40"/>
      <c r="ACI125" s="24"/>
      <c r="ACJ125" s="40"/>
      <c r="ACK125" s="24"/>
      <c r="ACL125" s="40"/>
      <c r="ACM125" s="24"/>
      <c r="ACN125" s="40"/>
      <c r="ACO125" s="24"/>
      <c r="ACP125" s="40"/>
      <c r="ACQ125" s="24"/>
      <c r="ACR125" s="40"/>
      <c r="ACS125" s="24"/>
      <c r="ACT125" s="40"/>
      <c r="ACU125" s="24"/>
      <c r="ACV125" s="40"/>
      <c r="ACW125" s="24"/>
      <c r="ACX125" s="40"/>
      <c r="ACY125" s="24"/>
      <c r="ACZ125" s="40"/>
      <c r="ADA125" s="24"/>
      <c r="ADB125" s="40"/>
      <c r="ADC125" s="24"/>
      <c r="ADD125" s="40"/>
      <c r="ADE125" s="24"/>
      <c r="ADF125" s="40"/>
      <c r="ADG125" s="24"/>
      <c r="ADH125" s="40"/>
      <c r="ADI125" s="24"/>
      <c r="ADJ125" s="40"/>
      <c r="ADK125" s="24"/>
      <c r="ADL125" s="40"/>
      <c r="ADM125" s="24"/>
      <c r="ADN125" s="40"/>
      <c r="ADO125" s="24"/>
      <c r="ADP125" s="40"/>
      <c r="ADQ125" s="24"/>
      <c r="ADR125" s="40"/>
      <c r="ADS125" s="24"/>
      <c r="ADT125" s="40"/>
      <c r="ADU125" s="24"/>
      <c r="ADV125" s="40"/>
      <c r="ADW125" s="24"/>
      <c r="ADX125" s="40"/>
      <c r="ADY125" s="24"/>
      <c r="ADZ125" s="40"/>
      <c r="AEA125" s="24"/>
      <c r="AEB125" s="40"/>
      <c r="AEC125" s="24"/>
      <c r="AED125" s="40"/>
      <c r="AEE125" s="24"/>
      <c r="AEF125" s="40"/>
      <c r="AEG125" s="24"/>
      <c r="AEH125" s="40"/>
      <c r="AEI125" s="24"/>
      <c r="AEJ125" s="40"/>
      <c r="AEK125" s="24"/>
      <c r="AEL125" s="40"/>
      <c r="AEM125" s="24"/>
      <c r="AEN125" s="40"/>
      <c r="AEO125" s="24"/>
      <c r="AEP125" s="40"/>
      <c r="AEQ125" s="24"/>
      <c r="AER125" s="40"/>
      <c r="AES125" s="24"/>
      <c r="AET125" s="40"/>
      <c r="AEU125" s="24"/>
      <c r="AEV125" s="40"/>
      <c r="AEW125" s="24"/>
      <c r="AEX125" s="40"/>
      <c r="AEY125" s="24"/>
      <c r="AEZ125" s="40"/>
      <c r="AFA125" s="24"/>
      <c r="AFB125" s="40"/>
      <c r="AFC125" s="24"/>
      <c r="AFD125" s="40"/>
      <c r="AFE125" s="24"/>
      <c r="AFF125" s="40"/>
      <c r="AFG125" s="24"/>
      <c r="AFH125" s="40"/>
      <c r="AFI125" s="24"/>
      <c r="AFJ125" s="40"/>
      <c r="AFK125" s="24"/>
      <c r="AFL125" s="40"/>
      <c r="AFM125" s="24"/>
      <c r="AFN125" s="40"/>
      <c r="AFO125" s="24"/>
      <c r="AFP125" s="40"/>
      <c r="AFQ125" s="24"/>
      <c r="AFR125" s="40"/>
      <c r="AFS125" s="24"/>
      <c r="AFT125" s="40"/>
      <c r="AFU125" s="24"/>
      <c r="AFV125" s="40"/>
      <c r="AFW125" s="24"/>
      <c r="AFX125" s="40"/>
      <c r="AFY125" s="24"/>
      <c r="AFZ125" s="40"/>
      <c r="AGA125" s="24"/>
      <c r="AGB125" s="40"/>
      <c r="AGC125" s="24"/>
      <c r="AGD125" s="40"/>
      <c r="AGE125" s="24"/>
      <c r="AGF125" s="40"/>
      <c r="AGG125" s="24"/>
      <c r="AGH125" s="40"/>
      <c r="AGI125" s="24"/>
      <c r="AGJ125" s="40"/>
      <c r="AGK125" s="24"/>
      <c r="AGL125" s="40"/>
      <c r="AGM125" s="24"/>
      <c r="AGN125" s="40"/>
      <c r="AGO125" s="24"/>
      <c r="AGP125" s="40"/>
      <c r="AGQ125" s="24"/>
      <c r="AGR125" s="40"/>
      <c r="AGS125" s="24"/>
      <c r="AGT125" s="40"/>
      <c r="AGU125" s="24"/>
      <c r="AGV125" s="40"/>
      <c r="AGW125" s="24"/>
      <c r="AGX125" s="40"/>
      <c r="AGY125" s="24"/>
      <c r="AGZ125" s="40"/>
      <c r="AHA125" s="24"/>
      <c r="AHB125" s="40"/>
      <c r="AHC125" s="24"/>
      <c r="AHD125" s="40"/>
      <c r="AHE125" s="24"/>
      <c r="AHF125" s="40"/>
      <c r="AHG125" s="24"/>
      <c r="AHH125" s="40"/>
      <c r="AHI125" s="24"/>
      <c r="AHJ125" s="40"/>
      <c r="AHK125" s="24"/>
      <c r="AHL125" s="40"/>
      <c r="AHM125" s="24"/>
      <c r="AHN125" s="40"/>
      <c r="AHO125" s="24"/>
      <c r="AHP125" s="40"/>
      <c r="AHQ125" s="24"/>
      <c r="AHR125" s="40"/>
      <c r="AHS125" s="24"/>
      <c r="AHT125" s="40"/>
      <c r="AHU125" s="24"/>
      <c r="AHV125" s="40"/>
      <c r="AHW125" s="24"/>
      <c r="AHX125" s="40"/>
      <c r="AHY125" s="24"/>
      <c r="AHZ125" s="40"/>
      <c r="AIA125" s="24"/>
      <c r="AIB125" s="40"/>
      <c r="AIC125" s="24"/>
      <c r="AID125" s="40"/>
      <c r="AIE125" s="24"/>
      <c r="AIF125" s="40"/>
      <c r="AIG125" s="24"/>
      <c r="AIH125" s="40"/>
      <c r="AII125" s="24"/>
      <c r="AIJ125" s="40"/>
      <c r="AIK125" s="24"/>
      <c r="AIL125" s="40"/>
      <c r="AIM125" s="24"/>
      <c r="AIN125" s="40"/>
      <c r="AIO125" s="24"/>
      <c r="AIP125" s="40"/>
      <c r="AIQ125" s="24"/>
      <c r="AIR125" s="40"/>
      <c r="AIS125" s="24"/>
      <c r="AIT125" s="40"/>
      <c r="AIU125" s="24"/>
      <c r="AIV125" s="40"/>
      <c r="AIW125" s="24"/>
      <c r="AIX125" s="40"/>
      <c r="AIY125" s="24"/>
      <c r="AIZ125" s="40"/>
      <c r="AJA125" s="24"/>
      <c r="AJB125" s="40"/>
      <c r="AJC125" s="24"/>
      <c r="AJD125" s="40"/>
      <c r="AJE125" s="24"/>
      <c r="AJF125" s="40"/>
      <c r="AJG125" s="24"/>
      <c r="AJH125" s="40"/>
      <c r="AJI125" s="24"/>
      <c r="AJJ125" s="40"/>
      <c r="AJK125" s="24"/>
      <c r="AJL125" s="40"/>
      <c r="AJM125" s="24"/>
      <c r="AJN125" s="40"/>
      <c r="AJO125" s="24"/>
      <c r="AJP125" s="40"/>
      <c r="AJQ125" s="24"/>
      <c r="AJR125" s="40"/>
      <c r="AJS125" s="24"/>
      <c r="AJT125" s="40"/>
      <c r="AJU125" s="24"/>
      <c r="AJV125" s="40"/>
      <c r="AJW125" s="24"/>
      <c r="AJX125" s="40"/>
      <c r="AJY125" s="24"/>
      <c r="AJZ125" s="40"/>
      <c r="AKA125" s="24"/>
      <c r="AKB125" s="40"/>
      <c r="AKC125" s="24"/>
      <c r="AKD125" s="40"/>
      <c r="AKE125" s="24"/>
      <c r="AKF125" s="40"/>
      <c r="AKG125" s="24"/>
      <c r="AKH125" s="40"/>
      <c r="AKI125" s="24"/>
      <c r="AKJ125" s="40"/>
      <c r="AKK125" s="24"/>
      <c r="AKL125" s="40"/>
      <c r="AKM125" s="24"/>
      <c r="AKN125" s="40"/>
      <c r="AKO125" s="24"/>
      <c r="AKP125" s="40"/>
      <c r="AKQ125" s="24"/>
      <c r="AKR125" s="40"/>
      <c r="AKS125" s="24"/>
      <c r="AKT125" s="40"/>
      <c r="AKU125" s="24"/>
      <c r="AKV125" s="40"/>
      <c r="AKW125" s="24"/>
      <c r="AKX125" s="40"/>
      <c r="AKY125" s="24"/>
      <c r="AKZ125" s="40"/>
      <c r="ALA125" s="24"/>
      <c r="ALB125" s="40"/>
      <c r="ALC125" s="24"/>
      <c r="ALD125" s="40"/>
      <c r="ALE125" s="24"/>
      <c r="ALF125" s="40"/>
      <c r="ALG125" s="24"/>
      <c r="ALH125" s="40"/>
      <c r="ALI125" s="24"/>
      <c r="ALJ125" s="40"/>
      <c r="ALK125" s="24"/>
      <c r="ALL125" s="40"/>
      <c r="ALM125" s="24"/>
      <c r="ALN125" s="40"/>
      <c r="ALO125" s="24"/>
      <c r="ALP125" s="40"/>
      <c r="ALQ125" s="24"/>
      <c r="ALR125" s="40"/>
      <c r="ALS125" s="24"/>
      <c r="ALT125" s="40"/>
      <c r="ALU125" s="24"/>
      <c r="ALV125" s="40"/>
      <c r="ALW125" s="24"/>
      <c r="ALX125" s="40"/>
      <c r="ALY125" s="24"/>
      <c r="ALZ125" s="40"/>
      <c r="AMA125" s="24"/>
      <c r="AMB125" s="40"/>
      <c r="AMC125" s="24"/>
      <c r="AMD125" s="40"/>
      <c r="AME125" s="24"/>
      <c r="AMF125" s="40"/>
      <c r="AMG125" s="24"/>
      <c r="AMH125" s="40"/>
      <c r="AMI125" s="24"/>
      <c r="AMJ125" s="40"/>
      <c r="AMK125" s="24"/>
      <c r="AML125" s="40"/>
      <c r="AMM125" s="24"/>
      <c r="AMN125" s="40"/>
      <c r="AMO125" s="24"/>
      <c r="AMP125" s="40"/>
      <c r="AMQ125" s="24"/>
      <c r="AMR125" s="40"/>
      <c r="AMS125" s="24"/>
      <c r="AMT125" s="40"/>
      <c r="AMU125" s="24"/>
      <c r="AMV125" s="40"/>
      <c r="AMW125" s="24"/>
      <c r="AMX125" s="40"/>
      <c r="AMY125" s="24"/>
      <c r="AMZ125" s="40"/>
      <c r="ANA125" s="24"/>
      <c r="ANB125" s="40"/>
      <c r="ANC125" s="24"/>
      <c r="AND125" s="40"/>
      <c r="ANE125" s="24"/>
      <c r="ANF125" s="40"/>
      <c r="ANG125" s="24"/>
      <c r="ANH125" s="40"/>
      <c r="ANI125" s="24"/>
      <c r="ANJ125" s="40"/>
      <c r="ANK125" s="24"/>
      <c r="ANL125" s="40"/>
      <c r="ANM125" s="24"/>
      <c r="ANN125" s="40"/>
      <c r="ANO125" s="24"/>
      <c r="ANP125" s="40"/>
      <c r="ANQ125" s="24"/>
      <c r="ANR125" s="40"/>
      <c r="ANS125" s="24"/>
      <c r="ANT125" s="40"/>
      <c r="ANU125" s="24"/>
      <c r="ANV125" s="40"/>
      <c r="ANW125" s="24"/>
      <c r="ANX125" s="40"/>
      <c r="ANY125" s="24"/>
      <c r="ANZ125" s="40"/>
      <c r="AOA125" s="24"/>
      <c r="AOB125" s="40"/>
      <c r="AOC125" s="24"/>
      <c r="AOD125" s="40"/>
      <c r="AOE125" s="24"/>
      <c r="AOF125" s="40"/>
      <c r="AOG125" s="24"/>
      <c r="AOH125" s="40"/>
      <c r="AOI125" s="24"/>
      <c r="AOJ125" s="40"/>
      <c r="AOK125" s="24"/>
      <c r="AOL125" s="40"/>
      <c r="AOM125" s="24"/>
      <c r="AON125" s="40"/>
      <c r="AOO125" s="24"/>
      <c r="AOP125" s="40"/>
      <c r="AOQ125" s="24"/>
      <c r="AOR125" s="40"/>
      <c r="AOS125" s="24"/>
      <c r="AOT125" s="40"/>
      <c r="AOU125" s="24"/>
      <c r="AOV125" s="40"/>
      <c r="AOW125" s="24"/>
      <c r="AOX125" s="40"/>
      <c r="AOY125" s="24"/>
      <c r="AOZ125" s="40"/>
      <c r="APA125" s="24"/>
      <c r="APB125" s="40"/>
      <c r="APC125" s="24"/>
      <c r="APD125" s="40"/>
      <c r="APE125" s="24"/>
      <c r="APF125" s="40"/>
      <c r="APG125" s="24"/>
      <c r="APH125" s="40"/>
      <c r="API125" s="24"/>
      <c r="APJ125" s="40"/>
      <c r="APK125" s="24"/>
      <c r="APL125" s="40"/>
      <c r="APM125" s="24"/>
      <c r="APN125" s="40"/>
      <c r="APO125" s="24"/>
      <c r="APP125" s="40"/>
      <c r="APQ125" s="24"/>
      <c r="APR125" s="40"/>
      <c r="APS125" s="24"/>
      <c r="APT125" s="40"/>
      <c r="APU125" s="24"/>
      <c r="APV125" s="40"/>
      <c r="APW125" s="24"/>
      <c r="APX125" s="40"/>
      <c r="APY125" s="24"/>
      <c r="APZ125" s="40"/>
      <c r="AQA125" s="24"/>
      <c r="AQB125" s="40"/>
      <c r="AQC125" s="24"/>
      <c r="AQD125" s="40"/>
      <c r="AQE125" s="24"/>
      <c r="AQF125" s="40"/>
      <c r="AQG125" s="24"/>
      <c r="AQH125" s="40"/>
      <c r="AQI125" s="24"/>
      <c r="AQJ125" s="40"/>
      <c r="AQK125" s="24"/>
      <c r="AQL125" s="40"/>
      <c r="AQM125" s="24"/>
      <c r="AQN125" s="40"/>
      <c r="AQO125" s="24"/>
      <c r="AQP125" s="40"/>
      <c r="AQQ125" s="24"/>
      <c r="AQR125" s="40"/>
      <c r="AQS125" s="24"/>
      <c r="AQT125" s="40"/>
      <c r="AQU125" s="24"/>
      <c r="AQV125" s="40"/>
      <c r="AQW125" s="24"/>
      <c r="AQX125" s="40"/>
      <c r="AQY125" s="24"/>
      <c r="AQZ125" s="40"/>
      <c r="ARA125" s="24"/>
      <c r="ARB125" s="40"/>
      <c r="ARC125" s="24"/>
      <c r="ARD125" s="40"/>
      <c r="ARE125" s="24"/>
      <c r="ARF125" s="40"/>
      <c r="ARG125" s="24"/>
      <c r="ARH125" s="40"/>
      <c r="ARI125" s="24"/>
      <c r="ARJ125" s="40"/>
      <c r="ARK125" s="24"/>
      <c r="ARL125" s="40"/>
      <c r="ARM125" s="24"/>
      <c r="ARN125" s="40"/>
      <c r="ARO125" s="24"/>
      <c r="ARP125" s="40"/>
      <c r="ARQ125" s="24"/>
      <c r="ARR125" s="40"/>
      <c r="ARS125" s="24"/>
      <c r="ART125" s="40"/>
      <c r="ARU125" s="24"/>
      <c r="ARV125" s="40"/>
      <c r="ARW125" s="24"/>
      <c r="ARX125" s="40"/>
      <c r="ARY125" s="24"/>
      <c r="ARZ125" s="40"/>
      <c r="ASA125" s="24"/>
      <c r="ASB125" s="40"/>
      <c r="ASC125" s="24"/>
      <c r="ASD125" s="40"/>
      <c r="ASE125" s="24"/>
      <c r="ASF125" s="40"/>
      <c r="ASG125" s="24"/>
      <c r="ASH125" s="40"/>
      <c r="ASI125" s="24"/>
      <c r="ASJ125" s="40"/>
      <c r="ASK125" s="24"/>
      <c r="ASL125" s="40"/>
      <c r="ASM125" s="24"/>
      <c r="ASN125" s="40"/>
      <c r="ASO125" s="24"/>
      <c r="ASP125" s="40"/>
      <c r="ASQ125" s="24"/>
      <c r="ASR125" s="40"/>
      <c r="ASS125" s="24"/>
      <c r="AST125" s="40"/>
      <c r="ASU125" s="24"/>
      <c r="ASV125" s="40"/>
      <c r="ASW125" s="24"/>
      <c r="ASX125" s="40"/>
      <c r="ASY125" s="24"/>
      <c r="ASZ125" s="40"/>
      <c r="ATA125" s="24"/>
      <c r="ATB125" s="40"/>
      <c r="ATC125" s="24"/>
      <c r="ATD125" s="40"/>
      <c r="ATE125" s="24"/>
      <c r="ATF125" s="40"/>
      <c r="ATG125" s="24"/>
      <c r="ATH125" s="40"/>
      <c r="ATI125" s="24"/>
      <c r="ATJ125" s="40"/>
      <c r="ATK125" s="24"/>
      <c r="ATL125" s="40"/>
      <c r="ATM125" s="24"/>
      <c r="ATN125" s="40"/>
      <c r="ATO125" s="24"/>
      <c r="ATP125" s="40"/>
      <c r="ATQ125" s="24"/>
      <c r="ATR125" s="40"/>
      <c r="ATS125" s="24"/>
      <c r="ATT125" s="40"/>
      <c r="ATU125" s="24"/>
      <c r="ATV125" s="40"/>
      <c r="ATW125" s="24"/>
      <c r="ATX125" s="40"/>
      <c r="ATY125" s="24"/>
      <c r="ATZ125" s="40"/>
      <c r="AUA125" s="24"/>
      <c r="AUB125" s="40"/>
      <c r="AUC125" s="24"/>
      <c r="AUD125" s="40"/>
      <c r="AUE125" s="24"/>
      <c r="AUF125" s="40"/>
      <c r="AUG125" s="24"/>
      <c r="AUH125" s="40"/>
      <c r="AUI125" s="24"/>
      <c r="AUJ125" s="40"/>
      <c r="AUK125" s="24"/>
      <c r="AUL125" s="40"/>
      <c r="AUM125" s="24"/>
      <c r="AUN125" s="40"/>
      <c r="AUO125" s="24"/>
      <c r="AUP125" s="40"/>
      <c r="AUQ125" s="24"/>
      <c r="AUR125" s="40"/>
      <c r="AUS125" s="24"/>
      <c r="AUT125" s="40"/>
      <c r="AUU125" s="24"/>
      <c r="AUV125" s="40"/>
      <c r="AUW125" s="24"/>
      <c r="AUX125" s="40"/>
      <c r="AUY125" s="24"/>
      <c r="AUZ125" s="40"/>
      <c r="AVA125" s="24"/>
      <c r="AVB125" s="40"/>
      <c r="AVC125" s="24"/>
      <c r="AVD125" s="40"/>
      <c r="AVE125" s="24"/>
      <c r="AVF125" s="40"/>
      <c r="AVG125" s="24"/>
      <c r="AVH125" s="40"/>
      <c r="AVI125" s="24"/>
      <c r="AVJ125" s="40"/>
      <c r="AVK125" s="24"/>
      <c r="AVL125" s="40"/>
      <c r="AVM125" s="24"/>
      <c r="AVN125" s="40"/>
      <c r="AVO125" s="24"/>
      <c r="AVP125" s="40"/>
      <c r="AVQ125" s="24"/>
      <c r="AVR125" s="40"/>
      <c r="AVS125" s="24"/>
      <c r="AVT125" s="40"/>
      <c r="AVU125" s="24"/>
      <c r="AVV125" s="40"/>
      <c r="AVW125" s="24"/>
      <c r="AVX125" s="40"/>
      <c r="AVY125" s="24"/>
      <c r="AVZ125" s="40"/>
      <c r="AWA125" s="24"/>
      <c r="AWB125" s="40"/>
      <c r="AWC125" s="24"/>
      <c r="AWD125" s="40"/>
      <c r="AWE125" s="24"/>
      <c r="AWF125" s="40"/>
      <c r="AWG125" s="24"/>
      <c r="AWH125" s="40"/>
      <c r="AWI125" s="24"/>
      <c r="AWJ125" s="40"/>
      <c r="AWK125" s="24"/>
      <c r="AWL125" s="40"/>
      <c r="AWM125" s="24"/>
      <c r="AWN125" s="40"/>
      <c r="AWO125" s="24"/>
      <c r="AWP125" s="40"/>
      <c r="AWQ125" s="24"/>
      <c r="AWR125" s="40"/>
      <c r="AWS125" s="24"/>
      <c r="AWT125" s="40"/>
      <c r="AWU125" s="24"/>
      <c r="AWV125" s="40"/>
      <c r="AWW125" s="24"/>
      <c r="AWX125" s="40"/>
      <c r="AWY125" s="24"/>
      <c r="AWZ125" s="40"/>
      <c r="AXA125" s="24"/>
      <c r="AXB125" s="40"/>
      <c r="AXC125" s="24"/>
      <c r="AXD125" s="40"/>
      <c r="AXE125" s="24"/>
      <c r="AXF125" s="40"/>
      <c r="AXG125" s="24"/>
      <c r="AXH125" s="40"/>
      <c r="AXI125" s="24"/>
      <c r="AXJ125" s="40"/>
      <c r="AXK125" s="24"/>
      <c r="AXL125" s="40"/>
      <c r="AXM125" s="24"/>
      <c r="AXN125" s="40"/>
      <c r="AXO125" s="24"/>
      <c r="AXP125" s="40"/>
      <c r="AXQ125" s="24"/>
      <c r="AXR125" s="40"/>
      <c r="AXS125" s="24"/>
      <c r="AXT125" s="40"/>
      <c r="AXU125" s="24"/>
      <c r="AXV125" s="40"/>
      <c r="AXW125" s="24"/>
      <c r="AXX125" s="40"/>
      <c r="AXY125" s="24"/>
      <c r="AXZ125" s="40"/>
      <c r="AYA125" s="24"/>
      <c r="AYB125" s="40"/>
      <c r="AYC125" s="24"/>
      <c r="AYD125" s="40"/>
      <c r="AYE125" s="24"/>
      <c r="AYF125" s="40"/>
      <c r="AYG125" s="24"/>
      <c r="AYH125" s="40"/>
      <c r="AYI125" s="24"/>
      <c r="AYJ125" s="40"/>
      <c r="AYK125" s="24"/>
      <c r="AYL125" s="40"/>
      <c r="AYM125" s="24"/>
      <c r="AYN125" s="40"/>
      <c r="AYO125" s="24"/>
      <c r="AYP125" s="40"/>
      <c r="AYQ125" s="24"/>
      <c r="AYR125" s="40"/>
      <c r="AYS125" s="24"/>
      <c r="AYT125" s="40"/>
      <c r="AYU125" s="24"/>
      <c r="AYV125" s="40"/>
      <c r="AYW125" s="24"/>
      <c r="AYX125" s="40"/>
      <c r="AYY125" s="24"/>
      <c r="AYZ125" s="40"/>
      <c r="AZA125" s="24"/>
      <c r="AZB125" s="40"/>
      <c r="AZC125" s="24"/>
      <c r="AZD125" s="40"/>
      <c r="AZE125" s="24"/>
      <c r="AZF125" s="40"/>
      <c r="AZG125" s="24"/>
      <c r="AZH125" s="40"/>
      <c r="AZI125" s="24"/>
      <c r="AZJ125" s="40"/>
      <c r="AZK125" s="24"/>
      <c r="AZL125" s="40"/>
      <c r="AZM125" s="24"/>
      <c r="AZN125" s="40"/>
      <c r="AZO125" s="24"/>
      <c r="AZP125" s="40"/>
      <c r="AZQ125" s="24"/>
      <c r="AZR125" s="40"/>
      <c r="AZS125" s="24"/>
      <c r="AZT125" s="40"/>
      <c r="AZU125" s="24"/>
      <c r="AZV125" s="40"/>
      <c r="AZW125" s="24"/>
      <c r="AZX125" s="40"/>
      <c r="AZY125" s="24"/>
      <c r="AZZ125" s="40"/>
      <c r="BAA125" s="24"/>
      <c r="BAB125" s="40"/>
      <c r="BAC125" s="24"/>
      <c r="BAD125" s="40"/>
      <c r="BAE125" s="24"/>
      <c r="BAF125" s="40"/>
      <c r="BAG125" s="24"/>
      <c r="BAH125" s="40"/>
      <c r="BAI125" s="24"/>
      <c r="BAJ125" s="40"/>
      <c r="BAK125" s="24"/>
      <c r="BAL125" s="40"/>
      <c r="BAM125" s="24"/>
      <c r="BAN125" s="40"/>
      <c r="BAO125" s="24"/>
      <c r="BAP125" s="40"/>
      <c r="BAQ125" s="24"/>
      <c r="BAR125" s="40"/>
      <c r="BAS125" s="24"/>
      <c r="BAT125" s="40"/>
      <c r="BAU125" s="24"/>
      <c r="BAV125" s="40"/>
      <c r="BAW125" s="24"/>
      <c r="BAX125" s="40"/>
      <c r="BAY125" s="24"/>
      <c r="BAZ125" s="40"/>
      <c r="BBA125" s="24"/>
      <c r="BBB125" s="40"/>
      <c r="BBC125" s="24"/>
      <c r="BBD125" s="40"/>
      <c r="BBE125" s="24"/>
      <c r="BBF125" s="40"/>
      <c r="BBG125" s="24"/>
      <c r="BBH125" s="40"/>
      <c r="BBI125" s="24"/>
      <c r="BBJ125" s="40"/>
      <c r="BBK125" s="24"/>
      <c r="BBL125" s="40"/>
      <c r="BBM125" s="24"/>
      <c r="BBN125" s="40"/>
      <c r="BBO125" s="24"/>
      <c r="BBP125" s="40"/>
      <c r="BBQ125" s="24"/>
      <c r="BBR125" s="40"/>
      <c r="BBS125" s="24"/>
      <c r="BBT125" s="40"/>
      <c r="BBU125" s="24"/>
      <c r="BBV125" s="40"/>
      <c r="BBW125" s="24"/>
      <c r="BBX125" s="40"/>
      <c r="BBY125" s="24"/>
      <c r="BBZ125" s="40"/>
      <c r="BCA125" s="24"/>
      <c r="BCB125" s="40"/>
      <c r="BCC125" s="24"/>
      <c r="BCD125" s="40"/>
      <c r="BCE125" s="24"/>
      <c r="BCF125" s="40"/>
      <c r="BCG125" s="24"/>
      <c r="BCH125" s="40"/>
      <c r="BCI125" s="24"/>
      <c r="BCJ125" s="40"/>
      <c r="BCK125" s="24"/>
      <c r="BCL125" s="40"/>
      <c r="BCM125" s="24"/>
      <c r="BCN125" s="40"/>
      <c r="BCO125" s="24"/>
      <c r="BCP125" s="40"/>
      <c r="BCQ125" s="24"/>
      <c r="BCR125" s="40"/>
      <c r="BCS125" s="24"/>
      <c r="BCT125" s="40"/>
      <c r="BCU125" s="24"/>
      <c r="BCV125" s="40"/>
      <c r="BCW125" s="24"/>
      <c r="BCX125" s="40"/>
      <c r="BCY125" s="24"/>
      <c r="BCZ125" s="40"/>
      <c r="BDA125" s="24"/>
      <c r="BDB125" s="40"/>
      <c r="BDC125" s="24"/>
      <c r="BDD125" s="40"/>
      <c r="BDE125" s="24"/>
      <c r="BDF125" s="40"/>
      <c r="BDG125" s="24"/>
      <c r="BDH125" s="40"/>
      <c r="BDI125" s="24"/>
      <c r="BDJ125" s="40"/>
      <c r="BDK125" s="24"/>
      <c r="BDL125" s="40"/>
      <c r="BDM125" s="24"/>
      <c r="BDN125" s="40"/>
      <c r="BDO125" s="24"/>
      <c r="BDP125" s="40"/>
      <c r="BDQ125" s="24"/>
      <c r="BDR125" s="40"/>
      <c r="BDS125" s="24"/>
      <c r="BDT125" s="40"/>
      <c r="BDU125" s="24"/>
      <c r="BDV125" s="40"/>
      <c r="BDW125" s="24"/>
      <c r="BDX125" s="40"/>
      <c r="BDY125" s="24"/>
      <c r="BDZ125" s="40"/>
      <c r="BEA125" s="24"/>
      <c r="BEB125" s="40"/>
      <c r="BEC125" s="24"/>
      <c r="BED125" s="40"/>
      <c r="BEE125" s="24"/>
      <c r="BEF125" s="40"/>
      <c r="BEG125" s="24"/>
      <c r="BEH125" s="40"/>
      <c r="BEI125" s="24"/>
      <c r="BEJ125" s="40"/>
      <c r="BEK125" s="24"/>
      <c r="BEL125" s="40"/>
      <c r="BEM125" s="24"/>
      <c r="BEN125" s="40"/>
      <c r="BEO125" s="24"/>
      <c r="BEP125" s="40"/>
      <c r="BEQ125" s="24"/>
      <c r="BER125" s="40"/>
      <c r="BES125" s="24"/>
      <c r="BET125" s="40"/>
      <c r="BEU125" s="24"/>
      <c r="BEV125" s="40"/>
      <c r="BEW125" s="24"/>
      <c r="BEX125" s="40"/>
      <c r="BEY125" s="24"/>
      <c r="BEZ125" s="40"/>
      <c r="BFA125" s="24"/>
      <c r="BFB125" s="40"/>
      <c r="BFC125" s="24"/>
      <c r="BFD125" s="40"/>
      <c r="BFE125" s="24"/>
      <c r="BFF125" s="40"/>
      <c r="BFG125" s="24"/>
      <c r="BFH125" s="40"/>
      <c r="BFI125" s="24"/>
      <c r="BFJ125" s="40"/>
      <c r="BFK125" s="24"/>
      <c r="BFL125" s="40"/>
      <c r="BFM125" s="24"/>
      <c r="BFN125" s="40"/>
      <c r="BFO125" s="24"/>
      <c r="BFP125" s="40"/>
      <c r="BFQ125" s="24"/>
      <c r="BFR125" s="40"/>
      <c r="BFS125" s="24"/>
      <c r="BFT125" s="40"/>
      <c r="BFU125" s="24"/>
      <c r="BFV125" s="40"/>
      <c r="BFW125" s="24"/>
      <c r="BFX125" s="40"/>
      <c r="BFY125" s="24"/>
      <c r="BFZ125" s="40"/>
      <c r="BGA125" s="24"/>
      <c r="BGB125" s="40"/>
      <c r="BGC125" s="24"/>
      <c r="BGD125" s="40"/>
      <c r="BGE125" s="24"/>
      <c r="BGF125" s="40"/>
      <c r="BGG125" s="24"/>
      <c r="BGH125" s="40"/>
      <c r="BGI125" s="24"/>
      <c r="BGJ125" s="40"/>
      <c r="BGK125" s="24"/>
      <c r="BGL125" s="40"/>
      <c r="BGM125" s="24"/>
      <c r="BGN125" s="40"/>
      <c r="BGO125" s="24"/>
      <c r="BGP125" s="40"/>
      <c r="BGQ125" s="24"/>
      <c r="BGR125" s="40"/>
      <c r="BGS125" s="24"/>
      <c r="BGT125" s="40"/>
      <c r="BGU125" s="24"/>
      <c r="BGV125" s="40"/>
      <c r="BGW125" s="24"/>
      <c r="BGX125" s="40"/>
      <c r="BGY125" s="24"/>
      <c r="BGZ125" s="40"/>
      <c r="BHA125" s="24"/>
      <c r="BHB125" s="40"/>
      <c r="BHC125" s="24"/>
      <c r="BHD125" s="40"/>
      <c r="BHE125" s="24"/>
      <c r="BHF125" s="40"/>
      <c r="BHG125" s="24"/>
      <c r="BHH125" s="40"/>
      <c r="BHI125" s="24"/>
      <c r="BHJ125" s="40"/>
      <c r="BHK125" s="24"/>
      <c r="BHL125" s="40"/>
      <c r="BHM125" s="24"/>
      <c r="BHN125" s="40"/>
      <c r="BHO125" s="24"/>
      <c r="BHP125" s="40"/>
      <c r="BHQ125" s="24"/>
      <c r="BHR125" s="40"/>
      <c r="BHS125" s="24"/>
      <c r="BHT125" s="40"/>
      <c r="BHU125" s="24"/>
      <c r="BHV125" s="40"/>
      <c r="BHW125" s="24"/>
      <c r="BHX125" s="40"/>
      <c r="BHY125" s="24"/>
      <c r="BHZ125" s="40"/>
      <c r="BIA125" s="24"/>
      <c r="BIB125" s="40"/>
      <c r="BIC125" s="24"/>
      <c r="BID125" s="40"/>
      <c r="BIE125" s="24"/>
      <c r="BIF125" s="40"/>
      <c r="BIG125" s="24"/>
      <c r="BIH125" s="40"/>
      <c r="BII125" s="24"/>
      <c r="BIJ125" s="40"/>
      <c r="BIK125" s="24"/>
      <c r="BIL125" s="40"/>
      <c r="BIM125" s="24"/>
      <c r="BIN125" s="40"/>
      <c r="BIO125" s="24"/>
      <c r="BIP125" s="40"/>
      <c r="BIQ125" s="24"/>
      <c r="BIR125" s="40"/>
      <c r="BIS125" s="24"/>
      <c r="BIT125" s="40"/>
      <c r="BIU125" s="24"/>
      <c r="BIV125" s="40"/>
      <c r="BIW125" s="24"/>
      <c r="BIX125" s="40"/>
      <c r="BIY125" s="24"/>
      <c r="BIZ125" s="40"/>
      <c r="BJA125" s="24"/>
      <c r="BJB125" s="40"/>
      <c r="BJC125" s="24"/>
      <c r="BJD125" s="40"/>
      <c r="BJE125" s="24"/>
      <c r="BJF125" s="40"/>
      <c r="BJG125" s="24"/>
      <c r="BJH125" s="40"/>
      <c r="BJI125" s="24"/>
      <c r="BJJ125" s="40"/>
      <c r="BJK125" s="24"/>
      <c r="BJL125" s="40"/>
      <c r="BJM125" s="24"/>
      <c r="BJN125" s="40"/>
      <c r="BJO125" s="24"/>
      <c r="BJP125" s="40"/>
      <c r="BJQ125" s="24"/>
      <c r="BJR125" s="40"/>
      <c r="BJS125" s="24"/>
      <c r="BJT125" s="40"/>
      <c r="BJU125" s="24"/>
      <c r="BJV125" s="40"/>
      <c r="BJW125" s="24"/>
      <c r="BJX125" s="40"/>
      <c r="BJY125" s="24"/>
      <c r="BJZ125" s="40"/>
      <c r="BKA125" s="24"/>
      <c r="BKB125" s="40"/>
      <c r="BKC125" s="24"/>
      <c r="BKD125" s="40"/>
      <c r="BKE125" s="24"/>
      <c r="BKF125" s="40"/>
      <c r="BKG125" s="24"/>
      <c r="BKH125" s="40"/>
      <c r="BKI125" s="24"/>
      <c r="BKJ125" s="40"/>
      <c r="BKK125" s="24"/>
      <c r="BKL125" s="40"/>
      <c r="BKM125" s="24"/>
      <c r="BKN125" s="40"/>
      <c r="BKO125" s="24"/>
      <c r="BKP125" s="40"/>
      <c r="BKQ125" s="24"/>
      <c r="BKR125" s="40"/>
      <c r="BKS125" s="24"/>
      <c r="BKT125" s="40"/>
      <c r="BKU125" s="24"/>
      <c r="BKV125" s="40"/>
      <c r="BKW125" s="24"/>
      <c r="BKX125" s="40"/>
      <c r="BKY125" s="24"/>
      <c r="BKZ125" s="40"/>
      <c r="BLA125" s="24"/>
      <c r="BLB125" s="40"/>
      <c r="BLC125" s="24"/>
      <c r="BLD125" s="40"/>
      <c r="BLE125" s="24"/>
      <c r="BLF125" s="40"/>
      <c r="BLG125" s="24"/>
      <c r="BLH125" s="40"/>
      <c r="BLI125" s="24"/>
      <c r="BLJ125" s="40"/>
      <c r="BLK125" s="24"/>
      <c r="BLL125" s="40"/>
      <c r="BLM125" s="24"/>
      <c r="BLN125" s="40"/>
      <c r="BLO125" s="24"/>
      <c r="BLP125" s="40"/>
      <c r="BLQ125" s="24"/>
      <c r="BLR125" s="40"/>
      <c r="BLS125" s="24"/>
      <c r="BLT125" s="40"/>
      <c r="BLU125" s="24"/>
      <c r="BLV125" s="40"/>
      <c r="BLW125" s="24"/>
      <c r="BLX125" s="40"/>
      <c r="BLY125" s="24"/>
      <c r="BLZ125" s="40"/>
      <c r="BMA125" s="24"/>
      <c r="BMB125" s="40"/>
      <c r="BMC125" s="24"/>
      <c r="BMD125" s="40"/>
      <c r="BME125" s="24"/>
      <c r="BMF125" s="40"/>
      <c r="BMG125" s="24"/>
      <c r="BMH125" s="40"/>
      <c r="BMI125" s="24"/>
      <c r="BMJ125" s="40"/>
      <c r="BMK125" s="24"/>
      <c r="BML125" s="40"/>
      <c r="BMM125" s="24"/>
      <c r="BMN125" s="40"/>
      <c r="BMO125" s="24"/>
      <c r="BMP125" s="40"/>
      <c r="BMQ125" s="24"/>
      <c r="BMR125" s="40"/>
      <c r="BMS125" s="24"/>
      <c r="BMT125" s="40"/>
      <c r="BMU125" s="24"/>
      <c r="BMV125" s="40"/>
      <c r="BMW125" s="24"/>
      <c r="BMX125" s="40"/>
      <c r="BMY125" s="24"/>
      <c r="BMZ125" s="40"/>
      <c r="BNA125" s="24"/>
      <c r="BNB125" s="40"/>
      <c r="BNC125" s="24"/>
      <c r="BND125" s="40"/>
      <c r="BNE125" s="24"/>
      <c r="BNF125" s="40"/>
      <c r="BNG125" s="24"/>
      <c r="BNH125" s="40"/>
      <c r="BNI125" s="24"/>
      <c r="BNJ125" s="40"/>
      <c r="BNK125" s="24"/>
      <c r="BNL125" s="40"/>
      <c r="BNM125" s="24"/>
      <c r="BNN125" s="40"/>
      <c r="BNO125" s="24"/>
      <c r="BNP125" s="40"/>
      <c r="BNQ125" s="24"/>
      <c r="BNR125" s="40"/>
      <c r="BNS125" s="24"/>
      <c r="BNT125" s="40"/>
      <c r="BNU125" s="24"/>
      <c r="BNV125" s="40"/>
      <c r="BNW125" s="24"/>
      <c r="BNX125" s="40"/>
      <c r="BNY125" s="24"/>
      <c r="BNZ125" s="40"/>
      <c r="BOA125" s="24"/>
      <c r="BOB125" s="40"/>
      <c r="BOC125" s="24"/>
      <c r="BOD125" s="40"/>
      <c r="BOE125" s="24"/>
      <c r="BOF125" s="40"/>
      <c r="BOG125" s="24"/>
      <c r="BOH125" s="40"/>
      <c r="BOI125" s="24"/>
      <c r="BOJ125" s="40"/>
      <c r="BOK125" s="24"/>
      <c r="BOL125" s="40"/>
      <c r="BOM125" s="24"/>
      <c r="BON125" s="40"/>
      <c r="BOO125" s="24"/>
      <c r="BOP125" s="40"/>
      <c r="BOQ125" s="24"/>
      <c r="BOR125" s="40"/>
      <c r="BOS125" s="24"/>
      <c r="BOT125" s="40"/>
      <c r="BOU125" s="24"/>
      <c r="BOV125" s="40"/>
      <c r="BOW125" s="24"/>
      <c r="BOX125" s="40"/>
      <c r="BOY125" s="24"/>
      <c r="BOZ125" s="40"/>
      <c r="BPA125" s="24"/>
      <c r="BPB125" s="40"/>
      <c r="BPC125" s="24"/>
      <c r="BPD125" s="40"/>
      <c r="BPE125" s="24"/>
      <c r="BPF125" s="40"/>
      <c r="BPG125" s="24"/>
      <c r="BPH125" s="40"/>
      <c r="BPI125" s="24"/>
      <c r="BPJ125" s="40"/>
      <c r="BPK125" s="24"/>
      <c r="BPL125" s="40"/>
      <c r="BPM125" s="24"/>
      <c r="BPN125" s="40"/>
      <c r="BPO125" s="24"/>
      <c r="BPP125" s="40"/>
      <c r="BPQ125" s="24"/>
      <c r="BPR125" s="40"/>
      <c r="BPS125" s="24"/>
      <c r="BPT125" s="40"/>
      <c r="BPU125" s="24"/>
      <c r="BPV125" s="40"/>
      <c r="BPW125" s="24"/>
      <c r="BPX125" s="40"/>
      <c r="BPY125" s="24"/>
      <c r="BPZ125" s="40"/>
      <c r="BQA125" s="24"/>
      <c r="BQB125" s="40"/>
      <c r="BQC125" s="24"/>
      <c r="BQD125" s="40"/>
      <c r="BQE125" s="24"/>
      <c r="BQF125" s="40"/>
      <c r="BQG125" s="24"/>
      <c r="BQH125" s="40"/>
      <c r="BQI125" s="24"/>
      <c r="BQJ125" s="40"/>
      <c r="BQK125" s="24"/>
      <c r="BQL125" s="40"/>
      <c r="BQM125" s="24"/>
      <c r="BQN125" s="40"/>
      <c r="BQO125" s="24"/>
      <c r="BQP125" s="40"/>
      <c r="BQQ125" s="24"/>
      <c r="BQR125" s="40"/>
      <c r="BQS125" s="24"/>
      <c r="BQT125" s="40"/>
      <c r="BQU125" s="24"/>
      <c r="BQV125" s="40"/>
      <c r="BQW125" s="24"/>
      <c r="BQX125" s="40"/>
      <c r="BQY125" s="24"/>
      <c r="BQZ125" s="40"/>
      <c r="BRA125" s="24"/>
      <c r="BRB125" s="40"/>
      <c r="BRC125" s="24"/>
      <c r="BRD125" s="40"/>
      <c r="BRE125" s="24"/>
      <c r="BRF125" s="40"/>
      <c r="BRG125" s="24"/>
      <c r="BRH125" s="40"/>
      <c r="BRI125" s="24"/>
      <c r="BRJ125" s="40"/>
      <c r="BRK125" s="24"/>
      <c r="BRL125" s="40"/>
      <c r="BRM125" s="24"/>
      <c r="BRN125" s="40"/>
      <c r="BRO125" s="24"/>
      <c r="BRP125" s="40"/>
      <c r="BRQ125" s="24"/>
      <c r="BRR125" s="40"/>
      <c r="BRS125" s="24"/>
      <c r="BRT125" s="40"/>
      <c r="BRU125" s="24"/>
      <c r="BRV125" s="40"/>
      <c r="BRW125" s="24"/>
      <c r="BRX125" s="40"/>
      <c r="BRY125" s="24"/>
      <c r="BRZ125" s="40"/>
      <c r="BSA125" s="24"/>
      <c r="BSB125" s="40"/>
      <c r="BSC125" s="24"/>
      <c r="BSD125" s="40"/>
      <c r="BSE125" s="24"/>
      <c r="BSF125" s="40"/>
      <c r="BSG125" s="24"/>
      <c r="BSH125" s="40"/>
      <c r="BSI125" s="24"/>
      <c r="BSJ125" s="40"/>
      <c r="BSK125" s="24"/>
      <c r="BSL125" s="40"/>
      <c r="BSM125" s="24"/>
      <c r="BSN125" s="40"/>
      <c r="BSO125" s="24"/>
      <c r="BSP125" s="40"/>
      <c r="BSQ125" s="24"/>
      <c r="BSR125" s="40"/>
      <c r="BSS125" s="24"/>
      <c r="BST125" s="40"/>
      <c r="BSU125" s="24"/>
      <c r="BSV125" s="40"/>
      <c r="BSW125" s="24"/>
      <c r="BSX125" s="40"/>
      <c r="BSY125" s="24"/>
      <c r="BSZ125" s="40"/>
      <c r="BTA125" s="24"/>
      <c r="BTB125" s="40"/>
      <c r="BTC125" s="24"/>
      <c r="BTD125" s="40"/>
      <c r="BTE125" s="24"/>
      <c r="BTF125" s="40"/>
      <c r="BTG125" s="24"/>
      <c r="BTH125" s="40"/>
      <c r="BTI125" s="24"/>
      <c r="BTJ125" s="40"/>
      <c r="BTK125" s="24"/>
      <c r="BTL125" s="40"/>
      <c r="BTM125" s="24"/>
      <c r="BTN125" s="40"/>
      <c r="BTO125" s="24"/>
      <c r="BTP125" s="40"/>
      <c r="BTQ125" s="24"/>
      <c r="BTR125" s="40"/>
      <c r="BTS125" s="24"/>
      <c r="BTT125" s="40"/>
      <c r="BTU125" s="24"/>
      <c r="BTV125" s="40"/>
      <c r="BTW125" s="24"/>
      <c r="BTX125" s="40"/>
      <c r="BTY125" s="24"/>
      <c r="BTZ125" s="40"/>
      <c r="BUA125" s="24"/>
      <c r="BUB125" s="40"/>
      <c r="BUC125" s="24"/>
      <c r="BUD125" s="40"/>
      <c r="BUE125" s="24"/>
      <c r="BUF125" s="40"/>
      <c r="BUG125" s="24"/>
      <c r="BUH125" s="40"/>
      <c r="BUI125" s="24"/>
      <c r="BUJ125" s="40"/>
      <c r="BUK125" s="24"/>
      <c r="BUL125" s="40"/>
      <c r="BUM125" s="24"/>
      <c r="BUN125" s="40"/>
      <c r="BUO125" s="24"/>
      <c r="BUP125" s="40"/>
      <c r="BUQ125" s="24"/>
      <c r="BUR125" s="40"/>
      <c r="BUS125" s="24"/>
      <c r="BUT125" s="40"/>
      <c r="BUU125" s="24"/>
      <c r="BUV125" s="40"/>
      <c r="BUW125" s="24"/>
      <c r="BUX125" s="40"/>
      <c r="BUY125" s="24"/>
      <c r="BUZ125" s="40"/>
      <c r="BVA125" s="24"/>
      <c r="BVB125" s="40"/>
      <c r="BVC125" s="24"/>
      <c r="BVD125" s="40"/>
      <c r="BVE125" s="24"/>
      <c r="BVF125" s="40"/>
      <c r="BVG125" s="24"/>
      <c r="BVH125" s="40"/>
      <c r="BVI125" s="24"/>
      <c r="BVJ125" s="40"/>
      <c r="BVK125" s="24"/>
      <c r="BVL125" s="40"/>
      <c r="BVM125" s="24"/>
      <c r="BVN125" s="40"/>
      <c r="BVO125" s="24"/>
      <c r="BVP125" s="40"/>
      <c r="BVQ125" s="24"/>
      <c r="BVR125" s="40"/>
      <c r="BVS125" s="24"/>
      <c r="BVT125" s="40"/>
      <c r="BVU125" s="24"/>
      <c r="BVV125" s="40"/>
      <c r="BVW125" s="24"/>
      <c r="BVX125" s="40"/>
      <c r="BVY125" s="24"/>
      <c r="BVZ125" s="40"/>
      <c r="BWA125" s="24"/>
      <c r="BWB125" s="40"/>
      <c r="BWC125" s="24"/>
      <c r="BWD125" s="40"/>
      <c r="BWE125" s="24"/>
      <c r="BWF125" s="40"/>
      <c r="BWG125" s="24"/>
      <c r="BWH125" s="40"/>
      <c r="BWI125" s="24"/>
      <c r="BWJ125" s="40"/>
      <c r="BWK125" s="24"/>
      <c r="BWL125" s="40"/>
      <c r="BWM125" s="24"/>
      <c r="BWN125" s="40"/>
      <c r="BWO125" s="24"/>
      <c r="BWP125" s="40"/>
      <c r="BWQ125" s="24"/>
      <c r="BWR125" s="40"/>
      <c r="BWS125" s="24"/>
      <c r="BWT125" s="40"/>
      <c r="BWU125" s="24"/>
      <c r="BWV125" s="40"/>
      <c r="BWW125" s="24"/>
      <c r="BWX125" s="40"/>
      <c r="BWY125" s="24"/>
      <c r="BWZ125" s="40"/>
      <c r="BXA125" s="24"/>
      <c r="BXB125" s="40"/>
      <c r="BXC125" s="24"/>
      <c r="BXD125" s="40"/>
      <c r="BXE125" s="24"/>
      <c r="BXF125" s="40"/>
      <c r="BXG125" s="24"/>
      <c r="BXH125" s="40"/>
      <c r="BXI125" s="24"/>
      <c r="BXJ125" s="40"/>
      <c r="BXK125" s="24"/>
      <c r="BXL125" s="40"/>
      <c r="BXM125" s="24"/>
      <c r="BXN125" s="40"/>
      <c r="BXO125" s="24"/>
      <c r="BXP125" s="40"/>
      <c r="BXQ125" s="24"/>
      <c r="BXR125" s="40"/>
      <c r="BXS125" s="24"/>
      <c r="BXT125" s="40"/>
      <c r="BXU125" s="24"/>
      <c r="BXV125" s="40"/>
      <c r="BXW125" s="24"/>
      <c r="BXX125" s="40"/>
      <c r="BXY125" s="24"/>
      <c r="BXZ125" s="40"/>
      <c r="BYA125" s="24"/>
      <c r="BYB125" s="40"/>
      <c r="BYC125" s="24"/>
      <c r="BYD125" s="40"/>
      <c r="BYE125" s="24"/>
      <c r="BYF125" s="40"/>
      <c r="BYG125" s="24"/>
      <c r="BYH125" s="40"/>
      <c r="BYI125" s="24"/>
      <c r="BYJ125" s="40"/>
      <c r="BYK125" s="24"/>
      <c r="BYL125" s="40"/>
      <c r="BYM125" s="24"/>
      <c r="BYN125" s="40"/>
      <c r="BYO125" s="24"/>
      <c r="BYP125" s="40"/>
      <c r="BYQ125" s="24"/>
      <c r="BYR125" s="40"/>
      <c r="BYS125" s="24"/>
      <c r="BYT125" s="40"/>
      <c r="BYU125" s="24"/>
      <c r="BYV125" s="40"/>
      <c r="BYW125" s="24"/>
      <c r="BYX125" s="40"/>
      <c r="BYY125" s="24"/>
      <c r="BYZ125" s="40"/>
      <c r="BZA125" s="24"/>
      <c r="BZB125" s="40"/>
      <c r="BZC125" s="24"/>
      <c r="BZD125" s="40"/>
      <c r="BZE125" s="24"/>
      <c r="BZF125" s="40"/>
      <c r="BZG125" s="24"/>
      <c r="BZH125" s="40"/>
      <c r="BZI125" s="24"/>
      <c r="BZJ125" s="40"/>
      <c r="BZK125" s="24"/>
      <c r="BZL125" s="40"/>
      <c r="BZM125" s="24"/>
      <c r="BZN125" s="40"/>
      <c r="BZO125" s="24"/>
      <c r="BZP125" s="40"/>
      <c r="BZQ125" s="24"/>
      <c r="BZR125" s="40"/>
      <c r="BZS125" s="24"/>
      <c r="BZT125" s="40"/>
      <c r="BZU125" s="24"/>
      <c r="BZV125" s="40"/>
      <c r="BZW125" s="24"/>
      <c r="BZX125" s="40"/>
      <c r="BZY125" s="24"/>
      <c r="BZZ125" s="40"/>
      <c r="CAA125" s="24"/>
      <c r="CAB125" s="40"/>
      <c r="CAC125" s="24"/>
      <c r="CAD125" s="40"/>
      <c r="CAE125" s="24"/>
      <c r="CAF125" s="40"/>
      <c r="CAG125" s="24"/>
      <c r="CAH125" s="40"/>
      <c r="CAI125" s="24"/>
      <c r="CAJ125" s="40"/>
      <c r="CAK125" s="24"/>
      <c r="CAL125" s="40"/>
      <c r="CAM125" s="24"/>
      <c r="CAN125" s="40"/>
      <c r="CAO125" s="24"/>
      <c r="CAP125" s="40"/>
      <c r="CAQ125" s="24"/>
      <c r="CAR125" s="40"/>
      <c r="CAS125" s="24"/>
      <c r="CAT125" s="40"/>
      <c r="CAU125" s="24"/>
      <c r="CAV125" s="40"/>
      <c r="CAW125" s="24"/>
      <c r="CAX125" s="40"/>
      <c r="CAY125" s="24"/>
      <c r="CAZ125" s="40"/>
      <c r="CBA125" s="24"/>
      <c r="CBB125" s="40"/>
      <c r="CBC125" s="24"/>
      <c r="CBD125" s="40"/>
      <c r="CBE125" s="24"/>
      <c r="CBF125" s="40"/>
      <c r="CBG125" s="24"/>
      <c r="CBH125" s="40"/>
      <c r="CBI125" s="24"/>
      <c r="CBJ125" s="40"/>
      <c r="CBK125" s="24"/>
      <c r="CBL125" s="40"/>
      <c r="CBM125" s="24"/>
      <c r="CBN125" s="40"/>
      <c r="CBO125" s="24"/>
      <c r="CBP125" s="40"/>
      <c r="CBQ125" s="24"/>
      <c r="CBR125" s="40"/>
      <c r="CBS125" s="24"/>
      <c r="CBT125" s="40"/>
      <c r="CBU125" s="24"/>
      <c r="CBV125" s="40"/>
      <c r="CBW125" s="24"/>
      <c r="CBX125" s="40"/>
      <c r="CBY125" s="24"/>
      <c r="CBZ125" s="40"/>
      <c r="CCA125" s="24"/>
      <c r="CCB125" s="40"/>
      <c r="CCC125" s="24"/>
      <c r="CCD125" s="40"/>
      <c r="CCE125" s="24"/>
      <c r="CCF125" s="40"/>
      <c r="CCG125" s="24"/>
      <c r="CCH125" s="40"/>
      <c r="CCI125" s="24"/>
      <c r="CCJ125" s="40"/>
      <c r="CCK125" s="24"/>
      <c r="CCL125" s="40"/>
      <c r="CCM125" s="24"/>
      <c r="CCN125" s="40"/>
      <c r="CCO125" s="24"/>
      <c r="CCP125" s="40"/>
      <c r="CCQ125" s="24"/>
      <c r="CCR125" s="40"/>
      <c r="CCS125" s="24"/>
      <c r="CCT125" s="40"/>
      <c r="CCU125" s="24"/>
      <c r="CCV125" s="40"/>
      <c r="CCW125" s="24"/>
      <c r="CCX125" s="40"/>
      <c r="CCY125" s="24"/>
      <c r="CCZ125" s="40"/>
      <c r="CDA125" s="24"/>
      <c r="CDB125" s="40"/>
      <c r="CDC125" s="24"/>
      <c r="CDD125" s="40"/>
      <c r="CDE125" s="24"/>
      <c r="CDF125" s="40"/>
      <c r="CDG125" s="24"/>
      <c r="CDH125" s="40"/>
      <c r="CDI125" s="24"/>
      <c r="CDJ125" s="40"/>
      <c r="CDK125" s="24"/>
      <c r="CDL125" s="40"/>
      <c r="CDM125" s="24"/>
      <c r="CDN125" s="40"/>
      <c r="CDO125" s="24"/>
      <c r="CDP125" s="40"/>
      <c r="CDQ125" s="24"/>
      <c r="CDR125" s="40"/>
      <c r="CDS125" s="24"/>
      <c r="CDT125" s="40"/>
      <c r="CDU125" s="24"/>
      <c r="CDV125" s="40"/>
      <c r="CDW125" s="24"/>
      <c r="CDX125" s="40"/>
      <c r="CDY125" s="24"/>
      <c r="CDZ125" s="40"/>
      <c r="CEA125" s="24"/>
      <c r="CEB125" s="40"/>
      <c r="CEC125" s="24"/>
      <c r="CED125" s="40"/>
      <c r="CEE125" s="24"/>
      <c r="CEF125" s="40"/>
      <c r="CEG125" s="24"/>
      <c r="CEH125" s="40"/>
      <c r="CEI125" s="24"/>
      <c r="CEJ125" s="40"/>
      <c r="CEK125" s="24"/>
      <c r="CEL125" s="40"/>
      <c r="CEM125" s="24"/>
      <c r="CEN125" s="40"/>
      <c r="CEO125" s="24"/>
      <c r="CEP125" s="40"/>
      <c r="CEQ125" s="24"/>
      <c r="CER125" s="40"/>
      <c r="CES125" s="24"/>
      <c r="CET125" s="40"/>
      <c r="CEU125" s="24"/>
      <c r="CEV125" s="40"/>
      <c r="CEW125" s="24"/>
      <c r="CEX125" s="40"/>
      <c r="CEY125" s="24"/>
      <c r="CEZ125" s="40"/>
      <c r="CFA125" s="24"/>
      <c r="CFB125" s="40"/>
      <c r="CFC125" s="24"/>
      <c r="CFD125" s="40"/>
      <c r="CFE125" s="24"/>
      <c r="CFF125" s="40"/>
      <c r="CFG125" s="24"/>
      <c r="CFH125" s="40"/>
      <c r="CFI125" s="24"/>
      <c r="CFJ125" s="40"/>
      <c r="CFK125" s="24"/>
      <c r="CFL125" s="40"/>
      <c r="CFM125" s="24"/>
      <c r="CFN125" s="40"/>
      <c r="CFO125" s="24"/>
      <c r="CFP125" s="40"/>
      <c r="CFQ125" s="24"/>
      <c r="CFR125" s="40"/>
      <c r="CFS125" s="24"/>
      <c r="CFT125" s="40"/>
      <c r="CFU125" s="24"/>
      <c r="CFV125" s="40"/>
      <c r="CFW125" s="24"/>
      <c r="CFX125" s="40"/>
      <c r="CFY125" s="24"/>
      <c r="CFZ125" s="40"/>
      <c r="CGA125" s="24"/>
      <c r="CGB125" s="40"/>
      <c r="CGC125" s="24"/>
      <c r="CGD125" s="40"/>
      <c r="CGE125" s="24"/>
      <c r="CGF125" s="40"/>
      <c r="CGG125" s="24"/>
      <c r="CGH125" s="40"/>
      <c r="CGI125" s="24"/>
      <c r="CGJ125" s="40"/>
      <c r="CGK125" s="24"/>
      <c r="CGL125" s="40"/>
      <c r="CGM125" s="24"/>
      <c r="CGN125" s="40"/>
      <c r="CGO125" s="24"/>
      <c r="CGP125" s="40"/>
      <c r="CGQ125" s="24"/>
      <c r="CGR125" s="40"/>
      <c r="CGS125" s="24"/>
      <c r="CGT125" s="40"/>
      <c r="CGU125" s="24"/>
      <c r="CGV125" s="40"/>
      <c r="CGW125" s="24"/>
      <c r="CGX125" s="40"/>
      <c r="CGY125" s="24"/>
      <c r="CGZ125" s="40"/>
      <c r="CHA125" s="24"/>
      <c r="CHB125" s="40"/>
      <c r="CHC125" s="24"/>
      <c r="CHD125" s="40"/>
      <c r="CHE125" s="24"/>
      <c r="CHF125" s="40"/>
      <c r="CHG125" s="24"/>
      <c r="CHH125" s="40"/>
      <c r="CHI125" s="24"/>
      <c r="CHJ125" s="40"/>
      <c r="CHK125" s="24"/>
      <c r="CHL125" s="40"/>
      <c r="CHM125" s="24"/>
      <c r="CHN125" s="40"/>
      <c r="CHO125" s="24"/>
      <c r="CHP125" s="40"/>
      <c r="CHQ125" s="24"/>
      <c r="CHR125" s="40"/>
      <c r="CHS125" s="24"/>
      <c r="CHT125" s="40"/>
      <c r="CHU125" s="24"/>
      <c r="CHV125" s="40"/>
      <c r="CHW125" s="24"/>
      <c r="CHX125" s="40"/>
      <c r="CHY125" s="24"/>
      <c r="CHZ125" s="40"/>
      <c r="CIA125" s="24"/>
      <c r="CIB125" s="40"/>
      <c r="CIC125" s="24"/>
      <c r="CID125" s="40"/>
      <c r="CIE125" s="24"/>
      <c r="CIF125" s="40"/>
      <c r="CIG125" s="24"/>
      <c r="CIH125" s="40"/>
      <c r="CII125" s="24"/>
      <c r="CIJ125" s="40"/>
      <c r="CIK125" s="24"/>
      <c r="CIL125" s="40"/>
      <c r="CIM125" s="24"/>
      <c r="CIN125" s="40"/>
      <c r="CIO125" s="24"/>
      <c r="CIP125" s="40"/>
      <c r="CIQ125" s="24"/>
      <c r="CIR125" s="40"/>
      <c r="CIS125" s="24"/>
      <c r="CIT125" s="40"/>
      <c r="CIU125" s="24"/>
      <c r="CIV125" s="40"/>
      <c r="CIW125" s="24"/>
      <c r="CIX125" s="40"/>
      <c r="CIY125" s="24"/>
      <c r="CIZ125" s="40"/>
      <c r="CJA125" s="24"/>
      <c r="CJB125" s="40"/>
      <c r="CJC125" s="24"/>
      <c r="CJD125" s="40"/>
      <c r="CJE125" s="24"/>
      <c r="CJF125" s="40"/>
      <c r="CJG125" s="24"/>
      <c r="CJH125" s="40"/>
      <c r="CJI125" s="24"/>
      <c r="CJJ125" s="40"/>
      <c r="CJK125" s="24"/>
      <c r="CJL125" s="40"/>
      <c r="CJM125" s="24"/>
      <c r="CJN125" s="40"/>
      <c r="CJO125" s="24"/>
      <c r="CJP125" s="40"/>
      <c r="CJQ125" s="24"/>
      <c r="CJR125" s="40"/>
      <c r="CJS125" s="24"/>
      <c r="CJT125" s="40"/>
      <c r="CJU125" s="24"/>
      <c r="CJV125" s="40"/>
      <c r="CJW125" s="24"/>
      <c r="CJX125" s="40"/>
      <c r="CJY125" s="24"/>
      <c r="CJZ125" s="40"/>
      <c r="CKA125" s="24"/>
      <c r="CKB125" s="40"/>
      <c r="CKC125" s="24"/>
      <c r="CKD125" s="40"/>
      <c r="CKE125" s="24"/>
      <c r="CKF125" s="40"/>
      <c r="CKG125" s="24"/>
      <c r="CKH125" s="40"/>
      <c r="CKI125" s="24"/>
      <c r="CKJ125" s="40"/>
      <c r="CKK125" s="24"/>
      <c r="CKL125" s="40"/>
      <c r="CKM125" s="24"/>
      <c r="CKN125" s="40"/>
      <c r="CKO125" s="24"/>
      <c r="CKP125" s="40"/>
      <c r="CKQ125" s="24"/>
      <c r="CKR125" s="40"/>
      <c r="CKS125" s="24"/>
      <c r="CKT125" s="40"/>
      <c r="CKU125" s="24"/>
      <c r="CKV125" s="40"/>
      <c r="CKW125" s="24"/>
      <c r="CKX125" s="40"/>
      <c r="CKY125" s="24"/>
      <c r="CKZ125" s="40"/>
      <c r="CLA125" s="24"/>
      <c r="CLB125" s="40"/>
      <c r="CLC125" s="24"/>
      <c r="CLD125" s="40"/>
      <c r="CLE125" s="24"/>
      <c r="CLF125" s="40"/>
      <c r="CLG125" s="24"/>
      <c r="CLH125" s="40"/>
      <c r="CLI125" s="24"/>
      <c r="CLJ125" s="40"/>
      <c r="CLK125" s="24"/>
      <c r="CLL125" s="40"/>
      <c r="CLM125" s="24"/>
      <c r="CLN125" s="40"/>
      <c r="CLO125" s="24"/>
      <c r="CLP125" s="40"/>
      <c r="CLQ125" s="24"/>
      <c r="CLR125" s="40"/>
      <c r="CLS125" s="24"/>
      <c r="CLT125" s="40"/>
      <c r="CLU125" s="24"/>
      <c r="CLV125" s="40"/>
      <c r="CLW125" s="24"/>
      <c r="CLX125" s="40"/>
      <c r="CLY125" s="24"/>
      <c r="CLZ125" s="40"/>
      <c r="CMA125" s="24"/>
      <c r="CMB125" s="40"/>
      <c r="CMC125" s="24"/>
      <c r="CMD125" s="40"/>
      <c r="CME125" s="24"/>
      <c r="CMF125" s="40"/>
      <c r="CMG125" s="24"/>
      <c r="CMH125" s="40"/>
      <c r="CMI125" s="24"/>
      <c r="CMJ125" s="40"/>
      <c r="CMK125" s="24"/>
      <c r="CML125" s="40"/>
      <c r="CMM125" s="24"/>
      <c r="CMN125" s="40"/>
      <c r="CMO125" s="24"/>
      <c r="CMP125" s="40"/>
      <c r="CMQ125" s="24"/>
      <c r="CMR125" s="40"/>
      <c r="CMS125" s="24"/>
      <c r="CMT125" s="40"/>
      <c r="CMU125" s="24"/>
      <c r="CMV125" s="40"/>
      <c r="CMW125" s="24"/>
      <c r="CMX125" s="40"/>
      <c r="CMY125" s="24"/>
      <c r="CMZ125" s="40"/>
      <c r="CNA125" s="24"/>
      <c r="CNB125" s="40"/>
      <c r="CNC125" s="24"/>
      <c r="CND125" s="40"/>
      <c r="CNE125" s="24"/>
      <c r="CNF125" s="40"/>
      <c r="CNG125" s="24"/>
      <c r="CNH125" s="40"/>
      <c r="CNI125" s="24"/>
      <c r="CNJ125" s="40"/>
      <c r="CNK125" s="24"/>
      <c r="CNL125" s="40"/>
      <c r="CNM125" s="24"/>
      <c r="CNN125" s="40"/>
      <c r="CNO125" s="24"/>
      <c r="CNP125" s="40"/>
      <c r="CNQ125" s="24"/>
      <c r="CNR125" s="40"/>
      <c r="CNS125" s="24"/>
      <c r="CNT125" s="40"/>
      <c r="CNU125" s="24"/>
      <c r="CNV125" s="40"/>
      <c r="CNW125" s="24"/>
      <c r="CNX125" s="40"/>
      <c r="CNY125" s="24"/>
      <c r="CNZ125" s="40"/>
      <c r="COA125" s="24"/>
      <c r="COB125" s="40"/>
      <c r="COC125" s="24"/>
      <c r="COD125" s="40"/>
      <c r="COE125" s="24"/>
      <c r="COF125" s="40"/>
      <c r="COG125" s="24"/>
      <c r="COH125" s="40"/>
      <c r="COI125" s="24"/>
      <c r="COJ125" s="40"/>
      <c r="COK125" s="24"/>
      <c r="COL125" s="40"/>
      <c r="COM125" s="24"/>
      <c r="CON125" s="40"/>
      <c r="COO125" s="24"/>
      <c r="COP125" s="40"/>
      <c r="COQ125" s="24"/>
      <c r="COR125" s="40"/>
      <c r="COS125" s="24"/>
      <c r="COT125" s="40"/>
      <c r="COU125" s="24"/>
      <c r="COV125" s="40"/>
      <c r="COW125" s="24"/>
      <c r="COX125" s="40"/>
      <c r="COY125" s="24"/>
      <c r="COZ125" s="40"/>
      <c r="CPA125" s="24"/>
      <c r="CPB125" s="40"/>
      <c r="CPC125" s="24"/>
      <c r="CPD125" s="40"/>
      <c r="CPE125" s="24"/>
      <c r="CPF125" s="40"/>
      <c r="CPG125" s="24"/>
      <c r="CPH125" s="40"/>
      <c r="CPI125" s="24"/>
      <c r="CPJ125" s="40"/>
      <c r="CPK125" s="24"/>
      <c r="CPL125" s="40"/>
      <c r="CPM125" s="24"/>
      <c r="CPN125" s="40"/>
      <c r="CPO125" s="24"/>
      <c r="CPP125" s="40"/>
      <c r="CPQ125" s="24"/>
      <c r="CPR125" s="40"/>
      <c r="CPS125" s="24"/>
      <c r="CPT125" s="40"/>
      <c r="CPU125" s="24"/>
      <c r="CPV125" s="40"/>
      <c r="CPW125" s="24"/>
      <c r="CPX125" s="40"/>
      <c r="CPY125" s="24"/>
      <c r="CPZ125" s="40"/>
      <c r="CQA125" s="24"/>
      <c r="CQB125" s="40"/>
      <c r="CQC125" s="24"/>
      <c r="CQD125" s="40"/>
      <c r="CQE125" s="24"/>
      <c r="CQF125" s="40"/>
      <c r="CQG125" s="24"/>
      <c r="CQH125" s="40"/>
      <c r="CQI125" s="24"/>
      <c r="CQJ125" s="40"/>
      <c r="CQK125" s="24"/>
      <c r="CQL125" s="40"/>
      <c r="CQM125" s="24"/>
      <c r="CQN125" s="40"/>
      <c r="CQO125" s="24"/>
      <c r="CQP125" s="40"/>
      <c r="CQQ125" s="24"/>
      <c r="CQR125" s="40"/>
      <c r="CQS125" s="24"/>
      <c r="CQT125" s="40"/>
      <c r="CQU125" s="24"/>
      <c r="CQV125" s="40"/>
      <c r="CQW125" s="24"/>
      <c r="CQX125" s="40"/>
      <c r="CQY125" s="24"/>
      <c r="CQZ125" s="40"/>
      <c r="CRA125" s="24"/>
      <c r="CRB125" s="40"/>
      <c r="CRC125" s="24"/>
      <c r="CRD125" s="40"/>
      <c r="CRE125" s="24"/>
      <c r="CRF125" s="40"/>
      <c r="CRG125" s="24"/>
      <c r="CRH125" s="40"/>
      <c r="CRI125" s="24"/>
      <c r="CRJ125" s="40"/>
      <c r="CRK125" s="24"/>
      <c r="CRL125" s="40"/>
      <c r="CRM125" s="24"/>
      <c r="CRN125" s="40"/>
      <c r="CRO125" s="24"/>
      <c r="CRP125" s="40"/>
      <c r="CRQ125" s="24"/>
      <c r="CRR125" s="40"/>
      <c r="CRS125" s="24"/>
      <c r="CRT125" s="40"/>
      <c r="CRU125" s="24"/>
      <c r="CRV125" s="40"/>
      <c r="CRW125" s="24"/>
      <c r="CRX125" s="40"/>
      <c r="CRY125" s="24"/>
      <c r="CRZ125" s="40"/>
      <c r="CSA125" s="24"/>
      <c r="CSB125" s="40"/>
      <c r="CSC125" s="24"/>
      <c r="CSD125" s="40"/>
      <c r="CSE125" s="24"/>
      <c r="CSF125" s="40"/>
      <c r="CSG125" s="24"/>
      <c r="CSH125" s="40"/>
      <c r="CSI125" s="24"/>
      <c r="CSJ125" s="40"/>
      <c r="CSK125" s="24"/>
      <c r="CSL125" s="40"/>
      <c r="CSM125" s="24"/>
      <c r="CSN125" s="40"/>
      <c r="CSO125" s="24"/>
      <c r="CSP125" s="40"/>
      <c r="CSQ125" s="24"/>
      <c r="CSR125" s="40"/>
      <c r="CSS125" s="24"/>
      <c r="CST125" s="40"/>
      <c r="CSU125" s="24"/>
      <c r="CSV125" s="40"/>
      <c r="CSW125" s="24"/>
      <c r="CSX125" s="40"/>
      <c r="CSY125" s="24"/>
      <c r="CSZ125" s="40"/>
      <c r="CTA125" s="24"/>
      <c r="CTB125" s="40"/>
      <c r="CTC125" s="24"/>
      <c r="CTD125" s="40"/>
      <c r="CTE125" s="24"/>
      <c r="CTF125" s="40"/>
      <c r="CTG125" s="24"/>
      <c r="CTH125" s="40"/>
      <c r="CTI125" s="24"/>
      <c r="CTJ125" s="40"/>
      <c r="CTK125" s="24"/>
      <c r="CTL125" s="40"/>
      <c r="CTM125" s="24"/>
      <c r="CTN125" s="40"/>
      <c r="CTO125" s="24"/>
      <c r="CTP125" s="40"/>
      <c r="CTQ125" s="24"/>
      <c r="CTR125" s="40"/>
      <c r="CTS125" s="24"/>
      <c r="CTT125" s="40"/>
      <c r="CTU125" s="24"/>
      <c r="CTV125" s="40"/>
      <c r="CTW125" s="24"/>
      <c r="CTX125" s="40"/>
      <c r="CTY125" s="24"/>
      <c r="CTZ125" s="40"/>
      <c r="CUA125" s="24"/>
      <c r="CUB125" s="40"/>
      <c r="CUC125" s="24"/>
      <c r="CUD125" s="40"/>
      <c r="CUE125" s="24"/>
      <c r="CUF125" s="40"/>
      <c r="CUG125" s="24"/>
      <c r="CUH125" s="40"/>
      <c r="CUI125" s="24"/>
      <c r="CUJ125" s="40"/>
      <c r="CUK125" s="24"/>
      <c r="CUL125" s="40"/>
      <c r="CUM125" s="24"/>
      <c r="CUN125" s="40"/>
      <c r="CUO125" s="24"/>
      <c r="CUP125" s="40"/>
      <c r="CUQ125" s="24"/>
      <c r="CUR125" s="40"/>
      <c r="CUS125" s="24"/>
      <c r="CUT125" s="40"/>
      <c r="CUU125" s="24"/>
      <c r="CUV125" s="40"/>
      <c r="CUW125" s="24"/>
      <c r="CUX125" s="40"/>
      <c r="CUY125" s="24"/>
      <c r="CUZ125" s="40"/>
      <c r="CVA125" s="24"/>
      <c r="CVB125" s="40"/>
      <c r="CVC125" s="24"/>
      <c r="CVD125" s="40"/>
      <c r="CVE125" s="24"/>
      <c r="CVF125" s="40"/>
      <c r="CVG125" s="24"/>
      <c r="CVH125" s="40"/>
      <c r="CVI125" s="24"/>
      <c r="CVJ125" s="40"/>
      <c r="CVK125" s="24"/>
      <c r="CVL125" s="40"/>
      <c r="CVM125" s="24"/>
      <c r="CVN125" s="40"/>
      <c r="CVO125" s="24"/>
      <c r="CVP125" s="40"/>
      <c r="CVQ125" s="24"/>
      <c r="CVR125" s="40"/>
      <c r="CVS125" s="24"/>
      <c r="CVT125" s="40"/>
      <c r="CVU125" s="24"/>
      <c r="CVV125" s="40"/>
      <c r="CVW125" s="24"/>
      <c r="CVX125" s="40"/>
      <c r="CVY125" s="24"/>
      <c r="CVZ125" s="40"/>
      <c r="CWA125" s="24"/>
      <c r="CWB125" s="40"/>
      <c r="CWC125" s="24"/>
      <c r="CWD125" s="40"/>
      <c r="CWE125" s="24"/>
      <c r="CWF125" s="40"/>
      <c r="CWG125" s="24"/>
      <c r="CWH125" s="40"/>
      <c r="CWI125" s="24"/>
      <c r="CWJ125" s="40"/>
      <c r="CWK125" s="24"/>
      <c r="CWL125" s="40"/>
      <c r="CWM125" s="24"/>
      <c r="CWN125" s="40"/>
      <c r="CWO125" s="24"/>
      <c r="CWP125" s="40"/>
      <c r="CWQ125" s="24"/>
      <c r="CWR125" s="40"/>
      <c r="CWS125" s="24"/>
      <c r="CWT125" s="40"/>
      <c r="CWU125" s="24"/>
      <c r="CWV125" s="40"/>
      <c r="CWW125" s="24"/>
      <c r="CWX125" s="40"/>
      <c r="CWY125" s="24"/>
      <c r="CWZ125" s="40"/>
      <c r="CXA125" s="24"/>
      <c r="CXB125" s="40"/>
      <c r="CXC125" s="24"/>
      <c r="CXD125" s="40"/>
      <c r="CXE125" s="24"/>
      <c r="CXF125" s="40"/>
      <c r="CXG125" s="24"/>
      <c r="CXH125" s="40"/>
      <c r="CXI125" s="24"/>
      <c r="CXJ125" s="40"/>
      <c r="CXK125" s="24"/>
      <c r="CXL125" s="40"/>
      <c r="CXM125" s="24"/>
      <c r="CXN125" s="40"/>
      <c r="CXO125" s="24"/>
      <c r="CXP125" s="40"/>
      <c r="CXQ125" s="24"/>
      <c r="CXR125" s="40"/>
      <c r="CXS125" s="24"/>
      <c r="CXT125" s="40"/>
      <c r="CXU125" s="24"/>
      <c r="CXV125" s="40"/>
      <c r="CXW125" s="24"/>
      <c r="CXX125" s="40"/>
      <c r="CXY125" s="24"/>
      <c r="CXZ125" s="40"/>
      <c r="CYA125" s="24"/>
      <c r="CYB125" s="40"/>
      <c r="CYC125" s="24"/>
      <c r="CYD125" s="40"/>
      <c r="CYE125" s="24"/>
      <c r="CYF125" s="40"/>
      <c r="CYG125" s="24"/>
      <c r="CYH125" s="40"/>
      <c r="CYI125" s="24"/>
      <c r="CYJ125" s="40"/>
      <c r="CYK125" s="24"/>
      <c r="CYL125" s="40"/>
      <c r="CYM125" s="24"/>
      <c r="CYN125" s="40"/>
      <c r="CYO125" s="24"/>
      <c r="CYP125" s="40"/>
      <c r="CYQ125" s="24"/>
      <c r="CYR125" s="40"/>
      <c r="CYS125" s="24"/>
      <c r="CYT125" s="40"/>
      <c r="CYU125" s="24"/>
      <c r="CYV125" s="40"/>
      <c r="CYW125" s="24"/>
      <c r="CYX125" s="40"/>
      <c r="CYY125" s="24"/>
      <c r="CYZ125" s="40"/>
      <c r="CZA125" s="24"/>
      <c r="CZB125" s="40"/>
      <c r="CZC125" s="24"/>
      <c r="CZD125" s="40"/>
      <c r="CZE125" s="24"/>
      <c r="CZF125" s="40"/>
      <c r="CZG125" s="24"/>
      <c r="CZH125" s="40"/>
      <c r="CZI125" s="24"/>
      <c r="CZJ125" s="40"/>
      <c r="CZK125" s="24"/>
      <c r="CZL125" s="40"/>
      <c r="CZM125" s="24"/>
      <c r="CZN125" s="40"/>
      <c r="CZO125" s="24"/>
      <c r="CZP125" s="40"/>
      <c r="CZQ125" s="24"/>
      <c r="CZR125" s="40"/>
      <c r="CZS125" s="24"/>
      <c r="CZT125" s="40"/>
      <c r="CZU125" s="24"/>
      <c r="CZV125" s="40"/>
      <c r="CZW125" s="24"/>
      <c r="CZX125" s="40"/>
      <c r="CZY125" s="24"/>
      <c r="CZZ125" s="40"/>
      <c r="DAA125" s="24"/>
      <c r="DAB125" s="40"/>
      <c r="DAC125" s="24"/>
      <c r="DAD125" s="40"/>
      <c r="DAE125" s="24"/>
      <c r="DAF125" s="40"/>
      <c r="DAG125" s="24"/>
      <c r="DAH125" s="40"/>
      <c r="DAI125" s="24"/>
      <c r="DAJ125" s="40"/>
      <c r="DAK125" s="24"/>
      <c r="DAL125" s="40"/>
      <c r="DAM125" s="24"/>
      <c r="DAN125" s="40"/>
      <c r="DAO125" s="24"/>
      <c r="DAP125" s="40"/>
      <c r="DAQ125" s="24"/>
      <c r="DAR125" s="40"/>
      <c r="DAS125" s="24"/>
      <c r="DAT125" s="40"/>
      <c r="DAU125" s="24"/>
      <c r="DAV125" s="40"/>
      <c r="DAW125" s="24"/>
      <c r="DAX125" s="40"/>
      <c r="DAY125" s="24"/>
      <c r="DAZ125" s="40"/>
      <c r="DBA125" s="24"/>
      <c r="DBB125" s="40"/>
      <c r="DBC125" s="24"/>
      <c r="DBD125" s="40"/>
      <c r="DBE125" s="24"/>
      <c r="DBF125" s="40"/>
      <c r="DBG125" s="24"/>
      <c r="DBH125" s="40"/>
      <c r="DBI125" s="24"/>
      <c r="DBJ125" s="40"/>
      <c r="DBK125" s="24"/>
      <c r="DBL125" s="40"/>
      <c r="DBM125" s="24"/>
      <c r="DBN125" s="40"/>
      <c r="DBO125" s="24"/>
      <c r="DBP125" s="40"/>
      <c r="DBQ125" s="24"/>
      <c r="DBR125" s="40"/>
      <c r="DBS125" s="24"/>
      <c r="DBT125" s="40"/>
      <c r="DBU125" s="24"/>
      <c r="DBV125" s="40"/>
      <c r="DBW125" s="24"/>
      <c r="DBX125" s="40"/>
      <c r="DBY125" s="24"/>
      <c r="DBZ125" s="40"/>
      <c r="DCA125" s="24"/>
      <c r="DCB125" s="40"/>
      <c r="DCC125" s="24"/>
      <c r="DCD125" s="40"/>
      <c r="DCE125" s="24"/>
      <c r="DCF125" s="40"/>
      <c r="DCG125" s="24"/>
      <c r="DCH125" s="40"/>
      <c r="DCI125" s="24"/>
      <c r="DCJ125" s="40"/>
      <c r="DCK125" s="24"/>
      <c r="DCL125" s="40"/>
      <c r="DCM125" s="24"/>
      <c r="DCN125" s="40"/>
      <c r="DCO125" s="24"/>
      <c r="DCP125" s="40"/>
      <c r="DCQ125" s="24"/>
      <c r="DCR125" s="40"/>
      <c r="DCS125" s="24"/>
      <c r="DCT125" s="40"/>
      <c r="DCU125" s="24"/>
      <c r="DCV125" s="40"/>
      <c r="DCW125" s="24"/>
      <c r="DCX125" s="40"/>
      <c r="DCY125" s="24"/>
      <c r="DCZ125" s="40"/>
      <c r="DDA125" s="24"/>
      <c r="DDB125" s="40"/>
      <c r="DDC125" s="24"/>
      <c r="DDD125" s="40"/>
      <c r="DDE125" s="24"/>
      <c r="DDF125" s="40"/>
      <c r="DDG125" s="24"/>
      <c r="DDH125" s="40"/>
      <c r="DDI125" s="24"/>
      <c r="DDJ125" s="40"/>
      <c r="DDK125" s="24"/>
      <c r="DDL125" s="40"/>
      <c r="DDM125" s="24"/>
      <c r="DDN125" s="40"/>
      <c r="DDO125" s="24"/>
      <c r="DDP125" s="40"/>
      <c r="DDQ125" s="24"/>
      <c r="DDR125" s="40"/>
      <c r="DDS125" s="24"/>
      <c r="DDT125" s="40"/>
      <c r="DDU125" s="24"/>
      <c r="DDV125" s="40"/>
      <c r="DDW125" s="24"/>
      <c r="DDX125" s="40"/>
      <c r="DDY125" s="24"/>
      <c r="DDZ125" s="40"/>
      <c r="DEA125" s="24"/>
      <c r="DEB125" s="40"/>
      <c r="DEC125" s="24"/>
      <c r="DED125" s="40"/>
      <c r="DEE125" s="24"/>
      <c r="DEF125" s="40"/>
      <c r="DEG125" s="24"/>
      <c r="DEH125" s="40"/>
      <c r="DEI125" s="24"/>
      <c r="DEJ125" s="40"/>
      <c r="DEK125" s="24"/>
      <c r="DEL125" s="40"/>
      <c r="DEM125" s="24"/>
      <c r="DEN125" s="40"/>
      <c r="DEO125" s="24"/>
      <c r="DEP125" s="40"/>
      <c r="DEQ125" s="24"/>
      <c r="DER125" s="40"/>
      <c r="DES125" s="24"/>
      <c r="DET125" s="40"/>
      <c r="DEU125" s="24"/>
      <c r="DEV125" s="40"/>
      <c r="DEW125" s="24"/>
      <c r="DEX125" s="40"/>
      <c r="DEY125" s="24"/>
      <c r="DEZ125" s="40"/>
      <c r="DFA125" s="24"/>
      <c r="DFB125" s="40"/>
      <c r="DFC125" s="24"/>
      <c r="DFD125" s="40"/>
      <c r="DFE125" s="24"/>
      <c r="DFF125" s="40"/>
      <c r="DFG125" s="24"/>
      <c r="DFH125" s="40"/>
      <c r="DFI125" s="24"/>
      <c r="DFJ125" s="40"/>
      <c r="DFK125" s="24"/>
      <c r="DFL125" s="40"/>
      <c r="DFM125" s="24"/>
      <c r="DFN125" s="40"/>
      <c r="DFO125" s="24"/>
      <c r="DFP125" s="40"/>
      <c r="DFQ125" s="24"/>
      <c r="DFR125" s="40"/>
      <c r="DFS125" s="24"/>
      <c r="DFT125" s="40"/>
      <c r="DFU125" s="24"/>
      <c r="DFV125" s="40"/>
      <c r="DFW125" s="24"/>
      <c r="DFX125" s="40"/>
      <c r="DFY125" s="24"/>
      <c r="DFZ125" s="40"/>
      <c r="DGA125" s="24"/>
      <c r="DGB125" s="40"/>
      <c r="DGC125" s="24"/>
      <c r="DGD125" s="40"/>
      <c r="DGE125" s="24"/>
      <c r="DGF125" s="40"/>
      <c r="DGG125" s="24"/>
      <c r="DGH125" s="40"/>
      <c r="DGI125" s="24"/>
      <c r="DGJ125" s="40"/>
      <c r="DGK125" s="24"/>
      <c r="DGL125" s="40"/>
      <c r="DGM125" s="24"/>
      <c r="DGN125" s="40"/>
      <c r="DGO125" s="24"/>
      <c r="DGP125" s="40"/>
      <c r="DGQ125" s="24"/>
      <c r="DGR125" s="40"/>
      <c r="DGS125" s="24"/>
      <c r="DGT125" s="40"/>
      <c r="DGU125" s="24"/>
      <c r="DGV125" s="40"/>
      <c r="DGW125" s="24"/>
      <c r="DGX125" s="40"/>
      <c r="DGY125" s="24"/>
      <c r="DGZ125" s="40"/>
      <c r="DHA125" s="24"/>
      <c r="DHB125" s="40"/>
      <c r="DHC125" s="24"/>
      <c r="DHD125" s="40"/>
      <c r="DHE125" s="24"/>
      <c r="DHF125" s="40"/>
      <c r="DHG125" s="24"/>
      <c r="DHH125" s="40"/>
      <c r="DHI125" s="24"/>
      <c r="DHJ125" s="40"/>
      <c r="DHK125" s="24"/>
      <c r="DHL125" s="40"/>
      <c r="DHM125" s="24"/>
      <c r="DHN125" s="40"/>
      <c r="DHO125" s="24"/>
      <c r="DHP125" s="40"/>
      <c r="DHQ125" s="24"/>
      <c r="DHR125" s="40"/>
      <c r="DHS125" s="24"/>
      <c r="DHT125" s="40"/>
      <c r="DHU125" s="24"/>
      <c r="DHV125" s="40"/>
      <c r="DHW125" s="24"/>
      <c r="DHX125" s="40"/>
      <c r="DHY125" s="24"/>
      <c r="DHZ125" s="40"/>
      <c r="DIA125" s="24"/>
      <c r="DIB125" s="40"/>
      <c r="DIC125" s="24"/>
      <c r="DID125" s="40"/>
      <c r="DIE125" s="24"/>
      <c r="DIF125" s="40"/>
      <c r="DIG125" s="24"/>
      <c r="DIH125" s="40"/>
      <c r="DII125" s="24"/>
      <c r="DIJ125" s="40"/>
      <c r="DIK125" s="24"/>
      <c r="DIL125" s="40"/>
      <c r="DIM125" s="24"/>
      <c r="DIN125" s="40"/>
      <c r="DIO125" s="24"/>
      <c r="DIP125" s="40"/>
      <c r="DIQ125" s="24"/>
      <c r="DIR125" s="40"/>
      <c r="DIS125" s="24"/>
      <c r="DIT125" s="40"/>
      <c r="DIU125" s="24"/>
      <c r="DIV125" s="40"/>
      <c r="DIW125" s="24"/>
      <c r="DIX125" s="40"/>
      <c r="DIY125" s="24"/>
      <c r="DIZ125" s="40"/>
      <c r="DJA125" s="24"/>
      <c r="DJB125" s="40"/>
      <c r="DJC125" s="24"/>
      <c r="DJD125" s="40"/>
      <c r="DJE125" s="24"/>
      <c r="DJF125" s="40"/>
      <c r="DJG125" s="24"/>
      <c r="DJH125" s="40"/>
      <c r="DJI125" s="24"/>
      <c r="DJJ125" s="40"/>
      <c r="DJK125" s="24"/>
      <c r="DJL125" s="40"/>
      <c r="DJM125" s="24"/>
      <c r="DJN125" s="40"/>
      <c r="DJO125" s="24"/>
      <c r="DJP125" s="40"/>
      <c r="DJQ125" s="24"/>
      <c r="DJR125" s="40"/>
      <c r="DJS125" s="24"/>
      <c r="DJT125" s="40"/>
      <c r="DJU125" s="24"/>
      <c r="DJV125" s="40"/>
      <c r="DJW125" s="24"/>
      <c r="DJX125" s="40"/>
      <c r="DJY125" s="24"/>
      <c r="DJZ125" s="40"/>
      <c r="DKA125" s="24"/>
      <c r="DKB125" s="40"/>
      <c r="DKC125" s="24"/>
      <c r="DKD125" s="40"/>
      <c r="DKE125" s="24"/>
      <c r="DKF125" s="40"/>
      <c r="DKG125" s="24"/>
      <c r="DKH125" s="40"/>
      <c r="DKI125" s="24"/>
      <c r="DKJ125" s="40"/>
      <c r="DKK125" s="24"/>
      <c r="DKL125" s="40"/>
      <c r="DKM125" s="24"/>
      <c r="DKN125" s="40"/>
      <c r="DKO125" s="24"/>
      <c r="DKP125" s="40"/>
      <c r="DKQ125" s="24"/>
      <c r="DKR125" s="40"/>
      <c r="DKS125" s="24"/>
      <c r="DKT125" s="40"/>
      <c r="DKU125" s="24"/>
      <c r="DKV125" s="40"/>
      <c r="DKW125" s="24"/>
      <c r="DKX125" s="40"/>
      <c r="DKY125" s="24"/>
      <c r="DKZ125" s="40"/>
      <c r="DLA125" s="24"/>
      <c r="DLB125" s="40"/>
      <c r="DLC125" s="24"/>
      <c r="DLD125" s="40"/>
      <c r="DLE125" s="24"/>
      <c r="DLF125" s="40"/>
      <c r="DLG125" s="24"/>
      <c r="DLH125" s="40"/>
      <c r="DLI125" s="24"/>
      <c r="DLJ125" s="40"/>
      <c r="DLK125" s="24"/>
      <c r="DLL125" s="40"/>
      <c r="DLM125" s="24"/>
      <c r="DLN125" s="40"/>
      <c r="DLO125" s="24"/>
      <c r="DLP125" s="40"/>
      <c r="DLQ125" s="24"/>
      <c r="DLR125" s="40"/>
      <c r="DLS125" s="24"/>
      <c r="DLT125" s="40"/>
      <c r="DLU125" s="24"/>
      <c r="DLV125" s="40"/>
      <c r="DLW125" s="24"/>
      <c r="DLX125" s="40"/>
      <c r="DLY125" s="24"/>
      <c r="DLZ125" s="40"/>
      <c r="DMA125" s="24"/>
      <c r="DMB125" s="40"/>
      <c r="DMC125" s="24"/>
      <c r="DMD125" s="40"/>
      <c r="DME125" s="24"/>
      <c r="DMF125" s="40"/>
      <c r="DMG125" s="24"/>
      <c r="DMH125" s="40"/>
      <c r="DMI125" s="24"/>
      <c r="DMJ125" s="40"/>
      <c r="DMK125" s="24"/>
      <c r="DML125" s="40"/>
      <c r="DMM125" s="24"/>
      <c r="DMN125" s="40"/>
      <c r="DMO125" s="24"/>
      <c r="DMP125" s="40"/>
      <c r="DMQ125" s="24"/>
      <c r="DMR125" s="40"/>
      <c r="DMS125" s="24"/>
      <c r="DMT125" s="40"/>
      <c r="DMU125" s="24"/>
      <c r="DMV125" s="40"/>
      <c r="DMW125" s="24"/>
      <c r="DMX125" s="40"/>
      <c r="DMY125" s="24"/>
      <c r="DMZ125" s="40"/>
      <c r="DNA125" s="24"/>
      <c r="DNB125" s="40"/>
      <c r="DNC125" s="24"/>
      <c r="DND125" s="40"/>
      <c r="DNE125" s="24"/>
      <c r="DNF125" s="40"/>
      <c r="DNG125" s="24"/>
      <c r="DNH125" s="40"/>
      <c r="DNI125" s="24"/>
      <c r="DNJ125" s="40"/>
      <c r="DNK125" s="24"/>
      <c r="DNL125" s="40"/>
      <c r="DNM125" s="24"/>
      <c r="DNN125" s="40"/>
      <c r="DNO125" s="24"/>
      <c r="DNP125" s="40"/>
      <c r="DNQ125" s="24"/>
      <c r="DNR125" s="40"/>
      <c r="DNS125" s="24"/>
      <c r="DNT125" s="40"/>
      <c r="DNU125" s="24"/>
      <c r="DNV125" s="40"/>
      <c r="DNW125" s="24"/>
      <c r="DNX125" s="40"/>
      <c r="DNY125" s="24"/>
      <c r="DNZ125" s="40"/>
      <c r="DOA125" s="24"/>
      <c r="DOB125" s="40"/>
      <c r="DOC125" s="24"/>
      <c r="DOD125" s="40"/>
      <c r="DOE125" s="24"/>
      <c r="DOF125" s="40"/>
      <c r="DOG125" s="24"/>
      <c r="DOH125" s="40"/>
      <c r="DOI125" s="24"/>
      <c r="DOJ125" s="40"/>
      <c r="DOK125" s="24"/>
      <c r="DOL125" s="40"/>
      <c r="DOM125" s="24"/>
      <c r="DON125" s="40"/>
      <c r="DOO125" s="24"/>
      <c r="DOP125" s="40"/>
      <c r="DOQ125" s="24"/>
      <c r="DOR125" s="40"/>
      <c r="DOS125" s="24"/>
      <c r="DOT125" s="40"/>
      <c r="DOU125" s="24"/>
      <c r="DOV125" s="40"/>
      <c r="DOW125" s="24"/>
      <c r="DOX125" s="40"/>
      <c r="DOY125" s="24"/>
      <c r="DOZ125" s="40"/>
      <c r="DPA125" s="24"/>
      <c r="DPB125" s="40"/>
      <c r="DPC125" s="24"/>
      <c r="DPD125" s="40"/>
      <c r="DPE125" s="24"/>
      <c r="DPF125" s="40"/>
      <c r="DPG125" s="24"/>
      <c r="DPH125" s="40"/>
      <c r="DPI125" s="24"/>
      <c r="DPJ125" s="40"/>
      <c r="DPK125" s="24"/>
      <c r="DPL125" s="40"/>
      <c r="DPM125" s="24"/>
      <c r="DPN125" s="40"/>
      <c r="DPO125" s="24"/>
      <c r="DPP125" s="40"/>
      <c r="DPQ125" s="24"/>
      <c r="DPR125" s="40"/>
      <c r="DPS125" s="24"/>
      <c r="DPT125" s="40"/>
      <c r="DPU125" s="24"/>
      <c r="DPV125" s="40"/>
      <c r="DPW125" s="24"/>
      <c r="DPX125" s="40"/>
      <c r="DPY125" s="24"/>
      <c r="DPZ125" s="40"/>
      <c r="DQA125" s="24"/>
      <c r="DQB125" s="40"/>
      <c r="DQC125" s="24"/>
      <c r="DQD125" s="40"/>
      <c r="DQE125" s="24"/>
      <c r="DQF125" s="40"/>
      <c r="DQG125" s="24"/>
      <c r="DQH125" s="40"/>
      <c r="DQI125" s="24"/>
      <c r="DQJ125" s="40"/>
      <c r="DQK125" s="24"/>
      <c r="DQL125" s="40"/>
      <c r="DQM125" s="24"/>
      <c r="DQN125" s="40"/>
      <c r="DQO125" s="24"/>
      <c r="DQP125" s="40"/>
      <c r="DQQ125" s="24"/>
      <c r="DQR125" s="40"/>
      <c r="DQS125" s="24"/>
      <c r="DQT125" s="40"/>
      <c r="DQU125" s="24"/>
      <c r="DQV125" s="40"/>
      <c r="DQW125" s="24"/>
      <c r="DQX125" s="40"/>
      <c r="DQY125" s="24"/>
      <c r="DQZ125" s="40"/>
      <c r="DRA125" s="24"/>
      <c r="DRB125" s="40"/>
      <c r="DRC125" s="24"/>
      <c r="DRD125" s="40"/>
      <c r="DRE125" s="24"/>
      <c r="DRF125" s="40"/>
      <c r="DRG125" s="24"/>
      <c r="DRH125" s="40"/>
      <c r="DRI125" s="24"/>
      <c r="DRJ125" s="40"/>
      <c r="DRK125" s="24"/>
      <c r="DRL125" s="40"/>
      <c r="DRM125" s="24"/>
      <c r="DRN125" s="40"/>
      <c r="DRO125" s="24"/>
      <c r="DRP125" s="40"/>
      <c r="DRQ125" s="24"/>
      <c r="DRR125" s="40"/>
      <c r="DRS125" s="24"/>
      <c r="DRT125" s="40"/>
      <c r="DRU125" s="24"/>
      <c r="DRV125" s="40"/>
      <c r="DRW125" s="24"/>
      <c r="DRX125" s="40"/>
      <c r="DRY125" s="24"/>
      <c r="DRZ125" s="40"/>
      <c r="DSA125" s="24"/>
      <c r="DSB125" s="40"/>
      <c r="DSC125" s="24"/>
      <c r="DSD125" s="40"/>
      <c r="DSE125" s="24"/>
      <c r="DSF125" s="40"/>
      <c r="DSG125" s="24"/>
      <c r="DSH125" s="40"/>
      <c r="DSI125" s="24"/>
      <c r="DSJ125" s="40"/>
      <c r="DSK125" s="24"/>
      <c r="DSL125" s="40"/>
      <c r="DSM125" s="24"/>
      <c r="DSN125" s="40"/>
      <c r="DSO125" s="24"/>
      <c r="DSP125" s="40"/>
      <c r="DSQ125" s="24"/>
      <c r="DSR125" s="40"/>
      <c r="DSS125" s="24"/>
      <c r="DST125" s="40"/>
      <c r="DSU125" s="24"/>
      <c r="DSV125" s="40"/>
      <c r="DSW125" s="24"/>
      <c r="DSX125" s="40"/>
      <c r="DSY125" s="24"/>
      <c r="DSZ125" s="40"/>
      <c r="DTA125" s="24"/>
      <c r="DTB125" s="40"/>
      <c r="DTC125" s="24"/>
      <c r="DTD125" s="40"/>
      <c r="DTE125" s="24"/>
      <c r="DTF125" s="40"/>
      <c r="DTG125" s="24"/>
      <c r="DTH125" s="40"/>
      <c r="DTI125" s="24"/>
      <c r="DTJ125" s="40"/>
      <c r="DTK125" s="24"/>
      <c r="DTL125" s="40"/>
      <c r="DTM125" s="24"/>
      <c r="DTN125" s="40"/>
      <c r="DTO125" s="24"/>
      <c r="DTP125" s="40"/>
      <c r="DTQ125" s="24"/>
      <c r="DTR125" s="40"/>
      <c r="DTS125" s="24"/>
      <c r="DTT125" s="40"/>
      <c r="DTU125" s="24"/>
      <c r="DTV125" s="40"/>
      <c r="DTW125" s="24"/>
      <c r="DTX125" s="40"/>
      <c r="DTY125" s="24"/>
      <c r="DTZ125" s="40"/>
      <c r="DUA125" s="24"/>
      <c r="DUB125" s="40"/>
      <c r="DUC125" s="24"/>
      <c r="DUD125" s="40"/>
      <c r="DUE125" s="24"/>
      <c r="DUF125" s="40"/>
      <c r="DUG125" s="24"/>
      <c r="DUH125" s="40"/>
      <c r="DUI125" s="24"/>
      <c r="DUJ125" s="40"/>
      <c r="DUK125" s="24"/>
      <c r="DUL125" s="40"/>
      <c r="DUM125" s="24"/>
      <c r="DUN125" s="40"/>
      <c r="DUO125" s="24"/>
      <c r="DUP125" s="40"/>
      <c r="DUQ125" s="24"/>
      <c r="DUR125" s="40"/>
      <c r="DUS125" s="24"/>
      <c r="DUT125" s="40"/>
      <c r="DUU125" s="24"/>
      <c r="DUV125" s="40"/>
      <c r="DUW125" s="24"/>
      <c r="DUX125" s="40"/>
      <c r="DUY125" s="24"/>
      <c r="DUZ125" s="40"/>
      <c r="DVA125" s="24"/>
      <c r="DVB125" s="40"/>
      <c r="DVC125" s="24"/>
      <c r="DVD125" s="40"/>
      <c r="DVE125" s="24"/>
      <c r="DVF125" s="40"/>
      <c r="DVG125" s="24"/>
      <c r="DVH125" s="40"/>
      <c r="DVI125" s="24"/>
      <c r="DVJ125" s="40"/>
      <c r="DVK125" s="24"/>
      <c r="DVL125" s="40"/>
      <c r="DVM125" s="24"/>
      <c r="DVN125" s="40"/>
      <c r="DVO125" s="24"/>
      <c r="DVP125" s="40"/>
      <c r="DVQ125" s="24"/>
      <c r="DVR125" s="40"/>
      <c r="DVS125" s="24"/>
      <c r="DVT125" s="40"/>
      <c r="DVU125" s="24"/>
      <c r="DVV125" s="40"/>
      <c r="DVW125" s="24"/>
      <c r="DVX125" s="40"/>
      <c r="DVY125" s="24"/>
      <c r="DVZ125" s="40"/>
      <c r="DWA125" s="24"/>
      <c r="DWB125" s="40"/>
      <c r="DWC125" s="24"/>
      <c r="DWD125" s="40"/>
      <c r="DWE125" s="24"/>
      <c r="DWF125" s="40"/>
      <c r="DWG125" s="24"/>
      <c r="DWH125" s="40"/>
      <c r="DWI125" s="24"/>
      <c r="DWJ125" s="40"/>
      <c r="DWK125" s="24"/>
      <c r="DWL125" s="40"/>
      <c r="DWM125" s="24"/>
      <c r="DWN125" s="40"/>
      <c r="DWO125" s="24"/>
      <c r="DWP125" s="40"/>
      <c r="DWQ125" s="24"/>
      <c r="DWR125" s="40"/>
      <c r="DWS125" s="24"/>
      <c r="DWT125" s="40"/>
      <c r="DWU125" s="24"/>
      <c r="DWV125" s="40"/>
      <c r="DWW125" s="24"/>
      <c r="DWX125" s="40"/>
      <c r="DWY125" s="24"/>
      <c r="DWZ125" s="40"/>
      <c r="DXA125" s="24"/>
      <c r="DXB125" s="40"/>
      <c r="DXC125" s="24"/>
      <c r="DXD125" s="40"/>
      <c r="DXE125" s="24"/>
      <c r="DXF125" s="40"/>
      <c r="DXG125" s="24"/>
      <c r="DXH125" s="40"/>
      <c r="DXI125" s="24"/>
      <c r="DXJ125" s="40"/>
      <c r="DXK125" s="24"/>
      <c r="DXL125" s="40"/>
      <c r="DXM125" s="24"/>
      <c r="DXN125" s="40"/>
      <c r="DXO125" s="24"/>
      <c r="DXP125" s="40"/>
      <c r="DXQ125" s="24"/>
      <c r="DXR125" s="40"/>
      <c r="DXS125" s="24"/>
      <c r="DXT125" s="40"/>
      <c r="DXU125" s="24"/>
      <c r="DXV125" s="40"/>
      <c r="DXW125" s="24"/>
      <c r="DXX125" s="40"/>
      <c r="DXY125" s="24"/>
      <c r="DXZ125" s="40"/>
      <c r="DYA125" s="24"/>
      <c r="DYB125" s="40"/>
      <c r="DYC125" s="24"/>
      <c r="DYD125" s="40"/>
      <c r="DYE125" s="24"/>
      <c r="DYF125" s="40"/>
      <c r="DYG125" s="24"/>
      <c r="DYH125" s="40"/>
      <c r="DYI125" s="24"/>
      <c r="DYJ125" s="40"/>
      <c r="DYK125" s="24"/>
      <c r="DYL125" s="40"/>
      <c r="DYM125" s="24"/>
      <c r="DYN125" s="40"/>
      <c r="DYO125" s="24"/>
      <c r="DYP125" s="40"/>
      <c r="DYQ125" s="24"/>
      <c r="DYR125" s="40"/>
      <c r="DYS125" s="24"/>
      <c r="DYT125" s="40"/>
      <c r="DYU125" s="24"/>
      <c r="DYV125" s="40"/>
      <c r="DYW125" s="24"/>
      <c r="DYX125" s="40"/>
      <c r="DYY125" s="24"/>
      <c r="DYZ125" s="40"/>
      <c r="DZA125" s="24"/>
      <c r="DZB125" s="40"/>
      <c r="DZC125" s="24"/>
      <c r="DZD125" s="40"/>
      <c r="DZE125" s="24"/>
      <c r="DZF125" s="40"/>
      <c r="DZG125" s="24"/>
      <c r="DZH125" s="40"/>
      <c r="DZI125" s="24"/>
      <c r="DZJ125" s="40"/>
      <c r="DZK125" s="24"/>
      <c r="DZL125" s="40"/>
      <c r="DZM125" s="24"/>
      <c r="DZN125" s="40"/>
      <c r="DZO125" s="24"/>
      <c r="DZP125" s="40"/>
      <c r="DZQ125" s="24"/>
      <c r="DZR125" s="40"/>
      <c r="DZS125" s="24"/>
      <c r="DZT125" s="40"/>
      <c r="DZU125" s="24"/>
      <c r="DZV125" s="40"/>
      <c r="DZW125" s="24"/>
      <c r="DZX125" s="40"/>
      <c r="DZY125" s="24"/>
      <c r="DZZ125" s="40"/>
      <c r="EAA125" s="24"/>
      <c r="EAB125" s="40"/>
      <c r="EAC125" s="24"/>
      <c r="EAD125" s="40"/>
      <c r="EAE125" s="24"/>
      <c r="EAF125" s="40"/>
      <c r="EAG125" s="24"/>
      <c r="EAH125" s="40"/>
      <c r="EAI125" s="24"/>
      <c r="EAJ125" s="40"/>
      <c r="EAK125" s="24"/>
      <c r="EAL125" s="40"/>
      <c r="EAM125" s="24"/>
      <c r="EAN125" s="40"/>
      <c r="EAO125" s="24"/>
      <c r="EAP125" s="40"/>
      <c r="EAQ125" s="24"/>
      <c r="EAR125" s="40"/>
      <c r="EAS125" s="24"/>
      <c r="EAT125" s="40"/>
      <c r="EAU125" s="24"/>
      <c r="EAV125" s="40"/>
      <c r="EAW125" s="24"/>
      <c r="EAX125" s="40"/>
      <c r="EAY125" s="24"/>
      <c r="EAZ125" s="40"/>
      <c r="EBA125" s="24"/>
      <c r="EBB125" s="40"/>
      <c r="EBC125" s="24"/>
      <c r="EBD125" s="40"/>
      <c r="EBE125" s="24"/>
      <c r="EBF125" s="40"/>
      <c r="EBG125" s="24"/>
      <c r="EBH125" s="40"/>
      <c r="EBI125" s="24"/>
      <c r="EBJ125" s="40"/>
      <c r="EBK125" s="24"/>
      <c r="EBL125" s="40"/>
      <c r="EBM125" s="24"/>
      <c r="EBN125" s="40"/>
      <c r="EBO125" s="24"/>
      <c r="EBP125" s="40"/>
      <c r="EBQ125" s="24"/>
      <c r="EBR125" s="40"/>
      <c r="EBS125" s="24"/>
      <c r="EBT125" s="40"/>
      <c r="EBU125" s="24"/>
      <c r="EBV125" s="40"/>
      <c r="EBW125" s="24"/>
      <c r="EBX125" s="40"/>
      <c r="EBY125" s="24"/>
      <c r="EBZ125" s="40"/>
      <c r="ECA125" s="24"/>
      <c r="ECB125" s="40"/>
      <c r="ECC125" s="24"/>
      <c r="ECD125" s="40"/>
      <c r="ECE125" s="24"/>
      <c r="ECF125" s="40"/>
      <c r="ECG125" s="24"/>
      <c r="ECH125" s="40"/>
      <c r="ECI125" s="24"/>
      <c r="ECJ125" s="40"/>
      <c r="ECK125" s="24"/>
      <c r="ECL125" s="40"/>
      <c r="ECM125" s="24"/>
      <c r="ECN125" s="40"/>
      <c r="ECO125" s="24"/>
      <c r="ECP125" s="40"/>
      <c r="ECQ125" s="24"/>
      <c r="ECR125" s="40"/>
      <c r="ECS125" s="24"/>
      <c r="ECT125" s="40"/>
      <c r="ECU125" s="24"/>
      <c r="ECV125" s="40"/>
      <c r="ECW125" s="24"/>
      <c r="ECX125" s="40"/>
      <c r="ECY125" s="24"/>
      <c r="ECZ125" s="40"/>
      <c r="EDA125" s="24"/>
      <c r="EDB125" s="40"/>
      <c r="EDC125" s="24"/>
      <c r="EDD125" s="40"/>
      <c r="EDE125" s="24"/>
      <c r="EDF125" s="40"/>
      <c r="EDG125" s="24"/>
      <c r="EDH125" s="40"/>
      <c r="EDI125" s="24"/>
      <c r="EDJ125" s="40"/>
      <c r="EDK125" s="24"/>
      <c r="EDL125" s="40"/>
      <c r="EDM125" s="24"/>
      <c r="EDN125" s="40"/>
      <c r="EDO125" s="24"/>
      <c r="EDP125" s="40"/>
      <c r="EDQ125" s="24"/>
      <c r="EDR125" s="40"/>
      <c r="EDS125" s="24"/>
      <c r="EDT125" s="40"/>
      <c r="EDU125" s="24"/>
      <c r="EDV125" s="40"/>
      <c r="EDW125" s="24"/>
      <c r="EDX125" s="40"/>
      <c r="EDY125" s="24"/>
      <c r="EDZ125" s="40"/>
      <c r="EEA125" s="24"/>
      <c r="EEB125" s="40"/>
      <c r="EEC125" s="24"/>
      <c r="EED125" s="40"/>
      <c r="EEE125" s="24"/>
      <c r="EEF125" s="40"/>
      <c r="EEG125" s="24"/>
      <c r="EEH125" s="40"/>
      <c r="EEI125" s="24"/>
      <c r="EEJ125" s="40"/>
      <c r="EEK125" s="24"/>
      <c r="EEL125" s="40"/>
      <c r="EEM125" s="24"/>
      <c r="EEN125" s="40"/>
      <c r="EEO125" s="24"/>
      <c r="EEP125" s="40"/>
      <c r="EEQ125" s="24"/>
      <c r="EER125" s="40"/>
      <c r="EES125" s="24"/>
      <c r="EET125" s="40"/>
      <c r="EEU125" s="24"/>
      <c r="EEV125" s="40"/>
      <c r="EEW125" s="24"/>
      <c r="EEX125" s="40"/>
      <c r="EEY125" s="24"/>
      <c r="EEZ125" s="40"/>
      <c r="EFA125" s="24"/>
      <c r="EFB125" s="40"/>
      <c r="EFC125" s="24"/>
      <c r="EFD125" s="40"/>
      <c r="EFE125" s="24"/>
      <c r="EFF125" s="40"/>
      <c r="EFG125" s="24"/>
      <c r="EFH125" s="40"/>
      <c r="EFI125" s="24"/>
      <c r="EFJ125" s="40"/>
      <c r="EFK125" s="24"/>
      <c r="EFL125" s="40"/>
      <c r="EFM125" s="24"/>
      <c r="EFN125" s="40"/>
      <c r="EFO125" s="24"/>
      <c r="EFP125" s="40"/>
      <c r="EFQ125" s="24"/>
      <c r="EFR125" s="40"/>
      <c r="EFS125" s="24"/>
      <c r="EFT125" s="40"/>
      <c r="EFU125" s="24"/>
      <c r="EFV125" s="40"/>
      <c r="EFW125" s="24"/>
      <c r="EFX125" s="40"/>
      <c r="EFY125" s="24"/>
      <c r="EFZ125" s="40"/>
      <c r="EGA125" s="24"/>
      <c r="EGB125" s="40"/>
      <c r="EGC125" s="24"/>
      <c r="EGD125" s="40"/>
      <c r="EGE125" s="24"/>
      <c r="EGF125" s="40"/>
      <c r="EGG125" s="24"/>
      <c r="EGH125" s="40"/>
      <c r="EGI125" s="24"/>
      <c r="EGJ125" s="40"/>
      <c r="EGK125" s="24"/>
      <c r="EGL125" s="40"/>
      <c r="EGM125" s="24"/>
      <c r="EGN125" s="40"/>
      <c r="EGO125" s="24"/>
      <c r="EGP125" s="40"/>
      <c r="EGQ125" s="24"/>
      <c r="EGR125" s="40"/>
      <c r="EGS125" s="24"/>
      <c r="EGT125" s="40"/>
      <c r="EGU125" s="24"/>
      <c r="EGV125" s="40"/>
      <c r="EGW125" s="24"/>
      <c r="EGX125" s="40"/>
      <c r="EGY125" s="24"/>
      <c r="EGZ125" s="40"/>
      <c r="EHA125" s="24"/>
      <c r="EHB125" s="40"/>
      <c r="EHC125" s="24"/>
      <c r="EHD125" s="40"/>
      <c r="EHE125" s="24"/>
      <c r="EHF125" s="40"/>
      <c r="EHG125" s="24"/>
      <c r="EHH125" s="40"/>
      <c r="EHI125" s="24"/>
      <c r="EHJ125" s="40"/>
      <c r="EHK125" s="24"/>
      <c r="EHL125" s="40"/>
      <c r="EHM125" s="24"/>
      <c r="EHN125" s="40"/>
      <c r="EHO125" s="24"/>
      <c r="EHP125" s="40"/>
      <c r="EHQ125" s="24"/>
      <c r="EHR125" s="40"/>
      <c r="EHS125" s="24"/>
      <c r="EHT125" s="40"/>
      <c r="EHU125" s="24"/>
      <c r="EHV125" s="40"/>
      <c r="EHW125" s="24"/>
      <c r="EHX125" s="40"/>
      <c r="EHY125" s="24"/>
      <c r="EHZ125" s="40"/>
      <c r="EIA125" s="24"/>
      <c r="EIB125" s="40"/>
      <c r="EIC125" s="24"/>
      <c r="EID125" s="40"/>
      <c r="EIE125" s="24"/>
      <c r="EIF125" s="40"/>
      <c r="EIG125" s="24"/>
      <c r="EIH125" s="40"/>
      <c r="EII125" s="24"/>
      <c r="EIJ125" s="40"/>
      <c r="EIK125" s="24"/>
      <c r="EIL125" s="40"/>
      <c r="EIM125" s="24"/>
      <c r="EIN125" s="40"/>
      <c r="EIO125" s="24"/>
      <c r="EIP125" s="40"/>
      <c r="EIQ125" s="24"/>
      <c r="EIR125" s="40"/>
      <c r="EIS125" s="24"/>
      <c r="EIT125" s="40"/>
      <c r="EIU125" s="24"/>
      <c r="EIV125" s="40"/>
      <c r="EIW125" s="24"/>
      <c r="EIX125" s="40"/>
      <c r="EIY125" s="24"/>
      <c r="EIZ125" s="40"/>
      <c r="EJA125" s="24"/>
      <c r="EJB125" s="40"/>
      <c r="EJC125" s="24"/>
      <c r="EJD125" s="40"/>
      <c r="EJE125" s="24"/>
      <c r="EJF125" s="40"/>
      <c r="EJG125" s="24"/>
      <c r="EJH125" s="40"/>
      <c r="EJI125" s="24"/>
      <c r="EJJ125" s="40"/>
      <c r="EJK125" s="24"/>
      <c r="EJL125" s="40"/>
      <c r="EJM125" s="24"/>
      <c r="EJN125" s="40"/>
      <c r="EJO125" s="24"/>
      <c r="EJP125" s="40"/>
      <c r="EJQ125" s="24"/>
      <c r="EJR125" s="40"/>
      <c r="EJS125" s="24"/>
      <c r="EJT125" s="40"/>
      <c r="EJU125" s="24"/>
      <c r="EJV125" s="40"/>
      <c r="EJW125" s="24"/>
      <c r="EJX125" s="40"/>
      <c r="EJY125" s="24"/>
      <c r="EJZ125" s="40"/>
      <c r="EKA125" s="24"/>
      <c r="EKB125" s="40"/>
      <c r="EKC125" s="24"/>
      <c r="EKD125" s="40"/>
      <c r="EKE125" s="24"/>
      <c r="EKF125" s="40"/>
      <c r="EKG125" s="24"/>
      <c r="EKH125" s="40"/>
      <c r="EKI125" s="24"/>
      <c r="EKJ125" s="40"/>
      <c r="EKK125" s="24"/>
      <c r="EKL125" s="40"/>
      <c r="EKM125" s="24"/>
      <c r="EKN125" s="40"/>
      <c r="EKO125" s="24"/>
      <c r="EKP125" s="40"/>
      <c r="EKQ125" s="24"/>
      <c r="EKR125" s="40"/>
      <c r="EKS125" s="24"/>
      <c r="EKT125" s="40"/>
      <c r="EKU125" s="24"/>
      <c r="EKV125" s="40"/>
      <c r="EKW125" s="24"/>
      <c r="EKX125" s="40"/>
      <c r="EKY125" s="24"/>
      <c r="EKZ125" s="40"/>
      <c r="ELA125" s="24"/>
      <c r="ELB125" s="40"/>
      <c r="ELC125" s="24"/>
      <c r="ELD125" s="40"/>
      <c r="ELE125" s="24"/>
      <c r="ELF125" s="40"/>
      <c r="ELG125" s="24"/>
      <c r="ELH125" s="40"/>
      <c r="ELI125" s="24"/>
      <c r="ELJ125" s="40"/>
      <c r="ELK125" s="24"/>
      <c r="ELL125" s="40"/>
      <c r="ELM125" s="24"/>
      <c r="ELN125" s="40"/>
      <c r="ELO125" s="24"/>
      <c r="ELP125" s="40"/>
      <c r="ELQ125" s="24"/>
      <c r="ELR125" s="40"/>
      <c r="ELS125" s="24"/>
      <c r="ELT125" s="40"/>
      <c r="ELU125" s="24"/>
      <c r="ELV125" s="40"/>
      <c r="ELW125" s="24"/>
      <c r="ELX125" s="40"/>
      <c r="ELY125" s="24"/>
      <c r="ELZ125" s="40"/>
      <c r="EMA125" s="24"/>
      <c r="EMB125" s="40"/>
      <c r="EMC125" s="24"/>
      <c r="EMD125" s="40"/>
      <c r="EME125" s="24"/>
      <c r="EMF125" s="40"/>
      <c r="EMG125" s="24"/>
      <c r="EMH125" s="40"/>
      <c r="EMI125" s="24"/>
      <c r="EMJ125" s="40"/>
      <c r="EMK125" s="24"/>
      <c r="EML125" s="40"/>
      <c r="EMM125" s="24"/>
      <c r="EMN125" s="40"/>
      <c r="EMO125" s="24"/>
      <c r="EMP125" s="40"/>
      <c r="EMQ125" s="24"/>
      <c r="EMR125" s="40"/>
      <c r="EMS125" s="24"/>
      <c r="EMT125" s="40"/>
      <c r="EMU125" s="24"/>
      <c r="EMV125" s="40"/>
      <c r="EMW125" s="24"/>
      <c r="EMX125" s="40"/>
      <c r="EMY125" s="24"/>
      <c r="EMZ125" s="40"/>
      <c r="ENA125" s="24"/>
      <c r="ENB125" s="40"/>
      <c r="ENC125" s="24"/>
      <c r="END125" s="40"/>
      <c r="ENE125" s="24"/>
      <c r="ENF125" s="40"/>
      <c r="ENG125" s="24"/>
      <c r="ENH125" s="40"/>
      <c r="ENI125" s="24"/>
      <c r="ENJ125" s="40"/>
      <c r="ENK125" s="24"/>
      <c r="ENL125" s="40"/>
      <c r="ENM125" s="24"/>
      <c r="ENN125" s="40"/>
      <c r="ENO125" s="24"/>
      <c r="ENP125" s="40"/>
      <c r="ENQ125" s="24"/>
      <c r="ENR125" s="40"/>
      <c r="ENS125" s="24"/>
      <c r="ENT125" s="40"/>
      <c r="ENU125" s="24"/>
      <c r="ENV125" s="40"/>
      <c r="ENW125" s="24"/>
      <c r="ENX125" s="40"/>
      <c r="ENY125" s="24"/>
      <c r="ENZ125" s="40"/>
      <c r="EOA125" s="24"/>
      <c r="EOB125" s="40"/>
      <c r="EOC125" s="24"/>
      <c r="EOD125" s="40"/>
      <c r="EOE125" s="24"/>
      <c r="EOF125" s="40"/>
      <c r="EOG125" s="24"/>
      <c r="EOH125" s="40"/>
      <c r="EOI125" s="24"/>
      <c r="EOJ125" s="40"/>
      <c r="EOK125" s="24"/>
      <c r="EOL125" s="40"/>
      <c r="EOM125" s="24"/>
      <c r="EON125" s="40"/>
      <c r="EOO125" s="24"/>
      <c r="EOP125" s="40"/>
      <c r="EOQ125" s="24"/>
      <c r="EOR125" s="40"/>
      <c r="EOS125" s="24"/>
      <c r="EOT125" s="40"/>
      <c r="EOU125" s="24"/>
      <c r="EOV125" s="40"/>
      <c r="EOW125" s="24"/>
      <c r="EOX125" s="40"/>
      <c r="EOY125" s="24"/>
      <c r="EOZ125" s="40"/>
      <c r="EPA125" s="24"/>
      <c r="EPB125" s="40"/>
      <c r="EPC125" s="24"/>
      <c r="EPD125" s="40"/>
      <c r="EPE125" s="24"/>
      <c r="EPF125" s="40"/>
      <c r="EPG125" s="24"/>
      <c r="EPH125" s="40"/>
      <c r="EPI125" s="24"/>
      <c r="EPJ125" s="40"/>
      <c r="EPK125" s="24"/>
      <c r="EPL125" s="40"/>
      <c r="EPM125" s="24"/>
      <c r="EPN125" s="40"/>
      <c r="EPO125" s="24"/>
      <c r="EPP125" s="40"/>
      <c r="EPQ125" s="24"/>
      <c r="EPR125" s="40"/>
      <c r="EPS125" s="24"/>
      <c r="EPT125" s="40"/>
      <c r="EPU125" s="24"/>
      <c r="EPV125" s="40"/>
      <c r="EPW125" s="24"/>
      <c r="EPX125" s="40"/>
      <c r="EPY125" s="24"/>
      <c r="EPZ125" s="40"/>
      <c r="EQA125" s="24"/>
      <c r="EQB125" s="40"/>
      <c r="EQC125" s="24"/>
      <c r="EQD125" s="40"/>
      <c r="EQE125" s="24"/>
      <c r="EQF125" s="40"/>
      <c r="EQG125" s="24"/>
      <c r="EQH125" s="40"/>
      <c r="EQI125" s="24"/>
      <c r="EQJ125" s="40"/>
      <c r="EQK125" s="24"/>
      <c r="EQL125" s="40"/>
      <c r="EQM125" s="24"/>
      <c r="EQN125" s="40"/>
      <c r="EQO125" s="24"/>
      <c r="EQP125" s="40"/>
      <c r="EQQ125" s="24"/>
      <c r="EQR125" s="40"/>
      <c r="EQS125" s="24"/>
      <c r="EQT125" s="40"/>
      <c r="EQU125" s="24"/>
      <c r="EQV125" s="40"/>
      <c r="EQW125" s="24"/>
      <c r="EQX125" s="40"/>
      <c r="EQY125" s="24"/>
      <c r="EQZ125" s="40"/>
      <c r="ERA125" s="24"/>
      <c r="ERB125" s="40"/>
      <c r="ERC125" s="24"/>
      <c r="ERD125" s="40"/>
      <c r="ERE125" s="24"/>
      <c r="ERF125" s="40"/>
      <c r="ERG125" s="24"/>
      <c r="ERH125" s="40"/>
      <c r="ERI125" s="24"/>
      <c r="ERJ125" s="40"/>
      <c r="ERK125" s="24"/>
      <c r="ERL125" s="40"/>
      <c r="ERM125" s="24"/>
      <c r="ERN125" s="40"/>
      <c r="ERO125" s="24"/>
      <c r="ERP125" s="40"/>
      <c r="ERQ125" s="24"/>
      <c r="ERR125" s="40"/>
      <c r="ERS125" s="24"/>
      <c r="ERT125" s="40"/>
      <c r="ERU125" s="24"/>
      <c r="ERV125" s="40"/>
      <c r="ERW125" s="24"/>
      <c r="ERX125" s="40"/>
      <c r="ERY125" s="24"/>
      <c r="ERZ125" s="40"/>
      <c r="ESA125" s="24"/>
      <c r="ESB125" s="40"/>
      <c r="ESC125" s="24"/>
      <c r="ESD125" s="40"/>
      <c r="ESE125" s="24"/>
      <c r="ESF125" s="40"/>
      <c r="ESG125" s="24"/>
      <c r="ESH125" s="40"/>
      <c r="ESI125" s="24"/>
      <c r="ESJ125" s="40"/>
      <c r="ESK125" s="24"/>
      <c r="ESL125" s="40"/>
      <c r="ESM125" s="24"/>
      <c r="ESN125" s="40"/>
      <c r="ESO125" s="24"/>
      <c r="ESP125" s="40"/>
      <c r="ESQ125" s="24"/>
      <c r="ESR125" s="40"/>
      <c r="ESS125" s="24"/>
      <c r="EST125" s="40"/>
      <c r="ESU125" s="24"/>
      <c r="ESV125" s="40"/>
      <c r="ESW125" s="24"/>
      <c r="ESX125" s="40"/>
      <c r="ESY125" s="24"/>
      <c r="ESZ125" s="40"/>
      <c r="ETA125" s="24"/>
      <c r="ETB125" s="40"/>
      <c r="ETC125" s="24"/>
      <c r="ETD125" s="40"/>
      <c r="ETE125" s="24"/>
      <c r="ETF125" s="40"/>
      <c r="ETG125" s="24"/>
      <c r="ETH125" s="40"/>
      <c r="ETI125" s="24"/>
      <c r="ETJ125" s="40"/>
      <c r="ETK125" s="24"/>
      <c r="ETL125" s="40"/>
      <c r="ETM125" s="24"/>
      <c r="ETN125" s="40"/>
      <c r="ETO125" s="24"/>
      <c r="ETP125" s="40"/>
      <c r="ETQ125" s="24"/>
      <c r="ETR125" s="40"/>
      <c r="ETS125" s="24"/>
      <c r="ETT125" s="40"/>
      <c r="ETU125" s="24"/>
      <c r="ETV125" s="40"/>
      <c r="ETW125" s="24"/>
      <c r="ETX125" s="40"/>
      <c r="ETY125" s="24"/>
      <c r="ETZ125" s="40"/>
      <c r="EUA125" s="24"/>
      <c r="EUB125" s="40"/>
      <c r="EUC125" s="24"/>
      <c r="EUD125" s="40"/>
      <c r="EUE125" s="24"/>
      <c r="EUF125" s="40"/>
      <c r="EUG125" s="24"/>
      <c r="EUH125" s="40"/>
      <c r="EUI125" s="24"/>
      <c r="EUJ125" s="40"/>
      <c r="EUK125" s="24"/>
      <c r="EUL125" s="40"/>
      <c r="EUM125" s="24"/>
      <c r="EUN125" s="40"/>
      <c r="EUO125" s="24"/>
      <c r="EUP125" s="40"/>
      <c r="EUQ125" s="24"/>
      <c r="EUR125" s="40"/>
      <c r="EUS125" s="24"/>
      <c r="EUT125" s="40"/>
      <c r="EUU125" s="24"/>
      <c r="EUV125" s="40"/>
      <c r="EUW125" s="24"/>
      <c r="EUX125" s="40"/>
      <c r="EUY125" s="24"/>
      <c r="EUZ125" s="40"/>
      <c r="EVA125" s="24"/>
      <c r="EVB125" s="40"/>
      <c r="EVC125" s="24"/>
      <c r="EVD125" s="40"/>
      <c r="EVE125" s="24"/>
      <c r="EVF125" s="40"/>
      <c r="EVG125" s="24"/>
      <c r="EVH125" s="40"/>
      <c r="EVI125" s="24"/>
      <c r="EVJ125" s="40"/>
      <c r="EVK125" s="24"/>
      <c r="EVL125" s="40"/>
      <c r="EVM125" s="24"/>
      <c r="EVN125" s="40"/>
      <c r="EVO125" s="24"/>
      <c r="EVP125" s="40"/>
      <c r="EVQ125" s="24"/>
      <c r="EVR125" s="40"/>
      <c r="EVS125" s="24"/>
      <c r="EVT125" s="40"/>
      <c r="EVU125" s="24"/>
      <c r="EVV125" s="40"/>
      <c r="EVW125" s="24"/>
      <c r="EVX125" s="40"/>
      <c r="EVY125" s="24"/>
      <c r="EVZ125" s="40"/>
      <c r="EWA125" s="24"/>
      <c r="EWB125" s="40"/>
      <c r="EWC125" s="24"/>
      <c r="EWD125" s="40"/>
      <c r="EWE125" s="24"/>
      <c r="EWF125" s="40"/>
      <c r="EWG125" s="24"/>
      <c r="EWH125" s="40"/>
      <c r="EWI125" s="24"/>
      <c r="EWJ125" s="40"/>
      <c r="EWK125" s="24"/>
      <c r="EWL125" s="40"/>
      <c r="EWM125" s="24"/>
      <c r="EWN125" s="40"/>
      <c r="EWO125" s="24"/>
      <c r="EWP125" s="40"/>
      <c r="EWQ125" s="24"/>
      <c r="EWR125" s="40"/>
      <c r="EWS125" s="24"/>
      <c r="EWT125" s="40"/>
      <c r="EWU125" s="24"/>
      <c r="EWV125" s="40"/>
      <c r="EWW125" s="24"/>
      <c r="EWX125" s="40"/>
      <c r="EWY125" s="24"/>
      <c r="EWZ125" s="40"/>
      <c r="EXA125" s="24"/>
      <c r="EXB125" s="40"/>
      <c r="EXC125" s="24"/>
      <c r="EXD125" s="40"/>
      <c r="EXE125" s="24"/>
      <c r="EXF125" s="40"/>
      <c r="EXG125" s="24"/>
      <c r="EXH125" s="40"/>
      <c r="EXI125" s="24"/>
      <c r="EXJ125" s="40"/>
      <c r="EXK125" s="24"/>
      <c r="EXL125" s="40"/>
      <c r="EXM125" s="24"/>
      <c r="EXN125" s="40"/>
      <c r="EXO125" s="24"/>
      <c r="EXP125" s="40"/>
      <c r="EXQ125" s="24"/>
      <c r="EXR125" s="40"/>
      <c r="EXS125" s="24"/>
      <c r="EXT125" s="40"/>
      <c r="EXU125" s="24"/>
      <c r="EXV125" s="40"/>
      <c r="EXW125" s="24"/>
      <c r="EXX125" s="40"/>
      <c r="EXY125" s="24"/>
      <c r="EXZ125" s="40"/>
      <c r="EYA125" s="24"/>
      <c r="EYB125" s="40"/>
      <c r="EYC125" s="24"/>
      <c r="EYD125" s="40"/>
      <c r="EYE125" s="24"/>
      <c r="EYF125" s="40"/>
      <c r="EYG125" s="24"/>
      <c r="EYH125" s="40"/>
      <c r="EYI125" s="24"/>
      <c r="EYJ125" s="40"/>
      <c r="EYK125" s="24"/>
      <c r="EYL125" s="40"/>
      <c r="EYM125" s="24"/>
      <c r="EYN125" s="40"/>
      <c r="EYO125" s="24"/>
      <c r="EYP125" s="40"/>
      <c r="EYQ125" s="24"/>
      <c r="EYR125" s="40"/>
      <c r="EYS125" s="24"/>
      <c r="EYT125" s="40"/>
      <c r="EYU125" s="24"/>
      <c r="EYV125" s="40"/>
      <c r="EYW125" s="24"/>
      <c r="EYX125" s="40"/>
      <c r="EYY125" s="24"/>
      <c r="EYZ125" s="40"/>
      <c r="EZA125" s="24"/>
      <c r="EZB125" s="40"/>
      <c r="EZC125" s="24"/>
      <c r="EZD125" s="40"/>
      <c r="EZE125" s="24"/>
      <c r="EZF125" s="40"/>
      <c r="EZG125" s="24"/>
      <c r="EZH125" s="40"/>
      <c r="EZI125" s="24"/>
      <c r="EZJ125" s="40"/>
      <c r="EZK125" s="24"/>
      <c r="EZL125" s="40"/>
      <c r="EZM125" s="24"/>
      <c r="EZN125" s="40"/>
      <c r="EZO125" s="24"/>
      <c r="EZP125" s="40"/>
      <c r="EZQ125" s="24"/>
      <c r="EZR125" s="40"/>
      <c r="EZS125" s="24"/>
      <c r="EZT125" s="40"/>
      <c r="EZU125" s="24"/>
      <c r="EZV125" s="40"/>
      <c r="EZW125" s="24"/>
      <c r="EZX125" s="40"/>
      <c r="EZY125" s="24"/>
      <c r="EZZ125" s="40"/>
      <c r="FAA125" s="24"/>
      <c r="FAB125" s="40"/>
      <c r="FAC125" s="24"/>
      <c r="FAD125" s="40"/>
      <c r="FAE125" s="24"/>
      <c r="FAF125" s="40"/>
      <c r="FAG125" s="24"/>
      <c r="FAH125" s="40"/>
      <c r="FAI125" s="24"/>
      <c r="FAJ125" s="40"/>
      <c r="FAK125" s="24"/>
      <c r="FAL125" s="40"/>
      <c r="FAM125" s="24"/>
      <c r="FAN125" s="40"/>
      <c r="FAO125" s="24"/>
      <c r="FAP125" s="40"/>
      <c r="FAQ125" s="24"/>
      <c r="FAR125" s="40"/>
      <c r="FAS125" s="24"/>
      <c r="FAT125" s="40"/>
      <c r="FAU125" s="24"/>
      <c r="FAV125" s="40"/>
      <c r="FAW125" s="24"/>
      <c r="FAX125" s="40"/>
      <c r="FAY125" s="24"/>
      <c r="FAZ125" s="40"/>
      <c r="FBA125" s="24"/>
      <c r="FBB125" s="40"/>
      <c r="FBC125" s="24"/>
      <c r="FBD125" s="40"/>
      <c r="FBE125" s="24"/>
      <c r="FBF125" s="40"/>
      <c r="FBG125" s="24"/>
      <c r="FBH125" s="40"/>
      <c r="FBI125" s="24"/>
      <c r="FBJ125" s="40"/>
      <c r="FBK125" s="24"/>
      <c r="FBL125" s="40"/>
      <c r="FBM125" s="24"/>
      <c r="FBN125" s="40"/>
      <c r="FBO125" s="24"/>
      <c r="FBP125" s="40"/>
      <c r="FBQ125" s="24"/>
      <c r="FBR125" s="40"/>
      <c r="FBS125" s="24"/>
      <c r="FBT125" s="40"/>
      <c r="FBU125" s="24"/>
      <c r="FBV125" s="40"/>
      <c r="FBW125" s="24"/>
      <c r="FBX125" s="40"/>
      <c r="FBY125" s="24"/>
      <c r="FBZ125" s="40"/>
      <c r="FCA125" s="24"/>
      <c r="FCB125" s="40"/>
      <c r="FCC125" s="24"/>
      <c r="FCD125" s="40"/>
      <c r="FCE125" s="24"/>
      <c r="FCF125" s="40"/>
      <c r="FCG125" s="24"/>
      <c r="FCH125" s="40"/>
      <c r="FCI125" s="24"/>
      <c r="FCJ125" s="40"/>
      <c r="FCK125" s="24"/>
      <c r="FCL125" s="40"/>
      <c r="FCM125" s="24"/>
      <c r="FCN125" s="40"/>
      <c r="FCO125" s="24"/>
      <c r="FCP125" s="40"/>
      <c r="FCQ125" s="24"/>
      <c r="FCR125" s="40"/>
      <c r="FCS125" s="24"/>
      <c r="FCT125" s="40"/>
      <c r="FCU125" s="24"/>
      <c r="FCV125" s="40"/>
      <c r="FCW125" s="24"/>
      <c r="FCX125" s="40"/>
      <c r="FCY125" s="24"/>
      <c r="FCZ125" s="40"/>
      <c r="FDA125" s="24"/>
      <c r="FDB125" s="40"/>
      <c r="FDC125" s="24"/>
      <c r="FDD125" s="40"/>
      <c r="FDE125" s="24"/>
      <c r="FDF125" s="40"/>
      <c r="FDG125" s="24"/>
      <c r="FDH125" s="40"/>
      <c r="FDI125" s="24"/>
      <c r="FDJ125" s="40"/>
      <c r="FDK125" s="24"/>
      <c r="FDL125" s="40"/>
      <c r="FDM125" s="24"/>
      <c r="FDN125" s="40"/>
      <c r="FDO125" s="24"/>
      <c r="FDP125" s="40"/>
      <c r="FDQ125" s="24"/>
      <c r="FDR125" s="40"/>
      <c r="FDS125" s="24"/>
      <c r="FDT125" s="40"/>
      <c r="FDU125" s="24"/>
      <c r="FDV125" s="40"/>
      <c r="FDW125" s="24"/>
      <c r="FDX125" s="40"/>
      <c r="FDY125" s="24"/>
      <c r="FDZ125" s="40"/>
      <c r="FEA125" s="24"/>
      <c r="FEB125" s="40"/>
      <c r="FEC125" s="24"/>
      <c r="FED125" s="40"/>
      <c r="FEE125" s="24"/>
      <c r="FEF125" s="40"/>
      <c r="FEG125" s="24"/>
      <c r="FEH125" s="40"/>
      <c r="FEI125" s="24"/>
      <c r="FEJ125" s="40"/>
      <c r="FEK125" s="24"/>
      <c r="FEL125" s="40"/>
      <c r="FEM125" s="24"/>
      <c r="FEN125" s="40"/>
      <c r="FEO125" s="24"/>
      <c r="FEP125" s="40"/>
      <c r="FEQ125" s="24"/>
      <c r="FER125" s="40"/>
      <c r="FES125" s="24"/>
      <c r="FET125" s="40"/>
      <c r="FEU125" s="24"/>
      <c r="FEV125" s="40"/>
      <c r="FEW125" s="24"/>
      <c r="FEX125" s="40"/>
      <c r="FEY125" s="24"/>
      <c r="FEZ125" s="40"/>
      <c r="FFA125" s="24"/>
      <c r="FFB125" s="40"/>
      <c r="FFC125" s="24"/>
      <c r="FFD125" s="40"/>
      <c r="FFE125" s="24"/>
      <c r="FFF125" s="40"/>
      <c r="FFG125" s="24"/>
      <c r="FFH125" s="40"/>
      <c r="FFI125" s="24"/>
      <c r="FFJ125" s="40"/>
      <c r="FFK125" s="24"/>
      <c r="FFL125" s="40"/>
      <c r="FFM125" s="24"/>
      <c r="FFN125" s="40"/>
      <c r="FFO125" s="24"/>
      <c r="FFP125" s="40"/>
      <c r="FFQ125" s="24"/>
      <c r="FFR125" s="40"/>
      <c r="FFS125" s="24"/>
      <c r="FFT125" s="40"/>
      <c r="FFU125" s="24"/>
      <c r="FFV125" s="40"/>
      <c r="FFW125" s="24"/>
      <c r="FFX125" s="40"/>
      <c r="FFY125" s="24"/>
      <c r="FFZ125" s="40"/>
      <c r="FGA125" s="24"/>
      <c r="FGB125" s="40"/>
      <c r="FGC125" s="24"/>
      <c r="FGD125" s="40"/>
      <c r="FGE125" s="24"/>
      <c r="FGF125" s="40"/>
      <c r="FGG125" s="24"/>
      <c r="FGH125" s="40"/>
      <c r="FGI125" s="24"/>
      <c r="FGJ125" s="40"/>
      <c r="FGK125" s="24"/>
      <c r="FGL125" s="40"/>
      <c r="FGM125" s="24"/>
      <c r="FGN125" s="40"/>
      <c r="FGO125" s="24"/>
      <c r="FGP125" s="40"/>
      <c r="FGQ125" s="24"/>
      <c r="FGR125" s="40"/>
      <c r="FGS125" s="24"/>
      <c r="FGT125" s="40"/>
      <c r="FGU125" s="24"/>
      <c r="FGV125" s="40"/>
      <c r="FGW125" s="24"/>
      <c r="FGX125" s="40"/>
      <c r="FGY125" s="24"/>
      <c r="FGZ125" s="40"/>
      <c r="FHA125" s="24"/>
      <c r="FHB125" s="40"/>
      <c r="FHC125" s="24"/>
      <c r="FHD125" s="40"/>
      <c r="FHE125" s="24"/>
      <c r="FHF125" s="40"/>
      <c r="FHG125" s="24"/>
      <c r="FHH125" s="40"/>
      <c r="FHI125" s="24"/>
      <c r="FHJ125" s="40"/>
      <c r="FHK125" s="24"/>
      <c r="FHL125" s="40"/>
      <c r="FHM125" s="24"/>
      <c r="FHN125" s="40"/>
      <c r="FHO125" s="24"/>
      <c r="FHP125" s="40"/>
      <c r="FHQ125" s="24"/>
      <c r="FHR125" s="40"/>
      <c r="FHS125" s="24"/>
      <c r="FHT125" s="40"/>
      <c r="FHU125" s="24"/>
      <c r="FHV125" s="40"/>
      <c r="FHW125" s="24"/>
      <c r="FHX125" s="40"/>
      <c r="FHY125" s="24"/>
      <c r="FHZ125" s="40"/>
      <c r="FIA125" s="24"/>
      <c r="FIB125" s="40"/>
      <c r="FIC125" s="24"/>
      <c r="FID125" s="40"/>
      <c r="FIE125" s="24"/>
      <c r="FIF125" s="40"/>
      <c r="FIG125" s="24"/>
      <c r="FIH125" s="40"/>
      <c r="FII125" s="24"/>
      <c r="FIJ125" s="40"/>
      <c r="FIK125" s="24"/>
      <c r="FIL125" s="40"/>
      <c r="FIM125" s="24"/>
      <c r="FIN125" s="40"/>
      <c r="FIO125" s="24"/>
      <c r="FIP125" s="40"/>
      <c r="FIQ125" s="24"/>
      <c r="FIR125" s="40"/>
      <c r="FIS125" s="24"/>
      <c r="FIT125" s="40"/>
      <c r="FIU125" s="24"/>
      <c r="FIV125" s="40"/>
      <c r="FIW125" s="24"/>
      <c r="FIX125" s="40"/>
      <c r="FIY125" s="24"/>
      <c r="FIZ125" s="40"/>
      <c r="FJA125" s="24"/>
      <c r="FJB125" s="40"/>
      <c r="FJC125" s="24"/>
      <c r="FJD125" s="40"/>
      <c r="FJE125" s="24"/>
      <c r="FJF125" s="40"/>
      <c r="FJG125" s="24"/>
      <c r="FJH125" s="40"/>
      <c r="FJI125" s="24"/>
      <c r="FJJ125" s="40"/>
      <c r="FJK125" s="24"/>
      <c r="FJL125" s="40"/>
      <c r="FJM125" s="24"/>
      <c r="FJN125" s="40"/>
      <c r="FJO125" s="24"/>
      <c r="FJP125" s="40"/>
      <c r="FJQ125" s="24"/>
      <c r="FJR125" s="40"/>
      <c r="FJS125" s="24"/>
      <c r="FJT125" s="40"/>
      <c r="FJU125" s="24"/>
      <c r="FJV125" s="40"/>
      <c r="FJW125" s="24"/>
      <c r="FJX125" s="40"/>
      <c r="FJY125" s="24"/>
      <c r="FJZ125" s="40"/>
      <c r="FKA125" s="24"/>
      <c r="FKB125" s="40"/>
      <c r="FKC125" s="24"/>
      <c r="FKD125" s="40"/>
      <c r="FKE125" s="24"/>
      <c r="FKF125" s="40"/>
      <c r="FKG125" s="24"/>
      <c r="FKH125" s="40"/>
      <c r="FKI125" s="24"/>
      <c r="FKJ125" s="40"/>
      <c r="FKK125" s="24"/>
      <c r="FKL125" s="40"/>
      <c r="FKM125" s="24"/>
      <c r="FKN125" s="40"/>
      <c r="FKO125" s="24"/>
      <c r="FKP125" s="40"/>
      <c r="FKQ125" s="24"/>
      <c r="FKR125" s="40"/>
      <c r="FKS125" s="24"/>
      <c r="FKT125" s="40"/>
      <c r="FKU125" s="24"/>
      <c r="FKV125" s="40"/>
      <c r="FKW125" s="24"/>
      <c r="FKX125" s="40"/>
      <c r="FKY125" s="24"/>
      <c r="FKZ125" s="40"/>
      <c r="FLA125" s="24"/>
      <c r="FLB125" s="40"/>
      <c r="FLC125" s="24"/>
      <c r="FLD125" s="40"/>
      <c r="FLE125" s="24"/>
      <c r="FLF125" s="40"/>
      <c r="FLG125" s="24"/>
      <c r="FLH125" s="40"/>
      <c r="FLI125" s="24"/>
      <c r="FLJ125" s="40"/>
      <c r="FLK125" s="24"/>
      <c r="FLL125" s="40"/>
      <c r="FLM125" s="24"/>
      <c r="FLN125" s="40"/>
      <c r="FLO125" s="24"/>
      <c r="FLP125" s="40"/>
      <c r="FLQ125" s="24"/>
      <c r="FLR125" s="40"/>
      <c r="FLS125" s="24"/>
      <c r="FLT125" s="40"/>
      <c r="FLU125" s="24"/>
      <c r="FLV125" s="40"/>
      <c r="FLW125" s="24"/>
      <c r="FLX125" s="40"/>
      <c r="FLY125" s="24"/>
      <c r="FLZ125" s="40"/>
      <c r="FMA125" s="24"/>
      <c r="FMB125" s="40"/>
      <c r="FMC125" s="24"/>
      <c r="FMD125" s="40"/>
      <c r="FME125" s="24"/>
      <c r="FMF125" s="40"/>
      <c r="FMG125" s="24"/>
      <c r="FMH125" s="40"/>
      <c r="FMI125" s="24"/>
      <c r="FMJ125" s="40"/>
      <c r="FMK125" s="24"/>
      <c r="FML125" s="40"/>
      <c r="FMM125" s="24"/>
      <c r="FMN125" s="40"/>
      <c r="FMO125" s="24"/>
      <c r="FMP125" s="40"/>
      <c r="FMQ125" s="24"/>
      <c r="FMR125" s="40"/>
      <c r="FMS125" s="24"/>
      <c r="FMT125" s="40"/>
      <c r="FMU125" s="24"/>
      <c r="FMV125" s="40"/>
      <c r="FMW125" s="24"/>
      <c r="FMX125" s="40"/>
      <c r="FMY125" s="24"/>
      <c r="FMZ125" s="40"/>
      <c r="FNA125" s="24"/>
      <c r="FNB125" s="40"/>
      <c r="FNC125" s="24"/>
      <c r="FND125" s="40"/>
      <c r="FNE125" s="24"/>
      <c r="FNF125" s="40"/>
      <c r="FNG125" s="24"/>
      <c r="FNH125" s="40"/>
      <c r="FNI125" s="24"/>
      <c r="FNJ125" s="40"/>
      <c r="FNK125" s="24"/>
      <c r="FNL125" s="40"/>
      <c r="FNM125" s="24"/>
      <c r="FNN125" s="40"/>
      <c r="FNO125" s="24"/>
      <c r="FNP125" s="40"/>
      <c r="FNQ125" s="24"/>
      <c r="FNR125" s="40"/>
      <c r="FNS125" s="24"/>
      <c r="FNT125" s="40"/>
      <c r="FNU125" s="24"/>
      <c r="FNV125" s="40"/>
      <c r="FNW125" s="24"/>
      <c r="FNX125" s="40"/>
      <c r="FNY125" s="24"/>
      <c r="FNZ125" s="40"/>
      <c r="FOA125" s="24"/>
      <c r="FOB125" s="40"/>
      <c r="FOC125" s="24"/>
      <c r="FOD125" s="40"/>
      <c r="FOE125" s="24"/>
      <c r="FOF125" s="40"/>
      <c r="FOG125" s="24"/>
      <c r="FOH125" s="40"/>
      <c r="FOI125" s="24"/>
      <c r="FOJ125" s="40"/>
      <c r="FOK125" s="24"/>
      <c r="FOL125" s="40"/>
      <c r="FOM125" s="24"/>
      <c r="FON125" s="40"/>
      <c r="FOO125" s="24"/>
      <c r="FOP125" s="40"/>
      <c r="FOQ125" s="24"/>
      <c r="FOR125" s="40"/>
      <c r="FOS125" s="24"/>
      <c r="FOT125" s="40"/>
      <c r="FOU125" s="24"/>
      <c r="FOV125" s="40"/>
      <c r="FOW125" s="24"/>
      <c r="FOX125" s="40"/>
      <c r="FOY125" s="24"/>
      <c r="FOZ125" s="40"/>
      <c r="FPA125" s="24"/>
      <c r="FPB125" s="40"/>
      <c r="FPC125" s="24"/>
      <c r="FPD125" s="40"/>
      <c r="FPE125" s="24"/>
      <c r="FPF125" s="40"/>
      <c r="FPG125" s="24"/>
      <c r="FPH125" s="40"/>
      <c r="FPI125" s="24"/>
      <c r="FPJ125" s="40"/>
      <c r="FPK125" s="24"/>
      <c r="FPL125" s="40"/>
      <c r="FPM125" s="24"/>
      <c r="FPN125" s="40"/>
      <c r="FPO125" s="24"/>
      <c r="FPP125" s="40"/>
      <c r="FPQ125" s="24"/>
      <c r="FPR125" s="40"/>
      <c r="FPS125" s="24"/>
      <c r="FPT125" s="40"/>
      <c r="FPU125" s="24"/>
      <c r="FPV125" s="40"/>
      <c r="FPW125" s="24"/>
      <c r="FPX125" s="40"/>
      <c r="FPY125" s="24"/>
      <c r="FPZ125" s="40"/>
      <c r="FQA125" s="24"/>
      <c r="FQB125" s="40"/>
      <c r="FQC125" s="24"/>
      <c r="FQD125" s="40"/>
      <c r="FQE125" s="24"/>
      <c r="FQF125" s="40"/>
      <c r="FQG125" s="24"/>
      <c r="FQH125" s="40"/>
      <c r="FQI125" s="24"/>
      <c r="FQJ125" s="40"/>
      <c r="FQK125" s="24"/>
      <c r="FQL125" s="40"/>
      <c r="FQM125" s="24"/>
      <c r="FQN125" s="40"/>
      <c r="FQO125" s="24"/>
      <c r="FQP125" s="40"/>
      <c r="FQQ125" s="24"/>
      <c r="FQR125" s="40"/>
      <c r="FQS125" s="24"/>
      <c r="FQT125" s="40"/>
      <c r="FQU125" s="24"/>
      <c r="FQV125" s="40"/>
      <c r="FQW125" s="24"/>
      <c r="FQX125" s="40"/>
      <c r="FQY125" s="24"/>
      <c r="FQZ125" s="40"/>
      <c r="FRA125" s="24"/>
      <c r="FRB125" s="40"/>
      <c r="FRC125" s="24"/>
      <c r="FRD125" s="40"/>
      <c r="FRE125" s="24"/>
      <c r="FRF125" s="40"/>
      <c r="FRG125" s="24"/>
      <c r="FRH125" s="40"/>
      <c r="FRI125" s="24"/>
      <c r="FRJ125" s="40"/>
      <c r="FRK125" s="24"/>
      <c r="FRL125" s="40"/>
      <c r="FRM125" s="24"/>
      <c r="FRN125" s="40"/>
      <c r="FRO125" s="24"/>
      <c r="FRP125" s="40"/>
      <c r="FRQ125" s="24"/>
      <c r="FRR125" s="40"/>
      <c r="FRS125" s="24"/>
      <c r="FRT125" s="40"/>
      <c r="FRU125" s="24"/>
      <c r="FRV125" s="40"/>
      <c r="FRW125" s="24"/>
      <c r="FRX125" s="40"/>
      <c r="FRY125" s="24"/>
      <c r="FRZ125" s="40"/>
      <c r="FSA125" s="24"/>
      <c r="FSB125" s="40"/>
      <c r="FSC125" s="24"/>
      <c r="FSD125" s="40"/>
      <c r="FSE125" s="24"/>
      <c r="FSF125" s="40"/>
      <c r="FSG125" s="24"/>
      <c r="FSH125" s="40"/>
      <c r="FSI125" s="24"/>
      <c r="FSJ125" s="40"/>
      <c r="FSK125" s="24"/>
      <c r="FSL125" s="40"/>
      <c r="FSM125" s="24"/>
      <c r="FSN125" s="40"/>
      <c r="FSO125" s="24"/>
      <c r="FSP125" s="40"/>
      <c r="FSQ125" s="24"/>
      <c r="FSR125" s="40"/>
      <c r="FSS125" s="24"/>
      <c r="FST125" s="40"/>
      <c r="FSU125" s="24"/>
      <c r="FSV125" s="40"/>
      <c r="FSW125" s="24"/>
      <c r="FSX125" s="40"/>
      <c r="FSY125" s="24"/>
      <c r="FSZ125" s="40"/>
      <c r="FTA125" s="24"/>
      <c r="FTB125" s="40"/>
      <c r="FTC125" s="24"/>
      <c r="FTD125" s="40"/>
      <c r="FTE125" s="24"/>
      <c r="FTF125" s="40"/>
      <c r="FTG125" s="24"/>
      <c r="FTH125" s="40"/>
      <c r="FTI125" s="24"/>
      <c r="FTJ125" s="40"/>
      <c r="FTK125" s="24"/>
      <c r="FTL125" s="40"/>
      <c r="FTM125" s="24"/>
      <c r="FTN125" s="40"/>
      <c r="FTO125" s="24"/>
      <c r="FTP125" s="40"/>
      <c r="FTQ125" s="24"/>
      <c r="FTR125" s="40"/>
      <c r="FTS125" s="24"/>
      <c r="FTT125" s="40"/>
      <c r="FTU125" s="24"/>
      <c r="FTV125" s="40"/>
      <c r="FTW125" s="24"/>
      <c r="FTX125" s="40"/>
      <c r="FTY125" s="24"/>
      <c r="FTZ125" s="40"/>
      <c r="FUA125" s="24"/>
      <c r="FUB125" s="40"/>
      <c r="FUC125" s="24"/>
      <c r="FUD125" s="40"/>
      <c r="FUE125" s="24"/>
      <c r="FUF125" s="40"/>
      <c r="FUG125" s="24"/>
      <c r="FUH125" s="40"/>
      <c r="FUI125" s="24"/>
      <c r="FUJ125" s="40"/>
      <c r="FUK125" s="24"/>
      <c r="FUL125" s="40"/>
      <c r="FUM125" s="24"/>
      <c r="FUN125" s="40"/>
      <c r="FUO125" s="24"/>
      <c r="FUP125" s="40"/>
      <c r="FUQ125" s="24"/>
      <c r="FUR125" s="40"/>
      <c r="FUS125" s="24"/>
      <c r="FUT125" s="40"/>
      <c r="FUU125" s="24"/>
      <c r="FUV125" s="40"/>
      <c r="FUW125" s="24"/>
      <c r="FUX125" s="40"/>
      <c r="FUY125" s="24"/>
      <c r="FUZ125" s="40"/>
      <c r="FVA125" s="24"/>
      <c r="FVB125" s="40"/>
      <c r="FVC125" s="24"/>
      <c r="FVD125" s="40"/>
      <c r="FVE125" s="24"/>
      <c r="FVF125" s="40"/>
      <c r="FVG125" s="24"/>
      <c r="FVH125" s="40"/>
      <c r="FVI125" s="24"/>
      <c r="FVJ125" s="40"/>
      <c r="FVK125" s="24"/>
      <c r="FVL125" s="40"/>
      <c r="FVM125" s="24"/>
      <c r="FVN125" s="40"/>
      <c r="FVO125" s="24"/>
      <c r="FVP125" s="40"/>
      <c r="FVQ125" s="24"/>
      <c r="FVR125" s="40"/>
      <c r="FVS125" s="24"/>
      <c r="FVT125" s="40"/>
      <c r="FVU125" s="24"/>
      <c r="FVV125" s="40"/>
      <c r="FVW125" s="24"/>
      <c r="FVX125" s="40"/>
      <c r="FVY125" s="24"/>
      <c r="FVZ125" s="40"/>
      <c r="FWA125" s="24"/>
      <c r="FWB125" s="40"/>
      <c r="FWC125" s="24"/>
      <c r="FWD125" s="40"/>
      <c r="FWE125" s="24"/>
      <c r="FWF125" s="40"/>
      <c r="FWG125" s="24"/>
      <c r="FWH125" s="40"/>
      <c r="FWI125" s="24"/>
      <c r="FWJ125" s="40"/>
      <c r="FWK125" s="24"/>
      <c r="FWL125" s="40"/>
      <c r="FWM125" s="24"/>
      <c r="FWN125" s="40"/>
      <c r="FWO125" s="24"/>
      <c r="FWP125" s="40"/>
      <c r="FWQ125" s="24"/>
      <c r="FWR125" s="40"/>
      <c r="FWS125" s="24"/>
      <c r="FWT125" s="40"/>
      <c r="FWU125" s="24"/>
      <c r="FWV125" s="40"/>
      <c r="FWW125" s="24"/>
      <c r="FWX125" s="40"/>
      <c r="FWY125" s="24"/>
      <c r="FWZ125" s="40"/>
      <c r="FXA125" s="24"/>
      <c r="FXB125" s="40"/>
      <c r="FXC125" s="24"/>
      <c r="FXD125" s="40"/>
      <c r="FXE125" s="24"/>
      <c r="FXF125" s="40"/>
      <c r="FXG125" s="24"/>
      <c r="FXH125" s="40"/>
      <c r="FXI125" s="24"/>
      <c r="FXJ125" s="40"/>
      <c r="FXK125" s="24"/>
      <c r="FXL125" s="40"/>
      <c r="FXM125" s="24"/>
      <c r="FXN125" s="40"/>
      <c r="FXO125" s="24"/>
      <c r="FXP125" s="40"/>
      <c r="FXQ125" s="24"/>
      <c r="FXR125" s="40"/>
      <c r="FXS125" s="24"/>
      <c r="FXT125" s="40"/>
      <c r="FXU125" s="24"/>
      <c r="FXV125" s="40"/>
      <c r="FXW125" s="24"/>
      <c r="FXX125" s="40"/>
      <c r="FXY125" s="24"/>
      <c r="FXZ125" s="40"/>
      <c r="FYA125" s="24"/>
      <c r="FYB125" s="40"/>
      <c r="FYC125" s="24"/>
      <c r="FYD125" s="40"/>
      <c r="FYE125" s="24"/>
      <c r="FYF125" s="40"/>
      <c r="FYG125" s="24"/>
      <c r="FYH125" s="40"/>
      <c r="FYI125" s="24"/>
      <c r="FYJ125" s="40"/>
      <c r="FYK125" s="24"/>
      <c r="FYL125" s="40"/>
      <c r="FYM125" s="24"/>
      <c r="FYN125" s="40"/>
      <c r="FYO125" s="24"/>
      <c r="FYP125" s="40"/>
      <c r="FYQ125" s="24"/>
      <c r="FYR125" s="40"/>
      <c r="FYS125" s="24"/>
      <c r="FYT125" s="40"/>
      <c r="FYU125" s="24"/>
      <c r="FYV125" s="40"/>
      <c r="FYW125" s="24"/>
      <c r="FYX125" s="40"/>
      <c r="FYY125" s="24"/>
      <c r="FYZ125" s="40"/>
      <c r="FZA125" s="24"/>
      <c r="FZB125" s="40"/>
      <c r="FZC125" s="24"/>
      <c r="FZD125" s="40"/>
      <c r="FZE125" s="24"/>
      <c r="FZF125" s="40"/>
      <c r="FZG125" s="24"/>
      <c r="FZH125" s="40"/>
      <c r="FZI125" s="24"/>
      <c r="FZJ125" s="40"/>
      <c r="FZK125" s="24"/>
      <c r="FZL125" s="40"/>
      <c r="FZM125" s="24"/>
      <c r="FZN125" s="40"/>
      <c r="FZO125" s="24"/>
      <c r="FZP125" s="40"/>
      <c r="FZQ125" s="24"/>
      <c r="FZR125" s="40"/>
      <c r="FZS125" s="24"/>
      <c r="FZT125" s="40"/>
      <c r="FZU125" s="24"/>
      <c r="FZV125" s="40"/>
      <c r="FZW125" s="24"/>
      <c r="FZX125" s="40"/>
      <c r="FZY125" s="24"/>
      <c r="FZZ125" s="40"/>
      <c r="GAA125" s="24"/>
      <c r="GAB125" s="40"/>
      <c r="GAC125" s="24"/>
      <c r="GAD125" s="40"/>
      <c r="GAE125" s="24"/>
      <c r="GAF125" s="40"/>
      <c r="GAG125" s="24"/>
      <c r="GAH125" s="40"/>
      <c r="GAI125" s="24"/>
      <c r="GAJ125" s="40"/>
      <c r="GAK125" s="24"/>
      <c r="GAL125" s="40"/>
      <c r="GAM125" s="24"/>
      <c r="GAN125" s="40"/>
      <c r="GAO125" s="24"/>
      <c r="GAP125" s="40"/>
      <c r="GAQ125" s="24"/>
      <c r="GAR125" s="40"/>
      <c r="GAS125" s="24"/>
      <c r="GAT125" s="40"/>
      <c r="GAU125" s="24"/>
      <c r="GAV125" s="40"/>
      <c r="GAW125" s="24"/>
      <c r="GAX125" s="40"/>
      <c r="GAY125" s="24"/>
      <c r="GAZ125" s="40"/>
      <c r="GBA125" s="24"/>
      <c r="GBB125" s="40"/>
      <c r="GBC125" s="24"/>
      <c r="GBD125" s="40"/>
      <c r="GBE125" s="24"/>
      <c r="GBF125" s="40"/>
      <c r="GBG125" s="24"/>
      <c r="GBH125" s="40"/>
      <c r="GBI125" s="24"/>
      <c r="GBJ125" s="40"/>
      <c r="GBK125" s="24"/>
      <c r="GBL125" s="40"/>
      <c r="GBM125" s="24"/>
      <c r="GBN125" s="40"/>
      <c r="GBO125" s="24"/>
      <c r="GBP125" s="40"/>
      <c r="GBQ125" s="24"/>
      <c r="GBR125" s="40"/>
      <c r="GBS125" s="24"/>
      <c r="GBT125" s="40"/>
      <c r="GBU125" s="24"/>
      <c r="GBV125" s="40"/>
      <c r="GBW125" s="24"/>
      <c r="GBX125" s="40"/>
      <c r="GBY125" s="24"/>
      <c r="GBZ125" s="40"/>
      <c r="GCA125" s="24"/>
      <c r="GCB125" s="40"/>
      <c r="GCC125" s="24"/>
      <c r="GCD125" s="40"/>
      <c r="GCE125" s="24"/>
      <c r="GCF125" s="40"/>
      <c r="GCG125" s="24"/>
      <c r="GCH125" s="40"/>
      <c r="GCI125" s="24"/>
      <c r="GCJ125" s="40"/>
      <c r="GCK125" s="24"/>
      <c r="GCL125" s="40"/>
      <c r="GCM125" s="24"/>
      <c r="GCN125" s="40"/>
      <c r="GCO125" s="24"/>
      <c r="GCP125" s="40"/>
      <c r="GCQ125" s="24"/>
      <c r="GCR125" s="40"/>
      <c r="GCS125" s="24"/>
      <c r="GCT125" s="40"/>
      <c r="GCU125" s="24"/>
      <c r="GCV125" s="40"/>
      <c r="GCW125" s="24"/>
      <c r="GCX125" s="40"/>
      <c r="GCY125" s="24"/>
      <c r="GCZ125" s="40"/>
      <c r="GDA125" s="24"/>
      <c r="GDB125" s="40"/>
      <c r="GDC125" s="24"/>
      <c r="GDD125" s="40"/>
      <c r="GDE125" s="24"/>
      <c r="GDF125" s="40"/>
      <c r="GDG125" s="24"/>
      <c r="GDH125" s="40"/>
      <c r="GDI125" s="24"/>
      <c r="GDJ125" s="40"/>
      <c r="GDK125" s="24"/>
      <c r="GDL125" s="40"/>
      <c r="GDM125" s="24"/>
      <c r="GDN125" s="40"/>
      <c r="GDO125" s="24"/>
      <c r="GDP125" s="40"/>
      <c r="GDQ125" s="24"/>
      <c r="GDR125" s="40"/>
      <c r="GDS125" s="24"/>
      <c r="GDT125" s="40"/>
      <c r="GDU125" s="24"/>
      <c r="GDV125" s="40"/>
      <c r="GDW125" s="24"/>
      <c r="GDX125" s="40"/>
      <c r="GDY125" s="24"/>
      <c r="GDZ125" s="40"/>
      <c r="GEA125" s="24"/>
      <c r="GEB125" s="40"/>
      <c r="GEC125" s="24"/>
      <c r="GED125" s="40"/>
      <c r="GEE125" s="24"/>
      <c r="GEF125" s="40"/>
      <c r="GEG125" s="24"/>
      <c r="GEH125" s="40"/>
      <c r="GEI125" s="24"/>
      <c r="GEJ125" s="40"/>
      <c r="GEK125" s="24"/>
      <c r="GEL125" s="40"/>
      <c r="GEM125" s="24"/>
      <c r="GEN125" s="40"/>
      <c r="GEO125" s="24"/>
      <c r="GEP125" s="40"/>
      <c r="GEQ125" s="24"/>
      <c r="GER125" s="40"/>
      <c r="GES125" s="24"/>
      <c r="GET125" s="40"/>
      <c r="GEU125" s="24"/>
      <c r="GEV125" s="40"/>
      <c r="GEW125" s="24"/>
      <c r="GEX125" s="40"/>
      <c r="GEY125" s="24"/>
      <c r="GEZ125" s="40"/>
      <c r="GFA125" s="24"/>
      <c r="GFB125" s="40"/>
      <c r="GFC125" s="24"/>
      <c r="GFD125" s="40"/>
      <c r="GFE125" s="24"/>
      <c r="GFF125" s="40"/>
      <c r="GFG125" s="24"/>
      <c r="GFH125" s="40"/>
      <c r="GFI125" s="24"/>
      <c r="GFJ125" s="40"/>
      <c r="GFK125" s="24"/>
      <c r="GFL125" s="40"/>
      <c r="GFM125" s="24"/>
      <c r="GFN125" s="40"/>
      <c r="GFO125" s="24"/>
      <c r="GFP125" s="40"/>
      <c r="GFQ125" s="24"/>
      <c r="GFR125" s="40"/>
      <c r="GFS125" s="24"/>
      <c r="GFT125" s="40"/>
      <c r="GFU125" s="24"/>
      <c r="GFV125" s="40"/>
      <c r="GFW125" s="24"/>
      <c r="GFX125" s="40"/>
      <c r="GFY125" s="24"/>
      <c r="GFZ125" s="40"/>
      <c r="GGA125" s="24"/>
      <c r="GGB125" s="40"/>
      <c r="GGC125" s="24"/>
      <c r="GGD125" s="40"/>
      <c r="GGE125" s="24"/>
      <c r="GGF125" s="40"/>
      <c r="GGG125" s="24"/>
      <c r="GGH125" s="40"/>
      <c r="GGI125" s="24"/>
      <c r="GGJ125" s="40"/>
      <c r="GGK125" s="24"/>
      <c r="GGL125" s="40"/>
      <c r="GGM125" s="24"/>
      <c r="GGN125" s="40"/>
      <c r="GGO125" s="24"/>
      <c r="GGP125" s="40"/>
      <c r="GGQ125" s="24"/>
      <c r="GGR125" s="40"/>
      <c r="GGS125" s="24"/>
      <c r="GGT125" s="40"/>
      <c r="GGU125" s="24"/>
      <c r="GGV125" s="40"/>
      <c r="GGW125" s="24"/>
      <c r="GGX125" s="40"/>
      <c r="GGY125" s="24"/>
      <c r="GGZ125" s="40"/>
      <c r="GHA125" s="24"/>
      <c r="GHB125" s="40"/>
      <c r="GHC125" s="24"/>
      <c r="GHD125" s="40"/>
      <c r="GHE125" s="24"/>
      <c r="GHF125" s="40"/>
      <c r="GHG125" s="24"/>
      <c r="GHH125" s="40"/>
      <c r="GHI125" s="24"/>
      <c r="GHJ125" s="40"/>
      <c r="GHK125" s="24"/>
      <c r="GHL125" s="40"/>
      <c r="GHM125" s="24"/>
      <c r="GHN125" s="40"/>
      <c r="GHO125" s="24"/>
      <c r="GHP125" s="40"/>
      <c r="GHQ125" s="24"/>
      <c r="GHR125" s="40"/>
      <c r="GHS125" s="24"/>
      <c r="GHT125" s="40"/>
      <c r="GHU125" s="24"/>
      <c r="GHV125" s="40"/>
      <c r="GHW125" s="24"/>
      <c r="GHX125" s="40"/>
      <c r="GHY125" s="24"/>
      <c r="GHZ125" s="40"/>
      <c r="GIA125" s="24"/>
      <c r="GIB125" s="40"/>
      <c r="GIC125" s="24"/>
      <c r="GID125" s="40"/>
      <c r="GIE125" s="24"/>
      <c r="GIF125" s="40"/>
      <c r="GIG125" s="24"/>
      <c r="GIH125" s="40"/>
      <c r="GII125" s="24"/>
      <c r="GIJ125" s="40"/>
      <c r="GIK125" s="24"/>
      <c r="GIL125" s="40"/>
      <c r="GIM125" s="24"/>
      <c r="GIN125" s="40"/>
      <c r="GIO125" s="24"/>
      <c r="GIP125" s="40"/>
      <c r="GIQ125" s="24"/>
      <c r="GIR125" s="40"/>
      <c r="GIS125" s="24"/>
      <c r="GIT125" s="40"/>
      <c r="GIU125" s="24"/>
      <c r="GIV125" s="40"/>
      <c r="GIW125" s="24"/>
      <c r="GIX125" s="40"/>
      <c r="GIY125" s="24"/>
      <c r="GIZ125" s="40"/>
      <c r="GJA125" s="24"/>
      <c r="GJB125" s="40"/>
      <c r="GJC125" s="24"/>
      <c r="GJD125" s="40"/>
      <c r="GJE125" s="24"/>
      <c r="GJF125" s="40"/>
      <c r="GJG125" s="24"/>
      <c r="GJH125" s="40"/>
      <c r="GJI125" s="24"/>
      <c r="GJJ125" s="40"/>
      <c r="GJK125" s="24"/>
      <c r="GJL125" s="40"/>
      <c r="GJM125" s="24"/>
      <c r="GJN125" s="40"/>
      <c r="GJO125" s="24"/>
      <c r="GJP125" s="40"/>
      <c r="GJQ125" s="24"/>
      <c r="GJR125" s="40"/>
      <c r="GJS125" s="24"/>
      <c r="GJT125" s="40"/>
      <c r="GJU125" s="24"/>
      <c r="GJV125" s="40"/>
      <c r="GJW125" s="24"/>
      <c r="GJX125" s="40"/>
      <c r="GJY125" s="24"/>
      <c r="GJZ125" s="40"/>
      <c r="GKA125" s="24"/>
      <c r="GKB125" s="40"/>
      <c r="GKC125" s="24"/>
      <c r="GKD125" s="40"/>
      <c r="GKE125" s="24"/>
      <c r="GKF125" s="40"/>
      <c r="GKG125" s="24"/>
      <c r="GKH125" s="40"/>
      <c r="GKI125" s="24"/>
      <c r="GKJ125" s="40"/>
      <c r="GKK125" s="24"/>
      <c r="GKL125" s="40"/>
      <c r="GKM125" s="24"/>
      <c r="GKN125" s="40"/>
      <c r="GKO125" s="24"/>
      <c r="GKP125" s="40"/>
      <c r="GKQ125" s="24"/>
      <c r="GKR125" s="40"/>
      <c r="GKS125" s="24"/>
      <c r="GKT125" s="40"/>
      <c r="GKU125" s="24"/>
      <c r="GKV125" s="40"/>
      <c r="GKW125" s="24"/>
      <c r="GKX125" s="40"/>
      <c r="GKY125" s="24"/>
      <c r="GKZ125" s="40"/>
      <c r="GLA125" s="24"/>
      <c r="GLB125" s="40"/>
      <c r="GLC125" s="24"/>
      <c r="GLD125" s="40"/>
      <c r="GLE125" s="24"/>
      <c r="GLF125" s="40"/>
      <c r="GLG125" s="24"/>
      <c r="GLH125" s="40"/>
      <c r="GLI125" s="24"/>
      <c r="GLJ125" s="40"/>
      <c r="GLK125" s="24"/>
      <c r="GLL125" s="40"/>
      <c r="GLM125" s="24"/>
      <c r="GLN125" s="40"/>
      <c r="GLO125" s="24"/>
      <c r="GLP125" s="40"/>
      <c r="GLQ125" s="24"/>
      <c r="GLR125" s="40"/>
      <c r="GLS125" s="24"/>
      <c r="GLT125" s="40"/>
      <c r="GLU125" s="24"/>
      <c r="GLV125" s="40"/>
      <c r="GLW125" s="24"/>
      <c r="GLX125" s="40"/>
      <c r="GLY125" s="24"/>
      <c r="GLZ125" s="40"/>
      <c r="GMA125" s="24"/>
      <c r="GMB125" s="40"/>
      <c r="GMC125" s="24"/>
      <c r="GMD125" s="40"/>
      <c r="GME125" s="24"/>
      <c r="GMF125" s="40"/>
      <c r="GMG125" s="24"/>
      <c r="GMH125" s="40"/>
      <c r="GMI125" s="24"/>
      <c r="GMJ125" s="40"/>
      <c r="GMK125" s="24"/>
      <c r="GML125" s="40"/>
      <c r="GMM125" s="24"/>
      <c r="GMN125" s="40"/>
      <c r="GMO125" s="24"/>
      <c r="GMP125" s="40"/>
      <c r="GMQ125" s="24"/>
      <c r="GMR125" s="40"/>
      <c r="GMS125" s="24"/>
      <c r="GMT125" s="40"/>
      <c r="GMU125" s="24"/>
      <c r="GMV125" s="40"/>
      <c r="GMW125" s="24"/>
      <c r="GMX125" s="40"/>
      <c r="GMY125" s="24"/>
      <c r="GMZ125" s="40"/>
      <c r="GNA125" s="24"/>
      <c r="GNB125" s="40"/>
      <c r="GNC125" s="24"/>
      <c r="GND125" s="40"/>
      <c r="GNE125" s="24"/>
      <c r="GNF125" s="40"/>
      <c r="GNG125" s="24"/>
      <c r="GNH125" s="40"/>
      <c r="GNI125" s="24"/>
      <c r="GNJ125" s="40"/>
      <c r="GNK125" s="24"/>
      <c r="GNL125" s="40"/>
      <c r="GNM125" s="24"/>
      <c r="GNN125" s="40"/>
      <c r="GNO125" s="24"/>
      <c r="GNP125" s="40"/>
      <c r="GNQ125" s="24"/>
      <c r="GNR125" s="40"/>
      <c r="GNS125" s="24"/>
      <c r="GNT125" s="40"/>
      <c r="GNU125" s="24"/>
      <c r="GNV125" s="40"/>
      <c r="GNW125" s="24"/>
      <c r="GNX125" s="40"/>
      <c r="GNY125" s="24"/>
      <c r="GNZ125" s="40"/>
      <c r="GOA125" s="24"/>
      <c r="GOB125" s="40"/>
      <c r="GOC125" s="24"/>
      <c r="GOD125" s="40"/>
      <c r="GOE125" s="24"/>
      <c r="GOF125" s="40"/>
      <c r="GOG125" s="24"/>
      <c r="GOH125" s="40"/>
      <c r="GOI125" s="24"/>
      <c r="GOJ125" s="40"/>
      <c r="GOK125" s="24"/>
      <c r="GOL125" s="40"/>
      <c r="GOM125" s="24"/>
      <c r="GON125" s="40"/>
      <c r="GOO125" s="24"/>
      <c r="GOP125" s="40"/>
      <c r="GOQ125" s="24"/>
      <c r="GOR125" s="40"/>
      <c r="GOS125" s="24"/>
      <c r="GOT125" s="40"/>
      <c r="GOU125" s="24"/>
      <c r="GOV125" s="40"/>
      <c r="GOW125" s="24"/>
      <c r="GOX125" s="40"/>
      <c r="GOY125" s="24"/>
      <c r="GOZ125" s="40"/>
      <c r="GPA125" s="24"/>
      <c r="GPB125" s="40"/>
      <c r="GPC125" s="24"/>
      <c r="GPD125" s="40"/>
      <c r="GPE125" s="24"/>
      <c r="GPF125" s="40"/>
      <c r="GPG125" s="24"/>
      <c r="GPH125" s="40"/>
      <c r="GPI125" s="24"/>
      <c r="GPJ125" s="40"/>
      <c r="GPK125" s="24"/>
      <c r="GPL125" s="40"/>
      <c r="GPM125" s="24"/>
      <c r="GPN125" s="40"/>
      <c r="GPO125" s="24"/>
      <c r="GPP125" s="40"/>
      <c r="GPQ125" s="24"/>
      <c r="GPR125" s="40"/>
      <c r="GPS125" s="24"/>
      <c r="GPT125" s="40"/>
      <c r="GPU125" s="24"/>
      <c r="GPV125" s="40"/>
      <c r="GPW125" s="24"/>
      <c r="GPX125" s="40"/>
      <c r="GPY125" s="24"/>
      <c r="GPZ125" s="40"/>
      <c r="GQA125" s="24"/>
      <c r="GQB125" s="40"/>
      <c r="GQC125" s="24"/>
      <c r="GQD125" s="40"/>
      <c r="GQE125" s="24"/>
      <c r="GQF125" s="40"/>
      <c r="GQG125" s="24"/>
      <c r="GQH125" s="40"/>
      <c r="GQI125" s="24"/>
      <c r="GQJ125" s="40"/>
      <c r="GQK125" s="24"/>
      <c r="GQL125" s="40"/>
      <c r="GQM125" s="24"/>
      <c r="GQN125" s="40"/>
      <c r="GQO125" s="24"/>
      <c r="GQP125" s="40"/>
      <c r="GQQ125" s="24"/>
      <c r="GQR125" s="40"/>
      <c r="GQS125" s="24"/>
      <c r="GQT125" s="40"/>
      <c r="GQU125" s="24"/>
      <c r="GQV125" s="40"/>
      <c r="GQW125" s="24"/>
      <c r="GQX125" s="40"/>
      <c r="GQY125" s="24"/>
      <c r="GQZ125" s="40"/>
      <c r="GRA125" s="24"/>
      <c r="GRB125" s="40"/>
      <c r="GRC125" s="24"/>
      <c r="GRD125" s="40"/>
      <c r="GRE125" s="24"/>
      <c r="GRF125" s="40"/>
      <c r="GRG125" s="24"/>
      <c r="GRH125" s="40"/>
      <c r="GRI125" s="24"/>
      <c r="GRJ125" s="40"/>
      <c r="GRK125" s="24"/>
      <c r="GRL125" s="40"/>
      <c r="GRM125" s="24"/>
      <c r="GRN125" s="40"/>
      <c r="GRO125" s="24"/>
      <c r="GRP125" s="40"/>
      <c r="GRQ125" s="24"/>
      <c r="GRR125" s="40"/>
      <c r="GRS125" s="24"/>
      <c r="GRT125" s="40"/>
      <c r="GRU125" s="24"/>
      <c r="GRV125" s="40"/>
      <c r="GRW125" s="24"/>
      <c r="GRX125" s="40"/>
      <c r="GRY125" s="24"/>
      <c r="GRZ125" s="40"/>
      <c r="GSA125" s="24"/>
      <c r="GSB125" s="40"/>
      <c r="GSC125" s="24"/>
      <c r="GSD125" s="40"/>
      <c r="GSE125" s="24"/>
      <c r="GSF125" s="40"/>
      <c r="GSG125" s="24"/>
      <c r="GSH125" s="40"/>
      <c r="GSI125" s="24"/>
      <c r="GSJ125" s="40"/>
      <c r="GSK125" s="24"/>
      <c r="GSL125" s="40"/>
      <c r="GSM125" s="24"/>
      <c r="GSN125" s="40"/>
      <c r="GSO125" s="24"/>
      <c r="GSP125" s="40"/>
      <c r="GSQ125" s="24"/>
      <c r="GSR125" s="40"/>
      <c r="GSS125" s="24"/>
      <c r="GST125" s="40"/>
      <c r="GSU125" s="24"/>
      <c r="GSV125" s="40"/>
      <c r="GSW125" s="24"/>
      <c r="GSX125" s="40"/>
      <c r="GSY125" s="24"/>
      <c r="GSZ125" s="40"/>
      <c r="GTA125" s="24"/>
      <c r="GTB125" s="40"/>
      <c r="GTC125" s="24"/>
      <c r="GTD125" s="40"/>
      <c r="GTE125" s="24"/>
      <c r="GTF125" s="40"/>
      <c r="GTG125" s="24"/>
      <c r="GTH125" s="40"/>
      <c r="GTI125" s="24"/>
      <c r="GTJ125" s="40"/>
      <c r="GTK125" s="24"/>
      <c r="GTL125" s="40"/>
      <c r="GTM125" s="24"/>
      <c r="GTN125" s="40"/>
      <c r="GTO125" s="24"/>
      <c r="GTP125" s="40"/>
      <c r="GTQ125" s="24"/>
      <c r="GTR125" s="40"/>
      <c r="GTS125" s="24"/>
      <c r="GTT125" s="40"/>
      <c r="GTU125" s="24"/>
      <c r="GTV125" s="40"/>
      <c r="GTW125" s="24"/>
      <c r="GTX125" s="40"/>
      <c r="GTY125" s="24"/>
      <c r="GTZ125" s="40"/>
      <c r="GUA125" s="24"/>
      <c r="GUB125" s="40"/>
      <c r="GUC125" s="24"/>
      <c r="GUD125" s="40"/>
      <c r="GUE125" s="24"/>
      <c r="GUF125" s="40"/>
      <c r="GUG125" s="24"/>
      <c r="GUH125" s="40"/>
      <c r="GUI125" s="24"/>
      <c r="GUJ125" s="40"/>
      <c r="GUK125" s="24"/>
      <c r="GUL125" s="40"/>
      <c r="GUM125" s="24"/>
      <c r="GUN125" s="40"/>
      <c r="GUO125" s="24"/>
      <c r="GUP125" s="40"/>
      <c r="GUQ125" s="24"/>
      <c r="GUR125" s="40"/>
      <c r="GUS125" s="24"/>
      <c r="GUT125" s="40"/>
      <c r="GUU125" s="24"/>
      <c r="GUV125" s="40"/>
      <c r="GUW125" s="24"/>
      <c r="GUX125" s="40"/>
      <c r="GUY125" s="24"/>
      <c r="GUZ125" s="40"/>
      <c r="GVA125" s="24"/>
      <c r="GVB125" s="40"/>
      <c r="GVC125" s="24"/>
      <c r="GVD125" s="40"/>
      <c r="GVE125" s="24"/>
      <c r="GVF125" s="40"/>
      <c r="GVG125" s="24"/>
      <c r="GVH125" s="40"/>
      <c r="GVI125" s="24"/>
      <c r="GVJ125" s="40"/>
      <c r="GVK125" s="24"/>
      <c r="GVL125" s="40"/>
      <c r="GVM125" s="24"/>
      <c r="GVN125" s="40"/>
      <c r="GVO125" s="24"/>
      <c r="GVP125" s="40"/>
      <c r="GVQ125" s="24"/>
      <c r="GVR125" s="40"/>
      <c r="GVS125" s="24"/>
      <c r="GVT125" s="40"/>
      <c r="GVU125" s="24"/>
      <c r="GVV125" s="40"/>
      <c r="GVW125" s="24"/>
      <c r="GVX125" s="40"/>
      <c r="GVY125" s="24"/>
      <c r="GVZ125" s="40"/>
      <c r="GWA125" s="24"/>
      <c r="GWB125" s="40"/>
      <c r="GWC125" s="24"/>
      <c r="GWD125" s="40"/>
      <c r="GWE125" s="24"/>
      <c r="GWF125" s="40"/>
      <c r="GWG125" s="24"/>
      <c r="GWH125" s="40"/>
      <c r="GWI125" s="24"/>
      <c r="GWJ125" s="40"/>
      <c r="GWK125" s="24"/>
      <c r="GWL125" s="40"/>
      <c r="GWM125" s="24"/>
      <c r="GWN125" s="40"/>
      <c r="GWO125" s="24"/>
      <c r="GWP125" s="40"/>
      <c r="GWQ125" s="24"/>
      <c r="GWR125" s="40"/>
      <c r="GWS125" s="24"/>
      <c r="GWT125" s="40"/>
      <c r="GWU125" s="24"/>
      <c r="GWV125" s="40"/>
      <c r="GWW125" s="24"/>
      <c r="GWX125" s="40"/>
      <c r="GWY125" s="24"/>
      <c r="GWZ125" s="40"/>
      <c r="GXA125" s="24"/>
      <c r="GXB125" s="40"/>
      <c r="GXC125" s="24"/>
      <c r="GXD125" s="40"/>
      <c r="GXE125" s="24"/>
      <c r="GXF125" s="40"/>
      <c r="GXG125" s="24"/>
      <c r="GXH125" s="40"/>
      <c r="GXI125" s="24"/>
      <c r="GXJ125" s="40"/>
      <c r="GXK125" s="24"/>
      <c r="GXL125" s="40"/>
      <c r="GXM125" s="24"/>
      <c r="GXN125" s="40"/>
      <c r="GXO125" s="24"/>
      <c r="GXP125" s="40"/>
      <c r="GXQ125" s="24"/>
      <c r="GXR125" s="40"/>
      <c r="GXS125" s="24"/>
      <c r="GXT125" s="40"/>
      <c r="GXU125" s="24"/>
      <c r="GXV125" s="40"/>
      <c r="GXW125" s="24"/>
      <c r="GXX125" s="40"/>
      <c r="GXY125" s="24"/>
      <c r="GXZ125" s="40"/>
      <c r="GYA125" s="24"/>
      <c r="GYB125" s="40"/>
      <c r="GYC125" s="24"/>
      <c r="GYD125" s="40"/>
      <c r="GYE125" s="24"/>
      <c r="GYF125" s="40"/>
      <c r="GYG125" s="24"/>
      <c r="GYH125" s="40"/>
      <c r="GYI125" s="24"/>
      <c r="GYJ125" s="40"/>
      <c r="GYK125" s="24"/>
      <c r="GYL125" s="40"/>
      <c r="GYM125" s="24"/>
      <c r="GYN125" s="40"/>
      <c r="GYO125" s="24"/>
      <c r="GYP125" s="40"/>
      <c r="GYQ125" s="24"/>
      <c r="GYR125" s="40"/>
      <c r="GYS125" s="24"/>
      <c r="GYT125" s="40"/>
      <c r="GYU125" s="24"/>
      <c r="GYV125" s="40"/>
      <c r="GYW125" s="24"/>
      <c r="GYX125" s="40"/>
      <c r="GYY125" s="24"/>
      <c r="GYZ125" s="40"/>
      <c r="GZA125" s="24"/>
      <c r="GZB125" s="40"/>
      <c r="GZC125" s="24"/>
      <c r="GZD125" s="40"/>
      <c r="GZE125" s="24"/>
      <c r="GZF125" s="40"/>
      <c r="GZG125" s="24"/>
      <c r="GZH125" s="40"/>
      <c r="GZI125" s="24"/>
      <c r="GZJ125" s="40"/>
      <c r="GZK125" s="24"/>
      <c r="GZL125" s="40"/>
      <c r="GZM125" s="24"/>
      <c r="GZN125" s="40"/>
      <c r="GZO125" s="24"/>
      <c r="GZP125" s="40"/>
      <c r="GZQ125" s="24"/>
      <c r="GZR125" s="40"/>
      <c r="GZS125" s="24"/>
      <c r="GZT125" s="40"/>
      <c r="GZU125" s="24"/>
      <c r="GZV125" s="40"/>
      <c r="GZW125" s="24"/>
      <c r="GZX125" s="40"/>
      <c r="GZY125" s="24"/>
      <c r="GZZ125" s="40"/>
      <c r="HAA125" s="24"/>
      <c r="HAB125" s="40"/>
      <c r="HAC125" s="24"/>
      <c r="HAD125" s="40"/>
      <c r="HAE125" s="24"/>
      <c r="HAF125" s="40"/>
      <c r="HAG125" s="24"/>
      <c r="HAH125" s="40"/>
      <c r="HAI125" s="24"/>
      <c r="HAJ125" s="40"/>
      <c r="HAK125" s="24"/>
      <c r="HAL125" s="40"/>
      <c r="HAM125" s="24"/>
      <c r="HAN125" s="40"/>
      <c r="HAO125" s="24"/>
      <c r="HAP125" s="40"/>
      <c r="HAQ125" s="24"/>
      <c r="HAR125" s="40"/>
      <c r="HAS125" s="24"/>
      <c r="HAT125" s="40"/>
      <c r="HAU125" s="24"/>
      <c r="HAV125" s="40"/>
      <c r="HAW125" s="24"/>
      <c r="HAX125" s="40"/>
      <c r="HAY125" s="24"/>
      <c r="HAZ125" s="40"/>
      <c r="HBA125" s="24"/>
      <c r="HBB125" s="40"/>
      <c r="HBC125" s="24"/>
      <c r="HBD125" s="40"/>
      <c r="HBE125" s="24"/>
      <c r="HBF125" s="40"/>
      <c r="HBG125" s="24"/>
      <c r="HBH125" s="40"/>
      <c r="HBI125" s="24"/>
      <c r="HBJ125" s="40"/>
      <c r="HBK125" s="24"/>
      <c r="HBL125" s="40"/>
      <c r="HBM125" s="24"/>
      <c r="HBN125" s="40"/>
      <c r="HBO125" s="24"/>
      <c r="HBP125" s="40"/>
      <c r="HBQ125" s="24"/>
      <c r="HBR125" s="40"/>
      <c r="HBS125" s="24"/>
      <c r="HBT125" s="40"/>
      <c r="HBU125" s="24"/>
      <c r="HBV125" s="40"/>
      <c r="HBW125" s="24"/>
      <c r="HBX125" s="40"/>
      <c r="HBY125" s="24"/>
      <c r="HBZ125" s="40"/>
      <c r="HCA125" s="24"/>
      <c r="HCB125" s="40"/>
      <c r="HCC125" s="24"/>
      <c r="HCD125" s="40"/>
      <c r="HCE125" s="24"/>
      <c r="HCF125" s="40"/>
      <c r="HCG125" s="24"/>
      <c r="HCH125" s="40"/>
      <c r="HCI125" s="24"/>
      <c r="HCJ125" s="40"/>
      <c r="HCK125" s="24"/>
      <c r="HCL125" s="40"/>
      <c r="HCM125" s="24"/>
      <c r="HCN125" s="40"/>
      <c r="HCO125" s="24"/>
      <c r="HCP125" s="40"/>
      <c r="HCQ125" s="24"/>
      <c r="HCR125" s="40"/>
      <c r="HCS125" s="24"/>
      <c r="HCT125" s="40"/>
      <c r="HCU125" s="24"/>
      <c r="HCV125" s="40"/>
      <c r="HCW125" s="24"/>
      <c r="HCX125" s="40"/>
      <c r="HCY125" s="24"/>
      <c r="HCZ125" s="40"/>
      <c r="HDA125" s="24"/>
      <c r="HDB125" s="40"/>
      <c r="HDC125" s="24"/>
      <c r="HDD125" s="40"/>
      <c r="HDE125" s="24"/>
      <c r="HDF125" s="40"/>
      <c r="HDG125" s="24"/>
      <c r="HDH125" s="40"/>
      <c r="HDI125" s="24"/>
      <c r="HDJ125" s="40"/>
      <c r="HDK125" s="24"/>
      <c r="HDL125" s="40"/>
      <c r="HDM125" s="24"/>
      <c r="HDN125" s="40"/>
      <c r="HDO125" s="24"/>
      <c r="HDP125" s="40"/>
      <c r="HDQ125" s="24"/>
      <c r="HDR125" s="40"/>
      <c r="HDS125" s="24"/>
      <c r="HDT125" s="40"/>
      <c r="HDU125" s="24"/>
      <c r="HDV125" s="40"/>
      <c r="HDW125" s="24"/>
      <c r="HDX125" s="40"/>
      <c r="HDY125" s="24"/>
      <c r="HDZ125" s="40"/>
      <c r="HEA125" s="24"/>
      <c r="HEB125" s="40"/>
      <c r="HEC125" s="24"/>
      <c r="HED125" s="40"/>
      <c r="HEE125" s="24"/>
      <c r="HEF125" s="40"/>
      <c r="HEG125" s="24"/>
      <c r="HEH125" s="40"/>
      <c r="HEI125" s="24"/>
      <c r="HEJ125" s="40"/>
      <c r="HEK125" s="24"/>
      <c r="HEL125" s="40"/>
      <c r="HEM125" s="24"/>
      <c r="HEN125" s="40"/>
      <c r="HEO125" s="24"/>
      <c r="HEP125" s="40"/>
      <c r="HEQ125" s="24"/>
      <c r="HER125" s="40"/>
      <c r="HES125" s="24"/>
      <c r="HET125" s="40"/>
      <c r="HEU125" s="24"/>
      <c r="HEV125" s="40"/>
      <c r="HEW125" s="24"/>
      <c r="HEX125" s="40"/>
      <c r="HEY125" s="24"/>
      <c r="HEZ125" s="40"/>
      <c r="HFA125" s="24"/>
      <c r="HFB125" s="40"/>
      <c r="HFC125" s="24"/>
      <c r="HFD125" s="40"/>
      <c r="HFE125" s="24"/>
      <c r="HFF125" s="40"/>
      <c r="HFG125" s="24"/>
      <c r="HFH125" s="40"/>
      <c r="HFI125" s="24"/>
      <c r="HFJ125" s="40"/>
      <c r="HFK125" s="24"/>
      <c r="HFL125" s="40"/>
      <c r="HFM125" s="24"/>
      <c r="HFN125" s="40"/>
      <c r="HFO125" s="24"/>
      <c r="HFP125" s="40"/>
      <c r="HFQ125" s="24"/>
      <c r="HFR125" s="40"/>
      <c r="HFS125" s="24"/>
      <c r="HFT125" s="40"/>
      <c r="HFU125" s="24"/>
      <c r="HFV125" s="40"/>
      <c r="HFW125" s="24"/>
      <c r="HFX125" s="40"/>
      <c r="HFY125" s="24"/>
      <c r="HFZ125" s="40"/>
      <c r="HGA125" s="24"/>
      <c r="HGB125" s="40"/>
      <c r="HGC125" s="24"/>
      <c r="HGD125" s="40"/>
      <c r="HGE125" s="24"/>
      <c r="HGF125" s="40"/>
      <c r="HGG125" s="24"/>
      <c r="HGH125" s="40"/>
      <c r="HGI125" s="24"/>
      <c r="HGJ125" s="40"/>
      <c r="HGK125" s="24"/>
      <c r="HGL125" s="40"/>
      <c r="HGM125" s="24"/>
      <c r="HGN125" s="40"/>
      <c r="HGO125" s="24"/>
      <c r="HGP125" s="40"/>
      <c r="HGQ125" s="24"/>
      <c r="HGR125" s="40"/>
      <c r="HGS125" s="24"/>
      <c r="HGT125" s="40"/>
      <c r="HGU125" s="24"/>
      <c r="HGV125" s="40"/>
      <c r="HGW125" s="24"/>
      <c r="HGX125" s="40"/>
      <c r="HGY125" s="24"/>
      <c r="HGZ125" s="40"/>
      <c r="HHA125" s="24"/>
      <c r="HHB125" s="40"/>
      <c r="HHC125" s="24"/>
      <c r="HHD125" s="40"/>
      <c r="HHE125" s="24"/>
      <c r="HHF125" s="40"/>
      <c r="HHG125" s="24"/>
      <c r="HHH125" s="40"/>
      <c r="HHI125" s="24"/>
      <c r="HHJ125" s="40"/>
      <c r="HHK125" s="24"/>
      <c r="HHL125" s="40"/>
      <c r="HHM125" s="24"/>
      <c r="HHN125" s="40"/>
      <c r="HHO125" s="24"/>
      <c r="HHP125" s="40"/>
      <c r="HHQ125" s="24"/>
      <c r="HHR125" s="40"/>
      <c r="HHS125" s="24"/>
      <c r="HHT125" s="40"/>
      <c r="HHU125" s="24"/>
      <c r="HHV125" s="40"/>
      <c r="HHW125" s="24"/>
      <c r="HHX125" s="40"/>
      <c r="HHY125" s="24"/>
      <c r="HHZ125" s="40"/>
      <c r="HIA125" s="24"/>
      <c r="HIB125" s="40"/>
      <c r="HIC125" s="24"/>
      <c r="HID125" s="40"/>
      <c r="HIE125" s="24"/>
      <c r="HIF125" s="40"/>
      <c r="HIG125" s="24"/>
      <c r="HIH125" s="40"/>
      <c r="HII125" s="24"/>
      <c r="HIJ125" s="40"/>
      <c r="HIK125" s="24"/>
      <c r="HIL125" s="40"/>
      <c r="HIM125" s="24"/>
      <c r="HIN125" s="40"/>
      <c r="HIO125" s="24"/>
      <c r="HIP125" s="40"/>
      <c r="HIQ125" s="24"/>
      <c r="HIR125" s="40"/>
      <c r="HIS125" s="24"/>
      <c r="HIT125" s="40"/>
      <c r="HIU125" s="24"/>
      <c r="HIV125" s="40"/>
      <c r="HIW125" s="24"/>
      <c r="HIX125" s="40"/>
      <c r="HIY125" s="24"/>
      <c r="HIZ125" s="40"/>
      <c r="HJA125" s="24"/>
      <c r="HJB125" s="40"/>
      <c r="HJC125" s="24"/>
      <c r="HJD125" s="40"/>
      <c r="HJE125" s="24"/>
      <c r="HJF125" s="40"/>
      <c r="HJG125" s="24"/>
      <c r="HJH125" s="40"/>
      <c r="HJI125" s="24"/>
      <c r="HJJ125" s="40"/>
      <c r="HJK125" s="24"/>
      <c r="HJL125" s="40"/>
      <c r="HJM125" s="24"/>
      <c r="HJN125" s="40"/>
      <c r="HJO125" s="24"/>
      <c r="HJP125" s="40"/>
      <c r="HJQ125" s="24"/>
      <c r="HJR125" s="40"/>
      <c r="HJS125" s="24"/>
      <c r="HJT125" s="40"/>
      <c r="HJU125" s="24"/>
      <c r="HJV125" s="40"/>
      <c r="HJW125" s="24"/>
      <c r="HJX125" s="40"/>
      <c r="HJY125" s="24"/>
      <c r="HJZ125" s="40"/>
      <c r="HKA125" s="24"/>
      <c r="HKB125" s="40"/>
      <c r="HKC125" s="24"/>
      <c r="HKD125" s="40"/>
      <c r="HKE125" s="24"/>
      <c r="HKF125" s="40"/>
      <c r="HKG125" s="24"/>
      <c r="HKH125" s="40"/>
      <c r="HKI125" s="24"/>
      <c r="HKJ125" s="40"/>
      <c r="HKK125" s="24"/>
      <c r="HKL125" s="40"/>
      <c r="HKM125" s="24"/>
      <c r="HKN125" s="40"/>
      <c r="HKO125" s="24"/>
      <c r="HKP125" s="40"/>
      <c r="HKQ125" s="24"/>
      <c r="HKR125" s="40"/>
      <c r="HKS125" s="24"/>
      <c r="HKT125" s="40"/>
      <c r="HKU125" s="24"/>
      <c r="HKV125" s="40"/>
      <c r="HKW125" s="24"/>
      <c r="HKX125" s="40"/>
      <c r="HKY125" s="24"/>
      <c r="HKZ125" s="40"/>
      <c r="HLA125" s="24"/>
      <c r="HLB125" s="40"/>
      <c r="HLC125" s="24"/>
      <c r="HLD125" s="40"/>
      <c r="HLE125" s="24"/>
      <c r="HLF125" s="40"/>
      <c r="HLG125" s="24"/>
      <c r="HLH125" s="40"/>
      <c r="HLI125" s="24"/>
      <c r="HLJ125" s="40"/>
      <c r="HLK125" s="24"/>
      <c r="HLL125" s="40"/>
      <c r="HLM125" s="24"/>
      <c r="HLN125" s="40"/>
      <c r="HLO125" s="24"/>
      <c r="HLP125" s="40"/>
      <c r="HLQ125" s="24"/>
      <c r="HLR125" s="40"/>
      <c r="HLS125" s="24"/>
      <c r="HLT125" s="40"/>
      <c r="HLU125" s="24"/>
      <c r="HLV125" s="40"/>
      <c r="HLW125" s="24"/>
      <c r="HLX125" s="40"/>
      <c r="HLY125" s="24"/>
      <c r="HLZ125" s="40"/>
      <c r="HMA125" s="24"/>
      <c r="HMB125" s="40"/>
      <c r="HMC125" s="24"/>
      <c r="HMD125" s="40"/>
      <c r="HME125" s="24"/>
      <c r="HMF125" s="40"/>
      <c r="HMG125" s="24"/>
      <c r="HMH125" s="40"/>
      <c r="HMI125" s="24"/>
      <c r="HMJ125" s="40"/>
      <c r="HMK125" s="24"/>
      <c r="HML125" s="40"/>
      <c r="HMM125" s="24"/>
      <c r="HMN125" s="40"/>
      <c r="HMO125" s="24"/>
      <c r="HMP125" s="40"/>
      <c r="HMQ125" s="24"/>
      <c r="HMR125" s="40"/>
      <c r="HMS125" s="24"/>
      <c r="HMT125" s="40"/>
      <c r="HMU125" s="24"/>
      <c r="HMV125" s="40"/>
      <c r="HMW125" s="24"/>
      <c r="HMX125" s="40"/>
      <c r="HMY125" s="24"/>
      <c r="HMZ125" s="40"/>
      <c r="HNA125" s="24"/>
      <c r="HNB125" s="40"/>
      <c r="HNC125" s="24"/>
      <c r="HND125" s="40"/>
      <c r="HNE125" s="24"/>
      <c r="HNF125" s="40"/>
      <c r="HNG125" s="24"/>
      <c r="HNH125" s="40"/>
      <c r="HNI125" s="24"/>
      <c r="HNJ125" s="40"/>
      <c r="HNK125" s="24"/>
      <c r="HNL125" s="40"/>
      <c r="HNM125" s="24"/>
      <c r="HNN125" s="40"/>
      <c r="HNO125" s="24"/>
      <c r="HNP125" s="40"/>
      <c r="HNQ125" s="24"/>
      <c r="HNR125" s="40"/>
      <c r="HNS125" s="24"/>
      <c r="HNT125" s="40"/>
      <c r="HNU125" s="24"/>
      <c r="HNV125" s="40"/>
      <c r="HNW125" s="24"/>
      <c r="HNX125" s="40"/>
      <c r="HNY125" s="24"/>
      <c r="HNZ125" s="40"/>
      <c r="HOA125" s="24"/>
      <c r="HOB125" s="40"/>
      <c r="HOC125" s="24"/>
      <c r="HOD125" s="40"/>
      <c r="HOE125" s="24"/>
      <c r="HOF125" s="40"/>
      <c r="HOG125" s="24"/>
      <c r="HOH125" s="40"/>
      <c r="HOI125" s="24"/>
      <c r="HOJ125" s="40"/>
      <c r="HOK125" s="24"/>
      <c r="HOL125" s="40"/>
      <c r="HOM125" s="24"/>
      <c r="HON125" s="40"/>
      <c r="HOO125" s="24"/>
      <c r="HOP125" s="40"/>
      <c r="HOQ125" s="24"/>
      <c r="HOR125" s="40"/>
      <c r="HOS125" s="24"/>
      <c r="HOT125" s="40"/>
      <c r="HOU125" s="24"/>
      <c r="HOV125" s="40"/>
      <c r="HOW125" s="24"/>
      <c r="HOX125" s="40"/>
      <c r="HOY125" s="24"/>
      <c r="HOZ125" s="40"/>
      <c r="HPA125" s="24"/>
      <c r="HPB125" s="40"/>
      <c r="HPC125" s="24"/>
      <c r="HPD125" s="40"/>
      <c r="HPE125" s="24"/>
      <c r="HPF125" s="40"/>
      <c r="HPG125" s="24"/>
      <c r="HPH125" s="40"/>
      <c r="HPI125" s="24"/>
      <c r="HPJ125" s="40"/>
      <c r="HPK125" s="24"/>
      <c r="HPL125" s="40"/>
      <c r="HPM125" s="24"/>
      <c r="HPN125" s="40"/>
      <c r="HPO125" s="24"/>
      <c r="HPP125" s="40"/>
      <c r="HPQ125" s="24"/>
      <c r="HPR125" s="40"/>
      <c r="HPS125" s="24"/>
      <c r="HPT125" s="40"/>
      <c r="HPU125" s="24"/>
      <c r="HPV125" s="40"/>
      <c r="HPW125" s="24"/>
      <c r="HPX125" s="40"/>
      <c r="HPY125" s="24"/>
      <c r="HPZ125" s="40"/>
      <c r="HQA125" s="24"/>
      <c r="HQB125" s="40"/>
      <c r="HQC125" s="24"/>
      <c r="HQD125" s="40"/>
      <c r="HQE125" s="24"/>
      <c r="HQF125" s="40"/>
      <c r="HQG125" s="24"/>
      <c r="HQH125" s="40"/>
      <c r="HQI125" s="24"/>
      <c r="HQJ125" s="40"/>
      <c r="HQK125" s="24"/>
      <c r="HQL125" s="40"/>
      <c r="HQM125" s="24"/>
      <c r="HQN125" s="40"/>
      <c r="HQO125" s="24"/>
      <c r="HQP125" s="40"/>
      <c r="HQQ125" s="24"/>
      <c r="HQR125" s="40"/>
      <c r="HQS125" s="24"/>
      <c r="HQT125" s="40"/>
      <c r="HQU125" s="24"/>
      <c r="HQV125" s="40"/>
      <c r="HQW125" s="24"/>
      <c r="HQX125" s="40"/>
      <c r="HQY125" s="24"/>
      <c r="HQZ125" s="40"/>
      <c r="HRA125" s="24"/>
      <c r="HRB125" s="40"/>
      <c r="HRC125" s="24"/>
      <c r="HRD125" s="40"/>
      <c r="HRE125" s="24"/>
      <c r="HRF125" s="40"/>
      <c r="HRG125" s="24"/>
      <c r="HRH125" s="40"/>
      <c r="HRI125" s="24"/>
      <c r="HRJ125" s="40"/>
      <c r="HRK125" s="24"/>
      <c r="HRL125" s="40"/>
      <c r="HRM125" s="24"/>
      <c r="HRN125" s="40"/>
      <c r="HRO125" s="24"/>
      <c r="HRP125" s="40"/>
      <c r="HRQ125" s="24"/>
      <c r="HRR125" s="40"/>
      <c r="HRS125" s="24"/>
      <c r="HRT125" s="40"/>
      <c r="HRU125" s="24"/>
      <c r="HRV125" s="40"/>
      <c r="HRW125" s="24"/>
      <c r="HRX125" s="40"/>
      <c r="HRY125" s="24"/>
      <c r="HRZ125" s="40"/>
      <c r="HSA125" s="24"/>
      <c r="HSB125" s="40"/>
      <c r="HSC125" s="24"/>
      <c r="HSD125" s="40"/>
      <c r="HSE125" s="24"/>
      <c r="HSF125" s="40"/>
      <c r="HSG125" s="24"/>
      <c r="HSH125" s="40"/>
      <c r="HSI125" s="24"/>
      <c r="HSJ125" s="40"/>
      <c r="HSK125" s="24"/>
      <c r="HSL125" s="40"/>
      <c r="HSM125" s="24"/>
      <c r="HSN125" s="40"/>
      <c r="HSO125" s="24"/>
      <c r="HSP125" s="40"/>
      <c r="HSQ125" s="24"/>
      <c r="HSR125" s="40"/>
      <c r="HSS125" s="24"/>
      <c r="HST125" s="40"/>
      <c r="HSU125" s="24"/>
      <c r="HSV125" s="40"/>
      <c r="HSW125" s="24"/>
      <c r="HSX125" s="40"/>
      <c r="HSY125" s="24"/>
      <c r="HSZ125" s="40"/>
      <c r="HTA125" s="24"/>
      <c r="HTB125" s="40"/>
      <c r="HTC125" s="24"/>
      <c r="HTD125" s="40"/>
      <c r="HTE125" s="24"/>
      <c r="HTF125" s="40"/>
      <c r="HTG125" s="24"/>
      <c r="HTH125" s="40"/>
      <c r="HTI125" s="24"/>
      <c r="HTJ125" s="40"/>
      <c r="HTK125" s="24"/>
      <c r="HTL125" s="40"/>
      <c r="HTM125" s="24"/>
      <c r="HTN125" s="40"/>
      <c r="HTO125" s="24"/>
      <c r="HTP125" s="40"/>
      <c r="HTQ125" s="24"/>
      <c r="HTR125" s="40"/>
      <c r="HTS125" s="24"/>
      <c r="HTT125" s="40"/>
      <c r="HTU125" s="24"/>
      <c r="HTV125" s="40"/>
      <c r="HTW125" s="24"/>
      <c r="HTX125" s="40"/>
      <c r="HTY125" s="24"/>
      <c r="HTZ125" s="40"/>
      <c r="HUA125" s="24"/>
      <c r="HUB125" s="40"/>
      <c r="HUC125" s="24"/>
      <c r="HUD125" s="40"/>
      <c r="HUE125" s="24"/>
      <c r="HUF125" s="40"/>
      <c r="HUG125" s="24"/>
      <c r="HUH125" s="40"/>
      <c r="HUI125" s="24"/>
      <c r="HUJ125" s="40"/>
      <c r="HUK125" s="24"/>
      <c r="HUL125" s="40"/>
      <c r="HUM125" s="24"/>
      <c r="HUN125" s="40"/>
      <c r="HUO125" s="24"/>
      <c r="HUP125" s="40"/>
      <c r="HUQ125" s="24"/>
      <c r="HUR125" s="40"/>
      <c r="HUS125" s="24"/>
      <c r="HUT125" s="40"/>
      <c r="HUU125" s="24"/>
      <c r="HUV125" s="40"/>
      <c r="HUW125" s="24"/>
      <c r="HUX125" s="40"/>
      <c r="HUY125" s="24"/>
      <c r="HUZ125" s="40"/>
      <c r="HVA125" s="24"/>
      <c r="HVB125" s="40"/>
      <c r="HVC125" s="24"/>
      <c r="HVD125" s="40"/>
      <c r="HVE125" s="24"/>
      <c r="HVF125" s="40"/>
      <c r="HVG125" s="24"/>
      <c r="HVH125" s="40"/>
      <c r="HVI125" s="24"/>
      <c r="HVJ125" s="40"/>
      <c r="HVK125" s="24"/>
      <c r="HVL125" s="40"/>
      <c r="HVM125" s="24"/>
      <c r="HVN125" s="40"/>
      <c r="HVO125" s="24"/>
      <c r="HVP125" s="40"/>
      <c r="HVQ125" s="24"/>
      <c r="HVR125" s="40"/>
      <c r="HVS125" s="24"/>
      <c r="HVT125" s="40"/>
      <c r="HVU125" s="24"/>
      <c r="HVV125" s="40"/>
      <c r="HVW125" s="24"/>
      <c r="HVX125" s="40"/>
      <c r="HVY125" s="24"/>
      <c r="HVZ125" s="40"/>
      <c r="HWA125" s="24"/>
      <c r="HWB125" s="40"/>
      <c r="HWC125" s="24"/>
      <c r="HWD125" s="40"/>
      <c r="HWE125" s="24"/>
      <c r="HWF125" s="40"/>
      <c r="HWG125" s="24"/>
      <c r="HWH125" s="40"/>
      <c r="HWI125" s="24"/>
      <c r="HWJ125" s="40"/>
      <c r="HWK125" s="24"/>
      <c r="HWL125" s="40"/>
      <c r="HWM125" s="24"/>
      <c r="HWN125" s="40"/>
      <c r="HWO125" s="24"/>
      <c r="HWP125" s="40"/>
      <c r="HWQ125" s="24"/>
      <c r="HWR125" s="40"/>
      <c r="HWS125" s="24"/>
      <c r="HWT125" s="40"/>
      <c r="HWU125" s="24"/>
      <c r="HWV125" s="40"/>
      <c r="HWW125" s="24"/>
      <c r="HWX125" s="40"/>
      <c r="HWY125" s="24"/>
      <c r="HWZ125" s="40"/>
      <c r="HXA125" s="24"/>
      <c r="HXB125" s="40"/>
      <c r="HXC125" s="24"/>
      <c r="HXD125" s="40"/>
      <c r="HXE125" s="24"/>
      <c r="HXF125" s="40"/>
      <c r="HXG125" s="24"/>
      <c r="HXH125" s="40"/>
      <c r="HXI125" s="24"/>
      <c r="HXJ125" s="40"/>
      <c r="HXK125" s="24"/>
      <c r="HXL125" s="40"/>
      <c r="HXM125" s="24"/>
      <c r="HXN125" s="40"/>
      <c r="HXO125" s="24"/>
      <c r="HXP125" s="40"/>
      <c r="HXQ125" s="24"/>
      <c r="HXR125" s="40"/>
      <c r="HXS125" s="24"/>
      <c r="HXT125" s="40"/>
      <c r="HXU125" s="24"/>
      <c r="HXV125" s="40"/>
      <c r="HXW125" s="24"/>
      <c r="HXX125" s="40"/>
      <c r="HXY125" s="24"/>
      <c r="HXZ125" s="40"/>
      <c r="HYA125" s="24"/>
      <c r="HYB125" s="40"/>
      <c r="HYC125" s="24"/>
      <c r="HYD125" s="40"/>
      <c r="HYE125" s="24"/>
      <c r="HYF125" s="40"/>
      <c r="HYG125" s="24"/>
      <c r="HYH125" s="40"/>
      <c r="HYI125" s="24"/>
      <c r="HYJ125" s="40"/>
      <c r="HYK125" s="24"/>
      <c r="HYL125" s="40"/>
      <c r="HYM125" s="24"/>
      <c r="HYN125" s="40"/>
      <c r="HYO125" s="24"/>
      <c r="HYP125" s="40"/>
      <c r="HYQ125" s="24"/>
      <c r="HYR125" s="40"/>
      <c r="HYS125" s="24"/>
      <c r="HYT125" s="40"/>
      <c r="HYU125" s="24"/>
      <c r="HYV125" s="40"/>
      <c r="HYW125" s="24"/>
      <c r="HYX125" s="40"/>
      <c r="HYY125" s="24"/>
      <c r="HYZ125" s="40"/>
      <c r="HZA125" s="24"/>
      <c r="HZB125" s="40"/>
      <c r="HZC125" s="24"/>
      <c r="HZD125" s="40"/>
      <c r="HZE125" s="24"/>
      <c r="HZF125" s="40"/>
      <c r="HZG125" s="24"/>
      <c r="HZH125" s="40"/>
      <c r="HZI125" s="24"/>
      <c r="HZJ125" s="40"/>
      <c r="HZK125" s="24"/>
      <c r="HZL125" s="40"/>
      <c r="HZM125" s="24"/>
      <c r="HZN125" s="40"/>
      <c r="HZO125" s="24"/>
      <c r="HZP125" s="40"/>
      <c r="HZQ125" s="24"/>
      <c r="HZR125" s="40"/>
      <c r="HZS125" s="24"/>
      <c r="HZT125" s="40"/>
      <c r="HZU125" s="24"/>
      <c r="HZV125" s="40"/>
      <c r="HZW125" s="24"/>
      <c r="HZX125" s="40"/>
      <c r="HZY125" s="24"/>
      <c r="HZZ125" s="40"/>
      <c r="IAA125" s="24"/>
      <c r="IAB125" s="40"/>
      <c r="IAC125" s="24"/>
      <c r="IAD125" s="40"/>
      <c r="IAE125" s="24"/>
      <c r="IAF125" s="40"/>
      <c r="IAG125" s="24"/>
      <c r="IAH125" s="40"/>
      <c r="IAI125" s="24"/>
      <c r="IAJ125" s="40"/>
      <c r="IAK125" s="24"/>
      <c r="IAL125" s="40"/>
      <c r="IAM125" s="24"/>
      <c r="IAN125" s="40"/>
      <c r="IAO125" s="24"/>
      <c r="IAP125" s="40"/>
      <c r="IAQ125" s="24"/>
      <c r="IAR125" s="40"/>
      <c r="IAS125" s="24"/>
      <c r="IAT125" s="40"/>
      <c r="IAU125" s="24"/>
      <c r="IAV125" s="40"/>
      <c r="IAW125" s="24"/>
      <c r="IAX125" s="40"/>
      <c r="IAY125" s="24"/>
      <c r="IAZ125" s="40"/>
      <c r="IBA125" s="24"/>
      <c r="IBB125" s="40"/>
      <c r="IBC125" s="24"/>
      <c r="IBD125" s="40"/>
      <c r="IBE125" s="24"/>
      <c r="IBF125" s="40"/>
      <c r="IBG125" s="24"/>
      <c r="IBH125" s="40"/>
      <c r="IBI125" s="24"/>
      <c r="IBJ125" s="40"/>
      <c r="IBK125" s="24"/>
      <c r="IBL125" s="40"/>
      <c r="IBM125" s="24"/>
      <c r="IBN125" s="40"/>
      <c r="IBO125" s="24"/>
      <c r="IBP125" s="40"/>
      <c r="IBQ125" s="24"/>
      <c r="IBR125" s="40"/>
      <c r="IBS125" s="24"/>
      <c r="IBT125" s="40"/>
      <c r="IBU125" s="24"/>
      <c r="IBV125" s="40"/>
      <c r="IBW125" s="24"/>
      <c r="IBX125" s="40"/>
      <c r="IBY125" s="24"/>
      <c r="IBZ125" s="40"/>
      <c r="ICA125" s="24"/>
      <c r="ICB125" s="40"/>
      <c r="ICC125" s="24"/>
      <c r="ICD125" s="40"/>
      <c r="ICE125" s="24"/>
      <c r="ICF125" s="40"/>
      <c r="ICG125" s="24"/>
      <c r="ICH125" s="40"/>
      <c r="ICI125" s="24"/>
      <c r="ICJ125" s="40"/>
      <c r="ICK125" s="24"/>
      <c r="ICL125" s="40"/>
      <c r="ICM125" s="24"/>
      <c r="ICN125" s="40"/>
      <c r="ICO125" s="24"/>
      <c r="ICP125" s="40"/>
      <c r="ICQ125" s="24"/>
      <c r="ICR125" s="40"/>
      <c r="ICS125" s="24"/>
      <c r="ICT125" s="40"/>
      <c r="ICU125" s="24"/>
      <c r="ICV125" s="40"/>
      <c r="ICW125" s="24"/>
      <c r="ICX125" s="40"/>
      <c r="ICY125" s="24"/>
      <c r="ICZ125" s="40"/>
      <c r="IDA125" s="24"/>
      <c r="IDB125" s="40"/>
      <c r="IDC125" s="24"/>
      <c r="IDD125" s="40"/>
      <c r="IDE125" s="24"/>
      <c r="IDF125" s="40"/>
      <c r="IDG125" s="24"/>
      <c r="IDH125" s="40"/>
      <c r="IDI125" s="24"/>
      <c r="IDJ125" s="40"/>
      <c r="IDK125" s="24"/>
      <c r="IDL125" s="40"/>
      <c r="IDM125" s="24"/>
      <c r="IDN125" s="40"/>
      <c r="IDO125" s="24"/>
      <c r="IDP125" s="40"/>
      <c r="IDQ125" s="24"/>
      <c r="IDR125" s="40"/>
      <c r="IDS125" s="24"/>
      <c r="IDT125" s="40"/>
      <c r="IDU125" s="24"/>
      <c r="IDV125" s="40"/>
      <c r="IDW125" s="24"/>
      <c r="IDX125" s="40"/>
      <c r="IDY125" s="24"/>
      <c r="IDZ125" s="40"/>
      <c r="IEA125" s="24"/>
      <c r="IEB125" s="40"/>
      <c r="IEC125" s="24"/>
      <c r="IED125" s="40"/>
      <c r="IEE125" s="24"/>
      <c r="IEF125" s="40"/>
      <c r="IEG125" s="24"/>
      <c r="IEH125" s="40"/>
      <c r="IEI125" s="24"/>
      <c r="IEJ125" s="40"/>
      <c r="IEK125" s="24"/>
      <c r="IEL125" s="40"/>
      <c r="IEM125" s="24"/>
      <c r="IEN125" s="40"/>
      <c r="IEO125" s="24"/>
      <c r="IEP125" s="40"/>
      <c r="IEQ125" s="24"/>
      <c r="IER125" s="40"/>
      <c r="IES125" s="24"/>
      <c r="IET125" s="40"/>
      <c r="IEU125" s="24"/>
      <c r="IEV125" s="40"/>
      <c r="IEW125" s="24"/>
      <c r="IEX125" s="40"/>
      <c r="IEY125" s="24"/>
      <c r="IEZ125" s="40"/>
      <c r="IFA125" s="24"/>
      <c r="IFB125" s="40"/>
      <c r="IFC125" s="24"/>
      <c r="IFD125" s="40"/>
      <c r="IFE125" s="24"/>
      <c r="IFF125" s="40"/>
      <c r="IFG125" s="24"/>
      <c r="IFH125" s="40"/>
      <c r="IFI125" s="24"/>
      <c r="IFJ125" s="40"/>
      <c r="IFK125" s="24"/>
      <c r="IFL125" s="40"/>
      <c r="IFM125" s="24"/>
      <c r="IFN125" s="40"/>
      <c r="IFO125" s="24"/>
      <c r="IFP125" s="40"/>
      <c r="IFQ125" s="24"/>
      <c r="IFR125" s="40"/>
      <c r="IFS125" s="24"/>
      <c r="IFT125" s="40"/>
      <c r="IFU125" s="24"/>
      <c r="IFV125" s="40"/>
      <c r="IFW125" s="24"/>
      <c r="IFX125" s="40"/>
      <c r="IFY125" s="24"/>
      <c r="IFZ125" s="40"/>
      <c r="IGA125" s="24"/>
      <c r="IGB125" s="40"/>
      <c r="IGC125" s="24"/>
      <c r="IGD125" s="40"/>
      <c r="IGE125" s="24"/>
      <c r="IGF125" s="40"/>
      <c r="IGG125" s="24"/>
      <c r="IGH125" s="40"/>
      <c r="IGI125" s="24"/>
      <c r="IGJ125" s="40"/>
      <c r="IGK125" s="24"/>
      <c r="IGL125" s="40"/>
      <c r="IGM125" s="24"/>
      <c r="IGN125" s="40"/>
      <c r="IGO125" s="24"/>
      <c r="IGP125" s="40"/>
      <c r="IGQ125" s="24"/>
      <c r="IGR125" s="40"/>
      <c r="IGS125" s="24"/>
      <c r="IGT125" s="40"/>
      <c r="IGU125" s="24"/>
      <c r="IGV125" s="40"/>
      <c r="IGW125" s="24"/>
      <c r="IGX125" s="40"/>
      <c r="IGY125" s="24"/>
      <c r="IGZ125" s="40"/>
      <c r="IHA125" s="24"/>
      <c r="IHB125" s="40"/>
      <c r="IHC125" s="24"/>
      <c r="IHD125" s="40"/>
      <c r="IHE125" s="24"/>
      <c r="IHF125" s="40"/>
      <c r="IHG125" s="24"/>
      <c r="IHH125" s="40"/>
      <c r="IHI125" s="24"/>
      <c r="IHJ125" s="40"/>
      <c r="IHK125" s="24"/>
      <c r="IHL125" s="40"/>
      <c r="IHM125" s="24"/>
      <c r="IHN125" s="40"/>
      <c r="IHO125" s="24"/>
      <c r="IHP125" s="40"/>
      <c r="IHQ125" s="24"/>
      <c r="IHR125" s="40"/>
      <c r="IHS125" s="24"/>
      <c r="IHT125" s="40"/>
      <c r="IHU125" s="24"/>
      <c r="IHV125" s="40"/>
      <c r="IHW125" s="24"/>
      <c r="IHX125" s="40"/>
      <c r="IHY125" s="24"/>
      <c r="IHZ125" s="40"/>
      <c r="IIA125" s="24"/>
      <c r="IIB125" s="40"/>
      <c r="IIC125" s="24"/>
      <c r="IID125" s="40"/>
      <c r="IIE125" s="24"/>
      <c r="IIF125" s="40"/>
      <c r="IIG125" s="24"/>
      <c r="IIH125" s="40"/>
      <c r="III125" s="24"/>
      <c r="IIJ125" s="40"/>
      <c r="IIK125" s="24"/>
      <c r="IIL125" s="40"/>
      <c r="IIM125" s="24"/>
      <c r="IIN125" s="40"/>
      <c r="IIO125" s="24"/>
      <c r="IIP125" s="40"/>
      <c r="IIQ125" s="24"/>
      <c r="IIR125" s="40"/>
      <c r="IIS125" s="24"/>
      <c r="IIT125" s="40"/>
      <c r="IIU125" s="24"/>
      <c r="IIV125" s="40"/>
      <c r="IIW125" s="24"/>
      <c r="IIX125" s="40"/>
      <c r="IIY125" s="24"/>
      <c r="IIZ125" s="40"/>
      <c r="IJA125" s="24"/>
      <c r="IJB125" s="40"/>
      <c r="IJC125" s="24"/>
      <c r="IJD125" s="40"/>
      <c r="IJE125" s="24"/>
      <c r="IJF125" s="40"/>
      <c r="IJG125" s="24"/>
      <c r="IJH125" s="40"/>
      <c r="IJI125" s="24"/>
      <c r="IJJ125" s="40"/>
      <c r="IJK125" s="24"/>
      <c r="IJL125" s="40"/>
      <c r="IJM125" s="24"/>
      <c r="IJN125" s="40"/>
      <c r="IJO125" s="24"/>
      <c r="IJP125" s="40"/>
      <c r="IJQ125" s="24"/>
      <c r="IJR125" s="40"/>
      <c r="IJS125" s="24"/>
      <c r="IJT125" s="40"/>
      <c r="IJU125" s="24"/>
      <c r="IJV125" s="40"/>
      <c r="IJW125" s="24"/>
      <c r="IJX125" s="40"/>
      <c r="IJY125" s="24"/>
      <c r="IJZ125" s="40"/>
      <c r="IKA125" s="24"/>
      <c r="IKB125" s="40"/>
      <c r="IKC125" s="24"/>
      <c r="IKD125" s="40"/>
      <c r="IKE125" s="24"/>
      <c r="IKF125" s="40"/>
      <c r="IKG125" s="24"/>
      <c r="IKH125" s="40"/>
      <c r="IKI125" s="24"/>
      <c r="IKJ125" s="40"/>
      <c r="IKK125" s="24"/>
      <c r="IKL125" s="40"/>
      <c r="IKM125" s="24"/>
      <c r="IKN125" s="40"/>
      <c r="IKO125" s="24"/>
      <c r="IKP125" s="40"/>
      <c r="IKQ125" s="24"/>
      <c r="IKR125" s="40"/>
      <c r="IKS125" s="24"/>
      <c r="IKT125" s="40"/>
      <c r="IKU125" s="24"/>
      <c r="IKV125" s="40"/>
      <c r="IKW125" s="24"/>
      <c r="IKX125" s="40"/>
      <c r="IKY125" s="24"/>
      <c r="IKZ125" s="40"/>
      <c r="ILA125" s="24"/>
      <c r="ILB125" s="40"/>
      <c r="ILC125" s="24"/>
      <c r="ILD125" s="40"/>
      <c r="ILE125" s="24"/>
      <c r="ILF125" s="40"/>
      <c r="ILG125" s="24"/>
      <c r="ILH125" s="40"/>
      <c r="ILI125" s="24"/>
      <c r="ILJ125" s="40"/>
      <c r="ILK125" s="24"/>
      <c r="ILL125" s="40"/>
      <c r="ILM125" s="24"/>
      <c r="ILN125" s="40"/>
      <c r="ILO125" s="24"/>
      <c r="ILP125" s="40"/>
      <c r="ILQ125" s="24"/>
      <c r="ILR125" s="40"/>
      <c r="ILS125" s="24"/>
      <c r="ILT125" s="40"/>
      <c r="ILU125" s="24"/>
      <c r="ILV125" s="40"/>
      <c r="ILW125" s="24"/>
      <c r="ILX125" s="40"/>
      <c r="ILY125" s="24"/>
      <c r="ILZ125" s="40"/>
      <c r="IMA125" s="24"/>
      <c r="IMB125" s="40"/>
      <c r="IMC125" s="24"/>
      <c r="IMD125" s="40"/>
      <c r="IME125" s="24"/>
      <c r="IMF125" s="40"/>
      <c r="IMG125" s="24"/>
      <c r="IMH125" s="40"/>
      <c r="IMI125" s="24"/>
      <c r="IMJ125" s="40"/>
      <c r="IMK125" s="24"/>
      <c r="IML125" s="40"/>
      <c r="IMM125" s="24"/>
      <c r="IMN125" s="40"/>
      <c r="IMO125" s="24"/>
      <c r="IMP125" s="40"/>
      <c r="IMQ125" s="24"/>
      <c r="IMR125" s="40"/>
      <c r="IMS125" s="24"/>
      <c r="IMT125" s="40"/>
      <c r="IMU125" s="24"/>
      <c r="IMV125" s="40"/>
      <c r="IMW125" s="24"/>
      <c r="IMX125" s="40"/>
      <c r="IMY125" s="24"/>
      <c r="IMZ125" s="40"/>
      <c r="INA125" s="24"/>
      <c r="INB125" s="40"/>
      <c r="INC125" s="24"/>
      <c r="IND125" s="40"/>
      <c r="INE125" s="24"/>
      <c r="INF125" s="40"/>
      <c r="ING125" s="24"/>
      <c r="INH125" s="40"/>
      <c r="INI125" s="24"/>
      <c r="INJ125" s="40"/>
      <c r="INK125" s="24"/>
      <c r="INL125" s="40"/>
      <c r="INM125" s="24"/>
      <c r="INN125" s="40"/>
      <c r="INO125" s="24"/>
      <c r="INP125" s="40"/>
      <c r="INQ125" s="24"/>
      <c r="INR125" s="40"/>
      <c r="INS125" s="24"/>
      <c r="INT125" s="40"/>
      <c r="INU125" s="24"/>
      <c r="INV125" s="40"/>
      <c r="INW125" s="24"/>
      <c r="INX125" s="40"/>
      <c r="INY125" s="24"/>
      <c r="INZ125" s="40"/>
      <c r="IOA125" s="24"/>
      <c r="IOB125" s="40"/>
      <c r="IOC125" s="24"/>
      <c r="IOD125" s="40"/>
      <c r="IOE125" s="24"/>
      <c r="IOF125" s="40"/>
      <c r="IOG125" s="24"/>
      <c r="IOH125" s="40"/>
      <c r="IOI125" s="24"/>
      <c r="IOJ125" s="40"/>
      <c r="IOK125" s="24"/>
      <c r="IOL125" s="40"/>
      <c r="IOM125" s="24"/>
      <c r="ION125" s="40"/>
      <c r="IOO125" s="24"/>
      <c r="IOP125" s="40"/>
      <c r="IOQ125" s="24"/>
      <c r="IOR125" s="40"/>
      <c r="IOS125" s="24"/>
      <c r="IOT125" s="40"/>
      <c r="IOU125" s="24"/>
      <c r="IOV125" s="40"/>
      <c r="IOW125" s="24"/>
      <c r="IOX125" s="40"/>
      <c r="IOY125" s="24"/>
      <c r="IOZ125" s="40"/>
      <c r="IPA125" s="24"/>
      <c r="IPB125" s="40"/>
      <c r="IPC125" s="24"/>
      <c r="IPD125" s="40"/>
      <c r="IPE125" s="24"/>
      <c r="IPF125" s="40"/>
      <c r="IPG125" s="24"/>
      <c r="IPH125" s="40"/>
      <c r="IPI125" s="24"/>
      <c r="IPJ125" s="40"/>
      <c r="IPK125" s="24"/>
      <c r="IPL125" s="40"/>
      <c r="IPM125" s="24"/>
      <c r="IPN125" s="40"/>
      <c r="IPO125" s="24"/>
      <c r="IPP125" s="40"/>
      <c r="IPQ125" s="24"/>
      <c r="IPR125" s="40"/>
      <c r="IPS125" s="24"/>
      <c r="IPT125" s="40"/>
      <c r="IPU125" s="24"/>
      <c r="IPV125" s="40"/>
      <c r="IPW125" s="24"/>
      <c r="IPX125" s="40"/>
      <c r="IPY125" s="24"/>
      <c r="IPZ125" s="40"/>
      <c r="IQA125" s="24"/>
      <c r="IQB125" s="40"/>
      <c r="IQC125" s="24"/>
      <c r="IQD125" s="40"/>
      <c r="IQE125" s="24"/>
      <c r="IQF125" s="40"/>
      <c r="IQG125" s="24"/>
      <c r="IQH125" s="40"/>
      <c r="IQI125" s="24"/>
      <c r="IQJ125" s="40"/>
      <c r="IQK125" s="24"/>
      <c r="IQL125" s="40"/>
      <c r="IQM125" s="24"/>
      <c r="IQN125" s="40"/>
      <c r="IQO125" s="24"/>
      <c r="IQP125" s="40"/>
      <c r="IQQ125" s="24"/>
      <c r="IQR125" s="40"/>
      <c r="IQS125" s="24"/>
      <c r="IQT125" s="40"/>
      <c r="IQU125" s="24"/>
      <c r="IQV125" s="40"/>
      <c r="IQW125" s="24"/>
      <c r="IQX125" s="40"/>
      <c r="IQY125" s="24"/>
      <c r="IQZ125" s="40"/>
      <c r="IRA125" s="24"/>
      <c r="IRB125" s="40"/>
      <c r="IRC125" s="24"/>
      <c r="IRD125" s="40"/>
      <c r="IRE125" s="24"/>
      <c r="IRF125" s="40"/>
      <c r="IRG125" s="24"/>
      <c r="IRH125" s="40"/>
      <c r="IRI125" s="24"/>
      <c r="IRJ125" s="40"/>
      <c r="IRK125" s="24"/>
      <c r="IRL125" s="40"/>
      <c r="IRM125" s="24"/>
      <c r="IRN125" s="40"/>
      <c r="IRO125" s="24"/>
      <c r="IRP125" s="40"/>
      <c r="IRQ125" s="24"/>
      <c r="IRR125" s="40"/>
      <c r="IRS125" s="24"/>
      <c r="IRT125" s="40"/>
      <c r="IRU125" s="24"/>
      <c r="IRV125" s="40"/>
      <c r="IRW125" s="24"/>
      <c r="IRX125" s="40"/>
      <c r="IRY125" s="24"/>
      <c r="IRZ125" s="40"/>
      <c r="ISA125" s="24"/>
      <c r="ISB125" s="40"/>
      <c r="ISC125" s="24"/>
      <c r="ISD125" s="40"/>
      <c r="ISE125" s="24"/>
      <c r="ISF125" s="40"/>
      <c r="ISG125" s="24"/>
      <c r="ISH125" s="40"/>
      <c r="ISI125" s="24"/>
      <c r="ISJ125" s="40"/>
      <c r="ISK125" s="24"/>
      <c r="ISL125" s="40"/>
      <c r="ISM125" s="24"/>
      <c r="ISN125" s="40"/>
      <c r="ISO125" s="24"/>
      <c r="ISP125" s="40"/>
      <c r="ISQ125" s="24"/>
      <c r="ISR125" s="40"/>
      <c r="ISS125" s="24"/>
      <c r="IST125" s="40"/>
      <c r="ISU125" s="24"/>
      <c r="ISV125" s="40"/>
      <c r="ISW125" s="24"/>
      <c r="ISX125" s="40"/>
      <c r="ISY125" s="24"/>
      <c r="ISZ125" s="40"/>
      <c r="ITA125" s="24"/>
      <c r="ITB125" s="40"/>
      <c r="ITC125" s="24"/>
      <c r="ITD125" s="40"/>
      <c r="ITE125" s="24"/>
      <c r="ITF125" s="40"/>
      <c r="ITG125" s="24"/>
      <c r="ITH125" s="40"/>
      <c r="ITI125" s="24"/>
      <c r="ITJ125" s="40"/>
      <c r="ITK125" s="24"/>
      <c r="ITL125" s="40"/>
      <c r="ITM125" s="24"/>
      <c r="ITN125" s="40"/>
      <c r="ITO125" s="24"/>
      <c r="ITP125" s="40"/>
      <c r="ITQ125" s="24"/>
      <c r="ITR125" s="40"/>
      <c r="ITS125" s="24"/>
      <c r="ITT125" s="40"/>
      <c r="ITU125" s="24"/>
      <c r="ITV125" s="40"/>
      <c r="ITW125" s="24"/>
      <c r="ITX125" s="40"/>
      <c r="ITY125" s="24"/>
      <c r="ITZ125" s="40"/>
      <c r="IUA125" s="24"/>
      <c r="IUB125" s="40"/>
      <c r="IUC125" s="24"/>
      <c r="IUD125" s="40"/>
      <c r="IUE125" s="24"/>
      <c r="IUF125" s="40"/>
      <c r="IUG125" s="24"/>
      <c r="IUH125" s="40"/>
      <c r="IUI125" s="24"/>
      <c r="IUJ125" s="40"/>
      <c r="IUK125" s="24"/>
      <c r="IUL125" s="40"/>
      <c r="IUM125" s="24"/>
      <c r="IUN125" s="40"/>
      <c r="IUO125" s="24"/>
      <c r="IUP125" s="40"/>
      <c r="IUQ125" s="24"/>
      <c r="IUR125" s="40"/>
      <c r="IUS125" s="24"/>
      <c r="IUT125" s="40"/>
      <c r="IUU125" s="24"/>
      <c r="IUV125" s="40"/>
      <c r="IUW125" s="24"/>
      <c r="IUX125" s="40"/>
      <c r="IUY125" s="24"/>
      <c r="IUZ125" s="40"/>
      <c r="IVA125" s="24"/>
      <c r="IVB125" s="40"/>
      <c r="IVC125" s="24"/>
      <c r="IVD125" s="40"/>
      <c r="IVE125" s="24"/>
      <c r="IVF125" s="40"/>
      <c r="IVG125" s="24"/>
      <c r="IVH125" s="40"/>
      <c r="IVI125" s="24"/>
      <c r="IVJ125" s="40"/>
      <c r="IVK125" s="24"/>
      <c r="IVL125" s="40"/>
      <c r="IVM125" s="24"/>
      <c r="IVN125" s="40"/>
      <c r="IVO125" s="24"/>
      <c r="IVP125" s="40"/>
      <c r="IVQ125" s="24"/>
      <c r="IVR125" s="40"/>
      <c r="IVS125" s="24"/>
      <c r="IVT125" s="40"/>
      <c r="IVU125" s="24"/>
      <c r="IVV125" s="40"/>
      <c r="IVW125" s="24"/>
      <c r="IVX125" s="40"/>
      <c r="IVY125" s="24"/>
      <c r="IVZ125" s="40"/>
      <c r="IWA125" s="24"/>
      <c r="IWB125" s="40"/>
      <c r="IWC125" s="24"/>
      <c r="IWD125" s="40"/>
      <c r="IWE125" s="24"/>
      <c r="IWF125" s="40"/>
      <c r="IWG125" s="24"/>
      <c r="IWH125" s="40"/>
      <c r="IWI125" s="24"/>
      <c r="IWJ125" s="40"/>
      <c r="IWK125" s="24"/>
      <c r="IWL125" s="40"/>
      <c r="IWM125" s="24"/>
      <c r="IWN125" s="40"/>
      <c r="IWO125" s="24"/>
      <c r="IWP125" s="40"/>
      <c r="IWQ125" s="24"/>
      <c r="IWR125" s="40"/>
      <c r="IWS125" s="24"/>
      <c r="IWT125" s="40"/>
      <c r="IWU125" s="24"/>
      <c r="IWV125" s="40"/>
      <c r="IWW125" s="24"/>
      <c r="IWX125" s="40"/>
      <c r="IWY125" s="24"/>
      <c r="IWZ125" s="40"/>
      <c r="IXA125" s="24"/>
      <c r="IXB125" s="40"/>
      <c r="IXC125" s="24"/>
      <c r="IXD125" s="40"/>
      <c r="IXE125" s="24"/>
      <c r="IXF125" s="40"/>
      <c r="IXG125" s="24"/>
      <c r="IXH125" s="40"/>
      <c r="IXI125" s="24"/>
      <c r="IXJ125" s="40"/>
      <c r="IXK125" s="24"/>
      <c r="IXL125" s="40"/>
      <c r="IXM125" s="24"/>
      <c r="IXN125" s="40"/>
      <c r="IXO125" s="24"/>
      <c r="IXP125" s="40"/>
      <c r="IXQ125" s="24"/>
      <c r="IXR125" s="40"/>
      <c r="IXS125" s="24"/>
      <c r="IXT125" s="40"/>
      <c r="IXU125" s="24"/>
      <c r="IXV125" s="40"/>
      <c r="IXW125" s="24"/>
      <c r="IXX125" s="40"/>
      <c r="IXY125" s="24"/>
      <c r="IXZ125" s="40"/>
      <c r="IYA125" s="24"/>
      <c r="IYB125" s="40"/>
      <c r="IYC125" s="24"/>
      <c r="IYD125" s="40"/>
      <c r="IYE125" s="24"/>
      <c r="IYF125" s="40"/>
      <c r="IYG125" s="24"/>
      <c r="IYH125" s="40"/>
      <c r="IYI125" s="24"/>
      <c r="IYJ125" s="40"/>
      <c r="IYK125" s="24"/>
      <c r="IYL125" s="40"/>
      <c r="IYM125" s="24"/>
      <c r="IYN125" s="40"/>
      <c r="IYO125" s="24"/>
      <c r="IYP125" s="40"/>
      <c r="IYQ125" s="24"/>
      <c r="IYR125" s="40"/>
      <c r="IYS125" s="24"/>
      <c r="IYT125" s="40"/>
      <c r="IYU125" s="24"/>
      <c r="IYV125" s="40"/>
      <c r="IYW125" s="24"/>
      <c r="IYX125" s="40"/>
      <c r="IYY125" s="24"/>
      <c r="IYZ125" s="40"/>
      <c r="IZA125" s="24"/>
      <c r="IZB125" s="40"/>
      <c r="IZC125" s="24"/>
      <c r="IZD125" s="40"/>
      <c r="IZE125" s="24"/>
      <c r="IZF125" s="40"/>
      <c r="IZG125" s="24"/>
      <c r="IZH125" s="40"/>
      <c r="IZI125" s="24"/>
      <c r="IZJ125" s="40"/>
      <c r="IZK125" s="24"/>
      <c r="IZL125" s="40"/>
      <c r="IZM125" s="24"/>
      <c r="IZN125" s="40"/>
      <c r="IZO125" s="24"/>
      <c r="IZP125" s="40"/>
      <c r="IZQ125" s="24"/>
      <c r="IZR125" s="40"/>
      <c r="IZS125" s="24"/>
      <c r="IZT125" s="40"/>
      <c r="IZU125" s="24"/>
      <c r="IZV125" s="40"/>
      <c r="IZW125" s="24"/>
      <c r="IZX125" s="40"/>
      <c r="IZY125" s="24"/>
      <c r="IZZ125" s="40"/>
      <c r="JAA125" s="24"/>
      <c r="JAB125" s="40"/>
      <c r="JAC125" s="24"/>
      <c r="JAD125" s="40"/>
      <c r="JAE125" s="24"/>
      <c r="JAF125" s="40"/>
      <c r="JAG125" s="24"/>
      <c r="JAH125" s="40"/>
      <c r="JAI125" s="24"/>
      <c r="JAJ125" s="40"/>
      <c r="JAK125" s="24"/>
      <c r="JAL125" s="40"/>
      <c r="JAM125" s="24"/>
      <c r="JAN125" s="40"/>
      <c r="JAO125" s="24"/>
      <c r="JAP125" s="40"/>
      <c r="JAQ125" s="24"/>
      <c r="JAR125" s="40"/>
      <c r="JAS125" s="24"/>
      <c r="JAT125" s="40"/>
      <c r="JAU125" s="24"/>
      <c r="JAV125" s="40"/>
      <c r="JAW125" s="24"/>
      <c r="JAX125" s="40"/>
      <c r="JAY125" s="24"/>
      <c r="JAZ125" s="40"/>
      <c r="JBA125" s="24"/>
      <c r="JBB125" s="40"/>
      <c r="JBC125" s="24"/>
      <c r="JBD125" s="40"/>
      <c r="JBE125" s="24"/>
      <c r="JBF125" s="40"/>
      <c r="JBG125" s="24"/>
      <c r="JBH125" s="40"/>
      <c r="JBI125" s="24"/>
      <c r="JBJ125" s="40"/>
      <c r="JBK125" s="24"/>
      <c r="JBL125" s="40"/>
      <c r="JBM125" s="24"/>
      <c r="JBN125" s="40"/>
      <c r="JBO125" s="24"/>
      <c r="JBP125" s="40"/>
      <c r="JBQ125" s="24"/>
      <c r="JBR125" s="40"/>
      <c r="JBS125" s="24"/>
      <c r="JBT125" s="40"/>
      <c r="JBU125" s="24"/>
      <c r="JBV125" s="40"/>
      <c r="JBW125" s="24"/>
      <c r="JBX125" s="40"/>
      <c r="JBY125" s="24"/>
      <c r="JBZ125" s="40"/>
      <c r="JCA125" s="24"/>
      <c r="JCB125" s="40"/>
      <c r="JCC125" s="24"/>
      <c r="JCD125" s="40"/>
      <c r="JCE125" s="24"/>
      <c r="JCF125" s="40"/>
      <c r="JCG125" s="24"/>
      <c r="JCH125" s="40"/>
      <c r="JCI125" s="24"/>
      <c r="JCJ125" s="40"/>
      <c r="JCK125" s="24"/>
      <c r="JCL125" s="40"/>
      <c r="JCM125" s="24"/>
      <c r="JCN125" s="40"/>
      <c r="JCO125" s="24"/>
      <c r="JCP125" s="40"/>
      <c r="JCQ125" s="24"/>
      <c r="JCR125" s="40"/>
      <c r="JCS125" s="24"/>
      <c r="JCT125" s="40"/>
      <c r="JCU125" s="24"/>
      <c r="JCV125" s="40"/>
      <c r="JCW125" s="24"/>
      <c r="JCX125" s="40"/>
      <c r="JCY125" s="24"/>
      <c r="JCZ125" s="40"/>
      <c r="JDA125" s="24"/>
      <c r="JDB125" s="40"/>
      <c r="JDC125" s="24"/>
      <c r="JDD125" s="40"/>
      <c r="JDE125" s="24"/>
      <c r="JDF125" s="40"/>
      <c r="JDG125" s="24"/>
      <c r="JDH125" s="40"/>
      <c r="JDI125" s="24"/>
      <c r="JDJ125" s="40"/>
      <c r="JDK125" s="24"/>
      <c r="JDL125" s="40"/>
      <c r="JDM125" s="24"/>
      <c r="JDN125" s="40"/>
      <c r="JDO125" s="24"/>
      <c r="JDP125" s="40"/>
      <c r="JDQ125" s="24"/>
      <c r="JDR125" s="40"/>
      <c r="JDS125" s="24"/>
      <c r="JDT125" s="40"/>
      <c r="JDU125" s="24"/>
      <c r="JDV125" s="40"/>
      <c r="JDW125" s="24"/>
      <c r="JDX125" s="40"/>
      <c r="JDY125" s="24"/>
      <c r="JDZ125" s="40"/>
      <c r="JEA125" s="24"/>
      <c r="JEB125" s="40"/>
      <c r="JEC125" s="24"/>
      <c r="JED125" s="40"/>
      <c r="JEE125" s="24"/>
      <c r="JEF125" s="40"/>
      <c r="JEG125" s="24"/>
      <c r="JEH125" s="40"/>
      <c r="JEI125" s="24"/>
      <c r="JEJ125" s="40"/>
      <c r="JEK125" s="24"/>
      <c r="JEL125" s="40"/>
      <c r="JEM125" s="24"/>
      <c r="JEN125" s="40"/>
      <c r="JEO125" s="24"/>
      <c r="JEP125" s="40"/>
      <c r="JEQ125" s="24"/>
      <c r="JER125" s="40"/>
      <c r="JES125" s="24"/>
      <c r="JET125" s="40"/>
      <c r="JEU125" s="24"/>
      <c r="JEV125" s="40"/>
      <c r="JEW125" s="24"/>
      <c r="JEX125" s="40"/>
      <c r="JEY125" s="24"/>
      <c r="JEZ125" s="40"/>
      <c r="JFA125" s="24"/>
      <c r="JFB125" s="40"/>
      <c r="JFC125" s="24"/>
      <c r="JFD125" s="40"/>
      <c r="JFE125" s="24"/>
      <c r="JFF125" s="40"/>
      <c r="JFG125" s="24"/>
      <c r="JFH125" s="40"/>
      <c r="JFI125" s="24"/>
      <c r="JFJ125" s="40"/>
      <c r="JFK125" s="24"/>
      <c r="JFL125" s="40"/>
      <c r="JFM125" s="24"/>
      <c r="JFN125" s="40"/>
      <c r="JFO125" s="24"/>
      <c r="JFP125" s="40"/>
      <c r="JFQ125" s="24"/>
      <c r="JFR125" s="40"/>
      <c r="JFS125" s="24"/>
      <c r="JFT125" s="40"/>
      <c r="JFU125" s="24"/>
      <c r="JFV125" s="40"/>
      <c r="JFW125" s="24"/>
      <c r="JFX125" s="40"/>
      <c r="JFY125" s="24"/>
      <c r="JFZ125" s="40"/>
      <c r="JGA125" s="24"/>
      <c r="JGB125" s="40"/>
      <c r="JGC125" s="24"/>
      <c r="JGD125" s="40"/>
      <c r="JGE125" s="24"/>
      <c r="JGF125" s="40"/>
      <c r="JGG125" s="24"/>
      <c r="JGH125" s="40"/>
      <c r="JGI125" s="24"/>
      <c r="JGJ125" s="40"/>
      <c r="JGK125" s="24"/>
      <c r="JGL125" s="40"/>
      <c r="JGM125" s="24"/>
      <c r="JGN125" s="40"/>
      <c r="JGO125" s="24"/>
      <c r="JGP125" s="40"/>
      <c r="JGQ125" s="24"/>
      <c r="JGR125" s="40"/>
      <c r="JGS125" s="24"/>
      <c r="JGT125" s="40"/>
      <c r="JGU125" s="24"/>
      <c r="JGV125" s="40"/>
      <c r="JGW125" s="24"/>
      <c r="JGX125" s="40"/>
      <c r="JGY125" s="24"/>
      <c r="JGZ125" s="40"/>
      <c r="JHA125" s="24"/>
      <c r="JHB125" s="40"/>
      <c r="JHC125" s="24"/>
      <c r="JHD125" s="40"/>
      <c r="JHE125" s="24"/>
      <c r="JHF125" s="40"/>
      <c r="JHG125" s="24"/>
      <c r="JHH125" s="40"/>
      <c r="JHI125" s="24"/>
      <c r="JHJ125" s="40"/>
      <c r="JHK125" s="24"/>
      <c r="JHL125" s="40"/>
      <c r="JHM125" s="24"/>
      <c r="JHN125" s="40"/>
      <c r="JHO125" s="24"/>
      <c r="JHP125" s="40"/>
      <c r="JHQ125" s="24"/>
      <c r="JHR125" s="40"/>
      <c r="JHS125" s="24"/>
      <c r="JHT125" s="40"/>
      <c r="JHU125" s="24"/>
      <c r="JHV125" s="40"/>
      <c r="JHW125" s="24"/>
      <c r="JHX125" s="40"/>
      <c r="JHY125" s="24"/>
      <c r="JHZ125" s="40"/>
      <c r="JIA125" s="24"/>
      <c r="JIB125" s="40"/>
      <c r="JIC125" s="24"/>
      <c r="JID125" s="40"/>
      <c r="JIE125" s="24"/>
      <c r="JIF125" s="40"/>
      <c r="JIG125" s="24"/>
      <c r="JIH125" s="40"/>
      <c r="JII125" s="24"/>
      <c r="JIJ125" s="40"/>
      <c r="JIK125" s="24"/>
      <c r="JIL125" s="40"/>
      <c r="JIM125" s="24"/>
      <c r="JIN125" s="40"/>
      <c r="JIO125" s="24"/>
      <c r="JIP125" s="40"/>
      <c r="JIQ125" s="24"/>
      <c r="JIR125" s="40"/>
      <c r="JIS125" s="24"/>
      <c r="JIT125" s="40"/>
      <c r="JIU125" s="24"/>
      <c r="JIV125" s="40"/>
      <c r="JIW125" s="24"/>
      <c r="JIX125" s="40"/>
      <c r="JIY125" s="24"/>
      <c r="JIZ125" s="40"/>
      <c r="JJA125" s="24"/>
      <c r="JJB125" s="40"/>
      <c r="JJC125" s="24"/>
      <c r="JJD125" s="40"/>
      <c r="JJE125" s="24"/>
      <c r="JJF125" s="40"/>
      <c r="JJG125" s="24"/>
      <c r="JJH125" s="40"/>
      <c r="JJI125" s="24"/>
      <c r="JJJ125" s="40"/>
      <c r="JJK125" s="24"/>
      <c r="JJL125" s="40"/>
      <c r="JJM125" s="24"/>
      <c r="JJN125" s="40"/>
      <c r="JJO125" s="24"/>
      <c r="JJP125" s="40"/>
      <c r="JJQ125" s="24"/>
      <c r="JJR125" s="40"/>
      <c r="JJS125" s="24"/>
      <c r="JJT125" s="40"/>
      <c r="JJU125" s="24"/>
      <c r="JJV125" s="40"/>
      <c r="JJW125" s="24"/>
      <c r="JJX125" s="40"/>
      <c r="JJY125" s="24"/>
      <c r="JJZ125" s="40"/>
      <c r="JKA125" s="24"/>
      <c r="JKB125" s="40"/>
      <c r="JKC125" s="24"/>
      <c r="JKD125" s="40"/>
      <c r="JKE125" s="24"/>
      <c r="JKF125" s="40"/>
      <c r="JKG125" s="24"/>
      <c r="JKH125" s="40"/>
      <c r="JKI125" s="24"/>
      <c r="JKJ125" s="40"/>
      <c r="JKK125" s="24"/>
      <c r="JKL125" s="40"/>
      <c r="JKM125" s="24"/>
      <c r="JKN125" s="40"/>
      <c r="JKO125" s="24"/>
      <c r="JKP125" s="40"/>
      <c r="JKQ125" s="24"/>
      <c r="JKR125" s="40"/>
      <c r="JKS125" s="24"/>
      <c r="JKT125" s="40"/>
      <c r="JKU125" s="24"/>
      <c r="JKV125" s="40"/>
      <c r="JKW125" s="24"/>
      <c r="JKX125" s="40"/>
      <c r="JKY125" s="24"/>
      <c r="JKZ125" s="40"/>
      <c r="JLA125" s="24"/>
      <c r="JLB125" s="40"/>
      <c r="JLC125" s="24"/>
      <c r="JLD125" s="40"/>
      <c r="JLE125" s="24"/>
      <c r="JLF125" s="40"/>
      <c r="JLG125" s="24"/>
      <c r="JLH125" s="40"/>
      <c r="JLI125" s="24"/>
      <c r="JLJ125" s="40"/>
      <c r="JLK125" s="24"/>
      <c r="JLL125" s="40"/>
      <c r="JLM125" s="24"/>
      <c r="JLN125" s="40"/>
      <c r="JLO125" s="24"/>
      <c r="JLP125" s="40"/>
      <c r="JLQ125" s="24"/>
      <c r="JLR125" s="40"/>
      <c r="JLS125" s="24"/>
      <c r="JLT125" s="40"/>
      <c r="JLU125" s="24"/>
      <c r="JLV125" s="40"/>
      <c r="JLW125" s="24"/>
      <c r="JLX125" s="40"/>
      <c r="JLY125" s="24"/>
      <c r="JLZ125" s="40"/>
      <c r="JMA125" s="24"/>
      <c r="JMB125" s="40"/>
      <c r="JMC125" s="24"/>
      <c r="JMD125" s="40"/>
      <c r="JME125" s="24"/>
      <c r="JMF125" s="40"/>
      <c r="JMG125" s="24"/>
      <c r="JMH125" s="40"/>
      <c r="JMI125" s="24"/>
      <c r="JMJ125" s="40"/>
      <c r="JMK125" s="24"/>
      <c r="JML125" s="40"/>
      <c r="JMM125" s="24"/>
      <c r="JMN125" s="40"/>
      <c r="JMO125" s="24"/>
      <c r="JMP125" s="40"/>
      <c r="JMQ125" s="24"/>
      <c r="JMR125" s="40"/>
      <c r="JMS125" s="24"/>
      <c r="JMT125" s="40"/>
      <c r="JMU125" s="24"/>
      <c r="JMV125" s="40"/>
      <c r="JMW125" s="24"/>
      <c r="JMX125" s="40"/>
      <c r="JMY125" s="24"/>
      <c r="JMZ125" s="40"/>
      <c r="JNA125" s="24"/>
      <c r="JNB125" s="40"/>
      <c r="JNC125" s="24"/>
      <c r="JND125" s="40"/>
      <c r="JNE125" s="24"/>
      <c r="JNF125" s="40"/>
      <c r="JNG125" s="24"/>
      <c r="JNH125" s="40"/>
      <c r="JNI125" s="24"/>
      <c r="JNJ125" s="40"/>
      <c r="JNK125" s="24"/>
      <c r="JNL125" s="40"/>
      <c r="JNM125" s="24"/>
      <c r="JNN125" s="40"/>
      <c r="JNO125" s="24"/>
      <c r="JNP125" s="40"/>
      <c r="JNQ125" s="24"/>
      <c r="JNR125" s="40"/>
      <c r="JNS125" s="24"/>
      <c r="JNT125" s="40"/>
      <c r="JNU125" s="24"/>
      <c r="JNV125" s="40"/>
      <c r="JNW125" s="24"/>
      <c r="JNX125" s="40"/>
      <c r="JNY125" s="24"/>
      <c r="JNZ125" s="40"/>
      <c r="JOA125" s="24"/>
      <c r="JOB125" s="40"/>
      <c r="JOC125" s="24"/>
      <c r="JOD125" s="40"/>
      <c r="JOE125" s="24"/>
      <c r="JOF125" s="40"/>
      <c r="JOG125" s="24"/>
      <c r="JOH125" s="40"/>
      <c r="JOI125" s="24"/>
      <c r="JOJ125" s="40"/>
      <c r="JOK125" s="24"/>
      <c r="JOL125" s="40"/>
      <c r="JOM125" s="24"/>
      <c r="JON125" s="40"/>
      <c r="JOO125" s="24"/>
      <c r="JOP125" s="40"/>
      <c r="JOQ125" s="24"/>
      <c r="JOR125" s="40"/>
      <c r="JOS125" s="24"/>
      <c r="JOT125" s="40"/>
      <c r="JOU125" s="24"/>
      <c r="JOV125" s="40"/>
      <c r="JOW125" s="24"/>
      <c r="JOX125" s="40"/>
      <c r="JOY125" s="24"/>
      <c r="JOZ125" s="40"/>
      <c r="JPA125" s="24"/>
      <c r="JPB125" s="40"/>
      <c r="JPC125" s="24"/>
      <c r="JPD125" s="40"/>
      <c r="JPE125" s="24"/>
      <c r="JPF125" s="40"/>
      <c r="JPG125" s="24"/>
      <c r="JPH125" s="40"/>
      <c r="JPI125" s="24"/>
      <c r="JPJ125" s="40"/>
      <c r="JPK125" s="24"/>
      <c r="JPL125" s="40"/>
      <c r="JPM125" s="24"/>
      <c r="JPN125" s="40"/>
      <c r="JPO125" s="24"/>
      <c r="JPP125" s="40"/>
      <c r="JPQ125" s="24"/>
      <c r="JPR125" s="40"/>
      <c r="JPS125" s="24"/>
      <c r="JPT125" s="40"/>
      <c r="JPU125" s="24"/>
      <c r="JPV125" s="40"/>
      <c r="JPW125" s="24"/>
      <c r="JPX125" s="40"/>
      <c r="JPY125" s="24"/>
      <c r="JPZ125" s="40"/>
      <c r="JQA125" s="24"/>
      <c r="JQB125" s="40"/>
      <c r="JQC125" s="24"/>
      <c r="JQD125" s="40"/>
      <c r="JQE125" s="24"/>
      <c r="JQF125" s="40"/>
      <c r="JQG125" s="24"/>
      <c r="JQH125" s="40"/>
      <c r="JQI125" s="24"/>
      <c r="JQJ125" s="40"/>
      <c r="JQK125" s="24"/>
      <c r="JQL125" s="40"/>
      <c r="JQM125" s="24"/>
      <c r="JQN125" s="40"/>
      <c r="JQO125" s="24"/>
      <c r="JQP125" s="40"/>
      <c r="JQQ125" s="24"/>
      <c r="JQR125" s="40"/>
      <c r="JQS125" s="24"/>
      <c r="JQT125" s="40"/>
      <c r="JQU125" s="24"/>
      <c r="JQV125" s="40"/>
      <c r="JQW125" s="24"/>
      <c r="JQX125" s="40"/>
      <c r="JQY125" s="24"/>
      <c r="JQZ125" s="40"/>
      <c r="JRA125" s="24"/>
      <c r="JRB125" s="40"/>
      <c r="JRC125" s="24"/>
      <c r="JRD125" s="40"/>
      <c r="JRE125" s="24"/>
      <c r="JRF125" s="40"/>
      <c r="JRG125" s="24"/>
      <c r="JRH125" s="40"/>
      <c r="JRI125" s="24"/>
      <c r="JRJ125" s="40"/>
      <c r="JRK125" s="24"/>
      <c r="JRL125" s="40"/>
      <c r="JRM125" s="24"/>
      <c r="JRN125" s="40"/>
      <c r="JRO125" s="24"/>
      <c r="JRP125" s="40"/>
      <c r="JRQ125" s="24"/>
      <c r="JRR125" s="40"/>
      <c r="JRS125" s="24"/>
      <c r="JRT125" s="40"/>
      <c r="JRU125" s="24"/>
      <c r="JRV125" s="40"/>
      <c r="JRW125" s="24"/>
      <c r="JRX125" s="40"/>
      <c r="JRY125" s="24"/>
      <c r="JRZ125" s="40"/>
      <c r="JSA125" s="24"/>
      <c r="JSB125" s="40"/>
      <c r="JSC125" s="24"/>
      <c r="JSD125" s="40"/>
      <c r="JSE125" s="24"/>
      <c r="JSF125" s="40"/>
      <c r="JSG125" s="24"/>
      <c r="JSH125" s="40"/>
      <c r="JSI125" s="24"/>
      <c r="JSJ125" s="40"/>
      <c r="JSK125" s="24"/>
      <c r="JSL125" s="40"/>
      <c r="JSM125" s="24"/>
      <c r="JSN125" s="40"/>
      <c r="JSO125" s="24"/>
      <c r="JSP125" s="40"/>
      <c r="JSQ125" s="24"/>
      <c r="JSR125" s="40"/>
      <c r="JSS125" s="24"/>
      <c r="JST125" s="40"/>
      <c r="JSU125" s="24"/>
      <c r="JSV125" s="40"/>
      <c r="JSW125" s="24"/>
      <c r="JSX125" s="40"/>
      <c r="JSY125" s="24"/>
      <c r="JSZ125" s="40"/>
      <c r="JTA125" s="24"/>
      <c r="JTB125" s="40"/>
      <c r="JTC125" s="24"/>
      <c r="JTD125" s="40"/>
      <c r="JTE125" s="24"/>
      <c r="JTF125" s="40"/>
      <c r="JTG125" s="24"/>
      <c r="JTH125" s="40"/>
      <c r="JTI125" s="24"/>
      <c r="JTJ125" s="40"/>
      <c r="JTK125" s="24"/>
      <c r="JTL125" s="40"/>
      <c r="JTM125" s="24"/>
      <c r="JTN125" s="40"/>
      <c r="JTO125" s="24"/>
      <c r="JTP125" s="40"/>
      <c r="JTQ125" s="24"/>
      <c r="JTR125" s="40"/>
      <c r="JTS125" s="24"/>
      <c r="JTT125" s="40"/>
      <c r="JTU125" s="24"/>
      <c r="JTV125" s="40"/>
      <c r="JTW125" s="24"/>
      <c r="JTX125" s="40"/>
      <c r="JTY125" s="24"/>
      <c r="JTZ125" s="40"/>
      <c r="JUA125" s="24"/>
      <c r="JUB125" s="40"/>
      <c r="JUC125" s="24"/>
      <c r="JUD125" s="40"/>
      <c r="JUE125" s="24"/>
      <c r="JUF125" s="40"/>
      <c r="JUG125" s="24"/>
      <c r="JUH125" s="40"/>
      <c r="JUI125" s="24"/>
      <c r="JUJ125" s="40"/>
      <c r="JUK125" s="24"/>
      <c r="JUL125" s="40"/>
      <c r="JUM125" s="24"/>
      <c r="JUN125" s="40"/>
      <c r="JUO125" s="24"/>
      <c r="JUP125" s="40"/>
      <c r="JUQ125" s="24"/>
      <c r="JUR125" s="40"/>
      <c r="JUS125" s="24"/>
      <c r="JUT125" s="40"/>
      <c r="JUU125" s="24"/>
      <c r="JUV125" s="40"/>
      <c r="JUW125" s="24"/>
      <c r="JUX125" s="40"/>
      <c r="JUY125" s="24"/>
      <c r="JUZ125" s="40"/>
      <c r="JVA125" s="24"/>
      <c r="JVB125" s="40"/>
      <c r="JVC125" s="24"/>
      <c r="JVD125" s="40"/>
      <c r="JVE125" s="24"/>
      <c r="JVF125" s="40"/>
      <c r="JVG125" s="24"/>
      <c r="JVH125" s="40"/>
      <c r="JVI125" s="24"/>
      <c r="JVJ125" s="40"/>
      <c r="JVK125" s="24"/>
      <c r="JVL125" s="40"/>
      <c r="JVM125" s="24"/>
      <c r="JVN125" s="40"/>
      <c r="JVO125" s="24"/>
      <c r="JVP125" s="40"/>
      <c r="JVQ125" s="24"/>
      <c r="JVR125" s="40"/>
      <c r="JVS125" s="24"/>
      <c r="JVT125" s="40"/>
      <c r="JVU125" s="24"/>
      <c r="JVV125" s="40"/>
      <c r="JVW125" s="24"/>
      <c r="JVX125" s="40"/>
      <c r="JVY125" s="24"/>
      <c r="JVZ125" s="40"/>
      <c r="JWA125" s="24"/>
      <c r="JWB125" s="40"/>
      <c r="JWC125" s="24"/>
      <c r="JWD125" s="40"/>
      <c r="JWE125" s="24"/>
      <c r="JWF125" s="40"/>
      <c r="JWG125" s="24"/>
      <c r="JWH125" s="40"/>
      <c r="JWI125" s="24"/>
      <c r="JWJ125" s="40"/>
      <c r="JWK125" s="24"/>
      <c r="JWL125" s="40"/>
      <c r="JWM125" s="24"/>
      <c r="JWN125" s="40"/>
      <c r="JWO125" s="24"/>
      <c r="JWP125" s="40"/>
      <c r="JWQ125" s="24"/>
      <c r="JWR125" s="40"/>
      <c r="JWS125" s="24"/>
      <c r="JWT125" s="40"/>
      <c r="JWU125" s="24"/>
      <c r="JWV125" s="40"/>
      <c r="JWW125" s="24"/>
      <c r="JWX125" s="40"/>
      <c r="JWY125" s="24"/>
      <c r="JWZ125" s="40"/>
      <c r="JXA125" s="24"/>
      <c r="JXB125" s="40"/>
      <c r="JXC125" s="24"/>
      <c r="JXD125" s="40"/>
      <c r="JXE125" s="24"/>
      <c r="JXF125" s="40"/>
      <c r="JXG125" s="24"/>
      <c r="JXH125" s="40"/>
      <c r="JXI125" s="24"/>
      <c r="JXJ125" s="40"/>
      <c r="JXK125" s="24"/>
      <c r="JXL125" s="40"/>
      <c r="JXM125" s="24"/>
      <c r="JXN125" s="40"/>
      <c r="JXO125" s="24"/>
      <c r="JXP125" s="40"/>
      <c r="JXQ125" s="24"/>
      <c r="JXR125" s="40"/>
      <c r="JXS125" s="24"/>
      <c r="JXT125" s="40"/>
      <c r="JXU125" s="24"/>
      <c r="JXV125" s="40"/>
      <c r="JXW125" s="24"/>
      <c r="JXX125" s="40"/>
      <c r="JXY125" s="24"/>
      <c r="JXZ125" s="40"/>
      <c r="JYA125" s="24"/>
      <c r="JYB125" s="40"/>
      <c r="JYC125" s="24"/>
      <c r="JYD125" s="40"/>
      <c r="JYE125" s="24"/>
      <c r="JYF125" s="40"/>
      <c r="JYG125" s="24"/>
      <c r="JYH125" s="40"/>
      <c r="JYI125" s="24"/>
      <c r="JYJ125" s="40"/>
      <c r="JYK125" s="24"/>
      <c r="JYL125" s="40"/>
      <c r="JYM125" s="24"/>
      <c r="JYN125" s="40"/>
      <c r="JYO125" s="24"/>
      <c r="JYP125" s="40"/>
      <c r="JYQ125" s="24"/>
      <c r="JYR125" s="40"/>
      <c r="JYS125" s="24"/>
      <c r="JYT125" s="40"/>
      <c r="JYU125" s="24"/>
      <c r="JYV125" s="40"/>
      <c r="JYW125" s="24"/>
      <c r="JYX125" s="40"/>
      <c r="JYY125" s="24"/>
      <c r="JYZ125" s="40"/>
      <c r="JZA125" s="24"/>
      <c r="JZB125" s="40"/>
      <c r="JZC125" s="24"/>
      <c r="JZD125" s="40"/>
      <c r="JZE125" s="24"/>
      <c r="JZF125" s="40"/>
      <c r="JZG125" s="24"/>
      <c r="JZH125" s="40"/>
      <c r="JZI125" s="24"/>
      <c r="JZJ125" s="40"/>
      <c r="JZK125" s="24"/>
      <c r="JZL125" s="40"/>
      <c r="JZM125" s="24"/>
      <c r="JZN125" s="40"/>
      <c r="JZO125" s="24"/>
      <c r="JZP125" s="40"/>
      <c r="JZQ125" s="24"/>
      <c r="JZR125" s="40"/>
      <c r="JZS125" s="24"/>
      <c r="JZT125" s="40"/>
      <c r="JZU125" s="24"/>
      <c r="JZV125" s="40"/>
      <c r="JZW125" s="24"/>
      <c r="JZX125" s="40"/>
      <c r="JZY125" s="24"/>
      <c r="JZZ125" s="40"/>
      <c r="KAA125" s="24"/>
      <c r="KAB125" s="40"/>
      <c r="KAC125" s="24"/>
      <c r="KAD125" s="40"/>
      <c r="KAE125" s="24"/>
      <c r="KAF125" s="40"/>
      <c r="KAG125" s="24"/>
      <c r="KAH125" s="40"/>
      <c r="KAI125" s="24"/>
      <c r="KAJ125" s="40"/>
      <c r="KAK125" s="24"/>
      <c r="KAL125" s="40"/>
      <c r="KAM125" s="24"/>
      <c r="KAN125" s="40"/>
      <c r="KAO125" s="24"/>
      <c r="KAP125" s="40"/>
      <c r="KAQ125" s="24"/>
      <c r="KAR125" s="40"/>
      <c r="KAS125" s="24"/>
      <c r="KAT125" s="40"/>
      <c r="KAU125" s="24"/>
      <c r="KAV125" s="40"/>
      <c r="KAW125" s="24"/>
      <c r="KAX125" s="40"/>
      <c r="KAY125" s="24"/>
      <c r="KAZ125" s="40"/>
      <c r="KBA125" s="24"/>
      <c r="KBB125" s="40"/>
      <c r="KBC125" s="24"/>
      <c r="KBD125" s="40"/>
      <c r="KBE125" s="24"/>
      <c r="KBF125" s="40"/>
      <c r="KBG125" s="24"/>
      <c r="KBH125" s="40"/>
      <c r="KBI125" s="24"/>
      <c r="KBJ125" s="40"/>
      <c r="KBK125" s="24"/>
      <c r="KBL125" s="40"/>
      <c r="KBM125" s="24"/>
      <c r="KBN125" s="40"/>
      <c r="KBO125" s="24"/>
      <c r="KBP125" s="40"/>
      <c r="KBQ125" s="24"/>
      <c r="KBR125" s="40"/>
      <c r="KBS125" s="24"/>
      <c r="KBT125" s="40"/>
      <c r="KBU125" s="24"/>
      <c r="KBV125" s="40"/>
      <c r="KBW125" s="24"/>
      <c r="KBX125" s="40"/>
      <c r="KBY125" s="24"/>
      <c r="KBZ125" s="40"/>
      <c r="KCA125" s="24"/>
      <c r="KCB125" s="40"/>
      <c r="KCC125" s="24"/>
      <c r="KCD125" s="40"/>
      <c r="KCE125" s="24"/>
      <c r="KCF125" s="40"/>
      <c r="KCG125" s="24"/>
      <c r="KCH125" s="40"/>
      <c r="KCI125" s="24"/>
      <c r="KCJ125" s="40"/>
      <c r="KCK125" s="24"/>
      <c r="KCL125" s="40"/>
      <c r="KCM125" s="24"/>
      <c r="KCN125" s="40"/>
      <c r="KCO125" s="24"/>
      <c r="KCP125" s="40"/>
      <c r="KCQ125" s="24"/>
      <c r="KCR125" s="40"/>
      <c r="KCS125" s="24"/>
      <c r="KCT125" s="40"/>
      <c r="KCU125" s="24"/>
      <c r="KCV125" s="40"/>
      <c r="KCW125" s="24"/>
      <c r="KCX125" s="40"/>
      <c r="KCY125" s="24"/>
      <c r="KCZ125" s="40"/>
      <c r="KDA125" s="24"/>
      <c r="KDB125" s="40"/>
      <c r="KDC125" s="24"/>
      <c r="KDD125" s="40"/>
      <c r="KDE125" s="24"/>
      <c r="KDF125" s="40"/>
      <c r="KDG125" s="24"/>
      <c r="KDH125" s="40"/>
      <c r="KDI125" s="24"/>
      <c r="KDJ125" s="40"/>
      <c r="KDK125" s="24"/>
      <c r="KDL125" s="40"/>
      <c r="KDM125" s="24"/>
      <c r="KDN125" s="40"/>
      <c r="KDO125" s="24"/>
      <c r="KDP125" s="40"/>
      <c r="KDQ125" s="24"/>
      <c r="KDR125" s="40"/>
      <c r="KDS125" s="24"/>
      <c r="KDT125" s="40"/>
      <c r="KDU125" s="24"/>
      <c r="KDV125" s="40"/>
      <c r="KDW125" s="24"/>
      <c r="KDX125" s="40"/>
      <c r="KDY125" s="24"/>
      <c r="KDZ125" s="40"/>
      <c r="KEA125" s="24"/>
      <c r="KEB125" s="40"/>
      <c r="KEC125" s="24"/>
      <c r="KED125" s="40"/>
      <c r="KEE125" s="24"/>
      <c r="KEF125" s="40"/>
      <c r="KEG125" s="24"/>
      <c r="KEH125" s="40"/>
      <c r="KEI125" s="24"/>
      <c r="KEJ125" s="40"/>
      <c r="KEK125" s="24"/>
      <c r="KEL125" s="40"/>
      <c r="KEM125" s="24"/>
      <c r="KEN125" s="40"/>
      <c r="KEO125" s="24"/>
      <c r="KEP125" s="40"/>
      <c r="KEQ125" s="24"/>
      <c r="KER125" s="40"/>
      <c r="KES125" s="24"/>
      <c r="KET125" s="40"/>
      <c r="KEU125" s="24"/>
      <c r="KEV125" s="40"/>
      <c r="KEW125" s="24"/>
      <c r="KEX125" s="40"/>
      <c r="KEY125" s="24"/>
      <c r="KEZ125" s="40"/>
      <c r="KFA125" s="24"/>
      <c r="KFB125" s="40"/>
      <c r="KFC125" s="24"/>
      <c r="KFD125" s="40"/>
      <c r="KFE125" s="24"/>
      <c r="KFF125" s="40"/>
      <c r="KFG125" s="24"/>
      <c r="KFH125" s="40"/>
      <c r="KFI125" s="24"/>
      <c r="KFJ125" s="40"/>
      <c r="KFK125" s="24"/>
      <c r="KFL125" s="40"/>
      <c r="KFM125" s="24"/>
      <c r="KFN125" s="40"/>
      <c r="KFO125" s="24"/>
      <c r="KFP125" s="40"/>
      <c r="KFQ125" s="24"/>
      <c r="KFR125" s="40"/>
      <c r="KFS125" s="24"/>
      <c r="KFT125" s="40"/>
      <c r="KFU125" s="24"/>
      <c r="KFV125" s="40"/>
      <c r="KFW125" s="24"/>
      <c r="KFX125" s="40"/>
      <c r="KFY125" s="24"/>
      <c r="KFZ125" s="40"/>
      <c r="KGA125" s="24"/>
      <c r="KGB125" s="40"/>
      <c r="KGC125" s="24"/>
      <c r="KGD125" s="40"/>
      <c r="KGE125" s="24"/>
      <c r="KGF125" s="40"/>
      <c r="KGG125" s="24"/>
      <c r="KGH125" s="40"/>
      <c r="KGI125" s="24"/>
      <c r="KGJ125" s="40"/>
      <c r="KGK125" s="24"/>
      <c r="KGL125" s="40"/>
      <c r="KGM125" s="24"/>
      <c r="KGN125" s="40"/>
      <c r="KGO125" s="24"/>
      <c r="KGP125" s="40"/>
      <c r="KGQ125" s="24"/>
      <c r="KGR125" s="40"/>
      <c r="KGS125" s="24"/>
      <c r="KGT125" s="40"/>
      <c r="KGU125" s="24"/>
      <c r="KGV125" s="40"/>
      <c r="KGW125" s="24"/>
      <c r="KGX125" s="40"/>
      <c r="KGY125" s="24"/>
      <c r="KGZ125" s="40"/>
      <c r="KHA125" s="24"/>
      <c r="KHB125" s="40"/>
      <c r="KHC125" s="24"/>
      <c r="KHD125" s="40"/>
      <c r="KHE125" s="24"/>
      <c r="KHF125" s="40"/>
      <c r="KHG125" s="24"/>
      <c r="KHH125" s="40"/>
      <c r="KHI125" s="24"/>
      <c r="KHJ125" s="40"/>
      <c r="KHK125" s="24"/>
      <c r="KHL125" s="40"/>
      <c r="KHM125" s="24"/>
      <c r="KHN125" s="40"/>
      <c r="KHO125" s="24"/>
      <c r="KHP125" s="40"/>
      <c r="KHQ125" s="24"/>
      <c r="KHR125" s="40"/>
      <c r="KHS125" s="24"/>
      <c r="KHT125" s="40"/>
      <c r="KHU125" s="24"/>
      <c r="KHV125" s="40"/>
      <c r="KHW125" s="24"/>
      <c r="KHX125" s="40"/>
      <c r="KHY125" s="24"/>
      <c r="KHZ125" s="40"/>
      <c r="KIA125" s="24"/>
      <c r="KIB125" s="40"/>
      <c r="KIC125" s="24"/>
      <c r="KID125" s="40"/>
      <c r="KIE125" s="24"/>
      <c r="KIF125" s="40"/>
      <c r="KIG125" s="24"/>
      <c r="KIH125" s="40"/>
      <c r="KII125" s="24"/>
      <c r="KIJ125" s="40"/>
      <c r="KIK125" s="24"/>
      <c r="KIL125" s="40"/>
      <c r="KIM125" s="24"/>
      <c r="KIN125" s="40"/>
      <c r="KIO125" s="24"/>
      <c r="KIP125" s="40"/>
      <c r="KIQ125" s="24"/>
      <c r="KIR125" s="40"/>
      <c r="KIS125" s="24"/>
      <c r="KIT125" s="40"/>
      <c r="KIU125" s="24"/>
      <c r="KIV125" s="40"/>
      <c r="KIW125" s="24"/>
      <c r="KIX125" s="40"/>
      <c r="KIY125" s="24"/>
      <c r="KIZ125" s="40"/>
      <c r="KJA125" s="24"/>
      <c r="KJB125" s="40"/>
      <c r="KJC125" s="24"/>
      <c r="KJD125" s="40"/>
      <c r="KJE125" s="24"/>
      <c r="KJF125" s="40"/>
      <c r="KJG125" s="24"/>
      <c r="KJH125" s="40"/>
      <c r="KJI125" s="24"/>
      <c r="KJJ125" s="40"/>
      <c r="KJK125" s="24"/>
      <c r="KJL125" s="40"/>
      <c r="KJM125" s="24"/>
      <c r="KJN125" s="40"/>
      <c r="KJO125" s="24"/>
      <c r="KJP125" s="40"/>
      <c r="KJQ125" s="24"/>
      <c r="KJR125" s="40"/>
      <c r="KJS125" s="24"/>
      <c r="KJT125" s="40"/>
      <c r="KJU125" s="24"/>
      <c r="KJV125" s="40"/>
      <c r="KJW125" s="24"/>
      <c r="KJX125" s="40"/>
      <c r="KJY125" s="24"/>
      <c r="KJZ125" s="40"/>
      <c r="KKA125" s="24"/>
      <c r="KKB125" s="40"/>
      <c r="KKC125" s="24"/>
      <c r="KKD125" s="40"/>
      <c r="KKE125" s="24"/>
      <c r="KKF125" s="40"/>
      <c r="KKG125" s="24"/>
      <c r="KKH125" s="40"/>
      <c r="KKI125" s="24"/>
      <c r="KKJ125" s="40"/>
      <c r="KKK125" s="24"/>
      <c r="KKL125" s="40"/>
      <c r="KKM125" s="24"/>
      <c r="KKN125" s="40"/>
      <c r="KKO125" s="24"/>
      <c r="KKP125" s="40"/>
      <c r="KKQ125" s="24"/>
      <c r="KKR125" s="40"/>
      <c r="KKS125" s="24"/>
      <c r="KKT125" s="40"/>
      <c r="KKU125" s="24"/>
      <c r="KKV125" s="40"/>
      <c r="KKW125" s="24"/>
      <c r="KKX125" s="40"/>
      <c r="KKY125" s="24"/>
      <c r="KKZ125" s="40"/>
      <c r="KLA125" s="24"/>
      <c r="KLB125" s="40"/>
      <c r="KLC125" s="24"/>
      <c r="KLD125" s="40"/>
      <c r="KLE125" s="24"/>
      <c r="KLF125" s="40"/>
      <c r="KLG125" s="24"/>
      <c r="KLH125" s="40"/>
      <c r="KLI125" s="24"/>
      <c r="KLJ125" s="40"/>
      <c r="KLK125" s="24"/>
      <c r="KLL125" s="40"/>
      <c r="KLM125" s="24"/>
      <c r="KLN125" s="40"/>
      <c r="KLO125" s="24"/>
      <c r="KLP125" s="40"/>
      <c r="KLQ125" s="24"/>
      <c r="KLR125" s="40"/>
      <c r="KLS125" s="24"/>
      <c r="KLT125" s="40"/>
      <c r="KLU125" s="24"/>
      <c r="KLV125" s="40"/>
      <c r="KLW125" s="24"/>
      <c r="KLX125" s="40"/>
      <c r="KLY125" s="24"/>
      <c r="KLZ125" s="40"/>
      <c r="KMA125" s="24"/>
      <c r="KMB125" s="40"/>
      <c r="KMC125" s="24"/>
      <c r="KMD125" s="40"/>
      <c r="KME125" s="24"/>
      <c r="KMF125" s="40"/>
      <c r="KMG125" s="24"/>
      <c r="KMH125" s="40"/>
      <c r="KMI125" s="24"/>
      <c r="KMJ125" s="40"/>
      <c r="KMK125" s="24"/>
      <c r="KML125" s="40"/>
      <c r="KMM125" s="24"/>
      <c r="KMN125" s="40"/>
      <c r="KMO125" s="24"/>
      <c r="KMP125" s="40"/>
      <c r="KMQ125" s="24"/>
      <c r="KMR125" s="40"/>
      <c r="KMS125" s="24"/>
      <c r="KMT125" s="40"/>
      <c r="KMU125" s="24"/>
      <c r="KMV125" s="40"/>
      <c r="KMW125" s="24"/>
      <c r="KMX125" s="40"/>
      <c r="KMY125" s="24"/>
      <c r="KMZ125" s="40"/>
      <c r="KNA125" s="24"/>
      <c r="KNB125" s="40"/>
      <c r="KNC125" s="24"/>
      <c r="KND125" s="40"/>
      <c r="KNE125" s="24"/>
      <c r="KNF125" s="40"/>
      <c r="KNG125" s="24"/>
      <c r="KNH125" s="40"/>
      <c r="KNI125" s="24"/>
      <c r="KNJ125" s="40"/>
      <c r="KNK125" s="24"/>
      <c r="KNL125" s="40"/>
      <c r="KNM125" s="24"/>
      <c r="KNN125" s="40"/>
      <c r="KNO125" s="24"/>
      <c r="KNP125" s="40"/>
      <c r="KNQ125" s="24"/>
      <c r="KNR125" s="40"/>
      <c r="KNS125" s="24"/>
      <c r="KNT125" s="40"/>
      <c r="KNU125" s="24"/>
      <c r="KNV125" s="40"/>
      <c r="KNW125" s="24"/>
      <c r="KNX125" s="40"/>
      <c r="KNY125" s="24"/>
      <c r="KNZ125" s="40"/>
      <c r="KOA125" s="24"/>
      <c r="KOB125" s="40"/>
      <c r="KOC125" s="24"/>
      <c r="KOD125" s="40"/>
      <c r="KOE125" s="24"/>
      <c r="KOF125" s="40"/>
      <c r="KOG125" s="24"/>
      <c r="KOH125" s="40"/>
      <c r="KOI125" s="24"/>
      <c r="KOJ125" s="40"/>
      <c r="KOK125" s="24"/>
      <c r="KOL125" s="40"/>
      <c r="KOM125" s="24"/>
      <c r="KON125" s="40"/>
      <c r="KOO125" s="24"/>
      <c r="KOP125" s="40"/>
      <c r="KOQ125" s="24"/>
      <c r="KOR125" s="40"/>
      <c r="KOS125" s="24"/>
      <c r="KOT125" s="40"/>
      <c r="KOU125" s="24"/>
      <c r="KOV125" s="40"/>
      <c r="KOW125" s="24"/>
      <c r="KOX125" s="40"/>
      <c r="KOY125" s="24"/>
      <c r="KOZ125" s="40"/>
      <c r="KPA125" s="24"/>
      <c r="KPB125" s="40"/>
      <c r="KPC125" s="24"/>
      <c r="KPD125" s="40"/>
      <c r="KPE125" s="24"/>
      <c r="KPF125" s="40"/>
      <c r="KPG125" s="24"/>
      <c r="KPH125" s="40"/>
      <c r="KPI125" s="24"/>
      <c r="KPJ125" s="40"/>
      <c r="KPK125" s="24"/>
      <c r="KPL125" s="40"/>
      <c r="KPM125" s="24"/>
      <c r="KPN125" s="40"/>
      <c r="KPO125" s="24"/>
      <c r="KPP125" s="40"/>
      <c r="KPQ125" s="24"/>
      <c r="KPR125" s="40"/>
      <c r="KPS125" s="24"/>
      <c r="KPT125" s="40"/>
      <c r="KPU125" s="24"/>
      <c r="KPV125" s="40"/>
      <c r="KPW125" s="24"/>
      <c r="KPX125" s="40"/>
      <c r="KPY125" s="24"/>
      <c r="KPZ125" s="40"/>
      <c r="KQA125" s="24"/>
      <c r="KQB125" s="40"/>
      <c r="KQC125" s="24"/>
      <c r="KQD125" s="40"/>
      <c r="KQE125" s="24"/>
      <c r="KQF125" s="40"/>
      <c r="KQG125" s="24"/>
      <c r="KQH125" s="40"/>
      <c r="KQI125" s="24"/>
      <c r="KQJ125" s="40"/>
      <c r="KQK125" s="24"/>
      <c r="KQL125" s="40"/>
      <c r="KQM125" s="24"/>
      <c r="KQN125" s="40"/>
      <c r="KQO125" s="24"/>
      <c r="KQP125" s="40"/>
      <c r="KQQ125" s="24"/>
      <c r="KQR125" s="40"/>
      <c r="KQS125" s="24"/>
      <c r="KQT125" s="40"/>
      <c r="KQU125" s="24"/>
      <c r="KQV125" s="40"/>
      <c r="KQW125" s="24"/>
      <c r="KQX125" s="40"/>
      <c r="KQY125" s="24"/>
      <c r="KQZ125" s="40"/>
      <c r="KRA125" s="24"/>
      <c r="KRB125" s="40"/>
      <c r="KRC125" s="24"/>
      <c r="KRD125" s="40"/>
      <c r="KRE125" s="24"/>
      <c r="KRF125" s="40"/>
      <c r="KRG125" s="24"/>
      <c r="KRH125" s="40"/>
      <c r="KRI125" s="24"/>
      <c r="KRJ125" s="40"/>
      <c r="KRK125" s="24"/>
      <c r="KRL125" s="40"/>
      <c r="KRM125" s="24"/>
      <c r="KRN125" s="40"/>
      <c r="KRO125" s="24"/>
      <c r="KRP125" s="40"/>
      <c r="KRQ125" s="24"/>
      <c r="KRR125" s="40"/>
      <c r="KRS125" s="24"/>
      <c r="KRT125" s="40"/>
      <c r="KRU125" s="24"/>
      <c r="KRV125" s="40"/>
      <c r="KRW125" s="24"/>
      <c r="KRX125" s="40"/>
      <c r="KRY125" s="24"/>
      <c r="KRZ125" s="40"/>
      <c r="KSA125" s="24"/>
      <c r="KSB125" s="40"/>
      <c r="KSC125" s="24"/>
      <c r="KSD125" s="40"/>
      <c r="KSE125" s="24"/>
      <c r="KSF125" s="40"/>
      <c r="KSG125" s="24"/>
      <c r="KSH125" s="40"/>
      <c r="KSI125" s="24"/>
      <c r="KSJ125" s="40"/>
      <c r="KSK125" s="24"/>
      <c r="KSL125" s="40"/>
      <c r="KSM125" s="24"/>
      <c r="KSN125" s="40"/>
      <c r="KSO125" s="24"/>
      <c r="KSP125" s="40"/>
      <c r="KSQ125" s="24"/>
      <c r="KSR125" s="40"/>
      <c r="KSS125" s="24"/>
      <c r="KST125" s="40"/>
      <c r="KSU125" s="24"/>
      <c r="KSV125" s="40"/>
      <c r="KSW125" s="24"/>
      <c r="KSX125" s="40"/>
      <c r="KSY125" s="24"/>
      <c r="KSZ125" s="40"/>
      <c r="KTA125" s="24"/>
      <c r="KTB125" s="40"/>
      <c r="KTC125" s="24"/>
      <c r="KTD125" s="40"/>
      <c r="KTE125" s="24"/>
      <c r="KTF125" s="40"/>
      <c r="KTG125" s="24"/>
      <c r="KTH125" s="40"/>
      <c r="KTI125" s="24"/>
      <c r="KTJ125" s="40"/>
      <c r="KTK125" s="24"/>
      <c r="KTL125" s="40"/>
      <c r="KTM125" s="24"/>
      <c r="KTN125" s="40"/>
      <c r="KTO125" s="24"/>
      <c r="KTP125" s="40"/>
      <c r="KTQ125" s="24"/>
      <c r="KTR125" s="40"/>
      <c r="KTS125" s="24"/>
      <c r="KTT125" s="40"/>
      <c r="KTU125" s="24"/>
      <c r="KTV125" s="40"/>
      <c r="KTW125" s="24"/>
      <c r="KTX125" s="40"/>
      <c r="KTY125" s="24"/>
      <c r="KTZ125" s="40"/>
      <c r="KUA125" s="24"/>
      <c r="KUB125" s="40"/>
      <c r="KUC125" s="24"/>
      <c r="KUD125" s="40"/>
      <c r="KUE125" s="24"/>
      <c r="KUF125" s="40"/>
      <c r="KUG125" s="24"/>
      <c r="KUH125" s="40"/>
      <c r="KUI125" s="24"/>
      <c r="KUJ125" s="40"/>
      <c r="KUK125" s="24"/>
      <c r="KUL125" s="40"/>
      <c r="KUM125" s="24"/>
      <c r="KUN125" s="40"/>
      <c r="KUO125" s="24"/>
      <c r="KUP125" s="40"/>
      <c r="KUQ125" s="24"/>
      <c r="KUR125" s="40"/>
      <c r="KUS125" s="24"/>
      <c r="KUT125" s="40"/>
      <c r="KUU125" s="24"/>
      <c r="KUV125" s="40"/>
      <c r="KUW125" s="24"/>
      <c r="KUX125" s="40"/>
      <c r="KUY125" s="24"/>
      <c r="KUZ125" s="40"/>
      <c r="KVA125" s="24"/>
      <c r="KVB125" s="40"/>
      <c r="KVC125" s="24"/>
      <c r="KVD125" s="40"/>
      <c r="KVE125" s="24"/>
      <c r="KVF125" s="40"/>
      <c r="KVG125" s="24"/>
      <c r="KVH125" s="40"/>
      <c r="KVI125" s="24"/>
      <c r="KVJ125" s="40"/>
      <c r="KVK125" s="24"/>
      <c r="KVL125" s="40"/>
      <c r="KVM125" s="24"/>
      <c r="KVN125" s="40"/>
      <c r="KVO125" s="24"/>
      <c r="KVP125" s="40"/>
      <c r="KVQ125" s="24"/>
      <c r="KVR125" s="40"/>
      <c r="KVS125" s="24"/>
      <c r="KVT125" s="40"/>
      <c r="KVU125" s="24"/>
      <c r="KVV125" s="40"/>
      <c r="KVW125" s="24"/>
      <c r="KVX125" s="40"/>
      <c r="KVY125" s="24"/>
      <c r="KVZ125" s="40"/>
      <c r="KWA125" s="24"/>
      <c r="KWB125" s="40"/>
      <c r="KWC125" s="24"/>
      <c r="KWD125" s="40"/>
      <c r="KWE125" s="24"/>
      <c r="KWF125" s="40"/>
      <c r="KWG125" s="24"/>
      <c r="KWH125" s="40"/>
      <c r="KWI125" s="24"/>
      <c r="KWJ125" s="40"/>
      <c r="KWK125" s="24"/>
      <c r="KWL125" s="40"/>
      <c r="KWM125" s="24"/>
      <c r="KWN125" s="40"/>
      <c r="KWO125" s="24"/>
      <c r="KWP125" s="40"/>
      <c r="KWQ125" s="24"/>
      <c r="KWR125" s="40"/>
      <c r="KWS125" s="24"/>
      <c r="KWT125" s="40"/>
      <c r="KWU125" s="24"/>
      <c r="KWV125" s="40"/>
      <c r="KWW125" s="24"/>
      <c r="KWX125" s="40"/>
      <c r="KWY125" s="24"/>
      <c r="KWZ125" s="40"/>
      <c r="KXA125" s="24"/>
      <c r="KXB125" s="40"/>
      <c r="KXC125" s="24"/>
      <c r="KXD125" s="40"/>
      <c r="KXE125" s="24"/>
      <c r="KXF125" s="40"/>
      <c r="KXG125" s="24"/>
      <c r="KXH125" s="40"/>
      <c r="KXI125" s="24"/>
      <c r="KXJ125" s="40"/>
      <c r="KXK125" s="24"/>
      <c r="KXL125" s="40"/>
      <c r="KXM125" s="24"/>
      <c r="KXN125" s="40"/>
      <c r="KXO125" s="24"/>
      <c r="KXP125" s="40"/>
      <c r="KXQ125" s="24"/>
      <c r="KXR125" s="40"/>
      <c r="KXS125" s="24"/>
      <c r="KXT125" s="40"/>
      <c r="KXU125" s="24"/>
      <c r="KXV125" s="40"/>
      <c r="KXW125" s="24"/>
      <c r="KXX125" s="40"/>
      <c r="KXY125" s="24"/>
      <c r="KXZ125" s="40"/>
      <c r="KYA125" s="24"/>
      <c r="KYB125" s="40"/>
      <c r="KYC125" s="24"/>
      <c r="KYD125" s="40"/>
      <c r="KYE125" s="24"/>
      <c r="KYF125" s="40"/>
      <c r="KYG125" s="24"/>
      <c r="KYH125" s="40"/>
      <c r="KYI125" s="24"/>
      <c r="KYJ125" s="40"/>
      <c r="KYK125" s="24"/>
      <c r="KYL125" s="40"/>
      <c r="KYM125" s="24"/>
      <c r="KYN125" s="40"/>
      <c r="KYO125" s="24"/>
      <c r="KYP125" s="40"/>
      <c r="KYQ125" s="24"/>
      <c r="KYR125" s="40"/>
      <c r="KYS125" s="24"/>
      <c r="KYT125" s="40"/>
      <c r="KYU125" s="24"/>
      <c r="KYV125" s="40"/>
      <c r="KYW125" s="24"/>
      <c r="KYX125" s="40"/>
      <c r="KYY125" s="24"/>
      <c r="KYZ125" s="40"/>
      <c r="KZA125" s="24"/>
      <c r="KZB125" s="40"/>
      <c r="KZC125" s="24"/>
      <c r="KZD125" s="40"/>
      <c r="KZE125" s="24"/>
      <c r="KZF125" s="40"/>
      <c r="KZG125" s="24"/>
      <c r="KZH125" s="40"/>
      <c r="KZI125" s="24"/>
      <c r="KZJ125" s="40"/>
      <c r="KZK125" s="24"/>
      <c r="KZL125" s="40"/>
      <c r="KZM125" s="24"/>
      <c r="KZN125" s="40"/>
      <c r="KZO125" s="24"/>
      <c r="KZP125" s="40"/>
      <c r="KZQ125" s="24"/>
      <c r="KZR125" s="40"/>
      <c r="KZS125" s="24"/>
      <c r="KZT125" s="40"/>
      <c r="KZU125" s="24"/>
      <c r="KZV125" s="40"/>
      <c r="KZW125" s="24"/>
      <c r="KZX125" s="40"/>
      <c r="KZY125" s="24"/>
      <c r="KZZ125" s="40"/>
      <c r="LAA125" s="24"/>
      <c r="LAB125" s="40"/>
      <c r="LAC125" s="24"/>
      <c r="LAD125" s="40"/>
      <c r="LAE125" s="24"/>
      <c r="LAF125" s="40"/>
      <c r="LAG125" s="24"/>
      <c r="LAH125" s="40"/>
      <c r="LAI125" s="24"/>
      <c r="LAJ125" s="40"/>
      <c r="LAK125" s="24"/>
      <c r="LAL125" s="40"/>
      <c r="LAM125" s="24"/>
      <c r="LAN125" s="40"/>
      <c r="LAO125" s="24"/>
      <c r="LAP125" s="40"/>
      <c r="LAQ125" s="24"/>
      <c r="LAR125" s="40"/>
      <c r="LAS125" s="24"/>
      <c r="LAT125" s="40"/>
      <c r="LAU125" s="24"/>
      <c r="LAV125" s="40"/>
      <c r="LAW125" s="24"/>
      <c r="LAX125" s="40"/>
      <c r="LAY125" s="24"/>
      <c r="LAZ125" s="40"/>
      <c r="LBA125" s="24"/>
      <c r="LBB125" s="40"/>
      <c r="LBC125" s="24"/>
      <c r="LBD125" s="40"/>
      <c r="LBE125" s="24"/>
      <c r="LBF125" s="40"/>
      <c r="LBG125" s="24"/>
      <c r="LBH125" s="40"/>
      <c r="LBI125" s="24"/>
      <c r="LBJ125" s="40"/>
      <c r="LBK125" s="24"/>
      <c r="LBL125" s="40"/>
      <c r="LBM125" s="24"/>
      <c r="LBN125" s="40"/>
      <c r="LBO125" s="24"/>
      <c r="LBP125" s="40"/>
      <c r="LBQ125" s="24"/>
      <c r="LBR125" s="40"/>
      <c r="LBS125" s="24"/>
      <c r="LBT125" s="40"/>
      <c r="LBU125" s="24"/>
      <c r="LBV125" s="40"/>
      <c r="LBW125" s="24"/>
      <c r="LBX125" s="40"/>
      <c r="LBY125" s="24"/>
      <c r="LBZ125" s="40"/>
      <c r="LCA125" s="24"/>
      <c r="LCB125" s="40"/>
      <c r="LCC125" s="24"/>
      <c r="LCD125" s="40"/>
      <c r="LCE125" s="24"/>
      <c r="LCF125" s="40"/>
      <c r="LCG125" s="24"/>
      <c r="LCH125" s="40"/>
      <c r="LCI125" s="24"/>
      <c r="LCJ125" s="40"/>
      <c r="LCK125" s="24"/>
      <c r="LCL125" s="40"/>
      <c r="LCM125" s="24"/>
      <c r="LCN125" s="40"/>
      <c r="LCO125" s="24"/>
      <c r="LCP125" s="40"/>
      <c r="LCQ125" s="24"/>
      <c r="LCR125" s="40"/>
      <c r="LCS125" s="24"/>
      <c r="LCT125" s="40"/>
      <c r="LCU125" s="24"/>
      <c r="LCV125" s="40"/>
      <c r="LCW125" s="24"/>
      <c r="LCX125" s="40"/>
      <c r="LCY125" s="24"/>
      <c r="LCZ125" s="40"/>
      <c r="LDA125" s="24"/>
      <c r="LDB125" s="40"/>
      <c r="LDC125" s="24"/>
      <c r="LDD125" s="40"/>
      <c r="LDE125" s="24"/>
      <c r="LDF125" s="40"/>
      <c r="LDG125" s="24"/>
      <c r="LDH125" s="40"/>
      <c r="LDI125" s="24"/>
      <c r="LDJ125" s="40"/>
      <c r="LDK125" s="24"/>
      <c r="LDL125" s="40"/>
      <c r="LDM125" s="24"/>
      <c r="LDN125" s="40"/>
      <c r="LDO125" s="24"/>
      <c r="LDP125" s="40"/>
      <c r="LDQ125" s="24"/>
      <c r="LDR125" s="40"/>
      <c r="LDS125" s="24"/>
      <c r="LDT125" s="40"/>
      <c r="LDU125" s="24"/>
      <c r="LDV125" s="40"/>
      <c r="LDW125" s="24"/>
      <c r="LDX125" s="40"/>
      <c r="LDY125" s="24"/>
      <c r="LDZ125" s="40"/>
      <c r="LEA125" s="24"/>
      <c r="LEB125" s="40"/>
      <c r="LEC125" s="24"/>
      <c r="LED125" s="40"/>
      <c r="LEE125" s="24"/>
      <c r="LEF125" s="40"/>
      <c r="LEG125" s="24"/>
      <c r="LEH125" s="40"/>
      <c r="LEI125" s="24"/>
      <c r="LEJ125" s="40"/>
      <c r="LEK125" s="24"/>
      <c r="LEL125" s="40"/>
      <c r="LEM125" s="24"/>
      <c r="LEN125" s="40"/>
      <c r="LEO125" s="24"/>
      <c r="LEP125" s="40"/>
      <c r="LEQ125" s="24"/>
      <c r="LER125" s="40"/>
      <c r="LES125" s="24"/>
      <c r="LET125" s="40"/>
      <c r="LEU125" s="24"/>
      <c r="LEV125" s="40"/>
      <c r="LEW125" s="24"/>
      <c r="LEX125" s="40"/>
      <c r="LEY125" s="24"/>
      <c r="LEZ125" s="40"/>
      <c r="LFA125" s="24"/>
      <c r="LFB125" s="40"/>
      <c r="LFC125" s="24"/>
      <c r="LFD125" s="40"/>
      <c r="LFE125" s="24"/>
      <c r="LFF125" s="40"/>
      <c r="LFG125" s="24"/>
      <c r="LFH125" s="40"/>
      <c r="LFI125" s="24"/>
      <c r="LFJ125" s="40"/>
      <c r="LFK125" s="24"/>
      <c r="LFL125" s="40"/>
      <c r="LFM125" s="24"/>
      <c r="LFN125" s="40"/>
      <c r="LFO125" s="24"/>
      <c r="LFP125" s="40"/>
      <c r="LFQ125" s="24"/>
      <c r="LFR125" s="40"/>
      <c r="LFS125" s="24"/>
      <c r="LFT125" s="40"/>
      <c r="LFU125" s="24"/>
      <c r="LFV125" s="40"/>
      <c r="LFW125" s="24"/>
      <c r="LFX125" s="40"/>
      <c r="LFY125" s="24"/>
      <c r="LFZ125" s="40"/>
      <c r="LGA125" s="24"/>
      <c r="LGB125" s="40"/>
      <c r="LGC125" s="24"/>
      <c r="LGD125" s="40"/>
      <c r="LGE125" s="24"/>
      <c r="LGF125" s="40"/>
      <c r="LGG125" s="24"/>
      <c r="LGH125" s="40"/>
      <c r="LGI125" s="24"/>
      <c r="LGJ125" s="40"/>
      <c r="LGK125" s="24"/>
      <c r="LGL125" s="40"/>
      <c r="LGM125" s="24"/>
      <c r="LGN125" s="40"/>
      <c r="LGO125" s="24"/>
      <c r="LGP125" s="40"/>
      <c r="LGQ125" s="24"/>
      <c r="LGR125" s="40"/>
      <c r="LGS125" s="24"/>
      <c r="LGT125" s="40"/>
      <c r="LGU125" s="24"/>
      <c r="LGV125" s="40"/>
      <c r="LGW125" s="24"/>
      <c r="LGX125" s="40"/>
      <c r="LGY125" s="24"/>
      <c r="LGZ125" s="40"/>
      <c r="LHA125" s="24"/>
      <c r="LHB125" s="40"/>
      <c r="LHC125" s="24"/>
      <c r="LHD125" s="40"/>
      <c r="LHE125" s="24"/>
      <c r="LHF125" s="40"/>
      <c r="LHG125" s="24"/>
      <c r="LHH125" s="40"/>
      <c r="LHI125" s="24"/>
      <c r="LHJ125" s="40"/>
      <c r="LHK125" s="24"/>
      <c r="LHL125" s="40"/>
      <c r="LHM125" s="24"/>
      <c r="LHN125" s="40"/>
      <c r="LHO125" s="24"/>
      <c r="LHP125" s="40"/>
      <c r="LHQ125" s="24"/>
      <c r="LHR125" s="40"/>
      <c r="LHS125" s="24"/>
      <c r="LHT125" s="40"/>
      <c r="LHU125" s="24"/>
      <c r="LHV125" s="40"/>
      <c r="LHW125" s="24"/>
      <c r="LHX125" s="40"/>
      <c r="LHY125" s="24"/>
      <c r="LHZ125" s="40"/>
      <c r="LIA125" s="24"/>
      <c r="LIB125" s="40"/>
      <c r="LIC125" s="24"/>
      <c r="LID125" s="40"/>
      <c r="LIE125" s="24"/>
      <c r="LIF125" s="40"/>
      <c r="LIG125" s="24"/>
      <c r="LIH125" s="40"/>
      <c r="LII125" s="24"/>
      <c r="LIJ125" s="40"/>
      <c r="LIK125" s="24"/>
      <c r="LIL125" s="40"/>
      <c r="LIM125" s="24"/>
      <c r="LIN125" s="40"/>
      <c r="LIO125" s="24"/>
      <c r="LIP125" s="40"/>
      <c r="LIQ125" s="24"/>
      <c r="LIR125" s="40"/>
      <c r="LIS125" s="24"/>
      <c r="LIT125" s="40"/>
      <c r="LIU125" s="24"/>
      <c r="LIV125" s="40"/>
      <c r="LIW125" s="24"/>
      <c r="LIX125" s="40"/>
      <c r="LIY125" s="24"/>
      <c r="LIZ125" s="40"/>
      <c r="LJA125" s="24"/>
      <c r="LJB125" s="40"/>
      <c r="LJC125" s="24"/>
      <c r="LJD125" s="40"/>
      <c r="LJE125" s="24"/>
      <c r="LJF125" s="40"/>
      <c r="LJG125" s="24"/>
      <c r="LJH125" s="40"/>
      <c r="LJI125" s="24"/>
      <c r="LJJ125" s="40"/>
      <c r="LJK125" s="24"/>
      <c r="LJL125" s="40"/>
      <c r="LJM125" s="24"/>
      <c r="LJN125" s="40"/>
      <c r="LJO125" s="24"/>
      <c r="LJP125" s="40"/>
      <c r="LJQ125" s="24"/>
      <c r="LJR125" s="40"/>
      <c r="LJS125" s="24"/>
      <c r="LJT125" s="40"/>
      <c r="LJU125" s="24"/>
      <c r="LJV125" s="40"/>
      <c r="LJW125" s="24"/>
      <c r="LJX125" s="40"/>
      <c r="LJY125" s="24"/>
      <c r="LJZ125" s="40"/>
      <c r="LKA125" s="24"/>
      <c r="LKB125" s="40"/>
      <c r="LKC125" s="24"/>
      <c r="LKD125" s="40"/>
      <c r="LKE125" s="24"/>
      <c r="LKF125" s="40"/>
      <c r="LKG125" s="24"/>
      <c r="LKH125" s="40"/>
      <c r="LKI125" s="24"/>
      <c r="LKJ125" s="40"/>
      <c r="LKK125" s="24"/>
      <c r="LKL125" s="40"/>
      <c r="LKM125" s="24"/>
      <c r="LKN125" s="40"/>
      <c r="LKO125" s="24"/>
      <c r="LKP125" s="40"/>
      <c r="LKQ125" s="24"/>
      <c r="LKR125" s="40"/>
      <c r="LKS125" s="24"/>
      <c r="LKT125" s="40"/>
      <c r="LKU125" s="24"/>
      <c r="LKV125" s="40"/>
      <c r="LKW125" s="24"/>
      <c r="LKX125" s="40"/>
      <c r="LKY125" s="24"/>
      <c r="LKZ125" s="40"/>
      <c r="LLA125" s="24"/>
      <c r="LLB125" s="40"/>
      <c r="LLC125" s="24"/>
      <c r="LLD125" s="40"/>
      <c r="LLE125" s="24"/>
      <c r="LLF125" s="40"/>
      <c r="LLG125" s="24"/>
      <c r="LLH125" s="40"/>
      <c r="LLI125" s="24"/>
      <c r="LLJ125" s="40"/>
      <c r="LLK125" s="24"/>
      <c r="LLL125" s="40"/>
      <c r="LLM125" s="24"/>
      <c r="LLN125" s="40"/>
      <c r="LLO125" s="24"/>
      <c r="LLP125" s="40"/>
      <c r="LLQ125" s="24"/>
      <c r="LLR125" s="40"/>
      <c r="LLS125" s="24"/>
      <c r="LLT125" s="40"/>
      <c r="LLU125" s="24"/>
      <c r="LLV125" s="40"/>
      <c r="LLW125" s="24"/>
      <c r="LLX125" s="40"/>
      <c r="LLY125" s="24"/>
      <c r="LLZ125" s="40"/>
      <c r="LMA125" s="24"/>
      <c r="LMB125" s="40"/>
      <c r="LMC125" s="24"/>
      <c r="LMD125" s="40"/>
      <c r="LME125" s="24"/>
      <c r="LMF125" s="40"/>
      <c r="LMG125" s="24"/>
      <c r="LMH125" s="40"/>
      <c r="LMI125" s="24"/>
      <c r="LMJ125" s="40"/>
      <c r="LMK125" s="24"/>
      <c r="LML125" s="40"/>
      <c r="LMM125" s="24"/>
      <c r="LMN125" s="40"/>
      <c r="LMO125" s="24"/>
      <c r="LMP125" s="40"/>
      <c r="LMQ125" s="24"/>
      <c r="LMR125" s="40"/>
      <c r="LMS125" s="24"/>
      <c r="LMT125" s="40"/>
      <c r="LMU125" s="24"/>
      <c r="LMV125" s="40"/>
      <c r="LMW125" s="24"/>
      <c r="LMX125" s="40"/>
      <c r="LMY125" s="24"/>
      <c r="LMZ125" s="40"/>
      <c r="LNA125" s="24"/>
      <c r="LNB125" s="40"/>
      <c r="LNC125" s="24"/>
      <c r="LND125" s="40"/>
      <c r="LNE125" s="24"/>
      <c r="LNF125" s="40"/>
      <c r="LNG125" s="24"/>
      <c r="LNH125" s="40"/>
      <c r="LNI125" s="24"/>
      <c r="LNJ125" s="40"/>
      <c r="LNK125" s="24"/>
      <c r="LNL125" s="40"/>
      <c r="LNM125" s="24"/>
      <c r="LNN125" s="40"/>
      <c r="LNO125" s="24"/>
      <c r="LNP125" s="40"/>
      <c r="LNQ125" s="24"/>
      <c r="LNR125" s="40"/>
      <c r="LNS125" s="24"/>
      <c r="LNT125" s="40"/>
      <c r="LNU125" s="24"/>
      <c r="LNV125" s="40"/>
      <c r="LNW125" s="24"/>
      <c r="LNX125" s="40"/>
      <c r="LNY125" s="24"/>
      <c r="LNZ125" s="40"/>
      <c r="LOA125" s="24"/>
      <c r="LOB125" s="40"/>
      <c r="LOC125" s="24"/>
      <c r="LOD125" s="40"/>
      <c r="LOE125" s="24"/>
      <c r="LOF125" s="40"/>
      <c r="LOG125" s="24"/>
      <c r="LOH125" s="40"/>
      <c r="LOI125" s="24"/>
      <c r="LOJ125" s="40"/>
      <c r="LOK125" s="24"/>
      <c r="LOL125" s="40"/>
      <c r="LOM125" s="24"/>
      <c r="LON125" s="40"/>
      <c r="LOO125" s="24"/>
      <c r="LOP125" s="40"/>
      <c r="LOQ125" s="24"/>
      <c r="LOR125" s="40"/>
      <c r="LOS125" s="24"/>
      <c r="LOT125" s="40"/>
      <c r="LOU125" s="24"/>
      <c r="LOV125" s="40"/>
      <c r="LOW125" s="24"/>
      <c r="LOX125" s="40"/>
      <c r="LOY125" s="24"/>
      <c r="LOZ125" s="40"/>
      <c r="LPA125" s="24"/>
      <c r="LPB125" s="40"/>
      <c r="LPC125" s="24"/>
      <c r="LPD125" s="40"/>
      <c r="LPE125" s="24"/>
      <c r="LPF125" s="40"/>
      <c r="LPG125" s="24"/>
      <c r="LPH125" s="40"/>
      <c r="LPI125" s="24"/>
      <c r="LPJ125" s="40"/>
      <c r="LPK125" s="24"/>
      <c r="LPL125" s="40"/>
      <c r="LPM125" s="24"/>
      <c r="LPN125" s="40"/>
      <c r="LPO125" s="24"/>
      <c r="LPP125" s="40"/>
      <c r="LPQ125" s="24"/>
      <c r="LPR125" s="40"/>
      <c r="LPS125" s="24"/>
      <c r="LPT125" s="40"/>
      <c r="LPU125" s="24"/>
      <c r="LPV125" s="40"/>
      <c r="LPW125" s="24"/>
      <c r="LPX125" s="40"/>
      <c r="LPY125" s="24"/>
      <c r="LPZ125" s="40"/>
      <c r="LQA125" s="24"/>
      <c r="LQB125" s="40"/>
      <c r="LQC125" s="24"/>
      <c r="LQD125" s="40"/>
      <c r="LQE125" s="24"/>
      <c r="LQF125" s="40"/>
      <c r="LQG125" s="24"/>
      <c r="LQH125" s="40"/>
      <c r="LQI125" s="24"/>
      <c r="LQJ125" s="40"/>
      <c r="LQK125" s="24"/>
      <c r="LQL125" s="40"/>
      <c r="LQM125" s="24"/>
      <c r="LQN125" s="40"/>
      <c r="LQO125" s="24"/>
      <c r="LQP125" s="40"/>
      <c r="LQQ125" s="24"/>
      <c r="LQR125" s="40"/>
      <c r="LQS125" s="24"/>
      <c r="LQT125" s="40"/>
      <c r="LQU125" s="24"/>
      <c r="LQV125" s="40"/>
      <c r="LQW125" s="24"/>
      <c r="LQX125" s="40"/>
      <c r="LQY125" s="24"/>
      <c r="LQZ125" s="40"/>
      <c r="LRA125" s="24"/>
      <c r="LRB125" s="40"/>
      <c r="LRC125" s="24"/>
      <c r="LRD125" s="40"/>
      <c r="LRE125" s="24"/>
      <c r="LRF125" s="40"/>
      <c r="LRG125" s="24"/>
      <c r="LRH125" s="40"/>
      <c r="LRI125" s="24"/>
      <c r="LRJ125" s="40"/>
      <c r="LRK125" s="24"/>
      <c r="LRL125" s="40"/>
      <c r="LRM125" s="24"/>
      <c r="LRN125" s="40"/>
      <c r="LRO125" s="24"/>
      <c r="LRP125" s="40"/>
      <c r="LRQ125" s="24"/>
      <c r="LRR125" s="40"/>
      <c r="LRS125" s="24"/>
      <c r="LRT125" s="40"/>
      <c r="LRU125" s="24"/>
      <c r="LRV125" s="40"/>
      <c r="LRW125" s="24"/>
      <c r="LRX125" s="40"/>
      <c r="LRY125" s="24"/>
      <c r="LRZ125" s="40"/>
      <c r="LSA125" s="24"/>
      <c r="LSB125" s="40"/>
      <c r="LSC125" s="24"/>
      <c r="LSD125" s="40"/>
      <c r="LSE125" s="24"/>
      <c r="LSF125" s="40"/>
      <c r="LSG125" s="24"/>
      <c r="LSH125" s="40"/>
      <c r="LSI125" s="24"/>
      <c r="LSJ125" s="40"/>
      <c r="LSK125" s="24"/>
      <c r="LSL125" s="40"/>
      <c r="LSM125" s="24"/>
      <c r="LSN125" s="40"/>
      <c r="LSO125" s="24"/>
      <c r="LSP125" s="40"/>
      <c r="LSQ125" s="24"/>
      <c r="LSR125" s="40"/>
      <c r="LSS125" s="24"/>
      <c r="LST125" s="40"/>
      <c r="LSU125" s="24"/>
      <c r="LSV125" s="40"/>
      <c r="LSW125" s="24"/>
      <c r="LSX125" s="40"/>
      <c r="LSY125" s="24"/>
      <c r="LSZ125" s="40"/>
      <c r="LTA125" s="24"/>
      <c r="LTB125" s="40"/>
      <c r="LTC125" s="24"/>
      <c r="LTD125" s="40"/>
      <c r="LTE125" s="24"/>
      <c r="LTF125" s="40"/>
      <c r="LTG125" s="24"/>
      <c r="LTH125" s="40"/>
      <c r="LTI125" s="24"/>
      <c r="LTJ125" s="40"/>
      <c r="LTK125" s="24"/>
      <c r="LTL125" s="40"/>
      <c r="LTM125" s="24"/>
      <c r="LTN125" s="40"/>
      <c r="LTO125" s="24"/>
      <c r="LTP125" s="40"/>
      <c r="LTQ125" s="24"/>
      <c r="LTR125" s="40"/>
      <c r="LTS125" s="24"/>
      <c r="LTT125" s="40"/>
      <c r="LTU125" s="24"/>
      <c r="LTV125" s="40"/>
      <c r="LTW125" s="24"/>
      <c r="LTX125" s="40"/>
      <c r="LTY125" s="24"/>
      <c r="LTZ125" s="40"/>
      <c r="LUA125" s="24"/>
      <c r="LUB125" s="40"/>
      <c r="LUC125" s="24"/>
      <c r="LUD125" s="40"/>
      <c r="LUE125" s="24"/>
      <c r="LUF125" s="40"/>
      <c r="LUG125" s="24"/>
      <c r="LUH125" s="40"/>
      <c r="LUI125" s="24"/>
      <c r="LUJ125" s="40"/>
      <c r="LUK125" s="24"/>
      <c r="LUL125" s="40"/>
      <c r="LUM125" s="24"/>
      <c r="LUN125" s="40"/>
      <c r="LUO125" s="24"/>
      <c r="LUP125" s="40"/>
      <c r="LUQ125" s="24"/>
      <c r="LUR125" s="40"/>
      <c r="LUS125" s="24"/>
      <c r="LUT125" s="40"/>
      <c r="LUU125" s="24"/>
      <c r="LUV125" s="40"/>
      <c r="LUW125" s="24"/>
      <c r="LUX125" s="40"/>
      <c r="LUY125" s="24"/>
      <c r="LUZ125" s="40"/>
      <c r="LVA125" s="24"/>
      <c r="LVB125" s="40"/>
      <c r="LVC125" s="24"/>
      <c r="LVD125" s="40"/>
      <c r="LVE125" s="24"/>
      <c r="LVF125" s="40"/>
      <c r="LVG125" s="24"/>
      <c r="LVH125" s="40"/>
      <c r="LVI125" s="24"/>
      <c r="LVJ125" s="40"/>
      <c r="LVK125" s="24"/>
      <c r="LVL125" s="40"/>
      <c r="LVM125" s="24"/>
      <c r="LVN125" s="40"/>
      <c r="LVO125" s="24"/>
      <c r="LVP125" s="40"/>
      <c r="LVQ125" s="24"/>
      <c r="LVR125" s="40"/>
      <c r="LVS125" s="24"/>
      <c r="LVT125" s="40"/>
      <c r="LVU125" s="24"/>
      <c r="LVV125" s="40"/>
      <c r="LVW125" s="24"/>
      <c r="LVX125" s="40"/>
      <c r="LVY125" s="24"/>
      <c r="LVZ125" s="40"/>
      <c r="LWA125" s="24"/>
      <c r="LWB125" s="40"/>
      <c r="LWC125" s="24"/>
      <c r="LWD125" s="40"/>
      <c r="LWE125" s="24"/>
      <c r="LWF125" s="40"/>
      <c r="LWG125" s="24"/>
      <c r="LWH125" s="40"/>
      <c r="LWI125" s="24"/>
      <c r="LWJ125" s="40"/>
      <c r="LWK125" s="24"/>
      <c r="LWL125" s="40"/>
      <c r="LWM125" s="24"/>
      <c r="LWN125" s="40"/>
      <c r="LWO125" s="24"/>
      <c r="LWP125" s="40"/>
      <c r="LWQ125" s="24"/>
      <c r="LWR125" s="40"/>
      <c r="LWS125" s="24"/>
      <c r="LWT125" s="40"/>
      <c r="LWU125" s="24"/>
      <c r="LWV125" s="40"/>
      <c r="LWW125" s="24"/>
      <c r="LWX125" s="40"/>
      <c r="LWY125" s="24"/>
      <c r="LWZ125" s="40"/>
      <c r="LXA125" s="24"/>
      <c r="LXB125" s="40"/>
      <c r="LXC125" s="24"/>
      <c r="LXD125" s="40"/>
      <c r="LXE125" s="24"/>
      <c r="LXF125" s="40"/>
      <c r="LXG125" s="24"/>
      <c r="LXH125" s="40"/>
      <c r="LXI125" s="24"/>
      <c r="LXJ125" s="40"/>
      <c r="LXK125" s="24"/>
      <c r="LXL125" s="40"/>
      <c r="LXM125" s="24"/>
      <c r="LXN125" s="40"/>
      <c r="LXO125" s="24"/>
      <c r="LXP125" s="40"/>
      <c r="LXQ125" s="24"/>
      <c r="LXR125" s="40"/>
      <c r="LXS125" s="24"/>
      <c r="LXT125" s="40"/>
      <c r="LXU125" s="24"/>
      <c r="LXV125" s="40"/>
      <c r="LXW125" s="24"/>
      <c r="LXX125" s="40"/>
      <c r="LXY125" s="24"/>
      <c r="LXZ125" s="40"/>
      <c r="LYA125" s="24"/>
      <c r="LYB125" s="40"/>
      <c r="LYC125" s="24"/>
      <c r="LYD125" s="40"/>
      <c r="LYE125" s="24"/>
      <c r="LYF125" s="40"/>
      <c r="LYG125" s="24"/>
      <c r="LYH125" s="40"/>
      <c r="LYI125" s="24"/>
      <c r="LYJ125" s="40"/>
      <c r="LYK125" s="24"/>
      <c r="LYL125" s="40"/>
      <c r="LYM125" s="24"/>
      <c r="LYN125" s="40"/>
      <c r="LYO125" s="24"/>
      <c r="LYP125" s="40"/>
      <c r="LYQ125" s="24"/>
      <c r="LYR125" s="40"/>
      <c r="LYS125" s="24"/>
      <c r="LYT125" s="40"/>
      <c r="LYU125" s="24"/>
      <c r="LYV125" s="40"/>
      <c r="LYW125" s="24"/>
      <c r="LYX125" s="40"/>
      <c r="LYY125" s="24"/>
      <c r="LYZ125" s="40"/>
      <c r="LZA125" s="24"/>
      <c r="LZB125" s="40"/>
      <c r="LZC125" s="24"/>
      <c r="LZD125" s="40"/>
      <c r="LZE125" s="24"/>
      <c r="LZF125" s="40"/>
      <c r="LZG125" s="24"/>
      <c r="LZH125" s="40"/>
      <c r="LZI125" s="24"/>
      <c r="LZJ125" s="40"/>
      <c r="LZK125" s="24"/>
      <c r="LZL125" s="40"/>
      <c r="LZM125" s="24"/>
      <c r="LZN125" s="40"/>
      <c r="LZO125" s="24"/>
      <c r="LZP125" s="40"/>
      <c r="LZQ125" s="24"/>
      <c r="LZR125" s="40"/>
      <c r="LZS125" s="24"/>
      <c r="LZT125" s="40"/>
      <c r="LZU125" s="24"/>
      <c r="LZV125" s="40"/>
      <c r="LZW125" s="24"/>
      <c r="LZX125" s="40"/>
      <c r="LZY125" s="24"/>
      <c r="LZZ125" s="40"/>
      <c r="MAA125" s="24"/>
      <c r="MAB125" s="40"/>
      <c r="MAC125" s="24"/>
      <c r="MAD125" s="40"/>
      <c r="MAE125" s="24"/>
      <c r="MAF125" s="40"/>
      <c r="MAG125" s="24"/>
      <c r="MAH125" s="40"/>
      <c r="MAI125" s="24"/>
      <c r="MAJ125" s="40"/>
      <c r="MAK125" s="24"/>
      <c r="MAL125" s="40"/>
      <c r="MAM125" s="24"/>
      <c r="MAN125" s="40"/>
      <c r="MAO125" s="24"/>
      <c r="MAP125" s="40"/>
      <c r="MAQ125" s="24"/>
      <c r="MAR125" s="40"/>
      <c r="MAS125" s="24"/>
      <c r="MAT125" s="40"/>
      <c r="MAU125" s="24"/>
      <c r="MAV125" s="40"/>
      <c r="MAW125" s="24"/>
      <c r="MAX125" s="40"/>
      <c r="MAY125" s="24"/>
      <c r="MAZ125" s="40"/>
      <c r="MBA125" s="24"/>
      <c r="MBB125" s="40"/>
      <c r="MBC125" s="24"/>
      <c r="MBD125" s="40"/>
      <c r="MBE125" s="24"/>
      <c r="MBF125" s="40"/>
      <c r="MBG125" s="24"/>
      <c r="MBH125" s="40"/>
      <c r="MBI125" s="24"/>
      <c r="MBJ125" s="40"/>
      <c r="MBK125" s="24"/>
      <c r="MBL125" s="40"/>
      <c r="MBM125" s="24"/>
      <c r="MBN125" s="40"/>
      <c r="MBO125" s="24"/>
      <c r="MBP125" s="40"/>
      <c r="MBQ125" s="24"/>
      <c r="MBR125" s="40"/>
      <c r="MBS125" s="24"/>
      <c r="MBT125" s="40"/>
      <c r="MBU125" s="24"/>
      <c r="MBV125" s="40"/>
      <c r="MBW125" s="24"/>
      <c r="MBX125" s="40"/>
      <c r="MBY125" s="24"/>
      <c r="MBZ125" s="40"/>
      <c r="MCA125" s="24"/>
      <c r="MCB125" s="40"/>
      <c r="MCC125" s="24"/>
      <c r="MCD125" s="40"/>
      <c r="MCE125" s="24"/>
      <c r="MCF125" s="40"/>
      <c r="MCG125" s="24"/>
      <c r="MCH125" s="40"/>
      <c r="MCI125" s="24"/>
      <c r="MCJ125" s="40"/>
      <c r="MCK125" s="24"/>
      <c r="MCL125" s="40"/>
      <c r="MCM125" s="24"/>
      <c r="MCN125" s="40"/>
      <c r="MCO125" s="24"/>
      <c r="MCP125" s="40"/>
      <c r="MCQ125" s="24"/>
      <c r="MCR125" s="40"/>
      <c r="MCS125" s="24"/>
      <c r="MCT125" s="40"/>
      <c r="MCU125" s="24"/>
      <c r="MCV125" s="40"/>
      <c r="MCW125" s="24"/>
      <c r="MCX125" s="40"/>
      <c r="MCY125" s="24"/>
      <c r="MCZ125" s="40"/>
      <c r="MDA125" s="24"/>
      <c r="MDB125" s="40"/>
      <c r="MDC125" s="24"/>
      <c r="MDD125" s="40"/>
      <c r="MDE125" s="24"/>
      <c r="MDF125" s="40"/>
      <c r="MDG125" s="24"/>
      <c r="MDH125" s="40"/>
      <c r="MDI125" s="24"/>
      <c r="MDJ125" s="40"/>
      <c r="MDK125" s="24"/>
      <c r="MDL125" s="40"/>
      <c r="MDM125" s="24"/>
      <c r="MDN125" s="40"/>
      <c r="MDO125" s="24"/>
      <c r="MDP125" s="40"/>
      <c r="MDQ125" s="24"/>
      <c r="MDR125" s="40"/>
      <c r="MDS125" s="24"/>
      <c r="MDT125" s="40"/>
      <c r="MDU125" s="24"/>
      <c r="MDV125" s="40"/>
      <c r="MDW125" s="24"/>
      <c r="MDX125" s="40"/>
      <c r="MDY125" s="24"/>
      <c r="MDZ125" s="40"/>
      <c r="MEA125" s="24"/>
      <c r="MEB125" s="40"/>
      <c r="MEC125" s="24"/>
      <c r="MED125" s="40"/>
      <c r="MEE125" s="24"/>
      <c r="MEF125" s="40"/>
      <c r="MEG125" s="24"/>
      <c r="MEH125" s="40"/>
      <c r="MEI125" s="24"/>
      <c r="MEJ125" s="40"/>
      <c r="MEK125" s="24"/>
      <c r="MEL125" s="40"/>
      <c r="MEM125" s="24"/>
      <c r="MEN125" s="40"/>
      <c r="MEO125" s="24"/>
      <c r="MEP125" s="40"/>
      <c r="MEQ125" s="24"/>
      <c r="MER125" s="40"/>
      <c r="MES125" s="24"/>
      <c r="MET125" s="40"/>
      <c r="MEU125" s="24"/>
      <c r="MEV125" s="40"/>
      <c r="MEW125" s="24"/>
      <c r="MEX125" s="40"/>
      <c r="MEY125" s="24"/>
      <c r="MEZ125" s="40"/>
      <c r="MFA125" s="24"/>
      <c r="MFB125" s="40"/>
      <c r="MFC125" s="24"/>
      <c r="MFD125" s="40"/>
      <c r="MFE125" s="24"/>
      <c r="MFF125" s="40"/>
      <c r="MFG125" s="24"/>
      <c r="MFH125" s="40"/>
      <c r="MFI125" s="24"/>
      <c r="MFJ125" s="40"/>
      <c r="MFK125" s="24"/>
      <c r="MFL125" s="40"/>
      <c r="MFM125" s="24"/>
      <c r="MFN125" s="40"/>
      <c r="MFO125" s="24"/>
      <c r="MFP125" s="40"/>
      <c r="MFQ125" s="24"/>
      <c r="MFR125" s="40"/>
      <c r="MFS125" s="24"/>
      <c r="MFT125" s="40"/>
      <c r="MFU125" s="24"/>
      <c r="MFV125" s="40"/>
      <c r="MFW125" s="24"/>
      <c r="MFX125" s="40"/>
      <c r="MFY125" s="24"/>
      <c r="MFZ125" s="40"/>
      <c r="MGA125" s="24"/>
      <c r="MGB125" s="40"/>
      <c r="MGC125" s="24"/>
      <c r="MGD125" s="40"/>
      <c r="MGE125" s="24"/>
      <c r="MGF125" s="40"/>
      <c r="MGG125" s="24"/>
      <c r="MGH125" s="40"/>
      <c r="MGI125" s="24"/>
      <c r="MGJ125" s="40"/>
      <c r="MGK125" s="24"/>
      <c r="MGL125" s="40"/>
      <c r="MGM125" s="24"/>
      <c r="MGN125" s="40"/>
      <c r="MGO125" s="24"/>
      <c r="MGP125" s="40"/>
      <c r="MGQ125" s="24"/>
      <c r="MGR125" s="40"/>
      <c r="MGS125" s="24"/>
      <c r="MGT125" s="40"/>
      <c r="MGU125" s="24"/>
      <c r="MGV125" s="40"/>
      <c r="MGW125" s="24"/>
      <c r="MGX125" s="40"/>
      <c r="MGY125" s="24"/>
      <c r="MGZ125" s="40"/>
      <c r="MHA125" s="24"/>
      <c r="MHB125" s="40"/>
      <c r="MHC125" s="24"/>
      <c r="MHD125" s="40"/>
      <c r="MHE125" s="24"/>
      <c r="MHF125" s="40"/>
      <c r="MHG125" s="24"/>
      <c r="MHH125" s="40"/>
      <c r="MHI125" s="24"/>
      <c r="MHJ125" s="40"/>
      <c r="MHK125" s="24"/>
      <c r="MHL125" s="40"/>
      <c r="MHM125" s="24"/>
      <c r="MHN125" s="40"/>
      <c r="MHO125" s="24"/>
      <c r="MHP125" s="40"/>
      <c r="MHQ125" s="24"/>
      <c r="MHR125" s="40"/>
      <c r="MHS125" s="24"/>
      <c r="MHT125" s="40"/>
      <c r="MHU125" s="24"/>
      <c r="MHV125" s="40"/>
      <c r="MHW125" s="24"/>
      <c r="MHX125" s="40"/>
      <c r="MHY125" s="24"/>
      <c r="MHZ125" s="40"/>
      <c r="MIA125" s="24"/>
      <c r="MIB125" s="40"/>
      <c r="MIC125" s="24"/>
      <c r="MID125" s="40"/>
      <c r="MIE125" s="24"/>
      <c r="MIF125" s="40"/>
      <c r="MIG125" s="24"/>
      <c r="MIH125" s="40"/>
      <c r="MII125" s="24"/>
      <c r="MIJ125" s="40"/>
      <c r="MIK125" s="24"/>
      <c r="MIL125" s="40"/>
      <c r="MIM125" s="24"/>
      <c r="MIN125" s="40"/>
      <c r="MIO125" s="24"/>
      <c r="MIP125" s="40"/>
      <c r="MIQ125" s="24"/>
      <c r="MIR125" s="40"/>
      <c r="MIS125" s="24"/>
      <c r="MIT125" s="40"/>
      <c r="MIU125" s="24"/>
      <c r="MIV125" s="40"/>
      <c r="MIW125" s="24"/>
      <c r="MIX125" s="40"/>
      <c r="MIY125" s="24"/>
      <c r="MIZ125" s="40"/>
      <c r="MJA125" s="24"/>
      <c r="MJB125" s="40"/>
      <c r="MJC125" s="24"/>
      <c r="MJD125" s="40"/>
      <c r="MJE125" s="24"/>
      <c r="MJF125" s="40"/>
      <c r="MJG125" s="24"/>
      <c r="MJH125" s="40"/>
      <c r="MJI125" s="24"/>
      <c r="MJJ125" s="40"/>
      <c r="MJK125" s="24"/>
      <c r="MJL125" s="40"/>
      <c r="MJM125" s="24"/>
      <c r="MJN125" s="40"/>
      <c r="MJO125" s="24"/>
      <c r="MJP125" s="40"/>
      <c r="MJQ125" s="24"/>
      <c r="MJR125" s="40"/>
      <c r="MJS125" s="24"/>
      <c r="MJT125" s="40"/>
      <c r="MJU125" s="24"/>
      <c r="MJV125" s="40"/>
      <c r="MJW125" s="24"/>
      <c r="MJX125" s="40"/>
      <c r="MJY125" s="24"/>
      <c r="MJZ125" s="40"/>
      <c r="MKA125" s="24"/>
      <c r="MKB125" s="40"/>
      <c r="MKC125" s="24"/>
      <c r="MKD125" s="40"/>
      <c r="MKE125" s="24"/>
      <c r="MKF125" s="40"/>
      <c r="MKG125" s="24"/>
      <c r="MKH125" s="40"/>
      <c r="MKI125" s="24"/>
      <c r="MKJ125" s="40"/>
      <c r="MKK125" s="24"/>
      <c r="MKL125" s="40"/>
      <c r="MKM125" s="24"/>
      <c r="MKN125" s="40"/>
      <c r="MKO125" s="24"/>
      <c r="MKP125" s="40"/>
      <c r="MKQ125" s="24"/>
      <c r="MKR125" s="40"/>
      <c r="MKS125" s="24"/>
      <c r="MKT125" s="40"/>
      <c r="MKU125" s="24"/>
      <c r="MKV125" s="40"/>
      <c r="MKW125" s="24"/>
      <c r="MKX125" s="40"/>
      <c r="MKY125" s="24"/>
      <c r="MKZ125" s="40"/>
      <c r="MLA125" s="24"/>
      <c r="MLB125" s="40"/>
      <c r="MLC125" s="24"/>
      <c r="MLD125" s="40"/>
      <c r="MLE125" s="24"/>
      <c r="MLF125" s="40"/>
      <c r="MLG125" s="24"/>
      <c r="MLH125" s="40"/>
      <c r="MLI125" s="24"/>
      <c r="MLJ125" s="40"/>
      <c r="MLK125" s="24"/>
      <c r="MLL125" s="40"/>
      <c r="MLM125" s="24"/>
      <c r="MLN125" s="40"/>
      <c r="MLO125" s="24"/>
      <c r="MLP125" s="40"/>
      <c r="MLQ125" s="24"/>
      <c r="MLR125" s="40"/>
      <c r="MLS125" s="24"/>
      <c r="MLT125" s="40"/>
      <c r="MLU125" s="24"/>
      <c r="MLV125" s="40"/>
      <c r="MLW125" s="24"/>
      <c r="MLX125" s="40"/>
      <c r="MLY125" s="24"/>
      <c r="MLZ125" s="40"/>
      <c r="MMA125" s="24"/>
      <c r="MMB125" s="40"/>
      <c r="MMC125" s="24"/>
      <c r="MMD125" s="40"/>
      <c r="MME125" s="24"/>
      <c r="MMF125" s="40"/>
      <c r="MMG125" s="24"/>
      <c r="MMH125" s="40"/>
      <c r="MMI125" s="24"/>
      <c r="MMJ125" s="40"/>
      <c r="MMK125" s="24"/>
      <c r="MML125" s="40"/>
      <c r="MMM125" s="24"/>
      <c r="MMN125" s="40"/>
      <c r="MMO125" s="24"/>
      <c r="MMP125" s="40"/>
      <c r="MMQ125" s="24"/>
      <c r="MMR125" s="40"/>
      <c r="MMS125" s="24"/>
      <c r="MMT125" s="40"/>
      <c r="MMU125" s="24"/>
      <c r="MMV125" s="40"/>
      <c r="MMW125" s="24"/>
      <c r="MMX125" s="40"/>
      <c r="MMY125" s="24"/>
      <c r="MMZ125" s="40"/>
      <c r="MNA125" s="24"/>
      <c r="MNB125" s="40"/>
      <c r="MNC125" s="24"/>
      <c r="MND125" s="40"/>
      <c r="MNE125" s="24"/>
      <c r="MNF125" s="40"/>
      <c r="MNG125" s="24"/>
      <c r="MNH125" s="40"/>
      <c r="MNI125" s="24"/>
      <c r="MNJ125" s="40"/>
      <c r="MNK125" s="24"/>
      <c r="MNL125" s="40"/>
      <c r="MNM125" s="24"/>
      <c r="MNN125" s="40"/>
      <c r="MNO125" s="24"/>
      <c r="MNP125" s="40"/>
      <c r="MNQ125" s="24"/>
      <c r="MNR125" s="40"/>
      <c r="MNS125" s="24"/>
      <c r="MNT125" s="40"/>
      <c r="MNU125" s="24"/>
      <c r="MNV125" s="40"/>
      <c r="MNW125" s="24"/>
      <c r="MNX125" s="40"/>
      <c r="MNY125" s="24"/>
      <c r="MNZ125" s="40"/>
      <c r="MOA125" s="24"/>
      <c r="MOB125" s="40"/>
      <c r="MOC125" s="24"/>
      <c r="MOD125" s="40"/>
      <c r="MOE125" s="24"/>
      <c r="MOF125" s="40"/>
      <c r="MOG125" s="24"/>
      <c r="MOH125" s="40"/>
      <c r="MOI125" s="24"/>
      <c r="MOJ125" s="40"/>
      <c r="MOK125" s="24"/>
      <c r="MOL125" s="40"/>
      <c r="MOM125" s="24"/>
      <c r="MON125" s="40"/>
      <c r="MOO125" s="24"/>
      <c r="MOP125" s="40"/>
      <c r="MOQ125" s="24"/>
      <c r="MOR125" s="40"/>
      <c r="MOS125" s="24"/>
      <c r="MOT125" s="40"/>
      <c r="MOU125" s="24"/>
      <c r="MOV125" s="40"/>
      <c r="MOW125" s="24"/>
      <c r="MOX125" s="40"/>
      <c r="MOY125" s="24"/>
      <c r="MOZ125" s="40"/>
      <c r="MPA125" s="24"/>
      <c r="MPB125" s="40"/>
      <c r="MPC125" s="24"/>
      <c r="MPD125" s="40"/>
      <c r="MPE125" s="24"/>
      <c r="MPF125" s="40"/>
      <c r="MPG125" s="24"/>
      <c r="MPH125" s="40"/>
      <c r="MPI125" s="24"/>
      <c r="MPJ125" s="40"/>
      <c r="MPK125" s="24"/>
      <c r="MPL125" s="40"/>
      <c r="MPM125" s="24"/>
      <c r="MPN125" s="40"/>
      <c r="MPO125" s="24"/>
      <c r="MPP125" s="40"/>
      <c r="MPQ125" s="24"/>
      <c r="MPR125" s="40"/>
      <c r="MPS125" s="24"/>
      <c r="MPT125" s="40"/>
      <c r="MPU125" s="24"/>
      <c r="MPV125" s="40"/>
      <c r="MPW125" s="24"/>
      <c r="MPX125" s="40"/>
      <c r="MPY125" s="24"/>
      <c r="MPZ125" s="40"/>
      <c r="MQA125" s="24"/>
      <c r="MQB125" s="40"/>
      <c r="MQC125" s="24"/>
      <c r="MQD125" s="40"/>
      <c r="MQE125" s="24"/>
      <c r="MQF125" s="40"/>
      <c r="MQG125" s="24"/>
      <c r="MQH125" s="40"/>
      <c r="MQI125" s="24"/>
      <c r="MQJ125" s="40"/>
      <c r="MQK125" s="24"/>
      <c r="MQL125" s="40"/>
      <c r="MQM125" s="24"/>
      <c r="MQN125" s="40"/>
      <c r="MQO125" s="24"/>
      <c r="MQP125" s="40"/>
      <c r="MQQ125" s="24"/>
      <c r="MQR125" s="40"/>
      <c r="MQS125" s="24"/>
      <c r="MQT125" s="40"/>
      <c r="MQU125" s="24"/>
      <c r="MQV125" s="40"/>
      <c r="MQW125" s="24"/>
      <c r="MQX125" s="40"/>
      <c r="MQY125" s="24"/>
      <c r="MQZ125" s="40"/>
      <c r="MRA125" s="24"/>
      <c r="MRB125" s="40"/>
      <c r="MRC125" s="24"/>
      <c r="MRD125" s="40"/>
      <c r="MRE125" s="24"/>
      <c r="MRF125" s="40"/>
      <c r="MRG125" s="24"/>
      <c r="MRH125" s="40"/>
      <c r="MRI125" s="24"/>
      <c r="MRJ125" s="40"/>
      <c r="MRK125" s="24"/>
      <c r="MRL125" s="40"/>
      <c r="MRM125" s="24"/>
      <c r="MRN125" s="40"/>
      <c r="MRO125" s="24"/>
      <c r="MRP125" s="40"/>
      <c r="MRQ125" s="24"/>
      <c r="MRR125" s="40"/>
      <c r="MRS125" s="24"/>
      <c r="MRT125" s="40"/>
      <c r="MRU125" s="24"/>
      <c r="MRV125" s="40"/>
      <c r="MRW125" s="24"/>
      <c r="MRX125" s="40"/>
      <c r="MRY125" s="24"/>
      <c r="MRZ125" s="40"/>
      <c r="MSA125" s="24"/>
      <c r="MSB125" s="40"/>
      <c r="MSC125" s="24"/>
      <c r="MSD125" s="40"/>
      <c r="MSE125" s="24"/>
      <c r="MSF125" s="40"/>
      <c r="MSG125" s="24"/>
      <c r="MSH125" s="40"/>
      <c r="MSI125" s="24"/>
      <c r="MSJ125" s="40"/>
      <c r="MSK125" s="24"/>
      <c r="MSL125" s="40"/>
      <c r="MSM125" s="24"/>
      <c r="MSN125" s="40"/>
      <c r="MSO125" s="24"/>
      <c r="MSP125" s="40"/>
      <c r="MSQ125" s="24"/>
      <c r="MSR125" s="40"/>
      <c r="MSS125" s="24"/>
      <c r="MST125" s="40"/>
      <c r="MSU125" s="24"/>
      <c r="MSV125" s="40"/>
      <c r="MSW125" s="24"/>
      <c r="MSX125" s="40"/>
      <c r="MSY125" s="24"/>
      <c r="MSZ125" s="40"/>
      <c r="MTA125" s="24"/>
      <c r="MTB125" s="40"/>
      <c r="MTC125" s="24"/>
      <c r="MTD125" s="40"/>
      <c r="MTE125" s="24"/>
      <c r="MTF125" s="40"/>
      <c r="MTG125" s="24"/>
      <c r="MTH125" s="40"/>
      <c r="MTI125" s="24"/>
      <c r="MTJ125" s="40"/>
      <c r="MTK125" s="24"/>
      <c r="MTL125" s="40"/>
      <c r="MTM125" s="24"/>
      <c r="MTN125" s="40"/>
      <c r="MTO125" s="24"/>
      <c r="MTP125" s="40"/>
      <c r="MTQ125" s="24"/>
      <c r="MTR125" s="40"/>
      <c r="MTS125" s="24"/>
      <c r="MTT125" s="40"/>
      <c r="MTU125" s="24"/>
      <c r="MTV125" s="40"/>
      <c r="MTW125" s="24"/>
      <c r="MTX125" s="40"/>
      <c r="MTY125" s="24"/>
      <c r="MTZ125" s="40"/>
      <c r="MUA125" s="24"/>
      <c r="MUB125" s="40"/>
      <c r="MUC125" s="24"/>
      <c r="MUD125" s="40"/>
      <c r="MUE125" s="24"/>
      <c r="MUF125" s="40"/>
      <c r="MUG125" s="24"/>
      <c r="MUH125" s="40"/>
      <c r="MUI125" s="24"/>
      <c r="MUJ125" s="40"/>
      <c r="MUK125" s="24"/>
      <c r="MUL125" s="40"/>
      <c r="MUM125" s="24"/>
      <c r="MUN125" s="40"/>
      <c r="MUO125" s="24"/>
      <c r="MUP125" s="40"/>
      <c r="MUQ125" s="24"/>
      <c r="MUR125" s="40"/>
      <c r="MUS125" s="24"/>
      <c r="MUT125" s="40"/>
      <c r="MUU125" s="24"/>
      <c r="MUV125" s="40"/>
      <c r="MUW125" s="24"/>
      <c r="MUX125" s="40"/>
      <c r="MUY125" s="24"/>
      <c r="MUZ125" s="40"/>
      <c r="MVA125" s="24"/>
      <c r="MVB125" s="40"/>
      <c r="MVC125" s="24"/>
      <c r="MVD125" s="40"/>
      <c r="MVE125" s="24"/>
      <c r="MVF125" s="40"/>
      <c r="MVG125" s="24"/>
      <c r="MVH125" s="40"/>
      <c r="MVI125" s="24"/>
      <c r="MVJ125" s="40"/>
      <c r="MVK125" s="24"/>
      <c r="MVL125" s="40"/>
      <c r="MVM125" s="24"/>
      <c r="MVN125" s="40"/>
      <c r="MVO125" s="24"/>
      <c r="MVP125" s="40"/>
      <c r="MVQ125" s="24"/>
      <c r="MVR125" s="40"/>
      <c r="MVS125" s="24"/>
      <c r="MVT125" s="40"/>
      <c r="MVU125" s="24"/>
      <c r="MVV125" s="40"/>
      <c r="MVW125" s="24"/>
      <c r="MVX125" s="40"/>
      <c r="MVY125" s="24"/>
      <c r="MVZ125" s="40"/>
      <c r="MWA125" s="24"/>
      <c r="MWB125" s="40"/>
      <c r="MWC125" s="24"/>
      <c r="MWD125" s="40"/>
      <c r="MWE125" s="24"/>
      <c r="MWF125" s="40"/>
      <c r="MWG125" s="24"/>
      <c r="MWH125" s="40"/>
      <c r="MWI125" s="24"/>
      <c r="MWJ125" s="40"/>
      <c r="MWK125" s="24"/>
      <c r="MWL125" s="40"/>
      <c r="MWM125" s="24"/>
      <c r="MWN125" s="40"/>
      <c r="MWO125" s="24"/>
      <c r="MWP125" s="40"/>
      <c r="MWQ125" s="24"/>
      <c r="MWR125" s="40"/>
      <c r="MWS125" s="24"/>
      <c r="MWT125" s="40"/>
      <c r="MWU125" s="24"/>
      <c r="MWV125" s="40"/>
      <c r="MWW125" s="24"/>
      <c r="MWX125" s="40"/>
      <c r="MWY125" s="24"/>
      <c r="MWZ125" s="40"/>
      <c r="MXA125" s="24"/>
      <c r="MXB125" s="40"/>
      <c r="MXC125" s="24"/>
      <c r="MXD125" s="40"/>
      <c r="MXE125" s="24"/>
      <c r="MXF125" s="40"/>
      <c r="MXG125" s="24"/>
      <c r="MXH125" s="40"/>
      <c r="MXI125" s="24"/>
      <c r="MXJ125" s="40"/>
      <c r="MXK125" s="24"/>
      <c r="MXL125" s="40"/>
      <c r="MXM125" s="24"/>
      <c r="MXN125" s="40"/>
      <c r="MXO125" s="24"/>
      <c r="MXP125" s="40"/>
      <c r="MXQ125" s="24"/>
      <c r="MXR125" s="40"/>
      <c r="MXS125" s="24"/>
      <c r="MXT125" s="40"/>
      <c r="MXU125" s="24"/>
      <c r="MXV125" s="40"/>
      <c r="MXW125" s="24"/>
      <c r="MXX125" s="40"/>
      <c r="MXY125" s="24"/>
      <c r="MXZ125" s="40"/>
      <c r="MYA125" s="24"/>
      <c r="MYB125" s="40"/>
      <c r="MYC125" s="24"/>
      <c r="MYD125" s="40"/>
      <c r="MYE125" s="24"/>
      <c r="MYF125" s="40"/>
      <c r="MYG125" s="24"/>
      <c r="MYH125" s="40"/>
      <c r="MYI125" s="24"/>
      <c r="MYJ125" s="40"/>
      <c r="MYK125" s="24"/>
      <c r="MYL125" s="40"/>
      <c r="MYM125" s="24"/>
      <c r="MYN125" s="40"/>
      <c r="MYO125" s="24"/>
      <c r="MYP125" s="40"/>
      <c r="MYQ125" s="24"/>
      <c r="MYR125" s="40"/>
      <c r="MYS125" s="24"/>
      <c r="MYT125" s="40"/>
      <c r="MYU125" s="24"/>
      <c r="MYV125" s="40"/>
      <c r="MYW125" s="24"/>
      <c r="MYX125" s="40"/>
      <c r="MYY125" s="24"/>
      <c r="MYZ125" s="40"/>
      <c r="MZA125" s="24"/>
      <c r="MZB125" s="40"/>
      <c r="MZC125" s="24"/>
      <c r="MZD125" s="40"/>
      <c r="MZE125" s="24"/>
      <c r="MZF125" s="40"/>
      <c r="MZG125" s="24"/>
      <c r="MZH125" s="40"/>
      <c r="MZI125" s="24"/>
      <c r="MZJ125" s="40"/>
      <c r="MZK125" s="24"/>
      <c r="MZL125" s="40"/>
      <c r="MZM125" s="24"/>
      <c r="MZN125" s="40"/>
      <c r="MZO125" s="24"/>
      <c r="MZP125" s="40"/>
      <c r="MZQ125" s="24"/>
      <c r="MZR125" s="40"/>
      <c r="MZS125" s="24"/>
      <c r="MZT125" s="40"/>
      <c r="MZU125" s="24"/>
      <c r="MZV125" s="40"/>
      <c r="MZW125" s="24"/>
      <c r="MZX125" s="40"/>
      <c r="MZY125" s="24"/>
      <c r="MZZ125" s="40"/>
      <c r="NAA125" s="24"/>
      <c r="NAB125" s="40"/>
      <c r="NAC125" s="24"/>
      <c r="NAD125" s="40"/>
      <c r="NAE125" s="24"/>
      <c r="NAF125" s="40"/>
      <c r="NAG125" s="24"/>
      <c r="NAH125" s="40"/>
      <c r="NAI125" s="24"/>
      <c r="NAJ125" s="40"/>
      <c r="NAK125" s="24"/>
      <c r="NAL125" s="40"/>
      <c r="NAM125" s="24"/>
      <c r="NAN125" s="40"/>
      <c r="NAO125" s="24"/>
      <c r="NAP125" s="40"/>
      <c r="NAQ125" s="24"/>
      <c r="NAR125" s="40"/>
      <c r="NAS125" s="24"/>
      <c r="NAT125" s="40"/>
      <c r="NAU125" s="24"/>
      <c r="NAV125" s="40"/>
      <c r="NAW125" s="24"/>
      <c r="NAX125" s="40"/>
      <c r="NAY125" s="24"/>
      <c r="NAZ125" s="40"/>
      <c r="NBA125" s="24"/>
      <c r="NBB125" s="40"/>
      <c r="NBC125" s="24"/>
      <c r="NBD125" s="40"/>
      <c r="NBE125" s="24"/>
      <c r="NBF125" s="40"/>
      <c r="NBG125" s="24"/>
      <c r="NBH125" s="40"/>
      <c r="NBI125" s="24"/>
      <c r="NBJ125" s="40"/>
      <c r="NBK125" s="24"/>
      <c r="NBL125" s="40"/>
      <c r="NBM125" s="24"/>
      <c r="NBN125" s="40"/>
      <c r="NBO125" s="24"/>
      <c r="NBP125" s="40"/>
      <c r="NBQ125" s="24"/>
      <c r="NBR125" s="40"/>
      <c r="NBS125" s="24"/>
      <c r="NBT125" s="40"/>
      <c r="NBU125" s="24"/>
      <c r="NBV125" s="40"/>
      <c r="NBW125" s="24"/>
      <c r="NBX125" s="40"/>
      <c r="NBY125" s="24"/>
      <c r="NBZ125" s="40"/>
      <c r="NCA125" s="24"/>
      <c r="NCB125" s="40"/>
      <c r="NCC125" s="24"/>
      <c r="NCD125" s="40"/>
      <c r="NCE125" s="24"/>
      <c r="NCF125" s="40"/>
      <c r="NCG125" s="24"/>
      <c r="NCH125" s="40"/>
      <c r="NCI125" s="24"/>
      <c r="NCJ125" s="40"/>
      <c r="NCK125" s="24"/>
      <c r="NCL125" s="40"/>
      <c r="NCM125" s="24"/>
      <c r="NCN125" s="40"/>
      <c r="NCO125" s="24"/>
      <c r="NCP125" s="40"/>
      <c r="NCQ125" s="24"/>
      <c r="NCR125" s="40"/>
      <c r="NCS125" s="24"/>
      <c r="NCT125" s="40"/>
      <c r="NCU125" s="24"/>
      <c r="NCV125" s="40"/>
      <c r="NCW125" s="24"/>
      <c r="NCX125" s="40"/>
      <c r="NCY125" s="24"/>
      <c r="NCZ125" s="40"/>
      <c r="NDA125" s="24"/>
      <c r="NDB125" s="40"/>
      <c r="NDC125" s="24"/>
      <c r="NDD125" s="40"/>
      <c r="NDE125" s="24"/>
      <c r="NDF125" s="40"/>
      <c r="NDG125" s="24"/>
      <c r="NDH125" s="40"/>
      <c r="NDI125" s="24"/>
      <c r="NDJ125" s="40"/>
      <c r="NDK125" s="24"/>
      <c r="NDL125" s="40"/>
      <c r="NDM125" s="24"/>
      <c r="NDN125" s="40"/>
      <c r="NDO125" s="24"/>
      <c r="NDP125" s="40"/>
      <c r="NDQ125" s="24"/>
      <c r="NDR125" s="40"/>
      <c r="NDS125" s="24"/>
      <c r="NDT125" s="40"/>
      <c r="NDU125" s="24"/>
      <c r="NDV125" s="40"/>
      <c r="NDW125" s="24"/>
      <c r="NDX125" s="40"/>
      <c r="NDY125" s="24"/>
      <c r="NDZ125" s="40"/>
      <c r="NEA125" s="24"/>
      <c r="NEB125" s="40"/>
      <c r="NEC125" s="24"/>
      <c r="NED125" s="40"/>
      <c r="NEE125" s="24"/>
      <c r="NEF125" s="40"/>
      <c r="NEG125" s="24"/>
      <c r="NEH125" s="40"/>
      <c r="NEI125" s="24"/>
      <c r="NEJ125" s="40"/>
      <c r="NEK125" s="24"/>
      <c r="NEL125" s="40"/>
      <c r="NEM125" s="24"/>
      <c r="NEN125" s="40"/>
      <c r="NEO125" s="24"/>
      <c r="NEP125" s="40"/>
      <c r="NEQ125" s="24"/>
      <c r="NER125" s="40"/>
      <c r="NES125" s="24"/>
      <c r="NET125" s="40"/>
      <c r="NEU125" s="24"/>
      <c r="NEV125" s="40"/>
      <c r="NEW125" s="24"/>
      <c r="NEX125" s="40"/>
      <c r="NEY125" s="24"/>
      <c r="NEZ125" s="40"/>
      <c r="NFA125" s="24"/>
      <c r="NFB125" s="40"/>
      <c r="NFC125" s="24"/>
      <c r="NFD125" s="40"/>
      <c r="NFE125" s="24"/>
      <c r="NFF125" s="40"/>
      <c r="NFG125" s="24"/>
      <c r="NFH125" s="40"/>
      <c r="NFI125" s="24"/>
      <c r="NFJ125" s="40"/>
      <c r="NFK125" s="24"/>
      <c r="NFL125" s="40"/>
      <c r="NFM125" s="24"/>
      <c r="NFN125" s="40"/>
      <c r="NFO125" s="24"/>
      <c r="NFP125" s="40"/>
      <c r="NFQ125" s="24"/>
      <c r="NFR125" s="40"/>
      <c r="NFS125" s="24"/>
      <c r="NFT125" s="40"/>
      <c r="NFU125" s="24"/>
      <c r="NFV125" s="40"/>
      <c r="NFW125" s="24"/>
      <c r="NFX125" s="40"/>
      <c r="NFY125" s="24"/>
      <c r="NFZ125" s="40"/>
      <c r="NGA125" s="24"/>
      <c r="NGB125" s="40"/>
      <c r="NGC125" s="24"/>
      <c r="NGD125" s="40"/>
      <c r="NGE125" s="24"/>
      <c r="NGF125" s="40"/>
      <c r="NGG125" s="24"/>
      <c r="NGH125" s="40"/>
      <c r="NGI125" s="24"/>
      <c r="NGJ125" s="40"/>
      <c r="NGK125" s="24"/>
      <c r="NGL125" s="40"/>
      <c r="NGM125" s="24"/>
      <c r="NGN125" s="40"/>
      <c r="NGO125" s="24"/>
      <c r="NGP125" s="40"/>
      <c r="NGQ125" s="24"/>
      <c r="NGR125" s="40"/>
      <c r="NGS125" s="24"/>
      <c r="NGT125" s="40"/>
      <c r="NGU125" s="24"/>
      <c r="NGV125" s="40"/>
      <c r="NGW125" s="24"/>
      <c r="NGX125" s="40"/>
      <c r="NGY125" s="24"/>
      <c r="NGZ125" s="40"/>
      <c r="NHA125" s="24"/>
      <c r="NHB125" s="40"/>
      <c r="NHC125" s="24"/>
      <c r="NHD125" s="40"/>
      <c r="NHE125" s="24"/>
      <c r="NHF125" s="40"/>
      <c r="NHG125" s="24"/>
      <c r="NHH125" s="40"/>
      <c r="NHI125" s="24"/>
      <c r="NHJ125" s="40"/>
      <c r="NHK125" s="24"/>
      <c r="NHL125" s="40"/>
      <c r="NHM125" s="24"/>
      <c r="NHN125" s="40"/>
      <c r="NHO125" s="24"/>
      <c r="NHP125" s="40"/>
      <c r="NHQ125" s="24"/>
      <c r="NHR125" s="40"/>
      <c r="NHS125" s="24"/>
      <c r="NHT125" s="40"/>
      <c r="NHU125" s="24"/>
      <c r="NHV125" s="40"/>
      <c r="NHW125" s="24"/>
      <c r="NHX125" s="40"/>
      <c r="NHY125" s="24"/>
      <c r="NHZ125" s="40"/>
      <c r="NIA125" s="24"/>
      <c r="NIB125" s="40"/>
      <c r="NIC125" s="24"/>
      <c r="NID125" s="40"/>
      <c r="NIE125" s="24"/>
      <c r="NIF125" s="40"/>
      <c r="NIG125" s="24"/>
      <c r="NIH125" s="40"/>
      <c r="NII125" s="24"/>
      <c r="NIJ125" s="40"/>
      <c r="NIK125" s="24"/>
      <c r="NIL125" s="40"/>
      <c r="NIM125" s="24"/>
      <c r="NIN125" s="40"/>
      <c r="NIO125" s="24"/>
      <c r="NIP125" s="40"/>
      <c r="NIQ125" s="24"/>
      <c r="NIR125" s="40"/>
      <c r="NIS125" s="24"/>
      <c r="NIT125" s="40"/>
      <c r="NIU125" s="24"/>
      <c r="NIV125" s="40"/>
      <c r="NIW125" s="24"/>
      <c r="NIX125" s="40"/>
      <c r="NIY125" s="24"/>
      <c r="NIZ125" s="40"/>
      <c r="NJA125" s="24"/>
      <c r="NJB125" s="40"/>
      <c r="NJC125" s="24"/>
      <c r="NJD125" s="40"/>
      <c r="NJE125" s="24"/>
      <c r="NJF125" s="40"/>
      <c r="NJG125" s="24"/>
      <c r="NJH125" s="40"/>
      <c r="NJI125" s="24"/>
      <c r="NJJ125" s="40"/>
      <c r="NJK125" s="24"/>
      <c r="NJL125" s="40"/>
      <c r="NJM125" s="24"/>
      <c r="NJN125" s="40"/>
      <c r="NJO125" s="24"/>
      <c r="NJP125" s="40"/>
      <c r="NJQ125" s="24"/>
      <c r="NJR125" s="40"/>
      <c r="NJS125" s="24"/>
      <c r="NJT125" s="40"/>
      <c r="NJU125" s="24"/>
      <c r="NJV125" s="40"/>
      <c r="NJW125" s="24"/>
      <c r="NJX125" s="40"/>
      <c r="NJY125" s="24"/>
      <c r="NJZ125" s="40"/>
      <c r="NKA125" s="24"/>
      <c r="NKB125" s="40"/>
      <c r="NKC125" s="24"/>
      <c r="NKD125" s="40"/>
      <c r="NKE125" s="24"/>
      <c r="NKF125" s="40"/>
      <c r="NKG125" s="24"/>
      <c r="NKH125" s="40"/>
      <c r="NKI125" s="24"/>
      <c r="NKJ125" s="40"/>
      <c r="NKK125" s="24"/>
      <c r="NKL125" s="40"/>
      <c r="NKM125" s="24"/>
      <c r="NKN125" s="40"/>
      <c r="NKO125" s="24"/>
      <c r="NKP125" s="40"/>
      <c r="NKQ125" s="24"/>
      <c r="NKR125" s="40"/>
      <c r="NKS125" s="24"/>
      <c r="NKT125" s="40"/>
      <c r="NKU125" s="24"/>
      <c r="NKV125" s="40"/>
      <c r="NKW125" s="24"/>
      <c r="NKX125" s="40"/>
      <c r="NKY125" s="24"/>
      <c r="NKZ125" s="40"/>
      <c r="NLA125" s="24"/>
      <c r="NLB125" s="40"/>
      <c r="NLC125" s="24"/>
      <c r="NLD125" s="40"/>
      <c r="NLE125" s="24"/>
      <c r="NLF125" s="40"/>
      <c r="NLG125" s="24"/>
      <c r="NLH125" s="40"/>
      <c r="NLI125" s="24"/>
      <c r="NLJ125" s="40"/>
      <c r="NLK125" s="24"/>
      <c r="NLL125" s="40"/>
      <c r="NLM125" s="24"/>
      <c r="NLN125" s="40"/>
      <c r="NLO125" s="24"/>
      <c r="NLP125" s="40"/>
      <c r="NLQ125" s="24"/>
      <c r="NLR125" s="40"/>
      <c r="NLS125" s="24"/>
      <c r="NLT125" s="40"/>
      <c r="NLU125" s="24"/>
      <c r="NLV125" s="40"/>
      <c r="NLW125" s="24"/>
      <c r="NLX125" s="40"/>
      <c r="NLY125" s="24"/>
      <c r="NLZ125" s="40"/>
      <c r="NMA125" s="24"/>
      <c r="NMB125" s="40"/>
      <c r="NMC125" s="24"/>
      <c r="NMD125" s="40"/>
      <c r="NME125" s="24"/>
      <c r="NMF125" s="40"/>
      <c r="NMG125" s="24"/>
      <c r="NMH125" s="40"/>
      <c r="NMI125" s="24"/>
      <c r="NMJ125" s="40"/>
      <c r="NMK125" s="24"/>
      <c r="NML125" s="40"/>
      <c r="NMM125" s="24"/>
      <c r="NMN125" s="40"/>
      <c r="NMO125" s="24"/>
      <c r="NMP125" s="40"/>
      <c r="NMQ125" s="24"/>
      <c r="NMR125" s="40"/>
      <c r="NMS125" s="24"/>
      <c r="NMT125" s="40"/>
      <c r="NMU125" s="24"/>
      <c r="NMV125" s="40"/>
      <c r="NMW125" s="24"/>
      <c r="NMX125" s="40"/>
      <c r="NMY125" s="24"/>
      <c r="NMZ125" s="40"/>
      <c r="NNA125" s="24"/>
      <c r="NNB125" s="40"/>
      <c r="NNC125" s="24"/>
      <c r="NND125" s="40"/>
      <c r="NNE125" s="24"/>
      <c r="NNF125" s="40"/>
      <c r="NNG125" s="24"/>
      <c r="NNH125" s="40"/>
      <c r="NNI125" s="24"/>
      <c r="NNJ125" s="40"/>
      <c r="NNK125" s="24"/>
      <c r="NNL125" s="40"/>
      <c r="NNM125" s="24"/>
      <c r="NNN125" s="40"/>
      <c r="NNO125" s="24"/>
      <c r="NNP125" s="40"/>
      <c r="NNQ125" s="24"/>
      <c r="NNR125" s="40"/>
      <c r="NNS125" s="24"/>
      <c r="NNT125" s="40"/>
      <c r="NNU125" s="24"/>
      <c r="NNV125" s="40"/>
      <c r="NNW125" s="24"/>
      <c r="NNX125" s="40"/>
      <c r="NNY125" s="24"/>
      <c r="NNZ125" s="40"/>
      <c r="NOA125" s="24"/>
      <c r="NOB125" s="40"/>
      <c r="NOC125" s="24"/>
      <c r="NOD125" s="40"/>
      <c r="NOE125" s="24"/>
      <c r="NOF125" s="40"/>
      <c r="NOG125" s="24"/>
      <c r="NOH125" s="40"/>
      <c r="NOI125" s="24"/>
      <c r="NOJ125" s="40"/>
      <c r="NOK125" s="24"/>
      <c r="NOL125" s="40"/>
      <c r="NOM125" s="24"/>
      <c r="NON125" s="40"/>
      <c r="NOO125" s="24"/>
      <c r="NOP125" s="40"/>
      <c r="NOQ125" s="24"/>
      <c r="NOR125" s="40"/>
      <c r="NOS125" s="24"/>
      <c r="NOT125" s="40"/>
      <c r="NOU125" s="24"/>
      <c r="NOV125" s="40"/>
      <c r="NOW125" s="24"/>
      <c r="NOX125" s="40"/>
      <c r="NOY125" s="24"/>
      <c r="NOZ125" s="40"/>
      <c r="NPA125" s="24"/>
      <c r="NPB125" s="40"/>
      <c r="NPC125" s="24"/>
      <c r="NPD125" s="40"/>
      <c r="NPE125" s="24"/>
      <c r="NPF125" s="40"/>
      <c r="NPG125" s="24"/>
      <c r="NPH125" s="40"/>
      <c r="NPI125" s="24"/>
      <c r="NPJ125" s="40"/>
      <c r="NPK125" s="24"/>
      <c r="NPL125" s="40"/>
      <c r="NPM125" s="24"/>
      <c r="NPN125" s="40"/>
      <c r="NPO125" s="24"/>
      <c r="NPP125" s="40"/>
      <c r="NPQ125" s="24"/>
      <c r="NPR125" s="40"/>
      <c r="NPS125" s="24"/>
      <c r="NPT125" s="40"/>
      <c r="NPU125" s="24"/>
      <c r="NPV125" s="40"/>
      <c r="NPW125" s="24"/>
      <c r="NPX125" s="40"/>
      <c r="NPY125" s="24"/>
      <c r="NPZ125" s="40"/>
      <c r="NQA125" s="24"/>
      <c r="NQB125" s="40"/>
      <c r="NQC125" s="24"/>
      <c r="NQD125" s="40"/>
      <c r="NQE125" s="24"/>
      <c r="NQF125" s="40"/>
      <c r="NQG125" s="24"/>
      <c r="NQH125" s="40"/>
      <c r="NQI125" s="24"/>
      <c r="NQJ125" s="40"/>
      <c r="NQK125" s="24"/>
      <c r="NQL125" s="40"/>
      <c r="NQM125" s="24"/>
      <c r="NQN125" s="40"/>
      <c r="NQO125" s="24"/>
      <c r="NQP125" s="40"/>
      <c r="NQQ125" s="24"/>
      <c r="NQR125" s="40"/>
      <c r="NQS125" s="24"/>
      <c r="NQT125" s="40"/>
      <c r="NQU125" s="24"/>
      <c r="NQV125" s="40"/>
      <c r="NQW125" s="24"/>
      <c r="NQX125" s="40"/>
      <c r="NQY125" s="24"/>
      <c r="NQZ125" s="40"/>
      <c r="NRA125" s="24"/>
      <c r="NRB125" s="40"/>
      <c r="NRC125" s="24"/>
      <c r="NRD125" s="40"/>
      <c r="NRE125" s="24"/>
      <c r="NRF125" s="40"/>
      <c r="NRG125" s="24"/>
      <c r="NRH125" s="40"/>
      <c r="NRI125" s="24"/>
      <c r="NRJ125" s="40"/>
      <c r="NRK125" s="24"/>
      <c r="NRL125" s="40"/>
      <c r="NRM125" s="24"/>
      <c r="NRN125" s="40"/>
      <c r="NRO125" s="24"/>
      <c r="NRP125" s="40"/>
      <c r="NRQ125" s="24"/>
      <c r="NRR125" s="40"/>
      <c r="NRS125" s="24"/>
      <c r="NRT125" s="40"/>
      <c r="NRU125" s="24"/>
      <c r="NRV125" s="40"/>
      <c r="NRW125" s="24"/>
      <c r="NRX125" s="40"/>
      <c r="NRY125" s="24"/>
      <c r="NRZ125" s="40"/>
      <c r="NSA125" s="24"/>
      <c r="NSB125" s="40"/>
      <c r="NSC125" s="24"/>
      <c r="NSD125" s="40"/>
      <c r="NSE125" s="24"/>
      <c r="NSF125" s="40"/>
      <c r="NSG125" s="24"/>
      <c r="NSH125" s="40"/>
      <c r="NSI125" s="24"/>
      <c r="NSJ125" s="40"/>
      <c r="NSK125" s="24"/>
      <c r="NSL125" s="40"/>
      <c r="NSM125" s="24"/>
      <c r="NSN125" s="40"/>
      <c r="NSO125" s="24"/>
      <c r="NSP125" s="40"/>
      <c r="NSQ125" s="24"/>
      <c r="NSR125" s="40"/>
      <c r="NSS125" s="24"/>
      <c r="NST125" s="40"/>
      <c r="NSU125" s="24"/>
      <c r="NSV125" s="40"/>
      <c r="NSW125" s="24"/>
      <c r="NSX125" s="40"/>
      <c r="NSY125" s="24"/>
      <c r="NSZ125" s="40"/>
      <c r="NTA125" s="24"/>
      <c r="NTB125" s="40"/>
      <c r="NTC125" s="24"/>
      <c r="NTD125" s="40"/>
      <c r="NTE125" s="24"/>
      <c r="NTF125" s="40"/>
      <c r="NTG125" s="24"/>
      <c r="NTH125" s="40"/>
      <c r="NTI125" s="24"/>
      <c r="NTJ125" s="40"/>
      <c r="NTK125" s="24"/>
      <c r="NTL125" s="40"/>
      <c r="NTM125" s="24"/>
      <c r="NTN125" s="40"/>
      <c r="NTO125" s="24"/>
      <c r="NTP125" s="40"/>
      <c r="NTQ125" s="24"/>
      <c r="NTR125" s="40"/>
      <c r="NTS125" s="24"/>
      <c r="NTT125" s="40"/>
      <c r="NTU125" s="24"/>
      <c r="NTV125" s="40"/>
      <c r="NTW125" s="24"/>
      <c r="NTX125" s="40"/>
      <c r="NTY125" s="24"/>
      <c r="NTZ125" s="40"/>
      <c r="NUA125" s="24"/>
      <c r="NUB125" s="40"/>
      <c r="NUC125" s="24"/>
      <c r="NUD125" s="40"/>
      <c r="NUE125" s="24"/>
      <c r="NUF125" s="40"/>
      <c r="NUG125" s="24"/>
      <c r="NUH125" s="40"/>
      <c r="NUI125" s="24"/>
      <c r="NUJ125" s="40"/>
      <c r="NUK125" s="24"/>
      <c r="NUL125" s="40"/>
      <c r="NUM125" s="24"/>
      <c r="NUN125" s="40"/>
      <c r="NUO125" s="24"/>
      <c r="NUP125" s="40"/>
      <c r="NUQ125" s="24"/>
      <c r="NUR125" s="40"/>
      <c r="NUS125" s="24"/>
      <c r="NUT125" s="40"/>
      <c r="NUU125" s="24"/>
      <c r="NUV125" s="40"/>
      <c r="NUW125" s="24"/>
      <c r="NUX125" s="40"/>
      <c r="NUY125" s="24"/>
      <c r="NUZ125" s="40"/>
      <c r="NVA125" s="24"/>
      <c r="NVB125" s="40"/>
      <c r="NVC125" s="24"/>
      <c r="NVD125" s="40"/>
      <c r="NVE125" s="24"/>
      <c r="NVF125" s="40"/>
      <c r="NVG125" s="24"/>
      <c r="NVH125" s="40"/>
      <c r="NVI125" s="24"/>
      <c r="NVJ125" s="40"/>
      <c r="NVK125" s="24"/>
      <c r="NVL125" s="40"/>
      <c r="NVM125" s="24"/>
      <c r="NVN125" s="40"/>
      <c r="NVO125" s="24"/>
      <c r="NVP125" s="40"/>
      <c r="NVQ125" s="24"/>
      <c r="NVR125" s="40"/>
      <c r="NVS125" s="24"/>
      <c r="NVT125" s="40"/>
      <c r="NVU125" s="24"/>
      <c r="NVV125" s="40"/>
      <c r="NVW125" s="24"/>
      <c r="NVX125" s="40"/>
      <c r="NVY125" s="24"/>
      <c r="NVZ125" s="40"/>
      <c r="NWA125" s="24"/>
      <c r="NWB125" s="40"/>
      <c r="NWC125" s="24"/>
      <c r="NWD125" s="40"/>
      <c r="NWE125" s="24"/>
      <c r="NWF125" s="40"/>
      <c r="NWG125" s="24"/>
      <c r="NWH125" s="40"/>
      <c r="NWI125" s="24"/>
      <c r="NWJ125" s="40"/>
      <c r="NWK125" s="24"/>
      <c r="NWL125" s="40"/>
      <c r="NWM125" s="24"/>
      <c r="NWN125" s="40"/>
      <c r="NWO125" s="24"/>
      <c r="NWP125" s="40"/>
      <c r="NWQ125" s="24"/>
      <c r="NWR125" s="40"/>
      <c r="NWS125" s="24"/>
      <c r="NWT125" s="40"/>
      <c r="NWU125" s="24"/>
      <c r="NWV125" s="40"/>
      <c r="NWW125" s="24"/>
      <c r="NWX125" s="40"/>
      <c r="NWY125" s="24"/>
      <c r="NWZ125" s="40"/>
      <c r="NXA125" s="24"/>
      <c r="NXB125" s="40"/>
      <c r="NXC125" s="24"/>
      <c r="NXD125" s="40"/>
      <c r="NXE125" s="24"/>
      <c r="NXF125" s="40"/>
      <c r="NXG125" s="24"/>
      <c r="NXH125" s="40"/>
      <c r="NXI125" s="24"/>
      <c r="NXJ125" s="40"/>
      <c r="NXK125" s="24"/>
      <c r="NXL125" s="40"/>
      <c r="NXM125" s="24"/>
      <c r="NXN125" s="40"/>
      <c r="NXO125" s="24"/>
      <c r="NXP125" s="40"/>
      <c r="NXQ125" s="24"/>
      <c r="NXR125" s="40"/>
      <c r="NXS125" s="24"/>
      <c r="NXT125" s="40"/>
      <c r="NXU125" s="24"/>
      <c r="NXV125" s="40"/>
      <c r="NXW125" s="24"/>
      <c r="NXX125" s="40"/>
      <c r="NXY125" s="24"/>
      <c r="NXZ125" s="40"/>
      <c r="NYA125" s="24"/>
      <c r="NYB125" s="40"/>
      <c r="NYC125" s="24"/>
      <c r="NYD125" s="40"/>
      <c r="NYE125" s="24"/>
      <c r="NYF125" s="40"/>
      <c r="NYG125" s="24"/>
      <c r="NYH125" s="40"/>
      <c r="NYI125" s="24"/>
      <c r="NYJ125" s="40"/>
      <c r="NYK125" s="24"/>
      <c r="NYL125" s="40"/>
      <c r="NYM125" s="24"/>
      <c r="NYN125" s="40"/>
      <c r="NYO125" s="24"/>
      <c r="NYP125" s="40"/>
      <c r="NYQ125" s="24"/>
      <c r="NYR125" s="40"/>
      <c r="NYS125" s="24"/>
      <c r="NYT125" s="40"/>
      <c r="NYU125" s="24"/>
      <c r="NYV125" s="40"/>
      <c r="NYW125" s="24"/>
      <c r="NYX125" s="40"/>
      <c r="NYY125" s="24"/>
      <c r="NYZ125" s="40"/>
      <c r="NZA125" s="24"/>
      <c r="NZB125" s="40"/>
      <c r="NZC125" s="24"/>
      <c r="NZD125" s="40"/>
      <c r="NZE125" s="24"/>
      <c r="NZF125" s="40"/>
      <c r="NZG125" s="24"/>
      <c r="NZH125" s="40"/>
      <c r="NZI125" s="24"/>
      <c r="NZJ125" s="40"/>
      <c r="NZK125" s="24"/>
      <c r="NZL125" s="40"/>
      <c r="NZM125" s="24"/>
      <c r="NZN125" s="40"/>
      <c r="NZO125" s="24"/>
      <c r="NZP125" s="40"/>
      <c r="NZQ125" s="24"/>
      <c r="NZR125" s="40"/>
      <c r="NZS125" s="24"/>
      <c r="NZT125" s="40"/>
      <c r="NZU125" s="24"/>
      <c r="NZV125" s="40"/>
      <c r="NZW125" s="24"/>
      <c r="NZX125" s="40"/>
      <c r="NZY125" s="24"/>
      <c r="NZZ125" s="40"/>
      <c r="OAA125" s="24"/>
      <c r="OAB125" s="40"/>
      <c r="OAC125" s="24"/>
      <c r="OAD125" s="40"/>
      <c r="OAE125" s="24"/>
      <c r="OAF125" s="40"/>
      <c r="OAG125" s="24"/>
      <c r="OAH125" s="40"/>
      <c r="OAI125" s="24"/>
      <c r="OAJ125" s="40"/>
      <c r="OAK125" s="24"/>
      <c r="OAL125" s="40"/>
      <c r="OAM125" s="24"/>
      <c r="OAN125" s="40"/>
      <c r="OAO125" s="24"/>
      <c r="OAP125" s="40"/>
      <c r="OAQ125" s="24"/>
      <c r="OAR125" s="40"/>
      <c r="OAS125" s="24"/>
      <c r="OAT125" s="40"/>
      <c r="OAU125" s="24"/>
      <c r="OAV125" s="40"/>
      <c r="OAW125" s="24"/>
      <c r="OAX125" s="40"/>
      <c r="OAY125" s="24"/>
      <c r="OAZ125" s="40"/>
      <c r="OBA125" s="24"/>
      <c r="OBB125" s="40"/>
      <c r="OBC125" s="24"/>
      <c r="OBD125" s="40"/>
      <c r="OBE125" s="24"/>
      <c r="OBF125" s="40"/>
      <c r="OBG125" s="24"/>
      <c r="OBH125" s="40"/>
      <c r="OBI125" s="24"/>
      <c r="OBJ125" s="40"/>
      <c r="OBK125" s="24"/>
      <c r="OBL125" s="40"/>
      <c r="OBM125" s="24"/>
      <c r="OBN125" s="40"/>
      <c r="OBO125" s="24"/>
      <c r="OBP125" s="40"/>
      <c r="OBQ125" s="24"/>
      <c r="OBR125" s="40"/>
      <c r="OBS125" s="24"/>
      <c r="OBT125" s="40"/>
      <c r="OBU125" s="24"/>
      <c r="OBV125" s="40"/>
      <c r="OBW125" s="24"/>
      <c r="OBX125" s="40"/>
      <c r="OBY125" s="24"/>
      <c r="OBZ125" s="40"/>
      <c r="OCA125" s="24"/>
      <c r="OCB125" s="40"/>
      <c r="OCC125" s="24"/>
      <c r="OCD125" s="40"/>
      <c r="OCE125" s="24"/>
      <c r="OCF125" s="40"/>
      <c r="OCG125" s="24"/>
      <c r="OCH125" s="40"/>
      <c r="OCI125" s="24"/>
      <c r="OCJ125" s="40"/>
      <c r="OCK125" s="24"/>
      <c r="OCL125" s="40"/>
      <c r="OCM125" s="24"/>
      <c r="OCN125" s="40"/>
      <c r="OCO125" s="24"/>
      <c r="OCP125" s="40"/>
      <c r="OCQ125" s="24"/>
      <c r="OCR125" s="40"/>
      <c r="OCS125" s="24"/>
      <c r="OCT125" s="40"/>
      <c r="OCU125" s="24"/>
      <c r="OCV125" s="40"/>
      <c r="OCW125" s="24"/>
      <c r="OCX125" s="40"/>
      <c r="OCY125" s="24"/>
      <c r="OCZ125" s="40"/>
      <c r="ODA125" s="24"/>
      <c r="ODB125" s="40"/>
      <c r="ODC125" s="24"/>
      <c r="ODD125" s="40"/>
      <c r="ODE125" s="24"/>
      <c r="ODF125" s="40"/>
      <c r="ODG125" s="24"/>
      <c r="ODH125" s="40"/>
      <c r="ODI125" s="24"/>
      <c r="ODJ125" s="40"/>
      <c r="ODK125" s="24"/>
      <c r="ODL125" s="40"/>
      <c r="ODM125" s="24"/>
      <c r="ODN125" s="40"/>
      <c r="ODO125" s="24"/>
      <c r="ODP125" s="40"/>
      <c r="ODQ125" s="24"/>
      <c r="ODR125" s="40"/>
      <c r="ODS125" s="24"/>
      <c r="ODT125" s="40"/>
      <c r="ODU125" s="24"/>
      <c r="ODV125" s="40"/>
      <c r="ODW125" s="24"/>
      <c r="ODX125" s="40"/>
      <c r="ODY125" s="24"/>
      <c r="ODZ125" s="40"/>
      <c r="OEA125" s="24"/>
      <c r="OEB125" s="40"/>
      <c r="OEC125" s="24"/>
      <c r="OED125" s="40"/>
      <c r="OEE125" s="24"/>
      <c r="OEF125" s="40"/>
      <c r="OEG125" s="24"/>
      <c r="OEH125" s="40"/>
      <c r="OEI125" s="24"/>
      <c r="OEJ125" s="40"/>
      <c r="OEK125" s="24"/>
      <c r="OEL125" s="40"/>
      <c r="OEM125" s="24"/>
      <c r="OEN125" s="40"/>
      <c r="OEO125" s="24"/>
      <c r="OEP125" s="40"/>
      <c r="OEQ125" s="24"/>
      <c r="OER125" s="40"/>
      <c r="OES125" s="24"/>
      <c r="OET125" s="40"/>
      <c r="OEU125" s="24"/>
      <c r="OEV125" s="40"/>
      <c r="OEW125" s="24"/>
      <c r="OEX125" s="40"/>
      <c r="OEY125" s="24"/>
      <c r="OEZ125" s="40"/>
      <c r="OFA125" s="24"/>
      <c r="OFB125" s="40"/>
      <c r="OFC125" s="24"/>
      <c r="OFD125" s="40"/>
      <c r="OFE125" s="24"/>
      <c r="OFF125" s="40"/>
      <c r="OFG125" s="24"/>
      <c r="OFH125" s="40"/>
      <c r="OFI125" s="24"/>
      <c r="OFJ125" s="40"/>
      <c r="OFK125" s="24"/>
      <c r="OFL125" s="40"/>
      <c r="OFM125" s="24"/>
      <c r="OFN125" s="40"/>
      <c r="OFO125" s="24"/>
      <c r="OFP125" s="40"/>
      <c r="OFQ125" s="24"/>
      <c r="OFR125" s="40"/>
      <c r="OFS125" s="24"/>
      <c r="OFT125" s="40"/>
      <c r="OFU125" s="24"/>
      <c r="OFV125" s="40"/>
      <c r="OFW125" s="24"/>
      <c r="OFX125" s="40"/>
      <c r="OFY125" s="24"/>
      <c r="OFZ125" s="40"/>
      <c r="OGA125" s="24"/>
      <c r="OGB125" s="40"/>
      <c r="OGC125" s="24"/>
      <c r="OGD125" s="40"/>
      <c r="OGE125" s="24"/>
      <c r="OGF125" s="40"/>
      <c r="OGG125" s="24"/>
      <c r="OGH125" s="40"/>
      <c r="OGI125" s="24"/>
      <c r="OGJ125" s="40"/>
      <c r="OGK125" s="24"/>
      <c r="OGL125" s="40"/>
      <c r="OGM125" s="24"/>
      <c r="OGN125" s="40"/>
      <c r="OGO125" s="24"/>
      <c r="OGP125" s="40"/>
      <c r="OGQ125" s="24"/>
      <c r="OGR125" s="40"/>
      <c r="OGS125" s="24"/>
      <c r="OGT125" s="40"/>
      <c r="OGU125" s="24"/>
      <c r="OGV125" s="40"/>
      <c r="OGW125" s="24"/>
      <c r="OGX125" s="40"/>
      <c r="OGY125" s="24"/>
      <c r="OGZ125" s="40"/>
      <c r="OHA125" s="24"/>
      <c r="OHB125" s="40"/>
      <c r="OHC125" s="24"/>
      <c r="OHD125" s="40"/>
      <c r="OHE125" s="24"/>
      <c r="OHF125" s="40"/>
      <c r="OHG125" s="24"/>
      <c r="OHH125" s="40"/>
      <c r="OHI125" s="24"/>
      <c r="OHJ125" s="40"/>
      <c r="OHK125" s="24"/>
      <c r="OHL125" s="40"/>
      <c r="OHM125" s="24"/>
      <c r="OHN125" s="40"/>
      <c r="OHO125" s="24"/>
      <c r="OHP125" s="40"/>
      <c r="OHQ125" s="24"/>
      <c r="OHR125" s="40"/>
      <c r="OHS125" s="24"/>
      <c r="OHT125" s="40"/>
      <c r="OHU125" s="24"/>
      <c r="OHV125" s="40"/>
      <c r="OHW125" s="24"/>
      <c r="OHX125" s="40"/>
      <c r="OHY125" s="24"/>
      <c r="OHZ125" s="40"/>
      <c r="OIA125" s="24"/>
      <c r="OIB125" s="40"/>
      <c r="OIC125" s="24"/>
      <c r="OID125" s="40"/>
      <c r="OIE125" s="24"/>
      <c r="OIF125" s="40"/>
      <c r="OIG125" s="24"/>
      <c r="OIH125" s="40"/>
      <c r="OII125" s="24"/>
      <c r="OIJ125" s="40"/>
      <c r="OIK125" s="24"/>
      <c r="OIL125" s="40"/>
      <c r="OIM125" s="24"/>
      <c r="OIN125" s="40"/>
      <c r="OIO125" s="24"/>
      <c r="OIP125" s="40"/>
      <c r="OIQ125" s="24"/>
      <c r="OIR125" s="40"/>
      <c r="OIS125" s="24"/>
      <c r="OIT125" s="40"/>
      <c r="OIU125" s="24"/>
      <c r="OIV125" s="40"/>
      <c r="OIW125" s="24"/>
      <c r="OIX125" s="40"/>
      <c r="OIY125" s="24"/>
      <c r="OIZ125" s="40"/>
      <c r="OJA125" s="24"/>
      <c r="OJB125" s="40"/>
      <c r="OJC125" s="24"/>
      <c r="OJD125" s="40"/>
      <c r="OJE125" s="24"/>
      <c r="OJF125" s="40"/>
      <c r="OJG125" s="24"/>
      <c r="OJH125" s="40"/>
      <c r="OJI125" s="24"/>
      <c r="OJJ125" s="40"/>
      <c r="OJK125" s="24"/>
      <c r="OJL125" s="40"/>
      <c r="OJM125" s="24"/>
      <c r="OJN125" s="40"/>
      <c r="OJO125" s="24"/>
      <c r="OJP125" s="40"/>
      <c r="OJQ125" s="24"/>
      <c r="OJR125" s="40"/>
      <c r="OJS125" s="24"/>
      <c r="OJT125" s="40"/>
      <c r="OJU125" s="24"/>
      <c r="OJV125" s="40"/>
      <c r="OJW125" s="24"/>
      <c r="OJX125" s="40"/>
      <c r="OJY125" s="24"/>
      <c r="OJZ125" s="40"/>
      <c r="OKA125" s="24"/>
      <c r="OKB125" s="40"/>
      <c r="OKC125" s="24"/>
      <c r="OKD125" s="40"/>
      <c r="OKE125" s="24"/>
      <c r="OKF125" s="40"/>
      <c r="OKG125" s="24"/>
      <c r="OKH125" s="40"/>
      <c r="OKI125" s="24"/>
      <c r="OKJ125" s="40"/>
      <c r="OKK125" s="24"/>
      <c r="OKL125" s="40"/>
      <c r="OKM125" s="24"/>
      <c r="OKN125" s="40"/>
      <c r="OKO125" s="24"/>
      <c r="OKP125" s="40"/>
      <c r="OKQ125" s="24"/>
      <c r="OKR125" s="40"/>
      <c r="OKS125" s="24"/>
      <c r="OKT125" s="40"/>
      <c r="OKU125" s="24"/>
      <c r="OKV125" s="40"/>
      <c r="OKW125" s="24"/>
      <c r="OKX125" s="40"/>
      <c r="OKY125" s="24"/>
      <c r="OKZ125" s="40"/>
      <c r="OLA125" s="24"/>
      <c r="OLB125" s="40"/>
      <c r="OLC125" s="24"/>
      <c r="OLD125" s="40"/>
      <c r="OLE125" s="24"/>
      <c r="OLF125" s="40"/>
      <c r="OLG125" s="24"/>
      <c r="OLH125" s="40"/>
      <c r="OLI125" s="24"/>
      <c r="OLJ125" s="40"/>
      <c r="OLK125" s="24"/>
      <c r="OLL125" s="40"/>
      <c r="OLM125" s="24"/>
      <c r="OLN125" s="40"/>
      <c r="OLO125" s="24"/>
      <c r="OLP125" s="40"/>
      <c r="OLQ125" s="24"/>
      <c r="OLR125" s="40"/>
      <c r="OLS125" s="24"/>
      <c r="OLT125" s="40"/>
      <c r="OLU125" s="24"/>
      <c r="OLV125" s="40"/>
      <c r="OLW125" s="24"/>
      <c r="OLX125" s="40"/>
      <c r="OLY125" s="24"/>
      <c r="OLZ125" s="40"/>
      <c r="OMA125" s="24"/>
      <c r="OMB125" s="40"/>
      <c r="OMC125" s="24"/>
      <c r="OMD125" s="40"/>
      <c r="OME125" s="24"/>
      <c r="OMF125" s="40"/>
      <c r="OMG125" s="24"/>
      <c r="OMH125" s="40"/>
      <c r="OMI125" s="24"/>
      <c r="OMJ125" s="40"/>
      <c r="OMK125" s="24"/>
      <c r="OML125" s="40"/>
      <c r="OMM125" s="24"/>
      <c r="OMN125" s="40"/>
      <c r="OMO125" s="24"/>
      <c r="OMP125" s="40"/>
      <c r="OMQ125" s="24"/>
      <c r="OMR125" s="40"/>
      <c r="OMS125" s="24"/>
      <c r="OMT125" s="40"/>
      <c r="OMU125" s="24"/>
      <c r="OMV125" s="40"/>
      <c r="OMW125" s="24"/>
      <c r="OMX125" s="40"/>
      <c r="OMY125" s="24"/>
      <c r="OMZ125" s="40"/>
      <c r="ONA125" s="24"/>
      <c r="ONB125" s="40"/>
      <c r="ONC125" s="24"/>
      <c r="OND125" s="40"/>
      <c r="ONE125" s="24"/>
      <c r="ONF125" s="40"/>
      <c r="ONG125" s="24"/>
      <c r="ONH125" s="40"/>
      <c r="ONI125" s="24"/>
      <c r="ONJ125" s="40"/>
      <c r="ONK125" s="24"/>
      <c r="ONL125" s="40"/>
      <c r="ONM125" s="24"/>
      <c r="ONN125" s="40"/>
      <c r="ONO125" s="24"/>
      <c r="ONP125" s="40"/>
      <c r="ONQ125" s="24"/>
      <c r="ONR125" s="40"/>
      <c r="ONS125" s="24"/>
      <c r="ONT125" s="40"/>
      <c r="ONU125" s="24"/>
      <c r="ONV125" s="40"/>
      <c r="ONW125" s="24"/>
      <c r="ONX125" s="40"/>
      <c r="ONY125" s="24"/>
      <c r="ONZ125" s="40"/>
      <c r="OOA125" s="24"/>
      <c r="OOB125" s="40"/>
      <c r="OOC125" s="24"/>
      <c r="OOD125" s="40"/>
      <c r="OOE125" s="24"/>
      <c r="OOF125" s="40"/>
      <c r="OOG125" s="24"/>
      <c r="OOH125" s="40"/>
      <c r="OOI125" s="24"/>
      <c r="OOJ125" s="40"/>
      <c r="OOK125" s="24"/>
      <c r="OOL125" s="40"/>
      <c r="OOM125" s="24"/>
      <c r="OON125" s="40"/>
      <c r="OOO125" s="24"/>
      <c r="OOP125" s="40"/>
      <c r="OOQ125" s="24"/>
      <c r="OOR125" s="40"/>
      <c r="OOS125" s="24"/>
      <c r="OOT125" s="40"/>
      <c r="OOU125" s="24"/>
      <c r="OOV125" s="40"/>
      <c r="OOW125" s="24"/>
      <c r="OOX125" s="40"/>
      <c r="OOY125" s="24"/>
      <c r="OOZ125" s="40"/>
      <c r="OPA125" s="24"/>
      <c r="OPB125" s="40"/>
      <c r="OPC125" s="24"/>
      <c r="OPD125" s="40"/>
      <c r="OPE125" s="24"/>
      <c r="OPF125" s="40"/>
      <c r="OPG125" s="24"/>
      <c r="OPH125" s="40"/>
      <c r="OPI125" s="24"/>
      <c r="OPJ125" s="40"/>
      <c r="OPK125" s="24"/>
      <c r="OPL125" s="40"/>
      <c r="OPM125" s="24"/>
      <c r="OPN125" s="40"/>
      <c r="OPO125" s="24"/>
      <c r="OPP125" s="40"/>
      <c r="OPQ125" s="24"/>
      <c r="OPR125" s="40"/>
      <c r="OPS125" s="24"/>
      <c r="OPT125" s="40"/>
      <c r="OPU125" s="24"/>
      <c r="OPV125" s="40"/>
      <c r="OPW125" s="24"/>
      <c r="OPX125" s="40"/>
      <c r="OPY125" s="24"/>
      <c r="OPZ125" s="40"/>
      <c r="OQA125" s="24"/>
      <c r="OQB125" s="40"/>
      <c r="OQC125" s="24"/>
      <c r="OQD125" s="40"/>
      <c r="OQE125" s="24"/>
      <c r="OQF125" s="40"/>
      <c r="OQG125" s="24"/>
      <c r="OQH125" s="40"/>
      <c r="OQI125" s="24"/>
      <c r="OQJ125" s="40"/>
      <c r="OQK125" s="24"/>
      <c r="OQL125" s="40"/>
      <c r="OQM125" s="24"/>
      <c r="OQN125" s="40"/>
      <c r="OQO125" s="24"/>
      <c r="OQP125" s="40"/>
      <c r="OQQ125" s="24"/>
      <c r="OQR125" s="40"/>
      <c r="OQS125" s="24"/>
      <c r="OQT125" s="40"/>
      <c r="OQU125" s="24"/>
      <c r="OQV125" s="40"/>
      <c r="OQW125" s="24"/>
      <c r="OQX125" s="40"/>
      <c r="OQY125" s="24"/>
      <c r="OQZ125" s="40"/>
      <c r="ORA125" s="24"/>
      <c r="ORB125" s="40"/>
      <c r="ORC125" s="24"/>
      <c r="ORD125" s="40"/>
      <c r="ORE125" s="24"/>
      <c r="ORF125" s="40"/>
      <c r="ORG125" s="24"/>
      <c r="ORH125" s="40"/>
      <c r="ORI125" s="24"/>
      <c r="ORJ125" s="40"/>
      <c r="ORK125" s="24"/>
      <c r="ORL125" s="40"/>
      <c r="ORM125" s="24"/>
      <c r="ORN125" s="40"/>
      <c r="ORO125" s="24"/>
      <c r="ORP125" s="40"/>
      <c r="ORQ125" s="24"/>
      <c r="ORR125" s="40"/>
      <c r="ORS125" s="24"/>
      <c r="ORT125" s="40"/>
      <c r="ORU125" s="24"/>
      <c r="ORV125" s="40"/>
      <c r="ORW125" s="24"/>
      <c r="ORX125" s="40"/>
      <c r="ORY125" s="24"/>
      <c r="ORZ125" s="40"/>
      <c r="OSA125" s="24"/>
      <c r="OSB125" s="40"/>
      <c r="OSC125" s="24"/>
      <c r="OSD125" s="40"/>
      <c r="OSE125" s="24"/>
      <c r="OSF125" s="40"/>
      <c r="OSG125" s="24"/>
      <c r="OSH125" s="40"/>
      <c r="OSI125" s="24"/>
      <c r="OSJ125" s="40"/>
      <c r="OSK125" s="24"/>
      <c r="OSL125" s="40"/>
      <c r="OSM125" s="24"/>
      <c r="OSN125" s="40"/>
      <c r="OSO125" s="24"/>
      <c r="OSP125" s="40"/>
      <c r="OSQ125" s="24"/>
      <c r="OSR125" s="40"/>
      <c r="OSS125" s="24"/>
      <c r="OST125" s="40"/>
      <c r="OSU125" s="24"/>
      <c r="OSV125" s="40"/>
      <c r="OSW125" s="24"/>
      <c r="OSX125" s="40"/>
      <c r="OSY125" s="24"/>
      <c r="OSZ125" s="40"/>
      <c r="OTA125" s="24"/>
      <c r="OTB125" s="40"/>
      <c r="OTC125" s="24"/>
      <c r="OTD125" s="40"/>
      <c r="OTE125" s="24"/>
      <c r="OTF125" s="40"/>
      <c r="OTG125" s="24"/>
      <c r="OTH125" s="40"/>
      <c r="OTI125" s="24"/>
      <c r="OTJ125" s="40"/>
      <c r="OTK125" s="24"/>
      <c r="OTL125" s="40"/>
      <c r="OTM125" s="24"/>
      <c r="OTN125" s="40"/>
      <c r="OTO125" s="24"/>
      <c r="OTP125" s="40"/>
      <c r="OTQ125" s="24"/>
      <c r="OTR125" s="40"/>
      <c r="OTS125" s="24"/>
      <c r="OTT125" s="40"/>
      <c r="OTU125" s="24"/>
      <c r="OTV125" s="40"/>
      <c r="OTW125" s="24"/>
      <c r="OTX125" s="40"/>
      <c r="OTY125" s="24"/>
      <c r="OTZ125" s="40"/>
      <c r="OUA125" s="24"/>
      <c r="OUB125" s="40"/>
      <c r="OUC125" s="24"/>
      <c r="OUD125" s="40"/>
      <c r="OUE125" s="24"/>
      <c r="OUF125" s="40"/>
      <c r="OUG125" s="24"/>
      <c r="OUH125" s="40"/>
      <c r="OUI125" s="24"/>
      <c r="OUJ125" s="40"/>
      <c r="OUK125" s="24"/>
      <c r="OUL125" s="40"/>
      <c r="OUM125" s="24"/>
      <c r="OUN125" s="40"/>
      <c r="OUO125" s="24"/>
      <c r="OUP125" s="40"/>
      <c r="OUQ125" s="24"/>
      <c r="OUR125" s="40"/>
      <c r="OUS125" s="24"/>
      <c r="OUT125" s="40"/>
      <c r="OUU125" s="24"/>
      <c r="OUV125" s="40"/>
      <c r="OUW125" s="24"/>
      <c r="OUX125" s="40"/>
      <c r="OUY125" s="24"/>
      <c r="OUZ125" s="40"/>
      <c r="OVA125" s="24"/>
      <c r="OVB125" s="40"/>
      <c r="OVC125" s="24"/>
      <c r="OVD125" s="40"/>
      <c r="OVE125" s="24"/>
      <c r="OVF125" s="40"/>
      <c r="OVG125" s="24"/>
      <c r="OVH125" s="40"/>
      <c r="OVI125" s="24"/>
      <c r="OVJ125" s="40"/>
      <c r="OVK125" s="24"/>
      <c r="OVL125" s="40"/>
      <c r="OVM125" s="24"/>
      <c r="OVN125" s="40"/>
      <c r="OVO125" s="24"/>
      <c r="OVP125" s="40"/>
      <c r="OVQ125" s="24"/>
      <c r="OVR125" s="40"/>
      <c r="OVS125" s="24"/>
      <c r="OVT125" s="40"/>
      <c r="OVU125" s="24"/>
      <c r="OVV125" s="40"/>
      <c r="OVW125" s="24"/>
      <c r="OVX125" s="40"/>
      <c r="OVY125" s="24"/>
      <c r="OVZ125" s="40"/>
      <c r="OWA125" s="24"/>
      <c r="OWB125" s="40"/>
      <c r="OWC125" s="24"/>
      <c r="OWD125" s="40"/>
      <c r="OWE125" s="24"/>
      <c r="OWF125" s="40"/>
      <c r="OWG125" s="24"/>
      <c r="OWH125" s="40"/>
      <c r="OWI125" s="24"/>
      <c r="OWJ125" s="40"/>
      <c r="OWK125" s="24"/>
      <c r="OWL125" s="40"/>
      <c r="OWM125" s="24"/>
      <c r="OWN125" s="40"/>
      <c r="OWO125" s="24"/>
      <c r="OWP125" s="40"/>
      <c r="OWQ125" s="24"/>
      <c r="OWR125" s="40"/>
      <c r="OWS125" s="24"/>
      <c r="OWT125" s="40"/>
      <c r="OWU125" s="24"/>
      <c r="OWV125" s="40"/>
      <c r="OWW125" s="24"/>
      <c r="OWX125" s="40"/>
      <c r="OWY125" s="24"/>
      <c r="OWZ125" s="40"/>
      <c r="OXA125" s="24"/>
      <c r="OXB125" s="40"/>
      <c r="OXC125" s="24"/>
      <c r="OXD125" s="40"/>
      <c r="OXE125" s="24"/>
      <c r="OXF125" s="40"/>
      <c r="OXG125" s="24"/>
      <c r="OXH125" s="40"/>
      <c r="OXI125" s="24"/>
      <c r="OXJ125" s="40"/>
      <c r="OXK125" s="24"/>
      <c r="OXL125" s="40"/>
      <c r="OXM125" s="24"/>
      <c r="OXN125" s="40"/>
      <c r="OXO125" s="24"/>
      <c r="OXP125" s="40"/>
      <c r="OXQ125" s="24"/>
      <c r="OXR125" s="40"/>
      <c r="OXS125" s="24"/>
      <c r="OXT125" s="40"/>
      <c r="OXU125" s="24"/>
      <c r="OXV125" s="40"/>
      <c r="OXW125" s="24"/>
      <c r="OXX125" s="40"/>
      <c r="OXY125" s="24"/>
      <c r="OXZ125" s="40"/>
      <c r="OYA125" s="24"/>
      <c r="OYB125" s="40"/>
      <c r="OYC125" s="24"/>
      <c r="OYD125" s="40"/>
      <c r="OYE125" s="24"/>
      <c r="OYF125" s="40"/>
      <c r="OYG125" s="24"/>
      <c r="OYH125" s="40"/>
      <c r="OYI125" s="24"/>
      <c r="OYJ125" s="40"/>
      <c r="OYK125" s="24"/>
      <c r="OYL125" s="40"/>
      <c r="OYM125" s="24"/>
      <c r="OYN125" s="40"/>
      <c r="OYO125" s="24"/>
      <c r="OYP125" s="40"/>
      <c r="OYQ125" s="24"/>
      <c r="OYR125" s="40"/>
      <c r="OYS125" s="24"/>
      <c r="OYT125" s="40"/>
      <c r="OYU125" s="24"/>
      <c r="OYV125" s="40"/>
      <c r="OYW125" s="24"/>
      <c r="OYX125" s="40"/>
      <c r="OYY125" s="24"/>
      <c r="OYZ125" s="40"/>
      <c r="OZA125" s="24"/>
      <c r="OZB125" s="40"/>
      <c r="OZC125" s="24"/>
      <c r="OZD125" s="40"/>
      <c r="OZE125" s="24"/>
      <c r="OZF125" s="40"/>
      <c r="OZG125" s="24"/>
      <c r="OZH125" s="40"/>
      <c r="OZI125" s="24"/>
      <c r="OZJ125" s="40"/>
      <c r="OZK125" s="24"/>
      <c r="OZL125" s="40"/>
      <c r="OZM125" s="24"/>
      <c r="OZN125" s="40"/>
      <c r="OZO125" s="24"/>
      <c r="OZP125" s="40"/>
      <c r="OZQ125" s="24"/>
      <c r="OZR125" s="40"/>
      <c r="OZS125" s="24"/>
      <c r="OZT125" s="40"/>
      <c r="OZU125" s="24"/>
      <c r="OZV125" s="40"/>
      <c r="OZW125" s="24"/>
      <c r="OZX125" s="40"/>
      <c r="OZY125" s="24"/>
      <c r="OZZ125" s="40"/>
      <c r="PAA125" s="24"/>
      <c r="PAB125" s="40"/>
      <c r="PAC125" s="24"/>
      <c r="PAD125" s="40"/>
      <c r="PAE125" s="24"/>
      <c r="PAF125" s="40"/>
      <c r="PAG125" s="24"/>
      <c r="PAH125" s="40"/>
      <c r="PAI125" s="24"/>
      <c r="PAJ125" s="40"/>
      <c r="PAK125" s="24"/>
      <c r="PAL125" s="40"/>
      <c r="PAM125" s="24"/>
      <c r="PAN125" s="40"/>
      <c r="PAO125" s="24"/>
      <c r="PAP125" s="40"/>
      <c r="PAQ125" s="24"/>
      <c r="PAR125" s="40"/>
      <c r="PAS125" s="24"/>
      <c r="PAT125" s="40"/>
      <c r="PAU125" s="24"/>
      <c r="PAV125" s="40"/>
      <c r="PAW125" s="24"/>
      <c r="PAX125" s="40"/>
      <c r="PAY125" s="24"/>
      <c r="PAZ125" s="40"/>
      <c r="PBA125" s="24"/>
      <c r="PBB125" s="40"/>
      <c r="PBC125" s="24"/>
      <c r="PBD125" s="40"/>
      <c r="PBE125" s="24"/>
      <c r="PBF125" s="40"/>
      <c r="PBG125" s="24"/>
      <c r="PBH125" s="40"/>
      <c r="PBI125" s="24"/>
      <c r="PBJ125" s="40"/>
      <c r="PBK125" s="24"/>
      <c r="PBL125" s="40"/>
      <c r="PBM125" s="24"/>
      <c r="PBN125" s="40"/>
      <c r="PBO125" s="24"/>
      <c r="PBP125" s="40"/>
      <c r="PBQ125" s="24"/>
      <c r="PBR125" s="40"/>
      <c r="PBS125" s="24"/>
      <c r="PBT125" s="40"/>
      <c r="PBU125" s="24"/>
      <c r="PBV125" s="40"/>
      <c r="PBW125" s="24"/>
      <c r="PBX125" s="40"/>
      <c r="PBY125" s="24"/>
      <c r="PBZ125" s="40"/>
      <c r="PCA125" s="24"/>
      <c r="PCB125" s="40"/>
      <c r="PCC125" s="24"/>
      <c r="PCD125" s="40"/>
      <c r="PCE125" s="24"/>
      <c r="PCF125" s="40"/>
      <c r="PCG125" s="24"/>
      <c r="PCH125" s="40"/>
      <c r="PCI125" s="24"/>
      <c r="PCJ125" s="40"/>
      <c r="PCK125" s="24"/>
      <c r="PCL125" s="40"/>
      <c r="PCM125" s="24"/>
      <c r="PCN125" s="40"/>
      <c r="PCO125" s="24"/>
      <c r="PCP125" s="40"/>
      <c r="PCQ125" s="24"/>
      <c r="PCR125" s="40"/>
      <c r="PCS125" s="24"/>
      <c r="PCT125" s="40"/>
      <c r="PCU125" s="24"/>
      <c r="PCV125" s="40"/>
      <c r="PCW125" s="24"/>
      <c r="PCX125" s="40"/>
      <c r="PCY125" s="24"/>
      <c r="PCZ125" s="40"/>
      <c r="PDA125" s="24"/>
      <c r="PDB125" s="40"/>
      <c r="PDC125" s="24"/>
      <c r="PDD125" s="40"/>
      <c r="PDE125" s="24"/>
      <c r="PDF125" s="40"/>
      <c r="PDG125" s="24"/>
      <c r="PDH125" s="40"/>
      <c r="PDI125" s="24"/>
      <c r="PDJ125" s="40"/>
      <c r="PDK125" s="24"/>
      <c r="PDL125" s="40"/>
      <c r="PDM125" s="24"/>
      <c r="PDN125" s="40"/>
      <c r="PDO125" s="24"/>
      <c r="PDP125" s="40"/>
      <c r="PDQ125" s="24"/>
      <c r="PDR125" s="40"/>
      <c r="PDS125" s="24"/>
      <c r="PDT125" s="40"/>
      <c r="PDU125" s="24"/>
      <c r="PDV125" s="40"/>
      <c r="PDW125" s="24"/>
      <c r="PDX125" s="40"/>
      <c r="PDY125" s="24"/>
      <c r="PDZ125" s="40"/>
      <c r="PEA125" s="24"/>
      <c r="PEB125" s="40"/>
      <c r="PEC125" s="24"/>
      <c r="PED125" s="40"/>
      <c r="PEE125" s="24"/>
      <c r="PEF125" s="40"/>
      <c r="PEG125" s="24"/>
      <c r="PEH125" s="40"/>
      <c r="PEI125" s="24"/>
      <c r="PEJ125" s="40"/>
      <c r="PEK125" s="24"/>
      <c r="PEL125" s="40"/>
      <c r="PEM125" s="24"/>
      <c r="PEN125" s="40"/>
      <c r="PEO125" s="24"/>
      <c r="PEP125" s="40"/>
      <c r="PEQ125" s="24"/>
      <c r="PER125" s="40"/>
      <c r="PES125" s="24"/>
      <c r="PET125" s="40"/>
      <c r="PEU125" s="24"/>
      <c r="PEV125" s="40"/>
      <c r="PEW125" s="24"/>
      <c r="PEX125" s="40"/>
      <c r="PEY125" s="24"/>
      <c r="PEZ125" s="40"/>
      <c r="PFA125" s="24"/>
      <c r="PFB125" s="40"/>
      <c r="PFC125" s="24"/>
      <c r="PFD125" s="40"/>
      <c r="PFE125" s="24"/>
      <c r="PFF125" s="40"/>
      <c r="PFG125" s="24"/>
      <c r="PFH125" s="40"/>
      <c r="PFI125" s="24"/>
      <c r="PFJ125" s="40"/>
      <c r="PFK125" s="24"/>
      <c r="PFL125" s="40"/>
      <c r="PFM125" s="24"/>
      <c r="PFN125" s="40"/>
      <c r="PFO125" s="24"/>
      <c r="PFP125" s="40"/>
      <c r="PFQ125" s="24"/>
      <c r="PFR125" s="40"/>
      <c r="PFS125" s="24"/>
      <c r="PFT125" s="40"/>
      <c r="PFU125" s="24"/>
      <c r="PFV125" s="40"/>
      <c r="PFW125" s="24"/>
      <c r="PFX125" s="40"/>
      <c r="PFY125" s="24"/>
      <c r="PFZ125" s="40"/>
      <c r="PGA125" s="24"/>
      <c r="PGB125" s="40"/>
      <c r="PGC125" s="24"/>
      <c r="PGD125" s="40"/>
      <c r="PGE125" s="24"/>
      <c r="PGF125" s="40"/>
      <c r="PGG125" s="24"/>
      <c r="PGH125" s="40"/>
      <c r="PGI125" s="24"/>
      <c r="PGJ125" s="40"/>
      <c r="PGK125" s="24"/>
      <c r="PGL125" s="40"/>
      <c r="PGM125" s="24"/>
      <c r="PGN125" s="40"/>
      <c r="PGO125" s="24"/>
      <c r="PGP125" s="40"/>
      <c r="PGQ125" s="24"/>
      <c r="PGR125" s="40"/>
      <c r="PGS125" s="24"/>
      <c r="PGT125" s="40"/>
      <c r="PGU125" s="24"/>
      <c r="PGV125" s="40"/>
      <c r="PGW125" s="24"/>
      <c r="PGX125" s="40"/>
      <c r="PGY125" s="24"/>
      <c r="PGZ125" s="40"/>
      <c r="PHA125" s="24"/>
      <c r="PHB125" s="40"/>
      <c r="PHC125" s="24"/>
      <c r="PHD125" s="40"/>
      <c r="PHE125" s="24"/>
      <c r="PHF125" s="40"/>
      <c r="PHG125" s="24"/>
      <c r="PHH125" s="40"/>
      <c r="PHI125" s="24"/>
      <c r="PHJ125" s="40"/>
      <c r="PHK125" s="24"/>
      <c r="PHL125" s="40"/>
      <c r="PHM125" s="24"/>
      <c r="PHN125" s="40"/>
      <c r="PHO125" s="24"/>
      <c r="PHP125" s="40"/>
      <c r="PHQ125" s="24"/>
      <c r="PHR125" s="40"/>
      <c r="PHS125" s="24"/>
      <c r="PHT125" s="40"/>
      <c r="PHU125" s="24"/>
      <c r="PHV125" s="40"/>
      <c r="PHW125" s="24"/>
      <c r="PHX125" s="40"/>
      <c r="PHY125" s="24"/>
      <c r="PHZ125" s="40"/>
      <c r="PIA125" s="24"/>
      <c r="PIB125" s="40"/>
      <c r="PIC125" s="24"/>
      <c r="PID125" s="40"/>
      <c r="PIE125" s="24"/>
      <c r="PIF125" s="40"/>
      <c r="PIG125" s="24"/>
      <c r="PIH125" s="40"/>
      <c r="PII125" s="24"/>
      <c r="PIJ125" s="40"/>
      <c r="PIK125" s="24"/>
      <c r="PIL125" s="40"/>
      <c r="PIM125" s="24"/>
      <c r="PIN125" s="40"/>
      <c r="PIO125" s="24"/>
      <c r="PIP125" s="40"/>
      <c r="PIQ125" s="24"/>
      <c r="PIR125" s="40"/>
      <c r="PIS125" s="24"/>
      <c r="PIT125" s="40"/>
      <c r="PIU125" s="24"/>
      <c r="PIV125" s="40"/>
      <c r="PIW125" s="24"/>
      <c r="PIX125" s="40"/>
      <c r="PIY125" s="24"/>
      <c r="PIZ125" s="40"/>
      <c r="PJA125" s="24"/>
      <c r="PJB125" s="40"/>
      <c r="PJC125" s="24"/>
      <c r="PJD125" s="40"/>
      <c r="PJE125" s="24"/>
      <c r="PJF125" s="40"/>
      <c r="PJG125" s="24"/>
      <c r="PJH125" s="40"/>
      <c r="PJI125" s="24"/>
      <c r="PJJ125" s="40"/>
      <c r="PJK125" s="24"/>
      <c r="PJL125" s="40"/>
      <c r="PJM125" s="24"/>
      <c r="PJN125" s="40"/>
      <c r="PJO125" s="24"/>
      <c r="PJP125" s="40"/>
      <c r="PJQ125" s="24"/>
      <c r="PJR125" s="40"/>
      <c r="PJS125" s="24"/>
      <c r="PJT125" s="40"/>
      <c r="PJU125" s="24"/>
      <c r="PJV125" s="40"/>
      <c r="PJW125" s="24"/>
      <c r="PJX125" s="40"/>
      <c r="PJY125" s="24"/>
      <c r="PJZ125" s="40"/>
      <c r="PKA125" s="24"/>
      <c r="PKB125" s="40"/>
      <c r="PKC125" s="24"/>
      <c r="PKD125" s="40"/>
      <c r="PKE125" s="24"/>
      <c r="PKF125" s="40"/>
      <c r="PKG125" s="24"/>
      <c r="PKH125" s="40"/>
      <c r="PKI125" s="24"/>
      <c r="PKJ125" s="40"/>
      <c r="PKK125" s="24"/>
      <c r="PKL125" s="40"/>
      <c r="PKM125" s="24"/>
      <c r="PKN125" s="40"/>
      <c r="PKO125" s="24"/>
      <c r="PKP125" s="40"/>
      <c r="PKQ125" s="24"/>
      <c r="PKR125" s="40"/>
      <c r="PKS125" s="24"/>
      <c r="PKT125" s="40"/>
      <c r="PKU125" s="24"/>
      <c r="PKV125" s="40"/>
      <c r="PKW125" s="24"/>
      <c r="PKX125" s="40"/>
      <c r="PKY125" s="24"/>
      <c r="PKZ125" s="40"/>
      <c r="PLA125" s="24"/>
      <c r="PLB125" s="40"/>
      <c r="PLC125" s="24"/>
      <c r="PLD125" s="40"/>
      <c r="PLE125" s="24"/>
      <c r="PLF125" s="40"/>
      <c r="PLG125" s="24"/>
      <c r="PLH125" s="40"/>
      <c r="PLI125" s="24"/>
      <c r="PLJ125" s="40"/>
      <c r="PLK125" s="24"/>
      <c r="PLL125" s="40"/>
      <c r="PLM125" s="24"/>
      <c r="PLN125" s="40"/>
      <c r="PLO125" s="24"/>
      <c r="PLP125" s="40"/>
      <c r="PLQ125" s="24"/>
      <c r="PLR125" s="40"/>
      <c r="PLS125" s="24"/>
      <c r="PLT125" s="40"/>
      <c r="PLU125" s="24"/>
      <c r="PLV125" s="40"/>
      <c r="PLW125" s="24"/>
      <c r="PLX125" s="40"/>
      <c r="PLY125" s="24"/>
      <c r="PLZ125" s="40"/>
      <c r="PMA125" s="24"/>
      <c r="PMB125" s="40"/>
      <c r="PMC125" s="24"/>
      <c r="PMD125" s="40"/>
      <c r="PME125" s="24"/>
      <c r="PMF125" s="40"/>
      <c r="PMG125" s="24"/>
      <c r="PMH125" s="40"/>
      <c r="PMI125" s="24"/>
      <c r="PMJ125" s="40"/>
      <c r="PMK125" s="24"/>
      <c r="PML125" s="40"/>
      <c r="PMM125" s="24"/>
      <c r="PMN125" s="40"/>
      <c r="PMO125" s="24"/>
      <c r="PMP125" s="40"/>
      <c r="PMQ125" s="24"/>
      <c r="PMR125" s="40"/>
      <c r="PMS125" s="24"/>
      <c r="PMT125" s="40"/>
      <c r="PMU125" s="24"/>
      <c r="PMV125" s="40"/>
      <c r="PMW125" s="24"/>
      <c r="PMX125" s="40"/>
      <c r="PMY125" s="24"/>
      <c r="PMZ125" s="40"/>
      <c r="PNA125" s="24"/>
      <c r="PNB125" s="40"/>
      <c r="PNC125" s="24"/>
      <c r="PND125" s="40"/>
      <c r="PNE125" s="24"/>
      <c r="PNF125" s="40"/>
      <c r="PNG125" s="24"/>
      <c r="PNH125" s="40"/>
      <c r="PNI125" s="24"/>
      <c r="PNJ125" s="40"/>
      <c r="PNK125" s="24"/>
      <c r="PNL125" s="40"/>
      <c r="PNM125" s="24"/>
      <c r="PNN125" s="40"/>
      <c r="PNO125" s="24"/>
      <c r="PNP125" s="40"/>
      <c r="PNQ125" s="24"/>
      <c r="PNR125" s="40"/>
      <c r="PNS125" s="24"/>
      <c r="PNT125" s="40"/>
      <c r="PNU125" s="24"/>
      <c r="PNV125" s="40"/>
      <c r="PNW125" s="24"/>
      <c r="PNX125" s="40"/>
      <c r="PNY125" s="24"/>
      <c r="PNZ125" s="40"/>
      <c r="POA125" s="24"/>
      <c r="POB125" s="40"/>
      <c r="POC125" s="24"/>
      <c r="POD125" s="40"/>
      <c r="POE125" s="24"/>
      <c r="POF125" s="40"/>
      <c r="POG125" s="24"/>
      <c r="POH125" s="40"/>
      <c r="POI125" s="24"/>
      <c r="POJ125" s="40"/>
      <c r="POK125" s="24"/>
      <c r="POL125" s="40"/>
      <c r="POM125" s="24"/>
      <c r="PON125" s="40"/>
      <c r="POO125" s="24"/>
      <c r="POP125" s="40"/>
      <c r="POQ125" s="24"/>
      <c r="POR125" s="40"/>
      <c r="POS125" s="24"/>
      <c r="POT125" s="40"/>
      <c r="POU125" s="24"/>
      <c r="POV125" s="40"/>
      <c r="POW125" s="24"/>
      <c r="POX125" s="40"/>
      <c r="POY125" s="24"/>
      <c r="POZ125" s="40"/>
      <c r="PPA125" s="24"/>
      <c r="PPB125" s="40"/>
      <c r="PPC125" s="24"/>
      <c r="PPD125" s="40"/>
      <c r="PPE125" s="24"/>
      <c r="PPF125" s="40"/>
      <c r="PPG125" s="24"/>
      <c r="PPH125" s="40"/>
      <c r="PPI125" s="24"/>
      <c r="PPJ125" s="40"/>
      <c r="PPK125" s="24"/>
      <c r="PPL125" s="40"/>
      <c r="PPM125" s="24"/>
      <c r="PPN125" s="40"/>
      <c r="PPO125" s="24"/>
      <c r="PPP125" s="40"/>
      <c r="PPQ125" s="24"/>
      <c r="PPR125" s="40"/>
      <c r="PPS125" s="24"/>
      <c r="PPT125" s="40"/>
      <c r="PPU125" s="24"/>
      <c r="PPV125" s="40"/>
      <c r="PPW125" s="24"/>
      <c r="PPX125" s="40"/>
      <c r="PPY125" s="24"/>
      <c r="PPZ125" s="40"/>
      <c r="PQA125" s="24"/>
      <c r="PQB125" s="40"/>
      <c r="PQC125" s="24"/>
      <c r="PQD125" s="40"/>
      <c r="PQE125" s="24"/>
      <c r="PQF125" s="40"/>
      <c r="PQG125" s="24"/>
      <c r="PQH125" s="40"/>
      <c r="PQI125" s="24"/>
      <c r="PQJ125" s="40"/>
      <c r="PQK125" s="24"/>
      <c r="PQL125" s="40"/>
      <c r="PQM125" s="24"/>
      <c r="PQN125" s="40"/>
      <c r="PQO125" s="24"/>
      <c r="PQP125" s="40"/>
      <c r="PQQ125" s="24"/>
      <c r="PQR125" s="40"/>
      <c r="PQS125" s="24"/>
      <c r="PQT125" s="40"/>
      <c r="PQU125" s="24"/>
      <c r="PQV125" s="40"/>
      <c r="PQW125" s="24"/>
      <c r="PQX125" s="40"/>
      <c r="PQY125" s="24"/>
      <c r="PQZ125" s="40"/>
      <c r="PRA125" s="24"/>
      <c r="PRB125" s="40"/>
      <c r="PRC125" s="24"/>
      <c r="PRD125" s="40"/>
      <c r="PRE125" s="24"/>
      <c r="PRF125" s="40"/>
      <c r="PRG125" s="24"/>
      <c r="PRH125" s="40"/>
      <c r="PRI125" s="24"/>
      <c r="PRJ125" s="40"/>
      <c r="PRK125" s="24"/>
      <c r="PRL125" s="40"/>
      <c r="PRM125" s="24"/>
      <c r="PRN125" s="40"/>
      <c r="PRO125" s="24"/>
      <c r="PRP125" s="40"/>
      <c r="PRQ125" s="24"/>
      <c r="PRR125" s="40"/>
      <c r="PRS125" s="24"/>
      <c r="PRT125" s="40"/>
      <c r="PRU125" s="24"/>
      <c r="PRV125" s="40"/>
      <c r="PRW125" s="24"/>
      <c r="PRX125" s="40"/>
      <c r="PRY125" s="24"/>
      <c r="PRZ125" s="40"/>
      <c r="PSA125" s="24"/>
      <c r="PSB125" s="40"/>
      <c r="PSC125" s="24"/>
      <c r="PSD125" s="40"/>
      <c r="PSE125" s="24"/>
      <c r="PSF125" s="40"/>
      <c r="PSG125" s="24"/>
      <c r="PSH125" s="40"/>
      <c r="PSI125" s="24"/>
      <c r="PSJ125" s="40"/>
      <c r="PSK125" s="24"/>
      <c r="PSL125" s="40"/>
      <c r="PSM125" s="24"/>
      <c r="PSN125" s="40"/>
      <c r="PSO125" s="24"/>
      <c r="PSP125" s="40"/>
      <c r="PSQ125" s="24"/>
      <c r="PSR125" s="40"/>
      <c r="PSS125" s="24"/>
      <c r="PST125" s="40"/>
      <c r="PSU125" s="24"/>
      <c r="PSV125" s="40"/>
      <c r="PSW125" s="24"/>
      <c r="PSX125" s="40"/>
      <c r="PSY125" s="24"/>
      <c r="PSZ125" s="40"/>
      <c r="PTA125" s="24"/>
      <c r="PTB125" s="40"/>
      <c r="PTC125" s="24"/>
      <c r="PTD125" s="40"/>
      <c r="PTE125" s="24"/>
      <c r="PTF125" s="40"/>
      <c r="PTG125" s="24"/>
      <c r="PTH125" s="40"/>
      <c r="PTI125" s="24"/>
      <c r="PTJ125" s="40"/>
      <c r="PTK125" s="24"/>
      <c r="PTL125" s="40"/>
      <c r="PTM125" s="24"/>
      <c r="PTN125" s="40"/>
      <c r="PTO125" s="24"/>
      <c r="PTP125" s="40"/>
      <c r="PTQ125" s="24"/>
      <c r="PTR125" s="40"/>
      <c r="PTS125" s="24"/>
      <c r="PTT125" s="40"/>
      <c r="PTU125" s="24"/>
      <c r="PTV125" s="40"/>
      <c r="PTW125" s="24"/>
      <c r="PTX125" s="40"/>
      <c r="PTY125" s="24"/>
      <c r="PTZ125" s="40"/>
      <c r="PUA125" s="24"/>
      <c r="PUB125" s="40"/>
      <c r="PUC125" s="24"/>
      <c r="PUD125" s="40"/>
      <c r="PUE125" s="24"/>
      <c r="PUF125" s="40"/>
      <c r="PUG125" s="24"/>
      <c r="PUH125" s="40"/>
      <c r="PUI125" s="24"/>
      <c r="PUJ125" s="40"/>
      <c r="PUK125" s="24"/>
      <c r="PUL125" s="40"/>
      <c r="PUM125" s="24"/>
      <c r="PUN125" s="40"/>
      <c r="PUO125" s="24"/>
      <c r="PUP125" s="40"/>
      <c r="PUQ125" s="24"/>
      <c r="PUR125" s="40"/>
      <c r="PUS125" s="24"/>
      <c r="PUT125" s="40"/>
      <c r="PUU125" s="24"/>
      <c r="PUV125" s="40"/>
      <c r="PUW125" s="24"/>
      <c r="PUX125" s="40"/>
      <c r="PUY125" s="24"/>
      <c r="PUZ125" s="40"/>
      <c r="PVA125" s="24"/>
      <c r="PVB125" s="40"/>
      <c r="PVC125" s="24"/>
      <c r="PVD125" s="40"/>
      <c r="PVE125" s="24"/>
      <c r="PVF125" s="40"/>
      <c r="PVG125" s="24"/>
      <c r="PVH125" s="40"/>
      <c r="PVI125" s="24"/>
      <c r="PVJ125" s="40"/>
      <c r="PVK125" s="24"/>
      <c r="PVL125" s="40"/>
      <c r="PVM125" s="24"/>
      <c r="PVN125" s="40"/>
      <c r="PVO125" s="24"/>
      <c r="PVP125" s="40"/>
      <c r="PVQ125" s="24"/>
      <c r="PVR125" s="40"/>
      <c r="PVS125" s="24"/>
      <c r="PVT125" s="40"/>
      <c r="PVU125" s="24"/>
      <c r="PVV125" s="40"/>
      <c r="PVW125" s="24"/>
      <c r="PVX125" s="40"/>
      <c r="PVY125" s="24"/>
      <c r="PVZ125" s="40"/>
      <c r="PWA125" s="24"/>
      <c r="PWB125" s="40"/>
      <c r="PWC125" s="24"/>
      <c r="PWD125" s="40"/>
      <c r="PWE125" s="24"/>
      <c r="PWF125" s="40"/>
      <c r="PWG125" s="24"/>
      <c r="PWH125" s="40"/>
      <c r="PWI125" s="24"/>
      <c r="PWJ125" s="40"/>
      <c r="PWK125" s="24"/>
      <c r="PWL125" s="40"/>
      <c r="PWM125" s="24"/>
      <c r="PWN125" s="40"/>
      <c r="PWO125" s="24"/>
      <c r="PWP125" s="40"/>
      <c r="PWQ125" s="24"/>
      <c r="PWR125" s="40"/>
      <c r="PWS125" s="24"/>
      <c r="PWT125" s="40"/>
      <c r="PWU125" s="24"/>
      <c r="PWV125" s="40"/>
      <c r="PWW125" s="24"/>
      <c r="PWX125" s="40"/>
      <c r="PWY125" s="24"/>
      <c r="PWZ125" s="40"/>
      <c r="PXA125" s="24"/>
      <c r="PXB125" s="40"/>
      <c r="PXC125" s="24"/>
      <c r="PXD125" s="40"/>
      <c r="PXE125" s="24"/>
      <c r="PXF125" s="40"/>
      <c r="PXG125" s="24"/>
      <c r="PXH125" s="40"/>
      <c r="PXI125" s="24"/>
      <c r="PXJ125" s="40"/>
      <c r="PXK125" s="24"/>
      <c r="PXL125" s="40"/>
      <c r="PXM125" s="24"/>
      <c r="PXN125" s="40"/>
      <c r="PXO125" s="24"/>
      <c r="PXP125" s="40"/>
      <c r="PXQ125" s="24"/>
      <c r="PXR125" s="40"/>
      <c r="PXS125" s="24"/>
      <c r="PXT125" s="40"/>
      <c r="PXU125" s="24"/>
      <c r="PXV125" s="40"/>
      <c r="PXW125" s="24"/>
      <c r="PXX125" s="40"/>
      <c r="PXY125" s="24"/>
      <c r="PXZ125" s="40"/>
      <c r="PYA125" s="24"/>
      <c r="PYB125" s="40"/>
      <c r="PYC125" s="24"/>
      <c r="PYD125" s="40"/>
      <c r="PYE125" s="24"/>
      <c r="PYF125" s="40"/>
      <c r="PYG125" s="24"/>
      <c r="PYH125" s="40"/>
      <c r="PYI125" s="24"/>
      <c r="PYJ125" s="40"/>
      <c r="PYK125" s="24"/>
      <c r="PYL125" s="40"/>
      <c r="PYM125" s="24"/>
      <c r="PYN125" s="40"/>
      <c r="PYO125" s="24"/>
      <c r="PYP125" s="40"/>
      <c r="PYQ125" s="24"/>
      <c r="PYR125" s="40"/>
      <c r="PYS125" s="24"/>
      <c r="PYT125" s="40"/>
      <c r="PYU125" s="24"/>
      <c r="PYV125" s="40"/>
      <c r="PYW125" s="24"/>
      <c r="PYX125" s="40"/>
      <c r="PYY125" s="24"/>
      <c r="PYZ125" s="40"/>
      <c r="PZA125" s="24"/>
      <c r="PZB125" s="40"/>
      <c r="PZC125" s="24"/>
      <c r="PZD125" s="40"/>
      <c r="PZE125" s="24"/>
      <c r="PZF125" s="40"/>
      <c r="PZG125" s="24"/>
      <c r="PZH125" s="40"/>
      <c r="PZI125" s="24"/>
      <c r="PZJ125" s="40"/>
      <c r="PZK125" s="24"/>
      <c r="PZL125" s="40"/>
      <c r="PZM125" s="24"/>
      <c r="PZN125" s="40"/>
      <c r="PZO125" s="24"/>
      <c r="PZP125" s="40"/>
      <c r="PZQ125" s="24"/>
      <c r="PZR125" s="40"/>
      <c r="PZS125" s="24"/>
      <c r="PZT125" s="40"/>
      <c r="PZU125" s="24"/>
      <c r="PZV125" s="40"/>
      <c r="PZW125" s="24"/>
      <c r="PZX125" s="40"/>
      <c r="PZY125" s="24"/>
      <c r="PZZ125" s="40"/>
      <c r="QAA125" s="24"/>
      <c r="QAB125" s="40"/>
      <c r="QAC125" s="24"/>
      <c r="QAD125" s="40"/>
      <c r="QAE125" s="24"/>
      <c r="QAF125" s="40"/>
      <c r="QAG125" s="24"/>
      <c r="QAH125" s="40"/>
      <c r="QAI125" s="24"/>
      <c r="QAJ125" s="40"/>
      <c r="QAK125" s="24"/>
      <c r="QAL125" s="40"/>
      <c r="QAM125" s="24"/>
      <c r="QAN125" s="40"/>
      <c r="QAO125" s="24"/>
      <c r="QAP125" s="40"/>
      <c r="QAQ125" s="24"/>
      <c r="QAR125" s="40"/>
      <c r="QAS125" s="24"/>
      <c r="QAT125" s="40"/>
      <c r="QAU125" s="24"/>
      <c r="QAV125" s="40"/>
      <c r="QAW125" s="24"/>
      <c r="QAX125" s="40"/>
      <c r="QAY125" s="24"/>
      <c r="QAZ125" s="40"/>
      <c r="QBA125" s="24"/>
      <c r="QBB125" s="40"/>
      <c r="QBC125" s="24"/>
      <c r="QBD125" s="40"/>
      <c r="QBE125" s="24"/>
      <c r="QBF125" s="40"/>
      <c r="QBG125" s="24"/>
      <c r="QBH125" s="40"/>
      <c r="QBI125" s="24"/>
      <c r="QBJ125" s="40"/>
      <c r="QBK125" s="24"/>
      <c r="QBL125" s="40"/>
      <c r="QBM125" s="24"/>
      <c r="QBN125" s="40"/>
      <c r="QBO125" s="24"/>
      <c r="QBP125" s="40"/>
      <c r="QBQ125" s="24"/>
      <c r="QBR125" s="40"/>
      <c r="QBS125" s="24"/>
      <c r="QBT125" s="40"/>
      <c r="QBU125" s="24"/>
      <c r="QBV125" s="40"/>
      <c r="QBW125" s="24"/>
      <c r="QBX125" s="40"/>
      <c r="QBY125" s="24"/>
      <c r="QBZ125" s="40"/>
      <c r="QCA125" s="24"/>
      <c r="QCB125" s="40"/>
      <c r="QCC125" s="24"/>
      <c r="QCD125" s="40"/>
      <c r="QCE125" s="24"/>
      <c r="QCF125" s="40"/>
      <c r="QCG125" s="24"/>
      <c r="QCH125" s="40"/>
      <c r="QCI125" s="24"/>
      <c r="QCJ125" s="40"/>
      <c r="QCK125" s="24"/>
      <c r="QCL125" s="40"/>
      <c r="QCM125" s="24"/>
      <c r="QCN125" s="40"/>
      <c r="QCO125" s="24"/>
      <c r="QCP125" s="40"/>
      <c r="QCQ125" s="24"/>
      <c r="QCR125" s="40"/>
      <c r="QCS125" s="24"/>
      <c r="QCT125" s="40"/>
      <c r="QCU125" s="24"/>
      <c r="QCV125" s="40"/>
      <c r="QCW125" s="24"/>
      <c r="QCX125" s="40"/>
      <c r="QCY125" s="24"/>
      <c r="QCZ125" s="40"/>
      <c r="QDA125" s="24"/>
      <c r="QDB125" s="40"/>
      <c r="QDC125" s="24"/>
      <c r="QDD125" s="40"/>
      <c r="QDE125" s="24"/>
      <c r="QDF125" s="40"/>
      <c r="QDG125" s="24"/>
      <c r="QDH125" s="40"/>
      <c r="QDI125" s="24"/>
      <c r="QDJ125" s="40"/>
      <c r="QDK125" s="24"/>
      <c r="QDL125" s="40"/>
      <c r="QDM125" s="24"/>
      <c r="QDN125" s="40"/>
      <c r="QDO125" s="24"/>
      <c r="QDP125" s="40"/>
      <c r="QDQ125" s="24"/>
      <c r="QDR125" s="40"/>
      <c r="QDS125" s="24"/>
      <c r="QDT125" s="40"/>
      <c r="QDU125" s="24"/>
      <c r="QDV125" s="40"/>
      <c r="QDW125" s="24"/>
      <c r="QDX125" s="40"/>
      <c r="QDY125" s="24"/>
      <c r="QDZ125" s="40"/>
      <c r="QEA125" s="24"/>
      <c r="QEB125" s="40"/>
      <c r="QEC125" s="24"/>
      <c r="QED125" s="40"/>
      <c r="QEE125" s="24"/>
      <c r="QEF125" s="40"/>
      <c r="QEG125" s="24"/>
      <c r="QEH125" s="40"/>
      <c r="QEI125" s="24"/>
      <c r="QEJ125" s="40"/>
      <c r="QEK125" s="24"/>
      <c r="QEL125" s="40"/>
      <c r="QEM125" s="24"/>
      <c r="QEN125" s="40"/>
      <c r="QEO125" s="24"/>
      <c r="QEP125" s="40"/>
      <c r="QEQ125" s="24"/>
      <c r="QER125" s="40"/>
      <c r="QES125" s="24"/>
      <c r="QET125" s="40"/>
      <c r="QEU125" s="24"/>
      <c r="QEV125" s="40"/>
      <c r="QEW125" s="24"/>
      <c r="QEX125" s="40"/>
      <c r="QEY125" s="24"/>
      <c r="QEZ125" s="40"/>
      <c r="QFA125" s="24"/>
      <c r="QFB125" s="40"/>
      <c r="QFC125" s="24"/>
      <c r="QFD125" s="40"/>
      <c r="QFE125" s="24"/>
      <c r="QFF125" s="40"/>
      <c r="QFG125" s="24"/>
      <c r="QFH125" s="40"/>
      <c r="QFI125" s="24"/>
      <c r="QFJ125" s="40"/>
      <c r="QFK125" s="24"/>
      <c r="QFL125" s="40"/>
      <c r="QFM125" s="24"/>
      <c r="QFN125" s="40"/>
      <c r="QFO125" s="24"/>
      <c r="QFP125" s="40"/>
      <c r="QFQ125" s="24"/>
      <c r="QFR125" s="40"/>
      <c r="QFS125" s="24"/>
      <c r="QFT125" s="40"/>
      <c r="QFU125" s="24"/>
      <c r="QFV125" s="40"/>
      <c r="QFW125" s="24"/>
      <c r="QFX125" s="40"/>
      <c r="QFY125" s="24"/>
      <c r="QFZ125" s="40"/>
      <c r="QGA125" s="24"/>
      <c r="QGB125" s="40"/>
      <c r="QGC125" s="24"/>
      <c r="QGD125" s="40"/>
      <c r="QGE125" s="24"/>
      <c r="QGF125" s="40"/>
      <c r="QGG125" s="24"/>
      <c r="QGH125" s="40"/>
      <c r="QGI125" s="24"/>
      <c r="QGJ125" s="40"/>
      <c r="QGK125" s="24"/>
      <c r="QGL125" s="40"/>
      <c r="QGM125" s="24"/>
      <c r="QGN125" s="40"/>
      <c r="QGO125" s="24"/>
      <c r="QGP125" s="40"/>
      <c r="QGQ125" s="24"/>
      <c r="QGR125" s="40"/>
      <c r="QGS125" s="24"/>
      <c r="QGT125" s="40"/>
      <c r="QGU125" s="24"/>
      <c r="QGV125" s="40"/>
      <c r="QGW125" s="24"/>
      <c r="QGX125" s="40"/>
      <c r="QGY125" s="24"/>
      <c r="QGZ125" s="40"/>
      <c r="QHA125" s="24"/>
      <c r="QHB125" s="40"/>
      <c r="QHC125" s="24"/>
      <c r="QHD125" s="40"/>
      <c r="QHE125" s="24"/>
      <c r="QHF125" s="40"/>
      <c r="QHG125" s="24"/>
      <c r="QHH125" s="40"/>
      <c r="QHI125" s="24"/>
      <c r="QHJ125" s="40"/>
      <c r="QHK125" s="24"/>
      <c r="QHL125" s="40"/>
      <c r="QHM125" s="24"/>
      <c r="QHN125" s="40"/>
      <c r="QHO125" s="24"/>
      <c r="QHP125" s="40"/>
      <c r="QHQ125" s="24"/>
      <c r="QHR125" s="40"/>
      <c r="QHS125" s="24"/>
      <c r="QHT125" s="40"/>
      <c r="QHU125" s="24"/>
      <c r="QHV125" s="40"/>
      <c r="QHW125" s="24"/>
      <c r="QHX125" s="40"/>
      <c r="QHY125" s="24"/>
      <c r="QHZ125" s="40"/>
      <c r="QIA125" s="24"/>
      <c r="QIB125" s="40"/>
      <c r="QIC125" s="24"/>
      <c r="QID125" s="40"/>
      <c r="QIE125" s="24"/>
      <c r="QIF125" s="40"/>
      <c r="QIG125" s="24"/>
      <c r="QIH125" s="40"/>
      <c r="QII125" s="24"/>
      <c r="QIJ125" s="40"/>
      <c r="QIK125" s="24"/>
      <c r="QIL125" s="40"/>
      <c r="QIM125" s="24"/>
      <c r="QIN125" s="40"/>
      <c r="QIO125" s="24"/>
      <c r="QIP125" s="40"/>
      <c r="QIQ125" s="24"/>
      <c r="QIR125" s="40"/>
      <c r="QIS125" s="24"/>
      <c r="QIT125" s="40"/>
      <c r="QIU125" s="24"/>
      <c r="QIV125" s="40"/>
      <c r="QIW125" s="24"/>
      <c r="QIX125" s="40"/>
      <c r="QIY125" s="24"/>
      <c r="QIZ125" s="40"/>
      <c r="QJA125" s="24"/>
      <c r="QJB125" s="40"/>
      <c r="QJC125" s="24"/>
      <c r="QJD125" s="40"/>
      <c r="QJE125" s="24"/>
      <c r="QJF125" s="40"/>
      <c r="QJG125" s="24"/>
      <c r="QJH125" s="40"/>
      <c r="QJI125" s="24"/>
      <c r="QJJ125" s="40"/>
      <c r="QJK125" s="24"/>
      <c r="QJL125" s="40"/>
      <c r="QJM125" s="24"/>
      <c r="QJN125" s="40"/>
      <c r="QJO125" s="24"/>
      <c r="QJP125" s="40"/>
      <c r="QJQ125" s="24"/>
      <c r="QJR125" s="40"/>
      <c r="QJS125" s="24"/>
      <c r="QJT125" s="40"/>
      <c r="QJU125" s="24"/>
      <c r="QJV125" s="40"/>
      <c r="QJW125" s="24"/>
      <c r="QJX125" s="40"/>
      <c r="QJY125" s="24"/>
      <c r="QJZ125" s="40"/>
      <c r="QKA125" s="24"/>
      <c r="QKB125" s="40"/>
      <c r="QKC125" s="24"/>
      <c r="QKD125" s="40"/>
      <c r="QKE125" s="24"/>
      <c r="QKF125" s="40"/>
      <c r="QKG125" s="24"/>
      <c r="QKH125" s="40"/>
      <c r="QKI125" s="24"/>
      <c r="QKJ125" s="40"/>
      <c r="QKK125" s="24"/>
      <c r="QKL125" s="40"/>
      <c r="QKM125" s="24"/>
      <c r="QKN125" s="40"/>
      <c r="QKO125" s="24"/>
      <c r="QKP125" s="40"/>
      <c r="QKQ125" s="24"/>
      <c r="QKR125" s="40"/>
      <c r="QKS125" s="24"/>
      <c r="QKT125" s="40"/>
      <c r="QKU125" s="24"/>
      <c r="QKV125" s="40"/>
      <c r="QKW125" s="24"/>
      <c r="QKX125" s="40"/>
      <c r="QKY125" s="24"/>
      <c r="QKZ125" s="40"/>
      <c r="QLA125" s="24"/>
      <c r="QLB125" s="40"/>
      <c r="QLC125" s="24"/>
      <c r="QLD125" s="40"/>
      <c r="QLE125" s="24"/>
      <c r="QLF125" s="40"/>
      <c r="QLG125" s="24"/>
      <c r="QLH125" s="40"/>
      <c r="QLI125" s="24"/>
      <c r="QLJ125" s="40"/>
      <c r="QLK125" s="24"/>
      <c r="QLL125" s="40"/>
      <c r="QLM125" s="24"/>
      <c r="QLN125" s="40"/>
      <c r="QLO125" s="24"/>
      <c r="QLP125" s="40"/>
      <c r="QLQ125" s="24"/>
      <c r="QLR125" s="40"/>
      <c r="QLS125" s="24"/>
      <c r="QLT125" s="40"/>
      <c r="QLU125" s="24"/>
      <c r="QLV125" s="40"/>
      <c r="QLW125" s="24"/>
      <c r="QLX125" s="40"/>
      <c r="QLY125" s="24"/>
      <c r="QLZ125" s="40"/>
      <c r="QMA125" s="24"/>
      <c r="QMB125" s="40"/>
      <c r="QMC125" s="24"/>
      <c r="QMD125" s="40"/>
      <c r="QME125" s="24"/>
      <c r="QMF125" s="40"/>
      <c r="QMG125" s="24"/>
      <c r="QMH125" s="40"/>
      <c r="QMI125" s="24"/>
      <c r="QMJ125" s="40"/>
      <c r="QMK125" s="24"/>
      <c r="QML125" s="40"/>
      <c r="QMM125" s="24"/>
      <c r="QMN125" s="40"/>
      <c r="QMO125" s="24"/>
      <c r="QMP125" s="40"/>
      <c r="QMQ125" s="24"/>
      <c r="QMR125" s="40"/>
      <c r="QMS125" s="24"/>
      <c r="QMT125" s="40"/>
      <c r="QMU125" s="24"/>
      <c r="QMV125" s="40"/>
      <c r="QMW125" s="24"/>
      <c r="QMX125" s="40"/>
      <c r="QMY125" s="24"/>
      <c r="QMZ125" s="40"/>
      <c r="QNA125" s="24"/>
      <c r="QNB125" s="40"/>
      <c r="QNC125" s="24"/>
      <c r="QND125" s="40"/>
      <c r="QNE125" s="24"/>
      <c r="QNF125" s="40"/>
      <c r="QNG125" s="24"/>
      <c r="QNH125" s="40"/>
      <c r="QNI125" s="24"/>
      <c r="QNJ125" s="40"/>
      <c r="QNK125" s="24"/>
      <c r="QNL125" s="40"/>
      <c r="QNM125" s="24"/>
      <c r="QNN125" s="40"/>
      <c r="QNO125" s="24"/>
      <c r="QNP125" s="40"/>
      <c r="QNQ125" s="24"/>
      <c r="QNR125" s="40"/>
      <c r="QNS125" s="24"/>
      <c r="QNT125" s="40"/>
      <c r="QNU125" s="24"/>
      <c r="QNV125" s="40"/>
      <c r="QNW125" s="24"/>
      <c r="QNX125" s="40"/>
      <c r="QNY125" s="24"/>
      <c r="QNZ125" s="40"/>
      <c r="QOA125" s="24"/>
      <c r="QOB125" s="40"/>
      <c r="QOC125" s="24"/>
      <c r="QOD125" s="40"/>
      <c r="QOE125" s="24"/>
      <c r="QOF125" s="40"/>
      <c r="QOG125" s="24"/>
      <c r="QOH125" s="40"/>
      <c r="QOI125" s="24"/>
      <c r="QOJ125" s="40"/>
      <c r="QOK125" s="24"/>
      <c r="QOL125" s="40"/>
      <c r="QOM125" s="24"/>
      <c r="QON125" s="40"/>
      <c r="QOO125" s="24"/>
      <c r="QOP125" s="40"/>
      <c r="QOQ125" s="24"/>
      <c r="QOR125" s="40"/>
      <c r="QOS125" s="24"/>
      <c r="QOT125" s="40"/>
      <c r="QOU125" s="24"/>
      <c r="QOV125" s="40"/>
      <c r="QOW125" s="24"/>
      <c r="QOX125" s="40"/>
      <c r="QOY125" s="24"/>
      <c r="QOZ125" s="40"/>
      <c r="QPA125" s="24"/>
      <c r="QPB125" s="40"/>
      <c r="QPC125" s="24"/>
      <c r="QPD125" s="40"/>
      <c r="QPE125" s="24"/>
      <c r="QPF125" s="40"/>
      <c r="QPG125" s="24"/>
      <c r="QPH125" s="40"/>
      <c r="QPI125" s="24"/>
      <c r="QPJ125" s="40"/>
      <c r="QPK125" s="24"/>
      <c r="QPL125" s="40"/>
      <c r="QPM125" s="24"/>
      <c r="QPN125" s="40"/>
      <c r="QPO125" s="24"/>
      <c r="QPP125" s="40"/>
      <c r="QPQ125" s="24"/>
      <c r="QPR125" s="40"/>
      <c r="QPS125" s="24"/>
      <c r="QPT125" s="40"/>
      <c r="QPU125" s="24"/>
      <c r="QPV125" s="40"/>
      <c r="QPW125" s="24"/>
      <c r="QPX125" s="40"/>
      <c r="QPY125" s="24"/>
      <c r="QPZ125" s="40"/>
      <c r="QQA125" s="24"/>
      <c r="QQB125" s="40"/>
      <c r="QQC125" s="24"/>
      <c r="QQD125" s="40"/>
      <c r="QQE125" s="24"/>
      <c r="QQF125" s="40"/>
      <c r="QQG125" s="24"/>
      <c r="QQH125" s="40"/>
      <c r="QQI125" s="24"/>
      <c r="QQJ125" s="40"/>
      <c r="QQK125" s="24"/>
      <c r="QQL125" s="40"/>
      <c r="QQM125" s="24"/>
      <c r="QQN125" s="40"/>
      <c r="QQO125" s="24"/>
      <c r="QQP125" s="40"/>
      <c r="QQQ125" s="24"/>
      <c r="QQR125" s="40"/>
      <c r="QQS125" s="24"/>
      <c r="QQT125" s="40"/>
      <c r="QQU125" s="24"/>
      <c r="QQV125" s="40"/>
      <c r="QQW125" s="24"/>
      <c r="QQX125" s="40"/>
      <c r="QQY125" s="24"/>
      <c r="QQZ125" s="40"/>
      <c r="QRA125" s="24"/>
      <c r="QRB125" s="40"/>
      <c r="QRC125" s="24"/>
      <c r="QRD125" s="40"/>
      <c r="QRE125" s="24"/>
      <c r="QRF125" s="40"/>
      <c r="QRG125" s="24"/>
      <c r="QRH125" s="40"/>
      <c r="QRI125" s="24"/>
      <c r="QRJ125" s="40"/>
      <c r="QRK125" s="24"/>
      <c r="QRL125" s="40"/>
      <c r="QRM125" s="24"/>
      <c r="QRN125" s="40"/>
      <c r="QRO125" s="24"/>
      <c r="QRP125" s="40"/>
      <c r="QRQ125" s="24"/>
      <c r="QRR125" s="40"/>
      <c r="QRS125" s="24"/>
      <c r="QRT125" s="40"/>
      <c r="QRU125" s="24"/>
      <c r="QRV125" s="40"/>
      <c r="QRW125" s="24"/>
      <c r="QRX125" s="40"/>
      <c r="QRY125" s="24"/>
      <c r="QRZ125" s="40"/>
      <c r="QSA125" s="24"/>
      <c r="QSB125" s="40"/>
      <c r="QSC125" s="24"/>
      <c r="QSD125" s="40"/>
      <c r="QSE125" s="24"/>
      <c r="QSF125" s="40"/>
      <c r="QSG125" s="24"/>
      <c r="QSH125" s="40"/>
      <c r="QSI125" s="24"/>
      <c r="QSJ125" s="40"/>
      <c r="QSK125" s="24"/>
      <c r="QSL125" s="40"/>
      <c r="QSM125" s="24"/>
      <c r="QSN125" s="40"/>
      <c r="QSO125" s="24"/>
      <c r="QSP125" s="40"/>
      <c r="QSQ125" s="24"/>
      <c r="QSR125" s="40"/>
      <c r="QSS125" s="24"/>
      <c r="QST125" s="40"/>
      <c r="QSU125" s="24"/>
      <c r="QSV125" s="40"/>
      <c r="QSW125" s="24"/>
      <c r="QSX125" s="40"/>
      <c r="QSY125" s="24"/>
      <c r="QSZ125" s="40"/>
      <c r="QTA125" s="24"/>
      <c r="QTB125" s="40"/>
      <c r="QTC125" s="24"/>
      <c r="QTD125" s="40"/>
      <c r="QTE125" s="24"/>
      <c r="QTF125" s="40"/>
      <c r="QTG125" s="24"/>
      <c r="QTH125" s="40"/>
      <c r="QTI125" s="24"/>
      <c r="QTJ125" s="40"/>
      <c r="QTK125" s="24"/>
      <c r="QTL125" s="40"/>
      <c r="QTM125" s="24"/>
      <c r="QTN125" s="40"/>
      <c r="QTO125" s="24"/>
      <c r="QTP125" s="40"/>
      <c r="QTQ125" s="24"/>
      <c r="QTR125" s="40"/>
      <c r="QTS125" s="24"/>
      <c r="QTT125" s="40"/>
      <c r="QTU125" s="24"/>
      <c r="QTV125" s="40"/>
      <c r="QTW125" s="24"/>
      <c r="QTX125" s="40"/>
      <c r="QTY125" s="24"/>
      <c r="QTZ125" s="40"/>
      <c r="QUA125" s="24"/>
      <c r="QUB125" s="40"/>
      <c r="QUC125" s="24"/>
      <c r="QUD125" s="40"/>
      <c r="QUE125" s="24"/>
      <c r="QUF125" s="40"/>
      <c r="QUG125" s="24"/>
      <c r="QUH125" s="40"/>
      <c r="QUI125" s="24"/>
      <c r="QUJ125" s="40"/>
      <c r="QUK125" s="24"/>
      <c r="QUL125" s="40"/>
      <c r="QUM125" s="24"/>
      <c r="QUN125" s="40"/>
      <c r="QUO125" s="24"/>
      <c r="QUP125" s="40"/>
      <c r="QUQ125" s="24"/>
      <c r="QUR125" s="40"/>
      <c r="QUS125" s="24"/>
      <c r="QUT125" s="40"/>
      <c r="QUU125" s="24"/>
      <c r="QUV125" s="40"/>
      <c r="QUW125" s="24"/>
      <c r="QUX125" s="40"/>
      <c r="QUY125" s="24"/>
      <c r="QUZ125" s="40"/>
      <c r="QVA125" s="24"/>
      <c r="QVB125" s="40"/>
      <c r="QVC125" s="24"/>
      <c r="QVD125" s="40"/>
      <c r="QVE125" s="24"/>
      <c r="QVF125" s="40"/>
      <c r="QVG125" s="24"/>
      <c r="QVH125" s="40"/>
      <c r="QVI125" s="24"/>
      <c r="QVJ125" s="40"/>
      <c r="QVK125" s="24"/>
      <c r="QVL125" s="40"/>
      <c r="QVM125" s="24"/>
      <c r="QVN125" s="40"/>
      <c r="QVO125" s="24"/>
      <c r="QVP125" s="40"/>
      <c r="QVQ125" s="24"/>
      <c r="QVR125" s="40"/>
      <c r="QVS125" s="24"/>
      <c r="QVT125" s="40"/>
      <c r="QVU125" s="24"/>
      <c r="QVV125" s="40"/>
      <c r="QVW125" s="24"/>
      <c r="QVX125" s="40"/>
      <c r="QVY125" s="24"/>
      <c r="QVZ125" s="40"/>
      <c r="QWA125" s="24"/>
      <c r="QWB125" s="40"/>
      <c r="QWC125" s="24"/>
      <c r="QWD125" s="40"/>
      <c r="QWE125" s="24"/>
      <c r="QWF125" s="40"/>
      <c r="QWG125" s="24"/>
      <c r="QWH125" s="40"/>
      <c r="QWI125" s="24"/>
      <c r="QWJ125" s="40"/>
      <c r="QWK125" s="24"/>
      <c r="QWL125" s="40"/>
      <c r="QWM125" s="24"/>
      <c r="QWN125" s="40"/>
      <c r="QWO125" s="24"/>
      <c r="QWP125" s="40"/>
      <c r="QWQ125" s="24"/>
      <c r="QWR125" s="40"/>
      <c r="QWS125" s="24"/>
      <c r="QWT125" s="40"/>
      <c r="QWU125" s="24"/>
      <c r="QWV125" s="40"/>
      <c r="QWW125" s="24"/>
      <c r="QWX125" s="40"/>
      <c r="QWY125" s="24"/>
      <c r="QWZ125" s="40"/>
      <c r="QXA125" s="24"/>
      <c r="QXB125" s="40"/>
      <c r="QXC125" s="24"/>
      <c r="QXD125" s="40"/>
      <c r="QXE125" s="24"/>
      <c r="QXF125" s="40"/>
      <c r="QXG125" s="24"/>
      <c r="QXH125" s="40"/>
      <c r="QXI125" s="24"/>
      <c r="QXJ125" s="40"/>
      <c r="QXK125" s="24"/>
      <c r="QXL125" s="40"/>
      <c r="QXM125" s="24"/>
      <c r="QXN125" s="40"/>
      <c r="QXO125" s="24"/>
      <c r="QXP125" s="40"/>
      <c r="QXQ125" s="24"/>
      <c r="QXR125" s="40"/>
      <c r="QXS125" s="24"/>
      <c r="QXT125" s="40"/>
      <c r="QXU125" s="24"/>
      <c r="QXV125" s="40"/>
      <c r="QXW125" s="24"/>
      <c r="QXX125" s="40"/>
      <c r="QXY125" s="24"/>
      <c r="QXZ125" s="40"/>
      <c r="QYA125" s="24"/>
      <c r="QYB125" s="40"/>
      <c r="QYC125" s="24"/>
      <c r="QYD125" s="40"/>
      <c r="QYE125" s="24"/>
      <c r="QYF125" s="40"/>
      <c r="QYG125" s="24"/>
      <c r="QYH125" s="40"/>
      <c r="QYI125" s="24"/>
      <c r="QYJ125" s="40"/>
      <c r="QYK125" s="24"/>
      <c r="QYL125" s="40"/>
      <c r="QYM125" s="24"/>
      <c r="QYN125" s="40"/>
      <c r="QYO125" s="24"/>
      <c r="QYP125" s="40"/>
      <c r="QYQ125" s="24"/>
      <c r="QYR125" s="40"/>
      <c r="QYS125" s="24"/>
      <c r="QYT125" s="40"/>
      <c r="QYU125" s="24"/>
      <c r="QYV125" s="40"/>
      <c r="QYW125" s="24"/>
      <c r="QYX125" s="40"/>
      <c r="QYY125" s="24"/>
      <c r="QYZ125" s="40"/>
      <c r="QZA125" s="24"/>
      <c r="QZB125" s="40"/>
      <c r="QZC125" s="24"/>
      <c r="QZD125" s="40"/>
      <c r="QZE125" s="24"/>
      <c r="QZF125" s="40"/>
      <c r="QZG125" s="24"/>
      <c r="QZH125" s="40"/>
      <c r="QZI125" s="24"/>
      <c r="QZJ125" s="40"/>
      <c r="QZK125" s="24"/>
      <c r="QZL125" s="40"/>
      <c r="QZM125" s="24"/>
      <c r="QZN125" s="40"/>
      <c r="QZO125" s="24"/>
      <c r="QZP125" s="40"/>
      <c r="QZQ125" s="24"/>
      <c r="QZR125" s="40"/>
      <c r="QZS125" s="24"/>
      <c r="QZT125" s="40"/>
      <c r="QZU125" s="24"/>
      <c r="QZV125" s="40"/>
      <c r="QZW125" s="24"/>
      <c r="QZX125" s="40"/>
      <c r="QZY125" s="24"/>
      <c r="QZZ125" s="40"/>
      <c r="RAA125" s="24"/>
      <c r="RAB125" s="40"/>
      <c r="RAC125" s="24"/>
      <c r="RAD125" s="40"/>
      <c r="RAE125" s="24"/>
      <c r="RAF125" s="40"/>
      <c r="RAG125" s="24"/>
      <c r="RAH125" s="40"/>
      <c r="RAI125" s="24"/>
      <c r="RAJ125" s="40"/>
      <c r="RAK125" s="24"/>
      <c r="RAL125" s="40"/>
      <c r="RAM125" s="24"/>
      <c r="RAN125" s="40"/>
      <c r="RAO125" s="24"/>
      <c r="RAP125" s="40"/>
      <c r="RAQ125" s="24"/>
      <c r="RAR125" s="40"/>
      <c r="RAS125" s="24"/>
      <c r="RAT125" s="40"/>
      <c r="RAU125" s="24"/>
      <c r="RAV125" s="40"/>
      <c r="RAW125" s="24"/>
      <c r="RAX125" s="40"/>
      <c r="RAY125" s="24"/>
      <c r="RAZ125" s="40"/>
      <c r="RBA125" s="24"/>
      <c r="RBB125" s="40"/>
      <c r="RBC125" s="24"/>
      <c r="RBD125" s="40"/>
      <c r="RBE125" s="24"/>
      <c r="RBF125" s="40"/>
      <c r="RBG125" s="24"/>
      <c r="RBH125" s="40"/>
      <c r="RBI125" s="24"/>
      <c r="RBJ125" s="40"/>
      <c r="RBK125" s="24"/>
      <c r="RBL125" s="40"/>
      <c r="RBM125" s="24"/>
      <c r="RBN125" s="40"/>
      <c r="RBO125" s="24"/>
      <c r="RBP125" s="40"/>
      <c r="RBQ125" s="24"/>
      <c r="RBR125" s="40"/>
      <c r="RBS125" s="24"/>
      <c r="RBT125" s="40"/>
      <c r="RBU125" s="24"/>
      <c r="RBV125" s="40"/>
      <c r="RBW125" s="24"/>
      <c r="RBX125" s="40"/>
      <c r="RBY125" s="24"/>
      <c r="RBZ125" s="40"/>
      <c r="RCA125" s="24"/>
      <c r="RCB125" s="40"/>
      <c r="RCC125" s="24"/>
      <c r="RCD125" s="40"/>
      <c r="RCE125" s="24"/>
      <c r="RCF125" s="40"/>
      <c r="RCG125" s="24"/>
      <c r="RCH125" s="40"/>
      <c r="RCI125" s="24"/>
      <c r="RCJ125" s="40"/>
      <c r="RCK125" s="24"/>
      <c r="RCL125" s="40"/>
      <c r="RCM125" s="24"/>
      <c r="RCN125" s="40"/>
      <c r="RCO125" s="24"/>
      <c r="RCP125" s="40"/>
      <c r="RCQ125" s="24"/>
      <c r="RCR125" s="40"/>
      <c r="RCS125" s="24"/>
      <c r="RCT125" s="40"/>
      <c r="RCU125" s="24"/>
      <c r="RCV125" s="40"/>
      <c r="RCW125" s="24"/>
      <c r="RCX125" s="40"/>
      <c r="RCY125" s="24"/>
      <c r="RCZ125" s="40"/>
      <c r="RDA125" s="24"/>
      <c r="RDB125" s="40"/>
      <c r="RDC125" s="24"/>
      <c r="RDD125" s="40"/>
      <c r="RDE125" s="24"/>
      <c r="RDF125" s="40"/>
      <c r="RDG125" s="24"/>
      <c r="RDH125" s="40"/>
      <c r="RDI125" s="24"/>
      <c r="RDJ125" s="40"/>
      <c r="RDK125" s="24"/>
      <c r="RDL125" s="40"/>
      <c r="RDM125" s="24"/>
      <c r="RDN125" s="40"/>
      <c r="RDO125" s="24"/>
      <c r="RDP125" s="40"/>
      <c r="RDQ125" s="24"/>
      <c r="RDR125" s="40"/>
      <c r="RDS125" s="24"/>
      <c r="RDT125" s="40"/>
      <c r="RDU125" s="24"/>
      <c r="RDV125" s="40"/>
      <c r="RDW125" s="24"/>
      <c r="RDX125" s="40"/>
      <c r="RDY125" s="24"/>
      <c r="RDZ125" s="40"/>
      <c r="REA125" s="24"/>
      <c r="REB125" s="40"/>
      <c r="REC125" s="24"/>
      <c r="RED125" s="40"/>
      <c r="REE125" s="24"/>
      <c r="REF125" s="40"/>
      <c r="REG125" s="24"/>
      <c r="REH125" s="40"/>
      <c r="REI125" s="24"/>
      <c r="REJ125" s="40"/>
      <c r="REK125" s="24"/>
      <c r="REL125" s="40"/>
      <c r="REM125" s="24"/>
      <c r="REN125" s="40"/>
      <c r="REO125" s="24"/>
      <c r="REP125" s="40"/>
      <c r="REQ125" s="24"/>
      <c r="RER125" s="40"/>
      <c r="RES125" s="24"/>
      <c r="RET125" s="40"/>
      <c r="REU125" s="24"/>
      <c r="REV125" s="40"/>
      <c r="REW125" s="24"/>
      <c r="REX125" s="40"/>
      <c r="REY125" s="24"/>
      <c r="REZ125" s="40"/>
      <c r="RFA125" s="24"/>
      <c r="RFB125" s="40"/>
      <c r="RFC125" s="24"/>
      <c r="RFD125" s="40"/>
      <c r="RFE125" s="24"/>
      <c r="RFF125" s="40"/>
      <c r="RFG125" s="24"/>
      <c r="RFH125" s="40"/>
      <c r="RFI125" s="24"/>
      <c r="RFJ125" s="40"/>
      <c r="RFK125" s="24"/>
      <c r="RFL125" s="40"/>
      <c r="RFM125" s="24"/>
      <c r="RFN125" s="40"/>
      <c r="RFO125" s="24"/>
      <c r="RFP125" s="40"/>
      <c r="RFQ125" s="24"/>
      <c r="RFR125" s="40"/>
      <c r="RFS125" s="24"/>
      <c r="RFT125" s="40"/>
      <c r="RFU125" s="24"/>
      <c r="RFV125" s="40"/>
      <c r="RFW125" s="24"/>
      <c r="RFX125" s="40"/>
      <c r="RFY125" s="24"/>
      <c r="RFZ125" s="40"/>
      <c r="RGA125" s="24"/>
      <c r="RGB125" s="40"/>
      <c r="RGC125" s="24"/>
      <c r="RGD125" s="40"/>
      <c r="RGE125" s="24"/>
      <c r="RGF125" s="40"/>
      <c r="RGG125" s="24"/>
      <c r="RGH125" s="40"/>
      <c r="RGI125" s="24"/>
      <c r="RGJ125" s="40"/>
      <c r="RGK125" s="24"/>
      <c r="RGL125" s="40"/>
      <c r="RGM125" s="24"/>
      <c r="RGN125" s="40"/>
      <c r="RGO125" s="24"/>
      <c r="RGP125" s="40"/>
      <c r="RGQ125" s="24"/>
      <c r="RGR125" s="40"/>
      <c r="RGS125" s="24"/>
      <c r="RGT125" s="40"/>
      <c r="RGU125" s="24"/>
      <c r="RGV125" s="40"/>
      <c r="RGW125" s="24"/>
      <c r="RGX125" s="40"/>
      <c r="RGY125" s="24"/>
      <c r="RGZ125" s="40"/>
      <c r="RHA125" s="24"/>
      <c r="RHB125" s="40"/>
      <c r="RHC125" s="24"/>
      <c r="RHD125" s="40"/>
      <c r="RHE125" s="24"/>
      <c r="RHF125" s="40"/>
      <c r="RHG125" s="24"/>
      <c r="RHH125" s="40"/>
      <c r="RHI125" s="24"/>
      <c r="RHJ125" s="40"/>
      <c r="RHK125" s="24"/>
      <c r="RHL125" s="40"/>
      <c r="RHM125" s="24"/>
      <c r="RHN125" s="40"/>
      <c r="RHO125" s="24"/>
      <c r="RHP125" s="40"/>
      <c r="RHQ125" s="24"/>
      <c r="RHR125" s="40"/>
      <c r="RHS125" s="24"/>
      <c r="RHT125" s="40"/>
      <c r="RHU125" s="24"/>
      <c r="RHV125" s="40"/>
      <c r="RHW125" s="24"/>
      <c r="RHX125" s="40"/>
      <c r="RHY125" s="24"/>
      <c r="RHZ125" s="40"/>
      <c r="RIA125" s="24"/>
      <c r="RIB125" s="40"/>
      <c r="RIC125" s="24"/>
      <c r="RID125" s="40"/>
      <c r="RIE125" s="24"/>
      <c r="RIF125" s="40"/>
      <c r="RIG125" s="24"/>
      <c r="RIH125" s="40"/>
      <c r="RII125" s="24"/>
      <c r="RIJ125" s="40"/>
      <c r="RIK125" s="24"/>
      <c r="RIL125" s="40"/>
      <c r="RIM125" s="24"/>
      <c r="RIN125" s="40"/>
      <c r="RIO125" s="24"/>
      <c r="RIP125" s="40"/>
      <c r="RIQ125" s="24"/>
      <c r="RIR125" s="40"/>
      <c r="RIS125" s="24"/>
      <c r="RIT125" s="40"/>
      <c r="RIU125" s="24"/>
      <c r="RIV125" s="40"/>
      <c r="RIW125" s="24"/>
      <c r="RIX125" s="40"/>
      <c r="RIY125" s="24"/>
      <c r="RIZ125" s="40"/>
      <c r="RJA125" s="24"/>
      <c r="RJB125" s="40"/>
      <c r="RJC125" s="24"/>
      <c r="RJD125" s="40"/>
      <c r="RJE125" s="24"/>
      <c r="RJF125" s="40"/>
      <c r="RJG125" s="24"/>
      <c r="RJH125" s="40"/>
      <c r="RJI125" s="24"/>
      <c r="RJJ125" s="40"/>
      <c r="RJK125" s="24"/>
      <c r="RJL125" s="40"/>
      <c r="RJM125" s="24"/>
      <c r="RJN125" s="40"/>
      <c r="RJO125" s="24"/>
      <c r="RJP125" s="40"/>
      <c r="RJQ125" s="24"/>
      <c r="RJR125" s="40"/>
      <c r="RJS125" s="24"/>
      <c r="RJT125" s="40"/>
      <c r="RJU125" s="24"/>
      <c r="RJV125" s="40"/>
      <c r="RJW125" s="24"/>
      <c r="RJX125" s="40"/>
      <c r="RJY125" s="24"/>
      <c r="RJZ125" s="40"/>
      <c r="RKA125" s="24"/>
      <c r="RKB125" s="40"/>
      <c r="RKC125" s="24"/>
      <c r="RKD125" s="40"/>
      <c r="RKE125" s="24"/>
      <c r="RKF125" s="40"/>
      <c r="RKG125" s="24"/>
      <c r="RKH125" s="40"/>
      <c r="RKI125" s="24"/>
      <c r="RKJ125" s="40"/>
      <c r="RKK125" s="24"/>
      <c r="RKL125" s="40"/>
      <c r="RKM125" s="24"/>
      <c r="RKN125" s="40"/>
      <c r="RKO125" s="24"/>
      <c r="RKP125" s="40"/>
      <c r="RKQ125" s="24"/>
      <c r="RKR125" s="40"/>
      <c r="RKS125" s="24"/>
      <c r="RKT125" s="40"/>
      <c r="RKU125" s="24"/>
      <c r="RKV125" s="40"/>
      <c r="RKW125" s="24"/>
      <c r="RKX125" s="40"/>
      <c r="RKY125" s="24"/>
      <c r="RKZ125" s="40"/>
      <c r="RLA125" s="24"/>
      <c r="RLB125" s="40"/>
      <c r="RLC125" s="24"/>
      <c r="RLD125" s="40"/>
      <c r="RLE125" s="24"/>
      <c r="RLF125" s="40"/>
      <c r="RLG125" s="24"/>
      <c r="RLH125" s="40"/>
      <c r="RLI125" s="24"/>
      <c r="RLJ125" s="40"/>
      <c r="RLK125" s="24"/>
      <c r="RLL125" s="40"/>
      <c r="RLM125" s="24"/>
      <c r="RLN125" s="40"/>
      <c r="RLO125" s="24"/>
      <c r="RLP125" s="40"/>
      <c r="RLQ125" s="24"/>
      <c r="RLR125" s="40"/>
      <c r="RLS125" s="24"/>
      <c r="RLT125" s="40"/>
      <c r="RLU125" s="24"/>
      <c r="RLV125" s="40"/>
      <c r="RLW125" s="24"/>
      <c r="RLX125" s="40"/>
      <c r="RLY125" s="24"/>
      <c r="RLZ125" s="40"/>
      <c r="RMA125" s="24"/>
      <c r="RMB125" s="40"/>
      <c r="RMC125" s="24"/>
      <c r="RMD125" s="40"/>
      <c r="RME125" s="24"/>
      <c r="RMF125" s="40"/>
      <c r="RMG125" s="24"/>
      <c r="RMH125" s="40"/>
      <c r="RMI125" s="24"/>
      <c r="RMJ125" s="40"/>
      <c r="RMK125" s="24"/>
      <c r="RML125" s="40"/>
      <c r="RMM125" s="24"/>
      <c r="RMN125" s="40"/>
      <c r="RMO125" s="24"/>
      <c r="RMP125" s="40"/>
      <c r="RMQ125" s="24"/>
      <c r="RMR125" s="40"/>
      <c r="RMS125" s="24"/>
      <c r="RMT125" s="40"/>
      <c r="RMU125" s="24"/>
      <c r="RMV125" s="40"/>
      <c r="RMW125" s="24"/>
      <c r="RMX125" s="40"/>
      <c r="RMY125" s="24"/>
      <c r="RMZ125" s="40"/>
      <c r="RNA125" s="24"/>
      <c r="RNB125" s="40"/>
      <c r="RNC125" s="24"/>
      <c r="RND125" s="40"/>
      <c r="RNE125" s="24"/>
      <c r="RNF125" s="40"/>
      <c r="RNG125" s="24"/>
      <c r="RNH125" s="40"/>
      <c r="RNI125" s="24"/>
      <c r="RNJ125" s="40"/>
      <c r="RNK125" s="24"/>
      <c r="RNL125" s="40"/>
      <c r="RNM125" s="24"/>
      <c r="RNN125" s="40"/>
      <c r="RNO125" s="24"/>
      <c r="RNP125" s="40"/>
      <c r="RNQ125" s="24"/>
      <c r="RNR125" s="40"/>
      <c r="RNS125" s="24"/>
      <c r="RNT125" s="40"/>
      <c r="RNU125" s="24"/>
      <c r="RNV125" s="40"/>
      <c r="RNW125" s="24"/>
      <c r="RNX125" s="40"/>
      <c r="RNY125" s="24"/>
      <c r="RNZ125" s="40"/>
      <c r="ROA125" s="24"/>
      <c r="ROB125" s="40"/>
      <c r="ROC125" s="24"/>
      <c r="ROD125" s="40"/>
      <c r="ROE125" s="24"/>
      <c r="ROF125" s="40"/>
      <c r="ROG125" s="24"/>
      <c r="ROH125" s="40"/>
      <c r="ROI125" s="24"/>
      <c r="ROJ125" s="40"/>
      <c r="ROK125" s="24"/>
      <c r="ROL125" s="40"/>
      <c r="ROM125" s="24"/>
      <c r="RON125" s="40"/>
      <c r="ROO125" s="24"/>
      <c r="ROP125" s="40"/>
      <c r="ROQ125" s="24"/>
      <c r="ROR125" s="40"/>
      <c r="ROS125" s="24"/>
      <c r="ROT125" s="40"/>
      <c r="ROU125" s="24"/>
      <c r="ROV125" s="40"/>
      <c r="ROW125" s="24"/>
      <c r="ROX125" s="40"/>
      <c r="ROY125" s="24"/>
      <c r="ROZ125" s="40"/>
      <c r="RPA125" s="24"/>
      <c r="RPB125" s="40"/>
      <c r="RPC125" s="24"/>
      <c r="RPD125" s="40"/>
      <c r="RPE125" s="24"/>
      <c r="RPF125" s="40"/>
      <c r="RPG125" s="24"/>
      <c r="RPH125" s="40"/>
      <c r="RPI125" s="24"/>
      <c r="RPJ125" s="40"/>
      <c r="RPK125" s="24"/>
      <c r="RPL125" s="40"/>
      <c r="RPM125" s="24"/>
      <c r="RPN125" s="40"/>
      <c r="RPO125" s="24"/>
      <c r="RPP125" s="40"/>
      <c r="RPQ125" s="24"/>
      <c r="RPR125" s="40"/>
      <c r="RPS125" s="24"/>
      <c r="RPT125" s="40"/>
      <c r="RPU125" s="24"/>
      <c r="RPV125" s="40"/>
      <c r="RPW125" s="24"/>
      <c r="RPX125" s="40"/>
      <c r="RPY125" s="24"/>
      <c r="RPZ125" s="40"/>
      <c r="RQA125" s="24"/>
      <c r="RQB125" s="40"/>
      <c r="RQC125" s="24"/>
      <c r="RQD125" s="40"/>
      <c r="RQE125" s="24"/>
      <c r="RQF125" s="40"/>
      <c r="RQG125" s="24"/>
      <c r="RQH125" s="40"/>
      <c r="RQI125" s="24"/>
      <c r="RQJ125" s="40"/>
      <c r="RQK125" s="24"/>
      <c r="RQL125" s="40"/>
      <c r="RQM125" s="24"/>
      <c r="RQN125" s="40"/>
      <c r="RQO125" s="24"/>
      <c r="RQP125" s="40"/>
      <c r="RQQ125" s="24"/>
      <c r="RQR125" s="40"/>
      <c r="RQS125" s="24"/>
      <c r="RQT125" s="40"/>
      <c r="RQU125" s="24"/>
      <c r="RQV125" s="40"/>
      <c r="RQW125" s="24"/>
      <c r="RQX125" s="40"/>
      <c r="RQY125" s="24"/>
      <c r="RQZ125" s="40"/>
      <c r="RRA125" s="24"/>
      <c r="RRB125" s="40"/>
      <c r="RRC125" s="24"/>
      <c r="RRD125" s="40"/>
      <c r="RRE125" s="24"/>
      <c r="RRF125" s="40"/>
      <c r="RRG125" s="24"/>
      <c r="RRH125" s="40"/>
      <c r="RRI125" s="24"/>
      <c r="RRJ125" s="40"/>
      <c r="RRK125" s="24"/>
      <c r="RRL125" s="40"/>
      <c r="RRM125" s="24"/>
      <c r="RRN125" s="40"/>
      <c r="RRO125" s="24"/>
      <c r="RRP125" s="40"/>
      <c r="RRQ125" s="24"/>
      <c r="RRR125" s="40"/>
      <c r="RRS125" s="24"/>
      <c r="RRT125" s="40"/>
      <c r="RRU125" s="24"/>
      <c r="RRV125" s="40"/>
      <c r="RRW125" s="24"/>
      <c r="RRX125" s="40"/>
      <c r="RRY125" s="24"/>
      <c r="RRZ125" s="40"/>
      <c r="RSA125" s="24"/>
      <c r="RSB125" s="40"/>
      <c r="RSC125" s="24"/>
      <c r="RSD125" s="40"/>
      <c r="RSE125" s="24"/>
      <c r="RSF125" s="40"/>
      <c r="RSG125" s="24"/>
      <c r="RSH125" s="40"/>
      <c r="RSI125" s="24"/>
      <c r="RSJ125" s="40"/>
      <c r="RSK125" s="24"/>
      <c r="RSL125" s="40"/>
      <c r="RSM125" s="24"/>
      <c r="RSN125" s="40"/>
      <c r="RSO125" s="24"/>
      <c r="RSP125" s="40"/>
      <c r="RSQ125" s="24"/>
      <c r="RSR125" s="40"/>
      <c r="RSS125" s="24"/>
      <c r="RST125" s="40"/>
      <c r="RSU125" s="24"/>
      <c r="RSV125" s="40"/>
      <c r="RSW125" s="24"/>
      <c r="RSX125" s="40"/>
      <c r="RSY125" s="24"/>
      <c r="RSZ125" s="40"/>
      <c r="RTA125" s="24"/>
      <c r="RTB125" s="40"/>
      <c r="RTC125" s="24"/>
      <c r="RTD125" s="40"/>
      <c r="RTE125" s="24"/>
      <c r="RTF125" s="40"/>
      <c r="RTG125" s="24"/>
      <c r="RTH125" s="40"/>
      <c r="RTI125" s="24"/>
      <c r="RTJ125" s="40"/>
      <c r="RTK125" s="24"/>
      <c r="RTL125" s="40"/>
      <c r="RTM125" s="24"/>
      <c r="RTN125" s="40"/>
      <c r="RTO125" s="24"/>
      <c r="RTP125" s="40"/>
      <c r="RTQ125" s="24"/>
      <c r="RTR125" s="40"/>
      <c r="RTS125" s="24"/>
      <c r="RTT125" s="40"/>
      <c r="RTU125" s="24"/>
      <c r="RTV125" s="40"/>
      <c r="RTW125" s="24"/>
      <c r="RTX125" s="40"/>
      <c r="RTY125" s="24"/>
      <c r="RTZ125" s="40"/>
      <c r="RUA125" s="24"/>
      <c r="RUB125" s="40"/>
      <c r="RUC125" s="24"/>
      <c r="RUD125" s="40"/>
      <c r="RUE125" s="24"/>
      <c r="RUF125" s="40"/>
      <c r="RUG125" s="24"/>
      <c r="RUH125" s="40"/>
      <c r="RUI125" s="24"/>
      <c r="RUJ125" s="40"/>
      <c r="RUK125" s="24"/>
      <c r="RUL125" s="40"/>
      <c r="RUM125" s="24"/>
      <c r="RUN125" s="40"/>
      <c r="RUO125" s="24"/>
      <c r="RUP125" s="40"/>
      <c r="RUQ125" s="24"/>
      <c r="RUR125" s="40"/>
      <c r="RUS125" s="24"/>
      <c r="RUT125" s="40"/>
      <c r="RUU125" s="24"/>
      <c r="RUV125" s="40"/>
      <c r="RUW125" s="24"/>
      <c r="RUX125" s="40"/>
      <c r="RUY125" s="24"/>
      <c r="RUZ125" s="40"/>
      <c r="RVA125" s="24"/>
      <c r="RVB125" s="40"/>
      <c r="RVC125" s="24"/>
      <c r="RVD125" s="40"/>
      <c r="RVE125" s="24"/>
      <c r="RVF125" s="40"/>
      <c r="RVG125" s="24"/>
      <c r="RVH125" s="40"/>
      <c r="RVI125" s="24"/>
      <c r="RVJ125" s="40"/>
      <c r="RVK125" s="24"/>
      <c r="RVL125" s="40"/>
      <c r="RVM125" s="24"/>
      <c r="RVN125" s="40"/>
      <c r="RVO125" s="24"/>
      <c r="RVP125" s="40"/>
      <c r="RVQ125" s="24"/>
      <c r="RVR125" s="40"/>
      <c r="RVS125" s="24"/>
      <c r="RVT125" s="40"/>
      <c r="RVU125" s="24"/>
      <c r="RVV125" s="40"/>
      <c r="RVW125" s="24"/>
      <c r="RVX125" s="40"/>
      <c r="RVY125" s="24"/>
      <c r="RVZ125" s="40"/>
      <c r="RWA125" s="24"/>
      <c r="RWB125" s="40"/>
      <c r="RWC125" s="24"/>
      <c r="RWD125" s="40"/>
      <c r="RWE125" s="24"/>
      <c r="RWF125" s="40"/>
      <c r="RWG125" s="24"/>
      <c r="RWH125" s="40"/>
      <c r="RWI125" s="24"/>
      <c r="RWJ125" s="40"/>
      <c r="RWK125" s="24"/>
      <c r="RWL125" s="40"/>
      <c r="RWM125" s="24"/>
      <c r="RWN125" s="40"/>
      <c r="RWO125" s="24"/>
      <c r="RWP125" s="40"/>
      <c r="RWQ125" s="24"/>
      <c r="RWR125" s="40"/>
      <c r="RWS125" s="24"/>
      <c r="RWT125" s="40"/>
      <c r="RWU125" s="24"/>
      <c r="RWV125" s="40"/>
      <c r="RWW125" s="24"/>
      <c r="RWX125" s="40"/>
      <c r="RWY125" s="24"/>
      <c r="RWZ125" s="40"/>
      <c r="RXA125" s="24"/>
      <c r="RXB125" s="40"/>
      <c r="RXC125" s="24"/>
      <c r="RXD125" s="40"/>
      <c r="RXE125" s="24"/>
      <c r="RXF125" s="40"/>
      <c r="RXG125" s="24"/>
      <c r="RXH125" s="40"/>
      <c r="RXI125" s="24"/>
      <c r="RXJ125" s="40"/>
      <c r="RXK125" s="24"/>
      <c r="RXL125" s="40"/>
      <c r="RXM125" s="24"/>
      <c r="RXN125" s="40"/>
      <c r="RXO125" s="24"/>
      <c r="RXP125" s="40"/>
      <c r="RXQ125" s="24"/>
      <c r="RXR125" s="40"/>
      <c r="RXS125" s="24"/>
      <c r="RXT125" s="40"/>
      <c r="RXU125" s="24"/>
      <c r="RXV125" s="40"/>
      <c r="RXW125" s="24"/>
      <c r="RXX125" s="40"/>
      <c r="RXY125" s="24"/>
      <c r="RXZ125" s="40"/>
      <c r="RYA125" s="24"/>
      <c r="RYB125" s="40"/>
      <c r="RYC125" s="24"/>
      <c r="RYD125" s="40"/>
      <c r="RYE125" s="24"/>
      <c r="RYF125" s="40"/>
      <c r="RYG125" s="24"/>
      <c r="RYH125" s="40"/>
      <c r="RYI125" s="24"/>
      <c r="RYJ125" s="40"/>
      <c r="RYK125" s="24"/>
      <c r="RYL125" s="40"/>
      <c r="RYM125" s="24"/>
      <c r="RYN125" s="40"/>
      <c r="RYO125" s="24"/>
      <c r="RYP125" s="40"/>
      <c r="RYQ125" s="24"/>
      <c r="RYR125" s="40"/>
      <c r="RYS125" s="24"/>
      <c r="RYT125" s="40"/>
      <c r="RYU125" s="24"/>
      <c r="RYV125" s="40"/>
      <c r="RYW125" s="24"/>
      <c r="RYX125" s="40"/>
      <c r="RYY125" s="24"/>
      <c r="RYZ125" s="40"/>
      <c r="RZA125" s="24"/>
      <c r="RZB125" s="40"/>
      <c r="RZC125" s="24"/>
      <c r="RZD125" s="40"/>
      <c r="RZE125" s="24"/>
      <c r="RZF125" s="40"/>
      <c r="RZG125" s="24"/>
      <c r="RZH125" s="40"/>
      <c r="RZI125" s="24"/>
      <c r="RZJ125" s="40"/>
      <c r="RZK125" s="24"/>
      <c r="RZL125" s="40"/>
      <c r="RZM125" s="24"/>
      <c r="RZN125" s="40"/>
      <c r="RZO125" s="24"/>
      <c r="RZP125" s="40"/>
      <c r="RZQ125" s="24"/>
      <c r="RZR125" s="40"/>
      <c r="RZS125" s="24"/>
      <c r="RZT125" s="40"/>
      <c r="RZU125" s="24"/>
      <c r="RZV125" s="40"/>
      <c r="RZW125" s="24"/>
      <c r="RZX125" s="40"/>
      <c r="RZY125" s="24"/>
      <c r="RZZ125" s="40"/>
      <c r="SAA125" s="24"/>
      <c r="SAB125" s="40"/>
      <c r="SAC125" s="24"/>
      <c r="SAD125" s="40"/>
      <c r="SAE125" s="24"/>
      <c r="SAF125" s="40"/>
      <c r="SAG125" s="24"/>
      <c r="SAH125" s="40"/>
      <c r="SAI125" s="24"/>
      <c r="SAJ125" s="40"/>
      <c r="SAK125" s="24"/>
      <c r="SAL125" s="40"/>
      <c r="SAM125" s="24"/>
      <c r="SAN125" s="40"/>
      <c r="SAO125" s="24"/>
      <c r="SAP125" s="40"/>
      <c r="SAQ125" s="24"/>
      <c r="SAR125" s="40"/>
      <c r="SAS125" s="24"/>
      <c r="SAT125" s="40"/>
      <c r="SAU125" s="24"/>
      <c r="SAV125" s="40"/>
      <c r="SAW125" s="24"/>
      <c r="SAX125" s="40"/>
      <c r="SAY125" s="24"/>
      <c r="SAZ125" s="40"/>
      <c r="SBA125" s="24"/>
      <c r="SBB125" s="40"/>
      <c r="SBC125" s="24"/>
      <c r="SBD125" s="40"/>
      <c r="SBE125" s="24"/>
      <c r="SBF125" s="40"/>
      <c r="SBG125" s="24"/>
      <c r="SBH125" s="40"/>
      <c r="SBI125" s="24"/>
      <c r="SBJ125" s="40"/>
      <c r="SBK125" s="24"/>
      <c r="SBL125" s="40"/>
      <c r="SBM125" s="24"/>
      <c r="SBN125" s="40"/>
      <c r="SBO125" s="24"/>
      <c r="SBP125" s="40"/>
      <c r="SBQ125" s="24"/>
      <c r="SBR125" s="40"/>
      <c r="SBS125" s="24"/>
      <c r="SBT125" s="40"/>
      <c r="SBU125" s="24"/>
      <c r="SBV125" s="40"/>
      <c r="SBW125" s="24"/>
      <c r="SBX125" s="40"/>
      <c r="SBY125" s="24"/>
      <c r="SBZ125" s="40"/>
      <c r="SCA125" s="24"/>
      <c r="SCB125" s="40"/>
      <c r="SCC125" s="24"/>
      <c r="SCD125" s="40"/>
      <c r="SCE125" s="24"/>
      <c r="SCF125" s="40"/>
      <c r="SCG125" s="24"/>
      <c r="SCH125" s="40"/>
      <c r="SCI125" s="24"/>
      <c r="SCJ125" s="40"/>
      <c r="SCK125" s="24"/>
      <c r="SCL125" s="40"/>
      <c r="SCM125" s="24"/>
      <c r="SCN125" s="40"/>
      <c r="SCO125" s="24"/>
      <c r="SCP125" s="40"/>
      <c r="SCQ125" s="24"/>
      <c r="SCR125" s="40"/>
      <c r="SCS125" s="24"/>
      <c r="SCT125" s="40"/>
      <c r="SCU125" s="24"/>
      <c r="SCV125" s="40"/>
      <c r="SCW125" s="24"/>
      <c r="SCX125" s="40"/>
      <c r="SCY125" s="24"/>
      <c r="SCZ125" s="40"/>
      <c r="SDA125" s="24"/>
      <c r="SDB125" s="40"/>
      <c r="SDC125" s="24"/>
      <c r="SDD125" s="40"/>
      <c r="SDE125" s="24"/>
      <c r="SDF125" s="40"/>
      <c r="SDG125" s="24"/>
      <c r="SDH125" s="40"/>
      <c r="SDI125" s="24"/>
      <c r="SDJ125" s="40"/>
      <c r="SDK125" s="24"/>
      <c r="SDL125" s="40"/>
      <c r="SDM125" s="24"/>
      <c r="SDN125" s="40"/>
      <c r="SDO125" s="24"/>
      <c r="SDP125" s="40"/>
      <c r="SDQ125" s="24"/>
      <c r="SDR125" s="40"/>
      <c r="SDS125" s="24"/>
      <c r="SDT125" s="40"/>
      <c r="SDU125" s="24"/>
      <c r="SDV125" s="40"/>
      <c r="SDW125" s="24"/>
      <c r="SDX125" s="40"/>
      <c r="SDY125" s="24"/>
      <c r="SDZ125" s="40"/>
      <c r="SEA125" s="24"/>
      <c r="SEB125" s="40"/>
      <c r="SEC125" s="24"/>
      <c r="SED125" s="40"/>
      <c r="SEE125" s="24"/>
      <c r="SEF125" s="40"/>
      <c r="SEG125" s="24"/>
      <c r="SEH125" s="40"/>
      <c r="SEI125" s="24"/>
      <c r="SEJ125" s="40"/>
      <c r="SEK125" s="24"/>
      <c r="SEL125" s="40"/>
      <c r="SEM125" s="24"/>
      <c r="SEN125" s="40"/>
      <c r="SEO125" s="24"/>
      <c r="SEP125" s="40"/>
      <c r="SEQ125" s="24"/>
      <c r="SER125" s="40"/>
      <c r="SES125" s="24"/>
      <c r="SET125" s="40"/>
      <c r="SEU125" s="24"/>
      <c r="SEV125" s="40"/>
      <c r="SEW125" s="24"/>
      <c r="SEX125" s="40"/>
      <c r="SEY125" s="24"/>
      <c r="SEZ125" s="40"/>
      <c r="SFA125" s="24"/>
      <c r="SFB125" s="40"/>
      <c r="SFC125" s="24"/>
      <c r="SFD125" s="40"/>
      <c r="SFE125" s="24"/>
      <c r="SFF125" s="40"/>
      <c r="SFG125" s="24"/>
      <c r="SFH125" s="40"/>
      <c r="SFI125" s="24"/>
      <c r="SFJ125" s="40"/>
      <c r="SFK125" s="24"/>
      <c r="SFL125" s="40"/>
      <c r="SFM125" s="24"/>
      <c r="SFN125" s="40"/>
      <c r="SFO125" s="24"/>
      <c r="SFP125" s="40"/>
      <c r="SFQ125" s="24"/>
      <c r="SFR125" s="40"/>
      <c r="SFS125" s="24"/>
      <c r="SFT125" s="40"/>
      <c r="SFU125" s="24"/>
      <c r="SFV125" s="40"/>
      <c r="SFW125" s="24"/>
      <c r="SFX125" s="40"/>
      <c r="SFY125" s="24"/>
      <c r="SFZ125" s="40"/>
      <c r="SGA125" s="24"/>
      <c r="SGB125" s="40"/>
      <c r="SGC125" s="24"/>
      <c r="SGD125" s="40"/>
      <c r="SGE125" s="24"/>
      <c r="SGF125" s="40"/>
      <c r="SGG125" s="24"/>
      <c r="SGH125" s="40"/>
      <c r="SGI125" s="24"/>
      <c r="SGJ125" s="40"/>
      <c r="SGK125" s="24"/>
      <c r="SGL125" s="40"/>
      <c r="SGM125" s="24"/>
      <c r="SGN125" s="40"/>
      <c r="SGO125" s="24"/>
      <c r="SGP125" s="40"/>
      <c r="SGQ125" s="24"/>
      <c r="SGR125" s="40"/>
      <c r="SGS125" s="24"/>
      <c r="SGT125" s="40"/>
      <c r="SGU125" s="24"/>
      <c r="SGV125" s="40"/>
      <c r="SGW125" s="24"/>
      <c r="SGX125" s="40"/>
      <c r="SGY125" s="24"/>
      <c r="SGZ125" s="40"/>
      <c r="SHA125" s="24"/>
      <c r="SHB125" s="40"/>
      <c r="SHC125" s="24"/>
      <c r="SHD125" s="40"/>
      <c r="SHE125" s="24"/>
      <c r="SHF125" s="40"/>
      <c r="SHG125" s="24"/>
      <c r="SHH125" s="40"/>
      <c r="SHI125" s="24"/>
      <c r="SHJ125" s="40"/>
      <c r="SHK125" s="24"/>
      <c r="SHL125" s="40"/>
      <c r="SHM125" s="24"/>
      <c r="SHN125" s="40"/>
      <c r="SHO125" s="24"/>
      <c r="SHP125" s="40"/>
      <c r="SHQ125" s="24"/>
      <c r="SHR125" s="40"/>
      <c r="SHS125" s="24"/>
      <c r="SHT125" s="40"/>
      <c r="SHU125" s="24"/>
      <c r="SHV125" s="40"/>
      <c r="SHW125" s="24"/>
      <c r="SHX125" s="40"/>
      <c r="SHY125" s="24"/>
      <c r="SHZ125" s="40"/>
      <c r="SIA125" s="24"/>
      <c r="SIB125" s="40"/>
      <c r="SIC125" s="24"/>
      <c r="SID125" s="40"/>
      <c r="SIE125" s="24"/>
      <c r="SIF125" s="40"/>
      <c r="SIG125" s="24"/>
      <c r="SIH125" s="40"/>
      <c r="SII125" s="24"/>
      <c r="SIJ125" s="40"/>
      <c r="SIK125" s="24"/>
      <c r="SIL125" s="40"/>
      <c r="SIM125" s="24"/>
      <c r="SIN125" s="40"/>
      <c r="SIO125" s="24"/>
      <c r="SIP125" s="40"/>
      <c r="SIQ125" s="24"/>
      <c r="SIR125" s="40"/>
      <c r="SIS125" s="24"/>
      <c r="SIT125" s="40"/>
      <c r="SIU125" s="24"/>
      <c r="SIV125" s="40"/>
      <c r="SIW125" s="24"/>
      <c r="SIX125" s="40"/>
      <c r="SIY125" s="24"/>
      <c r="SIZ125" s="40"/>
      <c r="SJA125" s="24"/>
      <c r="SJB125" s="40"/>
      <c r="SJC125" s="24"/>
      <c r="SJD125" s="40"/>
      <c r="SJE125" s="24"/>
      <c r="SJF125" s="40"/>
      <c r="SJG125" s="24"/>
      <c r="SJH125" s="40"/>
      <c r="SJI125" s="24"/>
      <c r="SJJ125" s="40"/>
      <c r="SJK125" s="24"/>
      <c r="SJL125" s="40"/>
      <c r="SJM125" s="24"/>
      <c r="SJN125" s="40"/>
      <c r="SJO125" s="24"/>
      <c r="SJP125" s="40"/>
      <c r="SJQ125" s="24"/>
      <c r="SJR125" s="40"/>
      <c r="SJS125" s="24"/>
      <c r="SJT125" s="40"/>
      <c r="SJU125" s="24"/>
      <c r="SJV125" s="40"/>
      <c r="SJW125" s="24"/>
      <c r="SJX125" s="40"/>
      <c r="SJY125" s="24"/>
      <c r="SJZ125" s="40"/>
      <c r="SKA125" s="24"/>
      <c r="SKB125" s="40"/>
      <c r="SKC125" s="24"/>
      <c r="SKD125" s="40"/>
      <c r="SKE125" s="24"/>
      <c r="SKF125" s="40"/>
      <c r="SKG125" s="24"/>
      <c r="SKH125" s="40"/>
      <c r="SKI125" s="24"/>
      <c r="SKJ125" s="40"/>
      <c r="SKK125" s="24"/>
      <c r="SKL125" s="40"/>
      <c r="SKM125" s="24"/>
      <c r="SKN125" s="40"/>
      <c r="SKO125" s="24"/>
      <c r="SKP125" s="40"/>
      <c r="SKQ125" s="24"/>
      <c r="SKR125" s="40"/>
      <c r="SKS125" s="24"/>
      <c r="SKT125" s="40"/>
      <c r="SKU125" s="24"/>
      <c r="SKV125" s="40"/>
      <c r="SKW125" s="24"/>
      <c r="SKX125" s="40"/>
      <c r="SKY125" s="24"/>
      <c r="SKZ125" s="40"/>
      <c r="SLA125" s="24"/>
      <c r="SLB125" s="40"/>
      <c r="SLC125" s="24"/>
      <c r="SLD125" s="40"/>
      <c r="SLE125" s="24"/>
      <c r="SLF125" s="40"/>
      <c r="SLG125" s="24"/>
      <c r="SLH125" s="40"/>
      <c r="SLI125" s="24"/>
      <c r="SLJ125" s="40"/>
      <c r="SLK125" s="24"/>
      <c r="SLL125" s="40"/>
      <c r="SLM125" s="24"/>
      <c r="SLN125" s="40"/>
      <c r="SLO125" s="24"/>
      <c r="SLP125" s="40"/>
      <c r="SLQ125" s="24"/>
      <c r="SLR125" s="40"/>
      <c r="SLS125" s="24"/>
      <c r="SLT125" s="40"/>
      <c r="SLU125" s="24"/>
      <c r="SLV125" s="40"/>
      <c r="SLW125" s="24"/>
      <c r="SLX125" s="40"/>
      <c r="SLY125" s="24"/>
      <c r="SLZ125" s="40"/>
      <c r="SMA125" s="24"/>
      <c r="SMB125" s="40"/>
      <c r="SMC125" s="24"/>
      <c r="SMD125" s="40"/>
      <c r="SME125" s="24"/>
      <c r="SMF125" s="40"/>
      <c r="SMG125" s="24"/>
      <c r="SMH125" s="40"/>
      <c r="SMI125" s="24"/>
      <c r="SMJ125" s="40"/>
      <c r="SMK125" s="24"/>
      <c r="SML125" s="40"/>
      <c r="SMM125" s="24"/>
      <c r="SMN125" s="40"/>
      <c r="SMO125" s="24"/>
      <c r="SMP125" s="40"/>
      <c r="SMQ125" s="24"/>
      <c r="SMR125" s="40"/>
      <c r="SMS125" s="24"/>
      <c r="SMT125" s="40"/>
      <c r="SMU125" s="24"/>
      <c r="SMV125" s="40"/>
      <c r="SMW125" s="24"/>
      <c r="SMX125" s="40"/>
      <c r="SMY125" s="24"/>
      <c r="SMZ125" s="40"/>
      <c r="SNA125" s="24"/>
      <c r="SNB125" s="40"/>
      <c r="SNC125" s="24"/>
      <c r="SND125" s="40"/>
      <c r="SNE125" s="24"/>
      <c r="SNF125" s="40"/>
      <c r="SNG125" s="24"/>
      <c r="SNH125" s="40"/>
      <c r="SNI125" s="24"/>
      <c r="SNJ125" s="40"/>
      <c r="SNK125" s="24"/>
      <c r="SNL125" s="40"/>
      <c r="SNM125" s="24"/>
      <c r="SNN125" s="40"/>
      <c r="SNO125" s="24"/>
      <c r="SNP125" s="40"/>
      <c r="SNQ125" s="24"/>
      <c r="SNR125" s="40"/>
      <c r="SNS125" s="24"/>
      <c r="SNT125" s="40"/>
      <c r="SNU125" s="24"/>
      <c r="SNV125" s="40"/>
      <c r="SNW125" s="24"/>
      <c r="SNX125" s="40"/>
      <c r="SNY125" s="24"/>
      <c r="SNZ125" s="40"/>
      <c r="SOA125" s="24"/>
      <c r="SOB125" s="40"/>
      <c r="SOC125" s="24"/>
      <c r="SOD125" s="40"/>
      <c r="SOE125" s="24"/>
      <c r="SOF125" s="40"/>
      <c r="SOG125" s="24"/>
      <c r="SOH125" s="40"/>
      <c r="SOI125" s="24"/>
      <c r="SOJ125" s="40"/>
      <c r="SOK125" s="24"/>
      <c r="SOL125" s="40"/>
      <c r="SOM125" s="24"/>
      <c r="SON125" s="40"/>
      <c r="SOO125" s="24"/>
      <c r="SOP125" s="40"/>
      <c r="SOQ125" s="24"/>
      <c r="SOR125" s="40"/>
      <c r="SOS125" s="24"/>
      <c r="SOT125" s="40"/>
      <c r="SOU125" s="24"/>
      <c r="SOV125" s="40"/>
      <c r="SOW125" s="24"/>
      <c r="SOX125" s="40"/>
      <c r="SOY125" s="24"/>
      <c r="SOZ125" s="40"/>
      <c r="SPA125" s="24"/>
      <c r="SPB125" s="40"/>
      <c r="SPC125" s="24"/>
      <c r="SPD125" s="40"/>
      <c r="SPE125" s="24"/>
      <c r="SPF125" s="40"/>
      <c r="SPG125" s="24"/>
      <c r="SPH125" s="40"/>
      <c r="SPI125" s="24"/>
      <c r="SPJ125" s="40"/>
      <c r="SPK125" s="24"/>
      <c r="SPL125" s="40"/>
      <c r="SPM125" s="24"/>
      <c r="SPN125" s="40"/>
      <c r="SPO125" s="24"/>
      <c r="SPP125" s="40"/>
      <c r="SPQ125" s="24"/>
      <c r="SPR125" s="40"/>
      <c r="SPS125" s="24"/>
      <c r="SPT125" s="40"/>
      <c r="SPU125" s="24"/>
      <c r="SPV125" s="40"/>
      <c r="SPW125" s="24"/>
      <c r="SPX125" s="40"/>
      <c r="SPY125" s="24"/>
      <c r="SPZ125" s="40"/>
      <c r="SQA125" s="24"/>
      <c r="SQB125" s="40"/>
      <c r="SQC125" s="24"/>
      <c r="SQD125" s="40"/>
      <c r="SQE125" s="24"/>
      <c r="SQF125" s="40"/>
      <c r="SQG125" s="24"/>
      <c r="SQH125" s="40"/>
      <c r="SQI125" s="24"/>
      <c r="SQJ125" s="40"/>
      <c r="SQK125" s="24"/>
      <c r="SQL125" s="40"/>
      <c r="SQM125" s="24"/>
      <c r="SQN125" s="40"/>
      <c r="SQO125" s="24"/>
      <c r="SQP125" s="40"/>
      <c r="SQQ125" s="24"/>
      <c r="SQR125" s="40"/>
      <c r="SQS125" s="24"/>
      <c r="SQT125" s="40"/>
      <c r="SQU125" s="24"/>
      <c r="SQV125" s="40"/>
      <c r="SQW125" s="24"/>
      <c r="SQX125" s="40"/>
      <c r="SQY125" s="24"/>
      <c r="SQZ125" s="40"/>
      <c r="SRA125" s="24"/>
      <c r="SRB125" s="40"/>
      <c r="SRC125" s="24"/>
      <c r="SRD125" s="40"/>
      <c r="SRE125" s="24"/>
      <c r="SRF125" s="40"/>
      <c r="SRG125" s="24"/>
      <c r="SRH125" s="40"/>
      <c r="SRI125" s="24"/>
      <c r="SRJ125" s="40"/>
      <c r="SRK125" s="24"/>
      <c r="SRL125" s="40"/>
      <c r="SRM125" s="24"/>
      <c r="SRN125" s="40"/>
      <c r="SRO125" s="24"/>
      <c r="SRP125" s="40"/>
      <c r="SRQ125" s="24"/>
      <c r="SRR125" s="40"/>
      <c r="SRS125" s="24"/>
      <c r="SRT125" s="40"/>
      <c r="SRU125" s="24"/>
      <c r="SRV125" s="40"/>
      <c r="SRW125" s="24"/>
      <c r="SRX125" s="40"/>
      <c r="SRY125" s="24"/>
      <c r="SRZ125" s="40"/>
      <c r="SSA125" s="24"/>
      <c r="SSB125" s="40"/>
      <c r="SSC125" s="24"/>
      <c r="SSD125" s="40"/>
      <c r="SSE125" s="24"/>
      <c r="SSF125" s="40"/>
      <c r="SSG125" s="24"/>
      <c r="SSH125" s="40"/>
      <c r="SSI125" s="24"/>
      <c r="SSJ125" s="40"/>
      <c r="SSK125" s="24"/>
      <c r="SSL125" s="40"/>
      <c r="SSM125" s="24"/>
      <c r="SSN125" s="40"/>
      <c r="SSO125" s="24"/>
      <c r="SSP125" s="40"/>
      <c r="SSQ125" s="24"/>
      <c r="SSR125" s="40"/>
      <c r="SSS125" s="24"/>
      <c r="SST125" s="40"/>
      <c r="SSU125" s="24"/>
      <c r="SSV125" s="40"/>
      <c r="SSW125" s="24"/>
      <c r="SSX125" s="40"/>
      <c r="SSY125" s="24"/>
      <c r="SSZ125" s="40"/>
      <c r="STA125" s="24"/>
      <c r="STB125" s="40"/>
      <c r="STC125" s="24"/>
      <c r="STD125" s="40"/>
      <c r="STE125" s="24"/>
      <c r="STF125" s="40"/>
      <c r="STG125" s="24"/>
      <c r="STH125" s="40"/>
      <c r="STI125" s="24"/>
      <c r="STJ125" s="40"/>
      <c r="STK125" s="24"/>
      <c r="STL125" s="40"/>
      <c r="STM125" s="24"/>
      <c r="STN125" s="40"/>
      <c r="STO125" s="24"/>
      <c r="STP125" s="40"/>
      <c r="STQ125" s="24"/>
      <c r="STR125" s="40"/>
      <c r="STS125" s="24"/>
      <c r="STT125" s="40"/>
      <c r="STU125" s="24"/>
      <c r="STV125" s="40"/>
      <c r="STW125" s="24"/>
      <c r="STX125" s="40"/>
      <c r="STY125" s="24"/>
      <c r="STZ125" s="40"/>
      <c r="SUA125" s="24"/>
      <c r="SUB125" s="40"/>
      <c r="SUC125" s="24"/>
      <c r="SUD125" s="40"/>
      <c r="SUE125" s="24"/>
      <c r="SUF125" s="40"/>
      <c r="SUG125" s="24"/>
      <c r="SUH125" s="40"/>
      <c r="SUI125" s="24"/>
      <c r="SUJ125" s="40"/>
      <c r="SUK125" s="24"/>
      <c r="SUL125" s="40"/>
      <c r="SUM125" s="24"/>
      <c r="SUN125" s="40"/>
      <c r="SUO125" s="24"/>
      <c r="SUP125" s="40"/>
      <c r="SUQ125" s="24"/>
      <c r="SUR125" s="40"/>
      <c r="SUS125" s="24"/>
      <c r="SUT125" s="40"/>
      <c r="SUU125" s="24"/>
      <c r="SUV125" s="40"/>
      <c r="SUW125" s="24"/>
      <c r="SUX125" s="40"/>
      <c r="SUY125" s="24"/>
      <c r="SUZ125" s="40"/>
      <c r="SVA125" s="24"/>
      <c r="SVB125" s="40"/>
      <c r="SVC125" s="24"/>
      <c r="SVD125" s="40"/>
      <c r="SVE125" s="24"/>
      <c r="SVF125" s="40"/>
      <c r="SVG125" s="24"/>
      <c r="SVH125" s="40"/>
      <c r="SVI125" s="24"/>
      <c r="SVJ125" s="40"/>
      <c r="SVK125" s="24"/>
      <c r="SVL125" s="40"/>
      <c r="SVM125" s="24"/>
      <c r="SVN125" s="40"/>
      <c r="SVO125" s="24"/>
      <c r="SVP125" s="40"/>
      <c r="SVQ125" s="24"/>
      <c r="SVR125" s="40"/>
      <c r="SVS125" s="24"/>
      <c r="SVT125" s="40"/>
      <c r="SVU125" s="24"/>
      <c r="SVV125" s="40"/>
      <c r="SVW125" s="24"/>
      <c r="SVX125" s="40"/>
      <c r="SVY125" s="24"/>
      <c r="SVZ125" s="40"/>
      <c r="SWA125" s="24"/>
      <c r="SWB125" s="40"/>
      <c r="SWC125" s="24"/>
      <c r="SWD125" s="40"/>
      <c r="SWE125" s="24"/>
      <c r="SWF125" s="40"/>
      <c r="SWG125" s="24"/>
      <c r="SWH125" s="40"/>
      <c r="SWI125" s="24"/>
      <c r="SWJ125" s="40"/>
      <c r="SWK125" s="24"/>
      <c r="SWL125" s="40"/>
      <c r="SWM125" s="24"/>
      <c r="SWN125" s="40"/>
      <c r="SWO125" s="24"/>
      <c r="SWP125" s="40"/>
      <c r="SWQ125" s="24"/>
      <c r="SWR125" s="40"/>
      <c r="SWS125" s="24"/>
      <c r="SWT125" s="40"/>
      <c r="SWU125" s="24"/>
      <c r="SWV125" s="40"/>
      <c r="SWW125" s="24"/>
      <c r="SWX125" s="40"/>
      <c r="SWY125" s="24"/>
      <c r="SWZ125" s="40"/>
      <c r="SXA125" s="24"/>
      <c r="SXB125" s="40"/>
      <c r="SXC125" s="24"/>
      <c r="SXD125" s="40"/>
      <c r="SXE125" s="24"/>
      <c r="SXF125" s="40"/>
      <c r="SXG125" s="24"/>
      <c r="SXH125" s="40"/>
      <c r="SXI125" s="24"/>
      <c r="SXJ125" s="40"/>
      <c r="SXK125" s="24"/>
      <c r="SXL125" s="40"/>
      <c r="SXM125" s="24"/>
      <c r="SXN125" s="40"/>
      <c r="SXO125" s="24"/>
      <c r="SXP125" s="40"/>
      <c r="SXQ125" s="24"/>
      <c r="SXR125" s="40"/>
      <c r="SXS125" s="24"/>
      <c r="SXT125" s="40"/>
      <c r="SXU125" s="24"/>
      <c r="SXV125" s="40"/>
      <c r="SXW125" s="24"/>
      <c r="SXX125" s="40"/>
      <c r="SXY125" s="24"/>
      <c r="SXZ125" s="40"/>
      <c r="SYA125" s="24"/>
      <c r="SYB125" s="40"/>
      <c r="SYC125" s="24"/>
      <c r="SYD125" s="40"/>
      <c r="SYE125" s="24"/>
      <c r="SYF125" s="40"/>
      <c r="SYG125" s="24"/>
      <c r="SYH125" s="40"/>
      <c r="SYI125" s="24"/>
      <c r="SYJ125" s="40"/>
      <c r="SYK125" s="24"/>
      <c r="SYL125" s="40"/>
      <c r="SYM125" s="24"/>
      <c r="SYN125" s="40"/>
      <c r="SYO125" s="24"/>
      <c r="SYP125" s="40"/>
      <c r="SYQ125" s="24"/>
      <c r="SYR125" s="40"/>
      <c r="SYS125" s="24"/>
      <c r="SYT125" s="40"/>
      <c r="SYU125" s="24"/>
      <c r="SYV125" s="40"/>
      <c r="SYW125" s="24"/>
      <c r="SYX125" s="40"/>
      <c r="SYY125" s="24"/>
      <c r="SYZ125" s="40"/>
      <c r="SZA125" s="24"/>
      <c r="SZB125" s="40"/>
      <c r="SZC125" s="24"/>
      <c r="SZD125" s="40"/>
      <c r="SZE125" s="24"/>
      <c r="SZF125" s="40"/>
      <c r="SZG125" s="24"/>
      <c r="SZH125" s="40"/>
      <c r="SZI125" s="24"/>
      <c r="SZJ125" s="40"/>
      <c r="SZK125" s="24"/>
      <c r="SZL125" s="40"/>
      <c r="SZM125" s="24"/>
      <c r="SZN125" s="40"/>
      <c r="SZO125" s="24"/>
      <c r="SZP125" s="40"/>
      <c r="SZQ125" s="24"/>
      <c r="SZR125" s="40"/>
      <c r="SZS125" s="24"/>
      <c r="SZT125" s="40"/>
      <c r="SZU125" s="24"/>
      <c r="SZV125" s="40"/>
      <c r="SZW125" s="24"/>
      <c r="SZX125" s="40"/>
      <c r="SZY125" s="24"/>
      <c r="SZZ125" s="40"/>
      <c r="TAA125" s="24"/>
      <c r="TAB125" s="40"/>
      <c r="TAC125" s="24"/>
      <c r="TAD125" s="40"/>
      <c r="TAE125" s="24"/>
      <c r="TAF125" s="40"/>
      <c r="TAG125" s="24"/>
      <c r="TAH125" s="40"/>
      <c r="TAI125" s="24"/>
      <c r="TAJ125" s="40"/>
      <c r="TAK125" s="24"/>
      <c r="TAL125" s="40"/>
      <c r="TAM125" s="24"/>
      <c r="TAN125" s="40"/>
      <c r="TAO125" s="24"/>
      <c r="TAP125" s="40"/>
      <c r="TAQ125" s="24"/>
      <c r="TAR125" s="40"/>
      <c r="TAS125" s="24"/>
      <c r="TAT125" s="40"/>
      <c r="TAU125" s="24"/>
      <c r="TAV125" s="40"/>
      <c r="TAW125" s="24"/>
      <c r="TAX125" s="40"/>
      <c r="TAY125" s="24"/>
      <c r="TAZ125" s="40"/>
      <c r="TBA125" s="24"/>
      <c r="TBB125" s="40"/>
      <c r="TBC125" s="24"/>
      <c r="TBD125" s="40"/>
      <c r="TBE125" s="24"/>
      <c r="TBF125" s="40"/>
      <c r="TBG125" s="24"/>
      <c r="TBH125" s="40"/>
      <c r="TBI125" s="24"/>
      <c r="TBJ125" s="40"/>
      <c r="TBK125" s="24"/>
      <c r="TBL125" s="40"/>
      <c r="TBM125" s="24"/>
      <c r="TBN125" s="40"/>
      <c r="TBO125" s="24"/>
      <c r="TBP125" s="40"/>
      <c r="TBQ125" s="24"/>
      <c r="TBR125" s="40"/>
      <c r="TBS125" s="24"/>
      <c r="TBT125" s="40"/>
      <c r="TBU125" s="24"/>
      <c r="TBV125" s="40"/>
      <c r="TBW125" s="24"/>
      <c r="TBX125" s="40"/>
      <c r="TBY125" s="24"/>
      <c r="TBZ125" s="40"/>
      <c r="TCA125" s="24"/>
      <c r="TCB125" s="40"/>
      <c r="TCC125" s="24"/>
      <c r="TCD125" s="40"/>
      <c r="TCE125" s="24"/>
      <c r="TCF125" s="40"/>
      <c r="TCG125" s="24"/>
      <c r="TCH125" s="40"/>
      <c r="TCI125" s="24"/>
      <c r="TCJ125" s="40"/>
      <c r="TCK125" s="24"/>
      <c r="TCL125" s="40"/>
      <c r="TCM125" s="24"/>
      <c r="TCN125" s="40"/>
      <c r="TCO125" s="24"/>
      <c r="TCP125" s="40"/>
      <c r="TCQ125" s="24"/>
      <c r="TCR125" s="40"/>
      <c r="TCS125" s="24"/>
      <c r="TCT125" s="40"/>
      <c r="TCU125" s="24"/>
      <c r="TCV125" s="40"/>
      <c r="TCW125" s="24"/>
      <c r="TCX125" s="40"/>
      <c r="TCY125" s="24"/>
      <c r="TCZ125" s="40"/>
      <c r="TDA125" s="24"/>
      <c r="TDB125" s="40"/>
      <c r="TDC125" s="24"/>
      <c r="TDD125" s="40"/>
      <c r="TDE125" s="24"/>
      <c r="TDF125" s="40"/>
      <c r="TDG125" s="24"/>
      <c r="TDH125" s="40"/>
      <c r="TDI125" s="24"/>
      <c r="TDJ125" s="40"/>
      <c r="TDK125" s="24"/>
      <c r="TDL125" s="40"/>
      <c r="TDM125" s="24"/>
      <c r="TDN125" s="40"/>
      <c r="TDO125" s="24"/>
      <c r="TDP125" s="40"/>
      <c r="TDQ125" s="24"/>
      <c r="TDR125" s="40"/>
      <c r="TDS125" s="24"/>
      <c r="TDT125" s="40"/>
      <c r="TDU125" s="24"/>
      <c r="TDV125" s="40"/>
      <c r="TDW125" s="24"/>
      <c r="TDX125" s="40"/>
      <c r="TDY125" s="24"/>
      <c r="TDZ125" s="40"/>
      <c r="TEA125" s="24"/>
      <c r="TEB125" s="40"/>
      <c r="TEC125" s="24"/>
      <c r="TED125" s="40"/>
      <c r="TEE125" s="24"/>
      <c r="TEF125" s="40"/>
      <c r="TEG125" s="24"/>
      <c r="TEH125" s="40"/>
      <c r="TEI125" s="24"/>
      <c r="TEJ125" s="40"/>
      <c r="TEK125" s="24"/>
      <c r="TEL125" s="40"/>
      <c r="TEM125" s="24"/>
      <c r="TEN125" s="40"/>
      <c r="TEO125" s="24"/>
      <c r="TEP125" s="40"/>
      <c r="TEQ125" s="24"/>
      <c r="TER125" s="40"/>
      <c r="TES125" s="24"/>
      <c r="TET125" s="40"/>
      <c r="TEU125" s="24"/>
      <c r="TEV125" s="40"/>
      <c r="TEW125" s="24"/>
      <c r="TEX125" s="40"/>
      <c r="TEY125" s="24"/>
      <c r="TEZ125" s="40"/>
      <c r="TFA125" s="24"/>
      <c r="TFB125" s="40"/>
      <c r="TFC125" s="24"/>
      <c r="TFD125" s="40"/>
      <c r="TFE125" s="24"/>
      <c r="TFF125" s="40"/>
      <c r="TFG125" s="24"/>
      <c r="TFH125" s="40"/>
      <c r="TFI125" s="24"/>
      <c r="TFJ125" s="40"/>
      <c r="TFK125" s="24"/>
      <c r="TFL125" s="40"/>
      <c r="TFM125" s="24"/>
      <c r="TFN125" s="40"/>
      <c r="TFO125" s="24"/>
      <c r="TFP125" s="40"/>
      <c r="TFQ125" s="24"/>
      <c r="TFR125" s="40"/>
      <c r="TFS125" s="24"/>
      <c r="TFT125" s="40"/>
      <c r="TFU125" s="24"/>
      <c r="TFV125" s="40"/>
      <c r="TFW125" s="24"/>
      <c r="TFX125" s="40"/>
      <c r="TFY125" s="24"/>
      <c r="TFZ125" s="40"/>
      <c r="TGA125" s="24"/>
      <c r="TGB125" s="40"/>
      <c r="TGC125" s="24"/>
      <c r="TGD125" s="40"/>
      <c r="TGE125" s="24"/>
      <c r="TGF125" s="40"/>
      <c r="TGG125" s="24"/>
      <c r="TGH125" s="40"/>
      <c r="TGI125" s="24"/>
      <c r="TGJ125" s="40"/>
      <c r="TGK125" s="24"/>
      <c r="TGL125" s="40"/>
      <c r="TGM125" s="24"/>
      <c r="TGN125" s="40"/>
      <c r="TGO125" s="24"/>
      <c r="TGP125" s="40"/>
      <c r="TGQ125" s="24"/>
      <c r="TGR125" s="40"/>
      <c r="TGS125" s="24"/>
      <c r="TGT125" s="40"/>
      <c r="TGU125" s="24"/>
      <c r="TGV125" s="40"/>
      <c r="TGW125" s="24"/>
      <c r="TGX125" s="40"/>
      <c r="TGY125" s="24"/>
      <c r="TGZ125" s="40"/>
      <c r="THA125" s="24"/>
      <c r="THB125" s="40"/>
      <c r="THC125" s="24"/>
      <c r="THD125" s="40"/>
      <c r="THE125" s="24"/>
      <c r="THF125" s="40"/>
      <c r="THG125" s="24"/>
      <c r="THH125" s="40"/>
      <c r="THI125" s="24"/>
      <c r="THJ125" s="40"/>
      <c r="THK125" s="24"/>
      <c r="THL125" s="40"/>
      <c r="THM125" s="24"/>
      <c r="THN125" s="40"/>
      <c r="THO125" s="24"/>
      <c r="THP125" s="40"/>
      <c r="THQ125" s="24"/>
      <c r="THR125" s="40"/>
      <c r="THS125" s="24"/>
      <c r="THT125" s="40"/>
      <c r="THU125" s="24"/>
      <c r="THV125" s="40"/>
      <c r="THW125" s="24"/>
      <c r="THX125" s="40"/>
      <c r="THY125" s="24"/>
      <c r="THZ125" s="40"/>
      <c r="TIA125" s="24"/>
      <c r="TIB125" s="40"/>
      <c r="TIC125" s="24"/>
      <c r="TID125" s="40"/>
      <c r="TIE125" s="24"/>
      <c r="TIF125" s="40"/>
      <c r="TIG125" s="24"/>
      <c r="TIH125" s="40"/>
      <c r="TII125" s="24"/>
      <c r="TIJ125" s="40"/>
      <c r="TIK125" s="24"/>
      <c r="TIL125" s="40"/>
      <c r="TIM125" s="24"/>
      <c r="TIN125" s="40"/>
      <c r="TIO125" s="24"/>
      <c r="TIP125" s="40"/>
      <c r="TIQ125" s="24"/>
      <c r="TIR125" s="40"/>
      <c r="TIS125" s="24"/>
      <c r="TIT125" s="40"/>
      <c r="TIU125" s="24"/>
      <c r="TIV125" s="40"/>
      <c r="TIW125" s="24"/>
      <c r="TIX125" s="40"/>
      <c r="TIY125" s="24"/>
      <c r="TIZ125" s="40"/>
      <c r="TJA125" s="24"/>
      <c r="TJB125" s="40"/>
      <c r="TJC125" s="24"/>
      <c r="TJD125" s="40"/>
      <c r="TJE125" s="24"/>
      <c r="TJF125" s="40"/>
      <c r="TJG125" s="24"/>
      <c r="TJH125" s="40"/>
      <c r="TJI125" s="24"/>
      <c r="TJJ125" s="40"/>
      <c r="TJK125" s="24"/>
      <c r="TJL125" s="40"/>
      <c r="TJM125" s="24"/>
      <c r="TJN125" s="40"/>
      <c r="TJO125" s="24"/>
      <c r="TJP125" s="40"/>
      <c r="TJQ125" s="24"/>
      <c r="TJR125" s="40"/>
      <c r="TJS125" s="24"/>
      <c r="TJT125" s="40"/>
      <c r="TJU125" s="24"/>
      <c r="TJV125" s="40"/>
      <c r="TJW125" s="24"/>
      <c r="TJX125" s="40"/>
      <c r="TJY125" s="24"/>
      <c r="TJZ125" s="40"/>
      <c r="TKA125" s="24"/>
      <c r="TKB125" s="40"/>
      <c r="TKC125" s="24"/>
      <c r="TKD125" s="40"/>
      <c r="TKE125" s="24"/>
      <c r="TKF125" s="40"/>
      <c r="TKG125" s="24"/>
      <c r="TKH125" s="40"/>
      <c r="TKI125" s="24"/>
      <c r="TKJ125" s="40"/>
      <c r="TKK125" s="24"/>
      <c r="TKL125" s="40"/>
      <c r="TKM125" s="24"/>
      <c r="TKN125" s="40"/>
      <c r="TKO125" s="24"/>
      <c r="TKP125" s="40"/>
      <c r="TKQ125" s="24"/>
      <c r="TKR125" s="40"/>
      <c r="TKS125" s="24"/>
      <c r="TKT125" s="40"/>
      <c r="TKU125" s="24"/>
      <c r="TKV125" s="40"/>
      <c r="TKW125" s="24"/>
      <c r="TKX125" s="40"/>
      <c r="TKY125" s="24"/>
      <c r="TKZ125" s="40"/>
      <c r="TLA125" s="24"/>
      <c r="TLB125" s="40"/>
      <c r="TLC125" s="24"/>
      <c r="TLD125" s="40"/>
      <c r="TLE125" s="24"/>
      <c r="TLF125" s="40"/>
      <c r="TLG125" s="24"/>
      <c r="TLH125" s="40"/>
      <c r="TLI125" s="24"/>
      <c r="TLJ125" s="40"/>
      <c r="TLK125" s="24"/>
      <c r="TLL125" s="40"/>
      <c r="TLM125" s="24"/>
      <c r="TLN125" s="40"/>
      <c r="TLO125" s="24"/>
      <c r="TLP125" s="40"/>
      <c r="TLQ125" s="24"/>
      <c r="TLR125" s="40"/>
      <c r="TLS125" s="24"/>
      <c r="TLT125" s="40"/>
      <c r="TLU125" s="24"/>
      <c r="TLV125" s="40"/>
      <c r="TLW125" s="24"/>
      <c r="TLX125" s="40"/>
      <c r="TLY125" s="24"/>
      <c r="TLZ125" s="40"/>
      <c r="TMA125" s="24"/>
      <c r="TMB125" s="40"/>
      <c r="TMC125" s="24"/>
      <c r="TMD125" s="40"/>
      <c r="TME125" s="24"/>
      <c r="TMF125" s="40"/>
      <c r="TMG125" s="24"/>
      <c r="TMH125" s="40"/>
      <c r="TMI125" s="24"/>
      <c r="TMJ125" s="40"/>
      <c r="TMK125" s="24"/>
      <c r="TML125" s="40"/>
      <c r="TMM125" s="24"/>
      <c r="TMN125" s="40"/>
      <c r="TMO125" s="24"/>
      <c r="TMP125" s="40"/>
      <c r="TMQ125" s="24"/>
      <c r="TMR125" s="40"/>
      <c r="TMS125" s="24"/>
      <c r="TMT125" s="40"/>
      <c r="TMU125" s="24"/>
      <c r="TMV125" s="40"/>
      <c r="TMW125" s="24"/>
      <c r="TMX125" s="40"/>
      <c r="TMY125" s="24"/>
      <c r="TMZ125" s="40"/>
      <c r="TNA125" s="24"/>
      <c r="TNB125" s="40"/>
      <c r="TNC125" s="24"/>
      <c r="TND125" s="40"/>
      <c r="TNE125" s="24"/>
      <c r="TNF125" s="40"/>
      <c r="TNG125" s="24"/>
      <c r="TNH125" s="40"/>
      <c r="TNI125" s="24"/>
      <c r="TNJ125" s="40"/>
      <c r="TNK125" s="24"/>
      <c r="TNL125" s="40"/>
      <c r="TNM125" s="24"/>
      <c r="TNN125" s="40"/>
      <c r="TNO125" s="24"/>
      <c r="TNP125" s="40"/>
      <c r="TNQ125" s="24"/>
      <c r="TNR125" s="40"/>
      <c r="TNS125" s="24"/>
      <c r="TNT125" s="40"/>
      <c r="TNU125" s="24"/>
      <c r="TNV125" s="40"/>
      <c r="TNW125" s="24"/>
      <c r="TNX125" s="40"/>
      <c r="TNY125" s="24"/>
      <c r="TNZ125" s="40"/>
      <c r="TOA125" s="24"/>
      <c r="TOB125" s="40"/>
      <c r="TOC125" s="24"/>
      <c r="TOD125" s="40"/>
      <c r="TOE125" s="24"/>
      <c r="TOF125" s="40"/>
      <c r="TOG125" s="24"/>
      <c r="TOH125" s="40"/>
      <c r="TOI125" s="24"/>
      <c r="TOJ125" s="40"/>
      <c r="TOK125" s="24"/>
      <c r="TOL125" s="40"/>
      <c r="TOM125" s="24"/>
      <c r="TON125" s="40"/>
      <c r="TOO125" s="24"/>
      <c r="TOP125" s="40"/>
      <c r="TOQ125" s="24"/>
      <c r="TOR125" s="40"/>
      <c r="TOS125" s="24"/>
      <c r="TOT125" s="40"/>
      <c r="TOU125" s="24"/>
      <c r="TOV125" s="40"/>
      <c r="TOW125" s="24"/>
      <c r="TOX125" s="40"/>
      <c r="TOY125" s="24"/>
      <c r="TOZ125" s="40"/>
      <c r="TPA125" s="24"/>
      <c r="TPB125" s="40"/>
      <c r="TPC125" s="24"/>
      <c r="TPD125" s="40"/>
      <c r="TPE125" s="24"/>
      <c r="TPF125" s="40"/>
      <c r="TPG125" s="24"/>
      <c r="TPH125" s="40"/>
      <c r="TPI125" s="24"/>
      <c r="TPJ125" s="40"/>
      <c r="TPK125" s="24"/>
      <c r="TPL125" s="40"/>
      <c r="TPM125" s="24"/>
      <c r="TPN125" s="40"/>
      <c r="TPO125" s="24"/>
      <c r="TPP125" s="40"/>
      <c r="TPQ125" s="24"/>
      <c r="TPR125" s="40"/>
      <c r="TPS125" s="24"/>
      <c r="TPT125" s="40"/>
      <c r="TPU125" s="24"/>
      <c r="TPV125" s="40"/>
      <c r="TPW125" s="24"/>
      <c r="TPX125" s="40"/>
      <c r="TPY125" s="24"/>
      <c r="TPZ125" s="40"/>
      <c r="TQA125" s="24"/>
      <c r="TQB125" s="40"/>
      <c r="TQC125" s="24"/>
      <c r="TQD125" s="40"/>
      <c r="TQE125" s="24"/>
      <c r="TQF125" s="40"/>
      <c r="TQG125" s="24"/>
      <c r="TQH125" s="40"/>
      <c r="TQI125" s="24"/>
      <c r="TQJ125" s="40"/>
      <c r="TQK125" s="24"/>
      <c r="TQL125" s="40"/>
      <c r="TQM125" s="24"/>
      <c r="TQN125" s="40"/>
      <c r="TQO125" s="24"/>
      <c r="TQP125" s="40"/>
      <c r="TQQ125" s="24"/>
      <c r="TQR125" s="40"/>
      <c r="TQS125" s="24"/>
      <c r="TQT125" s="40"/>
      <c r="TQU125" s="24"/>
      <c r="TQV125" s="40"/>
      <c r="TQW125" s="24"/>
      <c r="TQX125" s="40"/>
      <c r="TQY125" s="24"/>
      <c r="TQZ125" s="40"/>
      <c r="TRA125" s="24"/>
      <c r="TRB125" s="40"/>
      <c r="TRC125" s="24"/>
      <c r="TRD125" s="40"/>
      <c r="TRE125" s="24"/>
      <c r="TRF125" s="40"/>
      <c r="TRG125" s="24"/>
      <c r="TRH125" s="40"/>
      <c r="TRI125" s="24"/>
      <c r="TRJ125" s="40"/>
      <c r="TRK125" s="24"/>
      <c r="TRL125" s="40"/>
      <c r="TRM125" s="24"/>
      <c r="TRN125" s="40"/>
      <c r="TRO125" s="24"/>
      <c r="TRP125" s="40"/>
      <c r="TRQ125" s="24"/>
      <c r="TRR125" s="40"/>
      <c r="TRS125" s="24"/>
      <c r="TRT125" s="40"/>
      <c r="TRU125" s="24"/>
      <c r="TRV125" s="40"/>
      <c r="TRW125" s="24"/>
      <c r="TRX125" s="40"/>
      <c r="TRY125" s="24"/>
      <c r="TRZ125" s="40"/>
      <c r="TSA125" s="24"/>
      <c r="TSB125" s="40"/>
      <c r="TSC125" s="24"/>
      <c r="TSD125" s="40"/>
      <c r="TSE125" s="24"/>
      <c r="TSF125" s="40"/>
      <c r="TSG125" s="24"/>
      <c r="TSH125" s="40"/>
      <c r="TSI125" s="24"/>
      <c r="TSJ125" s="40"/>
      <c r="TSK125" s="24"/>
      <c r="TSL125" s="40"/>
      <c r="TSM125" s="24"/>
      <c r="TSN125" s="40"/>
      <c r="TSO125" s="24"/>
      <c r="TSP125" s="40"/>
      <c r="TSQ125" s="24"/>
      <c r="TSR125" s="40"/>
      <c r="TSS125" s="24"/>
      <c r="TST125" s="40"/>
      <c r="TSU125" s="24"/>
      <c r="TSV125" s="40"/>
      <c r="TSW125" s="24"/>
      <c r="TSX125" s="40"/>
      <c r="TSY125" s="24"/>
      <c r="TSZ125" s="40"/>
      <c r="TTA125" s="24"/>
      <c r="TTB125" s="40"/>
      <c r="TTC125" s="24"/>
      <c r="TTD125" s="40"/>
      <c r="TTE125" s="24"/>
      <c r="TTF125" s="40"/>
      <c r="TTG125" s="24"/>
      <c r="TTH125" s="40"/>
      <c r="TTI125" s="24"/>
      <c r="TTJ125" s="40"/>
      <c r="TTK125" s="24"/>
      <c r="TTL125" s="40"/>
      <c r="TTM125" s="24"/>
      <c r="TTN125" s="40"/>
      <c r="TTO125" s="24"/>
      <c r="TTP125" s="40"/>
      <c r="TTQ125" s="24"/>
      <c r="TTR125" s="40"/>
      <c r="TTS125" s="24"/>
      <c r="TTT125" s="40"/>
      <c r="TTU125" s="24"/>
      <c r="TTV125" s="40"/>
      <c r="TTW125" s="24"/>
      <c r="TTX125" s="40"/>
      <c r="TTY125" s="24"/>
      <c r="TTZ125" s="40"/>
      <c r="TUA125" s="24"/>
      <c r="TUB125" s="40"/>
      <c r="TUC125" s="24"/>
      <c r="TUD125" s="40"/>
      <c r="TUE125" s="24"/>
      <c r="TUF125" s="40"/>
      <c r="TUG125" s="24"/>
      <c r="TUH125" s="40"/>
      <c r="TUI125" s="24"/>
      <c r="TUJ125" s="40"/>
      <c r="TUK125" s="24"/>
      <c r="TUL125" s="40"/>
      <c r="TUM125" s="24"/>
      <c r="TUN125" s="40"/>
      <c r="TUO125" s="24"/>
      <c r="TUP125" s="40"/>
      <c r="TUQ125" s="24"/>
      <c r="TUR125" s="40"/>
      <c r="TUS125" s="24"/>
      <c r="TUT125" s="40"/>
      <c r="TUU125" s="24"/>
      <c r="TUV125" s="40"/>
      <c r="TUW125" s="24"/>
      <c r="TUX125" s="40"/>
      <c r="TUY125" s="24"/>
      <c r="TUZ125" s="40"/>
      <c r="TVA125" s="24"/>
      <c r="TVB125" s="40"/>
      <c r="TVC125" s="24"/>
      <c r="TVD125" s="40"/>
      <c r="TVE125" s="24"/>
      <c r="TVF125" s="40"/>
      <c r="TVG125" s="24"/>
      <c r="TVH125" s="40"/>
      <c r="TVI125" s="24"/>
      <c r="TVJ125" s="40"/>
      <c r="TVK125" s="24"/>
      <c r="TVL125" s="40"/>
      <c r="TVM125" s="24"/>
      <c r="TVN125" s="40"/>
      <c r="TVO125" s="24"/>
      <c r="TVP125" s="40"/>
      <c r="TVQ125" s="24"/>
      <c r="TVR125" s="40"/>
      <c r="TVS125" s="24"/>
      <c r="TVT125" s="40"/>
      <c r="TVU125" s="24"/>
      <c r="TVV125" s="40"/>
      <c r="TVW125" s="24"/>
      <c r="TVX125" s="40"/>
      <c r="TVY125" s="24"/>
      <c r="TVZ125" s="40"/>
      <c r="TWA125" s="24"/>
      <c r="TWB125" s="40"/>
      <c r="TWC125" s="24"/>
      <c r="TWD125" s="40"/>
      <c r="TWE125" s="24"/>
      <c r="TWF125" s="40"/>
      <c r="TWG125" s="24"/>
      <c r="TWH125" s="40"/>
      <c r="TWI125" s="24"/>
      <c r="TWJ125" s="40"/>
      <c r="TWK125" s="24"/>
      <c r="TWL125" s="40"/>
      <c r="TWM125" s="24"/>
      <c r="TWN125" s="40"/>
      <c r="TWO125" s="24"/>
      <c r="TWP125" s="40"/>
      <c r="TWQ125" s="24"/>
      <c r="TWR125" s="40"/>
      <c r="TWS125" s="24"/>
      <c r="TWT125" s="40"/>
      <c r="TWU125" s="24"/>
      <c r="TWV125" s="40"/>
      <c r="TWW125" s="24"/>
      <c r="TWX125" s="40"/>
      <c r="TWY125" s="24"/>
      <c r="TWZ125" s="40"/>
      <c r="TXA125" s="24"/>
      <c r="TXB125" s="40"/>
      <c r="TXC125" s="24"/>
      <c r="TXD125" s="40"/>
      <c r="TXE125" s="24"/>
      <c r="TXF125" s="40"/>
      <c r="TXG125" s="24"/>
      <c r="TXH125" s="40"/>
      <c r="TXI125" s="24"/>
      <c r="TXJ125" s="40"/>
      <c r="TXK125" s="24"/>
      <c r="TXL125" s="40"/>
      <c r="TXM125" s="24"/>
      <c r="TXN125" s="40"/>
      <c r="TXO125" s="24"/>
      <c r="TXP125" s="40"/>
      <c r="TXQ125" s="24"/>
      <c r="TXR125" s="40"/>
      <c r="TXS125" s="24"/>
      <c r="TXT125" s="40"/>
      <c r="TXU125" s="24"/>
      <c r="TXV125" s="40"/>
      <c r="TXW125" s="24"/>
      <c r="TXX125" s="40"/>
      <c r="TXY125" s="24"/>
      <c r="TXZ125" s="40"/>
      <c r="TYA125" s="24"/>
      <c r="TYB125" s="40"/>
      <c r="TYC125" s="24"/>
      <c r="TYD125" s="40"/>
      <c r="TYE125" s="24"/>
      <c r="TYF125" s="40"/>
      <c r="TYG125" s="24"/>
      <c r="TYH125" s="40"/>
      <c r="TYI125" s="24"/>
      <c r="TYJ125" s="40"/>
      <c r="TYK125" s="24"/>
      <c r="TYL125" s="40"/>
      <c r="TYM125" s="24"/>
      <c r="TYN125" s="40"/>
      <c r="TYO125" s="24"/>
      <c r="TYP125" s="40"/>
      <c r="TYQ125" s="24"/>
      <c r="TYR125" s="40"/>
      <c r="TYS125" s="24"/>
      <c r="TYT125" s="40"/>
      <c r="TYU125" s="24"/>
      <c r="TYV125" s="40"/>
      <c r="TYW125" s="24"/>
      <c r="TYX125" s="40"/>
      <c r="TYY125" s="24"/>
      <c r="TYZ125" s="40"/>
      <c r="TZA125" s="24"/>
      <c r="TZB125" s="40"/>
      <c r="TZC125" s="24"/>
      <c r="TZD125" s="40"/>
      <c r="TZE125" s="24"/>
      <c r="TZF125" s="40"/>
      <c r="TZG125" s="24"/>
      <c r="TZH125" s="40"/>
      <c r="TZI125" s="24"/>
      <c r="TZJ125" s="40"/>
      <c r="TZK125" s="24"/>
      <c r="TZL125" s="40"/>
      <c r="TZM125" s="24"/>
      <c r="TZN125" s="40"/>
      <c r="TZO125" s="24"/>
      <c r="TZP125" s="40"/>
      <c r="TZQ125" s="24"/>
      <c r="TZR125" s="40"/>
      <c r="TZS125" s="24"/>
      <c r="TZT125" s="40"/>
      <c r="TZU125" s="24"/>
      <c r="TZV125" s="40"/>
      <c r="TZW125" s="24"/>
      <c r="TZX125" s="40"/>
      <c r="TZY125" s="24"/>
      <c r="TZZ125" s="40"/>
      <c r="UAA125" s="24"/>
      <c r="UAB125" s="40"/>
      <c r="UAC125" s="24"/>
      <c r="UAD125" s="40"/>
      <c r="UAE125" s="24"/>
      <c r="UAF125" s="40"/>
      <c r="UAG125" s="24"/>
      <c r="UAH125" s="40"/>
      <c r="UAI125" s="24"/>
      <c r="UAJ125" s="40"/>
      <c r="UAK125" s="24"/>
      <c r="UAL125" s="40"/>
      <c r="UAM125" s="24"/>
      <c r="UAN125" s="40"/>
      <c r="UAO125" s="24"/>
      <c r="UAP125" s="40"/>
      <c r="UAQ125" s="24"/>
      <c r="UAR125" s="40"/>
      <c r="UAS125" s="24"/>
      <c r="UAT125" s="40"/>
      <c r="UAU125" s="24"/>
      <c r="UAV125" s="40"/>
      <c r="UAW125" s="24"/>
      <c r="UAX125" s="40"/>
      <c r="UAY125" s="24"/>
      <c r="UAZ125" s="40"/>
      <c r="UBA125" s="24"/>
      <c r="UBB125" s="40"/>
      <c r="UBC125" s="24"/>
      <c r="UBD125" s="40"/>
      <c r="UBE125" s="24"/>
      <c r="UBF125" s="40"/>
      <c r="UBG125" s="24"/>
      <c r="UBH125" s="40"/>
      <c r="UBI125" s="24"/>
      <c r="UBJ125" s="40"/>
      <c r="UBK125" s="24"/>
      <c r="UBL125" s="40"/>
      <c r="UBM125" s="24"/>
      <c r="UBN125" s="40"/>
      <c r="UBO125" s="24"/>
      <c r="UBP125" s="40"/>
      <c r="UBQ125" s="24"/>
      <c r="UBR125" s="40"/>
      <c r="UBS125" s="24"/>
      <c r="UBT125" s="40"/>
      <c r="UBU125" s="24"/>
      <c r="UBV125" s="40"/>
      <c r="UBW125" s="24"/>
      <c r="UBX125" s="40"/>
      <c r="UBY125" s="24"/>
      <c r="UBZ125" s="40"/>
      <c r="UCA125" s="24"/>
      <c r="UCB125" s="40"/>
      <c r="UCC125" s="24"/>
      <c r="UCD125" s="40"/>
      <c r="UCE125" s="24"/>
      <c r="UCF125" s="40"/>
      <c r="UCG125" s="24"/>
      <c r="UCH125" s="40"/>
      <c r="UCI125" s="24"/>
      <c r="UCJ125" s="40"/>
      <c r="UCK125" s="24"/>
      <c r="UCL125" s="40"/>
      <c r="UCM125" s="24"/>
      <c r="UCN125" s="40"/>
      <c r="UCO125" s="24"/>
      <c r="UCP125" s="40"/>
      <c r="UCQ125" s="24"/>
      <c r="UCR125" s="40"/>
      <c r="UCS125" s="24"/>
      <c r="UCT125" s="40"/>
      <c r="UCU125" s="24"/>
      <c r="UCV125" s="40"/>
      <c r="UCW125" s="24"/>
      <c r="UCX125" s="40"/>
      <c r="UCY125" s="24"/>
      <c r="UCZ125" s="40"/>
      <c r="UDA125" s="24"/>
      <c r="UDB125" s="40"/>
      <c r="UDC125" s="24"/>
      <c r="UDD125" s="40"/>
      <c r="UDE125" s="24"/>
      <c r="UDF125" s="40"/>
      <c r="UDG125" s="24"/>
      <c r="UDH125" s="40"/>
      <c r="UDI125" s="24"/>
      <c r="UDJ125" s="40"/>
      <c r="UDK125" s="24"/>
      <c r="UDL125" s="40"/>
      <c r="UDM125" s="24"/>
      <c r="UDN125" s="40"/>
      <c r="UDO125" s="24"/>
      <c r="UDP125" s="40"/>
      <c r="UDQ125" s="24"/>
      <c r="UDR125" s="40"/>
      <c r="UDS125" s="24"/>
      <c r="UDT125" s="40"/>
      <c r="UDU125" s="24"/>
      <c r="UDV125" s="40"/>
      <c r="UDW125" s="24"/>
      <c r="UDX125" s="40"/>
      <c r="UDY125" s="24"/>
      <c r="UDZ125" s="40"/>
      <c r="UEA125" s="24"/>
      <c r="UEB125" s="40"/>
      <c r="UEC125" s="24"/>
      <c r="UED125" s="40"/>
      <c r="UEE125" s="24"/>
      <c r="UEF125" s="40"/>
      <c r="UEG125" s="24"/>
      <c r="UEH125" s="40"/>
      <c r="UEI125" s="24"/>
      <c r="UEJ125" s="40"/>
      <c r="UEK125" s="24"/>
      <c r="UEL125" s="40"/>
      <c r="UEM125" s="24"/>
      <c r="UEN125" s="40"/>
      <c r="UEO125" s="24"/>
      <c r="UEP125" s="40"/>
      <c r="UEQ125" s="24"/>
      <c r="UER125" s="40"/>
      <c r="UES125" s="24"/>
      <c r="UET125" s="40"/>
      <c r="UEU125" s="24"/>
      <c r="UEV125" s="40"/>
      <c r="UEW125" s="24"/>
      <c r="UEX125" s="40"/>
      <c r="UEY125" s="24"/>
      <c r="UEZ125" s="40"/>
      <c r="UFA125" s="24"/>
      <c r="UFB125" s="40"/>
      <c r="UFC125" s="24"/>
      <c r="UFD125" s="40"/>
      <c r="UFE125" s="24"/>
      <c r="UFF125" s="40"/>
      <c r="UFG125" s="24"/>
      <c r="UFH125" s="40"/>
      <c r="UFI125" s="24"/>
      <c r="UFJ125" s="40"/>
      <c r="UFK125" s="24"/>
      <c r="UFL125" s="40"/>
      <c r="UFM125" s="24"/>
      <c r="UFN125" s="40"/>
      <c r="UFO125" s="24"/>
      <c r="UFP125" s="40"/>
      <c r="UFQ125" s="24"/>
      <c r="UFR125" s="40"/>
      <c r="UFS125" s="24"/>
      <c r="UFT125" s="40"/>
      <c r="UFU125" s="24"/>
      <c r="UFV125" s="40"/>
      <c r="UFW125" s="24"/>
      <c r="UFX125" s="40"/>
      <c r="UFY125" s="24"/>
      <c r="UFZ125" s="40"/>
      <c r="UGA125" s="24"/>
      <c r="UGB125" s="40"/>
      <c r="UGC125" s="24"/>
      <c r="UGD125" s="40"/>
      <c r="UGE125" s="24"/>
      <c r="UGF125" s="40"/>
      <c r="UGG125" s="24"/>
      <c r="UGH125" s="40"/>
      <c r="UGI125" s="24"/>
      <c r="UGJ125" s="40"/>
      <c r="UGK125" s="24"/>
      <c r="UGL125" s="40"/>
      <c r="UGM125" s="24"/>
      <c r="UGN125" s="40"/>
      <c r="UGO125" s="24"/>
      <c r="UGP125" s="40"/>
      <c r="UGQ125" s="24"/>
      <c r="UGR125" s="40"/>
      <c r="UGS125" s="24"/>
      <c r="UGT125" s="40"/>
      <c r="UGU125" s="24"/>
      <c r="UGV125" s="40"/>
      <c r="UGW125" s="24"/>
      <c r="UGX125" s="40"/>
      <c r="UGY125" s="24"/>
      <c r="UGZ125" s="40"/>
      <c r="UHA125" s="24"/>
      <c r="UHB125" s="40"/>
      <c r="UHC125" s="24"/>
      <c r="UHD125" s="40"/>
      <c r="UHE125" s="24"/>
      <c r="UHF125" s="40"/>
      <c r="UHG125" s="24"/>
      <c r="UHH125" s="40"/>
      <c r="UHI125" s="24"/>
      <c r="UHJ125" s="40"/>
      <c r="UHK125" s="24"/>
      <c r="UHL125" s="40"/>
      <c r="UHM125" s="24"/>
      <c r="UHN125" s="40"/>
      <c r="UHO125" s="24"/>
      <c r="UHP125" s="40"/>
      <c r="UHQ125" s="24"/>
      <c r="UHR125" s="40"/>
      <c r="UHS125" s="24"/>
      <c r="UHT125" s="40"/>
      <c r="UHU125" s="24"/>
      <c r="UHV125" s="40"/>
      <c r="UHW125" s="24"/>
      <c r="UHX125" s="40"/>
      <c r="UHY125" s="24"/>
      <c r="UHZ125" s="40"/>
      <c r="UIA125" s="24"/>
      <c r="UIB125" s="40"/>
      <c r="UIC125" s="24"/>
      <c r="UID125" s="40"/>
      <c r="UIE125" s="24"/>
      <c r="UIF125" s="40"/>
      <c r="UIG125" s="24"/>
      <c r="UIH125" s="40"/>
      <c r="UII125" s="24"/>
      <c r="UIJ125" s="40"/>
      <c r="UIK125" s="24"/>
      <c r="UIL125" s="40"/>
      <c r="UIM125" s="24"/>
      <c r="UIN125" s="40"/>
      <c r="UIO125" s="24"/>
      <c r="UIP125" s="40"/>
      <c r="UIQ125" s="24"/>
      <c r="UIR125" s="40"/>
      <c r="UIS125" s="24"/>
      <c r="UIT125" s="40"/>
      <c r="UIU125" s="24"/>
      <c r="UIV125" s="40"/>
      <c r="UIW125" s="24"/>
      <c r="UIX125" s="40"/>
      <c r="UIY125" s="24"/>
      <c r="UIZ125" s="40"/>
      <c r="UJA125" s="24"/>
      <c r="UJB125" s="40"/>
      <c r="UJC125" s="24"/>
      <c r="UJD125" s="40"/>
      <c r="UJE125" s="24"/>
      <c r="UJF125" s="40"/>
      <c r="UJG125" s="24"/>
      <c r="UJH125" s="40"/>
      <c r="UJI125" s="24"/>
      <c r="UJJ125" s="40"/>
      <c r="UJK125" s="24"/>
      <c r="UJL125" s="40"/>
      <c r="UJM125" s="24"/>
      <c r="UJN125" s="40"/>
      <c r="UJO125" s="24"/>
      <c r="UJP125" s="40"/>
      <c r="UJQ125" s="24"/>
      <c r="UJR125" s="40"/>
      <c r="UJS125" s="24"/>
      <c r="UJT125" s="40"/>
      <c r="UJU125" s="24"/>
      <c r="UJV125" s="40"/>
      <c r="UJW125" s="24"/>
      <c r="UJX125" s="40"/>
      <c r="UJY125" s="24"/>
      <c r="UJZ125" s="40"/>
      <c r="UKA125" s="24"/>
      <c r="UKB125" s="40"/>
      <c r="UKC125" s="24"/>
      <c r="UKD125" s="40"/>
      <c r="UKE125" s="24"/>
      <c r="UKF125" s="40"/>
      <c r="UKG125" s="24"/>
      <c r="UKH125" s="40"/>
      <c r="UKI125" s="24"/>
      <c r="UKJ125" s="40"/>
      <c r="UKK125" s="24"/>
      <c r="UKL125" s="40"/>
      <c r="UKM125" s="24"/>
      <c r="UKN125" s="40"/>
      <c r="UKO125" s="24"/>
      <c r="UKP125" s="40"/>
      <c r="UKQ125" s="24"/>
      <c r="UKR125" s="40"/>
      <c r="UKS125" s="24"/>
      <c r="UKT125" s="40"/>
      <c r="UKU125" s="24"/>
      <c r="UKV125" s="40"/>
      <c r="UKW125" s="24"/>
      <c r="UKX125" s="40"/>
      <c r="UKY125" s="24"/>
      <c r="UKZ125" s="40"/>
      <c r="ULA125" s="24"/>
      <c r="ULB125" s="40"/>
      <c r="ULC125" s="24"/>
      <c r="ULD125" s="40"/>
      <c r="ULE125" s="24"/>
      <c r="ULF125" s="40"/>
      <c r="ULG125" s="24"/>
      <c r="ULH125" s="40"/>
      <c r="ULI125" s="24"/>
      <c r="ULJ125" s="40"/>
      <c r="ULK125" s="24"/>
      <c r="ULL125" s="40"/>
      <c r="ULM125" s="24"/>
      <c r="ULN125" s="40"/>
      <c r="ULO125" s="24"/>
      <c r="ULP125" s="40"/>
      <c r="ULQ125" s="24"/>
      <c r="ULR125" s="40"/>
      <c r="ULS125" s="24"/>
      <c r="ULT125" s="40"/>
      <c r="ULU125" s="24"/>
      <c r="ULV125" s="40"/>
      <c r="ULW125" s="24"/>
      <c r="ULX125" s="40"/>
      <c r="ULY125" s="24"/>
      <c r="ULZ125" s="40"/>
      <c r="UMA125" s="24"/>
      <c r="UMB125" s="40"/>
      <c r="UMC125" s="24"/>
      <c r="UMD125" s="40"/>
      <c r="UME125" s="24"/>
      <c r="UMF125" s="40"/>
      <c r="UMG125" s="24"/>
      <c r="UMH125" s="40"/>
      <c r="UMI125" s="24"/>
      <c r="UMJ125" s="40"/>
      <c r="UMK125" s="24"/>
      <c r="UML125" s="40"/>
      <c r="UMM125" s="24"/>
      <c r="UMN125" s="40"/>
      <c r="UMO125" s="24"/>
      <c r="UMP125" s="40"/>
      <c r="UMQ125" s="24"/>
      <c r="UMR125" s="40"/>
      <c r="UMS125" s="24"/>
      <c r="UMT125" s="40"/>
      <c r="UMU125" s="24"/>
      <c r="UMV125" s="40"/>
      <c r="UMW125" s="24"/>
      <c r="UMX125" s="40"/>
      <c r="UMY125" s="24"/>
      <c r="UMZ125" s="40"/>
      <c r="UNA125" s="24"/>
      <c r="UNB125" s="40"/>
      <c r="UNC125" s="24"/>
      <c r="UND125" s="40"/>
      <c r="UNE125" s="24"/>
      <c r="UNF125" s="40"/>
      <c r="UNG125" s="24"/>
      <c r="UNH125" s="40"/>
      <c r="UNI125" s="24"/>
      <c r="UNJ125" s="40"/>
      <c r="UNK125" s="24"/>
      <c r="UNL125" s="40"/>
      <c r="UNM125" s="24"/>
      <c r="UNN125" s="40"/>
      <c r="UNO125" s="24"/>
      <c r="UNP125" s="40"/>
      <c r="UNQ125" s="24"/>
      <c r="UNR125" s="40"/>
      <c r="UNS125" s="24"/>
      <c r="UNT125" s="40"/>
      <c r="UNU125" s="24"/>
      <c r="UNV125" s="40"/>
      <c r="UNW125" s="24"/>
      <c r="UNX125" s="40"/>
      <c r="UNY125" s="24"/>
      <c r="UNZ125" s="40"/>
      <c r="UOA125" s="24"/>
      <c r="UOB125" s="40"/>
      <c r="UOC125" s="24"/>
      <c r="UOD125" s="40"/>
      <c r="UOE125" s="24"/>
      <c r="UOF125" s="40"/>
      <c r="UOG125" s="24"/>
      <c r="UOH125" s="40"/>
      <c r="UOI125" s="24"/>
      <c r="UOJ125" s="40"/>
      <c r="UOK125" s="24"/>
      <c r="UOL125" s="40"/>
      <c r="UOM125" s="24"/>
      <c r="UON125" s="40"/>
      <c r="UOO125" s="24"/>
      <c r="UOP125" s="40"/>
      <c r="UOQ125" s="24"/>
      <c r="UOR125" s="40"/>
      <c r="UOS125" s="24"/>
      <c r="UOT125" s="40"/>
      <c r="UOU125" s="24"/>
      <c r="UOV125" s="40"/>
      <c r="UOW125" s="24"/>
      <c r="UOX125" s="40"/>
      <c r="UOY125" s="24"/>
      <c r="UOZ125" s="40"/>
      <c r="UPA125" s="24"/>
      <c r="UPB125" s="40"/>
      <c r="UPC125" s="24"/>
      <c r="UPD125" s="40"/>
      <c r="UPE125" s="24"/>
      <c r="UPF125" s="40"/>
      <c r="UPG125" s="24"/>
      <c r="UPH125" s="40"/>
      <c r="UPI125" s="24"/>
      <c r="UPJ125" s="40"/>
      <c r="UPK125" s="24"/>
      <c r="UPL125" s="40"/>
      <c r="UPM125" s="24"/>
      <c r="UPN125" s="40"/>
      <c r="UPO125" s="24"/>
      <c r="UPP125" s="40"/>
      <c r="UPQ125" s="24"/>
      <c r="UPR125" s="40"/>
      <c r="UPS125" s="24"/>
      <c r="UPT125" s="40"/>
      <c r="UPU125" s="24"/>
      <c r="UPV125" s="40"/>
      <c r="UPW125" s="24"/>
      <c r="UPX125" s="40"/>
      <c r="UPY125" s="24"/>
      <c r="UPZ125" s="40"/>
      <c r="UQA125" s="24"/>
      <c r="UQB125" s="40"/>
      <c r="UQC125" s="24"/>
      <c r="UQD125" s="40"/>
      <c r="UQE125" s="24"/>
      <c r="UQF125" s="40"/>
      <c r="UQG125" s="24"/>
      <c r="UQH125" s="40"/>
      <c r="UQI125" s="24"/>
      <c r="UQJ125" s="40"/>
      <c r="UQK125" s="24"/>
      <c r="UQL125" s="40"/>
      <c r="UQM125" s="24"/>
      <c r="UQN125" s="40"/>
      <c r="UQO125" s="24"/>
      <c r="UQP125" s="40"/>
      <c r="UQQ125" s="24"/>
      <c r="UQR125" s="40"/>
      <c r="UQS125" s="24"/>
      <c r="UQT125" s="40"/>
      <c r="UQU125" s="24"/>
      <c r="UQV125" s="40"/>
      <c r="UQW125" s="24"/>
      <c r="UQX125" s="40"/>
      <c r="UQY125" s="24"/>
      <c r="UQZ125" s="40"/>
      <c r="URA125" s="24"/>
      <c r="URB125" s="40"/>
      <c r="URC125" s="24"/>
      <c r="URD125" s="40"/>
      <c r="URE125" s="24"/>
      <c r="URF125" s="40"/>
      <c r="URG125" s="24"/>
      <c r="URH125" s="40"/>
      <c r="URI125" s="24"/>
      <c r="URJ125" s="40"/>
      <c r="URK125" s="24"/>
      <c r="URL125" s="40"/>
      <c r="URM125" s="24"/>
      <c r="URN125" s="40"/>
      <c r="URO125" s="24"/>
      <c r="URP125" s="40"/>
      <c r="URQ125" s="24"/>
      <c r="URR125" s="40"/>
      <c r="URS125" s="24"/>
      <c r="URT125" s="40"/>
      <c r="URU125" s="24"/>
      <c r="URV125" s="40"/>
      <c r="URW125" s="24"/>
      <c r="URX125" s="40"/>
      <c r="URY125" s="24"/>
      <c r="URZ125" s="40"/>
      <c r="USA125" s="24"/>
      <c r="USB125" s="40"/>
      <c r="USC125" s="24"/>
      <c r="USD125" s="40"/>
      <c r="USE125" s="24"/>
      <c r="USF125" s="40"/>
      <c r="USG125" s="24"/>
      <c r="USH125" s="40"/>
      <c r="USI125" s="24"/>
      <c r="USJ125" s="40"/>
      <c r="USK125" s="24"/>
      <c r="USL125" s="40"/>
      <c r="USM125" s="24"/>
      <c r="USN125" s="40"/>
      <c r="USO125" s="24"/>
      <c r="USP125" s="40"/>
      <c r="USQ125" s="24"/>
      <c r="USR125" s="40"/>
      <c r="USS125" s="24"/>
      <c r="UST125" s="40"/>
      <c r="USU125" s="24"/>
      <c r="USV125" s="40"/>
      <c r="USW125" s="24"/>
      <c r="USX125" s="40"/>
      <c r="USY125" s="24"/>
      <c r="USZ125" s="40"/>
      <c r="UTA125" s="24"/>
      <c r="UTB125" s="40"/>
      <c r="UTC125" s="24"/>
      <c r="UTD125" s="40"/>
      <c r="UTE125" s="24"/>
      <c r="UTF125" s="40"/>
      <c r="UTG125" s="24"/>
      <c r="UTH125" s="40"/>
      <c r="UTI125" s="24"/>
      <c r="UTJ125" s="40"/>
      <c r="UTK125" s="24"/>
      <c r="UTL125" s="40"/>
      <c r="UTM125" s="24"/>
      <c r="UTN125" s="40"/>
      <c r="UTO125" s="24"/>
      <c r="UTP125" s="40"/>
      <c r="UTQ125" s="24"/>
      <c r="UTR125" s="40"/>
      <c r="UTS125" s="24"/>
      <c r="UTT125" s="40"/>
      <c r="UTU125" s="24"/>
      <c r="UTV125" s="40"/>
      <c r="UTW125" s="24"/>
      <c r="UTX125" s="40"/>
      <c r="UTY125" s="24"/>
      <c r="UTZ125" s="40"/>
      <c r="UUA125" s="24"/>
      <c r="UUB125" s="40"/>
      <c r="UUC125" s="24"/>
      <c r="UUD125" s="40"/>
      <c r="UUE125" s="24"/>
      <c r="UUF125" s="40"/>
      <c r="UUG125" s="24"/>
      <c r="UUH125" s="40"/>
      <c r="UUI125" s="24"/>
      <c r="UUJ125" s="40"/>
      <c r="UUK125" s="24"/>
      <c r="UUL125" s="40"/>
      <c r="UUM125" s="24"/>
      <c r="UUN125" s="40"/>
      <c r="UUO125" s="24"/>
      <c r="UUP125" s="40"/>
      <c r="UUQ125" s="24"/>
      <c r="UUR125" s="40"/>
      <c r="UUS125" s="24"/>
      <c r="UUT125" s="40"/>
      <c r="UUU125" s="24"/>
      <c r="UUV125" s="40"/>
      <c r="UUW125" s="24"/>
      <c r="UUX125" s="40"/>
      <c r="UUY125" s="24"/>
      <c r="UUZ125" s="40"/>
      <c r="UVA125" s="24"/>
      <c r="UVB125" s="40"/>
      <c r="UVC125" s="24"/>
      <c r="UVD125" s="40"/>
      <c r="UVE125" s="24"/>
      <c r="UVF125" s="40"/>
      <c r="UVG125" s="24"/>
      <c r="UVH125" s="40"/>
      <c r="UVI125" s="24"/>
      <c r="UVJ125" s="40"/>
      <c r="UVK125" s="24"/>
      <c r="UVL125" s="40"/>
      <c r="UVM125" s="24"/>
      <c r="UVN125" s="40"/>
      <c r="UVO125" s="24"/>
      <c r="UVP125" s="40"/>
      <c r="UVQ125" s="24"/>
      <c r="UVR125" s="40"/>
      <c r="UVS125" s="24"/>
      <c r="UVT125" s="40"/>
      <c r="UVU125" s="24"/>
      <c r="UVV125" s="40"/>
      <c r="UVW125" s="24"/>
      <c r="UVX125" s="40"/>
      <c r="UVY125" s="24"/>
      <c r="UVZ125" s="40"/>
      <c r="UWA125" s="24"/>
      <c r="UWB125" s="40"/>
      <c r="UWC125" s="24"/>
      <c r="UWD125" s="40"/>
      <c r="UWE125" s="24"/>
      <c r="UWF125" s="40"/>
      <c r="UWG125" s="24"/>
      <c r="UWH125" s="40"/>
      <c r="UWI125" s="24"/>
      <c r="UWJ125" s="40"/>
      <c r="UWK125" s="24"/>
      <c r="UWL125" s="40"/>
      <c r="UWM125" s="24"/>
      <c r="UWN125" s="40"/>
      <c r="UWO125" s="24"/>
      <c r="UWP125" s="40"/>
      <c r="UWQ125" s="24"/>
      <c r="UWR125" s="40"/>
      <c r="UWS125" s="24"/>
      <c r="UWT125" s="40"/>
      <c r="UWU125" s="24"/>
      <c r="UWV125" s="40"/>
      <c r="UWW125" s="24"/>
      <c r="UWX125" s="40"/>
      <c r="UWY125" s="24"/>
      <c r="UWZ125" s="40"/>
      <c r="UXA125" s="24"/>
      <c r="UXB125" s="40"/>
      <c r="UXC125" s="24"/>
      <c r="UXD125" s="40"/>
      <c r="UXE125" s="24"/>
      <c r="UXF125" s="40"/>
      <c r="UXG125" s="24"/>
      <c r="UXH125" s="40"/>
      <c r="UXI125" s="24"/>
      <c r="UXJ125" s="40"/>
      <c r="UXK125" s="24"/>
      <c r="UXL125" s="40"/>
      <c r="UXM125" s="24"/>
      <c r="UXN125" s="40"/>
      <c r="UXO125" s="24"/>
      <c r="UXP125" s="40"/>
      <c r="UXQ125" s="24"/>
      <c r="UXR125" s="40"/>
      <c r="UXS125" s="24"/>
      <c r="UXT125" s="40"/>
      <c r="UXU125" s="24"/>
      <c r="UXV125" s="40"/>
      <c r="UXW125" s="24"/>
      <c r="UXX125" s="40"/>
      <c r="UXY125" s="24"/>
      <c r="UXZ125" s="40"/>
      <c r="UYA125" s="24"/>
      <c r="UYB125" s="40"/>
      <c r="UYC125" s="24"/>
      <c r="UYD125" s="40"/>
      <c r="UYE125" s="24"/>
      <c r="UYF125" s="40"/>
      <c r="UYG125" s="24"/>
      <c r="UYH125" s="40"/>
      <c r="UYI125" s="24"/>
      <c r="UYJ125" s="40"/>
      <c r="UYK125" s="24"/>
      <c r="UYL125" s="40"/>
      <c r="UYM125" s="24"/>
      <c r="UYN125" s="40"/>
      <c r="UYO125" s="24"/>
      <c r="UYP125" s="40"/>
      <c r="UYQ125" s="24"/>
      <c r="UYR125" s="40"/>
      <c r="UYS125" s="24"/>
      <c r="UYT125" s="40"/>
      <c r="UYU125" s="24"/>
      <c r="UYV125" s="40"/>
      <c r="UYW125" s="24"/>
      <c r="UYX125" s="40"/>
      <c r="UYY125" s="24"/>
      <c r="UYZ125" s="40"/>
      <c r="UZA125" s="24"/>
      <c r="UZB125" s="40"/>
      <c r="UZC125" s="24"/>
      <c r="UZD125" s="40"/>
      <c r="UZE125" s="24"/>
      <c r="UZF125" s="40"/>
      <c r="UZG125" s="24"/>
      <c r="UZH125" s="40"/>
      <c r="UZI125" s="24"/>
      <c r="UZJ125" s="40"/>
      <c r="UZK125" s="24"/>
      <c r="UZL125" s="40"/>
      <c r="UZM125" s="24"/>
      <c r="UZN125" s="40"/>
      <c r="UZO125" s="24"/>
      <c r="UZP125" s="40"/>
      <c r="UZQ125" s="24"/>
      <c r="UZR125" s="40"/>
      <c r="UZS125" s="24"/>
      <c r="UZT125" s="40"/>
      <c r="UZU125" s="24"/>
      <c r="UZV125" s="40"/>
      <c r="UZW125" s="24"/>
      <c r="UZX125" s="40"/>
      <c r="UZY125" s="24"/>
      <c r="UZZ125" s="40"/>
      <c r="VAA125" s="24"/>
      <c r="VAB125" s="40"/>
      <c r="VAC125" s="24"/>
      <c r="VAD125" s="40"/>
      <c r="VAE125" s="24"/>
      <c r="VAF125" s="40"/>
      <c r="VAG125" s="24"/>
      <c r="VAH125" s="40"/>
      <c r="VAI125" s="24"/>
      <c r="VAJ125" s="40"/>
      <c r="VAK125" s="24"/>
      <c r="VAL125" s="40"/>
      <c r="VAM125" s="24"/>
      <c r="VAN125" s="40"/>
      <c r="VAO125" s="24"/>
      <c r="VAP125" s="40"/>
      <c r="VAQ125" s="24"/>
      <c r="VAR125" s="40"/>
      <c r="VAS125" s="24"/>
      <c r="VAT125" s="40"/>
      <c r="VAU125" s="24"/>
      <c r="VAV125" s="40"/>
      <c r="VAW125" s="24"/>
      <c r="VAX125" s="40"/>
      <c r="VAY125" s="24"/>
      <c r="VAZ125" s="40"/>
      <c r="VBA125" s="24"/>
      <c r="VBB125" s="40"/>
      <c r="VBC125" s="24"/>
      <c r="VBD125" s="40"/>
      <c r="VBE125" s="24"/>
      <c r="VBF125" s="40"/>
      <c r="VBG125" s="24"/>
      <c r="VBH125" s="40"/>
      <c r="VBI125" s="24"/>
      <c r="VBJ125" s="40"/>
      <c r="VBK125" s="24"/>
      <c r="VBL125" s="40"/>
      <c r="VBM125" s="24"/>
      <c r="VBN125" s="40"/>
      <c r="VBO125" s="24"/>
      <c r="VBP125" s="40"/>
      <c r="VBQ125" s="24"/>
      <c r="VBR125" s="40"/>
      <c r="VBS125" s="24"/>
      <c r="VBT125" s="40"/>
      <c r="VBU125" s="24"/>
      <c r="VBV125" s="40"/>
      <c r="VBW125" s="24"/>
      <c r="VBX125" s="40"/>
      <c r="VBY125" s="24"/>
      <c r="VBZ125" s="40"/>
      <c r="VCA125" s="24"/>
      <c r="VCB125" s="40"/>
      <c r="VCC125" s="24"/>
      <c r="VCD125" s="40"/>
      <c r="VCE125" s="24"/>
      <c r="VCF125" s="40"/>
      <c r="VCG125" s="24"/>
      <c r="VCH125" s="40"/>
      <c r="VCI125" s="24"/>
      <c r="VCJ125" s="40"/>
      <c r="VCK125" s="24"/>
      <c r="VCL125" s="40"/>
      <c r="VCM125" s="24"/>
      <c r="VCN125" s="40"/>
      <c r="VCO125" s="24"/>
      <c r="VCP125" s="40"/>
      <c r="VCQ125" s="24"/>
      <c r="VCR125" s="40"/>
      <c r="VCS125" s="24"/>
      <c r="VCT125" s="40"/>
      <c r="VCU125" s="24"/>
      <c r="VCV125" s="40"/>
      <c r="VCW125" s="24"/>
      <c r="VCX125" s="40"/>
      <c r="VCY125" s="24"/>
      <c r="VCZ125" s="40"/>
      <c r="VDA125" s="24"/>
      <c r="VDB125" s="40"/>
      <c r="VDC125" s="24"/>
      <c r="VDD125" s="40"/>
      <c r="VDE125" s="24"/>
      <c r="VDF125" s="40"/>
      <c r="VDG125" s="24"/>
      <c r="VDH125" s="40"/>
      <c r="VDI125" s="24"/>
      <c r="VDJ125" s="40"/>
      <c r="VDK125" s="24"/>
      <c r="VDL125" s="40"/>
      <c r="VDM125" s="24"/>
      <c r="VDN125" s="40"/>
      <c r="VDO125" s="24"/>
      <c r="VDP125" s="40"/>
      <c r="VDQ125" s="24"/>
      <c r="VDR125" s="40"/>
      <c r="VDS125" s="24"/>
      <c r="VDT125" s="40"/>
      <c r="VDU125" s="24"/>
      <c r="VDV125" s="40"/>
      <c r="VDW125" s="24"/>
      <c r="VDX125" s="40"/>
      <c r="VDY125" s="24"/>
      <c r="VDZ125" s="40"/>
      <c r="VEA125" s="24"/>
      <c r="VEB125" s="40"/>
      <c r="VEC125" s="24"/>
      <c r="VED125" s="40"/>
      <c r="VEE125" s="24"/>
      <c r="VEF125" s="40"/>
      <c r="VEG125" s="24"/>
      <c r="VEH125" s="40"/>
      <c r="VEI125" s="24"/>
      <c r="VEJ125" s="40"/>
      <c r="VEK125" s="24"/>
      <c r="VEL125" s="40"/>
      <c r="VEM125" s="24"/>
      <c r="VEN125" s="40"/>
      <c r="VEO125" s="24"/>
      <c r="VEP125" s="40"/>
      <c r="VEQ125" s="24"/>
      <c r="VER125" s="40"/>
      <c r="VES125" s="24"/>
      <c r="VET125" s="40"/>
      <c r="VEU125" s="24"/>
      <c r="VEV125" s="40"/>
      <c r="VEW125" s="24"/>
      <c r="VEX125" s="40"/>
      <c r="VEY125" s="24"/>
      <c r="VEZ125" s="40"/>
      <c r="VFA125" s="24"/>
      <c r="VFB125" s="40"/>
      <c r="VFC125" s="24"/>
      <c r="VFD125" s="40"/>
      <c r="VFE125" s="24"/>
      <c r="VFF125" s="40"/>
      <c r="VFG125" s="24"/>
      <c r="VFH125" s="40"/>
      <c r="VFI125" s="24"/>
      <c r="VFJ125" s="40"/>
      <c r="VFK125" s="24"/>
      <c r="VFL125" s="40"/>
      <c r="VFM125" s="24"/>
      <c r="VFN125" s="40"/>
      <c r="VFO125" s="24"/>
      <c r="VFP125" s="40"/>
      <c r="VFQ125" s="24"/>
      <c r="VFR125" s="40"/>
      <c r="VFS125" s="24"/>
      <c r="VFT125" s="40"/>
      <c r="VFU125" s="24"/>
      <c r="VFV125" s="40"/>
      <c r="VFW125" s="24"/>
      <c r="VFX125" s="40"/>
      <c r="VFY125" s="24"/>
      <c r="VFZ125" s="40"/>
      <c r="VGA125" s="24"/>
      <c r="VGB125" s="40"/>
      <c r="VGC125" s="24"/>
      <c r="VGD125" s="40"/>
      <c r="VGE125" s="24"/>
      <c r="VGF125" s="40"/>
      <c r="VGG125" s="24"/>
      <c r="VGH125" s="40"/>
      <c r="VGI125" s="24"/>
      <c r="VGJ125" s="40"/>
      <c r="VGK125" s="24"/>
      <c r="VGL125" s="40"/>
      <c r="VGM125" s="24"/>
      <c r="VGN125" s="40"/>
      <c r="VGO125" s="24"/>
      <c r="VGP125" s="40"/>
      <c r="VGQ125" s="24"/>
      <c r="VGR125" s="40"/>
      <c r="VGS125" s="24"/>
      <c r="VGT125" s="40"/>
      <c r="VGU125" s="24"/>
      <c r="VGV125" s="40"/>
      <c r="VGW125" s="24"/>
      <c r="VGX125" s="40"/>
      <c r="VGY125" s="24"/>
      <c r="VGZ125" s="40"/>
      <c r="VHA125" s="24"/>
      <c r="VHB125" s="40"/>
      <c r="VHC125" s="24"/>
      <c r="VHD125" s="40"/>
      <c r="VHE125" s="24"/>
      <c r="VHF125" s="40"/>
      <c r="VHG125" s="24"/>
      <c r="VHH125" s="40"/>
      <c r="VHI125" s="24"/>
      <c r="VHJ125" s="40"/>
      <c r="VHK125" s="24"/>
      <c r="VHL125" s="40"/>
      <c r="VHM125" s="24"/>
      <c r="VHN125" s="40"/>
      <c r="VHO125" s="24"/>
      <c r="VHP125" s="40"/>
      <c r="VHQ125" s="24"/>
      <c r="VHR125" s="40"/>
      <c r="VHS125" s="24"/>
      <c r="VHT125" s="40"/>
      <c r="VHU125" s="24"/>
      <c r="VHV125" s="40"/>
      <c r="VHW125" s="24"/>
      <c r="VHX125" s="40"/>
      <c r="VHY125" s="24"/>
      <c r="VHZ125" s="40"/>
      <c r="VIA125" s="24"/>
      <c r="VIB125" s="40"/>
      <c r="VIC125" s="24"/>
      <c r="VID125" s="40"/>
      <c r="VIE125" s="24"/>
      <c r="VIF125" s="40"/>
      <c r="VIG125" s="24"/>
      <c r="VIH125" s="40"/>
      <c r="VII125" s="24"/>
      <c r="VIJ125" s="40"/>
      <c r="VIK125" s="24"/>
      <c r="VIL125" s="40"/>
      <c r="VIM125" s="24"/>
      <c r="VIN125" s="40"/>
      <c r="VIO125" s="24"/>
      <c r="VIP125" s="40"/>
      <c r="VIQ125" s="24"/>
      <c r="VIR125" s="40"/>
      <c r="VIS125" s="24"/>
      <c r="VIT125" s="40"/>
      <c r="VIU125" s="24"/>
      <c r="VIV125" s="40"/>
      <c r="VIW125" s="24"/>
      <c r="VIX125" s="40"/>
      <c r="VIY125" s="24"/>
      <c r="VIZ125" s="40"/>
      <c r="VJA125" s="24"/>
      <c r="VJB125" s="40"/>
      <c r="VJC125" s="24"/>
      <c r="VJD125" s="40"/>
      <c r="VJE125" s="24"/>
      <c r="VJF125" s="40"/>
      <c r="VJG125" s="24"/>
      <c r="VJH125" s="40"/>
      <c r="VJI125" s="24"/>
      <c r="VJJ125" s="40"/>
      <c r="VJK125" s="24"/>
      <c r="VJL125" s="40"/>
      <c r="VJM125" s="24"/>
      <c r="VJN125" s="40"/>
      <c r="VJO125" s="24"/>
      <c r="VJP125" s="40"/>
      <c r="VJQ125" s="24"/>
      <c r="VJR125" s="40"/>
      <c r="VJS125" s="24"/>
      <c r="VJT125" s="40"/>
      <c r="VJU125" s="24"/>
      <c r="VJV125" s="40"/>
      <c r="VJW125" s="24"/>
      <c r="VJX125" s="40"/>
      <c r="VJY125" s="24"/>
      <c r="VJZ125" s="40"/>
      <c r="VKA125" s="24"/>
      <c r="VKB125" s="40"/>
      <c r="VKC125" s="24"/>
      <c r="VKD125" s="40"/>
      <c r="VKE125" s="24"/>
      <c r="VKF125" s="40"/>
      <c r="VKG125" s="24"/>
      <c r="VKH125" s="40"/>
      <c r="VKI125" s="24"/>
      <c r="VKJ125" s="40"/>
      <c r="VKK125" s="24"/>
      <c r="VKL125" s="40"/>
      <c r="VKM125" s="24"/>
      <c r="VKN125" s="40"/>
      <c r="VKO125" s="24"/>
      <c r="VKP125" s="40"/>
      <c r="VKQ125" s="24"/>
      <c r="VKR125" s="40"/>
      <c r="VKS125" s="24"/>
      <c r="VKT125" s="40"/>
      <c r="VKU125" s="24"/>
      <c r="VKV125" s="40"/>
      <c r="VKW125" s="24"/>
      <c r="VKX125" s="40"/>
      <c r="VKY125" s="24"/>
      <c r="VKZ125" s="40"/>
      <c r="VLA125" s="24"/>
      <c r="VLB125" s="40"/>
      <c r="VLC125" s="24"/>
      <c r="VLD125" s="40"/>
      <c r="VLE125" s="24"/>
      <c r="VLF125" s="40"/>
      <c r="VLG125" s="24"/>
      <c r="VLH125" s="40"/>
      <c r="VLI125" s="24"/>
      <c r="VLJ125" s="40"/>
      <c r="VLK125" s="24"/>
      <c r="VLL125" s="40"/>
      <c r="VLM125" s="24"/>
      <c r="VLN125" s="40"/>
      <c r="VLO125" s="24"/>
      <c r="VLP125" s="40"/>
      <c r="VLQ125" s="24"/>
      <c r="VLR125" s="40"/>
      <c r="VLS125" s="24"/>
      <c r="VLT125" s="40"/>
      <c r="VLU125" s="24"/>
      <c r="VLV125" s="40"/>
      <c r="VLW125" s="24"/>
      <c r="VLX125" s="40"/>
      <c r="VLY125" s="24"/>
      <c r="VLZ125" s="40"/>
      <c r="VMA125" s="24"/>
      <c r="VMB125" s="40"/>
      <c r="VMC125" s="24"/>
      <c r="VMD125" s="40"/>
      <c r="VME125" s="24"/>
      <c r="VMF125" s="40"/>
      <c r="VMG125" s="24"/>
      <c r="VMH125" s="40"/>
      <c r="VMI125" s="24"/>
      <c r="VMJ125" s="40"/>
      <c r="VMK125" s="24"/>
      <c r="VML125" s="40"/>
      <c r="VMM125" s="24"/>
      <c r="VMN125" s="40"/>
      <c r="VMO125" s="24"/>
      <c r="VMP125" s="40"/>
      <c r="VMQ125" s="24"/>
      <c r="VMR125" s="40"/>
      <c r="VMS125" s="24"/>
      <c r="VMT125" s="40"/>
      <c r="VMU125" s="24"/>
      <c r="VMV125" s="40"/>
      <c r="VMW125" s="24"/>
      <c r="VMX125" s="40"/>
      <c r="VMY125" s="24"/>
      <c r="VMZ125" s="40"/>
      <c r="VNA125" s="24"/>
      <c r="VNB125" s="40"/>
      <c r="VNC125" s="24"/>
      <c r="VND125" s="40"/>
      <c r="VNE125" s="24"/>
      <c r="VNF125" s="40"/>
      <c r="VNG125" s="24"/>
      <c r="VNH125" s="40"/>
      <c r="VNI125" s="24"/>
      <c r="VNJ125" s="40"/>
      <c r="VNK125" s="24"/>
      <c r="VNL125" s="40"/>
      <c r="VNM125" s="24"/>
      <c r="VNN125" s="40"/>
      <c r="VNO125" s="24"/>
      <c r="VNP125" s="40"/>
      <c r="VNQ125" s="24"/>
      <c r="VNR125" s="40"/>
      <c r="VNS125" s="24"/>
      <c r="VNT125" s="40"/>
      <c r="VNU125" s="24"/>
      <c r="VNV125" s="40"/>
      <c r="VNW125" s="24"/>
      <c r="VNX125" s="40"/>
      <c r="VNY125" s="24"/>
      <c r="VNZ125" s="40"/>
      <c r="VOA125" s="24"/>
      <c r="VOB125" s="40"/>
      <c r="VOC125" s="24"/>
      <c r="VOD125" s="40"/>
      <c r="VOE125" s="24"/>
      <c r="VOF125" s="40"/>
      <c r="VOG125" s="24"/>
      <c r="VOH125" s="40"/>
      <c r="VOI125" s="24"/>
      <c r="VOJ125" s="40"/>
      <c r="VOK125" s="24"/>
      <c r="VOL125" s="40"/>
      <c r="VOM125" s="24"/>
      <c r="VON125" s="40"/>
      <c r="VOO125" s="24"/>
      <c r="VOP125" s="40"/>
      <c r="VOQ125" s="24"/>
      <c r="VOR125" s="40"/>
      <c r="VOS125" s="24"/>
      <c r="VOT125" s="40"/>
      <c r="VOU125" s="24"/>
      <c r="VOV125" s="40"/>
      <c r="VOW125" s="24"/>
      <c r="VOX125" s="40"/>
      <c r="VOY125" s="24"/>
      <c r="VOZ125" s="40"/>
      <c r="VPA125" s="24"/>
      <c r="VPB125" s="40"/>
      <c r="VPC125" s="24"/>
      <c r="VPD125" s="40"/>
      <c r="VPE125" s="24"/>
      <c r="VPF125" s="40"/>
      <c r="VPG125" s="24"/>
      <c r="VPH125" s="40"/>
      <c r="VPI125" s="24"/>
      <c r="VPJ125" s="40"/>
      <c r="VPK125" s="24"/>
      <c r="VPL125" s="40"/>
      <c r="VPM125" s="24"/>
      <c r="VPN125" s="40"/>
      <c r="VPO125" s="24"/>
      <c r="VPP125" s="40"/>
      <c r="VPQ125" s="24"/>
      <c r="VPR125" s="40"/>
      <c r="VPS125" s="24"/>
      <c r="VPT125" s="40"/>
      <c r="VPU125" s="24"/>
      <c r="VPV125" s="40"/>
      <c r="VPW125" s="24"/>
      <c r="VPX125" s="40"/>
      <c r="VPY125" s="24"/>
      <c r="VPZ125" s="40"/>
      <c r="VQA125" s="24"/>
      <c r="VQB125" s="40"/>
      <c r="VQC125" s="24"/>
      <c r="VQD125" s="40"/>
      <c r="VQE125" s="24"/>
      <c r="VQF125" s="40"/>
      <c r="VQG125" s="24"/>
      <c r="VQH125" s="40"/>
      <c r="VQI125" s="24"/>
      <c r="VQJ125" s="40"/>
      <c r="VQK125" s="24"/>
      <c r="VQL125" s="40"/>
      <c r="VQM125" s="24"/>
      <c r="VQN125" s="40"/>
      <c r="VQO125" s="24"/>
      <c r="VQP125" s="40"/>
      <c r="VQQ125" s="24"/>
      <c r="VQR125" s="40"/>
      <c r="VQS125" s="24"/>
      <c r="VQT125" s="40"/>
      <c r="VQU125" s="24"/>
      <c r="VQV125" s="40"/>
      <c r="VQW125" s="24"/>
      <c r="VQX125" s="40"/>
      <c r="VQY125" s="24"/>
      <c r="VQZ125" s="40"/>
      <c r="VRA125" s="24"/>
      <c r="VRB125" s="40"/>
      <c r="VRC125" s="24"/>
      <c r="VRD125" s="40"/>
      <c r="VRE125" s="24"/>
      <c r="VRF125" s="40"/>
      <c r="VRG125" s="24"/>
      <c r="VRH125" s="40"/>
      <c r="VRI125" s="24"/>
      <c r="VRJ125" s="40"/>
      <c r="VRK125" s="24"/>
      <c r="VRL125" s="40"/>
      <c r="VRM125" s="24"/>
      <c r="VRN125" s="40"/>
      <c r="VRO125" s="24"/>
      <c r="VRP125" s="40"/>
      <c r="VRQ125" s="24"/>
      <c r="VRR125" s="40"/>
      <c r="VRS125" s="24"/>
      <c r="VRT125" s="40"/>
      <c r="VRU125" s="24"/>
      <c r="VRV125" s="40"/>
      <c r="VRW125" s="24"/>
      <c r="VRX125" s="40"/>
      <c r="VRY125" s="24"/>
      <c r="VRZ125" s="40"/>
      <c r="VSA125" s="24"/>
      <c r="VSB125" s="40"/>
      <c r="VSC125" s="24"/>
      <c r="VSD125" s="40"/>
      <c r="VSE125" s="24"/>
      <c r="VSF125" s="40"/>
      <c r="VSG125" s="24"/>
      <c r="VSH125" s="40"/>
      <c r="VSI125" s="24"/>
      <c r="VSJ125" s="40"/>
      <c r="VSK125" s="24"/>
      <c r="VSL125" s="40"/>
      <c r="VSM125" s="24"/>
      <c r="VSN125" s="40"/>
      <c r="VSO125" s="24"/>
      <c r="VSP125" s="40"/>
      <c r="VSQ125" s="24"/>
      <c r="VSR125" s="40"/>
      <c r="VSS125" s="24"/>
      <c r="VST125" s="40"/>
      <c r="VSU125" s="24"/>
      <c r="VSV125" s="40"/>
      <c r="VSW125" s="24"/>
      <c r="VSX125" s="40"/>
      <c r="VSY125" s="24"/>
      <c r="VSZ125" s="40"/>
      <c r="VTA125" s="24"/>
      <c r="VTB125" s="40"/>
      <c r="VTC125" s="24"/>
      <c r="VTD125" s="40"/>
      <c r="VTE125" s="24"/>
      <c r="VTF125" s="40"/>
      <c r="VTG125" s="24"/>
      <c r="VTH125" s="40"/>
      <c r="VTI125" s="24"/>
      <c r="VTJ125" s="40"/>
      <c r="VTK125" s="24"/>
      <c r="VTL125" s="40"/>
      <c r="VTM125" s="24"/>
      <c r="VTN125" s="40"/>
      <c r="VTO125" s="24"/>
      <c r="VTP125" s="40"/>
      <c r="VTQ125" s="24"/>
      <c r="VTR125" s="40"/>
      <c r="VTS125" s="24"/>
      <c r="VTT125" s="40"/>
      <c r="VTU125" s="24"/>
      <c r="VTV125" s="40"/>
      <c r="VTW125" s="24"/>
      <c r="VTX125" s="40"/>
      <c r="VTY125" s="24"/>
      <c r="VTZ125" s="40"/>
      <c r="VUA125" s="24"/>
      <c r="VUB125" s="40"/>
      <c r="VUC125" s="24"/>
      <c r="VUD125" s="40"/>
      <c r="VUE125" s="24"/>
      <c r="VUF125" s="40"/>
      <c r="VUG125" s="24"/>
      <c r="VUH125" s="40"/>
      <c r="VUI125" s="24"/>
      <c r="VUJ125" s="40"/>
      <c r="VUK125" s="24"/>
      <c r="VUL125" s="40"/>
      <c r="VUM125" s="24"/>
      <c r="VUN125" s="40"/>
      <c r="VUO125" s="24"/>
      <c r="VUP125" s="40"/>
      <c r="VUQ125" s="24"/>
      <c r="VUR125" s="40"/>
      <c r="VUS125" s="24"/>
      <c r="VUT125" s="40"/>
      <c r="VUU125" s="24"/>
      <c r="VUV125" s="40"/>
      <c r="VUW125" s="24"/>
      <c r="VUX125" s="40"/>
      <c r="VUY125" s="24"/>
      <c r="VUZ125" s="40"/>
      <c r="VVA125" s="24"/>
      <c r="VVB125" s="40"/>
      <c r="VVC125" s="24"/>
      <c r="VVD125" s="40"/>
      <c r="VVE125" s="24"/>
      <c r="VVF125" s="40"/>
      <c r="VVG125" s="24"/>
      <c r="VVH125" s="40"/>
      <c r="VVI125" s="24"/>
      <c r="VVJ125" s="40"/>
      <c r="VVK125" s="24"/>
      <c r="VVL125" s="40"/>
      <c r="VVM125" s="24"/>
      <c r="VVN125" s="40"/>
      <c r="VVO125" s="24"/>
      <c r="VVP125" s="40"/>
      <c r="VVQ125" s="24"/>
      <c r="VVR125" s="40"/>
      <c r="VVS125" s="24"/>
      <c r="VVT125" s="40"/>
      <c r="VVU125" s="24"/>
      <c r="VVV125" s="40"/>
      <c r="VVW125" s="24"/>
      <c r="VVX125" s="40"/>
      <c r="VVY125" s="24"/>
      <c r="VVZ125" s="40"/>
      <c r="VWA125" s="24"/>
      <c r="VWB125" s="40"/>
      <c r="VWC125" s="24"/>
      <c r="VWD125" s="40"/>
      <c r="VWE125" s="24"/>
      <c r="VWF125" s="40"/>
      <c r="VWG125" s="24"/>
      <c r="VWH125" s="40"/>
      <c r="VWI125" s="24"/>
      <c r="VWJ125" s="40"/>
      <c r="VWK125" s="24"/>
      <c r="VWL125" s="40"/>
      <c r="VWM125" s="24"/>
      <c r="VWN125" s="40"/>
      <c r="VWO125" s="24"/>
      <c r="VWP125" s="40"/>
      <c r="VWQ125" s="24"/>
      <c r="VWR125" s="40"/>
      <c r="VWS125" s="24"/>
      <c r="VWT125" s="40"/>
      <c r="VWU125" s="24"/>
      <c r="VWV125" s="40"/>
      <c r="VWW125" s="24"/>
      <c r="VWX125" s="40"/>
      <c r="VWY125" s="24"/>
      <c r="VWZ125" s="40"/>
      <c r="VXA125" s="24"/>
      <c r="VXB125" s="40"/>
      <c r="VXC125" s="24"/>
      <c r="VXD125" s="40"/>
      <c r="VXE125" s="24"/>
      <c r="VXF125" s="40"/>
      <c r="VXG125" s="24"/>
      <c r="VXH125" s="40"/>
      <c r="VXI125" s="24"/>
      <c r="VXJ125" s="40"/>
      <c r="VXK125" s="24"/>
      <c r="VXL125" s="40"/>
      <c r="VXM125" s="24"/>
      <c r="VXN125" s="40"/>
      <c r="VXO125" s="24"/>
      <c r="VXP125" s="40"/>
      <c r="VXQ125" s="24"/>
      <c r="VXR125" s="40"/>
      <c r="VXS125" s="24"/>
      <c r="VXT125" s="40"/>
      <c r="VXU125" s="24"/>
      <c r="VXV125" s="40"/>
      <c r="VXW125" s="24"/>
      <c r="VXX125" s="40"/>
      <c r="VXY125" s="24"/>
      <c r="VXZ125" s="40"/>
      <c r="VYA125" s="24"/>
      <c r="VYB125" s="40"/>
      <c r="VYC125" s="24"/>
      <c r="VYD125" s="40"/>
      <c r="VYE125" s="24"/>
      <c r="VYF125" s="40"/>
      <c r="VYG125" s="24"/>
      <c r="VYH125" s="40"/>
      <c r="VYI125" s="24"/>
      <c r="VYJ125" s="40"/>
      <c r="VYK125" s="24"/>
      <c r="VYL125" s="40"/>
      <c r="VYM125" s="24"/>
      <c r="VYN125" s="40"/>
      <c r="VYO125" s="24"/>
      <c r="VYP125" s="40"/>
      <c r="VYQ125" s="24"/>
      <c r="VYR125" s="40"/>
      <c r="VYS125" s="24"/>
      <c r="VYT125" s="40"/>
      <c r="VYU125" s="24"/>
      <c r="VYV125" s="40"/>
      <c r="VYW125" s="24"/>
      <c r="VYX125" s="40"/>
      <c r="VYY125" s="24"/>
      <c r="VYZ125" s="40"/>
      <c r="VZA125" s="24"/>
      <c r="VZB125" s="40"/>
      <c r="VZC125" s="24"/>
      <c r="VZD125" s="40"/>
      <c r="VZE125" s="24"/>
      <c r="VZF125" s="40"/>
      <c r="VZG125" s="24"/>
      <c r="VZH125" s="40"/>
      <c r="VZI125" s="24"/>
      <c r="VZJ125" s="40"/>
      <c r="VZK125" s="24"/>
      <c r="VZL125" s="40"/>
      <c r="VZM125" s="24"/>
      <c r="VZN125" s="40"/>
      <c r="VZO125" s="24"/>
      <c r="VZP125" s="40"/>
      <c r="VZQ125" s="24"/>
      <c r="VZR125" s="40"/>
      <c r="VZS125" s="24"/>
      <c r="VZT125" s="40"/>
      <c r="VZU125" s="24"/>
      <c r="VZV125" s="40"/>
      <c r="VZW125" s="24"/>
      <c r="VZX125" s="40"/>
      <c r="VZY125" s="24"/>
      <c r="VZZ125" s="40"/>
      <c r="WAA125" s="24"/>
      <c r="WAB125" s="40"/>
      <c r="WAC125" s="24"/>
      <c r="WAD125" s="40"/>
      <c r="WAE125" s="24"/>
      <c r="WAF125" s="40"/>
      <c r="WAG125" s="24"/>
      <c r="WAH125" s="40"/>
      <c r="WAI125" s="24"/>
      <c r="WAJ125" s="40"/>
      <c r="WAK125" s="24"/>
      <c r="WAL125" s="40"/>
      <c r="WAM125" s="24"/>
      <c r="WAN125" s="40"/>
      <c r="WAO125" s="24"/>
      <c r="WAP125" s="40"/>
      <c r="WAQ125" s="24"/>
      <c r="WAR125" s="40"/>
      <c r="WAS125" s="24"/>
      <c r="WAT125" s="40"/>
      <c r="WAU125" s="24"/>
      <c r="WAV125" s="40"/>
      <c r="WAW125" s="24"/>
      <c r="WAX125" s="40"/>
      <c r="WAY125" s="24"/>
      <c r="WAZ125" s="40"/>
      <c r="WBA125" s="24"/>
      <c r="WBB125" s="40"/>
      <c r="WBC125" s="24"/>
      <c r="WBD125" s="40"/>
      <c r="WBE125" s="24"/>
      <c r="WBF125" s="40"/>
      <c r="WBG125" s="24"/>
      <c r="WBH125" s="40"/>
      <c r="WBI125" s="24"/>
      <c r="WBJ125" s="40"/>
      <c r="WBK125" s="24"/>
      <c r="WBL125" s="40"/>
      <c r="WBM125" s="24"/>
      <c r="WBN125" s="40"/>
      <c r="WBO125" s="24"/>
      <c r="WBP125" s="40"/>
      <c r="WBQ125" s="24"/>
      <c r="WBR125" s="40"/>
      <c r="WBS125" s="24"/>
      <c r="WBT125" s="40"/>
      <c r="WBU125" s="24"/>
      <c r="WBV125" s="40"/>
      <c r="WBW125" s="24"/>
      <c r="WBX125" s="40"/>
      <c r="WBY125" s="24"/>
      <c r="WBZ125" s="40"/>
      <c r="WCA125" s="24"/>
      <c r="WCB125" s="40"/>
      <c r="WCC125" s="24"/>
      <c r="WCD125" s="40"/>
      <c r="WCE125" s="24"/>
      <c r="WCF125" s="40"/>
      <c r="WCG125" s="24"/>
      <c r="WCH125" s="40"/>
      <c r="WCI125" s="24"/>
      <c r="WCJ125" s="40"/>
      <c r="WCK125" s="24"/>
      <c r="WCL125" s="40"/>
      <c r="WCM125" s="24"/>
      <c r="WCN125" s="40"/>
      <c r="WCO125" s="24"/>
      <c r="WCP125" s="40"/>
      <c r="WCQ125" s="24"/>
      <c r="WCR125" s="40"/>
      <c r="WCS125" s="24"/>
      <c r="WCT125" s="40"/>
      <c r="WCU125" s="24"/>
      <c r="WCV125" s="40"/>
      <c r="WCW125" s="24"/>
      <c r="WCX125" s="40"/>
      <c r="WCY125" s="24"/>
      <c r="WCZ125" s="40"/>
      <c r="WDA125" s="24"/>
      <c r="WDB125" s="40"/>
      <c r="WDC125" s="24"/>
      <c r="WDD125" s="40"/>
      <c r="WDE125" s="24"/>
      <c r="WDF125" s="40"/>
      <c r="WDG125" s="24"/>
      <c r="WDH125" s="40"/>
      <c r="WDI125" s="24"/>
      <c r="WDJ125" s="40"/>
      <c r="WDK125" s="24"/>
      <c r="WDL125" s="40"/>
      <c r="WDM125" s="24"/>
      <c r="WDN125" s="40"/>
      <c r="WDO125" s="24"/>
      <c r="WDP125" s="40"/>
      <c r="WDQ125" s="24"/>
      <c r="WDR125" s="40"/>
      <c r="WDS125" s="24"/>
      <c r="WDT125" s="40"/>
      <c r="WDU125" s="24"/>
      <c r="WDV125" s="40"/>
      <c r="WDW125" s="24"/>
      <c r="WDX125" s="40"/>
      <c r="WDY125" s="24"/>
      <c r="WDZ125" s="40"/>
      <c r="WEA125" s="24"/>
      <c r="WEB125" s="40"/>
      <c r="WEC125" s="24"/>
      <c r="WED125" s="40"/>
      <c r="WEE125" s="24"/>
      <c r="WEF125" s="40"/>
      <c r="WEG125" s="24"/>
      <c r="WEH125" s="40"/>
      <c r="WEI125" s="24"/>
      <c r="WEJ125" s="40"/>
      <c r="WEK125" s="24"/>
      <c r="WEL125" s="40"/>
      <c r="WEM125" s="24"/>
      <c r="WEN125" s="40"/>
      <c r="WEO125" s="24"/>
      <c r="WEP125" s="40"/>
      <c r="WEQ125" s="24"/>
      <c r="WER125" s="40"/>
      <c r="WES125" s="24"/>
      <c r="WET125" s="40"/>
      <c r="WEU125" s="24"/>
      <c r="WEV125" s="40"/>
      <c r="WEW125" s="24"/>
      <c r="WEX125" s="40"/>
      <c r="WEY125" s="24"/>
      <c r="WEZ125" s="40"/>
      <c r="WFA125" s="24"/>
      <c r="WFB125" s="40"/>
      <c r="WFC125" s="24"/>
      <c r="WFD125" s="40"/>
      <c r="WFE125" s="24"/>
      <c r="WFF125" s="40"/>
      <c r="WFG125" s="24"/>
      <c r="WFH125" s="40"/>
      <c r="WFI125" s="24"/>
      <c r="WFJ125" s="40"/>
      <c r="WFK125" s="24"/>
      <c r="WFL125" s="40"/>
      <c r="WFM125" s="24"/>
      <c r="WFN125" s="40"/>
      <c r="WFO125" s="24"/>
      <c r="WFP125" s="40"/>
      <c r="WFQ125" s="24"/>
      <c r="WFR125" s="40"/>
      <c r="WFS125" s="24"/>
      <c r="WFT125" s="40"/>
      <c r="WFU125" s="24"/>
      <c r="WFV125" s="40"/>
      <c r="WFW125" s="24"/>
      <c r="WFX125" s="40"/>
      <c r="WFY125" s="24"/>
      <c r="WFZ125" s="40"/>
      <c r="WGA125" s="24"/>
      <c r="WGB125" s="40"/>
      <c r="WGC125" s="24"/>
      <c r="WGD125" s="40"/>
      <c r="WGE125" s="24"/>
      <c r="WGF125" s="40"/>
      <c r="WGG125" s="24"/>
      <c r="WGH125" s="40"/>
      <c r="WGI125" s="24"/>
      <c r="WGJ125" s="40"/>
      <c r="WGK125" s="24"/>
      <c r="WGL125" s="40"/>
      <c r="WGM125" s="24"/>
      <c r="WGN125" s="40"/>
      <c r="WGO125" s="24"/>
      <c r="WGP125" s="40"/>
      <c r="WGQ125" s="24"/>
      <c r="WGR125" s="40"/>
      <c r="WGS125" s="24"/>
      <c r="WGT125" s="40"/>
      <c r="WGU125" s="24"/>
      <c r="WGV125" s="40"/>
      <c r="WGW125" s="24"/>
      <c r="WGX125" s="40"/>
      <c r="WGY125" s="24"/>
      <c r="WGZ125" s="40"/>
      <c r="WHA125" s="24"/>
      <c r="WHB125" s="40"/>
      <c r="WHC125" s="24"/>
      <c r="WHD125" s="40"/>
      <c r="WHE125" s="24"/>
      <c r="WHF125" s="40"/>
      <c r="WHG125" s="24"/>
      <c r="WHH125" s="40"/>
      <c r="WHI125" s="24"/>
      <c r="WHJ125" s="40"/>
      <c r="WHK125" s="24"/>
      <c r="WHL125" s="40"/>
      <c r="WHM125" s="24"/>
      <c r="WHN125" s="40"/>
      <c r="WHO125" s="24"/>
      <c r="WHP125" s="40"/>
      <c r="WHQ125" s="24"/>
      <c r="WHR125" s="40"/>
      <c r="WHS125" s="24"/>
      <c r="WHT125" s="40"/>
      <c r="WHU125" s="24"/>
      <c r="WHV125" s="40"/>
      <c r="WHW125" s="24"/>
      <c r="WHX125" s="40"/>
      <c r="WHY125" s="24"/>
      <c r="WHZ125" s="40"/>
      <c r="WIA125" s="24"/>
      <c r="WIB125" s="40"/>
      <c r="WIC125" s="24"/>
      <c r="WID125" s="40"/>
      <c r="WIE125" s="24"/>
      <c r="WIF125" s="40"/>
      <c r="WIG125" s="24"/>
      <c r="WIH125" s="40"/>
      <c r="WII125" s="24"/>
      <c r="WIJ125" s="40"/>
      <c r="WIK125" s="24"/>
      <c r="WIL125" s="40"/>
      <c r="WIM125" s="24"/>
      <c r="WIN125" s="40"/>
      <c r="WIO125" s="24"/>
      <c r="WIP125" s="40"/>
      <c r="WIQ125" s="24"/>
      <c r="WIR125" s="40"/>
      <c r="WIS125" s="24"/>
      <c r="WIT125" s="40"/>
      <c r="WIU125" s="24"/>
      <c r="WIV125" s="40"/>
      <c r="WIW125" s="24"/>
      <c r="WIX125" s="40"/>
      <c r="WIY125" s="24"/>
      <c r="WIZ125" s="40"/>
      <c r="WJA125" s="24"/>
      <c r="WJB125" s="40"/>
      <c r="WJC125" s="24"/>
      <c r="WJD125" s="40"/>
      <c r="WJE125" s="24"/>
      <c r="WJF125" s="40"/>
      <c r="WJG125" s="24"/>
      <c r="WJH125" s="40"/>
      <c r="WJI125" s="24"/>
      <c r="WJJ125" s="40"/>
      <c r="WJK125" s="24"/>
      <c r="WJL125" s="40"/>
      <c r="WJM125" s="24"/>
      <c r="WJN125" s="40"/>
      <c r="WJO125" s="24"/>
      <c r="WJP125" s="40"/>
      <c r="WJQ125" s="24"/>
      <c r="WJR125" s="40"/>
      <c r="WJS125" s="24"/>
      <c r="WJT125" s="40"/>
      <c r="WJU125" s="24"/>
      <c r="WJV125" s="40"/>
      <c r="WJW125" s="24"/>
      <c r="WJX125" s="40"/>
      <c r="WJY125" s="24"/>
      <c r="WJZ125" s="40"/>
      <c r="WKA125" s="24"/>
      <c r="WKB125" s="40"/>
      <c r="WKC125" s="24"/>
      <c r="WKD125" s="40"/>
      <c r="WKE125" s="24"/>
      <c r="WKF125" s="40"/>
      <c r="WKG125" s="24"/>
      <c r="WKH125" s="40"/>
      <c r="WKI125" s="24"/>
      <c r="WKJ125" s="40"/>
      <c r="WKK125" s="24"/>
      <c r="WKL125" s="40"/>
      <c r="WKM125" s="24"/>
      <c r="WKN125" s="40"/>
      <c r="WKO125" s="24"/>
      <c r="WKP125" s="40"/>
      <c r="WKQ125" s="24"/>
      <c r="WKR125" s="40"/>
      <c r="WKS125" s="24"/>
      <c r="WKT125" s="40"/>
      <c r="WKU125" s="24"/>
      <c r="WKV125" s="40"/>
      <c r="WKW125" s="24"/>
      <c r="WKX125" s="40"/>
      <c r="WKY125" s="24"/>
      <c r="WKZ125" s="40"/>
      <c r="WLA125" s="24"/>
      <c r="WLB125" s="40"/>
      <c r="WLC125" s="24"/>
      <c r="WLD125" s="40"/>
      <c r="WLE125" s="24"/>
      <c r="WLF125" s="40"/>
      <c r="WLG125" s="24"/>
      <c r="WLH125" s="40"/>
      <c r="WLI125" s="24"/>
      <c r="WLJ125" s="40"/>
      <c r="WLK125" s="24"/>
      <c r="WLL125" s="40"/>
      <c r="WLM125" s="24"/>
      <c r="WLN125" s="40"/>
      <c r="WLO125" s="24"/>
      <c r="WLP125" s="40"/>
      <c r="WLQ125" s="24"/>
      <c r="WLR125" s="40"/>
      <c r="WLS125" s="24"/>
      <c r="WLT125" s="40"/>
      <c r="WLU125" s="24"/>
      <c r="WLV125" s="40"/>
      <c r="WLW125" s="24"/>
      <c r="WLX125" s="40"/>
      <c r="WLY125" s="24"/>
      <c r="WLZ125" s="40"/>
      <c r="WMA125" s="24"/>
      <c r="WMB125" s="40"/>
      <c r="WMC125" s="24"/>
      <c r="WMD125" s="40"/>
      <c r="WME125" s="24"/>
      <c r="WMF125" s="40"/>
      <c r="WMG125" s="24"/>
      <c r="WMH125" s="40"/>
      <c r="WMI125" s="24"/>
      <c r="WMJ125" s="40"/>
      <c r="WMK125" s="24"/>
      <c r="WML125" s="40"/>
      <c r="WMM125" s="24"/>
      <c r="WMN125" s="40"/>
      <c r="WMO125" s="24"/>
      <c r="WMP125" s="40"/>
      <c r="WMQ125" s="24"/>
      <c r="WMR125" s="40"/>
      <c r="WMS125" s="24"/>
      <c r="WMT125" s="40"/>
      <c r="WMU125" s="24"/>
      <c r="WMV125" s="40"/>
      <c r="WMW125" s="24"/>
      <c r="WMX125" s="40"/>
      <c r="WMY125" s="24"/>
      <c r="WMZ125" s="40"/>
      <c r="WNA125" s="24"/>
      <c r="WNB125" s="40"/>
      <c r="WNC125" s="24"/>
      <c r="WND125" s="40"/>
      <c r="WNE125" s="24"/>
      <c r="WNF125" s="40"/>
      <c r="WNG125" s="24"/>
      <c r="WNH125" s="40"/>
      <c r="WNI125" s="24"/>
      <c r="WNJ125" s="40"/>
      <c r="WNK125" s="24"/>
      <c r="WNL125" s="40"/>
      <c r="WNM125" s="24"/>
      <c r="WNN125" s="40"/>
      <c r="WNO125" s="24"/>
      <c r="WNP125" s="40"/>
      <c r="WNQ125" s="24"/>
      <c r="WNR125" s="40"/>
      <c r="WNS125" s="24"/>
      <c r="WNT125" s="40"/>
      <c r="WNU125" s="24"/>
      <c r="WNV125" s="40"/>
      <c r="WNW125" s="24"/>
      <c r="WNX125" s="40"/>
      <c r="WNY125" s="24"/>
      <c r="WNZ125" s="40"/>
      <c r="WOA125" s="24"/>
      <c r="WOB125" s="40"/>
      <c r="WOC125" s="24"/>
      <c r="WOD125" s="40"/>
      <c r="WOE125" s="24"/>
      <c r="WOF125" s="40"/>
      <c r="WOG125" s="24"/>
      <c r="WOH125" s="40"/>
      <c r="WOI125" s="24"/>
      <c r="WOJ125" s="40"/>
      <c r="WOK125" s="24"/>
      <c r="WOL125" s="40"/>
      <c r="WOM125" s="24"/>
      <c r="WON125" s="40"/>
      <c r="WOO125" s="24"/>
      <c r="WOP125" s="40"/>
      <c r="WOQ125" s="24"/>
      <c r="WOR125" s="40"/>
      <c r="WOS125" s="24"/>
      <c r="WOT125" s="40"/>
      <c r="WOU125" s="24"/>
      <c r="WOV125" s="40"/>
      <c r="WOW125" s="24"/>
      <c r="WOX125" s="40"/>
      <c r="WOY125" s="24"/>
      <c r="WOZ125" s="40"/>
      <c r="WPA125" s="24"/>
      <c r="WPB125" s="40"/>
      <c r="WPC125" s="24"/>
      <c r="WPD125" s="40"/>
      <c r="WPE125" s="24"/>
      <c r="WPF125" s="40"/>
      <c r="WPG125" s="24"/>
      <c r="WPH125" s="40"/>
      <c r="WPI125" s="24"/>
      <c r="WPJ125" s="40"/>
      <c r="WPK125" s="24"/>
      <c r="WPL125" s="40"/>
      <c r="WPM125" s="24"/>
      <c r="WPN125" s="40"/>
      <c r="WPO125" s="24"/>
      <c r="WPP125" s="40"/>
      <c r="WPQ125" s="24"/>
      <c r="WPR125" s="40"/>
      <c r="WPS125" s="24"/>
      <c r="WPT125" s="40"/>
      <c r="WPU125" s="24"/>
      <c r="WPV125" s="40"/>
      <c r="WPW125" s="24"/>
      <c r="WPX125" s="40"/>
      <c r="WPY125" s="24"/>
      <c r="WPZ125" s="40"/>
      <c r="WQA125" s="24"/>
      <c r="WQB125" s="40"/>
      <c r="WQC125" s="24"/>
      <c r="WQD125" s="40"/>
      <c r="WQE125" s="24"/>
      <c r="WQF125" s="40"/>
      <c r="WQG125" s="24"/>
      <c r="WQH125" s="40"/>
      <c r="WQI125" s="24"/>
      <c r="WQJ125" s="40"/>
      <c r="WQK125" s="24"/>
      <c r="WQL125" s="40"/>
      <c r="WQM125" s="24"/>
      <c r="WQN125" s="40"/>
      <c r="WQO125" s="24"/>
      <c r="WQP125" s="40"/>
      <c r="WQQ125" s="24"/>
      <c r="WQR125" s="40"/>
      <c r="WQS125" s="24"/>
      <c r="WQT125" s="40"/>
      <c r="WQU125" s="24"/>
      <c r="WQV125" s="40"/>
      <c r="WQW125" s="24"/>
      <c r="WQX125" s="40"/>
      <c r="WQY125" s="24"/>
      <c r="WQZ125" s="40"/>
      <c r="WRA125" s="24"/>
      <c r="WRB125" s="40"/>
      <c r="WRC125" s="24"/>
      <c r="WRD125" s="40"/>
      <c r="WRE125" s="24"/>
      <c r="WRF125" s="40"/>
      <c r="WRG125" s="24"/>
      <c r="WRH125" s="40"/>
      <c r="WRI125" s="24"/>
      <c r="WRJ125" s="40"/>
      <c r="WRK125" s="24"/>
      <c r="WRL125" s="40"/>
      <c r="WRM125" s="24"/>
      <c r="WRN125" s="40"/>
      <c r="WRO125" s="24"/>
      <c r="WRP125" s="40"/>
      <c r="WRQ125" s="24"/>
      <c r="WRR125" s="40"/>
      <c r="WRS125" s="24"/>
      <c r="WRT125" s="40"/>
      <c r="WRU125" s="24"/>
      <c r="WRV125" s="40"/>
      <c r="WRW125" s="24"/>
      <c r="WRX125" s="40"/>
      <c r="WRY125" s="24"/>
      <c r="WRZ125" s="40"/>
      <c r="WSA125" s="24"/>
      <c r="WSB125" s="40"/>
      <c r="WSC125" s="24"/>
      <c r="WSD125" s="40"/>
      <c r="WSE125" s="24"/>
      <c r="WSF125" s="40"/>
      <c r="WSG125" s="24"/>
      <c r="WSH125" s="40"/>
      <c r="WSI125" s="24"/>
      <c r="WSJ125" s="40"/>
      <c r="WSK125" s="24"/>
      <c r="WSL125" s="40"/>
      <c r="WSM125" s="24"/>
      <c r="WSN125" s="40"/>
      <c r="WSO125" s="24"/>
      <c r="WSP125" s="40"/>
      <c r="WSQ125" s="24"/>
      <c r="WSR125" s="40"/>
      <c r="WSS125" s="24"/>
      <c r="WST125" s="40"/>
      <c r="WSU125" s="24"/>
      <c r="WSV125" s="40"/>
      <c r="WSW125" s="24"/>
      <c r="WSX125" s="40"/>
      <c r="WSY125" s="24"/>
      <c r="WSZ125" s="40"/>
      <c r="WTA125" s="24"/>
      <c r="WTB125" s="40"/>
      <c r="WTC125" s="24"/>
      <c r="WTD125" s="40"/>
      <c r="WTE125" s="24"/>
      <c r="WTF125" s="40"/>
      <c r="WTG125" s="24"/>
      <c r="WTH125" s="40"/>
      <c r="WTI125" s="24"/>
      <c r="WTJ125" s="40"/>
      <c r="WTK125" s="24"/>
      <c r="WTL125" s="40"/>
      <c r="WTM125" s="24"/>
      <c r="WTN125" s="40"/>
      <c r="WTO125" s="24"/>
      <c r="WTP125" s="40"/>
      <c r="WTQ125" s="24"/>
      <c r="WTR125" s="40"/>
      <c r="WTS125" s="24"/>
      <c r="WTT125" s="40"/>
      <c r="WTU125" s="24"/>
      <c r="WTV125" s="40"/>
      <c r="WTW125" s="24"/>
      <c r="WTX125" s="40"/>
      <c r="WTY125" s="24"/>
      <c r="WTZ125" s="40"/>
      <c r="WUA125" s="24"/>
      <c r="WUB125" s="40"/>
      <c r="WUC125" s="24"/>
      <c r="WUD125" s="40"/>
      <c r="WUE125" s="24"/>
      <c r="WUF125" s="40"/>
      <c r="WUG125" s="24"/>
      <c r="WUH125" s="40"/>
      <c r="WUI125" s="24"/>
      <c r="WUJ125" s="40"/>
      <c r="WUK125" s="24"/>
      <c r="WUL125" s="40"/>
      <c r="WUM125" s="24"/>
      <c r="WUN125" s="40"/>
      <c r="WUO125" s="24"/>
      <c r="WUP125" s="40"/>
      <c r="WUQ125" s="24"/>
      <c r="WUR125" s="40"/>
      <c r="WUS125" s="24"/>
      <c r="WUT125" s="40"/>
      <c r="WUU125" s="24"/>
      <c r="WUV125" s="40"/>
      <c r="WUW125" s="24"/>
      <c r="WUX125" s="40"/>
      <c r="WUY125" s="24"/>
      <c r="WUZ125" s="40"/>
      <c r="WVA125" s="24"/>
      <c r="WVB125" s="40"/>
      <c r="WVC125" s="24"/>
      <c r="WVD125" s="40"/>
      <c r="WVE125" s="24"/>
      <c r="WVF125" s="40"/>
      <c r="WVG125" s="24"/>
      <c r="WVH125" s="40"/>
      <c r="WVI125" s="24"/>
      <c r="WVJ125" s="40"/>
      <c r="WVK125" s="24"/>
      <c r="WVL125" s="40"/>
      <c r="WVM125" s="24"/>
      <c r="WVN125" s="40"/>
      <c r="WVO125" s="24"/>
      <c r="WVP125" s="40"/>
      <c r="WVQ125" s="24"/>
      <c r="WVR125" s="40"/>
      <c r="WVS125" s="24"/>
      <c r="WVT125" s="40"/>
      <c r="WVU125" s="24"/>
      <c r="WVV125" s="40"/>
      <c r="WVW125" s="24"/>
      <c r="WVX125" s="40"/>
      <c r="WVY125" s="24"/>
      <c r="WVZ125" s="40"/>
      <c r="WWA125" s="24"/>
      <c r="WWB125" s="40"/>
      <c r="WWC125" s="24"/>
      <c r="WWD125" s="40"/>
      <c r="WWE125" s="24"/>
      <c r="WWF125" s="40"/>
      <c r="WWG125" s="24"/>
      <c r="WWH125" s="40"/>
      <c r="WWI125" s="24"/>
      <c r="WWJ125" s="40"/>
      <c r="WWK125" s="24"/>
      <c r="WWL125" s="40"/>
      <c r="WWM125" s="24"/>
      <c r="WWN125" s="40"/>
      <c r="WWO125" s="24"/>
      <c r="WWP125" s="40"/>
      <c r="WWQ125" s="24"/>
      <c r="WWR125" s="40"/>
      <c r="WWS125" s="24"/>
      <c r="WWT125" s="40"/>
      <c r="WWU125" s="24"/>
      <c r="WWV125" s="40"/>
      <c r="WWW125" s="24"/>
      <c r="WWX125" s="40"/>
      <c r="WWY125" s="24"/>
      <c r="WWZ125" s="40"/>
      <c r="WXA125" s="24"/>
      <c r="WXB125" s="40"/>
      <c r="WXC125" s="24"/>
      <c r="WXD125" s="40"/>
      <c r="WXE125" s="24"/>
      <c r="WXF125" s="40"/>
      <c r="WXG125" s="24"/>
      <c r="WXH125" s="40"/>
      <c r="WXI125" s="24"/>
      <c r="WXJ125" s="40"/>
      <c r="WXK125" s="24"/>
      <c r="WXL125" s="40"/>
      <c r="WXM125" s="24"/>
      <c r="WXN125" s="40"/>
      <c r="WXO125" s="24"/>
      <c r="WXP125" s="40"/>
      <c r="WXQ125" s="24"/>
      <c r="WXR125" s="40"/>
      <c r="WXS125" s="24"/>
      <c r="WXT125" s="40"/>
      <c r="WXU125" s="24"/>
      <c r="WXV125" s="40"/>
      <c r="WXW125" s="24"/>
      <c r="WXX125" s="40"/>
      <c r="WXY125" s="24"/>
      <c r="WXZ125" s="40"/>
      <c r="WYA125" s="24"/>
      <c r="WYB125" s="40"/>
      <c r="WYC125" s="24"/>
      <c r="WYD125" s="40"/>
      <c r="WYE125" s="24"/>
      <c r="WYF125" s="40"/>
      <c r="WYG125" s="24"/>
      <c r="WYH125" s="40"/>
      <c r="WYI125" s="24"/>
      <c r="WYJ125" s="40"/>
      <c r="WYK125" s="24"/>
      <c r="WYL125" s="40"/>
      <c r="WYM125" s="24"/>
      <c r="WYN125" s="40"/>
      <c r="WYO125" s="24"/>
      <c r="WYP125" s="40"/>
      <c r="WYQ125" s="24"/>
      <c r="WYR125" s="40"/>
      <c r="WYS125" s="24"/>
      <c r="WYT125" s="40"/>
      <c r="WYU125" s="24"/>
      <c r="WYV125" s="40"/>
      <c r="WYW125" s="24"/>
      <c r="WYX125" s="40"/>
      <c r="WYY125" s="24"/>
      <c r="WYZ125" s="40"/>
      <c r="WZA125" s="24"/>
      <c r="WZB125" s="40"/>
      <c r="WZC125" s="24"/>
      <c r="WZD125" s="40"/>
      <c r="WZE125" s="24"/>
      <c r="WZF125" s="40"/>
      <c r="WZG125" s="24"/>
      <c r="WZH125" s="40"/>
      <c r="WZI125" s="24"/>
      <c r="WZJ125" s="40"/>
      <c r="WZK125" s="24"/>
      <c r="WZL125" s="40"/>
      <c r="WZM125" s="24"/>
      <c r="WZN125" s="40"/>
      <c r="WZO125" s="24"/>
      <c r="WZP125" s="40"/>
      <c r="WZQ125" s="24"/>
      <c r="WZR125" s="40"/>
      <c r="WZS125" s="24"/>
      <c r="WZT125" s="40"/>
      <c r="WZU125" s="24"/>
      <c r="WZV125" s="40"/>
      <c r="WZW125" s="24"/>
      <c r="WZX125" s="40"/>
      <c r="WZY125" s="24"/>
      <c r="WZZ125" s="40"/>
      <c r="XAA125" s="24"/>
      <c r="XAB125" s="40"/>
      <c r="XAC125" s="24"/>
      <c r="XAD125" s="40"/>
      <c r="XAE125" s="24"/>
      <c r="XAF125" s="40"/>
      <c r="XAG125" s="24"/>
      <c r="XAH125" s="40"/>
      <c r="XAI125" s="24"/>
      <c r="XAJ125" s="40"/>
      <c r="XAK125" s="24"/>
      <c r="XAL125" s="40"/>
      <c r="XAM125" s="24"/>
      <c r="XAN125" s="40"/>
      <c r="XAO125" s="24"/>
      <c r="XAP125" s="40"/>
      <c r="XAQ125" s="24"/>
      <c r="XAR125" s="40"/>
      <c r="XAS125" s="24"/>
      <c r="XAT125" s="40"/>
      <c r="XAU125" s="24"/>
      <c r="XAV125" s="40"/>
      <c r="XAW125" s="24"/>
      <c r="XAX125" s="40"/>
      <c r="XAY125" s="24"/>
      <c r="XAZ125" s="40"/>
      <c r="XBA125" s="24"/>
      <c r="XBB125" s="40"/>
      <c r="XBC125" s="24"/>
      <c r="XBD125" s="40"/>
      <c r="XBE125" s="24"/>
      <c r="XBF125" s="40"/>
      <c r="XBG125" s="24"/>
      <c r="XBH125" s="40"/>
      <c r="XBI125" s="24"/>
      <c r="XBJ125" s="40"/>
      <c r="XBK125" s="24"/>
      <c r="XBL125" s="40"/>
      <c r="XBM125" s="24"/>
      <c r="XBN125" s="40"/>
      <c r="XBO125" s="24"/>
      <c r="XBP125" s="40"/>
      <c r="XBQ125" s="24"/>
      <c r="XBR125" s="40"/>
      <c r="XBS125" s="24"/>
      <c r="XBT125" s="40"/>
      <c r="XBU125" s="24"/>
      <c r="XBV125" s="40"/>
      <c r="XBW125" s="24"/>
      <c r="XBX125" s="40"/>
      <c r="XBY125" s="24"/>
      <c r="XBZ125" s="40"/>
      <c r="XCA125" s="24"/>
      <c r="XCB125" s="40"/>
      <c r="XCC125" s="24"/>
      <c r="XCD125" s="40"/>
      <c r="XCE125" s="24"/>
      <c r="XCF125" s="40"/>
      <c r="XCG125" s="24"/>
      <c r="XCH125" s="40"/>
      <c r="XCI125" s="24"/>
      <c r="XCJ125" s="40"/>
      <c r="XCK125" s="24"/>
      <c r="XCL125" s="40"/>
      <c r="XCM125" s="24"/>
      <c r="XCN125" s="40"/>
      <c r="XCO125" s="24"/>
      <c r="XCP125" s="40"/>
      <c r="XCQ125" s="24"/>
      <c r="XCR125" s="40"/>
      <c r="XCS125" s="24"/>
      <c r="XCT125" s="40"/>
      <c r="XCU125" s="24"/>
      <c r="XCV125" s="40"/>
      <c r="XCW125" s="24"/>
      <c r="XCX125" s="40"/>
      <c r="XCY125" s="24"/>
      <c r="XCZ125" s="40"/>
      <c r="XDA125" s="24"/>
      <c r="XDB125" s="40"/>
      <c r="XDC125" s="24"/>
      <c r="XDD125" s="40"/>
      <c r="XDE125" s="24"/>
      <c r="XDF125" s="40"/>
      <c r="XDG125" s="24"/>
      <c r="XDH125" s="40"/>
      <c r="XDI125" s="24"/>
      <c r="XDJ125" s="40"/>
      <c r="XDK125" s="24"/>
      <c r="XDL125" s="40"/>
      <c r="XDM125" s="24"/>
      <c r="XDN125" s="40"/>
      <c r="XDO125" s="24"/>
      <c r="XDP125" s="40"/>
      <c r="XDQ125" s="24"/>
      <c r="XDR125" s="40"/>
      <c r="XDS125" s="24"/>
      <c r="XDT125" s="40"/>
      <c r="XDU125" s="24"/>
      <c r="XDV125" s="40"/>
      <c r="XDW125" s="24"/>
      <c r="XDX125" s="40"/>
      <c r="XDY125" s="24"/>
      <c r="XDZ125" s="40"/>
      <c r="XEA125" s="24"/>
      <c r="XEB125" s="40"/>
      <c r="XEC125" s="24"/>
      <c r="XED125" s="40"/>
      <c r="XEE125" s="24"/>
      <c r="XEF125" s="40"/>
      <c r="XEG125" s="24"/>
      <c r="XEH125" s="40"/>
      <c r="XEI125" s="24"/>
      <c r="XEJ125" s="40"/>
      <c r="XEK125" s="24"/>
      <c r="XEL125" s="40"/>
      <c r="XEM125" s="24"/>
      <c r="XEN125" s="40"/>
      <c r="XEO125" s="24"/>
      <c r="XEP125" s="40"/>
      <c r="XEQ125" s="24"/>
      <c r="XER125" s="40"/>
      <c r="XES125" s="24"/>
      <c r="XET125" s="40"/>
      <c r="XEU125" s="24"/>
      <c r="XEV125" s="40"/>
      <c r="XEW125" s="24"/>
      <c r="XEX125" s="40"/>
      <c r="XEY125" s="24"/>
      <c r="XEZ125" s="40"/>
      <c r="XFA125" s="24"/>
      <c r="XFB125" s="40"/>
      <c r="XFC125" s="24"/>
      <c r="XFD125" s="40"/>
    </row>
    <row r="126" spans="1:16384" hidden="1" x14ac:dyDescent="0.35">
      <c r="B126" s="24" t="s">
        <v>729</v>
      </c>
      <c r="C126" s="37" t="e">
        <f>(C152*1.03*3.054)/0.6/((0.00795*C147)-0.0014)/18.4</f>
        <v>#DIV/0!</v>
      </c>
      <c r="D126" s="29" t="s">
        <v>730</v>
      </c>
      <c r="E126" s="37"/>
      <c r="F126" s="126"/>
      <c r="K126" s="488"/>
      <c r="L126" s="488"/>
      <c r="M126" s="488"/>
    </row>
    <row r="127" spans="1:16384" hidden="1" x14ac:dyDescent="0.35">
      <c r="B127" s="27"/>
      <c r="C127" s="37"/>
      <c r="D127" s="29"/>
      <c r="E127" s="37"/>
      <c r="F127" s="126"/>
      <c r="K127" s="488"/>
      <c r="L127" s="488"/>
      <c r="M127" s="488"/>
    </row>
    <row r="128" spans="1:16384" hidden="1" x14ac:dyDescent="0.35">
      <c r="B128" s="24" t="s">
        <v>672</v>
      </c>
      <c r="C128" s="37" t="e">
        <f>C124+C126</f>
        <v>#DIV/0!</v>
      </c>
      <c r="D128" s="29"/>
      <c r="E128" s="37"/>
      <c r="F128" s="126"/>
    </row>
    <row r="129" spans="2:7" hidden="1" x14ac:dyDescent="0.35">
      <c r="B129" s="27"/>
      <c r="C129" s="127"/>
      <c r="D129" s="29"/>
      <c r="E129" s="37"/>
      <c r="F129" s="126"/>
    </row>
    <row r="130" spans="2:7" hidden="1" x14ac:dyDescent="0.35">
      <c r="B130" s="24" t="s">
        <v>736</v>
      </c>
      <c r="C130" s="37" t="e">
        <f>24.51-(0.0788*C132)</f>
        <v>#DIV/0!</v>
      </c>
      <c r="D130" s="29" t="s">
        <v>732</v>
      </c>
      <c r="E130" s="37"/>
      <c r="F130" s="126"/>
    </row>
    <row r="131" spans="2:7" hidden="1" x14ac:dyDescent="0.35">
      <c r="B131" s="27"/>
      <c r="C131" s="127"/>
      <c r="D131" s="29"/>
      <c r="E131" s="37"/>
      <c r="F131" s="126"/>
    </row>
    <row r="132" spans="2:7" hidden="1" x14ac:dyDescent="0.35">
      <c r="B132" s="24" t="s">
        <v>724</v>
      </c>
      <c r="C132" s="37" t="e">
        <f>(C176*10)*0.98</f>
        <v>#DIV/0!</v>
      </c>
      <c r="D132" s="29" t="s">
        <v>674</v>
      </c>
      <c r="E132" s="37"/>
      <c r="F132" s="126"/>
    </row>
    <row r="133" spans="2:7" hidden="1" x14ac:dyDescent="0.35">
      <c r="B133" s="27"/>
      <c r="C133" s="127"/>
      <c r="D133" s="29"/>
      <c r="E133" s="37"/>
      <c r="F133" s="126"/>
    </row>
    <row r="134" spans="2:7" hidden="1" x14ac:dyDescent="0.35">
      <c r="B134" s="24" t="s">
        <v>11</v>
      </c>
      <c r="C134" s="43" t="e">
        <f>C130*C128/1000</f>
        <v>#DIV/0!</v>
      </c>
      <c r="D134" s="29" t="s">
        <v>676</v>
      </c>
      <c r="E134" s="128"/>
      <c r="F134" s="126"/>
    </row>
    <row r="135" spans="2:7" hidden="1" x14ac:dyDescent="0.35">
      <c r="B135" s="46"/>
      <c r="C135" s="128"/>
      <c r="D135" s="29"/>
      <c r="E135" s="42"/>
      <c r="F135" s="126"/>
    </row>
    <row r="136" spans="2:7" hidden="1" x14ac:dyDescent="0.35">
      <c r="B136" s="24" t="s">
        <v>12</v>
      </c>
      <c r="C136" s="32">
        <f>$C$13</f>
        <v>0</v>
      </c>
      <c r="D136" s="29"/>
      <c r="E136" s="37"/>
      <c r="F136" s="126"/>
      <c r="G136" s="180"/>
    </row>
    <row r="137" spans="2:7" hidden="1" x14ac:dyDescent="0.35">
      <c r="B137" s="24" t="s">
        <v>13</v>
      </c>
      <c r="C137" s="44" t="e">
        <f>C134*C136*365</f>
        <v>#DIV/0!</v>
      </c>
      <c r="D137" s="29"/>
      <c r="E137" s="43"/>
      <c r="F137" s="126"/>
    </row>
    <row r="138" spans="2:7" hidden="1" x14ac:dyDescent="0.35">
      <c r="B138" s="27" t="s">
        <v>14</v>
      </c>
      <c r="C138" s="45" t="e">
        <f>C137*'Emission factors'!C4/1000</f>
        <v>#DIV/0!</v>
      </c>
      <c r="D138" s="29"/>
      <c r="E138" s="37"/>
      <c r="F138" s="126"/>
    </row>
    <row r="139" spans="2:7" hidden="1" x14ac:dyDescent="0.35">
      <c r="B139" s="27"/>
      <c r="C139" s="45"/>
      <c r="D139" s="29"/>
      <c r="E139" s="37"/>
      <c r="F139" s="126"/>
    </row>
    <row r="140" spans="2:7" hidden="1" x14ac:dyDescent="0.35">
      <c r="B140" s="27"/>
      <c r="C140" s="45"/>
      <c r="D140" s="29"/>
      <c r="E140" s="37"/>
      <c r="F140" s="126"/>
    </row>
    <row r="141" spans="2:7" hidden="1" x14ac:dyDescent="0.35">
      <c r="B141" s="27" t="s">
        <v>673</v>
      </c>
      <c r="C141" s="45" t="e">
        <f>C117-C138</f>
        <v>#DIV/0!</v>
      </c>
      <c r="D141" s="29" t="s">
        <v>731</v>
      </c>
      <c r="E141" s="37"/>
      <c r="F141" s="126"/>
    </row>
    <row r="142" spans="2:7" hidden="1" x14ac:dyDescent="0.35">
      <c r="B142" s="24"/>
      <c r="C142" s="42"/>
      <c r="D142" s="29"/>
      <c r="E142" s="42"/>
      <c r="F142" s="126"/>
    </row>
    <row r="143" spans="2:7" hidden="1" x14ac:dyDescent="0.35">
      <c r="B143" s="48" t="s">
        <v>661</v>
      </c>
      <c r="C143" s="31"/>
      <c r="D143" s="29"/>
      <c r="E143" s="29"/>
    </row>
    <row r="144" spans="2:7" hidden="1" x14ac:dyDescent="0.35">
      <c r="B144" s="24" t="s">
        <v>135</v>
      </c>
      <c r="C144" s="31" t="e">
        <f>(C18*0.1604)-1.037</f>
        <v>#DIV/0!</v>
      </c>
      <c r="D144" s="29" t="s">
        <v>143</v>
      </c>
      <c r="E144" s="29"/>
    </row>
    <row r="145" spans="2:5" hidden="1" x14ac:dyDescent="0.35">
      <c r="B145" s="24" t="s">
        <v>121</v>
      </c>
      <c r="C145" s="31" t="e">
        <f>C144*'Baseline farm'!D223</f>
        <v>#DIV/0!</v>
      </c>
      <c r="D145" s="29" t="s">
        <v>142</v>
      </c>
      <c r="E145" s="29"/>
    </row>
    <row r="146" spans="2:5" hidden="1" x14ac:dyDescent="0.35">
      <c r="B146" s="29" t="s">
        <v>125</v>
      </c>
      <c r="C146" s="31" t="e">
        <f>(('Baseline farm'!$D$223*$C$18)-($C$25*$C$27))/('Baseline farm'!$D$223-$C$25)</f>
        <v>#DIV/0!</v>
      </c>
      <c r="D146" s="29" t="s">
        <v>144</v>
      </c>
      <c r="E146" s="29"/>
    </row>
    <row r="147" spans="2:5" hidden="1" x14ac:dyDescent="0.35">
      <c r="B147" s="24" t="s">
        <v>663</v>
      </c>
      <c r="C147" s="31" t="e">
        <f>C146*('Baseline farm'!$D$223-$C$25)/'Baseline farm'!$D$223+$C$35*$C$25/'Baseline farm'!$D$223</f>
        <v>#DIV/0!</v>
      </c>
      <c r="D147" s="29" t="s">
        <v>734</v>
      </c>
      <c r="E147" s="29"/>
    </row>
    <row r="148" spans="2:5" hidden="1" x14ac:dyDescent="0.35">
      <c r="B148" s="24" t="s">
        <v>662</v>
      </c>
      <c r="C148" s="31" t="e">
        <f>C147*0.1604-1.037</f>
        <v>#DIV/0!</v>
      </c>
      <c r="D148" s="29" t="s">
        <v>166</v>
      </c>
      <c r="E148" s="29"/>
    </row>
    <row r="149" spans="2:5" hidden="1" x14ac:dyDescent="0.35">
      <c r="B149" s="29" t="s">
        <v>668</v>
      </c>
      <c r="C149" s="31" t="e">
        <f>C148*'Baseline farm'!D223</f>
        <v>#DIV/0!</v>
      </c>
      <c r="D149" s="29" t="s">
        <v>142</v>
      </c>
      <c r="E149" s="29"/>
    </row>
    <row r="150" spans="2:5" hidden="1" x14ac:dyDescent="0.35">
      <c r="B150" s="24" t="s">
        <v>123</v>
      </c>
      <c r="C150" s="31" t="e">
        <f>C149-C145</f>
        <v>#DIV/0!</v>
      </c>
      <c r="D150" s="29"/>
      <c r="E150" s="29"/>
    </row>
    <row r="151" spans="2:5" hidden="1" x14ac:dyDescent="0.35">
      <c r="B151" s="24" t="s">
        <v>667</v>
      </c>
      <c r="C151" s="31" t="e">
        <f>C150/5.5</f>
        <v>#DIV/0!</v>
      </c>
      <c r="D151" s="29" t="s">
        <v>669</v>
      </c>
      <c r="E151" s="29"/>
    </row>
    <row r="152" spans="2:5" hidden="1" x14ac:dyDescent="0.35">
      <c r="B152" s="24" t="s">
        <v>666</v>
      </c>
      <c r="C152" s="31" t="e">
        <f>(C16*C17/365)+C151</f>
        <v>#DIV/0!</v>
      </c>
      <c r="D152" s="29"/>
      <c r="E152" s="29"/>
    </row>
    <row r="153" spans="2:5" hidden="1" x14ac:dyDescent="0.35">
      <c r="B153" s="29" t="s">
        <v>430</v>
      </c>
      <c r="C153" s="31" t="e">
        <f>(('Baseline farm'!D223*C19)-(C25*C29))/('Baseline farm'!D223-C25)</f>
        <v>#DIV/0!</v>
      </c>
      <c r="D153" s="29" t="s">
        <v>432</v>
      </c>
      <c r="E153" s="29"/>
    </row>
    <row r="154" spans="2:5" hidden="1" x14ac:dyDescent="0.35">
      <c r="B154" s="24" t="s">
        <v>664</v>
      </c>
      <c r="C154" s="31" t="e">
        <f>C153*('Baseline farm'!D223-C25)/'Baseline farm'!D223+((C37*C25)/'Baseline farm'!D223)</f>
        <v>#DIV/0!</v>
      </c>
      <c r="D154" s="29" t="s">
        <v>735</v>
      </c>
      <c r="E154" s="29"/>
    </row>
    <row r="155" spans="2:5" hidden="1" x14ac:dyDescent="0.35">
      <c r="B155" s="24" t="s">
        <v>665</v>
      </c>
      <c r="C155" s="31" t="e">
        <f>'Baseline farm'!D223</f>
        <v>#DIV/0!</v>
      </c>
      <c r="D155" s="29" t="s">
        <v>136</v>
      </c>
      <c r="E155" s="29"/>
    </row>
    <row r="156" spans="2:5" hidden="1" x14ac:dyDescent="0.35">
      <c r="B156" s="24"/>
      <c r="C156" s="31"/>
      <c r="D156" s="29"/>
      <c r="E156" s="29"/>
    </row>
    <row r="157" spans="2:5" hidden="1" x14ac:dyDescent="0.35">
      <c r="B157" s="48" t="s">
        <v>1359</v>
      </c>
      <c r="C157" s="31"/>
      <c r="D157" s="29"/>
    </row>
    <row r="158" spans="2:5" hidden="1" x14ac:dyDescent="0.35">
      <c r="B158" s="29" t="s">
        <v>681</v>
      </c>
      <c r="C158" s="31" t="e">
        <f>C107</f>
        <v>#DIV/0!</v>
      </c>
      <c r="D158" s="29" t="s">
        <v>688</v>
      </c>
    </row>
    <row r="159" spans="2:5" hidden="1" x14ac:dyDescent="0.35">
      <c r="B159" s="24" t="s">
        <v>682</v>
      </c>
      <c r="C159" s="31" t="e">
        <f>C18*0.134 + 1.23 + (0.235 * C21)</f>
        <v>#DIV/0!</v>
      </c>
      <c r="D159" s="29" t="s">
        <v>433</v>
      </c>
    </row>
    <row r="160" spans="2:5" hidden="1" x14ac:dyDescent="0.35">
      <c r="B160" s="24" t="s">
        <v>686</v>
      </c>
      <c r="C160" s="31" t="e">
        <f>C158*C159</f>
        <v>#DIV/0!</v>
      </c>
      <c r="D160" s="29" t="s">
        <v>142</v>
      </c>
    </row>
    <row r="161" spans="2:5" hidden="1" x14ac:dyDescent="0.35">
      <c r="B161" s="24" t="s">
        <v>689</v>
      </c>
      <c r="C161" s="31">
        <f>C25</f>
        <v>4</v>
      </c>
      <c r="D161" s="29"/>
    </row>
    <row r="162" spans="2:5" hidden="1" x14ac:dyDescent="0.35">
      <c r="B162" s="24" t="s">
        <v>690</v>
      </c>
      <c r="C162" s="31">
        <f>IF((C35*0.134)+1.23+(0.235*C39)&gt;13.5,13.5,(C35*0.134)+1.23+(0.235*C39))</f>
        <v>13.5</v>
      </c>
      <c r="D162" s="29" t="s">
        <v>792</v>
      </c>
    </row>
    <row r="163" spans="2:5" hidden="1" x14ac:dyDescent="0.35">
      <c r="B163" s="24" t="s">
        <v>683</v>
      </c>
      <c r="C163" s="31">
        <f>C162*C25</f>
        <v>54</v>
      </c>
      <c r="D163" s="29" t="s">
        <v>691</v>
      </c>
    </row>
    <row r="164" spans="2:5" hidden="1" x14ac:dyDescent="0.35">
      <c r="B164" s="24" t="s">
        <v>681</v>
      </c>
      <c r="C164" s="31" t="e">
        <f>(C158-C161)</f>
        <v>#DIV/0!</v>
      </c>
      <c r="D164" s="29" t="s">
        <v>733</v>
      </c>
    </row>
    <row r="165" spans="2:5" hidden="1" x14ac:dyDescent="0.35">
      <c r="B165" s="24" t="s">
        <v>684</v>
      </c>
      <c r="C165" s="31" t="e">
        <f>C164*C159</f>
        <v>#DIV/0!</v>
      </c>
      <c r="D165" s="29" t="s">
        <v>971</v>
      </c>
    </row>
    <row r="166" spans="2:5" hidden="1" x14ac:dyDescent="0.35">
      <c r="B166" s="24" t="s">
        <v>685</v>
      </c>
      <c r="C166" s="31" t="e">
        <f>C165+C163</f>
        <v>#DIV/0!</v>
      </c>
      <c r="D166" s="29" t="s">
        <v>972</v>
      </c>
    </row>
    <row r="167" spans="2:5" hidden="1" x14ac:dyDescent="0.35">
      <c r="B167" s="24" t="s">
        <v>687</v>
      </c>
      <c r="C167" s="31" t="e">
        <f>C166-C160</f>
        <v>#DIV/0!</v>
      </c>
      <c r="D167" s="29" t="s">
        <v>693</v>
      </c>
    </row>
    <row r="168" spans="2:5" hidden="1" x14ac:dyDescent="0.35">
      <c r="B168" s="24" t="s">
        <v>694</v>
      </c>
      <c r="C168" s="31" t="e">
        <f>C167/5.5</f>
        <v>#DIV/0!</v>
      </c>
      <c r="D168" s="29" t="s">
        <v>669</v>
      </c>
    </row>
    <row r="169" spans="2:5" hidden="1" x14ac:dyDescent="0.35">
      <c r="B169" s="24" t="s">
        <v>695</v>
      </c>
      <c r="C169" s="31" t="e">
        <f>(C16+C168)</f>
        <v>#DIV/0!</v>
      </c>
      <c r="D169" s="29" t="s">
        <v>696</v>
      </c>
    </row>
    <row r="170" spans="2:5" hidden="1" x14ac:dyDescent="0.35">
      <c r="B170" s="24" t="s">
        <v>1107</v>
      </c>
      <c r="C170" s="31" t="e">
        <f>(C168*C43*C13)*(0.2534+(0.1226*'Baseline farm'!R206)+(0.0776*'Baseline farm'!R207))</f>
        <v>#DIV/0!</v>
      </c>
      <c r="D170" s="29"/>
      <c r="E170" s="29"/>
    </row>
    <row r="171" spans="2:5" hidden="1" x14ac:dyDescent="0.35">
      <c r="B171" s="24" t="s">
        <v>750</v>
      </c>
      <c r="C171" s="31" t="e">
        <f>C170/365</f>
        <v>#DIV/0!</v>
      </c>
      <c r="D171" s="29"/>
      <c r="E171" s="29"/>
    </row>
    <row r="172" spans="2:5" hidden="1" x14ac:dyDescent="0.35">
      <c r="B172" s="24" t="s">
        <v>751</v>
      </c>
      <c r="C172" s="31" t="e">
        <f>C171/C13</f>
        <v>#DIV/0!</v>
      </c>
      <c r="D172" s="29"/>
      <c r="E172" s="29"/>
    </row>
    <row r="173" spans="2:5" hidden="1" x14ac:dyDescent="0.35">
      <c r="B173" s="24"/>
      <c r="C173" s="31"/>
      <c r="D173" s="29"/>
      <c r="E173" s="29"/>
    </row>
    <row r="174" spans="2:5" hidden="1" x14ac:dyDescent="0.35">
      <c r="B174" s="27" t="s">
        <v>160</v>
      </c>
      <c r="C174" s="31"/>
      <c r="D174" s="29"/>
      <c r="E174" s="29"/>
    </row>
    <row r="175" spans="2:5" hidden="1" x14ac:dyDescent="0.35">
      <c r="B175" s="29" t="s">
        <v>64</v>
      </c>
      <c r="C175" s="31" t="e">
        <f>(('Baseline farm'!D223*C21)-(C25*C31))/('Baseline farm'!D223-C25)</f>
        <v>#DIV/0!</v>
      </c>
      <c r="D175" s="29" t="s">
        <v>148</v>
      </c>
      <c r="E175" s="29"/>
    </row>
    <row r="176" spans="2:5" hidden="1" x14ac:dyDescent="0.35">
      <c r="B176" s="24" t="s">
        <v>38</v>
      </c>
      <c r="C176" s="31" t="e">
        <f>C175*(('Baseline farm'!D223-C25)/'Baseline farm'!D223)+(C39*C25)/'Baseline farm'!D223</f>
        <v>#DIV/0!</v>
      </c>
      <c r="D176" s="29" t="s">
        <v>149</v>
      </c>
      <c r="E176" s="29"/>
    </row>
    <row r="177" spans="2:36" hidden="1" x14ac:dyDescent="0.35">
      <c r="B177" s="24" t="s">
        <v>39</v>
      </c>
      <c r="C177" s="49" t="e">
        <f>C176-C21</f>
        <v>#DIV/0!</v>
      </c>
      <c r="D177" s="29" t="s">
        <v>137</v>
      </c>
      <c r="E177" s="29"/>
    </row>
    <row r="178" spans="2:36" hidden="1" x14ac:dyDescent="0.35">
      <c r="B178" s="24"/>
      <c r="C178" s="31"/>
      <c r="D178" s="29"/>
      <c r="E178" s="29"/>
    </row>
    <row r="179" spans="2:36" hidden="1" x14ac:dyDescent="0.35">
      <c r="B179" s="29"/>
      <c r="C179" s="29"/>
      <c r="D179" s="29"/>
      <c r="E179" s="29"/>
    </row>
    <row r="180" spans="2:36" hidden="1" x14ac:dyDescent="0.35">
      <c r="B180" s="29"/>
      <c r="C180" s="29"/>
      <c r="D180" s="29"/>
    </row>
    <row r="181" spans="2:36" s="20" customFormat="1" hidden="1" x14ac:dyDescent="0.35">
      <c r="B181" s="27" t="s">
        <v>154</v>
      </c>
      <c r="C181" s="133"/>
      <c r="D181" s="133"/>
      <c r="I181" s="432"/>
      <c r="J181" s="432"/>
      <c r="K181" s="432"/>
      <c r="L181" s="432"/>
      <c r="M181" s="432"/>
      <c r="N181" s="432"/>
      <c r="O181" s="432"/>
      <c r="P181" s="432"/>
      <c r="Q181" s="432"/>
      <c r="R181" s="432"/>
      <c r="S181" s="432"/>
      <c r="T181" s="432"/>
      <c r="U181" s="432"/>
      <c r="V181" s="432"/>
      <c r="W181" s="432"/>
      <c r="X181" s="432"/>
      <c r="Y181" s="432"/>
      <c r="Z181" s="432"/>
      <c r="AA181" s="432"/>
      <c r="AB181" s="432"/>
      <c r="AC181" s="432"/>
      <c r="AD181" s="432"/>
      <c r="AE181" s="432"/>
      <c r="AF181" s="432"/>
      <c r="AG181" s="432"/>
      <c r="AH181" s="432"/>
      <c r="AI181" s="432"/>
      <c r="AJ181" s="432"/>
    </row>
    <row r="182" spans="2:36" s="20" customFormat="1" hidden="1" x14ac:dyDescent="0.35">
      <c r="B182" s="27" t="s">
        <v>441</v>
      </c>
      <c r="C182" s="133"/>
      <c r="D182" s="133"/>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row>
    <row r="183" spans="2:36" s="20" customFormat="1" hidden="1" x14ac:dyDescent="0.35">
      <c r="B183" s="24" t="s">
        <v>11</v>
      </c>
      <c r="C183" s="184" t="e">
        <f>'Baseline farm'!D256</f>
        <v>#DIV/0!</v>
      </c>
      <c r="D183" s="133"/>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432"/>
      <c r="AF183" s="432"/>
      <c r="AG183" s="432"/>
      <c r="AH183" s="432"/>
      <c r="AI183" s="432"/>
      <c r="AJ183" s="432"/>
    </row>
    <row r="184" spans="2:36" s="20" customFormat="1" hidden="1" x14ac:dyDescent="0.35">
      <c r="B184" s="133"/>
      <c r="C184" s="133"/>
      <c r="D184" s="133"/>
      <c r="I184" s="432"/>
      <c r="J184" s="432"/>
      <c r="K184" s="432"/>
      <c r="L184" s="432"/>
      <c r="M184" s="432"/>
      <c r="N184" s="432"/>
      <c r="O184" s="432"/>
      <c r="P184" s="432"/>
      <c r="Q184" s="432"/>
      <c r="R184" s="432"/>
      <c r="S184" s="432"/>
      <c r="T184" s="432"/>
      <c r="U184" s="432"/>
      <c r="V184" s="432"/>
      <c r="W184" s="432"/>
      <c r="X184" s="432"/>
      <c r="Y184" s="432"/>
      <c r="Z184" s="432"/>
      <c r="AA184" s="432"/>
      <c r="AB184" s="432"/>
      <c r="AC184" s="432"/>
      <c r="AD184" s="432"/>
      <c r="AE184" s="432"/>
      <c r="AF184" s="432"/>
      <c r="AG184" s="432"/>
      <c r="AH184" s="432"/>
      <c r="AI184" s="432"/>
      <c r="AJ184" s="432"/>
    </row>
    <row r="185" spans="2:36" s="20" customFormat="1" hidden="1" x14ac:dyDescent="0.35">
      <c r="B185" s="24" t="s">
        <v>12</v>
      </c>
      <c r="C185" s="32">
        <f>$C$13</f>
        <v>0</v>
      </c>
      <c r="D185" s="29"/>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432"/>
      <c r="AF185" s="432"/>
      <c r="AG185" s="432"/>
      <c r="AH185" s="432"/>
      <c r="AI185" s="432"/>
      <c r="AJ185" s="432"/>
    </row>
    <row r="186" spans="2:36" s="20" customFormat="1" hidden="1" x14ac:dyDescent="0.35">
      <c r="B186" s="24" t="s">
        <v>13</v>
      </c>
      <c r="C186" s="44" t="e">
        <f>C183*C185*365</f>
        <v>#DIV/0!</v>
      </c>
      <c r="D186" s="29"/>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432"/>
      <c r="AF186" s="432"/>
      <c r="AG186" s="432"/>
      <c r="AH186" s="432"/>
      <c r="AI186" s="432"/>
      <c r="AJ186" s="432"/>
    </row>
    <row r="187" spans="2:36" s="20" customFormat="1" hidden="1" x14ac:dyDescent="0.35">
      <c r="B187" s="27" t="s">
        <v>14</v>
      </c>
      <c r="C187" s="45" t="e">
        <f>C186*'Emission factors'!C4/1000</f>
        <v>#DIV/0!</v>
      </c>
      <c r="D187" s="29"/>
      <c r="G187" s="45"/>
      <c r="I187" s="432"/>
      <c r="J187" s="432"/>
      <c r="K187" s="432"/>
      <c r="L187" s="432"/>
      <c r="M187" s="432"/>
      <c r="N187" s="432"/>
      <c r="O187" s="432"/>
      <c r="P187" s="432"/>
      <c r="Q187" s="432"/>
      <c r="R187" s="432"/>
      <c r="S187" s="432"/>
      <c r="T187" s="432"/>
      <c r="U187" s="432"/>
      <c r="V187" s="432"/>
      <c r="W187" s="432"/>
      <c r="X187" s="432"/>
      <c r="Y187" s="432"/>
      <c r="Z187" s="432"/>
      <c r="AA187" s="432"/>
      <c r="AB187" s="432"/>
      <c r="AC187" s="432"/>
      <c r="AD187" s="432"/>
      <c r="AE187" s="432"/>
      <c r="AF187" s="432"/>
      <c r="AG187" s="432"/>
      <c r="AH187" s="432"/>
      <c r="AI187" s="432"/>
      <c r="AJ187" s="432"/>
    </row>
    <row r="188" spans="2:36" s="20" customFormat="1" hidden="1" x14ac:dyDescent="0.35">
      <c r="B188" s="133"/>
      <c r="C188" s="133"/>
      <c r="D188" s="133"/>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432"/>
      <c r="AE188" s="432"/>
      <c r="AF188" s="432"/>
      <c r="AG188" s="432"/>
      <c r="AH188" s="432"/>
      <c r="AI188" s="432"/>
      <c r="AJ188" s="432"/>
    </row>
    <row r="189" spans="2:36" s="20" customFormat="1" hidden="1" x14ac:dyDescent="0.35">
      <c r="B189" s="133"/>
      <c r="C189" s="133"/>
      <c r="D189" s="133"/>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432"/>
      <c r="AF189" s="432"/>
      <c r="AG189" s="432"/>
      <c r="AH189" s="432"/>
      <c r="AI189" s="432"/>
      <c r="AJ189" s="432"/>
    </row>
    <row r="190" spans="2:36" s="20" customFormat="1" hidden="1" x14ac:dyDescent="0.35">
      <c r="B190" s="48" t="s">
        <v>155</v>
      </c>
      <c r="C190" s="133"/>
      <c r="D190" s="133"/>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432"/>
      <c r="AF190" s="432"/>
      <c r="AG190" s="432"/>
      <c r="AH190" s="432"/>
      <c r="AI190" s="432"/>
      <c r="AJ190" s="432"/>
    </row>
    <row r="191" spans="2:36" s="20" customFormat="1" hidden="1" x14ac:dyDescent="0.35">
      <c r="B191" s="27" t="s">
        <v>441</v>
      </c>
      <c r="C191" s="133"/>
      <c r="D191" s="133"/>
      <c r="I191" s="432"/>
      <c r="J191" s="432"/>
      <c r="K191" s="432"/>
      <c r="L191" s="432"/>
      <c r="M191" s="432"/>
      <c r="N191" s="432"/>
      <c r="O191" s="432"/>
      <c r="P191" s="432"/>
      <c r="Q191" s="432"/>
      <c r="R191" s="432"/>
      <c r="S191" s="432"/>
      <c r="T191" s="432"/>
      <c r="U191" s="432"/>
      <c r="V191" s="432"/>
      <c r="W191" s="432"/>
      <c r="X191" s="432"/>
      <c r="Y191" s="432"/>
      <c r="Z191" s="432"/>
      <c r="AA191" s="432"/>
      <c r="AB191" s="432"/>
      <c r="AC191" s="432"/>
      <c r="AD191" s="432"/>
      <c r="AE191" s="432"/>
      <c r="AF191" s="432"/>
      <c r="AG191" s="432"/>
      <c r="AH191" s="432"/>
      <c r="AI191" s="432"/>
      <c r="AJ191" s="432"/>
    </row>
    <row r="192" spans="2:36" s="20" customFormat="1" hidden="1" x14ac:dyDescent="0.35">
      <c r="B192" s="133"/>
      <c r="C192" s="133"/>
      <c r="D192" s="133"/>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432"/>
      <c r="AF192" s="432"/>
      <c r="AG192" s="432"/>
      <c r="AH192" s="432"/>
      <c r="AI192" s="432"/>
      <c r="AJ192" s="432"/>
    </row>
    <row r="193" spans="2:36" s="20" customFormat="1" hidden="1" x14ac:dyDescent="0.35">
      <c r="B193" s="185" t="s">
        <v>1354</v>
      </c>
      <c r="C193" s="184" t="e">
        <f>(C155*(1-C147%)+(0.04*C155))*(1-0.08)</f>
        <v>#DIV/0!</v>
      </c>
      <c r="D193" s="133"/>
      <c r="E193" s="289"/>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432"/>
      <c r="AF193" s="432"/>
      <c r="AG193" s="432"/>
      <c r="AH193" s="432"/>
      <c r="AI193" s="432"/>
      <c r="AJ193" s="432"/>
    </row>
    <row r="194" spans="2:36" s="20" customFormat="1" hidden="1" x14ac:dyDescent="0.35">
      <c r="B194" s="29"/>
      <c r="C194" s="184"/>
      <c r="D194" s="133"/>
      <c r="I194" s="432"/>
      <c r="J194" s="432"/>
      <c r="K194" s="432"/>
      <c r="L194" s="432"/>
      <c r="M194" s="432"/>
      <c r="N194" s="432"/>
      <c r="O194" s="432"/>
      <c r="P194" s="432"/>
      <c r="Q194" s="432"/>
      <c r="R194" s="432"/>
      <c r="S194" s="432"/>
      <c r="T194" s="432"/>
      <c r="U194" s="432"/>
      <c r="V194" s="432"/>
      <c r="W194" s="432"/>
      <c r="X194" s="432"/>
      <c r="Y194" s="432"/>
      <c r="Z194" s="432"/>
      <c r="AA194" s="432"/>
      <c r="AB194" s="432"/>
      <c r="AC194" s="432"/>
      <c r="AD194" s="432"/>
      <c r="AE194" s="432"/>
      <c r="AF194" s="432"/>
      <c r="AG194" s="432"/>
      <c r="AH194" s="432"/>
      <c r="AI194" s="432"/>
      <c r="AJ194" s="432"/>
    </row>
    <row r="195" spans="2:36" s="20" customFormat="1" hidden="1" x14ac:dyDescent="0.35">
      <c r="B195" s="185" t="s">
        <v>257</v>
      </c>
      <c r="C195" s="184" t="e">
        <f>C193*'Baseline farm'!C244*'Baseline farm'!I102%*'Baseline farm'!C245</f>
        <v>#DIV/0!</v>
      </c>
      <c r="D195" s="133"/>
      <c r="I195" s="432"/>
      <c r="J195" s="432"/>
      <c r="K195" s="432"/>
      <c r="L195" s="432"/>
      <c r="M195" s="432"/>
      <c r="N195" s="432"/>
      <c r="O195" s="432"/>
      <c r="P195" s="432"/>
      <c r="Q195" s="432"/>
      <c r="R195" s="432"/>
      <c r="S195" s="432"/>
      <c r="T195" s="432"/>
      <c r="U195" s="432"/>
      <c r="V195" s="432"/>
      <c r="W195" s="432"/>
      <c r="X195" s="432"/>
      <c r="Y195" s="432"/>
      <c r="Z195" s="432"/>
      <c r="AA195" s="432"/>
      <c r="AB195" s="432"/>
      <c r="AC195" s="432"/>
      <c r="AD195" s="432"/>
      <c r="AE195" s="432"/>
      <c r="AF195" s="432"/>
      <c r="AG195" s="432"/>
      <c r="AH195" s="432"/>
      <c r="AI195" s="432"/>
      <c r="AJ195" s="432"/>
    </row>
    <row r="196" spans="2:36" s="20" customFormat="1" hidden="1" x14ac:dyDescent="0.35">
      <c r="B196" s="133"/>
      <c r="C196" s="184"/>
      <c r="D196" s="133"/>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432"/>
      <c r="AF196" s="432"/>
      <c r="AG196" s="432"/>
      <c r="AH196" s="432"/>
      <c r="AI196" s="432"/>
      <c r="AJ196" s="432"/>
    </row>
    <row r="197" spans="2:36" hidden="1" x14ac:dyDescent="0.35">
      <c r="B197" s="24" t="s">
        <v>12</v>
      </c>
      <c r="C197" s="32">
        <f>$C$13</f>
        <v>0</v>
      </c>
      <c r="D197" s="29"/>
      <c r="E197" s="37"/>
      <c r="F197" s="126"/>
    </row>
    <row r="198" spans="2:36" hidden="1" x14ac:dyDescent="0.35">
      <c r="B198" s="24" t="s">
        <v>13</v>
      </c>
      <c r="C198" s="44" t="e">
        <f>C195*C197*365</f>
        <v>#DIV/0!</v>
      </c>
      <c r="D198" s="29"/>
      <c r="E198" s="43"/>
      <c r="F198" s="126"/>
    </row>
    <row r="199" spans="2:36" hidden="1" x14ac:dyDescent="0.35">
      <c r="B199" s="27" t="s">
        <v>450</v>
      </c>
      <c r="C199" s="45" t="e">
        <f>C198*'Emission factors'!C4/1000</f>
        <v>#DIV/0!</v>
      </c>
      <c r="D199" s="29"/>
      <c r="E199" s="37"/>
      <c r="F199" s="126"/>
    </row>
    <row r="200" spans="2:36" s="20" customFormat="1" hidden="1" x14ac:dyDescent="0.35">
      <c r="B200" s="133"/>
      <c r="C200" s="133"/>
      <c r="D200" s="133"/>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432"/>
      <c r="AF200" s="432"/>
      <c r="AG200" s="432"/>
      <c r="AH200" s="432"/>
      <c r="AI200" s="432"/>
      <c r="AJ200" s="432"/>
    </row>
    <row r="201" spans="2:36" s="20" customFormat="1" hidden="1" x14ac:dyDescent="0.35">
      <c r="B201" s="134" t="s">
        <v>443</v>
      </c>
      <c r="C201" s="186" t="e">
        <f>C187-C199</f>
        <v>#DIV/0!</v>
      </c>
      <c r="D201" s="133"/>
      <c r="I201" s="432"/>
      <c r="J201" s="432"/>
      <c r="K201" s="432"/>
      <c r="L201" s="432"/>
      <c r="M201" s="432"/>
      <c r="N201" s="432"/>
      <c r="O201" s="432"/>
      <c r="P201" s="432"/>
      <c r="Q201" s="432"/>
      <c r="R201" s="432"/>
      <c r="S201" s="432"/>
      <c r="T201" s="432"/>
      <c r="U201" s="432"/>
      <c r="V201" s="432"/>
      <c r="W201" s="432"/>
      <c r="X201" s="432"/>
      <c r="Y201" s="432"/>
      <c r="Z201" s="432"/>
      <c r="AA201" s="432"/>
      <c r="AB201" s="432"/>
      <c r="AC201" s="432"/>
      <c r="AD201" s="432"/>
      <c r="AE201" s="432"/>
      <c r="AF201" s="432"/>
      <c r="AG201" s="432"/>
      <c r="AH201" s="432"/>
      <c r="AI201" s="432"/>
      <c r="AJ201" s="432"/>
    </row>
    <row r="202" spans="2:36" s="20" customFormat="1" hidden="1" x14ac:dyDescent="0.35">
      <c r="B202" s="133"/>
      <c r="C202" s="133"/>
      <c r="D202" s="133"/>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432"/>
      <c r="AF202" s="432"/>
      <c r="AG202" s="432"/>
      <c r="AH202" s="432"/>
      <c r="AI202" s="432"/>
      <c r="AJ202" s="432"/>
    </row>
    <row r="203" spans="2:36" s="20" customFormat="1" hidden="1" x14ac:dyDescent="0.35">
      <c r="B203" s="27" t="s">
        <v>154</v>
      </c>
      <c r="C203" s="133"/>
      <c r="D203" s="133"/>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432"/>
      <c r="AF203" s="432"/>
      <c r="AG203" s="432"/>
      <c r="AH203" s="432"/>
      <c r="AI203" s="432"/>
      <c r="AJ203" s="432"/>
    </row>
    <row r="204" spans="2:36" s="20" customFormat="1" hidden="1" x14ac:dyDescent="0.35">
      <c r="B204" s="135" t="s">
        <v>426</v>
      </c>
      <c r="C204" s="133"/>
      <c r="D204" s="133"/>
      <c r="I204" s="432"/>
      <c r="J204" s="432"/>
      <c r="K204" s="432"/>
      <c r="L204" s="432"/>
      <c r="M204" s="432"/>
      <c r="N204" s="432"/>
      <c r="O204" s="432"/>
      <c r="P204" s="432"/>
      <c r="Q204" s="432"/>
      <c r="R204" s="432"/>
      <c r="S204" s="432"/>
      <c r="T204" s="432"/>
      <c r="U204" s="432"/>
      <c r="V204" s="432"/>
      <c r="W204" s="432"/>
      <c r="X204" s="432"/>
      <c r="Y204" s="432"/>
      <c r="Z204" s="432"/>
      <c r="AA204" s="432"/>
      <c r="AB204" s="432"/>
      <c r="AC204" s="432"/>
      <c r="AD204" s="432"/>
      <c r="AE204" s="432"/>
      <c r="AF204" s="432"/>
      <c r="AG204" s="432"/>
      <c r="AH204" s="432"/>
      <c r="AI204" s="432"/>
      <c r="AJ204" s="432"/>
    </row>
    <row r="205" spans="2:36" s="20" customFormat="1" hidden="1" x14ac:dyDescent="0.35">
      <c r="B205" s="133" t="s">
        <v>452</v>
      </c>
      <c r="C205" s="184" t="e">
        <f>'Baseline farm'!D115/'Emission factors'!C5*1000</f>
        <v>#DIV/0!</v>
      </c>
      <c r="D205" s="133"/>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432"/>
      <c r="AF205" s="432"/>
      <c r="AG205" s="432"/>
      <c r="AH205" s="432"/>
      <c r="AI205" s="432"/>
      <c r="AJ205" s="432"/>
    </row>
    <row r="206" spans="2:36" s="20" customFormat="1" hidden="1" x14ac:dyDescent="0.35">
      <c r="B206" s="133"/>
      <c r="C206" s="133"/>
      <c r="D206" s="133"/>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432"/>
      <c r="AF206" s="432"/>
      <c r="AG206" s="432"/>
      <c r="AH206" s="432"/>
      <c r="AI206" s="432"/>
      <c r="AJ206" s="432"/>
    </row>
    <row r="207" spans="2:36" s="20" customFormat="1" hidden="1" x14ac:dyDescent="0.35">
      <c r="B207" s="135" t="s">
        <v>1355</v>
      </c>
      <c r="C207" s="133"/>
      <c r="D207" s="133"/>
      <c r="I207" s="432"/>
      <c r="J207" s="432"/>
      <c r="K207" s="432"/>
      <c r="L207" s="432"/>
      <c r="M207" s="432"/>
      <c r="N207" s="432"/>
      <c r="O207" s="432"/>
      <c r="P207" s="432"/>
      <c r="Q207" s="432"/>
      <c r="R207" s="432"/>
      <c r="S207" s="432"/>
      <c r="T207" s="432"/>
      <c r="U207" s="432"/>
      <c r="V207" s="432"/>
      <c r="W207" s="432"/>
      <c r="X207" s="432"/>
      <c r="Y207" s="432"/>
      <c r="Z207" s="432"/>
      <c r="AA207" s="432"/>
      <c r="AB207" s="432"/>
      <c r="AC207" s="432"/>
      <c r="AD207" s="432"/>
      <c r="AE207" s="432"/>
      <c r="AF207" s="432"/>
      <c r="AG207" s="432"/>
      <c r="AH207" s="432"/>
      <c r="AI207" s="432"/>
      <c r="AJ207" s="432"/>
    </row>
    <row r="208" spans="2:36" s="20" customFormat="1" hidden="1" x14ac:dyDescent="0.35">
      <c r="B208" s="133" t="s">
        <v>452</v>
      </c>
      <c r="C208" s="184" t="e">
        <f>'Baseline farm'!D116/'Emission factors'!C5*1000</f>
        <v>#DIV/0!</v>
      </c>
      <c r="D208" s="133"/>
      <c r="I208" s="432"/>
      <c r="J208" s="432"/>
      <c r="K208" s="432"/>
      <c r="L208" s="432"/>
      <c r="M208" s="432"/>
      <c r="N208" s="432"/>
      <c r="O208" s="432"/>
      <c r="P208" s="432"/>
      <c r="Q208" s="432"/>
      <c r="R208" s="432"/>
      <c r="S208" s="432"/>
      <c r="T208" s="432"/>
      <c r="U208" s="432"/>
      <c r="V208" s="432"/>
      <c r="W208" s="432"/>
      <c r="X208" s="432"/>
      <c r="Y208" s="432"/>
      <c r="Z208" s="432"/>
      <c r="AA208" s="432"/>
      <c r="AB208" s="432"/>
      <c r="AC208" s="432"/>
      <c r="AD208" s="432"/>
      <c r="AE208" s="432"/>
      <c r="AF208" s="432"/>
      <c r="AG208" s="432"/>
      <c r="AH208" s="432"/>
      <c r="AI208" s="432"/>
      <c r="AJ208" s="432"/>
    </row>
    <row r="209" spans="2:36" s="20" customFormat="1" hidden="1" x14ac:dyDescent="0.35">
      <c r="B209" s="29"/>
      <c r="C209" s="133"/>
      <c r="D209" s="133"/>
      <c r="I209" s="432"/>
      <c r="J209" s="432"/>
      <c r="K209" s="432"/>
      <c r="L209" s="432"/>
      <c r="M209" s="432"/>
      <c r="N209" s="432"/>
      <c r="O209" s="432"/>
      <c r="P209" s="432"/>
      <c r="Q209" s="432"/>
      <c r="R209" s="432"/>
      <c r="S209" s="432"/>
      <c r="T209" s="432"/>
      <c r="U209" s="432"/>
      <c r="V209" s="432"/>
      <c r="W209" s="432"/>
      <c r="X209" s="432"/>
      <c r="Y209" s="432"/>
      <c r="Z209" s="432"/>
      <c r="AA209" s="432"/>
      <c r="AB209" s="432"/>
      <c r="AC209" s="432"/>
      <c r="AD209" s="432"/>
      <c r="AE209" s="432"/>
      <c r="AF209" s="432"/>
      <c r="AG209" s="432"/>
      <c r="AH209" s="432"/>
      <c r="AI209" s="432"/>
      <c r="AJ209" s="432"/>
    </row>
    <row r="210" spans="2:36" s="20" customFormat="1" hidden="1" x14ac:dyDescent="0.35">
      <c r="B210" s="135" t="s">
        <v>423</v>
      </c>
      <c r="C210" s="133"/>
      <c r="D210" s="133"/>
      <c r="I210" s="432"/>
      <c r="J210" s="432"/>
      <c r="K210" s="432"/>
      <c r="L210" s="432"/>
      <c r="M210" s="432"/>
      <c r="N210" s="432"/>
      <c r="O210" s="432"/>
      <c r="P210" s="432"/>
      <c r="Q210" s="432"/>
      <c r="R210" s="432"/>
      <c r="S210" s="432"/>
      <c r="T210" s="432"/>
      <c r="U210" s="432"/>
      <c r="V210" s="432"/>
      <c r="W210" s="432"/>
      <c r="X210" s="432"/>
      <c r="Y210" s="432"/>
      <c r="Z210" s="432"/>
      <c r="AA210" s="432"/>
      <c r="AB210" s="432"/>
      <c r="AC210" s="432"/>
      <c r="AD210" s="432"/>
      <c r="AE210" s="432"/>
      <c r="AF210" s="432"/>
      <c r="AG210" s="432"/>
      <c r="AH210" s="432"/>
      <c r="AI210" s="432"/>
      <c r="AJ210" s="432"/>
    </row>
    <row r="211" spans="2:36" s="20" customFormat="1" hidden="1" x14ac:dyDescent="0.35">
      <c r="B211" s="133" t="s">
        <v>452</v>
      </c>
      <c r="C211" s="184" t="e">
        <f>'Baseline farm'!D117/'Emission factors'!C5*1000</f>
        <v>#DIV/0!</v>
      </c>
      <c r="D211" s="133"/>
      <c r="I211" s="432"/>
      <c r="J211" s="432"/>
      <c r="K211" s="432"/>
      <c r="L211" s="432"/>
      <c r="M211" s="432"/>
      <c r="N211" s="432"/>
      <c r="O211" s="432"/>
      <c r="P211" s="432"/>
      <c r="Q211" s="432"/>
      <c r="R211" s="432"/>
      <c r="S211" s="432"/>
      <c r="T211" s="432"/>
      <c r="U211" s="432"/>
      <c r="V211" s="432"/>
      <c r="W211" s="432"/>
      <c r="X211" s="432"/>
      <c r="Y211" s="432"/>
      <c r="Z211" s="432"/>
      <c r="AA211" s="432"/>
      <c r="AB211" s="432"/>
      <c r="AC211" s="432"/>
      <c r="AD211" s="432"/>
      <c r="AE211" s="432"/>
      <c r="AF211" s="432"/>
      <c r="AG211" s="432"/>
      <c r="AH211" s="432"/>
      <c r="AI211" s="432"/>
      <c r="AJ211" s="432"/>
    </row>
    <row r="212" spans="2:36" s="20" customFormat="1" hidden="1" x14ac:dyDescent="0.35">
      <c r="B212" s="133"/>
      <c r="C212" s="133"/>
      <c r="D212" s="133"/>
      <c r="I212" s="432"/>
      <c r="J212" s="432"/>
      <c r="K212" s="432"/>
      <c r="L212" s="432"/>
      <c r="M212" s="432"/>
      <c r="N212" s="432"/>
      <c r="O212" s="432"/>
      <c r="P212" s="432"/>
      <c r="Q212" s="432"/>
      <c r="R212" s="432"/>
      <c r="S212" s="432"/>
      <c r="T212" s="432"/>
      <c r="U212" s="432"/>
      <c r="V212" s="432"/>
      <c r="W212" s="432"/>
      <c r="X212" s="432"/>
      <c r="Y212" s="432"/>
      <c r="Z212" s="432"/>
      <c r="AA212" s="432"/>
      <c r="AB212" s="432"/>
      <c r="AC212" s="432"/>
      <c r="AD212" s="432"/>
      <c r="AE212" s="432"/>
      <c r="AF212" s="432"/>
      <c r="AG212" s="432"/>
      <c r="AH212" s="432"/>
      <c r="AI212" s="432"/>
      <c r="AJ212" s="432"/>
    </row>
    <row r="213" spans="2:36" s="20" customFormat="1" hidden="1" x14ac:dyDescent="0.35">
      <c r="B213" s="134" t="s">
        <v>447</v>
      </c>
      <c r="C213" s="133"/>
      <c r="D213" s="133"/>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432"/>
      <c r="AE213" s="432"/>
      <c r="AF213" s="432"/>
      <c r="AG213" s="432"/>
      <c r="AH213" s="432"/>
      <c r="AI213" s="432"/>
      <c r="AJ213" s="432"/>
    </row>
    <row r="214" spans="2:36" s="20" customFormat="1" hidden="1" x14ac:dyDescent="0.35">
      <c r="B214" s="133" t="s">
        <v>452</v>
      </c>
      <c r="C214" s="184" t="e">
        <f>C205+C208+C211</f>
        <v>#DIV/0!</v>
      </c>
      <c r="D214" s="133"/>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432"/>
      <c r="AF214" s="432"/>
      <c r="AG214" s="432"/>
      <c r="AH214" s="432"/>
      <c r="AI214" s="432"/>
      <c r="AJ214" s="432"/>
    </row>
    <row r="215" spans="2:36" s="20" customFormat="1" hidden="1" x14ac:dyDescent="0.35">
      <c r="B215" s="133"/>
      <c r="C215" s="133"/>
      <c r="D215" s="133"/>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432"/>
      <c r="AE215" s="432"/>
      <c r="AF215" s="432"/>
      <c r="AG215" s="432"/>
      <c r="AH215" s="432"/>
      <c r="AI215" s="432"/>
      <c r="AJ215" s="432"/>
    </row>
    <row r="216" spans="2:36" hidden="1" x14ac:dyDescent="0.35">
      <c r="B216" s="27" t="s">
        <v>449</v>
      </c>
      <c r="C216" s="45" t="e">
        <f>C214*'Emission factors'!C5/1000</f>
        <v>#DIV/0!</v>
      </c>
      <c r="D216" s="29"/>
      <c r="E216" s="37"/>
      <c r="F216" s="126"/>
    </row>
    <row r="217" spans="2:36" s="20" customFormat="1" hidden="1" x14ac:dyDescent="0.35">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432"/>
      <c r="AE217" s="432"/>
      <c r="AF217" s="432"/>
      <c r="AG217" s="432"/>
      <c r="AH217" s="432"/>
      <c r="AI217" s="432"/>
      <c r="AJ217" s="432"/>
    </row>
    <row r="218" spans="2:36" s="20" customFormat="1" hidden="1" x14ac:dyDescent="0.35">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432"/>
      <c r="AE218" s="432"/>
      <c r="AF218" s="432"/>
      <c r="AG218" s="432"/>
      <c r="AH218" s="432"/>
      <c r="AI218" s="432"/>
      <c r="AJ218" s="432"/>
    </row>
    <row r="219" spans="2:36" s="20" customFormat="1" hidden="1" x14ac:dyDescent="0.35">
      <c r="B219" s="48" t="s">
        <v>155</v>
      </c>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432"/>
      <c r="AE219" s="432"/>
      <c r="AF219" s="432"/>
      <c r="AG219" s="432"/>
      <c r="AH219" s="432"/>
      <c r="AI219" s="432"/>
      <c r="AJ219" s="432"/>
    </row>
    <row r="220" spans="2:36" s="20" customFormat="1" hidden="1" x14ac:dyDescent="0.35">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432"/>
      <c r="AE220" s="432"/>
      <c r="AF220" s="432"/>
      <c r="AG220" s="432"/>
      <c r="AH220" s="432"/>
      <c r="AI220" s="432"/>
      <c r="AJ220" s="432"/>
    </row>
    <row r="221" spans="2:36" s="17" customFormat="1" ht="15.5" hidden="1" x14ac:dyDescent="0.35">
      <c r="B221" s="187" t="s">
        <v>267</v>
      </c>
      <c r="C221" s="187" t="s">
        <v>216</v>
      </c>
      <c r="D221" s="188" t="s">
        <v>451</v>
      </c>
      <c r="E221" s="188"/>
      <c r="F221" s="188"/>
      <c r="G221" s="188"/>
      <c r="H221" s="188"/>
      <c r="I221" s="494">
        <f>I92</f>
        <v>0</v>
      </c>
      <c r="J221" s="495"/>
      <c r="K221" s="432"/>
      <c r="L221" s="432"/>
      <c r="M221" s="432"/>
      <c r="N221" s="432"/>
      <c r="O221" s="432"/>
      <c r="P221" s="432"/>
      <c r="Q221" s="432"/>
      <c r="R221" s="432"/>
      <c r="S221" s="432"/>
      <c r="T221" s="432"/>
      <c r="U221" s="432"/>
      <c r="V221" s="432"/>
      <c r="W221" s="432"/>
      <c r="X221" s="432"/>
      <c r="Y221" s="432"/>
      <c r="Z221" s="432"/>
      <c r="AA221" s="432"/>
      <c r="AB221" s="432"/>
      <c r="AC221" s="432"/>
      <c r="AD221" s="432"/>
      <c r="AE221" s="432"/>
      <c r="AF221" s="432"/>
      <c r="AG221" s="432"/>
      <c r="AH221" s="432"/>
      <c r="AI221" s="432"/>
      <c r="AJ221" s="432"/>
    </row>
    <row r="222" spans="2:36" s="17" customFormat="1" ht="15.5" hidden="1" x14ac:dyDescent="0.35">
      <c r="B222" s="190"/>
      <c r="C222" s="190"/>
      <c r="D222" s="190"/>
      <c r="E222" s="190"/>
      <c r="F222" s="190"/>
      <c r="G222" s="190"/>
      <c r="H222" s="190"/>
      <c r="I222" s="55"/>
      <c r="J222" s="227"/>
      <c r="K222" s="432"/>
      <c r="L222" s="432"/>
      <c r="M222" s="432"/>
      <c r="N222" s="432"/>
      <c r="O222" s="432"/>
      <c r="P222" s="432"/>
      <c r="Q222" s="432"/>
      <c r="R222" s="432"/>
      <c r="S222" s="432"/>
      <c r="T222" s="432"/>
      <c r="U222" s="432"/>
      <c r="V222" s="432"/>
      <c r="W222" s="432"/>
      <c r="X222" s="432"/>
      <c r="Y222" s="432"/>
      <c r="Z222" s="432"/>
      <c r="AA222" s="432"/>
      <c r="AB222" s="432"/>
      <c r="AC222" s="432"/>
      <c r="AD222" s="432"/>
      <c r="AE222" s="432"/>
      <c r="AF222" s="432"/>
      <c r="AG222" s="432"/>
      <c r="AH222" s="432"/>
      <c r="AI222" s="432"/>
      <c r="AJ222" s="432"/>
    </row>
    <row r="223" spans="2:36" s="17" customFormat="1" ht="15.5" hidden="1" x14ac:dyDescent="0.35">
      <c r="B223" s="192" t="s">
        <v>268</v>
      </c>
      <c r="C223" s="190"/>
      <c r="D223" s="192" t="s">
        <v>269</v>
      </c>
      <c r="E223" s="193"/>
      <c r="F223" s="193"/>
      <c r="G223" s="194"/>
      <c r="H223" s="190"/>
      <c r="I223" s="55"/>
      <c r="J223" s="227"/>
      <c r="K223" s="432"/>
      <c r="L223" s="432"/>
      <c r="M223" s="432"/>
      <c r="N223" s="432"/>
      <c r="O223" s="432"/>
      <c r="P223" s="432"/>
      <c r="Q223" s="432"/>
      <c r="R223" s="432"/>
      <c r="S223" s="432"/>
      <c r="T223" s="432"/>
      <c r="U223" s="432"/>
      <c r="V223" s="432"/>
      <c r="W223" s="432"/>
      <c r="X223" s="432"/>
      <c r="Y223" s="432"/>
      <c r="Z223" s="432"/>
      <c r="AA223" s="432"/>
      <c r="AB223" s="432"/>
      <c r="AC223" s="432"/>
      <c r="AD223" s="432"/>
      <c r="AE223" s="432"/>
      <c r="AF223" s="432"/>
      <c r="AG223" s="432"/>
      <c r="AH223" s="432"/>
      <c r="AI223" s="432"/>
      <c r="AJ223" s="432"/>
    </row>
    <row r="224" spans="2:36" s="17" customFormat="1" ht="15.5" hidden="1" x14ac:dyDescent="0.35">
      <c r="B224" s="190"/>
      <c r="C224" s="195" t="s">
        <v>434</v>
      </c>
      <c r="D224" s="970" t="e">
        <f>C155*C154%</f>
        <v>#DIV/0!</v>
      </c>
      <c r="E224" s="196"/>
      <c r="F224" s="196"/>
      <c r="G224" s="196"/>
      <c r="H224" s="196"/>
      <c r="I224" s="55" t="s">
        <v>255</v>
      </c>
      <c r="J224" s="227"/>
      <c r="K224" s="432"/>
      <c r="L224" s="432"/>
      <c r="M224" s="432"/>
      <c r="N224" s="432"/>
      <c r="O224" s="432"/>
      <c r="P224" s="432"/>
      <c r="Q224" s="432"/>
      <c r="R224" s="432"/>
      <c r="S224" s="432"/>
      <c r="T224" s="432"/>
      <c r="U224" s="432"/>
      <c r="V224" s="432"/>
      <c r="W224" s="432"/>
      <c r="X224" s="432"/>
      <c r="Y224" s="432"/>
      <c r="Z224" s="432"/>
      <c r="AA224" s="432"/>
      <c r="AB224" s="432"/>
      <c r="AC224" s="432"/>
      <c r="AD224" s="432"/>
      <c r="AE224" s="432"/>
      <c r="AF224" s="432"/>
      <c r="AG224" s="432"/>
      <c r="AH224" s="432"/>
      <c r="AI224" s="432"/>
      <c r="AJ224" s="432"/>
    </row>
    <row r="225" spans="2:36" s="17" customFormat="1" ht="15.5" hidden="1" x14ac:dyDescent="0.35">
      <c r="B225" s="197"/>
      <c r="C225" s="197"/>
      <c r="D225" s="197"/>
      <c r="E225" s="197"/>
      <c r="F225" s="197"/>
      <c r="G225" s="198"/>
      <c r="H225" s="190"/>
      <c r="I225" s="55"/>
      <c r="J225" s="227"/>
      <c r="K225" s="432"/>
      <c r="L225" s="432"/>
      <c r="M225" s="432"/>
      <c r="N225" s="432"/>
      <c r="O225" s="432"/>
      <c r="P225" s="432"/>
      <c r="Q225" s="432"/>
      <c r="R225" s="432"/>
      <c r="S225" s="432"/>
      <c r="T225" s="432"/>
      <c r="U225" s="432"/>
      <c r="V225" s="432"/>
      <c r="W225" s="432"/>
      <c r="X225" s="432"/>
      <c r="Y225" s="432"/>
      <c r="Z225" s="432"/>
      <c r="AA225" s="432"/>
      <c r="AB225" s="432"/>
      <c r="AC225" s="432"/>
      <c r="AD225" s="432"/>
      <c r="AE225" s="432"/>
      <c r="AF225" s="432"/>
      <c r="AG225" s="432"/>
      <c r="AH225" s="432"/>
      <c r="AI225" s="432"/>
      <c r="AJ225" s="432"/>
    </row>
    <row r="226" spans="2:36" s="17" customFormat="1" ht="15.5" hidden="1" x14ac:dyDescent="0.35">
      <c r="B226" s="192" t="s">
        <v>271</v>
      </c>
      <c r="C226" s="193"/>
      <c r="D226" s="192" t="s">
        <v>272</v>
      </c>
      <c r="E226" s="193"/>
      <c r="F226" s="193"/>
      <c r="G226" s="194"/>
      <c r="H226" s="190"/>
      <c r="I226" s="55"/>
      <c r="J226" s="227"/>
      <c r="K226" s="432"/>
      <c r="L226" s="432"/>
      <c r="M226" s="432"/>
      <c r="N226" s="432"/>
      <c r="O226" s="432"/>
      <c r="P226" s="432"/>
      <c r="Q226" s="432"/>
      <c r="R226" s="432"/>
      <c r="S226" s="432"/>
      <c r="T226" s="432"/>
      <c r="U226" s="432"/>
      <c r="V226" s="432"/>
      <c r="W226" s="432"/>
      <c r="X226" s="432"/>
      <c r="Y226" s="432"/>
      <c r="Z226" s="432"/>
      <c r="AA226" s="432"/>
      <c r="AB226" s="432"/>
      <c r="AC226" s="432"/>
      <c r="AD226" s="432"/>
      <c r="AE226" s="432"/>
      <c r="AF226" s="432"/>
      <c r="AG226" s="432"/>
      <c r="AH226" s="432"/>
      <c r="AI226" s="432"/>
      <c r="AJ226" s="432"/>
    </row>
    <row r="227" spans="2:36" s="17" customFormat="1" ht="15.5" hidden="1" x14ac:dyDescent="0.35">
      <c r="B227" s="193"/>
      <c r="C227" s="190"/>
      <c r="D227" s="190" t="s">
        <v>274</v>
      </c>
      <c r="E227" s="193"/>
      <c r="F227" s="193"/>
      <c r="G227" s="194"/>
      <c r="H227" s="190"/>
      <c r="I227" s="55"/>
      <c r="J227" s="227"/>
      <c r="K227" s="432"/>
      <c r="L227" s="432"/>
      <c r="M227" s="432"/>
      <c r="N227" s="432"/>
      <c r="O227" s="432"/>
      <c r="P227" s="432"/>
      <c r="Q227" s="432"/>
      <c r="R227" s="432"/>
      <c r="S227" s="432"/>
      <c r="T227" s="432"/>
      <c r="U227" s="432"/>
      <c r="V227" s="432"/>
      <c r="W227" s="432"/>
      <c r="X227" s="432"/>
      <c r="Y227" s="432"/>
      <c r="Z227" s="432"/>
      <c r="AA227" s="432"/>
      <c r="AB227" s="432"/>
      <c r="AC227" s="432"/>
      <c r="AD227" s="432"/>
      <c r="AE227" s="432"/>
      <c r="AF227" s="432"/>
      <c r="AG227" s="432"/>
      <c r="AH227" s="432"/>
      <c r="AI227" s="432"/>
      <c r="AJ227" s="432"/>
    </row>
    <row r="228" spans="2:36" s="17" customFormat="1" ht="15.5" hidden="1" x14ac:dyDescent="0.35">
      <c r="B228" s="190"/>
      <c r="C228" s="190"/>
      <c r="D228" s="190" t="s">
        <v>275</v>
      </c>
      <c r="E228" s="199"/>
      <c r="F228" s="199"/>
      <c r="G228" s="194"/>
      <c r="H228" s="190"/>
      <c r="I228" s="55"/>
      <c r="J228" s="227"/>
      <c r="K228" s="432"/>
      <c r="L228" s="432"/>
      <c r="M228" s="432"/>
      <c r="N228" s="432"/>
      <c r="O228" s="432"/>
      <c r="P228" s="432"/>
      <c r="Q228" s="432"/>
      <c r="R228" s="432"/>
      <c r="S228" s="432"/>
      <c r="T228" s="432"/>
      <c r="U228" s="432"/>
      <c r="V228" s="432"/>
      <c r="W228" s="432"/>
      <c r="X228" s="432"/>
      <c r="Y228" s="432"/>
      <c r="Z228" s="432"/>
      <c r="AA228" s="432"/>
      <c r="AB228" s="432"/>
      <c r="AC228" s="432"/>
      <c r="AD228" s="432"/>
      <c r="AE228" s="432"/>
      <c r="AF228" s="432"/>
      <c r="AG228" s="432"/>
      <c r="AH228" s="432"/>
      <c r="AI228" s="432"/>
      <c r="AJ228" s="432"/>
    </row>
    <row r="229" spans="2:36" s="17" customFormat="1" ht="15.5" hidden="1" x14ac:dyDescent="0.35">
      <c r="B229" s="190"/>
      <c r="C229" s="195" t="s">
        <v>434</v>
      </c>
      <c r="D229" s="223" t="e">
        <f>(0.3*((D224*(1-((C147+10)/100))))+(0.105*((C148)*'Baseline farm'!D223*0.008))+(0.0152*'Baseline farm'!D223))/6.25</f>
        <v>#DIV/0!</v>
      </c>
      <c r="E229" s="196"/>
      <c r="F229" s="196"/>
      <c r="G229" s="196"/>
      <c r="H229" s="196"/>
      <c r="I229" s="55" t="s">
        <v>255</v>
      </c>
      <c r="J229" s="227"/>
      <c r="K229" s="432"/>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row>
    <row r="230" spans="2:36" s="17" customFormat="1" ht="15.5" hidden="1" x14ac:dyDescent="0.35">
      <c r="B230" s="190"/>
      <c r="C230" s="190"/>
      <c r="D230" s="190"/>
      <c r="E230" s="190"/>
      <c r="F230" s="190"/>
      <c r="G230" s="190"/>
      <c r="H230" s="190"/>
      <c r="I230" s="55"/>
      <c r="J230" s="227"/>
      <c r="K230" s="432"/>
      <c r="L230" s="432"/>
      <c r="M230" s="432"/>
      <c r="N230" s="432"/>
      <c r="O230" s="432"/>
      <c r="P230" s="432"/>
      <c r="Q230" s="432"/>
      <c r="R230" s="432"/>
      <c r="S230" s="432"/>
      <c r="T230" s="432"/>
      <c r="U230" s="432"/>
      <c r="V230" s="432"/>
      <c r="W230" s="432"/>
      <c r="X230" s="432"/>
      <c r="Y230" s="432"/>
      <c r="Z230" s="432"/>
      <c r="AA230" s="432"/>
      <c r="AB230" s="432"/>
      <c r="AC230" s="432"/>
      <c r="AD230" s="432"/>
      <c r="AE230" s="432"/>
      <c r="AF230" s="432"/>
      <c r="AG230" s="432"/>
      <c r="AH230" s="432"/>
      <c r="AI230" s="432"/>
      <c r="AJ230" s="432"/>
    </row>
    <row r="231" spans="2:36" s="17" customFormat="1" ht="18" hidden="1" x14ac:dyDescent="0.45">
      <c r="B231" s="192" t="s">
        <v>276</v>
      </c>
      <c r="C231" s="190"/>
      <c r="D231" s="200" t="s">
        <v>1356</v>
      </c>
      <c r="E231" s="201"/>
      <c r="F231" s="201"/>
      <c r="G231" s="201"/>
      <c r="H231" s="201"/>
      <c r="I231" s="55"/>
      <c r="J231" s="227"/>
      <c r="K231" s="432"/>
      <c r="L231" s="432"/>
      <c r="M231" s="432"/>
      <c r="N231" s="432"/>
      <c r="O231" s="432"/>
      <c r="P231" s="432"/>
      <c r="Q231" s="432"/>
      <c r="R231" s="432"/>
      <c r="S231" s="432"/>
      <c r="T231" s="432"/>
      <c r="U231" s="432"/>
      <c r="V231" s="432"/>
      <c r="W231" s="432"/>
      <c r="X231" s="432"/>
      <c r="Y231" s="432"/>
      <c r="Z231" s="432"/>
      <c r="AA231" s="432"/>
      <c r="AB231" s="432"/>
      <c r="AC231" s="432"/>
      <c r="AD231" s="432"/>
      <c r="AE231" s="432"/>
      <c r="AF231" s="432"/>
      <c r="AG231" s="432"/>
      <c r="AH231" s="432"/>
      <c r="AI231" s="432"/>
      <c r="AJ231" s="432"/>
    </row>
    <row r="232" spans="2:36" s="17" customFormat="1" ht="16" hidden="1" thickBot="1" x14ac:dyDescent="0.4">
      <c r="B232" s="190"/>
      <c r="C232" s="190"/>
      <c r="D232" s="190"/>
      <c r="E232" s="190"/>
      <c r="F232" s="190"/>
      <c r="G232" s="190"/>
      <c r="H232" s="190"/>
      <c r="I232" s="55"/>
      <c r="J232" s="227"/>
      <c r="K232" s="432"/>
      <c r="L232" s="432"/>
      <c r="M232" s="432"/>
      <c r="N232" s="432"/>
      <c r="O232" s="432"/>
      <c r="P232" s="432"/>
      <c r="Q232" s="432"/>
      <c r="R232" s="432"/>
      <c r="S232" s="432"/>
      <c r="T232" s="432"/>
      <c r="U232" s="432"/>
      <c r="V232" s="432"/>
      <c r="W232" s="432"/>
      <c r="X232" s="432"/>
      <c r="Y232" s="432"/>
      <c r="Z232" s="432"/>
      <c r="AA232" s="432"/>
      <c r="AB232" s="432"/>
      <c r="AC232" s="432"/>
      <c r="AD232" s="432"/>
      <c r="AE232" s="432"/>
      <c r="AF232" s="432"/>
      <c r="AG232" s="432"/>
      <c r="AH232" s="432"/>
      <c r="AI232" s="432"/>
      <c r="AJ232" s="432"/>
    </row>
    <row r="233" spans="2:36" s="17" customFormat="1" ht="16" hidden="1" thickBot="1" x14ac:dyDescent="0.4">
      <c r="B233" s="202"/>
      <c r="C233" s="203" t="s">
        <v>804</v>
      </c>
      <c r="D233" s="204"/>
      <c r="E233" s="204"/>
      <c r="F233" s="204"/>
      <c r="G233" s="204"/>
      <c r="H233" s="205"/>
      <c r="I233" s="55"/>
      <c r="J233" s="227"/>
      <c r="K233" s="432"/>
      <c r="L233" s="432"/>
      <c r="M233" s="432"/>
      <c r="N233" s="432"/>
      <c r="O233" s="432"/>
      <c r="P233" s="432"/>
      <c r="Q233" s="432"/>
      <c r="R233" s="432"/>
      <c r="S233" s="432"/>
      <c r="T233" s="432"/>
      <c r="U233" s="432"/>
      <c r="V233" s="432"/>
      <c r="W233" s="432"/>
      <c r="X233" s="432"/>
      <c r="Y233" s="432"/>
      <c r="Z233" s="432"/>
      <c r="AA233" s="432"/>
      <c r="AB233" s="432"/>
      <c r="AC233" s="432"/>
      <c r="AD233" s="432"/>
      <c r="AE233" s="432"/>
      <c r="AF233" s="432"/>
      <c r="AG233" s="432"/>
      <c r="AH233" s="432"/>
      <c r="AI233" s="432"/>
      <c r="AJ233" s="432"/>
    </row>
    <row r="234" spans="2:36" s="17" customFormat="1" ht="15.5" hidden="1" x14ac:dyDescent="0.35">
      <c r="B234" s="190"/>
      <c r="C234" s="203"/>
      <c r="D234" s="206" t="s">
        <v>212</v>
      </c>
      <c r="E234" s="204"/>
      <c r="F234" s="204"/>
      <c r="G234" s="204"/>
      <c r="H234" s="205"/>
      <c r="I234" s="55"/>
      <c r="J234" s="227"/>
      <c r="K234" s="432"/>
      <c r="L234" s="432"/>
      <c r="M234" s="432"/>
      <c r="N234" s="432"/>
      <c r="O234" s="432"/>
      <c r="P234" s="432"/>
      <c r="Q234" s="432"/>
      <c r="R234" s="432"/>
      <c r="S234" s="432"/>
      <c r="T234" s="432"/>
      <c r="U234" s="432"/>
      <c r="V234" s="432"/>
      <c r="W234" s="432"/>
      <c r="X234" s="432"/>
      <c r="Y234" s="432"/>
      <c r="Z234" s="432"/>
      <c r="AA234" s="432"/>
      <c r="AB234" s="432"/>
      <c r="AC234" s="432"/>
      <c r="AD234" s="432"/>
      <c r="AE234" s="432"/>
      <c r="AF234" s="432"/>
      <c r="AG234" s="432"/>
      <c r="AH234" s="432"/>
      <c r="AI234" s="432"/>
      <c r="AJ234" s="432"/>
    </row>
    <row r="235" spans="2:36" s="17" customFormat="1" ht="15.5" hidden="1" x14ac:dyDescent="0.35">
      <c r="B235" s="202">
        <v>1</v>
      </c>
      <c r="C235" s="473" t="s">
        <v>912</v>
      </c>
      <c r="D235" s="208">
        <v>590</v>
      </c>
      <c r="E235" s="208"/>
      <c r="F235" s="208"/>
      <c r="G235" s="208"/>
      <c r="H235" s="209"/>
      <c r="I235" s="55"/>
      <c r="J235" s="227"/>
      <c r="K235" s="432"/>
      <c r="L235" s="432"/>
      <c r="M235" s="432"/>
      <c r="N235" s="432"/>
      <c r="O235" s="432"/>
      <c r="P235" s="432"/>
      <c r="Q235" s="432"/>
      <c r="R235" s="432"/>
      <c r="S235" s="432"/>
      <c r="T235" s="432"/>
      <c r="U235" s="432"/>
      <c r="V235" s="432"/>
      <c r="W235" s="432"/>
      <c r="X235" s="432"/>
      <c r="Y235" s="432"/>
      <c r="Z235" s="432"/>
      <c r="AA235" s="432"/>
      <c r="AB235" s="432"/>
      <c r="AC235" s="432"/>
      <c r="AD235" s="432"/>
      <c r="AE235" s="432"/>
      <c r="AF235" s="432"/>
      <c r="AG235" s="432"/>
      <c r="AH235" s="432"/>
      <c r="AI235" s="432"/>
      <c r="AJ235" s="432"/>
    </row>
    <row r="236" spans="2:36" s="17" customFormat="1" ht="15.5" hidden="1" x14ac:dyDescent="0.35">
      <c r="B236" s="202">
        <v>2</v>
      </c>
      <c r="C236" s="473" t="s">
        <v>917</v>
      </c>
      <c r="D236" s="208">
        <v>590</v>
      </c>
      <c r="E236" s="208"/>
      <c r="F236" s="208"/>
      <c r="G236" s="208"/>
      <c r="H236" s="209"/>
      <c r="I236" s="55"/>
      <c r="J236" s="227"/>
      <c r="K236" s="432"/>
      <c r="L236" s="432"/>
      <c r="M236" s="432"/>
      <c r="N236" s="432"/>
      <c r="O236" s="432"/>
      <c r="P236" s="432"/>
      <c r="Q236" s="432"/>
      <c r="R236" s="432"/>
      <c r="S236" s="432"/>
      <c r="T236" s="432"/>
      <c r="U236" s="432"/>
      <c r="V236" s="432"/>
      <c r="W236" s="432"/>
      <c r="X236" s="432"/>
      <c r="Y236" s="432"/>
      <c r="Z236" s="432"/>
      <c r="AA236" s="432"/>
      <c r="AB236" s="432"/>
      <c r="AC236" s="432"/>
      <c r="AD236" s="432"/>
      <c r="AE236" s="432"/>
      <c r="AF236" s="432"/>
      <c r="AG236" s="432"/>
      <c r="AH236" s="432"/>
      <c r="AI236" s="432"/>
      <c r="AJ236" s="432"/>
    </row>
    <row r="237" spans="2:36" s="17" customFormat="1" ht="15.5" hidden="1" x14ac:dyDescent="0.35">
      <c r="B237" s="202">
        <v>3</v>
      </c>
      <c r="C237" s="473" t="s">
        <v>866</v>
      </c>
      <c r="D237" s="208">
        <v>590</v>
      </c>
      <c r="E237" s="208"/>
      <c r="F237" s="208"/>
      <c r="G237" s="208"/>
      <c r="H237" s="209"/>
      <c r="I237" s="496"/>
      <c r="J237" s="227"/>
      <c r="K237" s="432"/>
      <c r="L237" s="432"/>
      <c r="M237" s="432"/>
      <c r="N237" s="432"/>
      <c r="O237" s="432"/>
      <c r="P237" s="432"/>
      <c r="Q237" s="432"/>
      <c r="R237" s="432"/>
      <c r="S237" s="432"/>
      <c r="T237" s="432"/>
      <c r="U237" s="432"/>
      <c r="V237" s="432"/>
      <c r="W237" s="432"/>
      <c r="X237" s="432"/>
      <c r="Y237" s="432"/>
      <c r="Z237" s="432"/>
      <c r="AA237" s="432"/>
      <c r="AB237" s="432"/>
      <c r="AC237" s="432"/>
      <c r="AD237" s="432"/>
      <c r="AE237" s="432"/>
      <c r="AF237" s="432"/>
      <c r="AG237" s="432"/>
      <c r="AH237" s="432"/>
      <c r="AI237" s="432"/>
      <c r="AJ237" s="432"/>
    </row>
    <row r="238" spans="2:36" s="17" customFormat="1" ht="15.5" hidden="1" x14ac:dyDescent="0.35">
      <c r="B238" s="202">
        <v>4</v>
      </c>
      <c r="C238" s="473" t="s">
        <v>914</v>
      </c>
      <c r="D238" s="208">
        <v>590</v>
      </c>
      <c r="E238" s="208"/>
      <c r="F238" s="208"/>
      <c r="G238" s="208"/>
      <c r="H238" s="209"/>
      <c r="I238" s="55"/>
      <c r="J238" s="227"/>
      <c r="K238" s="432"/>
      <c r="L238" s="432"/>
      <c r="M238" s="432"/>
      <c r="N238" s="432"/>
      <c r="O238" s="432"/>
      <c r="P238" s="432"/>
      <c r="Q238" s="432"/>
      <c r="R238" s="432"/>
      <c r="S238" s="432"/>
      <c r="T238" s="432"/>
      <c r="U238" s="432"/>
      <c r="V238" s="432"/>
      <c r="W238" s="432"/>
      <c r="X238" s="432"/>
      <c r="Y238" s="432"/>
      <c r="Z238" s="432"/>
      <c r="AA238" s="432"/>
      <c r="AB238" s="432"/>
      <c r="AC238" s="432"/>
      <c r="AD238" s="432"/>
      <c r="AE238" s="432"/>
      <c r="AF238" s="432"/>
      <c r="AG238" s="432"/>
      <c r="AH238" s="432"/>
      <c r="AI238" s="432"/>
      <c r="AJ238" s="432"/>
    </row>
    <row r="239" spans="2:36" s="17" customFormat="1" ht="15.5" hidden="1" x14ac:dyDescent="0.35">
      <c r="B239" s="202">
        <v>5</v>
      </c>
      <c r="C239" s="473" t="s">
        <v>918</v>
      </c>
      <c r="D239" s="208">
        <v>590</v>
      </c>
      <c r="E239" s="208"/>
      <c r="F239" s="208"/>
      <c r="G239" s="208"/>
      <c r="H239" s="209"/>
      <c r="I239" s="55"/>
      <c r="J239" s="227"/>
      <c r="K239" s="432"/>
      <c r="L239" s="432"/>
      <c r="M239" s="432"/>
      <c r="N239" s="432"/>
      <c r="O239" s="432"/>
      <c r="P239" s="432"/>
      <c r="Q239" s="432"/>
      <c r="R239" s="432"/>
      <c r="S239" s="432"/>
      <c r="T239" s="432"/>
      <c r="U239" s="432"/>
      <c r="V239" s="432"/>
      <c r="W239" s="432"/>
      <c r="X239" s="432"/>
      <c r="Y239" s="432"/>
      <c r="Z239" s="432"/>
      <c r="AA239" s="432"/>
      <c r="AB239" s="432"/>
      <c r="AC239" s="432"/>
      <c r="AD239" s="432"/>
      <c r="AE239" s="432"/>
      <c r="AF239" s="432"/>
      <c r="AG239" s="432"/>
      <c r="AH239" s="432"/>
      <c r="AI239" s="432"/>
      <c r="AJ239" s="432"/>
    </row>
    <row r="240" spans="2:36" s="17" customFormat="1" ht="15.5" hidden="1" x14ac:dyDescent="0.35">
      <c r="B240" s="202">
        <v>6</v>
      </c>
      <c r="C240" s="474" t="s">
        <v>919</v>
      </c>
      <c r="D240" s="208">
        <v>590</v>
      </c>
      <c r="E240" s="208"/>
      <c r="F240" s="208"/>
      <c r="G240" s="208"/>
      <c r="H240" s="209"/>
      <c r="I240" s="55"/>
      <c r="J240" s="227"/>
      <c r="K240" s="432"/>
      <c r="L240" s="432"/>
      <c r="M240" s="432"/>
      <c r="N240" s="432"/>
      <c r="O240" s="432"/>
      <c r="P240" s="432"/>
      <c r="Q240" s="432"/>
      <c r="R240" s="432"/>
      <c r="S240" s="432"/>
      <c r="T240" s="432"/>
      <c r="U240" s="432"/>
      <c r="V240" s="432"/>
      <c r="W240" s="432"/>
      <c r="X240" s="432"/>
      <c r="Y240" s="432"/>
      <c r="Z240" s="432"/>
      <c r="AA240" s="432"/>
      <c r="AB240" s="432"/>
      <c r="AC240" s="432"/>
      <c r="AD240" s="432"/>
      <c r="AE240" s="432"/>
      <c r="AF240" s="432"/>
      <c r="AG240" s="432"/>
      <c r="AH240" s="432"/>
      <c r="AI240" s="432"/>
      <c r="AJ240" s="432"/>
    </row>
    <row r="241" spans="2:36" s="17" customFormat="1" ht="16" hidden="1" thickBot="1" x14ac:dyDescent="0.4">
      <c r="B241" s="202">
        <v>7</v>
      </c>
      <c r="C241" s="475" t="s">
        <v>920</v>
      </c>
      <c r="D241" s="208">
        <v>590</v>
      </c>
      <c r="E241" s="208"/>
      <c r="F241" s="208"/>
      <c r="G241" s="208"/>
      <c r="H241" s="209"/>
      <c r="I241" s="55"/>
      <c r="J241" s="227"/>
      <c r="K241" s="432"/>
      <c r="L241" s="432"/>
      <c r="M241" s="432"/>
      <c r="N241" s="432"/>
      <c r="O241" s="432"/>
      <c r="P241" s="432"/>
      <c r="Q241" s="432"/>
      <c r="R241" s="432"/>
      <c r="S241" s="432"/>
      <c r="T241" s="432"/>
      <c r="U241" s="432"/>
      <c r="V241" s="432"/>
      <c r="W241" s="432"/>
      <c r="X241" s="432"/>
      <c r="Y241" s="432"/>
      <c r="Z241" s="432"/>
      <c r="AA241" s="432"/>
      <c r="AB241" s="432"/>
      <c r="AC241" s="432"/>
      <c r="AD241" s="432"/>
      <c r="AE241" s="432"/>
      <c r="AF241" s="432"/>
      <c r="AG241" s="432"/>
      <c r="AH241" s="432"/>
      <c r="AI241" s="432"/>
      <c r="AJ241" s="432"/>
    </row>
    <row r="242" spans="2:36" s="17" customFormat="1" ht="16" hidden="1" thickBot="1" x14ac:dyDescent="0.4">
      <c r="B242" s="190"/>
      <c r="C242" s="210" t="s">
        <v>228</v>
      </c>
      <c r="D242" s="211" t="e">
        <f>VLOOKUP('Baseline farm'!$D$15,$C$235:$H$241,2,FALSE)</f>
        <v>#N/A</v>
      </c>
      <c r="E242" s="212"/>
      <c r="F242" s="212"/>
      <c r="G242" s="212"/>
      <c r="H242" s="212"/>
      <c r="I242" s="55"/>
      <c r="J242" s="227"/>
      <c r="K242" s="432"/>
      <c r="L242" s="432"/>
      <c r="M242" s="432"/>
      <c r="N242" s="432"/>
      <c r="O242" s="432"/>
      <c r="P242" s="432"/>
      <c r="Q242" s="432"/>
      <c r="R242" s="432"/>
      <c r="S242" s="432"/>
      <c r="T242" s="432"/>
      <c r="U242" s="432"/>
      <c r="V242" s="432"/>
      <c r="W242" s="432"/>
      <c r="X242" s="432"/>
      <c r="Y242" s="432"/>
      <c r="Z242" s="432"/>
      <c r="AA242" s="432"/>
      <c r="AB242" s="432"/>
      <c r="AC242" s="432"/>
      <c r="AD242" s="432"/>
      <c r="AE242" s="432"/>
      <c r="AF242" s="432"/>
      <c r="AG242" s="432"/>
      <c r="AH242" s="432"/>
      <c r="AI242" s="432"/>
      <c r="AJ242" s="432"/>
    </row>
    <row r="243" spans="2:36" s="17" customFormat="1" ht="16" hidden="1" thickBot="1" x14ac:dyDescent="0.4">
      <c r="B243" s="190"/>
      <c r="C243" s="210" t="s">
        <v>300</v>
      </c>
      <c r="D243" s="213" t="e">
        <f>IF(D242&gt;0,C14/D242,0)</f>
        <v>#N/A</v>
      </c>
      <c r="E243" s="214"/>
      <c r="F243" s="214"/>
      <c r="G243" s="214"/>
      <c r="H243" s="215"/>
      <c r="I243" s="496"/>
      <c r="J243" s="227"/>
      <c r="K243" s="432"/>
      <c r="L243" s="432"/>
      <c r="M243" s="432"/>
      <c r="N243" s="432"/>
      <c r="O243" s="432"/>
      <c r="P243" s="432"/>
      <c r="Q243" s="432"/>
      <c r="R243" s="432"/>
      <c r="S243" s="432"/>
      <c r="T243" s="432"/>
      <c r="U243" s="432"/>
      <c r="V243" s="432"/>
      <c r="W243" s="432"/>
      <c r="X243" s="432"/>
      <c r="Y243" s="432"/>
      <c r="Z243" s="432"/>
      <c r="AA243" s="432"/>
      <c r="AB243" s="432"/>
      <c r="AC243" s="432"/>
      <c r="AD243" s="432"/>
      <c r="AE243" s="432"/>
      <c r="AF243" s="432"/>
      <c r="AG243" s="432"/>
      <c r="AH243" s="432"/>
      <c r="AI243" s="432"/>
      <c r="AJ243" s="432"/>
    </row>
    <row r="244" spans="2:36" s="17" customFormat="1" ht="15.5" hidden="1" x14ac:dyDescent="0.35">
      <c r="B244" s="190"/>
      <c r="C244" s="190"/>
      <c r="D244" s="190"/>
      <c r="E244" s="190"/>
      <c r="F244" s="190"/>
      <c r="G244" s="190"/>
      <c r="H244" s="190"/>
      <c r="I244" s="55"/>
      <c r="J244" s="227"/>
      <c r="K244" s="432"/>
      <c r="L244" s="432"/>
      <c r="M244" s="432"/>
      <c r="N244" s="432"/>
      <c r="O244" s="432"/>
      <c r="P244" s="432"/>
      <c r="Q244" s="432"/>
      <c r="R244" s="432"/>
      <c r="S244" s="432"/>
      <c r="T244" s="432"/>
      <c r="U244" s="432"/>
      <c r="V244" s="432"/>
      <c r="W244" s="432"/>
      <c r="X244" s="432"/>
      <c r="Y244" s="432"/>
      <c r="Z244" s="432"/>
      <c r="AA244" s="432"/>
      <c r="AB244" s="432"/>
      <c r="AC244" s="432"/>
      <c r="AD244" s="432"/>
      <c r="AE244" s="432"/>
      <c r="AF244" s="432"/>
      <c r="AG244" s="432"/>
      <c r="AH244" s="432"/>
      <c r="AI244" s="432"/>
      <c r="AJ244" s="432"/>
    </row>
    <row r="245" spans="2:36" s="17" customFormat="1" ht="15.5" hidden="1" x14ac:dyDescent="0.35">
      <c r="B245" s="190"/>
      <c r="C245" s="195" t="s">
        <v>434</v>
      </c>
      <c r="D245" s="1472" t="e">
        <f>((0.032*C152*1.03/6.38)+((0.212-0.008*('Baseline farm'!D291-2)-((0.14-0.008*('Baseline farm'!D291-2))/(1+EXP(-6*(D243-0.4)))))*(C15*0.92))/6.25)</f>
        <v>#DIV/0!</v>
      </c>
      <c r="E245" s="216"/>
      <c r="F245" s="216"/>
      <c r="G245" s="216"/>
      <c r="H245" s="216"/>
      <c r="I245" s="496" t="s">
        <v>283</v>
      </c>
      <c r="J245" s="227"/>
      <c r="K245" s="432"/>
      <c r="L245" s="432"/>
      <c r="M245" s="432"/>
      <c r="N245" s="432"/>
      <c r="O245" s="432"/>
      <c r="P245" s="432"/>
      <c r="Q245" s="432"/>
      <c r="R245" s="432"/>
      <c r="S245" s="432"/>
      <c r="T245" s="432"/>
      <c r="U245" s="432"/>
      <c r="V245" s="432"/>
      <c r="W245" s="432"/>
      <c r="X245" s="432"/>
      <c r="Y245" s="432"/>
      <c r="Z245" s="432"/>
      <c r="AA245" s="432"/>
      <c r="AB245" s="432"/>
      <c r="AC245" s="432"/>
      <c r="AD245" s="432"/>
      <c r="AE245" s="432"/>
      <c r="AF245" s="432"/>
      <c r="AG245" s="432"/>
      <c r="AH245" s="432"/>
      <c r="AI245" s="432"/>
      <c r="AJ245" s="432"/>
    </row>
    <row r="246" spans="2:36" s="17" customFormat="1" ht="15.5" hidden="1" x14ac:dyDescent="0.35">
      <c r="B246" s="190"/>
      <c r="C246" s="217"/>
      <c r="D246" s="216"/>
      <c r="E246" s="216"/>
      <c r="F246" s="216"/>
      <c r="G246" s="216"/>
      <c r="H246" s="216"/>
      <c r="I246" s="496"/>
      <c r="J246" s="227"/>
      <c r="K246" s="432"/>
      <c r="L246" s="432"/>
      <c r="M246" s="432"/>
      <c r="N246" s="432"/>
      <c r="O246" s="432"/>
      <c r="P246" s="432"/>
      <c r="Q246" s="432"/>
      <c r="R246" s="432"/>
      <c r="S246" s="432"/>
      <c r="T246" s="432"/>
      <c r="U246" s="432"/>
      <c r="V246" s="432"/>
      <c r="W246" s="432"/>
      <c r="X246" s="432"/>
      <c r="Y246" s="432"/>
      <c r="Z246" s="432"/>
      <c r="AA246" s="432"/>
      <c r="AB246" s="432"/>
      <c r="AC246" s="432"/>
      <c r="AD246" s="432"/>
      <c r="AE246" s="432"/>
      <c r="AF246" s="432"/>
      <c r="AG246" s="432"/>
      <c r="AH246" s="432"/>
      <c r="AI246" s="432"/>
      <c r="AJ246" s="432"/>
    </row>
    <row r="247" spans="2:36" s="17" customFormat="1" ht="18.5" hidden="1" x14ac:dyDescent="0.35">
      <c r="B247" s="192" t="s">
        <v>284</v>
      </c>
      <c r="C247" s="190"/>
      <c r="D247" s="218" t="s">
        <v>285</v>
      </c>
      <c r="E247" s="216"/>
      <c r="F247" s="216"/>
      <c r="G247" s="216"/>
      <c r="H247" s="190"/>
      <c r="I247" s="496"/>
      <c r="J247" s="227"/>
      <c r="K247" s="432"/>
      <c r="L247" s="432"/>
      <c r="M247" s="432"/>
      <c r="N247" s="432"/>
      <c r="O247" s="432"/>
      <c r="P247" s="432"/>
      <c r="Q247" s="432"/>
      <c r="R247" s="432"/>
      <c r="S247" s="432"/>
      <c r="T247" s="432"/>
      <c r="U247" s="432"/>
      <c r="V247" s="432"/>
      <c r="W247" s="432"/>
      <c r="X247" s="432"/>
      <c r="Y247" s="432"/>
      <c r="Z247" s="432"/>
      <c r="AA247" s="432"/>
      <c r="AB247" s="432"/>
      <c r="AC247" s="432"/>
      <c r="AD247" s="432"/>
      <c r="AE247" s="432"/>
      <c r="AF247" s="432"/>
      <c r="AG247" s="432"/>
      <c r="AH247" s="432"/>
      <c r="AI247" s="432"/>
      <c r="AJ247" s="432"/>
    </row>
    <row r="248" spans="2:36" s="17" customFormat="1" ht="15.5" hidden="1" x14ac:dyDescent="0.35">
      <c r="B248" s="190"/>
      <c r="C248" s="195" t="s">
        <v>434</v>
      </c>
      <c r="D248" s="216" t="e">
        <f>(D224/6.25)-D245-D229-((1.1*10^-4*C14^0.75)/6.25)</f>
        <v>#DIV/0!</v>
      </c>
      <c r="E248" s="216"/>
      <c r="F248" s="216"/>
      <c r="G248" s="216"/>
      <c r="H248" s="216"/>
      <c r="I248" s="496" t="s">
        <v>283</v>
      </c>
      <c r="J248" s="227"/>
      <c r="K248" s="432"/>
      <c r="L248" s="432"/>
      <c r="M248" s="432"/>
      <c r="N248" s="432"/>
      <c r="O248" s="432"/>
      <c r="P248" s="432"/>
      <c r="Q248" s="432"/>
      <c r="R248" s="432"/>
      <c r="S248" s="432"/>
      <c r="T248" s="432"/>
      <c r="U248" s="432"/>
      <c r="V248" s="432"/>
      <c r="W248" s="432"/>
      <c r="X248" s="432"/>
      <c r="Y248" s="432"/>
      <c r="Z248" s="432"/>
      <c r="AA248" s="432"/>
      <c r="AB248" s="432"/>
      <c r="AC248" s="432"/>
      <c r="AD248" s="432"/>
      <c r="AE248" s="432"/>
      <c r="AF248" s="432"/>
      <c r="AG248" s="432"/>
      <c r="AH248" s="432"/>
      <c r="AI248" s="432"/>
      <c r="AJ248" s="432"/>
    </row>
    <row r="249" spans="2:36" s="17" customFormat="1" ht="15.5" hidden="1" x14ac:dyDescent="0.35">
      <c r="B249" s="190"/>
      <c r="C249" s="190"/>
      <c r="D249" s="190"/>
      <c r="E249" s="190"/>
      <c r="F249" s="190"/>
      <c r="G249" s="190"/>
      <c r="H249" s="190"/>
      <c r="I249" s="496"/>
      <c r="J249" s="227"/>
      <c r="K249" s="432"/>
      <c r="L249" s="432"/>
      <c r="M249" s="432"/>
      <c r="N249" s="432"/>
      <c r="O249" s="432"/>
      <c r="P249" s="432"/>
      <c r="Q249" s="432"/>
      <c r="R249" s="432"/>
      <c r="S249" s="432"/>
      <c r="T249" s="432"/>
      <c r="U249" s="432"/>
      <c r="V249" s="432"/>
      <c r="W249" s="432"/>
      <c r="X249" s="432"/>
      <c r="Y249" s="432"/>
      <c r="Z249" s="432"/>
      <c r="AA249" s="432"/>
      <c r="AB249" s="432"/>
      <c r="AC249" s="432"/>
      <c r="AD249" s="432"/>
      <c r="AE249" s="432"/>
      <c r="AF249" s="432"/>
      <c r="AG249" s="432"/>
      <c r="AH249" s="432"/>
      <c r="AI249" s="432"/>
      <c r="AJ249" s="432"/>
    </row>
    <row r="250" spans="2:36" s="17" customFormat="1" ht="15.5" hidden="1" x14ac:dyDescent="0.35">
      <c r="B250" s="192" t="s">
        <v>444</v>
      </c>
      <c r="C250" s="190"/>
      <c r="D250" s="192" t="s">
        <v>436</v>
      </c>
      <c r="E250" s="190"/>
      <c r="F250" s="190"/>
      <c r="G250" s="190"/>
      <c r="H250" s="190"/>
      <c r="I250" s="496"/>
      <c r="J250" s="227"/>
      <c r="K250" s="432"/>
      <c r="L250" s="432"/>
      <c r="M250" s="432"/>
      <c r="N250" s="432"/>
      <c r="O250" s="432"/>
      <c r="P250" s="432"/>
      <c r="Q250" s="432"/>
      <c r="R250" s="432"/>
      <c r="S250" s="432"/>
      <c r="T250" s="432"/>
      <c r="U250" s="432"/>
      <c r="V250" s="432"/>
      <c r="W250" s="432"/>
      <c r="X250" s="432"/>
      <c r="Y250" s="432"/>
      <c r="Z250" s="432"/>
      <c r="AA250" s="432"/>
      <c r="AB250" s="432"/>
      <c r="AC250" s="432"/>
      <c r="AD250" s="432"/>
      <c r="AE250" s="432"/>
      <c r="AF250" s="432"/>
      <c r="AG250" s="432"/>
      <c r="AH250" s="432"/>
      <c r="AI250" s="432"/>
      <c r="AJ250" s="432"/>
    </row>
    <row r="251" spans="2:36" s="17" customFormat="1" ht="15.5" hidden="1" x14ac:dyDescent="0.35">
      <c r="B251" s="190"/>
      <c r="C251" s="190"/>
      <c r="D251" s="190"/>
      <c r="E251" s="190"/>
      <c r="F251" s="190"/>
      <c r="G251" s="190"/>
      <c r="H251" s="190"/>
      <c r="I251" s="55"/>
      <c r="J251" s="227"/>
      <c r="K251" s="432"/>
      <c r="L251" s="432"/>
      <c r="M251" s="432"/>
      <c r="N251" s="432"/>
      <c r="O251" s="432"/>
      <c r="P251" s="432"/>
      <c r="Q251" s="432"/>
      <c r="R251" s="432"/>
      <c r="S251" s="432"/>
      <c r="T251" s="432"/>
      <c r="U251" s="432"/>
      <c r="V251" s="432"/>
      <c r="W251" s="432"/>
      <c r="X251" s="432"/>
      <c r="Y251" s="432"/>
      <c r="Z251" s="432"/>
      <c r="AA251" s="432"/>
      <c r="AB251" s="432"/>
      <c r="AC251" s="432"/>
      <c r="AD251" s="432"/>
      <c r="AE251" s="432"/>
      <c r="AF251" s="432"/>
      <c r="AG251" s="432"/>
      <c r="AH251" s="432"/>
      <c r="AI251" s="432"/>
      <c r="AJ251" s="432"/>
    </row>
    <row r="252" spans="2:36" s="17" customFormat="1" ht="15.5" hidden="1" x14ac:dyDescent="0.35">
      <c r="B252" s="190"/>
      <c r="C252" s="195" t="s">
        <v>434</v>
      </c>
      <c r="D252" s="196" t="e">
        <f>(365*C13*D229)*10^-6</f>
        <v>#DIV/0!</v>
      </c>
      <c r="E252" s="196"/>
      <c r="F252" s="196"/>
      <c r="G252" s="196"/>
      <c r="H252" s="196"/>
      <c r="I252" s="55" t="s">
        <v>438</v>
      </c>
      <c r="J252" s="227"/>
      <c r="K252" s="432"/>
      <c r="L252" s="432"/>
      <c r="M252" s="432"/>
      <c r="N252" s="432"/>
      <c r="O252" s="432"/>
      <c r="P252" s="432"/>
      <c r="Q252" s="432"/>
      <c r="R252" s="432"/>
      <c r="S252" s="432"/>
      <c r="T252" s="432"/>
      <c r="U252" s="432"/>
      <c r="V252" s="432"/>
      <c r="W252" s="432"/>
      <c r="X252" s="432"/>
      <c r="Y252" s="432"/>
      <c r="Z252" s="432"/>
      <c r="AA252" s="432"/>
      <c r="AB252" s="432"/>
      <c r="AC252" s="432"/>
      <c r="AD252" s="432"/>
      <c r="AE252" s="432"/>
      <c r="AF252" s="432"/>
      <c r="AG252" s="432"/>
      <c r="AH252" s="432"/>
      <c r="AI252" s="432"/>
      <c r="AJ252" s="432"/>
    </row>
    <row r="253" spans="2:36" s="17" customFormat="1" ht="15.5" hidden="1" x14ac:dyDescent="0.35">
      <c r="B253" s="190"/>
      <c r="C253" s="190"/>
      <c r="D253" s="190"/>
      <c r="E253" s="190"/>
      <c r="F253" s="190"/>
      <c r="G253" s="190"/>
      <c r="H253" s="190"/>
      <c r="I253" s="55"/>
      <c r="J253" s="227"/>
      <c r="K253" s="432"/>
      <c r="L253" s="432"/>
      <c r="M253" s="432"/>
      <c r="N253" s="432"/>
      <c r="O253" s="432"/>
      <c r="P253" s="432"/>
      <c r="Q253" s="432"/>
      <c r="R253" s="432"/>
      <c r="S253" s="432"/>
      <c r="T253" s="432"/>
      <c r="U253" s="432"/>
      <c r="V253" s="432"/>
      <c r="W253" s="432"/>
      <c r="X253" s="432"/>
      <c r="Y253" s="432"/>
      <c r="Z253" s="432"/>
      <c r="AA253" s="432"/>
      <c r="AB253" s="432"/>
      <c r="AC253" s="432"/>
      <c r="AD253" s="432"/>
      <c r="AE253" s="432"/>
      <c r="AF253" s="432"/>
      <c r="AG253" s="432"/>
      <c r="AH253" s="432"/>
      <c r="AI253" s="432"/>
      <c r="AJ253" s="432"/>
    </row>
    <row r="254" spans="2:36" s="17" customFormat="1" ht="15.5" hidden="1" x14ac:dyDescent="0.35">
      <c r="B254" s="192" t="s">
        <v>445</v>
      </c>
      <c r="C254" s="190"/>
      <c r="D254" s="192" t="s">
        <v>437</v>
      </c>
      <c r="E254" s="190"/>
      <c r="F254" s="190"/>
      <c r="G254" s="190"/>
      <c r="H254" s="190"/>
      <c r="I254" s="55"/>
      <c r="J254" s="227"/>
      <c r="K254" s="432"/>
      <c r="L254" s="432"/>
      <c r="M254" s="432"/>
      <c r="N254" s="432"/>
      <c r="O254" s="432"/>
      <c r="P254" s="432"/>
      <c r="Q254" s="432"/>
      <c r="R254" s="432"/>
      <c r="S254" s="432"/>
      <c r="T254" s="432"/>
      <c r="U254" s="432"/>
      <c r="V254" s="432"/>
      <c r="W254" s="432"/>
      <c r="X254" s="432"/>
      <c r="Y254" s="432"/>
      <c r="Z254" s="432"/>
      <c r="AA254" s="432"/>
      <c r="AB254" s="432"/>
      <c r="AC254" s="432"/>
      <c r="AD254" s="432"/>
      <c r="AE254" s="432"/>
      <c r="AF254" s="432"/>
      <c r="AG254" s="432"/>
      <c r="AH254" s="432"/>
      <c r="AI254" s="432"/>
      <c r="AJ254" s="432"/>
    </row>
    <row r="255" spans="2:36" s="17" customFormat="1" ht="15.5" hidden="1" x14ac:dyDescent="0.35">
      <c r="B255" s="190"/>
      <c r="C255" s="190"/>
      <c r="D255" s="190"/>
      <c r="E255" s="190"/>
      <c r="F255" s="190"/>
      <c r="G255" s="190"/>
      <c r="H255" s="190"/>
      <c r="I255" s="55"/>
      <c r="J255" s="227"/>
      <c r="K255" s="432"/>
      <c r="L255" s="432"/>
      <c r="M255" s="432"/>
      <c r="N255" s="432"/>
      <c r="O255" s="432"/>
      <c r="P255" s="432"/>
      <c r="Q255" s="432"/>
      <c r="R255" s="432"/>
      <c r="S255" s="432"/>
      <c r="T255" s="432"/>
      <c r="U255" s="432"/>
      <c r="V255" s="432"/>
      <c r="W255" s="432"/>
      <c r="X255" s="432"/>
      <c r="Y255" s="432"/>
      <c r="Z255" s="432"/>
      <c r="AA255" s="432"/>
      <c r="AB255" s="432"/>
      <c r="AC255" s="432"/>
      <c r="AD255" s="432"/>
      <c r="AE255" s="432"/>
      <c r="AF255" s="432"/>
      <c r="AG255" s="432"/>
      <c r="AH255" s="432"/>
      <c r="AI255" s="432"/>
      <c r="AJ255" s="432"/>
    </row>
    <row r="256" spans="2:36" s="17" customFormat="1" ht="15.5" hidden="1" x14ac:dyDescent="0.35">
      <c r="B256" s="190"/>
      <c r="C256" s="195" t="s">
        <v>434</v>
      </c>
      <c r="D256" s="216" t="e">
        <f>(365*C13*D248)*10^-6</f>
        <v>#DIV/0!</v>
      </c>
      <c r="E256" s="216"/>
      <c r="F256" s="216"/>
      <c r="G256" s="216"/>
      <c r="H256" s="216"/>
      <c r="I256" s="55" t="s">
        <v>438</v>
      </c>
      <c r="J256" s="227"/>
      <c r="K256" s="432"/>
      <c r="L256" s="432"/>
      <c r="M256" s="432"/>
      <c r="N256" s="432"/>
      <c r="O256" s="432"/>
      <c r="P256" s="432"/>
      <c r="Q256" s="432"/>
      <c r="R256" s="432"/>
      <c r="S256" s="432"/>
      <c r="T256" s="432"/>
      <c r="U256" s="432"/>
      <c r="V256" s="432"/>
      <c r="W256" s="432"/>
      <c r="X256" s="432"/>
      <c r="Y256" s="432"/>
      <c r="Z256" s="432"/>
      <c r="AA256" s="432"/>
      <c r="AB256" s="432"/>
      <c r="AC256" s="432"/>
      <c r="AD256" s="432"/>
      <c r="AE256" s="432"/>
      <c r="AF256" s="432"/>
      <c r="AG256" s="432"/>
      <c r="AH256" s="432"/>
      <c r="AI256" s="432"/>
      <c r="AJ256" s="432"/>
    </row>
    <row r="257" spans="2:36" s="17" customFormat="1" ht="15.5" hidden="1" x14ac:dyDescent="0.35">
      <c r="B257" s="190"/>
      <c r="C257" s="190"/>
      <c r="D257" s="190"/>
      <c r="E257" s="190"/>
      <c r="F257" s="190"/>
      <c r="G257" s="190"/>
      <c r="H257" s="190"/>
      <c r="I257" s="55"/>
      <c r="J257" s="227"/>
      <c r="K257" s="432"/>
      <c r="L257" s="432"/>
      <c r="M257" s="432"/>
      <c r="N257" s="432"/>
      <c r="O257" s="432"/>
      <c r="P257" s="432"/>
      <c r="Q257" s="432"/>
      <c r="R257" s="432"/>
      <c r="S257" s="432"/>
      <c r="T257" s="432"/>
      <c r="U257" s="432"/>
      <c r="V257" s="432"/>
      <c r="W257" s="432"/>
      <c r="X257" s="432"/>
      <c r="Y257" s="432"/>
      <c r="Z257" s="432"/>
      <c r="AA257" s="432"/>
      <c r="AB257" s="432"/>
      <c r="AC257" s="432"/>
      <c r="AD257" s="432"/>
      <c r="AE257" s="432"/>
      <c r="AF257" s="432"/>
      <c r="AG257" s="432"/>
      <c r="AH257" s="432"/>
      <c r="AI257" s="432"/>
      <c r="AJ257" s="432"/>
    </row>
    <row r="258" spans="2:36" s="17" customFormat="1" ht="15.5" hidden="1" x14ac:dyDescent="0.35">
      <c r="B258" s="192" t="s">
        <v>446</v>
      </c>
      <c r="C258" s="190"/>
      <c r="D258" s="192" t="s">
        <v>290</v>
      </c>
      <c r="E258" s="190"/>
      <c r="F258" s="190"/>
      <c r="G258" s="190"/>
      <c r="H258" s="190"/>
      <c r="I258" s="55"/>
      <c r="J258" s="227"/>
      <c r="K258" s="432"/>
      <c r="L258" s="432"/>
      <c r="M258" s="432"/>
      <c r="N258" s="432"/>
      <c r="O258" s="432"/>
      <c r="P258" s="432"/>
      <c r="Q258" s="432"/>
      <c r="R258" s="432"/>
      <c r="S258" s="432"/>
      <c r="T258" s="432"/>
      <c r="U258" s="432"/>
      <c r="V258" s="432"/>
      <c r="W258" s="432"/>
      <c r="X258" s="432"/>
      <c r="Y258" s="432"/>
      <c r="Z258" s="432"/>
      <c r="AA258" s="432"/>
      <c r="AB258" s="432"/>
      <c r="AC258" s="432"/>
      <c r="AD258" s="432"/>
      <c r="AE258" s="432"/>
      <c r="AF258" s="432"/>
      <c r="AG258" s="432"/>
      <c r="AH258" s="432"/>
      <c r="AI258" s="432"/>
      <c r="AJ258" s="432"/>
    </row>
    <row r="259" spans="2:36" s="17" customFormat="1" ht="15.5" hidden="1" x14ac:dyDescent="0.35">
      <c r="B259" s="190"/>
      <c r="C259" s="190"/>
      <c r="D259" s="219"/>
      <c r="E259" s="219"/>
      <c r="F259" s="219"/>
      <c r="G259" s="219"/>
      <c r="H259" s="219"/>
      <c r="I259" s="496"/>
      <c r="J259" s="227"/>
      <c r="K259" s="432"/>
      <c r="L259" s="432"/>
      <c r="M259" s="432"/>
      <c r="N259" s="432"/>
      <c r="O259" s="432"/>
      <c r="P259" s="432"/>
      <c r="Q259" s="432"/>
      <c r="R259" s="432"/>
      <c r="S259" s="432"/>
      <c r="T259" s="432"/>
      <c r="U259" s="432"/>
      <c r="V259" s="432"/>
      <c r="W259" s="432"/>
      <c r="X259" s="432"/>
      <c r="Y259" s="432"/>
      <c r="Z259" s="432"/>
      <c r="AA259" s="432"/>
      <c r="AB259" s="432"/>
      <c r="AC259" s="432"/>
      <c r="AD259" s="432"/>
      <c r="AE259" s="432"/>
      <c r="AF259" s="432"/>
      <c r="AG259" s="432"/>
      <c r="AH259" s="432"/>
      <c r="AI259" s="432"/>
      <c r="AJ259" s="432"/>
    </row>
    <row r="260" spans="2:36" s="17" customFormat="1" ht="15.5" hidden="1" x14ac:dyDescent="0.35">
      <c r="B260" s="190"/>
      <c r="C260" s="195" t="s">
        <v>434</v>
      </c>
      <c r="D260" s="1472" t="e">
        <f>D252+D256</f>
        <v>#DIV/0!</v>
      </c>
      <c r="E260" s="219"/>
      <c r="F260" s="219"/>
      <c r="G260" s="219"/>
      <c r="H260" s="219"/>
      <c r="I260" s="55" t="s">
        <v>438</v>
      </c>
      <c r="J260" s="227"/>
      <c r="K260" s="432"/>
      <c r="L260" s="432"/>
      <c r="M260" s="432"/>
      <c r="N260" s="432"/>
      <c r="O260" s="432"/>
      <c r="P260" s="432"/>
      <c r="Q260" s="432"/>
      <c r="R260" s="432"/>
      <c r="S260" s="432"/>
      <c r="T260" s="432"/>
      <c r="U260" s="432"/>
      <c r="V260" s="432"/>
      <c r="W260" s="432"/>
      <c r="X260" s="432"/>
      <c r="Y260" s="432"/>
      <c r="Z260" s="432"/>
      <c r="AA260" s="432"/>
      <c r="AB260" s="432"/>
      <c r="AC260" s="432"/>
      <c r="AD260" s="432"/>
      <c r="AE260" s="432"/>
      <c r="AF260" s="432"/>
      <c r="AG260" s="432"/>
      <c r="AH260" s="432"/>
      <c r="AI260" s="432"/>
      <c r="AJ260" s="432"/>
    </row>
    <row r="261" spans="2:36" s="17" customFormat="1" ht="15.5" hidden="1" x14ac:dyDescent="0.35">
      <c r="B261" s="190"/>
      <c r="C261" s="195"/>
      <c r="D261" s="190"/>
      <c r="E261" s="190"/>
      <c r="F261" s="190"/>
      <c r="G261" s="190"/>
      <c r="H261" s="190"/>
      <c r="I261" s="55"/>
      <c r="J261" s="227"/>
      <c r="K261" s="432"/>
      <c r="L261" s="432"/>
      <c r="M261" s="432"/>
      <c r="N261" s="432"/>
      <c r="O261" s="432"/>
      <c r="P261" s="432"/>
      <c r="Q261" s="432"/>
      <c r="R261" s="432"/>
      <c r="S261" s="432"/>
      <c r="T261" s="432"/>
      <c r="U261" s="432"/>
      <c r="V261" s="432"/>
      <c r="W261" s="432"/>
      <c r="X261" s="432"/>
      <c r="Y261" s="432"/>
      <c r="Z261" s="432"/>
      <c r="AA261" s="432"/>
      <c r="AB261" s="432"/>
      <c r="AC261" s="432"/>
      <c r="AD261" s="432"/>
      <c r="AE261" s="432"/>
      <c r="AF261" s="432"/>
      <c r="AG261" s="432"/>
      <c r="AH261" s="432"/>
      <c r="AI261" s="432"/>
      <c r="AJ261" s="432"/>
    </row>
    <row r="262" spans="2:36" s="17" customFormat="1" ht="15.5" hidden="1" x14ac:dyDescent="0.35">
      <c r="B262" s="192" t="s">
        <v>291</v>
      </c>
      <c r="C262" s="217"/>
      <c r="D262" s="192" t="s">
        <v>292</v>
      </c>
      <c r="E262" s="217"/>
      <c r="F262" s="217"/>
      <c r="G262" s="217"/>
      <c r="H262" s="202"/>
      <c r="I262" s="55"/>
      <c r="J262" s="227"/>
      <c r="K262" s="432"/>
      <c r="L262" s="432"/>
      <c r="M262" s="432"/>
      <c r="N262" s="432"/>
      <c r="O262" s="432"/>
      <c r="P262" s="432"/>
      <c r="Q262" s="432"/>
      <c r="R262" s="432"/>
      <c r="S262" s="432"/>
      <c r="T262" s="432"/>
      <c r="U262" s="432"/>
      <c r="V262" s="432"/>
      <c r="W262" s="432"/>
      <c r="X262" s="432"/>
      <c r="Y262" s="432"/>
      <c r="Z262" s="432"/>
      <c r="AA262" s="432"/>
      <c r="AB262" s="432"/>
      <c r="AC262" s="432"/>
      <c r="AD262" s="432"/>
      <c r="AE262" s="432"/>
      <c r="AF262" s="432"/>
      <c r="AG262" s="432"/>
      <c r="AH262" s="432"/>
      <c r="AI262" s="432"/>
      <c r="AJ262" s="432"/>
    </row>
    <row r="263" spans="2:36" s="17" customFormat="1" ht="15.5" hidden="1" x14ac:dyDescent="0.35">
      <c r="B263" s="190"/>
      <c r="C263" s="190"/>
      <c r="D263" s="190" t="s">
        <v>293</v>
      </c>
      <c r="E263" s="220"/>
      <c r="F263" s="220"/>
      <c r="G263" s="220"/>
      <c r="H263" s="220"/>
      <c r="I263" s="55"/>
      <c r="J263" s="227"/>
      <c r="K263" s="432"/>
      <c r="L263" s="432"/>
      <c r="M263" s="432"/>
      <c r="N263" s="432"/>
      <c r="O263" s="432"/>
      <c r="P263" s="432"/>
      <c r="Q263" s="432"/>
      <c r="R263" s="432"/>
      <c r="S263" s="432"/>
      <c r="T263" s="432"/>
      <c r="U263" s="432"/>
      <c r="V263" s="432"/>
      <c r="W263" s="432"/>
      <c r="X263" s="432"/>
      <c r="Y263" s="432"/>
      <c r="Z263" s="432"/>
      <c r="AA263" s="432"/>
      <c r="AB263" s="432"/>
      <c r="AC263" s="432"/>
      <c r="AD263" s="432"/>
      <c r="AE263" s="432"/>
      <c r="AF263" s="432"/>
      <c r="AG263" s="432"/>
      <c r="AH263" s="432"/>
      <c r="AI263" s="432"/>
      <c r="AJ263" s="432"/>
    </row>
    <row r="264" spans="2:36" s="17" customFormat="1" ht="15.5" hidden="1" x14ac:dyDescent="0.35">
      <c r="B264" s="190"/>
      <c r="C264" s="190"/>
      <c r="D264" s="190" t="s">
        <v>294</v>
      </c>
      <c r="E264" s="190"/>
      <c r="F264" s="190"/>
      <c r="G264" s="190"/>
      <c r="H264" s="190"/>
      <c r="I264" s="55"/>
      <c r="J264" s="227"/>
      <c r="K264" s="432"/>
      <c r="L264" s="432"/>
      <c r="M264" s="432"/>
      <c r="N264" s="432"/>
      <c r="O264" s="432"/>
      <c r="P264" s="432"/>
      <c r="Q264" s="432"/>
      <c r="R264" s="432"/>
      <c r="S264" s="432"/>
      <c r="T264" s="432"/>
      <c r="U264" s="432"/>
      <c r="V264" s="432"/>
      <c r="W264" s="432"/>
      <c r="X264" s="432"/>
      <c r="Y264" s="432"/>
      <c r="Z264" s="432"/>
      <c r="AA264" s="432"/>
      <c r="AB264" s="432"/>
      <c r="AC264" s="432"/>
      <c r="AD264" s="432"/>
      <c r="AE264" s="432"/>
      <c r="AF264" s="432"/>
      <c r="AG264" s="432"/>
      <c r="AH264" s="432"/>
      <c r="AI264" s="432"/>
      <c r="AJ264" s="432"/>
    </row>
    <row r="265" spans="2:36" s="17" customFormat="1" ht="15.5" hidden="1" x14ac:dyDescent="0.35">
      <c r="B265" s="190"/>
      <c r="C265" s="190"/>
      <c r="D265" s="190"/>
      <c r="E265" s="190"/>
      <c r="F265" s="190"/>
      <c r="G265" s="190"/>
      <c r="H265" s="190"/>
      <c r="I265" s="55"/>
      <c r="J265" s="55"/>
      <c r="K265" s="432"/>
      <c r="L265" s="432"/>
      <c r="M265" s="432"/>
      <c r="N265" s="432"/>
      <c r="O265" s="432"/>
      <c r="P265" s="432"/>
      <c r="Q265" s="432"/>
      <c r="R265" s="432"/>
      <c r="S265" s="432"/>
      <c r="T265" s="432"/>
      <c r="U265" s="432"/>
      <c r="V265" s="432"/>
      <c r="W265" s="432"/>
      <c r="X265" s="432"/>
      <c r="Y265" s="432"/>
      <c r="Z265" s="432"/>
      <c r="AA265" s="432"/>
      <c r="AB265" s="432"/>
      <c r="AC265" s="432"/>
      <c r="AD265" s="432"/>
      <c r="AE265" s="432"/>
      <c r="AF265" s="432"/>
      <c r="AG265" s="432"/>
      <c r="AH265" s="432"/>
      <c r="AI265" s="432"/>
      <c r="AJ265" s="432"/>
    </row>
    <row r="266" spans="2:36" s="17" customFormat="1" ht="18" hidden="1" x14ac:dyDescent="0.45">
      <c r="B266" s="867" t="s">
        <v>295</v>
      </c>
      <c r="C266" s="917"/>
      <c r="D266" s="916" t="s">
        <v>1350</v>
      </c>
      <c r="E266" s="190"/>
      <c r="F266" s="190"/>
      <c r="G266" s="867" t="s">
        <v>296</v>
      </c>
      <c r="H266" s="190"/>
      <c r="I266" s="497"/>
      <c r="J266" s="227"/>
      <c r="K266" s="432"/>
      <c r="L266" s="432"/>
      <c r="M266" s="432"/>
      <c r="N266" s="432"/>
      <c r="O266" s="432"/>
      <c r="P266" s="432"/>
      <c r="Q266" s="432"/>
      <c r="R266" s="432"/>
      <c r="S266" s="432"/>
      <c r="T266" s="432"/>
      <c r="U266" s="432"/>
      <c r="V266" s="432"/>
      <c r="W266" s="432"/>
      <c r="X266" s="432"/>
      <c r="Y266" s="432"/>
      <c r="Z266" s="432"/>
      <c r="AA266" s="432"/>
      <c r="AB266" s="432"/>
      <c r="AC266" s="432"/>
      <c r="AD266" s="432"/>
      <c r="AE266" s="432"/>
      <c r="AF266" s="432"/>
      <c r="AG266" s="432"/>
      <c r="AH266" s="432"/>
      <c r="AI266" s="432"/>
      <c r="AJ266" s="432"/>
    </row>
    <row r="267" spans="2:36" s="17" customFormat="1" ht="15.5" hidden="1" x14ac:dyDescent="0.35">
      <c r="B267" s="910" t="s">
        <v>1288</v>
      </c>
      <c r="C267" s="912" t="s">
        <v>434</v>
      </c>
      <c r="D267" s="939" t="e">
        <f>$D$260*'Baseline farm'!C85%</f>
        <v>#DIV/0!</v>
      </c>
      <c r="E267" s="223"/>
      <c r="F267" s="223"/>
      <c r="G267" s="910">
        <v>0</v>
      </c>
      <c r="H267" s="223"/>
      <c r="I267" s="440"/>
      <c r="J267" s="227"/>
      <c r="K267" s="432"/>
      <c r="L267" s="432"/>
      <c r="M267" s="432"/>
      <c r="N267" s="432"/>
      <c r="O267" s="432"/>
      <c r="P267" s="432"/>
      <c r="Q267" s="432"/>
      <c r="R267" s="432"/>
      <c r="S267" s="432"/>
      <c r="T267" s="432"/>
      <c r="U267" s="432"/>
      <c r="V267" s="432"/>
      <c r="W267" s="432"/>
      <c r="X267" s="432"/>
      <c r="Y267" s="432"/>
      <c r="Z267" s="432"/>
      <c r="AA267" s="432"/>
      <c r="AB267" s="432"/>
      <c r="AC267" s="432"/>
      <c r="AD267" s="432"/>
      <c r="AE267" s="432"/>
      <c r="AF267" s="432"/>
      <c r="AG267" s="432"/>
      <c r="AH267" s="432"/>
      <c r="AI267" s="432"/>
      <c r="AJ267" s="432"/>
    </row>
    <row r="268" spans="2:36" s="17" customFormat="1" ht="15.5" hidden="1" x14ac:dyDescent="0.35">
      <c r="B268" s="917"/>
      <c r="C268" s="917"/>
      <c r="D268" s="909"/>
      <c r="E268" s="190"/>
      <c r="F268" s="190"/>
      <c r="G268" s="917"/>
      <c r="H268" s="190"/>
      <c r="I268" s="55"/>
      <c r="J268" s="227"/>
      <c r="K268" s="432"/>
      <c r="L268" s="432"/>
      <c r="M268" s="432"/>
      <c r="N268" s="432"/>
      <c r="O268" s="432"/>
      <c r="P268" s="432"/>
      <c r="Q268" s="432"/>
      <c r="R268" s="432"/>
      <c r="S268" s="432"/>
      <c r="T268" s="432"/>
      <c r="U268" s="432"/>
      <c r="V268" s="432"/>
      <c r="W268" s="432"/>
      <c r="X268" s="432"/>
      <c r="Y268" s="432"/>
      <c r="Z268" s="432"/>
      <c r="AA268" s="432"/>
      <c r="AB268" s="432"/>
      <c r="AC268" s="432"/>
      <c r="AD268" s="432"/>
      <c r="AE268" s="432"/>
      <c r="AF268" s="432"/>
      <c r="AG268" s="432"/>
      <c r="AH268" s="432"/>
      <c r="AI268" s="432"/>
      <c r="AJ268" s="432"/>
    </row>
    <row r="269" spans="2:36" s="17" customFormat="1" ht="15.5" hidden="1" x14ac:dyDescent="0.35">
      <c r="B269" s="910" t="s">
        <v>1287</v>
      </c>
      <c r="C269" s="912" t="s">
        <v>434</v>
      </c>
      <c r="D269" s="939" t="e">
        <f>$D$260*'Baseline farm'!D85%</f>
        <v>#DIV/0!</v>
      </c>
      <c r="E269" s="223"/>
      <c r="F269" s="223"/>
      <c r="G269" s="910">
        <v>0</v>
      </c>
      <c r="H269" s="223"/>
      <c r="I269" s="440"/>
      <c r="J269" s="227"/>
      <c r="K269" s="432"/>
      <c r="L269" s="432"/>
      <c r="M269" s="432"/>
      <c r="N269" s="432"/>
      <c r="O269" s="432"/>
      <c r="P269" s="432"/>
      <c r="Q269" s="432"/>
      <c r="R269" s="432"/>
      <c r="S269" s="432"/>
      <c r="T269" s="432"/>
      <c r="U269" s="432"/>
      <c r="V269" s="432"/>
      <c r="W269" s="432"/>
      <c r="X269" s="432"/>
      <c r="Y269" s="432"/>
      <c r="Z269" s="432"/>
      <c r="AA269" s="432"/>
      <c r="AB269" s="432"/>
      <c r="AC269" s="432"/>
      <c r="AD269" s="432"/>
      <c r="AE269" s="432"/>
      <c r="AF269" s="432"/>
      <c r="AG269" s="432"/>
      <c r="AH269" s="432"/>
      <c r="AI269" s="432"/>
      <c r="AJ269" s="432"/>
    </row>
    <row r="270" spans="2:36" s="17" customFormat="1" ht="15.5" hidden="1" x14ac:dyDescent="0.35">
      <c r="B270" s="917"/>
      <c r="C270" s="917"/>
      <c r="D270" s="909"/>
      <c r="E270" s="190"/>
      <c r="F270" s="190"/>
      <c r="G270" s="917"/>
      <c r="H270" s="190"/>
      <c r="I270" s="55"/>
      <c r="J270" s="227"/>
      <c r="K270" s="432"/>
      <c r="L270" s="432"/>
      <c r="M270" s="432"/>
      <c r="N270" s="432"/>
      <c r="O270" s="432"/>
      <c r="P270" s="432"/>
      <c r="Q270" s="432"/>
      <c r="R270" s="432"/>
      <c r="S270" s="432"/>
      <c r="T270" s="432"/>
      <c r="U270" s="432"/>
      <c r="V270" s="432"/>
      <c r="W270" s="432"/>
      <c r="X270" s="432"/>
      <c r="Y270" s="432"/>
      <c r="Z270" s="432"/>
      <c r="AA270" s="432"/>
      <c r="AB270" s="432"/>
      <c r="AC270" s="432"/>
      <c r="AD270" s="432"/>
      <c r="AE270" s="432"/>
      <c r="AF270" s="432"/>
      <c r="AG270" s="432"/>
      <c r="AH270" s="432"/>
      <c r="AI270" s="432"/>
      <c r="AJ270" s="432"/>
    </row>
    <row r="271" spans="2:36" s="17" customFormat="1" ht="15.5" hidden="1" x14ac:dyDescent="0.35">
      <c r="B271" s="910" t="s">
        <v>1914</v>
      </c>
      <c r="C271" s="912" t="s">
        <v>434</v>
      </c>
      <c r="D271" s="939" t="e">
        <f>$D$260*'Baseline farm'!E85%</f>
        <v>#DIV/0!</v>
      </c>
      <c r="E271" s="223"/>
      <c r="F271" s="223"/>
      <c r="G271" s="910">
        <v>0</v>
      </c>
      <c r="H271" s="223"/>
      <c r="I271" s="440"/>
      <c r="J271" s="227"/>
      <c r="K271" s="432"/>
      <c r="L271" s="432"/>
      <c r="M271" s="432"/>
      <c r="N271" s="432"/>
      <c r="O271" s="432"/>
      <c r="P271" s="432"/>
      <c r="Q271" s="432"/>
      <c r="R271" s="432"/>
      <c r="S271" s="432"/>
      <c r="T271" s="432"/>
      <c r="U271" s="432"/>
      <c r="V271" s="432"/>
      <c r="W271" s="432"/>
      <c r="X271" s="432"/>
      <c r="Y271" s="432"/>
      <c r="Z271" s="432"/>
      <c r="AA271" s="432"/>
      <c r="AB271" s="432"/>
      <c r="AC271" s="432"/>
      <c r="AD271" s="432"/>
      <c r="AE271" s="432"/>
      <c r="AF271" s="432"/>
      <c r="AG271" s="432"/>
      <c r="AH271" s="432"/>
      <c r="AI271" s="432"/>
      <c r="AJ271" s="432"/>
    </row>
    <row r="272" spans="2:36" s="17" customFormat="1" ht="15.5" hidden="1" x14ac:dyDescent="0.35">
      <c r="B272" s="917"/>
      <c r="C272" s="912"/>
      <c r="D272" s="909"/>
      <c r="E272" s="223"/>
      <c r="F272" s="223"/>
      <c r="G272" s="917"/>
      <c r="H272" s="223"/>
      <c r="I272" s="55"/>
      <c r="J272" s="227"/>
      <c r="K272" s="432"/>
      <c r="L272" s="432"/>
      <c r="M272" s="432"/>
      <c r="N272" s="432"/>
      <c r="O272" s="432"/>
      <c r="P272" s="432"/>
      <c r="Q272" s="432"/>
      <c r="R272" s="432"/>
      <c r="S272" s="432"/>
      <c r="T272" s="432"/>
      <c r="U272" s="432"/>
      <c r="V272" s="432"/>
      <c r="W272" s="432"/>
      <c r="X272" s="432"/>
      <c r="Y272" s="432"/>
      <c r="Z272" s="432"/>
      <c r="AA272" s="432"/>
      <c r="AB272" s="432"/>
      <c r="AC272" s="432"/>
      <c r="AD272" s="432"/>
      <c r="AE272" s="432"/>
      <c r="AF272" s="432"/>
      <c r="AG272" s="432"/>
      <c r="AH272" s="432"/>
      <c r="AI272" s="432"/>
      <c r="AJ272" s="432"/>
    </row>
    <row r="273" spans="2:36" s="17" customFormat="1" ht="15.5" hidden="1" x14ac:dyDescent="0.35">
      <c r="B273" s="910" t="s">
        <v>1290</v>
      </c>
      <c r="C273" s="912" t="s">
        <v>434</v>
      </c>
      <c r="D273" s="939" t="e">
        <f>$D$260*'Baseline farm'!F85%</f>
        <v>#DIV/0!</v>
      </c>
      <c r="E273" s="223"/>
      <c r="F273" s="223"/>
      <c r="G273" s="912">
        <v>5.0000000000000001E-3</v>
      </c>
      <c r="H273" s="223"/>
      <c r="I273" s="249"/>
      <c r="J273" s="227"/>
      <c r="K273" s="432"/>
      <c r="L273" s="432"/>
      <c r="M273" s="432"/>
      <c r="N273" s="432"/>
      <c r="O273" s="432"/>
      <c r="P273" s="432"/>
      <c r="Q273" s="432"/>
      <c r="R273" s="432"/>
      <c r="S273" s="432"/>
      <c r="T273" s="432"/>
      <c r="U273" s="432"/>
      <c r="V273" s="432"/>
      <c r="W273" s="432"/>
      <c r="X273" s="432"/>
      <c r="Y273" s="432"/>
      <c r="Z273" s="432"/>
      <c r="AA273" s="432"/>
      <c r="AB273" s="432"/>
      <c r="AC273" s="432"/>
      <c r="AD273" s="432"/>
      <c r="AE273" s="432"/>
      <c r="AF273" s="432"/>
      <c r="AG273" s="432"/>
      <c r="AH273" s="432"/>
      <c r="AI273" s="432"/>
      <c r="AJ273" s="432"/>
    </row>
    <row r="274" spans="2:36" s="17" customFormat="1" ht="15.5" hidden="1" x14ac:dyDescent="0.35">
      <c r="B274" s="917"/>
      <c r="C274" s="912"/>
      <c r="D274" s="909"/>
      <c r="E274" s="223"/>
      <c r="F274" s="223"/>
      <c r="G274" s="917"/>
      <c r="H274" s="223"/>
      <c r="I274" s="55"/>
      <c r="J274" s="227"/>
      <c r="K274" s="432"/>
      <c r="L274" s="432"/>
      <c r="M274" s="432"/>
      <c r="N274" s="432"/>
      <c r="O274" s="432"/>
      <c r="P274" s="432"/>
      <c r="Q274" s="432"/>
      <c r="R274" s="432"/>
      <c r="S274" s="432"/>
      <c r="T274" s="432"/>
      <c r="U274" s="432"/>
      <c r="V274" s="432"/>
      <c r="W274" s="432"/>
      <c r="X274" s="432"/>
      <c r="Y274" s="432"/>
      <c r="Z274" s="432"/>
      <c r="AA274" s="432"/>
      <c r="AB274" s="432"/>
      <c r="AC274" s="432"/>
      <c r="AD274" s="432"/>
      <c r="AE274" s="432"/>
      <c r="AF274" s="432"/>
      <c r="AG274" s="432"/>
      <c r="AH274" s="432"/>
      <c r="AI274" s="432"/>
      <c r="AJ274" s="432"/>
    </row>
    <row r="275" spans="2:36" s="17" customFormat="1" ht="15.5" hidden="1" x14ac:dyDescent="0.35">
      <c r="B275" s="910" t="s">
        <v>1291</v>
      </c>
      <c r="C275" s="912" t="s">
        <v>434</v>
      </c>
      <c r="D275" s="939" t="e">
        <f>$D$260*'Baseline farm'!G85%</f>
        <v>#DIV/0!</v>
      </c>
      <c r="E275" s="223"/>
      <c r="F275" s="223"/>
      <c r="G275" s="910">
        <v>0</v>
      </c>
      <c r="H275" s="223"/>
      <c r="I275" s="249"/>
      <c r="J275" s="227"/>
      <c r="K275" s="432"/>
      <c r="L275" s="432"/>
      <c r="M275" s="432"/>
      <c r="N275" s="432"/>
      <c r="O275" s="432"/>
      <c r="P275" s="432"/>
      <c r="Q275" s="432"/>
      <c r="R275" s="432"/>
      <c r="S275" s="432"/>
      <c r="T275" s="432"/>
      <c r="U275" s="432"/>
      <c r="V275" s="432"/>
      <c r="W275" s="432"/>
      <c r="X275" s="432"/>
      <c r="Y275" s="432"/>
      <c r="Z275" s="432"/>
      <c r="AA275" s="432"/>
      <c r="AB275" s="432"/>
      <c r="AC275" s="432"/>
      <c r="AD275" s="432"/>
      <c r="AE275" s="432"/>
      <c r="AF275" s="432"/>
      <c r="AG275" s="432"/>
      <c r="AH275" s="432"/>
      <c r="AI275" s="432"/>
      <c r="AJ275" s="432"/>
    </row>
    <row r="276" spans="2:36" s="17" customFormat="1" ht="15.5" hidden="1" x14ac:dyDescent="0.35">
      <c r="B276" s="917"/>
      <c r="C276" s="917"/>
      <c r="D276" s="909"/>
      <c r="E276" s="223"/>
      <c r="F276" s="223"/>
      <c r="G276" s="917"/>
      <c r="H276" s="223"/>
      <c r="I276" s="55"/>
      <c r="J276" s="227"/>
      <c r="K276" s="432"/>
      <c r="L276" s="432"/>
      <c r="M276" s="432"/>
      <c r="N276" s="432"/>
      <c r="O276" s="432"/>
      <c r="P276" s="432"/>
      <c r="Q276" s="432"/>
      <c r="R276" s="432"/>
      <c r="S276" s="432"/>
      <c r="T276" s="432"/>
      <c r="U276" s="432"/>
      <c r="V276" s="432"/>
      <c r="W276" s="432"/>
      <c r="X276" s="432"/>
      <c r="Y276" s="432"/>
      <c r="Z276" s="432"/>
      <c r="AA276" s="432"/>
      <c r="AB276" s="432"/>
      <c r="AC276" s="432"/>
      <c r="AD276" s="432"/>
      <c r="AE276" s="432"/>
      <c r="AF276" s="432"/>
      <c r="AG276" s="432"/>
      <c r="AH276" s="432"/>
      <c r="AI276" s="432"/>
      <c r="AJ276" s="432"/>
    </row>
    <row r="277" spans="2:36" s="17" customFormat="1" ht="18" hidden="1" x14ac:dyDescent="0.45">
      <c r="B277" s="916" t="s">
        <v>1277</v>
      </c>
      <c r="C277" s="912" t="s">
        <v>434</v>
      </c>
      <c r="D277" s="939" t="e">
        <f>SUM(D267,D269,D271,D273,D275)</f>
        <v>#DIV/0!</v>
      </c>
      <c r="E277" s="223"/>
      <c r="F277" s="223"/>
      <c r="G277" s="917" t="s">
        <v>438</v>
      </c>
      <c r="H277" s="223"/>
      <c r="I277" s="440"/>
      <c r="J277" s="227"/>
      <c r="K277" s="432"/>
      <c r="L277" s="432"/>
      <c r="M277" s="432"/>
      <c r="N277" s="432"/>
      <c r="O277" s="432"/>
      <c r="P277" s="432"/>
      <c r="Q277" s="432"/>
      <c r="R277" s="432"/>
      <c r="S277" s="432"/>
      <c r="T277" s="432"/>
      <c r="U277" s="432"/>
      <c r="V277" s="432"/>
      <c r="W277" s="432"/>
      <c r="X277" s="432"/>
      <c r="Y277" s="432"/>
      <c r="Z277" s="432"/>
      <c r="AA277" s="432"/>
      <c r="AB277" s="432"/>
      <c r="AC277" s="432"/>
      <c r="AD277" s="432"/>
      <c r="AE277" s="432"/>
      <c r="AF277" s="432"/>
      <c r="AG277" s="432"/>
      <c r="AH277" s="432"/>
      <c r="AI277" s="432"/>
      <c r="AJ277" s="432"/>
    </row>
    <row r="278" spans="2:36" s="17" customFormat="1" ht="15.5" hidden="1" x14ac:dyDescent="0.35">
      <c r="B278" s="917"/>
      <c r="C278" s="917"/>
      <c r="D278" s="940"/>
      <c r="E278" s="223"/>
      <c r="F278" s="223"/>
      <c r="G278" s="917"/>
      <c r="H278" s="223"/>
      <c r="I278" s="55"/>
      <c r="J278" s="227"/>
      <c r="K278" s="432"/>
      <c r="L278" s="432"/>
      <c r="M278" s="432"/>
      <c r="N278" s="432"/>
      <c r="O278" s="432"/>
      <c r="P278" s="432"/>
      <c r="Q278" s="432"/>
      <c r="R278" s="432"/>
      <c r="S278" s="432"/>
      <c r="T278" s="432"/>
      <c r="U278" s="432"/>
      <c r="V278" s="432"/>
      <c r="W278" s="432"/>
      <c r="X278" s="432"/>
      <c r="Y278" s="432"/>
      <c r="Z278" s="432"/>
      <c r="AA278" s="432"/>
      <c r="AB278" s="432"/>
      <c r="AC278" s="432"/>
      <c r="AD278" s="432"/>
      <c r="AE278" s="432"/>
      <c r="AF278" s="432"/>
      <c r="AG278" s="432"/>
      <c r="AH278" s="432"/>
      <c r="AI278" s="432"/>
      <c r="AJ278" s="432"/>
    </row>
    <row r="279" spans="2:36" s="17" customFormat="1" ht="18" hidden="1" x14ac:dyDescent="0.45">
      <c r="B279" s="916" t="s">
        <v>1306</v>
      </c>
      <c r="C279" s="912" t="s">
        <v>434</v>
      </c>
      <c r="D279" s="941" t="e">
        <f>((D267*$G$267)+(D269*$G$269)+(D271*$G$271)+(D273*$G$273))*44/28</f>
        <v>#DIV/0!</v>
      </c>
      <c r="E279" s="223"/>
      <c r="F279" s="223"/>
      <c r="G279" s="917" t="s">
        <v>1279</v>
      </c>
      <c r="H279" s="223"/>
      <c r="I279" s="55"/>
      <c r="J279" s="227"/>
      <c r="K279" s="432"/>
      <c r="L279" s="432"/>
      <c r="M279" s="432"/>
      <c r="N279" s="432"/>
      <c r="O279" s="432"/>
      <c r="P279" s="432"/>
      <c r="Q279" s="432"/>
      <c r="R279" s="432"/>
      <c r="S279" s="432"/>
      <c r="T279" s="432"/>
      <c r="U279" s="432"/>
      <c r="V279" s="432"/>
      <c r="W279" s="432"/>
      <c r="X279" s="432"/>
      <c r="Y279" s="432"/>
      <c r="Z279" s="432"/>
      <c r="AA279" s="432"/>
      <c r="AB279" s="432"/>
      <c r="AC279" s="432"/>
      <c r="AD279" s="432"/>
      <c r="AE279" s="432"/>
      <c r="AF279" s="432"/>
      <c r="AG279" s="432"/>
      <c r="AH279" s="432"/>
      <c r="AI279" s="432"/>
      <c r="AJ279" s="432"/>
    </row>
    <row r="280" spans="2:36" s="17" customFormat="1" ht="15.5" hidden="1" x14ac:dyDescent="0.35">
      <c r="B280" s="917"/>
      <c r="C280" s="912"/>
      <c r="D280" s="917"/>
      <c r="E280" s="190"/>
      <c r="F280" s="190"/>
      <c r="G280" s="917"/>
      <c r="H280" s="190"/>
      <c r="I280" s="55"/>
      <c r="J280" s="227"/>
      <c r="K280" s="432"/>
      <c r="L280" s="432"/>
      <c r="M280" s="432"/>
      <c r="N280" s="432"/>
      <c r="O280" s="432"/>
      <c r="P280" s="432"/>
      <c r="Q280" s="432"/>
      <c r="R280" s="432"/>
      <c r="S280" s="432"/>
      <c r="T280" s="432"/>
      <c r="U280" s="432"/>
      <c r="V280" s="432"/>
      <c r="W280" s="432"/>
      <c r="X280" s="432"/>
      <c r="Y280" s="432"/>
      <c r="Z280" s="432"/>
      <c r="AA280" s="432"/>
      <c r="AB280" s="432"/>
      <c r="AC280" s="432"/>
      <c r="AD280" s="432"/>
      <c r="AE280" s="432"/>
      <c r="AF280" s="432"/>
      <c r="AG280" s="432"/>
      <c r="AH280" s="432"/>
      <c r="AI280" s="432"/>
      <c r="AJ280" s="432"/>
    </row>
    <row r="281" spans="2:36" s="17" customFormat="1" ht="15.5" hidden="1" x14ac:dyDescent="0.35">
      <c r="B281" s="916" t="s">
        <v>1264</v>
      </c>
      <c r="C281" s="912"/>
      <c r="D281" s="916" t="s">
        <v>1265</v>
      </c>
      <c r="E281" s="223"/>
      <c r="F281" s="223"/>
      <c r="G281" s="916" t="s">
        <v>1280</v>
      </c>
      <c r="H281" s="223"/>
      <c r="I281" s="55"/>
      <c r="J281" s="227"/>
      <c r="K281" s="432"/>
      <c r="L281" s="432"/>
      <c r="M281" s="432"/>
      <c r="N281" s="432"/>
      <c r="O281" s="432"/>
      <c r="P281" s="432"/>
      <c r="Q281" s="432"/>
      <c r="R281" s="432"/>
      <c r="S281" s="432"/>
      <c r="T281" s="432"/>
      <c r="U281" s="432"/>
      <c r="V281" s="432"/>
      <c r="W281" s="432"/>
      <c r="X281" s="432"/>
      <c r="Y281" s="432"/>
      <c r="Z281" s="432"/>
      <c r="AA281" s="432"/>
      <c r="AB281" s="432"/>
      <c r="AC281" s="432"/>
      <c r="AD281" s="432"/>
      <c r="AE281" s="432"/>
      <c r="AF281" s="432"/>
      <c r="AG281" s="432"/>
      <c r="AH281" s="432"/>
      <c r="AI281" s="432"/>
      <c r="AJ281" s="432"/>
    </row>
    <row r="282" spans="2:36" s="17" customFormat="1" ht="15.5" hidden="1" x14ac:dyDescent="0.35">
      <c r="B282" s="910"/>
      <c r="C282" s="912"/>
      <c r="D282" s="917"/>
      <c r="E282" s="190"/>
      <c r="F282" s="190"/>
      <c r="G282" s="917"/>
      <c r="H282" s="190"/>
      <c r="I282" s="55"/>
      <c r="J282" s="227"/>
      <c r="K282" s="432"/>
      <c r="L282" s="432"/>
      <c r="M282" s="432"/>
      <c r="N282" s="432"/>
      <c r="O282" s="432"/>
      <c r="P282" s="432"/>
      <c r="Q282" s="432"/>
      <c r="R282" s="432"/>
      <c r="S282" s="432"/>
      <c r="T282" s="432"/>
      <c r="U282" s="432"/>
      <c r="V282" s="432"/>
      <c r="W282" s="432"/>
      <c r="X282" s="432"/>
      <c r="Y282" s="432"/>
      <c r="Z282" s="432"/>
      <c r="AA282" s="432"/>
      <c r="AB282" s="432"/>
      <c r="AC282" s="432"/>
      <c r="AD282" s="432"/>
      <c r="AE282" s="432"/>
      <c r="AF282" s="432"/>
      <c r="AG282" s="432"/>
      <c r="AH282" s="432"/>
      <c r="AI282" s="432"/>
      <c r="AJ282" s="432"/>
    </row>
    <row r="283" spans="2:36" s="17" customFormat="1" ht="15.5" hidden="1" x14ac:dyDescent="0.35">
      <c r="B283" s="910" t="s">
        <v>1288</v>
      </c>
      <c r="C283" s="912"/>
      <c r="D283" s="940" t="e">
        <f>D267*G283</f>
        <v>#DIV/0!</v>
      </c>
      <c r="E283" s="190"/>
      <c r="F283" s="190"/>
      <c r="G283" s="917">
        <v>0.35</v>
      </c>
      <c r="H283" s="190"/>
      <c r="I283" s="498"/>
      <c r="J283" s="227"/>
      <c r="K283" s="432"/>
      <c r="L283" s="432"/>
      <c r="M283" s="432"/>
      <c r="N283" s="432"/>
      <c r="O283" s="432"/>
      <c r="P283" s="432"/>
      <c r="Q283" s="432"/>
      <c r="R283" s="432"/>
      <c r="S283" s="432"/>
      <c r="T283" s="432"/>
      <c r="U283" s="432"/>
      <c r="V283" s="432"/>
      <c r="W283" s="432"/>
      <c r="X283" s="432"/>
      <c r="Y283" s="432"/>
      <c r="Z283" s="432"/>
      <c r="AA283" s="432"/>
      <c r="AB283" s="432"/>
      <c r="AC283" s="432"/>
      <c r="AD283" s="432"/>
      <c r="AE283" s="432"/>
      <c r="AF283" s="432"/>
      <c r="AG283" s="432"/>
      <c r="AH283" s="432"/>
      <c r="AI283" s="432"/>
      <c r="AJ283" s="432"/>
    </row>
    <row r="284" spans="2:36" s="17" customFormat="1" ht="15.5" hidden="1" x14ac:dyDescent="0.35">
      <c r="B284" s="917"/>
      <c r="C284" s="912"/>
      <c r="D284" s="940"/>
      <c r="E284" s="190"/>
      <c r="F284" s="190"/>
      <c r="G284" s="917"/>
      <c r="H284" s="190"/>
      <c r="I284" s="55"/>
      <c r="J284" s="227"/>
      <c r="K284" s="432"/>
      <c r="L284" s="432"/>
      <c r="M284" s="432"/>
      <c r="N284" s="432"/>
      <c r="O284" s="432"/>
      <c r="P284" s="432"/>
      <c r="Q284" s="432"/>
      <c r="R284" s="432"/>
      <c r="S284" s="432"/>
      <c r="T284" s="432"/>
      <c r="U284" s="432"/>
      <c r="V284" s="432"/>
      <c r="W284" s="432"/>
      <c r="X284" s="432"/>
      <c r="Y284" s="432"/>
      <c r="Z284" s="432"/>
      <c r="AA284" s="432"/>
      <c r="AB284" s="432"/>
      <c r="AC284" s="432"/>
      <c r="AD284" s="432"/>
      <c r="AE284" s="432"/>
      <c r="AF284" s="432"/>
      <c r="AG284" s="432"/>
      <c r="AH284" s="432"/>
      <c r="AI284" s="432"/>
      <c r="AJ284" s="432"/>
    </row>
    <row r="285" spans="2:36" s="17" customFormat="1" ht="15.5" hidden="1" x14ac:dyDescent="0.35">
      <c r="B285" s="910" t="s">
        <v>1287</v>
      </c>
      <c r="C285" s="912"/>
      <c r="D285" s="940" t="e">
        <f>D269*G285</f>
        <v>#DIV/0!</v>
      </c>
      <c r="E285" s="217"/>
      <c r="F285" s="217"/>
      <c r="G285" s="917">
        <v>7.0000000000000007E-2</v>
      </c>
      <c r="H285" s="217"/>
      <c r="I285" s="440"/>
      <c r="J285" s="248"/>
      <c r="K285" s="432"/>
      <c r="L285" s="432"/>
      <c r="M285" s="432"/>
      <c r="N285" s="432"/>
      <c r="O285" s="432"/>
      <c r="P285" s="432"/>
      <c r="Q285" s="432"/>
      <c r="R285" s="432"/>
      <c r="S285" s="432"/>
      <c r="T285" s="432"/>
      <c r="U285" s="432"/>
      <c r="V285" s="432"/>
      <c r="W285" s="432"/>
      <c r="X285" s="432"/>
      <c r="Y285" s="432"/>
      <c r="Z285" s="432"/>
      <c r="AA285" s="432"/>
      <c r="AB285" s="432"/>
      <c r="AC285" s="432"/>
      <c r="AD285" s="432"/>
      <c r="AE285" s="432"/>
      <c r="AF285" s="432"/>
      <c r="AG285" s="432"/>
      <c r="AH285" s="432"/>
      <c r="AI285" s="432"/>
      <c r="AJ285" s="432"/>
    </row>
    <row r="286" spans="2:36" s="17" customFormat="1" ht="15.5" hidden="1" x14ac:dyDescent="0.35">
      <c r="B286" s="917"/>
      <c r="C286" s="912"/>
      <c r="D286" s="940"/>
      <c r="E286" s="938"/>
      <c r="F286" s="938"/>
      <c r="G286" s="917"/>
      <c r="H286" s="938"/>
      <c r="I286" s="136"/>
      <c r="J286" s="136"/>
      <c r="K286" s="432"/>
      <c r="L286" s="432"/>
      <c r="M286" s="432"/>
      <c r="N286" s="432"/>
      <c r="O286" s="432"/>
      <c r="P286" s="432"/>
      <c r="Q286" s="432"/>
      <c r="R286" s="432"/>
      <c r="S286" s="432"/>
      <c r="T286" s="432"/>
      <c r="U286" s="432"/>
      <c r="V286" s="432"/>
      <c r="W286" s="432"/>
      <c r="X286" s="432"/>
      <c r="Y286" s="432"/>
      <c r="Z286" s="432"/>
      <c r="AA286" s="432"/>
      <c r="AB286" s="432"/>
      <c r="AC286" s="432"/>
      <c r="AD286" s="432"/>
      <c r="AE286" s="432"/>
      <c r="AF286" s="432"/>
      <c r="AG286" s="432"/>
      <c r="AH286" s="432"/>
      <c r="AI286" s="432"/>
      <c r="AJ286" s="432"/>
    </row>
    <row r="287" spans="2:36" s="879" customFormat="1" ht="15.5" hidden="1" x14ac:dyDescent="0.35">
      <c r="B287" s="910" t="s">
        <v>1914</v>
      </c>
      <c r="C287" s="912"/>
      <c r="D287" s="940" t="e">
        <f>D271*G287</f>
        <v>#DIV/0!</v>
      </c>
      <c r="E287" s="190"/>
      <c r="F287" s="190"/>
      <c r="G287" s="917">
        <v>0.2</v>
      </c>
      <c r="H287" s="190"/>
    </row>
    <row r="288" spans="2:36" s="879" customFormat="1" ht="15.5" hidden="1" x14ac:dyDescent="0.35">
      <c r="B288" s="917"/>
      <c r="C288" s="912"/>
      <c r="D288" s="940"/>
      <c r="E288" s="190"/>
      <c r="F288" s="190"/>
      <c r="G288" s="917"/>
      <c r="H288" s="190"/>
    </row>
    <row r="289" spans="2:8" s="879" customFormat="1" ht="15.5" hidden="1" x14ac:dyDescent="0.35">
      <c r="B289" s="910" t="s">
        <v>1290</v>
      </c>
      <c r="C289" s="912"/>
      <c r="D289" s="940" t="e">
        <f>D273*G289</f>
        <v>#DIV/0!</v>
      </c>
      <c r="E289" s="190"/>
      <c r="F289" s="190"/>
      <c r="G289" s="917">
        <v>0.3</v>
      </c>
      <c r="H289" s="190"/>
    </row>
    <row r="290" spans="2:8" s="879" customFormat="1" ht="15.5" hidden="1" x14ac:dyDescent="0.35">
      <c r="B290" s="917"/>
      <c r="C290" s="912"/>
      <c r="D290" s="942"/>
      <c r="E290" s="190"/>
      <c r="F290" s="190"/>
      <c r="G290" s="917"/>
      <c r="H290" s="190"/>
    </row>
    <row r="291" spans="2:8" s="879" customFormat="1" ht="15.5" hidden="1" x14ac:dyDescent="0.35">
      <c r="B291" s="910" t="s">
        <v>1291</v>
      </c>
      <c r="C291" s="912"/>
      <c r="D291" s="940" t="e">
        <f>D275*G291</f>
        <v>#DIV/0!</v>
      </c>
      <c r="E291" s="190"/>
      <c r="F291" s="190"/>
      <c r="G291" s="917">
        <v>0</v>
      </c>
      <c r="H291" s="190"/>
    </row>
    <row r="292" spans="2:8" s="879" customFormat="1" ht="15.5" hidden="1" x14ac:dyDescent="0.35">
      <c r="B292" s="917"/>
      <c r="C292" s="912"/>
      <c r="D292" s="917"/>
      <c r="E292" s="190"/>
      <c r="F292" s="190"/>
      <c r="G292" s="917"/>
      <c r="H292" s="190"/>
    </row>
    <row r="293" spans="2:8" s="879" customFormat="1" ht="15.5" hidden="1" x14ac:dyDescent="0.35">
      <c r="B293" s="916" t="s">
        <v>1282</v>
      </c>
      <c r="C293" s="912"/>
      <c r="D293" s="916" t="s">
        <v>1283</v>
      </c>
      <c r="E293" s="190"/>
      <c r="F293" s="190"/>
      <c r="G293" s="916" t="s">
        <v>1284</v>
      </c>
      <c r="H293" s="190"/>
    </row>
    <row r="294" spans="2:8" s="879" customFormat="1" ht="15.5" hidden="1" x14ac:dyDescent="0.35">
      <c r="B294" s="917"/>
      <c r="C294" s="912"/>
      <c r="D294" s="940" t="e">
        <f>SUM(D283:D289)*$G$294*44/28</f>
        <v>#DIV/0!</v>
      </c>
      <c r="E294" s="190"/>
      <c r="F294" s="190"/>
      <c r="G294" s="917">
        <v>3.8999999999999998E-3</v>
      </c>
      <c r="H294" s="190"/>
    </row>
    <row r="295" spans="2:8" s="879" customFormat="1" ht="15.5" hidden="1" x14ac:dyDescent="0.35">
      <c r="B295" s="917"/>
      <c r="C295" s="912"/>
      <c r="D295" s="940"/>
      <c r="E295" s="190"/>
      <c r="F295" s="190"/>
      <c r="G295" s="917"/>
      <c r="H295" s="190"/>
    </row>
    <row r="296" spans="2:8" s="879" customFormat="1" ht="15.5" hidden="1" x14ac:dyDescent="0.35">
      <c r="B296" s="917" t="s">
        <v>1915</v>
      </c>
      <c r="C296" s="912"/>
      <c r="D296" s="943" t="e">
        <f>SUM(D294)*'Emission factors'!C5*10^3</f>
        <v>#DIV/0!</v>
      </c>
      <c r="E296" s="190"/>
      <c r="F296" s="190"/>
      <c r="G296" s="917" t="s">
        <v>1294</v>
      </c>
      <c r="H296" s="190"/>
    </row>
    <row r="297" spans="2:8" s="879" customFormat="1" ht="15.5" hidden="1" x14ac:dyDescent="0.35">
      <c r="B297" s="917"/>
      <c r="C297" s="912"/>
      <c r="D297" s="917"/>
      <c r="E297" s="190"/>
      <c r="F297" s="190"/>
      <c r="G297" s="917"/>
      <c r="H297" s="190"/>
    </row>
    <row r="298" spans="2:8" s="879" customFormat="1" ht="18" hidden="1" x14ac:dyDescent="0.45">
      <c r="B298" s="916" t="s">
        <v>1286</v>
      </c>
      <c r="C298" s="912"/>
      <c r="D298" s="916" t="s">
        <v>1333</v>
      </c>
      <c r="E298" s="190"/>
      <c r="F298" s="190"/>
      <c r="G298" s="916" t="s">
        <v>1292</v>
      </c>
      <c r="H298" s="190"/>
    </row>
    <row r="299" spans="2:8" s="879" customFormat="1" ht="15.5" hidden="1" x14ac:dyDescent="0.35">
      <c r="B299" s="917"/>
      <c r="C299" s="912"/>
      <c r="D299" s="917"/>
      <c r="E299" s="190"/>
      <c r="F299" s="190"/>
      <c r="G299" s="917">
        <v>1</v>
      </c>
      <c r="H299" s="190"/>
    </row>
    <row r="300" spans="2:8" s="879" customFormat="1" ht="15.5" hidden="1" x14ac:dyDescent="0.35">
      <c r="B300" s="917" t="s">
        <v>1341</v>
      </c>
      <c r="C300" s="912"/>
      <c r="D300" s="944" t="e">
        <f>D273*$G$299*$G$301</f>
        <v>#DIV/0!</v>
      </c>
      <c r="E300" s="190"/>
      <c r="F300" s="190"/>
      <c r="G300" s="916" t="s">
        <v>1293</v>
      </c>
      <c r="H300" s="190"/>
    </row>
    <row r="301" spans="2:8" s="879" customFormat="1" ht="15.5" hidden="1" x14ac:dyDescent="0.35">
      <c r="B301" s="916"/>
      <c r="C301" s="911"/>
      <c r="D301" s="917"/>
      <c r="E301" s="190"/>
      <c r="F301" s="190"/>
      <c r="G301" s="1006">
        <v>0.02</v>
      </c>
      <c r="H301" s="190"/>
    </row>
    <row r="302" spans="2:8" s="879" customFormat="1" ht="15.5" hidden="1" x14ac:dyDescent="0.35">
      <c r="B302" s="916"/>
      <c r="C302" s="911"/>
      <c r="D302" s="916" t="s">
        <v>1336</v>
      </c>
      <c r="E302" s="190"/>
      <c r="F302" s="190"/>
      <c r="G302" s="915" t="s">
        <v>1301</v>
      </c>
      <c r="H302" s="190"/>
    </row>
    <row r="303" spans="2:8" s="879" customFormat="1" ht="15.5" hidden="1" x14ac:dyDescent="0.35">
      <c r="B303" s="916"/>
      <c r="C303" s="911"/>
      <c r="D303" s="945" t="e">
        <f>D300*$G$303*44/28</f>
        <v>#DIV/0!</v>
      </c>
      <c r="E303" s="190"/>
      <c r="F303" s="190"/>
      <c r="G303" s="914">
        <v>1.0999999999999999E-2</v>
      </c>
      <c r="H303" s="190"/>
    </row>
    <row r="304" spans="2:8" s="879" customFormat="1" ht="15.5" hidden="1" x14ac:dyDescent="0.35">
      <c r="B304" s="916"/>
      <c r="C304" s="870"/>
      <c r="D304" s="917"/>
      <c r="E304" s="190"/>
      <c r="F304" s="190"/>
      <c r="G304" s="917"/>
      <c r="H304" s="190"/>
    </row>
    <row r="305" spans="2:36" s="879" customFormat="1" ht="15.5" hidden="1" x14ac:dyDescent="0.35">
      <c r="B305" s="89" t="s">
        <v>1295</v>
      </c>
      <c r="C305" s="471"/>
      <c r="D305" s="946" t="e">
        <f>SUM(D303)*'Emission factors'!C5*10^3</f>
        <v>#DIV/0!</v>
      </c>
      <c r="E305" s="947"/>
      <c r="F305" s="947"/>
      <c r="G305" s="872" t="s">
        <v>1294</v>
      </c>
      <c r="H305" s="947"/>
    </row>
    <row r="306" spans="2:36" s="879" customFormat="1" hidden="1" x14ac:dyDescent="0.35"/>
    <row r="307" spans="2:36" s="879" customFormat="1" hidden="1" x14ac:dyDescent="0.35"/>
    <row r="308" spans="2:36" s="17" customFormat="1" ht="15.5" hidden="1" x14ac:dyDescent="0.35">
      <c r="B308" s="224" t="s">
        <v>245</v>
      </c>
      <c r="C308" s="225"/>
      <c r="D308" s="226"/>
      <c r="E308" s="226"/>
      <c r="F308" s="226"/>
      <c r="G308" s="226"/>
      <c r="H308" s="226"/>
      <c r="I308" s="1651"/>
      <c r="J308" s="1652"/>
      <c r="K308" s="248"/>
      <c r="L308" s="55"/>
      <c r="M308" s="55"/>
      <c r="N308" s="432"/>
      <c r="O308" s="432"/>
      <c r="P308" s="432"/>
      <c r="Q308" s="432"/>
      <c r="R308" s="432"/>
      <c r="S308" s="432"/>
      <c r="T308" s="432"/>
      <c r="U308" s="432"/>
      <c r="V308" s="432"/>
      <c r="W308" s="432"/>
      <c r="X308" s="432"/>
      <c r="Y308" s="432"/>
      <c r="Z308" s="432"/>
      <c r="AA308" s="432"/>
      <c r="AB308" s="432"/>
      <c r="AC308" s="432"/>
      <c r="AD308" s="432"/>
      <c r="AE308" s="432"/>
      <c r="AF308" s="432"/>
      <c r="AG308" s="432"/>
      <c r="AH308" s="432"/>
      <c r="AI308" s="432"/>
      <c r="AJ308" s="432"/>
    </row>
    <row r="309" spans="2:36" s="17" customFormat="1" ht="15.5" hidden="1" x14ac:dyDescent="0.35">
      <c r="B309" s="228"/>
      <c r="C309" s="228"/>
      <c r="D309" s="228"/>
      <c r="E309" s="229"/>
      <c r="F309" s="229"/>
      <c r="G309" s="229"/>
      <c r="H309" s="229"/>
      <c r="I309" s="440"/>
      <c r="J309" s="248"/>
      <c r="K309" s="440"/>
      <c r="L309" s="55"/>
      <c r="M309" s="55"/>
      <c r="N309" s="432"/>
      <c r="O309" s="432"/>
      <c r="P309" s="432"/>
      <c r="Q309" s="432"/>
      <c r="R309" s="432"/>
      <c r="S309" s="432"/>
      <c r="T309" s="432"/>
      <c r="U309" s="432"/>
      <c r="V309" s="432"/>
      <c r="W309" s="432"/>
      <c r="X309" s="432"/>
      <c r="Y309" s="432"/>
      <c r="Z309" s="432"/>
      <c r="AA309" s="432"/>
      <c r="AB309" s="432"/>
      <c r="AC309" s="432"/>
      <c r="AD309" s="432"/>
      <c r="AE309" s="432"/>
      <c r="AF309" s="432"/>
      <c r="AG309" s="432"/>
      <c r="AH309" s="432"/>
      <c r="AI309" s="432"/>
      <c r="AJ309" s="432"/>
    </row>
    <row r="310" spans="2:36" s="17" customFormat="1" ht="18" hidden="1" x14ac:dyDescent="0.45">
      <c r="B310" s="920" t="s">
        <v>328</v>
      </c>
      <c r="C310" s="920" t="s">
        <v>1303</v>
      </c>
      <c r="D310" s="921"/>
      <c r="E310" s="229"/>
      <c r="F310" s="229"/>
      <c r="G310" s="232"/>
      <c r="H310" s="232"/>
      <c r="I310" s="440"/>
      <c r="J310" s="227"/>
      <c r="K310" s="55"/>
      <c r="L310" s="55"/>
      <c r="M310" s="55"/>
      <c r="N310" s="432"/>
      <c r="O310" s="432"/>
      <c r="P310" s="432"/>
      <c r="Q310" s="432"/>
      <c r="R310" s="432"/>
      <c r="S310" s="432"/>
      <c r="T310" s="432"/>
      <c r="U310" s="432"/>
      <c r="V310" s="432"/>
      <c r="W310" s="432"/>
      <c r="X310" s="432"/>
      <c r="Y310" s="432"/>
      <c r="Z310" s="432"/>
      <c r="AA310" s="432"/>
      <c r="AB310" s="432"/>
      <c r="AC310" s="432"/>
      <c r="AD310" s="432"/>
      <c r="AE310" s="432"/>
      <c r="AF310" s="432"/>
      <c r="AG310" s="432"/>
      <c r="AH310" s="432"/>
      <c r="AI310" s="432"/>
      <c r="AJ310" s="432"/>
    </row>
    <row r="311" spans="2:36" s="17" customFormat="1" ht="15.5" hidden="1" x14ac:dyDescent="0.35">
      <c r="B311" s="918"/>
      <c r="C311" s="918" t="s">
        <v>330</v>
      </c>
      <c r="D311" s="918"/>
      <c r="E311" s="229"/>
      <c r="F311" s="229"/>
      <c r="G311" s="229"/>
      <c r="H311" s="229"/>
      <c r="I311" s="440"/>
      <c r="J311" s="227"/>
      <c r="K311" s="55"/>
      <c r="L311" s="55"/>
      <c r="M311" s="55"/>
      <c r="N311" s="432"/>
      <c r="O311" s="432"/>
      <c r="P311" s="432"/>
      <c r="Q311" s="432"/>
      <c r="R311" s="432"/>
      <c r="S311" s="432"/>
      <c r="T311" s="432"/>
      <c r="U311" s="432"/>
      <c r="V311" s="432"/>
      <c r="W311" s="432"/>
      <c r="X311" s="432"/>
      <c r="Y311" s="432"/>
      <c r="Z311" s="432"/>
      <c r="AA311" s="432"/>
      <c r="AB311" s="432"/>
      <c r="AC311" s="432"/>
      <c r="AD311" s="432"/>
      <c r="AE311" s="432"/>
      <c r="AF311" s="432"/>
      <c r="AG311" s="432"/>
      <c r="AH311" s="432"/>
      <c r="AI311" s="432"/>
      <c r="AJ311" s="432"/>
    </row>
    <row r="312" spans="2:36" s="17" customFormat="1" ht="15.5" hidden="1" x14ac:dyDescent="0.35">
      <c r="B312" s="918"/>
      <c r="C312" s="921" t="s">
        <v>1329</v>
      </c>
      <c r="D312" s="918"/>
      <c r="E312" s="229"/>
      <c r="F312" s="229"/>
      <c r="G312" s="229"/>
      <c r="H312" s="229"/>
      <c r="I312" s="440"/>
      <c r="J312" s="227"/>
      <c r="K312" s="55"/>
      <c r="L312" s="55"/>
      <c r="M312" s="55"/>
      <c r="N312" s="432"/>
      <c r="O312" s="432"/>
      <c r="P312" s="432"/>
      <c r="Q312" s="432"/>
      <c r="R312" s="432"/>
      <c r="S312" s="432"/>
      <c r="T312" s="432"/>
      <c r="U312" s="432"/>
      <c r="V312" s="432"/>
      <c r="W312" s="432"/>
      <c r="X312" s="432"/>
      <c r="Y312" s="432"/>
      <c r="Z312" s="432"/>
      <c r="AA312" s="432"/>
      <c r="AB312" s="432"/>
      <c r="AC312" s="432"/>
      <c r="AD312" s="432"/>
      <c r="AE312" s="432"/>
      <c r="AF312" s="432"/>
      <c r="AG312" s="432"/>
      <c r="AH312" s="432"/>
      <c r="AI312" s="432"/>
      <c r="AJ312" s="432"/>
    </row>
    <row r="313" spans="2:36" s="17" customFormat="1" ht="15.5" hidden="1" x14ac:dyDescent="0.35">
      <c r="B313" s="921"/>
      <c r="C313" s="921" t="s">
        <v>1304</v>
      </c>
      <c r="D313" s="918"/>
      <c r="E313" s="229"/>
      <c r="F313" s="229"/>
      <c r="G313" s="229"/>
      <c r="H313" s="229"/>
      <c r="I313" s="440"/>
      <c r="J313" s="227"/>
      <c r="K313" s="55"/>
      <c r="L313" s="55"/>
      <c r="M313" s="55"/>
      <c r="N313" s="432"/>
      <c r="O313" s="432"/>
      <c r="P313" s="432"/>
      <c r="Q313" s="432"/>
      <c r="R313" s="432"/>
      <c r="S313" s="432"/>
      <c r="T313" s="432"/>
      <c r="U313" s="432"/>
      <c r="V313" s="432"/>
      <c r="W313" s="432"/>
      <c r="X313" s="432"/>
      <c r="Y313" s="432"/>
      <c r="Z313" s="432"/>
      <c r="AA313" s="432"/>
      <c r="AB313" s="432"/>
      <c r="AC313" s="432"/>
      <c r="AD313" s="432"/>
      <c r="AE313" s="432"/>
      <c r="AF313" s="432"/>
      <c r="AG313" s="432"/>
      <c r="AH313" s="432"/>
      <c r="AI313" s="432"/>
      <c r="AJ313" s="432"/>
    </row>
    <row r="314" spans="2:36" s="17" customFormat="1" ht="15.5" hidden="1" x14ac:dyDescent="0.35">
      <c r="B314" s="921"/>
      <c r="C314" s="921" t="s">
        <v>1305</v>
      </c>
      <c r="D314" s="918"/>
      <c r="E314" s="233"/>
      <c r="F314" s="228"/>
      <c r="G314" s="228"/>
      <c r="H314" s="228"/>
      <c r="I314" s="55"/>
      <c r="J314" s="227"/>
      <c r="K314" s="55"/>
      <c r="L314" s="55"/>
      <c r="M314" s="55"/>
      <c r="N314" s="432"/>
      <c r="O314" s="432"/>
      <c r="P314" s="432"/>
      <c r="Q314" s="432"/>
      <c r="R314" s="432"/>
      <c r="S314" s="432"/>
      <c r="T314" s="432"/>
      <c r="U314" s="432"/>
      <c r="V314" s="432"/>
      <c r="W314" s="432"/>
      <c r="X314" s="432"/>
      <c r="Y314" s="432"/>
      <c r="Z314" s="432"/>
      <c r="AA314" s="432"/>
      <c r="AB314" s="432"/>
      <c r="AC314" s="432"/>
      <c r="AD314" s="432"/>
      <c r="AE314" s="432"/>
      <c r="AF314" s="432"/>
      <c r="AG314" s="432"/>
      <c r="AH314" s="432"/>
      <c r="AI314" s="432"/>
      <c r="AJ314" s="432"/>
    </row>
    <row r="315" spans="2:36" s="17" customFormat="1" ht="15.5" hidden="1" x14ac:dyDescent="0.35">
      <c r="B315" s="921"/>
      <c r="C315" s="918"/>
      <c r="D315" s="918"/>
      <c r="E315" s="233"/>
      <c r="F315" s="228"/>
      <c r="G315" s="228"/>
      <c r="H315" s="228"/>
      <c r="I315" s="55"/>
      <c r="J315" s="227"/>
      <c r="K315" s="55"/>
      <c r="L315" s="55"/>
      <c r="M315" s="55"/>
      <c r="N315" s="432"/>
      <c r="O315" s="432"/>
      <c r="P315" s="432"/>
      <c r="Q315" s="432"/>
      <c r="R315" s="432"/>
      <c r="S315" s="432"/>
      <c r="T315" s="432"/>
      <c r="U315" s="432"/>
      <c r="V315" s="432"/>
      <c r="W315" s="432"/>
      <c r="X315" s="432"/>
      <c r="Y315" s="432"/>
      <c r="Z315" s="432"/>
      <c r="AA315" s="432"/>
      <c r="AB315" s="432"/>
      <c r="AC315" s="432"/>
      <c r="AD315" s="432"/>
      <c r="AE315" s="432"/>
      <c r="AF315" s="432"/>
      <c r="AG315" s="432"/>
      <c r="AH315" s="432"/>
      <c r="AI315" s="432"/>
      <c r="AJ315" s="432"/>
    </row>
    <row r="316" spans="2:36" s="17" customFormat="1" ht="15.5" hidden="1" x14ac:dyDescent="0.35">
      <c r="B316" s="920"/>
      <c r="C316" s="921"/>
      <c r="D316" s="98"/>
      <c r="E316" s="234"/>
      <c r="F316" s="234"/>
      <c r="G316" s="234"/>
      <c r="H316" s="234"/>
      <c r="I316" s="55"/>
      <c r="J316" s="227"/>
      <c r="K316" s="55"/>
      <c r="L316" s="55"/>
      <c r="M316" s="55"/>
      <c r="N316" s="432"/>
      <c r="O316" s="432"/>
      <c r="P316" s="432"/>
      <c r="Q316" s="432"/>
      <c r="R316" s="432"/>
      <c r="S316" s="432"/>
      <c r="T316" s="432"/>
      <c r="U316" s="432"/>
      <c r="V316" s="432"/>
      <c r="W316" s="432"/>
      <c r="X316" s="432"/>
      <c r="Y316" s="432"/>
      <c r="Z316" s="432"/>
      <c r="AA316" s="432"/>
      <c r="AB316" s="432"/>
      <c r="AC316" s="432"/>
      <c r="AD316" s="432"/>
      <c r="AE316" s="432"/>
      <c r="AF316" s="432"/>
      <c r="AG316" s="432"/>
      <c r="AH316" s="432"/>
      <c r="AI316" s="432"/>
      <c r="AJ316" s="432"/>
    </row>
    <row r="317" spans="2:36" s="17" customFormat="1" ht="15.5" hidden="1" x14ac:dyDescent="0.35">
      <c r="B317" s="920" t="s">
        <v>1344</v>
      </c>
      <c r="C317" s="922" t="s">
        <v>440</v>
      </c>
      <c r="D317" s="948" t="e">
        <f>(($D$260*'Baseline farm'!$C$85%)*(1-$G267-$G283))-0</f>
        <v>#DIV/0!</v>
      </c>
      <c r="E317" s="236"/>
      <c r="F317" s="236"/>
      <c r="G317" s="236"/>
      <c r="H317" s="236"/>
      <c r="I317" s="55"/>
      <c r="J317" s="227"/>
      <c r="K317" s="440"/>
      <c r="L317" s="237"/>
      <c r="M317" s="238"/>
      <c r="N317" s="432"/>
      <c r="O317" s="432"/>
      <c r="P317" s="432"/>
      <c r="Q317" s="432"/>
      <c r="R317" s="432"/>
      <c r="S317" s="432"/>
      <c r="T317" s="432"/>
      <c r="U317" s="432"/>
      <c r="V317" s="432"/>
      <c r="W317" s="432"/>
      <c r="X317" s="432"/>
      <c r="Y317" s="432"/>
      <c r="Z317" s="432"/>
      <c r="AA317" s="432"/>
      <c r="AB317" s="432"/>
      <c r="AC317" s="432"/>
      <c r="AD317" s="432"/>
      <c r="AE317" s="432"/>
      <c r="AF317" s="432"/>
      <c r="AG317" s="432"/>
      <c r="AH317" s="432"/>
      <c r="AI317" s="432"/>
      <c r="AJ317" s="432"/>
    </row>
    <row r="318" spans="2:36" s="17" customFormat="1" ht="15.5" hidden="1" x14ac:dyDescent="0.35">
      <c r="B318" s="921"/>
      <c r="C318" s="921"/>
      <c r="D318" s="948"/>
      <c r="E318" s="228"/>
      <c r="F318" s="228"/>
      <c r="G318" s="228"/>
      <c r="H318" s="228"/>
      <c r="I318" s="499"/>
      <c r="J318" s="227"/>
      <c r="K318" s="440"/>
      <c r="L318" s="237"/>
      <c r="M318" s="239"/>
      <c r="N318" s="432"/>
      <c r="O318" s="432"/>
      <c r="P318" s="432"/>
      <c r="Q318" s="432"/>
      <c r="R318" s="432"/>
      <c r="S318" s="432"/>
      <c r="T318" s="432"/>
      <c r="U318" s="432"/>
      <c r="V318" s="432"/>
      <c r="W318" s="432"/>
      <c r="X318" s="432"/>
      <c r="Y318" s="432"/>
      <c r="Z318" s="432"/>
      <c r="AA318" s="432"/>
      <c r="AB318" s="432"/>
      <c r="AC318" s="432"/>
      <c r="AD318" s="432"/>
      <c r="AE318" s="432"/>
      <c r="AF318" s="432"/>
      <c r="AG318" s="432"/>
      <c r="AH318" s="432"/>
      <c r="AI318" s="432"/>
      <c r="AJ318" s="432"/>
    </row>
    <row r="319" spans="2:36" s="17" customFormat="1" ht="15.5" hidden="1" x14ac:dyDescent="0.35">
      <c r="B319" s="920" t="s">
        <v>1345</v>
      </c>
      <c r="C319" s="922" t="s">
        <v>440</v>
      </c>
      <c r="D319" s="948" t="e">
        <f>(($D$260*'Baseline farm'!$D$85%)*(1-$G269-$G285))-0</f>
        <v>#DIV/0!</v>
      </c>
      <c r="E319" s="236"/>
      <c r="F319" s="236"/>
      <c r="G319" s="236"/>
      <c r="H319" s="236"/>
      <c r="I319" s="499"/>
      <c r="J319" s="227"/>
      <c r="K319" s="55"/>
      <c r="L319" s="440"/>
      <c r="M319" s="239"/>
      <c r="N319" s="432"/>
      <c r="O319" s="432"/>
      <c r="P319" s="432"/>
      <c r="Q319" s="432"/>
      <c r="R319" s="432"/>
      <c r="S319" s="432"/>
      <c r="T319" s="432"/>
      <c r="U319" s="432"/>
      <c r="V319" s="432"/>
      <c r="W319" s="432"/>
      <c r="X319" s="432"/>
      <c r="Y319" s="432"/>
      <c r="Z319" s="432"/>
      <c r="AA319" s="432"/>
      <c r="AB319" s="432"/>
      <c r="AC319" s="432"/>
      <c r="AD319" s="432"/>
      <c r="AE319" s="432"/>
      <c r="AF319" s="432"/>
      <c r="AG319" s="432"/>
      <c r="AH319" s="432"/>
      <c r="AI319" s="432"/>
      <c r="AJ319" s="432"/>
    </row>
    <row r="320" spans="2:36" s="17" customFormat="1" ht="15.5" hidden="1" x14ac:dyDescent="0.35">
      <c r="B320" s="921"/>
      <c r="C320" s="921"/>
      <c r="D320" s="948"/>
      <c r="E320" s="240"/>
      <c r="F320" s="240"/>
      <c r="G320" s="240"/>
      <c r="H320" s="240"/>
      <c r="I320" s="55"/>
      <c r="J320" s="55"/>
      <c r="K320" s="55"/>
      <c r="L320" s="242"/>
      <c r="M320" s="239"/>
      <c r="N320" s="55"/>
      <c r="O320" s="55"/>
      <c r="P320" s="55"/>
      <c r="Q320" s="55"/>
      <c r="R320" s="55"/>
      <c r="S320" s="55"/>
      <c r="T320" s="55"/>
      <c r="U320" s="432"/>
      <c r="V320" s="432"/>
      <c r="W320" s="432"/>
      <c r="X320" s="432"/>
      <c r="Y320" s="432"/>
      <c r="Z320" s="432"/>
      <c r="AA320" s="432"/>
      <c r="AB320" s="432"/>
      <c r="AC320" s="432"/>
      <c r="AD320" s="432"/>
      <c r="AE320" s="432"/>
      <c r="AF320" s="432"/>
      <c r="AG320" s="432"/>
      <c r="AH320" s="432"/>
      <c r="AI320" s="432"/>
      <c r="AJ320" s="432"/>
    </row>
    <row r="321" spans="2:36" s="17" customFormat="1" ht="15.5" hidden="1" x14ac:dyDescent="0.35">
      <c r="B321" s="920" t="s">
        <v>1346</v>
      </c>
      <c r="C321" s="922" t="s">
        <v>440</v>
      </c>
      <c r="D321" s="948" t="e">
        <f>(($D$260*'Baseline farm'!$E$85%)*(1-$G271-$G287))-0</f>
        <v>#DIV/0!</v>
      </c>
      <c r="E321" s="243"/>
      <c r="F321" s="243"/>
      <c r="G321" s="243"/>
      <c r="H321" s="243"/>
      <c r="I321" s="55"/>
      <c r="J321" s="55"/>
      <c r="K321" s="55"/>
      <c r="L321" s="242"/>
      <c r="M321" s="239"/>
      <c r="N321" s="55"/>
      <c r="O321" s="55"/>
      <c r="P321" s="55"/>
      <c r="Q321" s="55"/>
      <c r="R321" s="55"/>
      <c r="S321" s="55"/>
      <c r="T321" s="55"/>
      <c r="U321" s="432"/>
      <c r="V321" s="432"/>
      <c r="W321" s="432"/>
      <c r="X321" s="432"/>
      <c r="Y321" s="432"/>
      <c r="Z321" s="432"/>
      <c r="AA321" s="432"/>
      <c r="AB321" s="432"/>
      <c r="AC321" s="432"/>
      <c r="AD321" s="432"/>
      <c r="AE321" s="432"/>
      <c r="AF321" s="432"/>
      <c r="AG321" s="432"/>
      <c r="AH321" s="432"/>
      <c r="AI321" s="432"/>
      <c r="AJ321" s="432"/>
    </row>
    <row r="322" spans="2:36" s="17" customFormat="1" ht="15.5" hidden="1" x14ac:dyDescent="0.35">
      <c r="B322" s="921"/>
      <c r="C322" s="922"/>
      <c r="D322" s="948"/>
      <c r="E322" s="244"/>
      <c r="F322" s="244"/>
      <c r="G322" s="244"/>
      <c r="H322" s="244"/>
      <c r="I322" s="55"/>
      <c r="J322" s="55"/>
      <c r="K322" s="55"/>
      <c r="L322" s="242"/>
      <c r="M322" s="242"/>
      <c r="N322" s="55"/>
      <c r="O322" s="55"/>
      <c r="P322" s="55"/>
      <c r="Q322" s="55"/>
      <c r="R322" s="55"/>
      <c r="S322" s="55"/>
      <c r="T322" s="55"/>
      <c r="U322" s="432"/>
      <c r="V322" s="432"/>
      <c r="W322" s="432"/>
      <c r="X322" s="432"/>
      <c r="Y322" s="432"/>
      <c r="Z322" s="432"/>
      <c r="AA322" s="432"/>
      <c r="AB322" s="432"/>
      <c r="AC322" s="432"/>
      <c r="AD322" s="432"/>
      <c r="AE322" s="432"/>
      <c r="AF322" s="432"/>
      <c r="AG322" s="432"/>
      <c r="AH322" s="432"/>
      <c r="AI322" s="432"/>
      <c r="AJ322" s="432"/>
    </row>
    <row r="323" spans="2:36" s="17" customFormat="1" ht="15.5" hidden="1" x14ac:dyDescent="0.35">
      <c r="B323" s="920" t="s">
        <v>1347</v>
      </c>
      <c r="C323" s="922" t="s">
        <v>440</v>
      </c>
      <c r="D323" s="948" t="e">
        <f>(($D$260*'Baseline farm'!$F$85%)*(1-$G273-$G289))-D300</f>
        <v>#DIV/0!</v>
      </c>
      <c r="E323" s="236"/>
      <c r="F323" s="236"/>
      <c r="G323" s="236"/>
      <c r="H323" s="236"/>
      <c r="I323" s="55"/>
      <c r="J323" s="55"/>
      <c r="K323" s="55"/>
      <c r="L323" s="242"/>
      <c r="M323" s="242"/>
      <c r="N323" s="55"/>
      <c r="O323" s="55"/>
      <c r="P323" s="55"/>
      <c r="Q323" s="55"/>
      <c r="R323" s="55"/>
      <c r="S323" s="55"/>
      <c r="T323" s="55"/>
      <c r="U323" s="432"/>
      <c r="V323" s="432"/>
      <c r="W323" s="432"/>
      <c r="X323" s="432"/>
      <c r="Y323" s="432"/>
      <c r="Z323" s="432"/>
      <c r="AA323" s="432"/>
      <c r="AB323" s="432"/>
      <c r="AC323" s="432"/>
      <c r="AD323" s="432"/>
      <c r="AE323" s="432"/>
      <c r="AF323" s="432"/>
      <c r="AG323" s="432"/>
      <c r="AH323" s="432"/>
      <c r="AI323" s="432"/>
      <c r="AJ323" s="432"/>
    </row>
    <row r="324" spans="2:36" s="17" customFormat="1" ht="15.5" hidden="1" x14ac:dyDescent="0.35">
      <c r="B324" s="921"/>
      <c r="C324" s="922"/>
      <c r="D324" s="948"/>
      <c r="E324" s="228"/>
      <c r="F324" s="228"/>
      <c r="G324" s="228"/>
      <c r="H324" s="228"/>
      <c r="I324" s="55"/>
      <c r="J324" s="55"/>
      <c r="K324" s="440"/>
      <c r="L324" s="484"/>
      <c r="M324" s="55"/>
      <c r="N324" s="55"/>
      <c r="O324" s="55"/>
      <c r="P324" s="55"/>
      <c r="Q324" s="55"/>
      <c r="R324" s="55"/>
      <c r="S324" s="55"/>
      <c r="T324" s="55"/>
      <c r="U324" s="432"/>
      <c r="V324" s="432"/>
      <c r="W324" s="432"/>
      <c r="X324" s="432"/>
      <c r="Y324" s="432"/>
      <c r="Z324" s="432"/>
      <c r="AA324" s="432"/>
      <c r="AB324" s="432"/>
      <c r="AC324" s="432"/>
      <c r="AD324" s="432"/>
      <c r="AE324" s="432"/>
      <c r="AF324" s="432"/>
      <c r="AG324" s="432"/>
      <c r="AH324" s="432"/>
      <c r="AI324" s="432"/>
      <c r="AJ324" s="432"/>
    </row>
    <row r="325" spans="2:36" s="17" customFormat="1" ht="15.5" hidden="1" x14ac:dyDescent="0.35">
      <c r="B325" s="920" t="s">
        <v>1348</v>
      </c>
      <c r="C325" s="922" t="s">
        <v>440</v>
      </c>
      <c r="D325" s="948" t="e">
        <f>SUM(D317:D323)</f>
        <v>#DIV/0!</v>
      </c>
      <c r="E325" s="228"/>
      <c r="F325" s="228"/>
      <c r="G325" s="228"/>
      <c r="H325" s="228"/>
      <c r="I325" s="249"/>
      <c r="J325" s="227"/>
      <c r="K325" s="440"/>
      <c r="L325" s="239"/>
      <c r="M325" s="55"/>
      <c r="N325" s="55"/>
      <c r="O325" s="55"/>
      <c r="P325" s="55"/>
      <c r="Q325" s="55"/>
      <c r="R325" s="55"/>
      <c r="S325" s="55"/>
      <c r="T325" s="55"/>
      <c r="U325" s="432"/>
      <c r="V325" s="432"/>
      <c r="W325" s="432"/>
      <c r="X325" s="432"/>
      <c r="Y325" s="432"/>
      <c r="Z325" s="432"/>
      <c r="AA325" s="432"/>
      <c r="AB325" s="432"/>
      <c r="AC325" s="432"/>
      <c r="AD325" s="432"/>
      <c r="AE325" s="432"/>
      <c r="AF325" s="432"/>
      <c r="AG325" s="432"/>
      <c r="AH325" s="432"/>
      <c r="AI325" s="432"/>
      <c r="AJ325" s="432"/>
    </row>
    <row r="326" spans="2:36" s="17" customFormat="1" ht="15.5" hidden="1" x14ac:dyDescent="0.35">
      <c r="B326" s="921"/>
      <c r="C326" s="921"/>
      <c r="D326" s="921"/>
      <c r="E326" s="228"/>
      <c r="F326" s="228"/>
      <c r="G326" s="228"/>
      <c r="H326" s="228"/>
      <c r="I326" s="55"/>
      <c r="J326" s="55"/>
      <c r="K326" s="440"/>
      <c r="L326" s="246"/>
      <c r="M326" s="55"/>
      <c r="N326" s="55"/>
      <c r="O326" s="55"/>
      <c r="P326" s="55"/>
      <c r="Q326" s="55"/>
      <c r="R326" s="55"/>
      <c r="S326" s="55"/>
      <c r="T326" s="55"/>
      <c r="U326" s="432"/>
      <c r="V326" s="432"/>
      <c r="W326" s="432"/>
      <c r="X326" s="432"/>
      <c r="Y326" s="432"/>
      <c r="Z326" s="432"/>
      <c r="AA326" s="432"/>
      <c r="AB326" s="432"/>
      <c r="AC326" s="432"/>
      <c r="AD326" s="432"/>
      <c r="AE326" s="432"/>
      <c r="AF326" s="432"/>
      <c r="AG326" s="432"/>
      <c r="AH326" s="432"/>
      <c r="AI326" s="432"/>
      <c r="AJ326" s="432"/>
    </row>
    <row r="327" spans="2:36" s="17" customFormat="1" ht="15.5" hidden="1" x14ac:dyDescent="0.35">
      <c r="B327" s="920" t="s">
        <v>331</v>
      </c>
      <c r="C327" s="920" t="s">
        <v>332</v>
      </c>
      <c r="D327" s="923"/>
      <c r="E327" s="247"/>
      <c r="F327" s="247"/>
      <c r="G327" s="247"/>
      <c r="H327" s="247"/>
      <c r="I327" s="249"/>
      <c r="J327" s="55"/>
      <c r="K327" s="440"/>
      <c r="L327" s="484"/>
      <c r="M327" s="55"/>
      <c r="N327" s="55"/>
      <c r="O327" s="55"/>
      <c r="P327" s="55"/>
      <c r="Q327" s="55"/>
      <c r="R327" s="55"/>
      <c r="S327" s="55"/>
      <c r="T327" s="55"/>
      <c r="U327" s="432"/>
      <c r="V327" s="432"/>
      <c r="W327" s="432"/>
      <c r="X327" s="432"/>
      <c r="Y327" s="432"/>
      <c r="Z327" s="432"/>
      <c r="AA327" s="432"/>
      <c r="AB327" s="432"/>
      <c r="AC327" s="432"/>
      <c r="AD327" s="432"/>
      <c r="AE327" s="432"/>
      <c r="AF327" s="432"/>
      <c r="AG327" s="432"/>
      <c r="AH327" s="432"/>
      <c r="AI327" s="432"/>
      <c r="AJ327" s="432"/>
    </row>
    <row r="328" spans="2:36" s="17" customFormat="1" ht="15.5" hidden="1" x14ac:dyDescent="0.35">
      <c r="B328" s="921"/>
      <c r="C328" s="921" t="s">
        <v>334</v>
      </c>
      <c r="D328" s="949">
        <v>0.01</v>
      </c>
      <c r="E328" s="228"/>
      <c r="F328" s="228"/>
      <c r="G328" s="228"/>
      <c r="H328" s="228"/>
      <c r="I328" s="55"/>
      <c r="J328" s="55"/>
      <c r="K328" s="248"/>
      <c r="L328" s="440"/>
      <c r="M328" s="440"/>
      <c r="N328" s="55"/>
      <c r="O328" s="55"/>
      <c r="P328" s="55"/>
      <c r="Q328" s="55"/>
      <c r="R328" s="55"/>
      <c r="S328" s="55"/>
      <c r="T328" s="55"/>
      <c r="U328" s="432"/>
      <c r="V328" s="432"/>
      <c r="W328" s="432"/>
      <c r="X328" s="432"/>
      <c r="Y328" s="432"/>
      <c r="Z328" s="432"/>
      <c r="AA328" s="432"/>
      <c r="AB328" s="432"/>
      <c r="AC328" s="432"/>
      <c r="AD328" s="432"/>
      <c r="AE328" s="432"/>
      <c r="AF328" s="432"/>
      <c r="AG328" s="432"/>
      <c r="AH328" s="432"/>
      <c r="AI328" s="432"/>
      <c r="AJ328" s="432"/>
    </row>
    <row r="329" spans="2:36" s="17" customFormat="1" ht="15.5" hidden="1" x14ac:dyDescent="0.35">
      <c r="B329" s="921"/>
      <c r="C329" s="922" t="s">
        <v>440</v>
      </c>
      <c r="D329" s="950" t="e">
        <f>D325*$D$328*44/28</f>
        <v>#DIV/0!</v>
      </c>
      <c r="E329" s="228"/>
      <c r="F329" s="228"/>
      <c r="G329" s="228"/>
      <c r="H329" s="228"/>
      <c r="I329" s="55"/>
      <c r="J329" s="227"/>
      <c r="K329" s="55"/>
      <c r="L329" s="55"/>
      <c r="M329" s="249"/>
      <c r="N329" s="55"/>
      <c r="O329" s="55"/>
      <c r="P329" s="55"/>
      <c r="Q329" s="55"/>
      <c r="R329" s="55"/>
      <c r="S329" s="55"/>
      <c r="T329" s="55"/>
      <c r="U329" s="432"/>
      <c r="V329" s="432"/>
      <c r="W329" s="432"/>
      <c r="X329" s="432"/>
      <c r="Y329" s="432"/>
      <c r="Z329" s="432"/>
      <c r="AA329" s="432"/>
      <c r="AB329" s="432"/>
      <c r="AC329" s="432"/>
      <c r="AD329" s="432"/>
      <c r="AE329" s="432"/>
      <c r="AF329" s="432"/>
      <c r="AG329" s="432"/>
      <c r="AH329" s="432"/>
      <c r="AI329" s="432"/>
      <c r="AJ329" s="432"/>
    </row>
    <row r="330" spans="2:36" s="17" customFormat="1" ht="15.5" hidden="1" x14ac:dyDescent="0.35">
      <c r="B330" s="231" t="s">
        <v>368</v>
      </c>
      <c r="C330" s="228"/>
      <c r="D330" s="228"/>
      <c r="E330" s="228"/>
      <c r="F330" s="228"/>
      <c r="G330" s="228"/>
      <c r="H330" s="228"/>
      <c r="I330" s="55"/>
      <c r="J330" s="227"/>
      <c r="K330" s="55"/>
      <c r="L330" s="55"/>
      <c r="M330" s="249"/>
      <c r="N330" s="55"/>
      <c r="O330" s="55"/>
      <c r="P330" s="55"/>
      <c r="Q330" s="55"/>
      <c r="R330" s="55"/>
      <c r="S330" s="55"/>
      <c r="T330" s="55"/>
      <c r="U330" s="432"/>
      <c r="V330" s="432"/>
      <c r="W330" s="432"/>
      <c r="X330" s="432"/>
      <c r="Y330" s="432"/>
      <c r="Z330" s="432"/>
      <c r="AA330" s="432"/>
      <c r="AB330" s="432"/>
      <c r="AC330" s="432"/>
      <c r="AD330" s="432"/>
      <c r="AE330" s="432"/>
      <c r="AF330" s="432"/>
      <c r="AG330" s="432"/>
      <c r="AH330" s="432"/>
      <c r="AI330" s="432"/>
      <c r="AJ330" s="432"/>
    </row>
    <row r="331" spans="2:36" s="17" customFormat="1" ht="15.5" hidden="1" x14ac:dyDescent="0.35">
      <c r="B331" s="228"/>
      <c r="C331" s="231" t="s">
        <v>370</v>
      </c>
      <c r="D331" s="228"/>
      <c r="E331" s="228"/>
      <c r="F331" s="228"/>
      <c r="G331" s="228"/>
      <c r="H331" s="228"/>
      <c r="I331" s="55"/>
      <c r="J331" s="227"/>
      <c r="K331" s="55"/>
      <c r="L331" s="55"/>
      <c r="M331" s="249"/>
      <c r="N331" s="55"/>
      <c r="O331" s="55"/>
      <c r="P331" s="55"/>
      <c r="Q331" s="55"/>
      <c r="R331" s="55"/>
      <c r="S331" s="55"/>
      <c r="T331" s="55"/>
      <c r="U331" s="432"/>
      <c r="V331" s="432"/>
      <c r="W331" s="432"/>
      <c r="X331" s="432"/>
      <c r="Y331" s="432"/>
      <c r="Z331" s="432"/>
      <c r="AA331" s="432"/>
      <c r="AB331" s="432"/>
      <c r="AC331" s="432"/>
      <c r="AD331" s="432"/>
      <c r="AE331" s="432"/>
      <c r="AF331" s="432"/>
      <c r="AG331" s="432"/>
      <c r="AH331" s="432"/>
      <c r="AI331" s="432"/>
      <c r="AJ331" s="432"/>
    </row>
    <row r="332" spans="2:36" s="17" customFormat="1" ht="15.5" hidden="1" x14ac:dyDescent="0.35">
      <c r="B332" s="228"/>
      <c r="C332" s="228"/>
      <c r="D332" s="228"/>
      <c r="E332" s="228"/>
      <c r="F332" s="228"/>
      <c r="G332" s="228"/>
      <c r="H332" s="228"/>
      <c r="I332" s="55"/>
      <c r="J332" s="55"/>
      <c r="K332" s="55"/>
      <c r="L332" s="55"/>
      <c r="M332" s="249"/>
      <c r="N332" s="55"/>
      <c r="O332" s="55"/>
      <c r="P332" s="55"/>
      <c r="Q332" s="55"/>
      <c r="R332" s="55"/>
      <c r="S332" s="55"/>
      <c r="T332" s="55"/>
      <c r="U332" s="432"/>
      <c r="V332" s="432"/>
      <c r="W332" s="432"/>
      <c r="X332" s="432"/>
      <c r="Y332" s="432"/>
      <c r="Z332" s="432"/>
      <c r="AA332" s="432"/>
      <c r="AB332" s="432"/>
      <c r="AC332" s="432"/>
      <c r="AD332" s="432"/>
      <c r="AE332" s="432"/>
      <c r="AF332" s="432"/>
      <c r="AG332" s="432"/>
      <c r="AH332" s="432"/>
      <c r="AI332" s="432"/>
      <c r="AJ332" s="432"/>
    </row>
    <row r="333" spans="2:36" s="17" customFormat="1" ht="15.5" hidden="1" x14ac:dyDescent="0.35">
      <c r="B333" s="250"/>
      <c r="C333" s="235" t="s">
        <v>440</v>
      </c>
      <c r="D333" s="951" t="e">
        <f>D252*'Baseline farm'!G85%</f>
        <v>#DIV/0!</v>
      </c>
      <c r="E333" s="240"/>
      <c r="F333" s="240"/>
      <c r="G333" s="240"/>
      <c r="H333" s="240"/>
      <c r="I333" s="55"/>
      <c r="J333" s="227"/>
      <c r="K333" s="251"/>
      <c r="L333" s="251"/>
      <c r="M333" s="252"/>
      <c r="N333" s="55"/>
      <c r="O333" s="55"/>
      <c r="P333" s="55"/>
      <c r="Q333" s="55"/>
      <c r="R333" s="55"/>
      <c r="S333" s="55"/>
      <c r="T333" s="55"/>
      <c r="U333" s="432"/>
      <c r="V333" s="432"/>
      <c r="W333" s="432"/>
      <c r="X333" s="432"/>
      <c r="Y333" s="432"/>
      <c r="Z333" s="432"/>
      <c r="AA333" s="432"/>
      <c r="AB333" s="432"/>
      <c r="AC333" s="432"/>
      <c r="AD333" s="432"/>
      <c r="AE333" s="432"/>
      <c r="AF333" s="432"/>
      <c r="AG333" s="432"/>
      <c r="AH333" s="432"/>
      <c r="AI333" s="432"/>
      <c r="AJ333" s="432"/>
    </row>
    <row r="334" spans="2:36" s="17" customFormat="1" ht="15.5" hidden="1" x14ac:dyDescent="0.35">
      <c r="B334" s="228"/>
      <c r="C334" s="228"/>
      <c r="D334" s="951"/>
      <c r="E334" s="240"/>
      <c r="F334" s="240"/>
      <c r="G334" s="240"/>
      <c r="H334" s="240"/>
      <c r="I334" s="55"/>
      <c r="J334" s="227"/>
      <c r="K334" s="251"/>
      <c r="L334" s="251"/>
      <c r="M334" s="251"/>
      <c r="N334" s="55"/>
      <c r="O334" s="55"/>
      <c r="P334" s="55"/>
      <c r="Q334" s="55"/>
      <c r="R334" s="55"/>
      <c r="S334" s="55"/>
      <c r="T334" s="55"/>
      <c r="U334" s="432"/>
      <c r="V334" s="432"/>
      <c r="W334" s="432"/>
      <c r="X334" s="432"/>
      <c r="Y334" s="432"/>
      <c r="Z334" s="432"/>
      <c r="AA334" s="432"/>
      <c r="AB334" s="432"/>
      <c r="AC334" s="432"/>
      <c r="AD334" s="432"/>
      <c r="AE334" s="432"/>
      <c r="AF334" s="432"/>
      <c r="AG334" s="432"/>
      <c r="AH334" s="432"/>
      <c r="AI334" s="432"/>
      <c r="AJ334" s="432"/>
    </row>
    <row r="335" spans="2:36" s="17" customFormat="1" ht="15.5" hidden="1" x14ac:dyDescent="0.35">
      <c r="B335" s="228"/>
      <c r="C335" s="231" t="s">
        <v>372</v>
      </c>
      <c r="D335" s="951"/>
      <c r="E335" s="240"/>
      <c r="F335" s="240"/>
      <c r="G335" s="240"/>
      <c r="H335" s="240"/>
      <c r="I335" s="55"/>
      <c r="J335" s="227"/>
      <c r="K335" s="251"/>
      <c r="L335" s="251"/>
      <c r="M335" s="252"/>
      <c r="N335" s="440"/>
      <c r="O335" s="440"/>
      <c r="P335" s="440"/>
      <c r="Q335" s="440"/>
      <c r="R335" s="440"/>
      <c r="S335" s="440"/>
      <c r="T335" s="440"/>
      <c r="U335" s="432"/>
      <c r="V335" s="432"/>
      <c r="W335" s="432"/>
      <c r="X335" s="432"/>
      <c r="Y335" s="432"/>
      <c r="Z335" s="432"/>
      <c r="AA335" s="432"/>
      <c r="AB335" s="432"/>
      <c r="AC335" s="432"/>
      <c r="AD335" s="432"/>
      <c r="AE335" s="432"/>
      <c r="AF335" s="432"/>
      <c r="AG335" s="432"/>
      <c r="AH335" s="432"/>
      <c r="AI335" s="432"/>
      <c r="AJ335" s="432"/>
    </row>
    <row r="336" spans="2:36" s="17" customFormat="1" ht="15.5" hidden="1" x14ac:dyDescent="0.35">
      <c r="B336" s="228"/>
      <c r="C336" s="228"/>
      <c r="D336" s="951"/>
      <c r="E336" s="240"/>
      <c r="F336" s="240"/>
      <c r="G336" s="240"/>
      <c r="H336" s="240"/>
      <c r="I336" s="55"/>
      <c r="J336" s="55"/>
      <c r="K336" s="251"/>
      <c r="L336" s="251"/>
      <c r="M336" s="252"/>
      <c r="N336" s="440"/>
      <c r="O336" s="440"/>
      <c r="P336" s="440"/>
      <c r="Q336" s="440"/>
      <c r="R336" s="440"/>
      <c r="S336" s="248"/>
      <c r="T336" s="440"/>
      <c r="U336" s="432"/>
      <c r="V336" s="432"/>
      <c r="W336" s="432"/>
      <c r="X336" s="432"/>
      <c r="Y336" s="432"/>
      <c r="Z336" s="432"/>
      <c r="AA336" s="432"/>
      <c r="AB336" s="432"/>
      <c r="AC336" s="432"/>
      <c r="AD336" s="432"/>
      <c r="AE336" s="432"/>
      <c r="AF336" s="432"/>
      <c r="AG336" s="432"/>
      <c r="AH336" s="432"/>
      <c r="AI336" s="432"/>
      <c r="AJ336" s="432"/>
    </row>
    <row r="337" spans="2:36" s="17" customFormat="1" ht="15.5" hidden="1" x14ac:dyDescent="0.35">
      <c r="B337" s="228"/>
      <c r="C337" s="235" t="s">
        <v>440</v>
      </c>
      <c r="D337" s="951" t="e">
        <f>D256*'Baseline farm'!G85%</f>
        <v>#DIV/0!</v>
      </c>
      <c r="E337" s="240"/>
      <c r="F337" s="240"/>
      <c r="G337" s="240"/>
      <c r="H337" s="240"/>
      <c r="I337" s="55"/>
      <c r="J337" s="55"/>
      <c r="K337" s="251"/>
      <c r="L337" s="251"/>
      <c r="M337" s="252"/>
      <c r="N337" s="440"/>
      <c r="O337" s="253"/>
      <c r="P337" s="253"/>
      <c r="Q337" s="440"/>
      <c r="R337" s="440"/>
      <c r="S337" s="248"/>
      <c r="T337" s="440"/>
      <c r="U337" s="432"/>
      <c r="V337" s="432"/>
      <c r="W337" s="432"/>
      <c r="X337" s="432"/>
      <c r="Y337" s="432"/>
      <c r="Z337" s="432"/>
      <c r="AA337" s="432"/>
      <c r="AB337" s="432"/>
      <c r="AC337" s="432"/>
      <c r="AD337" s="432"/>
      <c r="AE337" s="432"/>
      <c r="AF337" s="432"/>
      <c r="AG337" s="432"/>
      <c r="AH337" s="432"/>
      <c r="AI337" s="432"/>
      <c r="AJ337" s="432"/>
    </row>
    <row r="338" spans="2:36" s="17" customFormat="1" ht="15.5" hidden="1" x14ac:dyDescent="0.35">
      <c r="B338" s="228"/>
      <c r="C338" s="228"/>
      <c r="D338" s="228"/>
      <c r="E338" s="228"/>
      <c r="F338" s="228"/>
      <c r="G338" s="228"/>
      <c r="H338" s="228"/>
      <c r="I338" s="55"/>
      <c r="J338" s="55"/>
      <c r="K338" s="55"/>
      <c r="L338" s="55"/>
      <c r="M338" s="55"/>
      <c r="N338" s="55"/>
      <c r="O338" s="55"/>
      <c r="P338" s="55"/>
      <c r="Q338" s="55"/>
      <c r="R338" s="55"/>
      <c r="S338" s="55"/>
      <c r="T338" s="55"/>
      <c r="U338" s="432"/>
      <c r="V338" s="432"/>
      <c r="W338" s="432"/>
      <c r="X338" s="432"/>
      <c r="Y338" s="432"/>
      <c r="Z338" s="432"/>
      <c r="AA338" s="432"/>
      <c r="AB338" s="432"/>
      <c r="AC338" s="432"/>
      <c r="AD338" s="432"/>
      <c r="AE338" s="432"/>
      <c r="AF338" s="432"/>
      <c r="AG338" s="432"/>
      <c r="AH338" s="432"/>
      <c r="AI338" s="432"/>
      <c r="AJ338" s="432"/>
    </row>
    <row r="339" spans="2:36" s="17" customFormat="1" ht="15.5" hidden="1" x14ac:dyDescent="0.35">
      <c r="B339" s="231" t="s">
        <v>374</v>
      </c>
      <c r="C339" s="231" t="s">
        <v>375</v>
      </c>
      <c r="D339" s="228"/>
      <c r="E339" s="228"/>
      <c r="F339" s="228"/>
      <c r="G339" s="228"/>
      <c r="H339" s="228"/>
      <c r="I339" s="55"/>
      <c r="J339" s="227"/>
      <c r="K339" s="55"/>
      <c r="L339" s="55"/>
      <c r="M339" s="55"/>
      <c r="N339" s="55"/>
      <c r="O339" s="55"/>
      <c r="P339" s="55"/>
      <c r="Q339" s="55"/>
      <c r="R339" s="55"/>
      <c r="S339" s="55"/>
      <c r="T339" s="55"/>
      <c r="U339" s="432"/>
      <c r="V339" s="432"/>
      <c r="W339" s="432"/>
      <c r="X339" s="432"/>
      <c r="Y339" s="432"/>
      <c r="Z339" s="432"/>
      <c r="AA339" s="432"/>
      <c r="AB339" s="432"/>
      <c r="AC339" s="432"/>
      <c r="AD339" s="432"/>
      <c r="AE339" s="432"/>
      <c r="AF339" s="432"/>
      <c r="AG339" s="432"/>
      <c r="AH339" s="432"/>
      <c r="AI339" s="432"/>
      <c r="AJ339" s="432"/>
    </row>
    <row r="340" spans="2:36" s="17" customFormat="1" ht="15.5" hidden="1" x14ac:dyDescent="0.35">
      <c r="B340" s="228"/>
      <c r="C340" s="228" t="s">
        <v>377</v>
      </c>
      <c r="D340" s="260">
        <v>4.0000000000000001E-3</v>
      </c>
      <c r="E340" s="228"/>
      <c r="F340" s="228"/>
      <c r="G340" s="228"/>
      <c r="H340" s="228"/>
      <c r="I340" s="55"/>
      <c r="J340" s="55"/>
      <c r="K340" s="55"/>
      <c r="L340" s="55"/>
      <c r="M340" s="55"/>
      <c r="N340" s="55"/>
      <c r="O340" s="55"/>
      <c r="P340" s="55"/>
      <c r="Q340" s="55"/>
      <c r="R340" s="55"/>
      <c r="S340" s="55"/>
      <c r="T340" s="55"/>
      <c r="U340" s="432"/>
      <c r="V340" s="432"/>
      <c r="W340" s="432"/>
      <c r="X340" s="432"/>
      <c r="Y340" s="432"/>
      <c r="Z340" s="432"/>
      <c r="AA340" s="432"/>
      <c r="AB340" s="432"/>
      <c r="AC340" s="432"/>
      <c r="AD340" s="432"/>
      <c r="AE340" s="432"/>
      <c r="AF340" s="432"/>
      <c r="AG340" s="432"/>
      <c r="AH340" s="432"/>
      <c r="AI340" s="432"/>
      <c r="AJ340" s="432"/>
    </row>
    <row r="341" spans="2:36" s="17" customFormat="1" ht="15.5" hidden="1" x14ac:dyDescent="0.35">
      <c r="B341" s="228"/>
      <c r="C341" s="228" t="s">
        <v>378</v>
      </c>
      <c r="D341" s="260">
        <v>4.0000000000000001E-3</v>
      </c>
      <c r="E341" s="228"/>
      <c r="F341" s="228"/>
      <c r="G341" s="228"/>
      <c r="H341" s="228"/>
      <c r="I341" s="55"/>
      <c r="J341" s="55"/>
      <c r="K341" s="55"/>
      <c r="L341" s="55"/>
      <c r="M341" s="55"/>
      <c r="N341" s="55"/>
      <c r="O341" s="55"/>
      <c r="P341" s="55"/>
      <c r="Q341" s="55"/>
      <c r="R341" s="55"/>
      <c r="S341" s="55"/>
      <c r="T341" s="55"/>
      <c r="U341" s="432"/>
      <c r="V341" s="432"/>
      <c r="W341" s="432"/>
      <c r="X341" s="432"/>
      <c r="Y341" s="432"/>
      <c r="Z341" s="432"/>
      <c r="AA341" s="432"/>
      <c r="AB341" s="432"/>
      <c r="AC341" s="432"/>
      <c r="AD341" s="432"/>
      <c r="AE341" s="432"/>
      <c r="AF341" s="432"/>
      <c r="AG341" s="432"/>
      <c r="AH341" s="432"/>
      <c r="AI341" s="432"/>
      <c r="AJ341" s="432"/>
    </row>
    <row r="342" spans="2:36" s="17" customFormat="1" ht="15.5" hidden="1" x14ac:dyDescent="0.35">
      <c r="B342" s="228"/>
      <c r="C342" s="228"/>
      <c r="D342" s="228"/>
      <c r="E342" s="228"/>
      <c r="F342" s="228"/>
      <c r="G342" s="228"/>
      <c r="H342" s="228"/>
      <c r="I342" s="55"/>
      <c r="J342" s="55"/>
      <c r="K342" s="55"/>
      <c r="L342" s="55"/>
      <c r="M342" s="55"/>
      <c r="N342" s="440"/>
      <c r="O342" s="440"/>
      <c r="P342" s="440"/>
      <c r="Q342" s="440"/>
      <c r="R342" s="440"/>
      <c r="S342" s="440"/>
      <c r="T342" s="440"/>
      <c r="U342" s="432"/>
      <c r="V342" s="432"/>
      <c r="W342" s="432"/>
      <c r="X342" s="432"/>
      <c r="Y342" s="432"/>
      <c r="Z342" s="432"/>
      <c r="AA342" s="432"/>
      <c r="AB342" s="432"/>
      <c r="AC342" s="432"/>
      <c r="AD342" s="432"/>
      <c r="AE342" s="432"/>
      <c r="AF342" s="432"/>
      <c r="AG342" s="432"/>
      <c r="AH342" s="432"/>
      <c r="AI342" s="432"/>
      <c r="AJ342" s="432"/>
    </row>
    <row r="343" spans="2:36" s="17" customFormat="1" ht="15.5" hidden="1" x14ac:dyDescent="0.35">
      <c r="B343" s="228"/>
      <c r="C343" s="235" t="s">
        <v>440</v>
      </c>
      <c r="D343" s="952" t="e">
        <f>(D333+D337)*D340*44/28</f>
        <v>#DIV/0!</v>
      </c>
      <c r="E343" s="254"/>
      <c r="F343" s="254"/>
      <c r="G343" s="254"/>
      <c r="H343" s="254"/>
      <c r="I343" s="249"/>
      <c r="J343" s="55"/>
      <c r="K343" s="55"/>
      <c r="L343" s="255"/>
      <c r="M343" s="55"/>
      <c r="N343" s="440"/>
      <c r="O343" s="440"/>
      <c r="P343" s="440"/>
      <c r="Q343" s="440"/>
      <c r="R343" s="440"/>
      <c r="S343" s="440"/>
      <c r="T343" s="440"/>
      <c r="U343" s="432"/>
      <c r="V343" s="432"/>
      <c r="W343" s="432"/>
      <c r="X343" s="432"/>
      <c r="Y343" s="432"/>
      <c r="Z343" s="432"/>
      <c r="AA343" s="432"/>
      <c r="AB343" s="432"/>
      <c r="AC343" s="432"/>
      <c r="AD343" s="432"/>
      <c r="AE343" s="432"/>
      <c r="AF343" s="432"/>
      <c r="AG343" s="432"/>
      <c r="AH343" s="432"/>
      <c r="AI343" s="432"/>
      <c r="AJ343" s="432"/>
    </row>
    <row r="344" spans="2:36" s="17" customFormat="1" ht="15.5" hidden="1" x14ac:dyDescent="0.35">
      <c r="B344" s="228"/>
      <c r="C344" s="228"/>
      <c r="D344" s="953"/>
      <c r="E344" s="228"/>
      <c r="F344" s="228"/>
      <c r="G344" s="228"/>
      <c r="H344" s="228"/>
      <c r="I344" s="55"/>
      <c r="J344" s="55"/>
      <c r="K344" s="55"/>
      <c r="L344" s="55"/>
      <c r="M344" s="55"/>
      <c r="N344" s="55"/>
      <c r="O344" s="55"/>
      <c r="P344" s="55"/>
      <c r="Q344" s="55"/>
      <c r="R344" s="55"/>
      <c r="S344" s="55"/>
      <c r="T344" s="55"/>
      <c r="U344" s="432"/>
      <c r="V344" s="432"/>
      <c r="W344" s="432"/>
      <c r="X344" s="432"/>
      <c r="Y344" s="432"/>
      <c r="Z344" s="432"/>
      <c r="AA344" s="432"/>
      <c r="AB344" s="432"/>
      <c r="AC344" s="432"/>
      <c r="AD344" s="432"/>
      <c r="AE344" s="432"/>
      <c r="AF344" s="432"/>
      <c r="AG344" s="432"/>
      <c r="AH344" s="432"/>
      <c r="AI344" s="432"/>
      <c r="AJ344" s="432"/>
    </row>
    <row r="345" spans="2:36" s="17" customFormat="1" ht="15.5" hidden="1" x14ac:dyDescent="0.35">
      <c r="B345" s="231" t="s">
        <v>379</v>
      </c>
      <c r="C345" s="228"/>
      <c r="D345" s="954"/>
      <c r="E345" s="228"/>
      <c r="F345" s="228"/>
      <c r="G345" s="228"/>
      <c r="H345" s="228"/>
      <c r="I345" s="55"/>
      <c r="J345" s="55"/>
      <c r="K345" s="55"/>
      <c r="L345" s="55"/>
      <c r="M345" s="55"/>
      <c r="N345" s="55"/>
      <c r="O345" s="55"/>
      <c r="P345" s="55"/>
      <c r="Q345" s="55"/>
      <c r="R345" s="55"/>
      <c r="S345" s="55"/>
      <c r="T345" s="55"/>
      <c r="U345" s="432"/>
      <c r="V345" s="432"/>
      <c r="W345" s="432"/>
      <c r="X345" s="432"/>
      <c r="Y345" s="432"/>
      <c r="Z345" s="432"/>
      <c r="AA345" s="432"/>
      <c r="AB345" s="432"/>
      <c r="AC345" s="432"/>
      <c r="AD345" s="432"/>
      <c r="AE345" s="432"/>
      <c r="AF345" s="432"/>
      <c r="AG345" s="432"/>
      <c r="AH345" s="432"/>
      <c r="AI345" s="432"/>
      <c r="AJ345" s="432"/>
    </row>
    <row r="346" spans="2:36" s="17" customFormat="1" ht="15.5" hidden="1" x14ac:dyDescent="0.35">
      <c r="B346" s="228"/>
      <c r="C346" s="235" t="s">
        <v>440</v>
      </c>
      <c r="D346" s="955" t="e">
        <f>D329+D343</f>
        <v>#DIV/0!</v>
      </c>
      <c r="E346" s="250"/>
      <c r="F346" s="250"/>
      <c r="G346" s="250"/>
      <c r="H346" s="250"/>
      <c r="I346" s="249"/>
      <c r="J346" s="55"/>
      <c r="K346" s="432"/>
      <c r="L346" s="432"/>
      <c r="M346" s="432"/>
      <c r="N346" s="55"/>
      <c r="O346" s="55"/>
      <c r="P346" s="55"/>
      <c r="Q346" s="55"/>
      <c r="R346" s="55"/>
      <c r="S346" s="55"/>
      <c r="T346" s="55"/>
      <c r="U346" s="432"/>
      <c r="V346" s="432"/>
      <c r="W346" s="432"/>
      <c r="X346" s="432"/>
      <c r="Y346" s="432"/>
      <c r="Z346" s="432"/>
      <c r="AA346" s="432"/>
      <c r="AB346" s="432"/>
      <c r="AC346" s="432"/>
      <c r="AD346" s="432"/>
      <c r="AE346" s="432"/>
      <c r="AF346" s="432"/>
      <c r="AG346" s="432"/>
      <c r="AH346" s="432"/>
      <c r="AI346" s="432"/>
      <c r="AJ346" s="432"/>
    </row>
    <row r="347" spans="2:36" s="17" customFormat="1" ht="15.5" hidden="1" x14ac:dyDescent="0.35">
      <c r="B347" s="228"/>
      <c r="C347" s="235"/>
      <c r="D347" s="250"/>
      <c r="E347" s="250"/>
      <c r="F347" s="250"/>
      <c r="G347" s="250"/>
      <c r="H347" s="250"/>
      <c r="I347" s="249"/>
      <c r="J347" s="500"/>
      <c r="K347" s="432"/>
      <c r="L347" s="432"/>
      <c r="M347" s="432"/>
      <c r="N347" s="55"/>
      <c r="O347" s="55"/>
      <c r="P347" s="55"/>
      <c r="Q347" s="55"/>
      <c r="R347" s="55"/>
      <c r="S347" s="55"/>
      <c r="T347" s="55"/>
      <c r="U347" s="432"/>
      <c r="V347" s="432"/>
      <c r="W347" s="432"/>
      <c r="X347" s="432"/>
      <c r="Y347" s="432"/>
      <c r="Z347" s="432"/>
      <c r="AA347" s="432"/>
      <c r="AB347" s="432"/>
      <c r="AC347" s="432"/>
      <c r="AD347" s="432"/>
      <c r="AE347" s="432"/>
      <c r="AF347" s="432"/>
      <c r="AG347" s="432"/>
      <c r="AH347" s="432"/>
      <c r="AI347" s="432"/>
      <c r="AJ347" s="432"/>
    </row>
    <row r="348" spans="2:36" s="17" customFormat="1" ht="15.5" hidden="1" x14ac:dyDescent="0.35">
      <c r="B348" s="228"/>
      <c r="C348" s="235"/>
      <c r="D348" s="247"/>
      <c r="E348" s="233"/>
      <c r="F348" s="228"/>
      <c r="G348" s="228"/>
      <c r="H348" s="228"/>
      <c r="I348" s="501"/>
      <c r="J348" s="227"/>
      <c r="K348" s="55"/>
      <c r="L348" s="919"/>
      <c r="M348" s="919"/>
      <c r="N348" s="919"/>
      <c r="O348" s="919"/>
      <c r="P348" s="919"/>
      <c r="Q348" s="919"/>
      <c r="R348" s="919"/>
      <c r="S348" s="919"/>
      <c r="T348" s="919"/>
      <c r="U348" s="432"/>
      <c r="V348" s="432"/>
      <c r="W348" s="432"/>
      <c r="X348" s="432"/>
      <c r="Y348" s="432"/>
      <c r="Z348" s="432"/>
      <c r="AA348" s="432"/>
      <c r="AB348" s="432"/>
      <c r="AC348" s="432"/>
      <c r="AD348" s="432"/>
      <c r="AE348" s="432"/>
      <c r="AF348" s="432"/>
      <c r="AG348" s="432"/>
      <c r="AH348" s="432"/>
      <c r="AI348" s="432"/>
      <c r="AJ348" s="432"/>
    </row>
    <row r="349" spans="2:36" s="17" customFormat="1" ht="15.5" hidden="1" x14ac:dyDescent="0.35">
      <c r="B349" s="920" t="s">
        <v>386</v>
      </c>
      <c r="C349" s="920" t="s">
        <v>1310</v>
      </c>
      <c r="D349" s="921"/>
      <c r="E349" s="228"/>
      <c r="F349" s="228"/>
      <c r="G349" s="228"/>
      <c r="H349" s="228"/>
      <c r="I349" s="55"/>
      <c r="J349" s="227"/>
      <c r="K349" s="55"/>
      <c r="L349" s="919"/>
      <c r="M349" s="919"/>
      <c r="N349" s="919"/>
      <c r="O349" s="919"/>
      <c r="P349" s="919"/>
      <c r="Q349" s="919"/>
      <c r="R349" s="919"/>
      <c r="S349" s="919"/>
      <c r="T349" s="919"/>
      <c r="U349" s="432"/>
      <c r="V349" s="432"/>
      <c r="W349" s="432"/>
      <c r="X349" s="432"/>
      <c r="Y349" s="432"/>
      <c r="Z349" s="432"/>
      <c r="AA349" s="432"/>
      <c r="AB349" s="432"/>
      <c r="AC349" s="432"/>
      <c r="AD349" s="432"/>
      <c r="AE349" s="432"/>
      <c r="AF349" s="432"/>
      <c r="AG349" s="432"/>
      <c r="AH349" s="432"/>
      <c r="AI349" s="432"/>
      <c r="AJ349" s="432"/>
    </row>
    <row r="350" spans="2:36" s="17" customFormat="1" ht="15.5" hidden="1" x14ac:dyDescent="0.35">
      <c r="B350" s="921"/>
      <c r="C350" s="921" t="s">
        <v>1311</v>
      </c>
      <c r="D350" s="956">
        <v>0.21</v>
      </c>
      <c r="E350" s="228"/>
      <c r="F350" s="228"/>
      <c r="G350" s="228"/>
      <c r="H350" s="228"/>
      <c r="I350" s="55"/>
      <c r="J350" s="227"/>
      <c r="K350" s="55"/>
      <c r="L350" s="919"/>
      <c r="M350" s="919"/>
      <c r="N350" s="919"/>
      <c r="O350" s="919"/>
      <c r="P350" s="919"/>
      <c r="Q350" s="919"/>
      <c r="R350" s="919"/>
      <c r="S350" s="919"/>
      <c r="T350" s="919"/>
      <c r="U350" s="432"/>
      <c r="V350" s="432"/>
      <c r="W350" s="432"/>
      <c r="X350" s="432"/>
      <c r="Y350" s="432"/>
      <c r="Z350" s="432"/>
      <c r="AA350" s="432"/>
      <c r="AB350" s="432"/>
      <c r="AC350" s="432"/>
      <c r="AD350" s="432"/>
      <c r="AE350" s="432"/>
      <c r="AF350" s="432"/>
      <c r="AG350" s="432"/>
      <c r="AH350" s="432"/>
      <c r="AI350" s="432"/>
      <c r="AJ350" s="432"/>
    </row>
    <row r="351" spans="2:36" s="17" customFormat="1" ht="15.5" hidden="1" x14ac:dyDescent="0.35">
      <c r="B351" s="921"/>
      <c r="C351" s="921"/>
      <c r="D351" s="921"/>
      <c r="E351" s="228"/>
      <c r="F351" s="228"/>
      <c r="G351" s="228"/>
      <c r="H351" s="228"/>
      <c r="I351" s="55"/>
      <c r="J351" s="55"/>
      <c r="K351" s="55"/>
      <c r="L351" s="919"/>
      <c r="M351" s="919"/>
      <c r="N351" s="919"/>
      <c r="O351" s="919"/>
      <c r="P351" s="919"/>
      <c r="Q351" s="919"/>
      <c r="R351" s="919"/>
      <c r="S351" s="919"/>
      <c r="T351" s="919"/>
      <c r="U351" s="432"/>
      <c r="V351" s="432"/>
      <c r="W351" s="432"/>
      <c r="X351" s="432"/>
      <c r="Y351" s="432"/>
      <c r="Z351" s="432"/>
      <c r="AA351" s="432"/>
      <c r="AB351" s="432"/>
      <c r="AC351" s="432"/>
      <c r="AD351" s="432"/>
      <c r="AE351" s="432"/>
      <c r="AF351" s="432"/>
      <c r="AG351" s="432"/>
      <c r="AH351" s="432"/>
      <c r="AI351" s="432"/>
      <c r="AJ351" s="432"/>
    </row>
    <row r="352" spans="2:36" s="17" customFormat="1" ht="15.5" hidden="1" x14ac:dyDescent="0.35">
      <c r="B352" s="921" t="s">
        <v>390</v>
      </c>
      <c r="C352" s="922" t="s">
        <v>440</v>
      </c>
      <c r="D352" s="957" t="e">
        <f>(D325+D333+D337)*D350</f>
        <v>#DIV/0!</v>
      </c>
      <c r="E352" s="233"/>
      <c r="F352" s="261"/>
      <c r="G352" s="261"/>
      <c r="H352" s="261"/>
      <c r="I352" s="501"/>
      <c r="J352" s="227"/>
      <c r="K352" s="55"/>
      <c r="L352" s="919"/>
      <c r="M352" s="919"/>
      <c r="N352" s="919"/>
      <c r="O352" s="919"/>
      <c r="P352" s="919"/>
      <c r="Q352" s="919"/>
      <c r="R352" s="919"/>
      <c r="S352" s="919"/>
      <c r="T352" s="919"/>
      <c r="U352" s="432"/>
      <c r="V352" s="432"/>
      <c r="W352" s="432"/>
      <c r="X352" s="432"/>
      <c r="Y352" s="432"/>
      <c r="Z352" s="432"/>
      <c r="AA352" s="432"/>
      <c r="AB352" s="432"/>
      <c r="AC352" s="432"/>
      <c r="AD352" s="432"/>
      <c r="AE352" s="432"/>
      <c r="AF352" s="432"/>
      <c r="AG352" s="432"/>
      <c r="AH352" s="432"/>
      <c r="AI352" s="432"/>
      <c r="AJ352" s="432"/>
    </row>
    <row r="353" spans="2:36" s="17" customFormat="1" ht="15.5" hidden="1" x14ac:dyDescent="0.35">
      <c r="B353" s="228"/>
      <c r="C353" s="228"/>
      <c r="D353" s="228"/>
      <c r="E353" s="233"/>
      <c r="F353" s="228"/>
      <c r="G353" s="228"/>
      <c r="H353" s="228"/>
      <c r="I353" s="55"/>
      <c r="J353" s="55"/>
      <c r="K353" s="55"/>
      <c r="L353" s="919"/>
      <c r="M353" s="919"/>
      <c r="N353" s="919"/>
      <c r="O353" s="919"/>
      <c r="P353" s="919"/>
      <c r="Q353" s="919"/>
      <c r="R353" s="919"/>
      <c r="S353" s="919"/>
      <c r="T353" s="919"/>
      <c r="U353" s="432"/>
      <c r="V353" s="432"/>
      <c r="W353" s="432"/>
      <c r="X353" s="432"/>
      <c r="Y353" s="432"/>
      <c r="Z353" s="432"/>
      <c r="AA353" s="432"/>
      <c r="AB353" s="432"/>
      <c r="AC353" s="432"/>
      <c r="AD353" s="432"/>
      <c r="AE353" s="432"/>
      <c r="AF353" s="432"/>
      <c r="AG353" s="432"/>
      <c r="AH353" s="432"/>
      <c r="AI353" s="432"/>
      <c r="AJ353" s="432"/>
    </row>
    <row r="354" spans="2:36" s="17" customFormat="1" ht="15.5" hidden="1" x14ac:dyDescent="0.35">
      <c r="B354" s="921"/>
      <c r="C354" s="920" t="s">
        <v>349</v>
      </c>
      <c r="D354" s="921"/>
      <c r="E354" s="228"/>
      <c r="F354" s="228"/>
      <c r="G354" s="228"/>
      <c r="H354" s="228"/>
      <c r="I354" s="55"/>
      <c r="J354" s="55"/>
      <c r="K354" s="55"/>
      <c r="L354" s="55"/>
      <c r="M354" s="55"/>
      <c r="N354" s="432"/>
      <c r="O354" s="432"/>
      <c r="P354" s="432"/>
      <c r="Q354" s="432"/>
      <c r="R354" s="432"/>
      <c r="S354" s="432"/>
      <c r="T354" s="432"/>
      <c r="U354" s="432"/>
      <c r="V354" s="432"/>
      <c r="W354" s="432"/>
      <c r="X354" s="432"/>
      <c r="Y354" s="432"/>
      <c r="Z354" s="432"/>
      <c r="AA354" s="432"/>
      <c r="AB354" s="432"/>
      <c r="AC354" s="432"/>
      <c r="AD354" s="432"/>
      <c r="AE354" s="432"/>
      <c r="AF354" s="432"/>
      <c r="AG354" s="432"/>
      <c r="AH354" s="432"/>
      <c r="AI354" s="432"/>
      <c r="AJ354" s="432"/>
    </row>
    <row r="355" spans="2:36" s="17" customFormat="1" ht="15.5" hidden="1" x14ac:dyDescent="0.35">
      <c r="B355" s="921"/>
      <c r="C355" s="921" t="s">
        <v>399</v>
      </c>
      <c r="D355" s="921"/>
      <c r="E355" s="228"/>
      <c r="F355" s="228"/>
      <c r="G355" s="228"/>
      <c r="H355" s="228"/>
      <c r="I355" s="55"/>
      <c r="J355" s="227"/>
      <c r="K355" s="55"/>
      <c r="L355" s="55"/>
      <c r="M355" s="55"/>
      <c r="N355" s="432"/>
      <c r="O355" s="432"/>
      <c r="P355" s="432"/>
      <c r="Q355" s="432"/>
      <c r="R355" s="432"/>
      <c r="S355" s="432"/>
      <c r="T355" s="432"/>
      <c r="U355" s="432"/>
      <c r="V355" s="432"/>
      <c r="W355" s="432"/>
      <c r="X355" s="432"/>
      <c r="Y355" s="432"/>
      <c r="Z355" s="432"/>
      <c r="AA355" s="432"/>
      <c r="AB355" s="432"/>
      <c r="AC355" s="432"/>
      <c r="AD355" s="432"/>
      <c r="AE355" s="432"/>
      <c r="AF355" s="432"/>
      <c r="AG355" s="432"/>
      <c r="AH355" s="432"/>
      <c r="AI355" s="432"/>
      <c r="AJ355" s="432"/>
    </row>
    <row r="356" spans="2:36" s="17" customFormat="1" ht="15.5" hidden="1" x14ac:dyDescent="0.35">
      <c r="B356" s="921"/>
      <c r="C356" s="921" t="s">
        <v>1300</v>
      </c>
      <c r="D356" s="956">
        <v>4.0000000000000001E-3</v>
      </c>
      <c r="E356" s="228"/>
      <c r="F356" s="228"/>
      <c r="G356" s="228"/>
      <c r="H356" s="228"/>
      <c r="I356" s="55"/>
      <c r="J356" s="227"/>
      <c r="K356" s="55"/>
      <c r="L356" s="55"/>
      <c r="M356" s="55"/>
      <c r="N356" s="432"/>
      <c r="O356" s="432"/>
      <c r="P356" s="432"/>
      <c r="Q356" s="432"/>
      <c r="R356" s="432"/>
      <c r="S356" s="432"/>
      <c r="T356" s="432"/>
      <c r="U356" s="432"/>
      <c r="V356" s="432"/>
      <c r="W356" s="432"/>
      <c r="X356" s="432"/>
      <c r="Y356" s="432"/>
      <c r="Z356" s="432"/>
      <c r="AA356" s="432"/>
      <c r="AB356" s="432"/>
      <c r="AC356" s="432"/>
      <c r="AD356" s="432"/>
      <c r="AE356" s="432"/>
      <c r="AF356" s="432"/>
      <c r="AG356" s="432"/>
      <c r="AH356" s="432"/>
      <c r="AI356" s="432"/>
      <c r="AJ356" s="432"/>
    </row>
    <row r="357" spans="2:36" s="17" customFormat="1" ht="15.5" hidden="1" x14ac:dyDescent="0.35">
      <c r="B357" s="228"/>
      <c r="C357" s="228"/>
      <c r="D357" s="228"/>
      <c r="E357" s="228"/>
      <c r="F357" s="228"/>
      <c r="G357" s="228"/>
      <c r="H357" s="228"/>
      <c r="I357" s="55"/>
      <c r="J357" s="227"/>
      <c r="K357" s="55"/>
      <c r="L357" s="55"/>
      <c r="M357" s="55"/>
      <c r="N357" s="432"/>
      <c r="O357" s="432"/>
      <c r="P357" s="432"/>
      <c r="Q357" s="432"/>
      <c r="R357" s="432"/>
      <c r="S357" s="432"/>
      <c r="T357" s="432"/>
      <c r="U357" s="432"/>
      <c r="V357" s="432"/>
      <c r="W357" s="432"/>
      <c r="X357" s="432"/>
      <c r="Y357" s="432"/>
      <c r="Z357" s="432"/>
      <c r="AA357" s="432"/>
      <c r="AB357" s="432"/>
      <c r="AC357" s="432"/>
      <c r="AD357" s="432"/>
      <c r="AE357" s="432"/>
      <c r="AF357" s="432"/>
      <c r="AG357" s="432"/>
      <c r="AH357" s="432"/>
      <c r="AI357" s="432"/>
      <c r="AJ357" s="432"/>
    </row>
    <row r="358" spans="2:36" s="17" customFormat="1" ht="15.5" hidden="1" x14ac:dyDescent="0.35">
      <c r="B358" s="920" t="s">
        <v>397</v>
      </c>
      <c r="C358" s="922" t="s">
        <v>440</v>
      </c>
      <c r="D358" s="953" t="e">
        <f>D352*D356*44/28</f>
        <v>#DIV/0!</v>
      </c>
      <c r="E358" s="228"/>
      <c r="F358" s="228"/>
      <c r="G358" s="113" t="s">
        <v>299</v>
      </c>
      <c r="H358" s="228"/>
      <c r="I358" s="55"/>
      <c r="J358" s="227"/>
      <c r="K358" s="55"/>
      <c r="L358" s="55"/>
      <c r="M358" s="55"/>
      <c r="N358" s="432"/>
      <c r="O358" s="432"/>
      <c r="P358" s="432"/>
      <c r="Q358" s="432"/>
      <c r="R358" s="432"/>
      <c r="S358" s="432"/>
      <c r="T358" s="432"/>
      <c r="U358" s="432"/>
      <c r="V358" s="432"/>
      <c r="W358" s="432"/>
      <c r="X358" s="432"/>
      <c r="Y358" s="432"/>
      <c r="Z358" s="432"/>
      <c r="AA358" s="432"/>
      <c r="AB358" s="432"/>
      <c r="AC358" s="432"/>
      <c r="AD358" s="432"/>
      <c r="AE358" s="432"/>
      <c r="AF358" s="432"/>
      <c r="AG358" s="432"/>
      <c r="AH358" s="432"/>
      <c r="AI358" s="432"/>
      <c r="AJ358" s="432"/>
    </row>
    <row r="359" spans="2:36" s="17" customFormat="1" ht="15.5" hidden="1" x14ac:dyDescent="0.35">
      <c r="B359" s="231" t="s">
        <v>1357</v>
      </c>
      <c r="C359" s="922" t="s">
        <v>440</v>
      </c>
      <c r="D359" s="953" t="e">
        <f>D358*'Emission factors'!C5</f>
        <v>#DIV/0!</v>
      </c>
      <c r="E359" s="228"/>
      <c r="F359" s="228"/>
      <c r="G359" s="113" t="s">
        <v>265</v>
      </c>
      <c r="H359" s="228"/>
      <c r="I359" s="55"/>
      <c r="J359" s="227"/>
      <c r="K359" s="55"/>
      <c r="L359" s="55"/>
      <c r="M359" s="55"/>
      <c r="N359" s="432"/>
      <c r="O359" s="432"/>
      <c r="P359" s="432"/>
      <c r="Q359" s="432"/>
      <c r="R359" s="432"/>
      <c r="S359" s="432"/>
      <c r="T359" s="432"/>
      <c r="U359" s="432"/>
      <c r="V359" s="432"/>
      <c r="W359" s="432"/>
      <c r="X359" s="432"/>
      <c r="Y359" s="432"/>
      <c r="Z359" s="432"/>
      <c r="AA359" s="432"/>
      <c r="AB359" s="432"/>
      <c r="AC359" s="432"/>
      <c r="AD359" s="432"/>
      <c r="AE359" s="432"/>
      <c r="AF359" s="432"/>
      <c r="AG359" s="432"/>
      <c r="AH359" s="432"/>
      <c r="AI359" s="432"/>
      <c r="AJ359" s="432"/>
    </row>
    <row r="360" spans="2:36" s="17" customFormat="1" ht="15.5" hidden="1" x14ac:dyDescent="0.35">
      <c r="B360" s="228"/>
      <c r="C360" s="235"/>
      <c r="D360" s="250"/>
      <c r="E360" s="250"/>
      <c r="F360" s="250"/>
      <c r="G360" s="250"/>
      <c r="H360" s="250"/>
      <c r="I360" s="501"/>
      <c r="J360" s="227"/>
      <c r="K360" s="55"/>
      <c r="L360" s="55"/>
      <c r="M360" s="55"/>
      <c r="N360" s="432"/>
      <c r="O360" s="432"/>
      <c r="P360" s="432"/>
      <c r="Q360" s="432"/>
      <c r="R360" s="432"/>
      <c r="S360" s="432"/>
      <c r="T360" s="432"/>
      <c r="U360" s="432"/>
      <c r="V360" s="432"/>
      <c r="W360" s="432"/>
      <c r="X360" s="432"/>
      <c r="Y360" s="432"/>
      <c r="Z360" s="432"/>
      <c r="AA360" s="432"/>
      <c r="AB360" s="432"/>
      <c r="AC360" s="432"/>
      <c r="AD360" s="432"/>
      <c r="AE360" s="432"/>
      <c r="AF360" s="432"/>
      <c r="AG360" s="432"/>
      <c r="AH360" s="432"/>
      <c r="AI360" s="432"/>
      <c r="AJ360" s="432"/>
    </row>
    <row r="361" spans="2:36" s="17" customFormat="1" ht="15.5" hidden="1" x14ac:dyDescent="0.35">
      <c r="B361" s="920" t="s">
        <v>409</v>
      </c>
      <c r="C361" s="920" t="s">
        <v>410</v>
      </c>
      <c r="D361" s="921"/>
      <c r="E361" s="228"/>
      <c r="F361" s="228"/>
      <c r="G361" s="921" t="s">
        <v>406</v>
      </c>
      <c r="H361" s="921">
        <v>1</v>
      </c>
      <c r="I361" s="55"/>
      <c r="J361" s="227"/>
      <c r="K361" s="55"/>
      <c r="L361" s="55"/>
      <c r="M361" s="55"/>
      <c r="N361" s="432"/>
      <c r="O361" s="432"/>
      <c r="P361" s="432"/>
      <c r="Q361" s="432"/>
      <c r="R361" s="432"/>
      <c r="S361" s="432"/>
      <c r="T361" s="432"/>
      <c r="U361" s="432"/>
      <c r="V361" s="432"/>
      <c r="W361" s="432"/>
      <c r="X361" s="432"/>
      <c r="Y361" s="432"/>
      <c r="Z361" s="432"/>
      <c r="AA361" s="432"/>
      <c r="AB361" s="432"/>
      <c r="AC361" s="432"/>
      <c r="AD361" s="432"/>
      <c r="AE361" s="432"/>
      <c r="AF361" s="432"/>
      <c r="AG361" s="432"/>
      <c r="AH361" s="432"/>
      <c r="AI361" s="432"/>
      <c r="AJ361" s="432"/>
    </row>
    <row r="362" spans="2:36" s="17" customFormat="1" ht="15.5" hidden="1" x14ac:dyDescent="0.35">
      <c r="B362" s="921"/>
      <c r="C362" s="921" t="s">
        <v>412</v>
      </c>
      <c r="D362" s="921"/>
      <c r="E362" s="250"/>
      <c r="F362" s="250"/>
      <c r="G362" s="921" t="s">
        <v>408</v>
      </c>
      <c r="H362" s="922">
        <v>0.24</v>
      </c>
      <c r="I362" s="501"/>
      <c r="J362" s="55"/>
      <c r="K362" s="55"/>
      <c r="L362" s="55"/>
      <c r="M362" s="55"/>
      <c r="N362" s="432"/>
      <c r="O362" s="432"/>
      <c r="P362" s="432"/>
      <c r="Q362" s="432"/>
      <c r="R362" s="432"/>
      <c r="S362" s="432"/>
      <c r="T362" s="432"/>
      <c r="U362" s="432"/>
      <c r="V362" s="432"/>
      <c r="W362" s="432"/>
      <c r="X362" s="432"/>
      <c r="Y362" s="432"/>
      <c r="Z362" s="432"/>
      <c r="AA362" s="432"/>
      <c r="AB362" s="432"/>
      <c r="AC362" s="432"/>
      <c r="AD362" s="432"/>
      <c r="AE362" s="432"/>
      <c r="AF362" s="432"/>
      <c r="AG362" s="432"/>
      <c r="AH362" s="432"/>
      <c r="AI362" s="432"/>
      <c r="AJ362" s="432"/>
    </row>
    <row r="363" spans="2:36" s="17" customFormat="1" ht="15.5" hidden="1" x14ac:dyDescent="0.35">
      <c r="B363" s="921"/>
      <c r="C363" s="921" t="s">
        <v>413</v>
      </c>
      <c r="D363" s="921"/>
      <c r="E363" s="228"/>
      <c r="F363" s="228"/>
      <c r="G363" s="228"/>
      <c r="H363" s="228"/>
      <c r="I363" s="501"/>
      <c r="J363" s="227"/>
      <c r="K363" s="55"/>
      <c r="L363" s="55"/>
      <c r="M363" s="55"/>
      <c r="N363" s="432"/>
      <c r="O363" s="432"/>
      <c r="P363" s="432"/>
      <c r="Q363" s="432"/>
      <c r="R363" s="432"/>
      <c r="S363" s="432"/>
      <c r="T363" s="432"/>
      <c r="U363" s="432"/>
      <c r="V363" s="432"/>
      <c r="W363" s="432"/>
      <c r="X363" s="432"/>
      <c r="Y363" s="432"/>
      <c r="Z363" s="432"/>
      <c r="AA363" s="432"/>
      <c r="AB363" s="432"/>
      <c r="AC363" s="432"/>
      <c r="AD363" s="432"/>
      <c r="AE363" s="432"/>
      <c r="AF363" s="432"/>
      <c r="AG363" s="432"/>
      <c r="AH363" s="432"/>
      <c r="AI363" s="432"/>
      <c r="AJ363" s="432"/>
    </row>
    <row r="364" spans="2:36" s="17" customFormat="1" ht="15.5" hidden="1" x14ac:dyDescent="0.35">
      <c r="B364" s="921"/>
      <c r="C364" s="921" t="s">
        <v>414</v>
      </c>
      <c r="D364" s="921"/>
      <c r="E364" s="228"/>
      <c r="F364" s="228"/>
      <c r="G364" s="235"/>
      <c r="H364" s="235"/>
      <c r="I364" s="501"/>
      <c r="J364" s="227"/>
      <c r="K364" s="55"/>
      <c r="L364" s="55"/>
      <c r="M364" s="55"/>
      <c r="N364" s="432"/>
      <c r="O364" s="432"/>
      <c r="P364" s="432"/>
      <c r="Q364" s="432"/>
      <c r="R364" s="432"/>
      <c r="S364" s="432"/>
      <c r="T364" s="432"/>
      <c r="U364" s="432"/>
      <c r="V364" s="432"/>
      <c r="W364" s="432"/>
      <c r="X364" s="432"/>
      <c r="Y364" s="432"/>
      <c r="Z364" s="432"/>
      <c r="AA364" s="432"/>
      <c r="AB364" s="432"/>
      <c r="AC364" s="432"/>
      <c r="AD364" s="432"/>
      <c r="AE364" s="432"/>
      <c r="AF364" s="432"/>
      <c r="AG364" s="432"/>
      <c r="AH364" s="432"/>
      <c r="AI364" s="432"/>
      <c r="AJ364" s="432"/>
    </row>
    <row r="365" spans="2:36" s="17" customFormat="1" ht="15.5" hidden="1" x14ac:dyDescent="0.35">
      <c r="B365" s="231"/>
      <c r="C365" s="236"/>
      <c r="D365" s="228"/>
      <c r="E365" s="228"/>
      <c r="F365" s="228"/>
      <c r="G365" s="228"/>
      <c r="H365" s="228"/>
      <c r="I365" s="501"/>
      <c r="J365" s="227"/>
      <c r="K365" s="55"/>
      <c r="L365" s="55"/>
      <c r="M365" s="55"/>
      <c r="N365" s="432"/>
      <c r="O365" s="432"/>
      <c r="P365" s="432"/>
      <c r="Q365" s="432"/>
      <c r="R365" s="432"/>
      <c r="S365" s="432"/>
      <c r="T365" s="432"/>
      <c r="U365" s="432"/>
      <c r="V365" s="432"/>
      <c r="W365" s="432"/>
      <c r="X365" s="432"/>
      <c r="Y365" s="432"/>
      <c r="Z365" s="432"/>
      <c r="AA365" s="432"/>
      <c r="AB365" s="432"/>
      <c r="AC365" s="432"/>
      <c r="AD365" s="432"/>
      <c r="AE365" s="432"/>
      <c r="AF365" s="432"/>
      <c r="AG365" s="432"/>
      <c r="AH365" s="432"/>
      <c r="AI365" s="432"/>
      <c r="AJ365" s="432"/>
    </row>
    <row r="366" spans="2:36" s="17" customFormat="1" ht="15.5" hidden="1" x14ac:dyDescent="0.35">
      <c r="B366" s="231"/>
      <c r="C366" s="922" t="s">
        <v>440</v>
      </c>
      <c r="D366" s="958" t="e">
        <f>SUM(D325,D337,D333)*H361*H362</f>
        <v>#DIV/0!</v>
      </c>
      <c r="E366" s="228"/>
      <c r="F366" s="228"/>
      <c r="G366" s="228"/>
      <c r="H366" s="228"/>
      <c r="I366" s="55"/>
      <c r="J366" s="227"/>
      <c r="K366" s="55"/>
      <c r="L366" s="255"/>
      <c r="M366" s="255"/>
      <c r="N366" s="432"/>
      <c r="O366" s="432"/>
      <c r="P366" s="432"/>
      <c r="Q366" s="432"/>
      <c r="R366" s="432"/>
      <c r="S366" s="432"/>
      <c r="T366" s="432"/>
      <c r="U366" s="432"/>
      <c r="V366" s="432"/>
      <c r="W366" s="432"/>
      <c r="X366" s="432"/>
      <c r="Y366" s="432"/>
      <c r="Z366" s="432"/>
      <c r="AA366" s="432"/>
      <c r="AB366" s="432"/>
      <c r="AC366" s="432"/>
      <c r="AD366" s="432"/>
      <c r="AE366" s="432"/>
      <c r="AF366" s="432"/>
      <c r="AG366" s="432"/>
      <c r="AH366" s="432"/>
      <c r="AI366" s="432"/>
      <c r="AJ366" s="432"/>
    </row>
    <row r="367" spans="2:36" s="17" customFormat="1" ht="15.5" hidden="1" x14ac:dyDescent="0.35">
      <c r="B367" s="231"/>
      <c r="C367" s="228"/>
      <c r="D367" s="228"/>
      <c r="E367" s="228"/>
      <c r="F367" s="228"/>
      <c r="G367" s="228"/>
      <c r="H367" s="228"/>
      <c r="I367" s="55"/>
      <c r="J367" s="227"/>
      <c r="K367" s="55"/>
      <c r="L367" s="255"/>
      <c r="M367" s="255"/>
      <c r="N367" s="432"/>
      <c r="O367" s="432"/>
      <c r="P367" s="432"/>
      <c r="Q367" s="432"/>
      <c r="R367" s="432"/>
      <c r="S367" s="432"/>
      <c r="T367" s="432"/>
      <c r="U367" s="262"/>
      <c r="V367" s="262"/>
      <c r="W367" s="262"/>
      <c r="X367" s="432"/>
      <c r="Y367" s="432"/>
      <c r="Z367" s="432"/>
      <c r="AA367" s="432"/>
      <c r="AB367" s="432"/>
      <c r="AC367" s="432"/>
      <c r="AD367" s="432"/>
      <c r="AE367" s="432"/>
      <c r="AF367" s="432"/>
      <c r="AG367" s="432"/>
      <c r="AH367" s="432"/>
      <c r="AI367" s="432"/>
      <c r="AJ367" s="432"/>
    </row>
    <row r="368" spans="2:36" s="17" customFormat="1" ht="15.5" hidden="1" x14ac:dyDescent="0.35">
      <c r="B368" s="920" t="s">
        <v>415</v>
      </c>
      <c r="C368" s="920" t="s">
        <v>349</v>
      </c>
      <c r="D368" s="921"/>
      <c r="E368" s="228"/>
      <c r="F368" s="228"/>
      <c r="G368" s="228"/>
      <c r="H368" s="228"/>
      <c r="I368" s="55"/>
      <c r="J368" s="227"/>
      <c r="K368" s="55"/>
      <c r="L368" s="55"/>
      <c r="M368" s="55"/>
      <c r="N368" s="432"/>
      <c r="O368" s="432"/>
      <c r="P368" s="432"/>
      <c r="Q368" s="432"/>
      <c r="R368" s="432"/>
      <c r="S368" s="432"/>
      <c r="T368" s="432"/>
      <c r="U368" s="262"/>
      <c r="V368" s="432"/>
      <c r="W368" s="432"/>
      <c r="X368" s="432"/>
      <c r="Y368" s="432"/>
      <c r="Z368" s="432"/>
      <c r="AA368" s="432"/>
      <c r="AB368" s="432"/>
      <c r="AC368" s="432"/>
      <c r="AD368" s="432"/>
      <c r="AE368" s="432"/>
      <c r="AF368" s="432"/>
      <c r="AG368" s="432"/>
      <c r="AH368" s="432"/>
      <c r="AI368" s="432"/>
      <c r="AJ368" s="432"/>
    </row>
    <row r="369" spans="2:36" s="17" customFormat="1" ht="15.5" hidden="1" x14ac:dyDescent="0.35">
      <c r="B369" s="921"/>
      <c r="C369" s="921" t="s">
        <v>417</v>
      </c>
      <c r="D369" s="921"/>
      <c r="E369" s="228"/>
      <c r="F369" s="228"/>
      <c r="G369" s="228"/>
      <c r="H369" s="228"/>
      <c r="I369" s="55"/>
      <c r="J369" s="227"/>
      <c r="K369" s="55"/>
      <c r="L369" s="55"/>
      <c r="M369" s="55"/>
      <c r="N369" s="432"/>
      <c r="O369" s="432"/>
      <c r="P369" s="432"/>
      <c r="Q369" s="432"/>
      <c r="R369" s="432"/>
      <c r="S369" s="432"/>
      <c r="T369" s="432"/>
      <c r="U369" s="262"/>
      <c r="V369" s="432"/>
      <c r="W369" s="432"/>
      <c r="X369" s="432"/>
      <c r="Y369" s="432"/>
      <c r="Z369" s="432"/>
      <c r="AA369" s="432"/>
      <c r="AB369" s="432"/>
      <c r="AC369" s="432"/>
      <c r="AD369" s="432"/>
      <c r="AE369" s="432"/>
      <c r="AF369" s="432"/>
      <c r="AG369" s="432"/>
      <c r="AH369" s="432"/>
      <c r="AI369" s="432"/>
      <c r="AJ369" s="432"/>
    </row>
    <row r="370" spans="2:36" s="17" customFormat="1" ht="15.5" hidden="1" x14ac:dyDescent="0.35">
      <c r="B370" s="921"/>
      <c r="C370" s="921" t="s">
        <v>1301</v>
      </c>
      <c r="D370" s="956">
        <v>1.0999999999999999E-2</v>
      </c>
      <c r="E370" s="228"/>
      <c r="F370" s="228"/>
      <c r="G370" s="228"/>
      <c r="H370" s="228"/>
      <c r="I370" s="55"/>
      <c r="J370" s="227"/>
      <c r="K370" s="55"/>
      <c r="L370" s="55"/>
      <c r="M370" s="55"/>
      <c r="N370" s="432"/>
      <c r="O370" s="432"/>
      <c r="P370" s="432"/>
      <c r="Q370" s="432"/>
      <c r="R370" s="432"/>
      <c r="S370" s="432"/>
      <c r="T370" s="432"/>
      <c r="U370" s="262"/>
      <c r="V370" s="432"/>
      <c r="W370" s="432"/>
      <c r="X370" s="432"/>
      <c r="Y370" s="432"/>
      <c r="Z370" s="432"/>
      <c r="AA370" s="432"/>
      <c r="AB370" s="432"/>
      <c r="AC370" s="432"/>
      <c r="AD370" s="432"/>
      <c r="AE370" s="432"/>
      <c r="AF370" s="432"/>
      <c r="AG370" s="432"/>
      <c r="AH370" s="432"/>
      <c r="AI370" s="432"/>
      <c r="AJ370" s="432"/>
    </row>
    <row r="371" spans="2:36" s="17" customFormat="1" ht="15.5" hidden="1" x14ac:dyDescent="0.35">
      <c r="B371" s="228"/>
      <c r="C371" s="228"/>
      <c r="D371" s="259"/>
      <c r="E371" s="228"/>
      <c r="F371" s="228"/>
      <c r="G371" s="228"/>
      <c r="H371" s="228"/>
      <c r="I371" s="55"/>
      <c r="J371" s="227"/>
      <c r="K371" s="227"/>
      <c r="L371" s="55"/>
      <c r="M371" s="55"/>
      <c r="N371" s="432"/>
      <c r="O371" s="432"/>
      <c r="P371" s="432"/>
      <c r="Q371" s="432"/>
      <c r="R371" s="432"/>
      <c r="S371" s="432"/>
      <c r="T371" s="432"/>
      <c r="U371" s="432"/>
      <c r="V371" s="432"/>
      <c r="W371" s="432"/>
      <c r="X371" s="432"/>
      <c r="Y371" s="432"/>
      <c r="Z371" s="432"/>
      <c r="AA371" s="432"/>
      <c r="AB371" s="432"/>
      <c r="AC371" s="432"/>
      <c r="AD371" s="432"/>
      <c r="AE371" s="432"/>
      <c r="AF371" s="432"/>
      <c r="AG371" s="432"/>
      <c r="AH371" s="432"/>
      <c r="AI371" s="432"/>
      <c r="AJ371" s="432"/>
    </row>
    <row r="372" spans="2:36" s="17" customFormat="1" ht="15.5" hidden="1" x14ac:dyDescent="0.35">
      <c r="B372" s="921" t="s">
        <v>390</v>
      </c>
      <c r="C372" s="922" t="s">
        <v>440</v>
      </c>
      <c r="D372" s="958" t="e">
        <f>D366*D370*44/28</f>
        <v>#DIV/0!</v>
      </c>
      <c r="E372" s="228"/>
      <c r="F372" s="228"/>
      <c r="G372" s="113" t="s">
        <v>299</v>
      </c>
      <c r="H372" s="228"/>
      <c r="I372" s="55"/>
      <c r="J372" s="227"/>
      <c r="K372" s="55"/>
      <c r="L372" s="55"/>
      <c r="M372" s="55"/>
      <c r="N372" s="432"/>
      <c r="O372" s="432"/>
      <c r="P372" s="432"/>
      <c r="Q372" s="432"/>
      <c r="R372" s="432"/>
      <c r="S372" s="432"/>
      <c r="T372" s="432"/>
      <c r="U372" s="432"/>
      <c r="V372" s="432"/>
      <c r="W372" s="432"/>
      <c r="X372" s="432"/>
      <c r="Y372" s="432"/>
      <c r="Z372" s="432"/>
      <c r="AA372" s="432"/>
      <c r="AB372" s="432"/>
      <c r="AC372" s="432"/>
      <c r="AD372" s="432"/>
      <c r="AE372" s="432"/>
      <c r="AF372" s="432"/>
      <c r="AG372" s="432"/>
      <c r="AH372" s="432"/>
      <c r="AI372" s="432"/>
      <c r="AJ372" s="432"/>
    </row>
    <row r="373" spans="2:36" s="17" customFormat="1" ht="15.5" hidden="1" x14ac:dyDescent="0.35">
      <c r="B373" s="228"/>
      <c r="C373" s="228"/>
      <c r="D373" s="228"/>
      <c r="E373" s="228"/>
      <c r="F373" s="228"/>
      <c r="G373" s="228"/>
      <c r="H373" s="228"/>
      <c r="I373" s="55"/>
      <c r="J373" s="227"/>
      <c r="K373" s="55"/>
      <c r="L373" s="432"/>
      <c r="M373" s="432"/>
      <c r="N373" s="432"/>
      <c r="O373" s="432"/>
      <c r="P373" s="432"/>
      <c r="Q373" s="432"/>
      <c r="R373" s="432"/>
      <c r="S373" s="432"/>
      <c r="T373" s="432"/>
      <c r="U373" s="432"/>
      <c r="V373" s="432"/>
      <c r="W373" s="432"/>
      <c r="X373" s="432"/>
      <c r="Y373" s="432"/>
      <c r="Z373" s="432"/>
      <c r="AA373" s="432"/>
      <c r="AB373" s="432"/>
      <c r="AC373" s="432"/>
      <c r="AD373" s="432"/>
      <c r="AE373" s="432"/>
      <c r="AF373" s="432"/>
      <c r="AG373" s="432"/>
      <c r="AH373" s="432"/>
      <c r="AI373" s="432"/>
      <c r="AJ373" s="432"/>
    </row>
    <row r="374" spans="2:36" s="17" customFormat="1" ht="15.5" hidden="1" x14ac:dyDescent="0.35">
      <c r="B374" s="924" t="s">
        <v>418</v>
      </c>
      <c r="C374" s="901" t="e">
        <f>D372*'Emission factors'!C5</f>
        <v>#DIV/0!</v>
      </c>
      <c r="D374" s="959"/>
      <c r="E374" s="959"/>
      <c r="F374" s="959"/>
      <c r="G374" s="959" t="s">
        <v>265</v>
      </c>
      <c r="H374" s="959"/>
      <c r="I374" s="55"/>
      <c r="J374" s="227"/>
      <c r="K374" s="55"/>
      <c r="L374" s="432"/>
      <c r="M374" s="432"/>
      <c r="N374" s="432"/>
      <c r="O374" s="432"/>
      <c r="P374" s="432"/>
      <c r="Q374" s="432"/>
      <c r="R374" s="432"/>
      <c r="S374" s="432"/>
      <c r="T374" s="432"/>
      <c r="U374" s="432"/>
      <c r="V374" s="432"/>
      <c r="W374" s="432"/>
      <c r="X374" s="432"/>
      <c r="Y374" s="432"/>
      <c r="Z374" s="432"/>
      <c r="AA374" s="432"/>
      <c r="AB374" s="432"/>
      <c r="AC374" s="432"/>
      <c r="AD374" s="432"/>
      <c r="AE374" s="432"/>
      <c r="AF374" s="432"/>
      <c r="AG374" s="432"/>
      <c r="AH374" s="432"/>
      <c r="AI374" s="432"/>
      <c r="AJ374" s="432"/>
    </row>
    <row r="375" spans="2:36" s="17" customFormat="1" ht="15.5" hidden="1" x14ac:dyDescent="0.35">
      <c r="I375" s="432"/>
      <c r="J375" s="432"/>
      <c r="K375" s="55"/>
      <c r="L375" s="432"/>
      <c r="M375" s="432"/>
      <c r="N375" s="432"/>
      <c r="O375" s="432"/>
      <c r="P375" s="432"/>
      <c r="Q375" s="432"/>
      <c r="R375" s="432"/>
      <c r="S375" s="432"/>
      <c r="T375" s="432"/>
      <c r="U375" s="432"/>
      <c r="V375" s="432"/>
      <c r="W375" s="432"/>
      <c r="X375" s="432"/>
      <c r="Y375" s="432"/>
      <c r="Z375" s="432"/>
      <c r="AA375" s="432"/>
      <c r="AB375" s="432"/>
      <c r="AC375" s="432"/>
      <c r="AD375" s="432"/>
      <c r="AE375" s="432"/>
      <c r="AF375" s="432"/>
      <c r="AG375" s="432"/>
      <c r="AH375" s="432"/>
      <c r="AI375" s="432"/>
      <c r="AJ375" s="432"/>
    </row>
    <row r="376" spans="2:36" s="20" customFormat="1" hidden="1" x14ac:dyDescent="0.35">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432"/>
      <c r="AF376" s="432"/>
      <c r="AG376" s="432"/>
      <c r="AH376" s="432"/>
      <c r="AI376" s="432"/>
      <c r="AJ376" s="432"/>
    </row>
    <row r="377" spans="2:36" s="20" customFormat="1" hidden="1" x14ac:dyDescent="0.35">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432"/>
      <c r="AF377" s="432"/>
      <c r="AG377" s="432"/>
      <c r="AH377" s="432"/>
      <c r="AI377" s="432"/>
      <c r="AJ377" s="432"/>
    </row>
    <row r="378" spans="2:36" s="20" customFormat="1" ht="15.5" hidden="1" x14ac:dyDescent="0.35">
      <c r="B378" s="263" t="s">
        <v>426</v>
      </c>
      <c r="I378" s="432"/>
      <c r="J378" s="432"/>
      <c r="K378" s="432"/>
      <c r="L378" s="432"/>
      <c r="M378" s="432"/>
      <c r="N378" s="432"/>
      <c r="O378" s="432"/>
      <c r="P378" s="432"/>
      <c r="Q378" s="432"/>
      <c r="R378" s="432"/>
      <c r="S378" s="432"/>
      <c r="T378" s="432"/>
      <c r="U378" s="432"/>
      <c r="V378" s="432"/>
      <c r="W378" s="432"/>
      <c r="X378" s="432"/>
      <c r="Y378" s="432"/>
      <c r="Z378" s="432"/>
      <c r="AA378" s="432"/>
      <c r="AB378" s="432"/>
      <c r="AC378" s="432"/>
      <c r="AD378" s="432"/>
      <c r="AE378" s="432"/>
      <c r="AF378" s="432"/>
      <c r="AG378" s="432"/>
      <c r="AH378" s="432"/>
      <c r="AI378" s="432"/>
      <c r="AJ378" s="432"/>
    </row>
    <row r="379" spans="2:36" s="20" customFormat="1" hidden="1" x14ac:dyDescent="0.35">
      <c r="B379" s="20" t="s">
        <v>452</v>
      </c>
      <c r="C379" s="264" t="e">
        <f>D343*10^6</f>
        <v>#DIV/0!</v>
      </c>
      <c r="I379" s="432"/>
      <c r="J379" s="432"/>
      <c r="K379" s="432"/>
      <c r="L379" s="432"/>
      <c r="M379" s="432"/>
      <c r="N379" s="432"/>
      <c r="O379" s="432"/>
      <c r="P379" s="432"/>
      <c r="Q379" s="432"/>
      <c r="R379" s="432"/>
      <c r="S379" s="432"/>
      <c r="T379" s="432"/>
      <c r="U379" s="432"/>
      <c r="V379" s="432"/>
      <c r="W379" s="432"/>
      <c r="X379" s="432"/>
      <c r="Y379" s="432"/>
      <c r="Z379" s="432"/>
      <c r="AA379" s="432"/>
      <c r="AB379" s="432"/>
      <c r="AC379" s="432"/>
      <c r="AD379" s="432"/>
      <c r="AE379" s="432"/>
      <c r="AF379" s="432"/>
      <c r="AG379" s="432"/>
      <c r="AH379" s="432"/>
      <c r="AI379" s="432"/>
      <c r="AJ379" s="432"/>
    </row>
    <row r="380" spans="2:36" s="20" customFormat="1" hidden="1" x14ac:dyDescent="0.35">
      <c r="I380" s="432"/>
      <c r="J380" s="432"/>
      <c r="K380" s="432"/>
      <c r="L380" s="432"/>
      <c r="M380" s="432"/>
      <c r="N380" s="432"/>
      <c r="O380" s="432"/>
      <c r="P380" s="432"/>
      <c r="Q380" s="432"/>
      <c r="R380" s="432"/>
      <c r="S380" s="432"/>
      <c r="T380" s="432"/>
      <c r="U380" s="432"/>
      <c r="V380" s="432"/>
      <c r="W380" s="432"/>
      <c r="X380" s="432"/>
      <c r="Y380" s="432"/>
      <c r="Z380" s="432"/>
      <c r="AA380" s="432"/>
      <c r="AB380" s="432"/>
      <c r="AC380" s="432"/>
      <c r="AD380" s="432"/>
      <c r="AE380" s="432"/>
      <c r="AF380" s="432"/>
      <c r="AG380" s="432"/>
      <c r="AH380" s="432"/>
      <c r="AI380" s="432"/>
      <c r="AJ380" s="432"/>
    </row>
    <row r="381" spans="2:36" s="20" customFormat="1" ht="15.5" hidden="1" x14ac:dyDescent="0.35">
      <c r="B381" s="263" t="s">
        <v>1355</v>
      </c>
      <c r="I381" s="432"/>
      <c r="J381" s="432"/>
      <c r="K381" s="432"/>
      <c r="L381" s="432"/>
      <c r="M381" s="432"/>
      <c r="N381" s="432"/>
      <c r="O381" s="432"/>
      <c r="P381" s="432"/>
      <c r="Q381" s="432"/>
      <c r="R381" s="432"/>
      <c r="S381" s="432"/>
      <c r="T381" s="432"/>
      <c r="U381" s="432"/>
      <c r="V381" s="432"/>
      <c r="W381" s="432"/>
      <c r="X381" s="432"/>
      <c r="Y381" s="432"/>
      <c r="Z381" s="432"/>
      <c r="AA381" s="432"/>
      <c r="AB381" s="432"/>
      <c r="AC381" s="432"/>
      <c r="AD381" s="432"/>
      <c r="AE381" s="432"/>
      <c r="AF381" s="432"/>
      <c r="AG381" s="432"/>
      <c r="AH381" s="432"/>
      <c r="AI381" s="432"/>
      <c r="AJ381" s="432"/>
    </row>
    <row r="382" spans="2:36" s="20" customFormat="1" hidden="1" x14ac:dyDescent="0.35">
      <c r="B382" s="20" t="s">
        <v>452</v>
      </c>
      <c r="C382" s="264" t="e">
        <f>(D279+D329)*10^6</f>
        <v>#DIV/0!</v>
      </c>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432"/>
      <c r="AF382" s="432"/>
      <c r="AG382" s="432"/>
      <c r="AH382" s="432"/>
      <c r="AI382" s="432"/>
      <c r="AJ382" s="432"/>
    </row>
    <row r="383" spans="2:36" s="20" customFormat="1" hidden="1" x14ac:dyDescent="0.35">
      <c r="B383" s="18"/>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432"/>
      <c r="AF383" s="432"/>
      <c r="AG383" s="432"/>
      <c r="AH383" s="432"/>
      <c r="AI383" s="432"/>
      <c r="AJ383" s="432"/>
    </row>
    <row r="384" spans="2:36" s="20" customFormat="1" ht="15.5" hidden="1" x14ac:dyDescent="0.35">
      <c r="B384" s="263" t="s">
        <v>423</v>
      </c>
      <c r="I384" s="432"/>
      <c r="J384" s="432"/>
      <c r="K384" s="432"/>
      <c r="L384" s="432"/>
      <c r="M384" s="432"/>
      <c r="N384" s="432"/>
      <c r="O384" s="432"/>
      <c r="P384" s="432"/>
      <c r="Q384" s="432"/>
      <c r="R384" s="432"/>
      <c r="S384" s="432"/>
      <c r="T384" s="432"/>
      <c r="U384" s="432"/>
      <c r="V384" s="432"/>
      <c r="W384" s="432"/>
      <c r="X384" s="432"/>
      <c r="Y384" s="432"/>
      <c r="Z384" s="432"/>
      <c r="AA384" s="432"/>
      <c r="AB384" s="432"/>
      <c r="AC384" s="432"/>
      <c r="AD384" s="432"/>
      <c r="AE384" s="432"/>
      <c r="AF384" s="432"/>
      <c r="AG384" s="432"/>
      <c r="AH384" s="432"/>
      <c r="AI384" s="432"/>
      <c r="AJ384" s="432"/>
    </row>
    <row r="385" spans="2:36" s="20" customFormat="1" hidden="1" x14ac:dyDescent="0.35">
      <c r="B385" s="20" t="s">
        <v>452</v>
      </c>
      <c r="C385" s="264" t="e">
        <f>(D294+D303+D358+D372)*10^6</f>
        <v>#DIV/0!</v>
      </c>
      <c r="I385" s="432"/>
      <c r="J385" s="432"/>
      <c r="K385" s="432"/>
      <c r="L385" s="432"/>
      <c r="M385" s="432"/>
      <c r="N385" s="432"/>
      <c r="O385" s="432"/>
      <c r="P385" s="432"/>
      <c r="Q385" s="432"/>
      <c r="R385" s="432"/>
      <c r="S385" s="432"/>
      <c r="T385" s="432"/>
      <c r="U385" s="432"/>
      <c r="V385" s="432"/>
      <c r="W385" s="432"/>
      <c r="X385" s="432"/>
      <c r="Y385" s="432"/>
      <c r="Z385" s="432"/>
      <c r="AA385" s="432"/>
      <c r="AB385" s="432"/>
      <c r="AC385" s="432"/>
      <c r="AD385" s="432"/>
      <c r="AE385" s="432"/>
      <c r="AF385" s="432"/>
      <c r="AG385" s="432"/>
      <c r="AH385" s="432"/>
      <c r="AI385" s="432"/>
      <c r="AJ385" s="432"/>
    </row>
    <row r="386" spans="2:36" s="20" customFormat="1" hidden="1" x14ac:dyDescent="0.35">
      <c r="I386" s="432"/>
      <c r="J386" s="432"/>
      <c r="K386" s="432"/>
      <c r="L386" s="432"/>
      <c r="M386" s="432"/>
      <c r="N386" s="432"/>
      <c r="O386" s="432"/>
      <c r="P386" s="432"/>
      <c r="Q386" s="432"/>
      <c r="R386" s="432"/>
      <c r="S386" s="432"/>
      <c r="T386" s="432"/>
      <c r="U386" s="432"/>
      <c r="V386" s="432"/>
      <c r="W386" s="432"/>
      <c r="X386" s="432"/>
      <c r="Y386" s="432"/>
      <c r="Z386" s="432"/>
      <c r="AA386" s="432"/>
      <c r="AB386" s="432"/>
      <c r="AC386" s="432"/>
      <c r="AD386" s="432"/>
      <c r="AE386" s="432"/>
      <c r="AF386" s="432"/>
      <c r="AG386" s="432"/>
      <c r="AH386" s="432"/>
      <c r="AI386" s="432"/>
      <c r="AJ386" s="432"/>
    </row>
    <row r="387" spans="2:36" s="20" customFormat="1" hidden="1" x14ac:dyDescent="0.35">
      <c r="B387" s="265" t="s">
        <v>447</v>
      </c>
      <c r="I387" s="432"/>
      <c r="J387" s="432"/>
      <c r="K387" s="432"/>
      <c r="L387" s="432"/>
      <c r="M387" s="432"/>
      <c r="N387" s="432"/>
      <c r="O387" s="432"/>
      <c r="P387" s="432"/>
      <c r="Q387" s="432"/>
      <c r="R387" s="432"/>
      <c r="S387" s="432"/>
      <c r="T387" s="432"/>
      <c r="U387" s="432"/>
      <c r="V387" s="432"/>
      <c r="W387" s="432"/>
      <c r="X387" s="432"/>
      <c r="Y387" s="432"/>
      <c r="Z387" s="432"/>
      <c r="AA387" s="432"/>
      <c r="AB387" s="432"/>
      <c r="AC387" s="432"/>
      <c r="AD387" s="432"/>
      <c r="AE387" s="432"/>
      <c r="AF387" s="432"/>
      <c r="AG387" s="432"/>
      <c r="AH387" s="432"/>
      <c r="AI387" s="432"/>
      <c r="AJ387" s="432"/>
    </row>
    <row r="388" spans="2:36" s="20" customFormat="1" hidden="1" x14ac:dyDescent="0.35">
      <c r="B388" s="20" t="s">
        <v>452</v>
      </c>
      <c r="C388" s="264" t="e">
        <f>C379+C382+C385</f>
        <v>#DIV/0!</v>
      </c>
      <c r="I388" s="432"/>
      <c r="J388" s="432"/>
      <c r="K388" s="432"/>
      <c r="L388" s="432"/>
      <c r="M388" s="432"/>
      <c r="N388" s="432"/>
      <c r="O388" s="432"/>
      <c r="P388" s="432"/>
      <c r="Q388" s="432"/>
      <c r="R388" s="432"/>
      <c r="S388" s="432"/>
      <c r="T388" s="432"/>
      <c r="U388" s="432"/>
      <c r="V388" s="432"/>
      <c r="W388" s="432"/>
      <c r="X388" s="432"/>
      <c r="Y388" s="432"/>
      <c r="Z388" s="432"/>
      <c r="AA388" s="432"/>
      <c r="AB388" s="432"/>
      <c r="AC388" s="432"/>
      <c r="AD388" s="432"/>
      <c r="AE388" s="432"/>
      <c r="AF388" s="432"/>
      <c r="AG388" s="432"/>
      <c r="AH388" s="432"/>
      <c r="AI388" s="432"/>
      <c r="AJ388" s="432"/>
    </row>
    <row r="389" spans="2:36" s="20" customFormat="1" hidden="1" x14ac:dyDescent="0.35">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432"/>
      <c r="AF389" s="432"/>
      <c r="AG389" s="432"/>
      <c r="AH389" s="432"/>
      <c r="AI389" s="432"/>
      <c r="AJ389" s="432"/>
    </row>
    <row r="390" spans="2:36" s="20" customFormat="1" hidden="1" x14ac:dyDescent="0.35">
      <c r="B390" s="27" t="s">
        <v>449</v>
      </c>
      <c r="C390" s="45" t="e">
        <f>C388*'Emission factors'!C5/1000</f>
        <v>#DIV/0!</v>
      </c>
      <c r="D390" s="29"/>
      <c r="I390" s="432"/>
      <c r="J390" s="432"/>
      <c r="K390" s="432"/>
      <c r="L390" s="432"/>
      <c r="M390" s="432"/>
      <c r="N390" s="432"/>
      <c r="O390" s="432"/>
      <c r="P390" s="432"/>
      <c r="Q390" s="432"/>
      <c r="R390" s="432"/>
      <c r="S390" s="432"/>
      <c r="T390" s="432"/>
      <c r="U390" s="432"/>
      <c r="V390" s="432"/>
      <c r="W390" s="432"/>
      <c r="X390" s="432"/>
      <c r="Y390" s="432"/>
      <c r="Z390" s="432"/>
      <c r="AA390" s="432"/>
      <c r="AB390" s="432"/>
      <c r="AC390" s="432"/>
      <c r="AD390" s="432"/>
      <c r="AE390" s="432"/>
      <c r="AF390" s="432"/>
      <c r="AG390" s="432"/>
      <c r="AH390" s="432"/>
      <c r="AI390" s="432"/>
      <c r="AJ390" s="432"/>
    </row>
    <row r="391" spans="2:36" s="20" customFormat="1" hidden="1" x14ac:dyDescent="0.35">
      <c r="I391" s="432"/>
      <c r="J391" s="432"/>
      <c r="K391" s="432"/>
      <c r="L391" s="432"/>
      <c r="M391" s="432"/>
      <c r="N391" s="432"/>
      <c r="O391" s="432"/>
      <c r="P391" s="432"/>
      <c r="Q391" s="432"/>
      <c r="R391" s="432"/>
      <c r="S391" s="432"/>
      <c r="T391" s="432"/>
      <c r="U391" s="432"/>
      <c r="V391" s="432"/>
      <c r="W391" s="432"/>
      <c r="X391" s="432"/>
      <c r="Y391" s="432"/>
      <c r="Z391" s="432"/>
      <c r="AA391" s="432"/>
      <c r="AB391" s="432"/>
      <c r="AC391" s="432"/>
      <c r="AD391" s="432"/>
      <c r="AE391" s="432"/>
      <c r="AF391" s="432"/>
      <c r="AG391" s="432"/>
      <c r="AH391" s="432"/>
      <c r="AI391" s="432"/>
      <c r="AJ391" s="432"/>
    </row>
    <row r="392" spans="2:36" s="20" customFormat="1" hidden="1" x14ac:dyDescent="0.35">
      <c r="B392" s="265" t="s">
        <v>763</v>
      </c>
      <c r="C392" s="170" t="e">
        <f>C216-C390</f>
        <v>#DIV/0!</v>
      </c>
      <c r="I392" s="432"/>
      <c r="J392" s="432"/>
      <c r="K392" s="432"/>
      <c r="L392" s="432"/>
      <c r="M392" s="432"/>
      <c r="N392" s="432"/>
      <c r="O392" s="432"/>
      <c r="P392" s="432"/>
      <c r="Q392" s="432"/>
      <c r="R392" s="432"/>
      <c r="S392" s="432"/>
      <c r="T392" s="432"/>
      <c r="U392" s="432"/>
      <c r="V392" s="432"/>
      <c r="W392" s="432"/>
      <c r="X392" s="432"/>
      <c r="Y392" s="432"/>
      <c r="Z392" s="432"/>
      <c r="AA392" s="432"/>
      <c r="AB392" s="432"/>
      <c r="AC392" s="432"/>
      <c r="AD392" s="432"/>
      <c r="AE392" s="432"/>
      <c r="AF392" s="432"/>
      <c r="AG392" s="432"/>
      <c r="AH392" s="432"/>
      <c r="AI392" s="432"/>
      <c r="AJ392" s="432"/>
    </row>
    <row r="393" spans="2:36" s="20" customFormat="1" hidden="1" x14ac:dyDescent="0.35">
      <c r="I393" s="432"/>
      <c r="J393" s="432"/>
      <c r="K393" s="432"/>
      <c r="L393" s="432"/>
      <c r="M393" s="432"/>
      <c r="N393" s="432"/>
      <c r="O393" s="432"/>
      <c r="P393" s="432"/>
      <c r="Q393" s="432"/>
      <c r="R393" s="432"/>
      <c r="S393" s="432"/>
      <c r="T393" s="432"/>
      <c r="U393" s="432"/>
      <c r="V393" s="432"/>
      <c r="W393" s="432"/>
      <c r="X393" s="432"/>
      <c r="Y393" s="432"/>
      <c r="Z393" s="432"/>
      <c r="AA393" s="432"/>
      <c r="AB393" s="432"/>
      <c r="AC393" s="432"/>
      <c r="AD393" s="432"/>
      <c r="AE393" s="432"/>
      <c r="AF393" s="432"/>
      <c r="AG393" s="432"/>
      <c r="AH393" s="432"/>
      <c r="AI393" s="432"/>
      <c r="AJ393" s="432"/>
    </row>
    <row r="394" spans="2:36" s="20" customFormat="1" hidden="1" x14ac:dyDescent="0.35">
      <c r="B394" s="384"/>
      <c r="C394" s="384"/>
      <c r="D394" s="385"/>
      <c r="E394" s="384"/>
      <c r="F394" s="384"/>
      <c r="G394" s="384"/>
      <c r="H394" s="384"/>
      <c r="I394" s="432"/>
      <c r="J394" s="432"/>
      <c r="K394" s="432"/>
      <c r="L394" s="432"/>
      <c r="M394" s="432"/>
      <c r="N394" s="432"/>
      <c r="O394" s="432"/>
      <c r="P394" s="432"/>
      <c r="Q394" s="432"/>
      <c r="R394" s="432"/>
      <c r="S394" s="432"/>
      <c r="T394" s="432"/>
      <c r="U394" s="432"/>
      <c r="V394" s="432"/>
      <c r="W394" s="432"/>
      <c r="X394" s="432"/>
      <c r="Y394" s="432"/>
      <c r="Z394" s="432"/>
      <c r="AA394" s="432"/>
      <c r="AB394" s="432"/>
      <c r="AC394" s="432"/>
      <c r="AD394" s="432"/>
      <c r="AE394" s="432"/>
      <c r="AF394" s="432"/>
      <c r="AG394" s="432"/>
      <c r="AH394" s="432"/>
      <c r="AI394" s="432"/>
      <c r="AJ394" s="432"/>
    </row>
    <row r="395" spans="2:36" s="20" customFormat="1" hidden="1" x14ac:dyDescent="0.35">
      <c r="B395" s="299" t="s">
        <v>454</v>
      </c>
      <c r="C395" s="299"/>
      <c r="D395" s="20" t="s">
        <v>767</v>
      </c>
      <c r="E395" s="384"/>
      <c r="F395" s="384"/>
      <c r="G395" s="384"/>
      <c r="H395" s="384"/>
      <c r="I395" s="432"/>
      <c r="J395" s="432"/>
      <c r="K395" s="432"/>
      <c r="L395" s="432"/>
      <c r="M395" s="432"/>
      <c r="N395" s="432"/>
      <c r="O395" s="432"/>
      <c r="P395" s="432"/>
      <c r="Q395" s="432"/>
      <c r="R395" s="432"/>
      <c r="S395" s="432"/>
      <c r="T395" s="432"/>
      <c r="U395" s="432"/>
      <c r="V395" s="432"/>
      <c r="W395" s="432"/>
      <c r="X395" s="432"/>
      <c r="Y395" s="432"/>
      <c r="Z395" s="432"/>
      <c r="AA395" s="432"/>
      <c r="AB395" s="432"/>
      <c r="AC395" s="432"/>
      <c r="AD395" s="432"/>
      <c r="AE395" s="432"/>
      <c r="AF395" s="432"/>
      <c r="AG395" s="432"/>
      <c r="AH395" s="432"/>
      <c r="AI395" s="432"/>
      <c r="AJ395" s="432"/>
    </row>
    <row r="396" spans="2:36" s="20" customFormat="1" hidden="1" x14ac:dyDescent="0.35">
      <c r="B396" s="299" t="s">
        <v>756</v>
      </c>
      <c r="C396" s="386" t="e">
        <f>C117</f>
        <v>#DIV/0!</v>
      </c>
      <c r="D396" s="404" t="e">
        <f>C396/365</f>
        <v>#DIV/0!</v>
      </c>
      <c r="E396" s="387"/>
      <c r="F396" s="384"/>
      <c r="G396" s="384"/>
      <c r="H396" s="384"/>
      <c r="I396" s="432"/>
      <c r="J396" s="432"/>
      <c r="K396" s="432"/>
      <c r="L396" s="432"/>
      <c r="M396" s="432"/>
      <c r="N396" s="432"/>
      <c r="O396" s="432"/>
      <c r="P396" s="432"/>
      <c r="Q396" s="432"/>
      <c r="R396" s="432"/>
      <c r="S396" s="432"/>
      <c r="T396" s="432"/>
      <c r="U396" s="432"/>
      <c r="V396" s="432"/>
      <c r="W396" s="432"/>
      <c r="X396" s="432"/>
      <c r="Y396" s="432"/>
      <c r="Z396" s="432"/>
      <c r="AA396" s="432"/>
      <c r="AB396" s="432"/>
      <c r="AC396" s="432"/>
      <c r="AD396" s="432"/>
      <c r="AE396" s="432"/>
      <c r="AF396" s="432"/>
      <c r="AG396" s="432"/>
      <c r="AH396" s="432"/>
      <c r="AI396" s="432"/>
      <c r="AJ396" s="432"/>
    </row>
    <row r="397" spans="2:36" s="20" customFormat="1" hidden="1" x14ac:dyDescent="0.35">
      <c r="B397" s="299" t="s">
        <v>757</v>
      </c>
      <c r="C397" s="386" t="e">
        <f>C187</f>
        <v>#DIV/0!</v>
      </c>
      <c r="D397" s="404" t="e">
        <f>C397/365</f>
        <v>#DIV/0!</v>
      </c>
      <c r="E397" s="387"/>
      <c r="F397" s="384"/>
      <c r="G397" s="384"/>
      <c r="H397" s="384"/>
      <c r="I397" s="432"/>
      <c r="J397" s="432"/>
      <c r="K397" s="432"/>
      <c r="L397" s="432"/>
      <c r="M397" s="432"/>
      <c r="N397" s="432"/>
      <c r="O397" s="432"/>
      <c r="P397" s="432"/>
      <c r="Q397" s="432"/>
      <c r="R397" s="432"/>
      <c r="S397" s="432"/>
      <c r="T397" s="432"/>
      <c r="U397" s="432"/>
      <c r="V397" s="432"/>
      <c r="W397" s="432"/>
      <c r="X397" s="432"/>
      <c r="Y397" s="432"/>
      <c r="Z397" s="432"/>
      <c r="AA397" s="432"/>
      <c r="AB397" s="432"/>
      <c r="AC397" s="432"/>
      <c r="AD397" s="432"/>
      <c r="AE397" s="432"/>
      <c r="AF397" s="432"/>
      <c r="AG397" s="432"/>
      <c r="AH397" s="432"/>
      <c r="AI397" s="432"/>
      <c r="AJ397" s="432"/>
    </row>
    <row r="398" spans="2:36" s="20" customFormat="1" hidden="1" x14ac:dyDescent="0.35">
      <c r="B398" s="299" t="s">
        <v>758</v>
      </c>
      <c r="C398" s="386" t="e">
        <f>C216</f>
        <v>#DIV/0!</v>
      </c>
      <c r="D398" s="404" t="e">
        <f>C398/365</f>
        <v>#DIV/0!</v>
      </c>
      <c r="E398" s="387"/>
      <c r="F398" s="384"/>
      <c r="G398" s="384"/>
      <c r="H398" s="384"/>
      <c r="I398" s="432"/>
      <c r="J398" s="432"/>
      <c r="K398" s="432"/>
      <c r="L398" s="432"/>
      <c r="M398" s="432"/>
      <c r="N398" s="432"/>
      <c r="O398" s="432"/>
      <c r="P398" s="432"/>
      <c r="Q398" s="432"/>
      <c r="R398" s="432"/>
      <c r="S398" s="432"/>
      <c r="T398" s="432"/>
      <c r="U398" s="432"/>
      <c r="V398" s="432"/>
      <c r="W398" s="432"/>
      <c r="X398" s="432"/>
      <c r="Y398" s="432"/>
      <c r="Z398" s="432"/>
      <c r="AA398" s="432"/>
      <c r="AB398" s="432"/>
      <c r="AC398" s="432"/>
      <c r="AD398" s="432"/>
      <c r="AE398" s="432"/>
      <c r="AF398" s="432"/>
      <c r="AG398" s="432"/>
      <c r="AH398" s="432"/>
      <c r="AI398" s="432"/>
      <c r="AJ398" s="432"/>
    </row>
    <row r="399" spans="2:36" s="20" customFormat="1" hidden="1" x14ac:dyDescent="0.35">
      <c r="B399" s="299" t="s">
        <v>759</v>
      </c>
      <c r="C399" s="300">
        <v>0</v>
      </c>
      <c r="D399" s="404">
        <f>C399/365</f>
        <v>0</v>
      </c>
      <c r="E399" s="387"/>
      <c r="F399" s="384"/>
      <c r="G399" s="384"/>
      <c r="H399" s="384"/>
      <c r="I399" s="432"/>
      <c r="J399" s="432"/>
      <c r="K399" s="432"/>
      <c r="L399" s="432"/>
      <c r="M399" s="432"/>
      <c r="N399" s="432"/>
      <c r="O399" s="432"/>
      <c r="P399" s="432"/>
      <c r="Q399" s="432"/>
      <c r="R399" s="432"/>
      <c r="S399" s="432"/>
      <c r="T399" s="432"/>
      <c r="U399" s="432"/>
      <c r="V399" s="432"/>
      <c r="W399" s="432"/>
      <c r="X399" s="432"/>
      <c r="Y399" s="432"/>
      <c r="Z399" s="432"/>
      <c r="AA399" s="432"/>
      <c r="AB399" s="432"/>
      <c r="AC399" s="432"/>
      <c r="AD399" s="432"/>
      <c r="AE399" s="432"/>
      <c r="AF399" s="432"/>
      <c r="AG399" s="432"/>
      <c r="AH399" s="432"/>
      <c r="AI399" s="432"/>
      <c r="AJ399" s="432"/>
    </row>
    <row r="400" spans="2:36" s="20" customFormat="1" hidden="1" x14ac:dyDescent="0.35">
      <c r="B400" s="299" t="s">
        <v>760</v>
      </c>
      <c r="C400" s="386" t="e">
        <f>SUM(C396:C399)</f>
        <v>#DIV/0!</v>
      </c>
      <c r="D400" s="404" t="e">
        <f>C400/365</f>
        <v>#DIV/0!</v>
      </c>
      <c r="E400" s="386"/>
      <c r="F400" s="407"/>
      <c r="G400" s="408"/>
      <c r="H400" s="384"/>
      <c r="I400" s="432"/>
      <c r="J400" s="432"/>
      <c r="K400" s="432"/>
      <c r="L400" s="432"/>
      <c r="M400" s="432"/>
      <c r="N400" s="432"/>
      <c r="O400" s="432"/>
      <c r="P400" s="432"/>
      <c r="Q400" s="432"/>
      <c r="R400" s="432"/>
      <c r="S400" s="432"/>
      <c r="T400" s="432"/>
      <c r="U400" s="432"/>
      <c r="V400" s="432"/>
      <c r="W400" s="432"/>
      <c r="X400" s="432"/>
      <c r="Y400" s="432"/>
      <c r="Z400" s="432"/>
      <c r="AA400" s="432"/>
      <c r="AB400" s="432"/>
      <c r="AC400" s="432"/>
      <c r="AD400" s="432"/>
      <c r="AE400" s="432"/>
      <c r="AF400" s="432"/>
      <c r="AG400" s="432"/>
      <c r="AH400" s="432"/>
      <c r="AI400" s="432"/>
      <c r="AJ400" s="432"/>
    </row>
    <row r="401" spans="2:36" s="20" customFormat="1" hidden="1" x14ac:dyDescent="0.35">
      <c r="B401" s="299"/>
      <c r="C401" s="300"/>
      <c r="E401" s="387"/>
      <c r="F401" s="387"/>
      <c r="G401" s="384"/>
      <c r="H401" s="384"/>
      <c r="I401" s="432"/>
      <c r="J401" s="432"/>
      <c r="K401" s="432"/>
      <c r="L401" s="432"/>
      <c r="M401" s="432"/>
      <c r="N401" s="432"/>
      <c r="O401" s="432"/>
      <c r="P401" s="432"/>
      <c r="Q401" s="432"/>
      <c r="R401" s="432"/>
      <c r="S401" s="432"/>
      <c r="T401" s="432"/>
      <c r="U401" s="432"/>
      <c r="V401" s="432"/>
      <c r="W401" s="432"/>
      <c r="X401" s="432"/>
      <c r="Y401" s="432"/>
      <c r="Z401" s="432"/>
      <c r="AA401" s="432"/>
      <c r="AB401" s="432"/>
      <c r="AC401" s="432"/>
      <c r="AD401" s="432"/>
      <c r="AE401" s="432"/>
      <c r="AF401" s="432"/>
      <c r="AG401" s="432"/>
      <c r="AH401" s="432"/>
      <c r="AI401" s="432"/>
      <c r="AJ401" s="432"/>
    </row>
    <row r="402" spans="2:36" s="20" customFormat="1" hidden="1" x14ac:dyDescent="0.35">
      <c r="B402" s="299" t="s">
        <v>455</v>
      </c>
      <c r="C402" s="300"/>
      <c r="E402" s="387"/>
      <c r="F402" s="387"/>
      <c r="G402" s="384"/>
      <c r="H402" s="384"/>
      <c r="I402" s="432"/>
      <c r="J402" s="432"/>
      <c r="K402" s="432"/>
      <c r="L402" s="432"/>
      <c r="M402" s="432"/>
      <c r="N402" s="432"/>
      <c r="O402" s="432"/>
      <c r="P402" s="432"/>
      <c r="Q402" s="432"/>
      <c r="R402" s="432"/>
      <c r="S402" s="432"/>
      <c r="T402" s="432"/>
      <c r="U402" s="432"/>
      <c r="V402" s="432"/>
      <c r="W402" s="432"/>
      <c r="X402" s="432"/>
      <c r="Y402" s="432"/>
      <c r="Z402" s="432"/>
      <c r="AA402" s="432"/>
      <c r="AB402" s="432"/>
      <c r="AC402" s="432"/>
      <c r="AD402" s="432"/>
      <c r="AE402" s="432"/>
      <c r="AF402" s="432"/>
      <c r="AG402" s="432"/>
      <c r="AH402" s="432"/>
      <c r="AI402" s="432"/>
      <c r="AJ402" s="432"/>
    </row>
    <row r="403" spans="2:36" s="20" customFormat="1" hidden="1" x14ac:dyDescent="0.35">
      <c r="B403" s="299" t="s">
        <v>756</v>
      </c>
      <c r="C403" s="386" t="e">
        <f>C138</f>
        <v>#DIV/0!</v>
      </c>
      <c r="D403" s="404" t="e">
        <f>C403/365</f>
        <v>#DIV/0!</v>
      </c>
      <c r="E403" s="387"/>
      <c r="F403" s="384"/>
      <c r="G403" s="384"/>
      <c r="H403" s="384"/>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432"/>
      <c r="AF403" s="432"/>
      <c r="AG403" s="432"/>
      <c r="AH403" s="432"/>
      <c r="AI403" s="432"/>
      <c r="AJ403" s="432"/>
    </row>
    <row r="404" spans="2:36" s="20" customFormat="1" hidden="1" x14ac:dyDescent="0.35">
      <c r="B404" s="299" t="s">
        <v>757</v>
      </c>
      <c r="C404" s="386" t="e">
        <f>C199</f>
        <v>#DIV/0!</v>
      </c>
      <c r="D404" s="404" t="e">
        <f>C404/365</f>
        <v>#DIV/0!</v>
      </c>
      <c r="E404" s="387"/>
      <c r="F404" s="384"/>
      <c r="G404" s="384"/>
      <c r="H404" s="384"/>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432"/>
      <c r="AF404" s="432"/>
      <c r="AG404" s="432"/>
      <c r="AH404" s="432"/>
      <c r="AI404" s="432"/>
      <c r="AJ404" s="432"/>
    </row>
    <row r="405" spans="2:36" s="20" customFormat="1" hidden="1" x14ac:dyDescent="0.35">
      <c r="B405" s="299" t="s">
        <v>758</v>
      </c>
      <c r="C405" s="386" t="e">
        <f>C390</f>
        <v>#DIV/0!</v>
      </c>
      <c r="D405" s="404" t="e">
        <f>C405/365</f>
        <v>#DIV/0!</v>
      </c>
      <c r="E405" s="387"/>
      <c r="F405" s="384"/>
      <c r="G405" s="384"/>
      <c r="H405" s="384"/>
      <c r="I405" s="432"/>
      <c r="J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432"/>
      <c r="AF405" s="432"/>
      <c r="AG405" s="432"/>
      <c r="AH405" s="432"/>
      <c r="AI405" s="432"/>
      <c r="AJ405" s="432"/>
    </row>
    <row r="406" spans="2:36" s="20" customFormat="1" hidden="1" x14ac:dyDescent="0.35">
      <c r="B406" s="299" t="s">
        <v>759</v>
      </c>
      <c r="C406" s="300">
        <v>0</v>
      </c>
      <c r="D406" s="404">
        <f>C406/365</f>
        <v>0</v>
      </c>
      <c r="E406" s="387"/>
      <c r="F406" s="384"/>
      <c r="G406" s="384"/>
      <c r="H406" s="384"/>
      <c r="I406" s="432"/>
      <c r="J406" s="432"/>
      <c r="K406" s="432"/>
      <c r="L406" s="432"/>
      <c r="M406" s="432"/>
      <c r="N406" s="432"/>
      <c r="O406" s="432"/>
      <c r="P406" s="432"/>
      <c r="Q406" s="432"/>
      <c r="R406" s="432"/>
      <c r="S406" s="432"/>
      <c r="T406" s="432"/>
      <c r="U406" s="432"/>
      <c r="V406" s="432"/>
      <c r="W406" s="432"/>
      <c r="X406" s="432"/>
      <c r="Y406" s="432"/>
      <c r="Z406" s="432"/>
      <c r="AA406" s="432"/>
      <c r="AB406" s="432"/>
      <c r="AC406" s="432"/>
      <c r="AD406" s="432"/>
      <c r="AE406" s="432"/>
      <c r="AF406" s="432"/>
      <c r="AG406" s="432"/>
      <c r="AH406" s="432"/>
      <c r="AI406" s="432"/>
      <c r="AJ406" s="432"/>
    </row>
    <row r="407" spans="2:36" s="20" customFormat="1" hidden="1" x14ac:dyDescent="0.35">
      <c r="B407" s="299" t="s">
        <v>760</v>
      </c>
      <c r="C407" s="386" t="e">
        <f>SUM(C403:C406)</f>
        <v>#DIV/0!</v>
      </c>
      <c r="D407" s="404" t="e">
        <f>C407/365</f>
        <v>#DIV/0!</v>
      </c>
      <c r="E407" s="387"/>
      <c r="F407" s="407"/>
      <c r="G407" s="384"/>
      <c r="H407" s="384"/>
      <c r="I407" s="432"/>
      <c r="J407" s="432"/>
      <c r="K407" s="432"/>
      <c r="L407" s="432"/>
      <c r="M407" s="432"/>
      <c r="N407" s="432"/>
      <c r="O407" s="432"/>
      <c r="P407" s="432"/>
      <c r="Q407" s="432"/>
      <c r="R407" s="432"/>
      <c r="S407" s="432"/>
      <c r="T407" s="432"/>
      <c r="U407" s="432"/>
      <c r="V407" s="432"/>
      <c r="W407" s="432"/>
      <c r="X407" s="432"/>
      <c r="Y407" s="432"/>
      <c r="Z407" s="432"/>
      <c r="AA407" s="432"/>
      <c r="AB407" s="432"/>
      <c r="AC407" s="432"/>
      <c r="AD407" s="432"/>
      <c r="AE407" s="432"/>
      <c r="AF407" s="432"/>
      <c r="AG407" s="432"/>
      <c r="AH407" s="432"/>
      <c r="AI407" s="432"/>
      <c r="AJ407" s="432"/>
    </row>
    <row r="408" spans="2:36" s="20" customFormat="1" hidden="1" x14ac:dyDescent="0.35">
      <c r="B408" s="299"/>
      <c r="C408" s="300"/>
      <c r="E408" s="387"/>
      <c r="F408" s="384"/>
      <c r="G408" s="384"/>
      <c r="H408" s="384"/>
      <c r="I408" s="432"/>
      <c r="J408" s="432"/>
      <c r="K408" s="432"/>
      <c r="L408" s="432"/>
      <c r="M408" s="432"/>
      <c r="N408" s="432"/>
      <c r="O408" s="432"/>
      <c r="P408" s="432"/>
      <c r="Q408" s="432"/>
      <c r="R408" s="432"/>
      <c r="S408" s="432"/>
      <c r="T408" s="432"/>
      <c r="U408" s="432"/>
      <c r="V408" s="432"/>
      <c r="W408" s="432"/>
      <c r="X408" s="432"/>
      <c r="Y408" s="432"/>
      <c r="Z408" s="432"/>
      <c r="AA408" s="432"/>
      <c r="AB408" s="432"/>
      <c r="AC408" s="432"/>
      <c r="AD408" s="432"/>
      <c r="AE408" s="432"/>
      <c r="AF408" s="432"/>
      <c r="AG408" s="432"/>
      <c r="AH408" s="432"/>
      <c r="AI408" s="432"/>
      <c r="AJ408" s="432"/>
    </row>
    <row r="409" spans="2:36" s="20" customFormat="1" hidden="1" x14ac:dyDescent="0.35">
      <c r="B409" s="299" t="s">
        <v>761</v>
      </c>
      <c r="C409" s="300"/>
      <c r="E409" s="387"/>
      <c r="F409" s="384"/>
      <c r="G409" s="384"/>
      <c r="H409" s="384"/>
      <c r="I409" s="432"/>
      <c r="J409" s="432"/>
      <c r="K409" s="432"/>
      <c r="L409" s="432"/>
      <c r="M409" s="432"/>
      <c r="N409" s="432"/>
      <c r="O409" s="432"/>
      <c r="P409" s="432"/>
      <c r="Q409" s="432"/>
      <c r="R409" s="432"/>
      <c r="S409" s="432"/>
      <c r="T409" s="432"/>
      <c r="U409" s="432"/>
      <c r="V409" s="432"/>
      <c r="W409" s="432"/>
      <c r="X409" s="432"/>
      <c r="Y409" s="432"/>
      <c r="Z409" s="432"/>
      <c r="AA409" s="432"/>
      <c r="AB409" s="432"/>
      <c r="AC409" s="432"/>
      <c r="AD409" s="432"/>
      <c r="AE409" s="432"/>
      <c r="AF409" s="432"/>
      <c r="AG409" s="432"/>
      <c r="AH409" s="432"/>
      <c r="AI409" s="432"/>
      <c r="AJ409" s="432"/>
    </row>
    <row r="410" spans="2:36" s="20" customFormat="1" hidden="1" x14ac:dyDescent="0.35">
      <c r="B410" s="299" t="s">
        <v>756</v>
      </c>
      <c r="C410" s="386" t="e">
        <f>C396-C403</f>
        <v>#DIV/0!</v>
      </c>
      <c r="D410" s="404" t="e">
        <f>C410/365</f>
        <v>#DIV/0!</v>
      </c>
      <c r="E410" s="387"/>
      <c r="F410" s="384"/>
      <c r="G410" s="384"/>
      <c r="H410" s="384"/>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432"/>
      <c r="AF410" s="432"/>
      <c r="AG410" s="432"/>
      <c r="AH410" s="432"/>
      <c r="AI410" s="432"/>
      <c r="AJ410" s="432"/>
    </row>
    <row r="411" spans="2:36" s="20" customFormat="1" hidden="1" x14ac:dyDescent="0.35">
      <c r="B411" s="299" t="s">
        <v>757</v>
      </c>
      <c r="C411" s="386" t="e">
        <f>C397-C404</f>
        <v>#DIV/0!</v>
      </c>
      <c r="D411" s="404" t="e">
        <f>C411/365</f>
        <v>#DIV/0!</v>
      </c>
      <c r="E411" s="387"/>
      <c r="F411" s="384"/>
      <c r="G411" s="384"/>
      <c r="H411" s="384"/>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432"/>
      <c r="AF411" s="432"/>
      <c r="AG411" s="432"/>
      <c r="AH411" s="432"/>
      <c r="AI411" s="432"/>
      <c r="AJ411" s="432"/>
    </row>
    <row r="412" spans="2:36" s="20" customFormat="1" hidden="1" x14ac:dyDescent="0.35">
      <c r="B412" s="299" t="s">
        <v>758</v>
      </c>
      <c r="C412" s="386" t="e">
        <f>(C398-C405)</f>
        <v>#DIV/0!</v>
      </c>
      <c r="D412" s="404" t="e">
        <f>C412/365</f>
        <v>#DIV/0!</v>
      </c>
      <c r="E412" s="387"/>
      <c r="F412" s="384"/>
      <c r="G412" s="384"/>
      <c r="H412" s="384"/>
      <c r="I412" s="432"/>
      <c r="J412" s="432"/>
      <c r="K412" s="432"/>
      <c r="L412" s="432"/>
      <c r="M412" s="432"/>
      <c r="N412" s="432"/>
      <c r="O412" s="432"/>
      <c r="P412" s="432"/>
      <c r="Q412" s="432"/>
      <c r="R412" s="432"/>
      <c r="S412" s="432"/>
      <c r="T412" s="432"/>
      <c r="U412" s="432"/>
      <c r="V412" s="432"/>
      <c r="W412" s="432"/>
      <c r="X412" s="432"/>
      <c r="Y412" s="432"/>
      <c r="Z412" s="432"/>
      <c r="AA412" s="432"/>
      <c r="AB412" s="432"/>
      <c r="AC412" s="432"/>
      <c r="AD412" s="432"/>
      <c r="AE412" s="432"/>
      <c r="AF412" s="432"/>
      <c r="AG412" s="432"/>
      <c r="AH412" s="432"/>
      <c r="AI412" s="432"/>
      <c r="AJ412" s="432"/>
    </row>
    <row r="413" spans="2:36" s="20" customFormat="1" hidden="1" x14ac:dyDescent="0.35">
      <c r="B413" s="299" t="s">
        <v>759</v>
      </c>
      <c r="C413" s="386">
        <f>C399-C406</f>
        <v>0</v>
      </c>
      <c r="D413" s="404">
        <f>C413/365</f>
        <v>0</v>
      </c>
      <c r="E413" s="387"/>
      <c r="F413" s="384"/>
      <c r="G413" s="384"/>
      <c r="H413" s="384"/>
      <c r="I413" s="432"/>
      <c r="J413" s="432"/>
      <c r="K413" s="432"/>
      <c r="L413" s="432"/>
      <c r="M413" s="432"/>
      <c r="N413" s="432"/>
      <c r="O413" s="432"/>
      <c r="P413" s="432"/>
      <c r="Q413" s="432"/>
      <c r="R413" s="432"/>
      <c r="S413" s="432"/>
      <c r="T413" s="432"/>
      <c r="U413" s="432"/>
      <c r="V413" s="432"/>
      <c r="W413" s="432"/>
      <c r="X413" s="432"/>
      <c r="Y413" s="432"/>
      <c r="Z413" s="432"/>
      <c r="AA413" s="432"/>
      <c r="AB413" s="432"/>
      <c r="AC413" s="432"/>
      <c r="AD413" s="432"/>
      <c r="AE413" s="432"/>
      <c r="AF413" s="432"/>
      <c r="AG413" s="432"/>
      <c r="AH413" s="432"/>
      <c r="AI413" s="432"/>
      <c r="AJ413" s="432"/>
    </row>
    <row r="414" spans="2:36" s="20" customFormat="1" hidden="1" x14ac:dyDescent="0.35">
      <c r="B414" s="299" t="s">
        <v>760</v>
      </c>
      <c r="C414" s="973" t="e">
        <f>C410+(IF(C411&gt;0,0,C411)+IF(C412&gt;0,0,C412)+IF(C413&gt;0,0,C413))</f>
        <v>#DIV/0!</v>
      </c>
      <c r="D414" s="404" t="e">
        <f>C414/365</f>
        <v>#DIV/0!</v>
      </c>
      <c r="E414" s="387"/>
      <c r="F414" s="384"/>
      <c r="G414" s="384"/>
      <c r="H414" s="384"/>
      <c r="I414" s="432"/>
      <c r="J414" s="432"/>
      <c r="K414" s="432"/>
      <c r="L414" s="432"/>
      <c r="M414" s="432"/>
      <c r="N414" s="432"/>
      <c r="O414" s="432"/>
      <c r="P414" s="432"/>
      <c r="Q414" s="432"/>
      <c r="R414" s="432"/>
      <c r="S414" s="432"/>
      <c r="T414" s="432"/>
      <c r="U414" s="432"/>
      <c r="V414" s="432"/>
      <c r="W414" s="432"/>
      <c r="X414" s="432"/>
      <c r="Y414" s="432"/>
      <c r="Z414" s="432"/>
      <c r="AA414" s="432"/>
      <c r="AB414" s="432"/>
      <c r="AC414" s="432"/>
      <c r="AD414" s="432"/>
      <c r="AE414" s="432"/>
      <c r="AF414" s="432"/>
      <c r="AG414" s="432"/>
      <c r="AH414" s="432"/>
      <c r="AI414" s="432"/>
      <c r="AJ414" s="432"/>
    </row>
    <row r="415" spans="2:36" s="20" customFormat="1" hidden="1" x14ac:dyDescent="0.35">
      <c r="B415" s="384"/>
      <c r="C415" s="385"/>
      <c r="D415" s="20" t="s">
        <v>768</v>
      </c>
      <c r="E415" s="387"/>
      <c r="F415" s="384"/>
      <c r="G415" s="384"/>
      <c r="H415" s="384"/>
      <c r="I415" s="432"/>
      <c r="J415" s="432"/>
      <c r="K415" s="432"/>
      <c r="L415" s="432"/>
      <c r="M415" s="432"/>
      <c r="N415" s="432"/>
      <c r="O415" s="432"/>
      <c r="P415" s="432"/>
      <c r="Q415" s="432"/>
      <c r="R415" s="432"/>
      <c r="S415" s="432"/>
      <c r="T415" s="432"/>
      <c r="U415" s="432"/>
      <c r="V415" s="432"/>
      <c r="W415" s="432"/>
      <c r="X415" s="432"/>
      <c r="Y415" s="432"/>
      <c r="Z415" s="432"/>
      <c r="AA415" s="432"/>
      <c r="AB415" s="432"/>
      <c r="AC415" s="432"/>
      <c r="AD415" s="432"/>
      <c r="AE415" s="432"/>
      <c r="AF415" s="432"/>
      <c r="AG415" s="432"/>
      <c r="AH415" s="432"/>
      <c r="AI415" s="432"/>
      <c r="AJ415" s="432"/>
    </row>
    <row r="416" spans="2:36" s="20" customFormat="1" hidden="1" x14ac:dyDescent="0.35">
      <c r="B416" s="384" t="s">
        <v>1360</v>
      </c>
      <c r="C416" s="388" t="e">
        <f>IF(C410&gt;0,C410,0)</f>
        <v>#DIV/0!</v>
      </c>
      <c r="D416" s="404" t="e">
        <f>(C416/365)*$C$43</f>
        <v>#DIV/0!</v>
      </c>
      <c r="E416" s="387"/>
      <c r="F416" s="384"/>
      <c r="G416" s="384"/>
      <c r="H416" s="384"/>
      <c r="I416" s="432"/>
      <c r="J416" s="432"/>
      <c r="K416" s="432"/>
      <c r="L416" s="432"/>
      <c r="M416" s="432"/>
      <c r="N416" s="432"/>
      <c r="O416" s="432"/>
      <c r="P416" s="432"/>
      <c r="Q416" s="432"/>
      <c r="R416" s="432"/>
      <c r="S416" s="432"/>
      <c r="T416" s="432"/>
      <c r="U416" s="432"/>
      <c r="V416" s="432"/>
      <c r="W416" s="432"/>
      <c r="X416" s="432"/>
      <c r="Y416" s="432"/>
      <c r="Z416" s="432"/>
      <c r="AA416" s="432"/>
      <c r="AB416" s="432"/>
      <c r="AC416" s="432"/>
      <c r="AD416" s="432"/>
      <c r="AE416" s="432"/>
      <c r="AF416" s="432"/>
      <c r="AG416" s="432"/>
      <c r="AH416" s="432"/>
      <c r="AI416" s="432"/>
      <c r="AJ416" s="432"/>
    </row>
    <row r="417" spans="2:36" s="20" customFormat="1" hidden="1" x14ac:dyDescent="0.35">
      <c r="B417" s="384" t="s">
        <v>1361</v>
      </c>
      <c r="C417" s="388" t="e">
        <f>IF(C411&gt;0,0,C411)</f>
        <v>#DIV/0!</v>
      </c>
      <c r="D417" s="404" t="e">
        <f>(C417/365)*$C$43</f>
        <v>#DIV/0!</v>
      </c>
      <c r="E417" s="387"/>
      <c r="F417" s="384"/>
      <c r="G417" s="384"/>
      <c r="H417" s="384"/>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432"/>
      <c r="AF417" s="432"/>
      <c r="AG417" s="432"/>
      <c r="AH417" s="432"/>
      <c r="AI417" s="432"/>
      <c r="AJ417" s="432"/>
    </row>
    <row r="418" spans="2:36" s="20" customFormat="1" hidden="1" x14ac:dyDescent="0.35">
      <c r="B418" s="384" t="s">
        <v>1362</v>
      </c>
      <c r="C418" s="388" t="e">
        <f>IF(C412&gt;0,0,C412)</f>
        <v>#DIV/0!</v>
      </c>
      <c r="D418" s="404" t="e">
        <f>(C418/365)*$C$43</f>
        <v>#DIV/0!</v>
      </c>
      <c r="E418" s="387"/>
      <c r="F418" s="384"/>
      <c r="G418" s="384"/>
      <c r="H418" s="384"/>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432"/>
      <c r="AF418" s="432"/>
      <c r="AG418" s="432"/>
      <c r="AH418" s="432"/>
      <c r="AI418" s="432"/>
      <c r="AJ418" s="432"/>
    </row>
    <row r="419" spans="2:36" s="20" customFormat="1" hidden="1" x14ac:dyDescent="0.35">
      <c r="B419" s="384" t="s">
        <v>1379</v>
      </c>
      <c r="C419" s="388">
        <f>IF(C413&gt;0,0,C413)</f>
        <v>0</v>
      </c>
      <c r="D419" s="404">
        <f>(C419/365)*$C$43</f>
        <v>0</v>
      </c>
      <c r="E419" s="387"/>
      <c r="F419" s="384"/>
      <c r="G419" s="384"/>
      <c r="H419" s="384"/>
      <c r="I419" s="432"/>
      <c r="J419" s="432"/>
      <c r="K419" s="432"/>
      <c r="L419" s="432"/>
      <c r="M419" s="432"/>
      <c r="N419" s="432"/>
      <c r="O419" s="432"/>
      <c r="P419" s="432"/>
      <c r="Q419" s="432"/>
      <c r="R419" s="432"/>
      <c r="S419" s="432"/>
      <c r="T419" s="432"/>
      <c r="U419" s="432"/>
      <c r="V419" s="432"/>
      <c r="W419" s="432"/>
      <c r="X419" s="432"/>
      <c r="Y419" s="432"/>
      <c r="Z419" s="432"/>
      <c r="AA419" s="432"/>
      <c r="AB419" s="432"/>
      <c r="AC419" s="432"/>
      <c r="AD419" s="432"/>
      <c r="AE419" s="432"/>
      <c r="AF419" s="432"/>
      <c r="AG419" s="432"/>
      <c r="AH419" s="432"/>
      <c r="AI419" s="432"/>
      <c r="AJ419" s="432"/>
    </row>
    <row r="420" spans="2:36" s="20" customFormat="1" hidden="1" x14ac:dyDescent="0.35">
      <c r="B420" s="384"/>
      <c r="C420" s="385"/>
      <c r="D420" s="404"/>
      <c r="E420" s="387"/>
      <c r="F420" s="384"/>
      <c r="G420" s="384"/>
      <c r="H420" s="384"/>
      <c r="I420" s="432"/>
      <c r="J420" s="432"/>
      <c r="K420" s="432"/>
      <c r="L420" s="432"/>
      <c r="M420" s="432"/>
      <c r="N420" s="432"/>
      <c r="O420" s="432"/>
      <c r="P420" s="432"/>
      <c r="Q420" s="432"/>
      <c r="R420" s="432"/>
      <c r="S420" s="432"/>
      <c r="T420" s="432"/>
      <c r="U420" s="432"/>
      <c r="V420" s="432"/>
      <c r="W420" s="432"/>
      <c r="X420" s="432"/>
      <c r="Y420" s="432"/>
      <c r="Z420" s="432"/>
      <c r="AA420" s="432"/>
      <c r="AB420" s="432"/>
      <c r="AC420" s="432"/>
      <c r="AD420" s="432"/>
      <c r="AE420" s="432"/>
      <c r="AF420" s="432"/>
      <c r="AG420" s="432"/>
      <c r="AH420" s="432"/>
      <c r="AI420" s="432"/>
      <c r="AJ420" s="432"/>
    </row>
    <row r="421" spans="2:36" s="20" customFormat="1" hidden="1" x14ac:dyDescent="0.35">
      <c r="B421" s="384" t="s">
        <v>1363</v>
      </c>
      <c r="C421" s="963" t="e">
        <f>SUM(C416:C419)</f>
        <v>#DIV/0!</v>
      </c>
      <c r="D421" s="963" t="e">
        <f>SUM(D416:D419)</f>
        <v>#DIV/0!</v>
      </c>
      <c r="E421" s="387"/>
      <c r="F421" s="384"/>
      <c r="G421" s="384"/>
      <c r="H421" s="384"/>
      <c r="I421" s="432"/>
      <c r="J421" s="432"/>
      <c r="K421" s="432"/>
      <c r="L421" s="432"/>
      <c r="M421" s="432"/>
      <c r="N421" s="432"/>
      <c r="O421" s="432"/>
      <c r="P421" s="432"/>
      <c r="Q421" s="432"/>
      <c r="R421" s="432"/>
      <c r="S421" s="432"/>
      <c r="T421" s="432"/>
      <c r="U421" s="432"/>
      <c r="V421" s="432"/>
      <c r="W421" s="432"/>
      <c r="X421" s="432"/>
      <c r="Y421" s="432"/>
      <c r="Z421" s="432"/>
      <c r="AA421" s="432"/>
      <c r="AB421" s="432"/>
      <c r="AC421" s="432"/>
      <c r="AD421" s="432"/>
      <c r="AE421" s="432"/>
      <c r="AF421" s="432"/>
      <c r="AG421" s="432"/>
      <c r="AH421" s="432"/>
      <c r="AI421" s="432"/>
      <c r="AJ421" s="432"/>
    </row>
    <row r="422" spans="2:36" s="20" customFormat="1" hidden="1" x14ac:dyDescent="0.35">
      <c r="B422" s="384"/>
      <c r="C422" s="385"/>
      <c r="D422" s="387"/>
      <c r="E422" s="387"/>
      <c r="F422" s="384"/>
      <c r="G422" s="384"/>
      <c r="H422" s="384"/>
      <c r="I422" s="432"/>
      <c r="J422" s="432"/>
      <c r="K422" s="432"/>
      <c r="L422" s="432"/>
      <c r="M422" s="432"/>
      <c r="N422" s="432"/>
      <c r="O422" s="432"/>
      <c r="P422" s="432"/>
      <c r="Q422" s="432"/>
      <c r="R422" s="432"/>
      <c r="S422" s="432"/>
      <c r="T422" s="432"/>
      <c r="U422" s="432"/>
      <c r="V422" s="432"/>
      <c r="W422" s="432"/>
      <c r="X422" s="432"/>
      <c r="Y422" s="432"/>
      <c r="Z422" s="432"/>
      <c r="AA422" s="432"/>
      <c r="AB422" s="432"/>
      <c r="AC422" s="432"/>
      <c r="AD422" s="432"/>
      <c r="AE422" s="432"/>
      <c r="AF422" s="432"/>
      <c r="AG422" s="432"/>
      <c r="AH422" s="432"/>
      <c r="AI422" s="432"/>
      <c r="AJ422" s="432"/>
    </row>
    <row r="423" spans="2:36" s="20" customFormat="1" hidden="1" x14ac:dyDescent="0.35">
      <c r="B423" s="384"/>
      <c r="C423" s="385"/>
      <c r="D423" s="389"/>
      <c r="E423" s="387"/>
      <c r="F423" s="384"/>
      <c r="G423" s="384"/>
      <c r="H423" s="384"/>
      <c r="I423" s="432"/>
      <c r="J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432"/>
      <c r="AF423" s="432"/>
      <c r="AG423" s="432"/>
      <c r="AH423" s="432"/>
      <c r="AI423" s="432"/>
      <c r="AJ423" s="432"/>
    </row>
    <row r="424" spans="2:36" s="20" customFormat="1" hidden="1" x14ac:dyDescent="0.35">
      <c r="B424" s="384"/>
      <c r="C424" s="390"/>
      <c r="D424" s="391"/>
      <c r="E424" s="387"/>
      <c r="F424" s="384"/>
      <c r="G424" s="384"/>
      <c r="H424" s="384"/>
      <c r="I424" s="432"/>
      <c r="J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432"/>
      <c r="AF424" s="432"/>
      <c r="AG424" s="432"/>
      <c r="AH424" s="432"/>
      <c r="AI424" s="432"/>
      <c r="AJ424" s="432"/>
    </row>
    <row r="425" spans="2:36" s="20" customFormat="1" hidden="1" x14ac:dyDescent="0.35">
      <c r="B425" s="384"/>
      <c r="C425" s="385"/>
      <c r="D425" s="385"/>
      <c r="E425" s="387"/>
      <c r="F425" s="384"/>
      <c r="G425" s="384"/>
      <c r="H425" s="384"/>
      <c r="I425" s="432"/>
      <c r="J425" s="432"/>
      <c r="K425" s="432"/>
      <c r="L425" s="432"/>
      <c r="M425" s="432"/>
      <c r="N425" s="432"/>
      <c r="O425" s="432"/>
      <c r="P425" s="432"/>
      <c r="Q425" s="432"/>
      <c r="R425" s="432"/>
      <c r="S425" s="432"/>
      <c r="T425" s="432"/>
      <c r="U425" s="432"/>
      <c r="V425" s="432"/>
      <c r="W425" s="432"/>
      <c r="X425" s="432"/>
      <c r="Y425" s="432"/>
      <c r="Z425" s="432"/>
      <c r="AA425" s="432"/>
      <c r="AB425" s="432"/>
      <c r="AC425" s="432"/>
      <c r="AD425" s="432"/>
      <c r="AE425" s="432"/>
      <c r="AF425" s="432"/>
      <c r="AG425" s="432"/>
      <c r="AH425" s="432"/>
      <c r="AI425" s="432"/>
      <c r="AJ425" s="432"/>
    </row>
    <row r="426" spans="2:36" s="20" customFormat="1" hidden="1" x14ac:dyDescent="0.35">
      <c r="B426" s="384"/>
      <c r="C426" s="385"/>
      <c r="D426" s="385"/>
      <c r="E426" s="387"/>
      <c r="F426" s="384"/>
      <c r="G426" s="384"/>
      <c r="H426" s="384"/>
      <c r="I426" s="432"/>
      <c r="J426" s="432"/>
      <c r="K426" s="432"/>
      <c r="L426" s="432"/>
      <c r="M426" s="432"/>
      <c r="N426" s="432"/>
      <c r="O426" s="432"/>
      <c r="P426" s="432"/>
      <c r="Q426" s="432"/>
      <c r="R426" s="432"/>
      <c r="S426" s="432"/>
      <c r="T426" s="432"/>
      <c r="U426" s="432"/>
      <c r="V426" s="432"/>
      <c r="W426" s="432"/>
      <c r="X426" s="432"/>
      <c r="Y426" s="432"/>
      <c r="Z426" s="432"/>
      <c r="AA426" s="432"/>
      <c r="AB426" s="432"/>
      <c r="AC426" s="432"/>
      <c r="AD426" s="432"/>
      <c r="AE426" s="432"/>
      <c r="AF426" s="432"/>
      <c r="AG426" s="432"/>
      <c r="AH426" s="432"/>
      <c r="AI426" s="432"/>
      <c r="AJ426" s="432"/>
    </row>
    <row r="427" spans="2:36" s="20" customFormat="1" hidden="1" x14ac:dyDescent="0.35">
      <c r="B427" s="384"/>
      <c r="C427" s="385"/>
      <c r="D427" s="385"/>
      <c r="E427" s="387"/>
      <c r="F427" s="384"/>
      <c r="G427" s="384"/>
      <c r="H427" s="384"/>
      <c r="I427" s="432"/>
      <c r="J427" s="432"/>
      <c r="K427" s="432"/>
      <c r="L427" s="432"/>
      <c r="M427" s="432"/>
      <c r="N427" s="432"/>
      <c r="O427" s="432"/>
      <c r="P427" s="432"/>
      <c r="Q427" s="432"/>
      <c r="R427" s="432"/>
      <c r="S427" s="432"/>
      <c r="T427" s="432"/>
      <c r="U427" s="432"/>
      <c r="V427" s="432"/>
      <c r="W427" s="432"/>
      <c r="X427" s="432"/>
      <c r="Y427" s="432"/>
      <c r="Z427" s="432"/>
      <c r="AA427" s="432"/>
      <c r="AB427" s="432"/>
      <c r="AC427" s="432"/>
      <c r="AD427" s="432"/>
      <c r="AE427" s="432"/>
      <c r="AF427" s="432"/>
      <c r="AG427" s="432"/>
      <c r="AH427" s="432"/>
      <c r="AI427" s="432"/>
      <c r="AJ427" s="432"/>
    </row>
    <row r="428" spans="2:36" s="20" customFormat="1" hidden="1" x14ac:dyDescent="0.35">
      <c r="B428" s="384"/>
      <c r="C428" s="385"/>
      <c r="D428" s="385"/>
      <c r="E428" s="384"/>
      <c r="F428" s="384"/>
      <c r="G428" s="384"/>
      <c r="H428" s="384"/>
      <c r="I428" s="432"/>
      <c r="J428" s="432"/>
      <c r="K428" s="432"/>
      <c r="L428" s="432"/>
      <c r="M428" s="432"/>
      <c r="N428" s="432"/>
      <c r="O428" s="432"/>
      <c r="P428" s="432"/>
      <c r="Q428" s="432"/>
      <c r="R428" s="432"/>
      <c r="S428" s="432"/>
      <c r="T428" s="432"/>
      <c r="U428" s="432"/>
      <c r="V428" s="432"/>
      <c r="W428" s="432"/>
      <c r="X428" s="432"/>
      <c r="Y428" s="432"/>
      <c r="Z428" s="432"/>
      <c r="AA428" s="432"/>
      <c r="AB428" s="432"/>
      <c r="AC428" s="432"/>
      <c r="AD428" s="432"/>
      <c r="AE428" s="432"/>
      <c r="AF428" s="432"/>
      <c r="AG428" s="432"/>
      <c r="AH428" s="432"/>
      <c r="AI428" s="432"/>
      <c r="AJ428" s="432"/>
    </row>
    <row r="429" spans="2:36" s="20" customFormat="1" hidden="1" x14ac:dyDescent="0.35">
      <c r="B429" s="384"/>
      <c r="C429" s="385"/>
      <c r="D429" s="385"/>
      <c r="E429" s="132"/>
      <c r="F429" s="384"/>
      <c r="G429" s="384"/>
      <c r="H429" s="384"/>
      <c r="I429" s="432"/>
      <c r="J429" s="432"/>
      <c r="K429" s="432"/>
      <c r="L429" s="432"/>
      <c r="M429" s="432"/>
      <c r="N429" s="432"/>
      <c r="O429" s="432"/>
      <c r="P429" s="432"/>
      <c r="Q429" s="432"/>
      <c r="R429" s="432"/>
      <c r="S429" s="432"/>
      <c r="T429" s="432"/>
      <c r="U429" s="432"/>
      <c r="V429" s="432"/>
      <c r="W429" s="432"/>
      <c r="X429" s="432"/>
      <c r="Y429" s="432"/>
      <c r="Z429" s="432"/>
      <c r="AA429" s="432"/>
      <c r="AB429" s="432"/>
      <c r="AC429" s="432"/>
      <c r="AD429" s="432"/>
      <c r="AE429" s="432"/>
      <c r="AF429" s="432"/>
      <c r="AG429" s="432"/>
      <c r="AH429" s="432"/>
      <c r="AI429" s="432"/>
      <c r="AJ429" s="432"/>
    </row>
    <row r="430" spans="2:36" s="20" customFormat="1" hidden="1" x14ac:dyDescent="0.35">
      <c r="B430" s="384"/>
      <c r="C430" s="385"/>
      <c r="D430" s="392"/>
      <c r="E430" s="384"/>
      <c r="F430" s="384"/>
      <c r="G430" s="384"/>
      <c r="H430" s="384"/>
      <c r="I430" s="432"/>
      <c r="J430" s="432"/>
      <c r="K430" s="432"/>
      <c r="L430" s="432"/>
      <c r="M430" s="432"/>
      <c r="N430" s="432"/>
      <c r="O430" s="432"/>
      <c r="P430" s="432"/>
      <c r="Q430" s="432"/>
      <c r="R430" s="432"/>
      <c r="S430" s="432"/>
      <c r="T430" s="432"/>
      <c r="U430" s="432"/>
      <c r="V430" s="432"/>
      <c r="W430" s="432"/>
      <c r="X430" s="432"/>
      <c r="Y430" s="432"/>
      <c r="Z430" s="432"/>
      <c r="AA430" s="432"/>
      <c r="AB430" s="432"/>
      <c r="AC430" s="432"/>
      <c r="AD430" s="432"/>
      <c r="AE430" s="432"/>
      <c r="AF430" s="432"/>
      <c r="AG430" s="432"/>
      <c r="AH430" s="432"/>
      <c r="AI430" s="432"/>
      <c r="AJ430" s="432"/>
    </row>
    <row r="431" spans="2:36" s="20" customFormat="1" hidden="1" x14ac:dyDescent="0.35">
      <c r="B431" s="384"/>
      <c r="C431" s="388"/>
      <c r="D431" s="392"/>
      <c r="E431" s="384"/>
      <c r="F431" s="384"/>
      <c r="G431" s="384"/>
      <c r="H431" s="384"/>
      <c r="I431" s="432"/>
      <c r="J431" s="432"/>
      <c r="K431" s="432"/>
      <c r="L431" s="432"/>
      <c r="M431" s="432"/>
      <c r="N431" s="432"/>
      <c r="O431" s="432"/>
      <c r="P431" s="432"/>
      <c r="Q431" s="432"/>
      <c r="R431" s="432"/>
      <c r="S431" s="432"/>
      <c r="T431" s="432"/>
      <c r="U431" s="432"/>
      <c r="V431" s="432"/>
      <c r="W431" s="432"/>
      <c r="X431" s="432"/>
      <c r="Y431" s="432"/>
      <c r="Z431" s="432"/>
      <c r="AA431" s="432"/>
      <c r="AB431" s="432"/>
      <c r="AC431" s="432"/>
      <c r="AD431" s="432"/>
      <c r="AE431" s="432"/>
      <c r="AF431" s="432"/>
      <c r="AG431" s="432"/>
      <c r="AH431" s="432"/>
      <c r="AI431" s="432"/>
      <c r="AJ431" s="432"/>
    </row>
    <row r="432" spans="2:36" s="20" customFormat="1" hidden="1" x14ac:dyDescent="0.35">
      <c r="C432" s="170"/>
      <c r="I432" s="432"/>
      <c r="J432" s="432"/>
      <c r="K432" s="432"/>
      <c r="L432" s="432"/>
      <c r="M432" s="432"/>
      <c r="N432" s="432"/>
      <c r="O432" s="432"/>
      <c r="P432" s="432"/>
      <c r="Q432" s="432"/>
      <c r="R432" s="432"/>
      <c r="S432" s="432"/>
      <c r="T432" s="432"/>
      <c r="U432" s="432"/>
      <c r="V432" s="432"/>
      <c r="W432" s="432"/>
      <c r="X432" s="432"/>
      <c r="Y432" s="432"/>
      <c r="Z432" s="432"/>
      <c r="AA432" s="432"/>
      <c r="AB432" s="432"/>
      <c r="AC432" s="432"/>
      <c r="AD432" s="432"/>
      <c r="AE432" s="432"/>
      <c r="AF432" s="432"/>
      <c r="AG432" s="432"/>
      <c r="AH432" s="432"/>
      <c r="AI432" s="432"/>
      <c r="AJ432" s="432"/>
    </row>
    <row r="433" spans="3:36" s="20" customFormat="1" hidden="1" x14ac:dyDescent="0.35">
      <c r="C433" s="170"/>
      <c r="I433" s="432"/>
      <c r="J433" s="432"/>
      <c r="K433" s="432"/>
      <c r="L433" s="432"/>
      <c r="M433" s="432"/>
      <c r="N433" s="432"/>
      <c r="O433" s="432"/>
      <c r="P433" s="432"/>
      <c r="Q433" s="432"/>
      <c r="R433" s="432"/>
      <c r="S433" s="432"/>
      <c r="T433" s="432"/>
      <c r="U433" s="432"/>
      <c r="V433" s="432"/>
      <c r="W433" s="432"/>
      <c r="X433" s="432"/>
      <c r="Y433" s="432"/>
      <c r="Z433" s="432"/>
      <c r="AA433" s="432"/>
      <c r="AB433" s="432"/>
      <c r="AC433" s="432"/>
      <c r="AD433" s="432"/>
      <c r="AE433" s="432"/>
      <c r="AF433" s="432"/>
      <c r="AG433" s="432"/>
      <c r="AH433" s="432"/>
      <c r="AI433" s="432"/>
      <c r="AJ433" s="432"/>
    </row>
    <row r="434" spans="3:36" s="20" customFormat="1" hidden="1" x14ac:dyDescent="0.35">
      <c r="C434" s="170"/>
      <c r="I434" s="432"/>
      <c r="J434" s="432"/>
      <c r="K434" s="432"/>
      <c r="L434" s="432"/>
      <c r="M434" s="432"/>
      <c r="N434" s="432"/>
      <c r="O434" s="432"/>
      <c r="P434" s="432"/>
      <c r="Q434" s="432"/>
      <c r="R434" s="432"/>
      <c r="S434" s="432"/>
      <c r="T434" s="432"/>
      <c r="U434" s="432"/>
      <c r="V434" s="432"/>
      <c r="W434" s="432"/>
      <c r="X434" s="432"/>
      <c r="Y434" s="432"/>
      <c r="Z434" s="432"/>
      <c r="AA434" s="432"/>
      <c r="AB434" s="432"/>
      <c r="AC434" s="432"/>
      <c r="AD434" s="432"/>
      <c r="AE434" s="432"/>
      <c r="AF434" s="432"/>
      <c r="AG434" s="432"/>
      <c r="AH434" s="432"/>
      <c r="AI434" s="432"/>
      <c r="AJ434" s="432"/>
    </row>
    <row r="435" spans="3:36" s="20" customFormat="1" hidden="1" x14ac:dyDescent="0.35">
      <c r="C435" s="170"/>
      <c r="I435" s="432"/>
      <c r="J435" s="432"/>
      <c r="K435" s="432"/>
      <c r="L435" s="432"/>
      <c r="M435" s="432"/>
      <c r="N435" s="432"/>
      <c r="O435" s="432"/>
      <c r="P435" s="432"/>
      <c r="Q435" s="432"/>
      <c r="R435" s="432"/>
      <c r="S435" s="432"/>
      <c r="T435" s="432"/>
      <c r="U435" s="432"/>
      <c r="V435" s="432"/>
      <c r="W435" s="432"/>
      <c r="X435" s="432"/>
      <c r="Y435" s="432"/>
      <c r="Z435" s="432"/>
      <c r="AA435" s="432"/>
      <c r="AB435" s="432"/>
      <c r="AC435" s="432"/>
      <c r="AD435" s="432"/>
      <c r="AE435" s="432"/>
      <c r="AF435" s="432"/>
      <c r="AG435" s="432"/>
      <c r="AH435" s="432"/>
      <c r="AI435" s="432"/>
      <c r="AJ435" s="432"/>
    </row>
    <row r="436" spans="3:36" s="20" customFormat="1" hidden="1" x14ac:dyDescent="0.35">
      <c r="I436" s="432"/>
      <c r="J436" s="432"/>
      <c r="K436" s="432"/>
      <c r="L436" s="432"/>
      <c r="M436" s="432"/>
      <c r="N436" s="432"/>
      <c r="O436" s="432"/>
      <c r="P436" s="432"/>
      <c r="Q436" s="432"/>
      <c r="R436" s="432"/>
      <c r="S436" s="432"/>
      <c r="T436" s="432"/>
      <c r="U436" s="432"/>
      <c r="V436" s="432"/>
      <c r="W436" s="432"/>
      <c r="X436" s="432"/>
      <c r="Y436" s="432"/>
      <c r="Z436" s="432"/>
      <c r="AA436" s="432"/>
      <c r="AB436" s="432"/>
      <c r="AC436" s="432"/>
      <c r="AD436" s="432"/>
      <c r="AE436" s="432"/>
      <c r="AF436" s="432"/>
      <c r="AG436" s="432"/>
      <c r="AH436" s="432"/>
      <c r="AI436" s="432"/>
      <c r="AJ436" s="432"/>
    </row>
    <row r="437" spans="3:36" s="20" customFormat="1" hidden="1" x14ac:dyDescent="0.35">
      <c r="I437" s="432"/>
      <c r="J437" s="432"/>
      <c r="K437" s="432"/>
      <c r="L437" s="432"/>
      <c r="M437" s="432"/>
      <c r="N437" s="432"/>
      <c r="O437" s="432"/>
      <c r="P437" s="432"/>
      <c r="Q437" s="432"/>
      <c r="R437" s="432"/>
      <c r="S437" s="432"/>
      <c r="T437" s="432"/>
      <c r="U437" s="432"/>
      <c r="V437" s="432"/>
      <c r="W437" s="432"/>
      <c r="X437" s="432"/>
      <c r="Y437" s="432"/>
      <c r="Z437" s="432"/>
      <c r="AA437" s="432"/>
      <c r="AB437" s="432"/>
      <c r="AC437" s="432"/>
      <c r="AD437" s="432"/>
      <c r="AE437" s="432"/>
      <c r="AF437" s="432"/>
      <c r="AG437" s="432"/>
      <c r="AH437" s="432"/>
      <c r="AI437" s="432"/>
      <c r="AJ437" s="432"/>
    </row>
    <row r="438" spans="3:36" s="20" customFormat="1" hidden="1" x14ac:dyDescent="0.35">
      <c r="C438" s="170"/>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432"/>
      <c r="AF438" s="432"/>
      <c r="AG438" s="432"/>
      <c r="AH438" s="432"/>
      <c r="AI438" s="432"/>
      <c r="AJ438" s="432"/>
    </row>
    <row r="439" spans="3:36" s="20" customFormat="1" hidden="1" x14ac:dyDescent="0.35">
      <c r="C439" s="170"/>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432"/>
      <c r="AF439" s="432"/>
      <c r="AG439" s="432"/>
      <c r="AH439" s="432"/>
      <c r="AI439" s="432"/>
      <c r="AJ439" s="432"/>
    </row>
    <row r="440" spans="3:36" s="20" customFormat="1" hidden="1" x14ac:dyDescent="0.35">
      <c r="C440" s="170"/>
      <c r="I440" s="432"/>
      <c r="J440" s="432"/>
      <c r="K440" s="432"/>
      <c r="L440" s="432"/>
      <c r="M440" s="432"/>
      <c r="N440" s="432"/>
      <c r="O440" s="432"/>
      <c r="P440" s="432"/>
      <c r="Q440" s="432"/>
      <c r="R440" s="432"/>
      <c r="S440" s="432"/>
      <c r="T440" s="432"/>
      <c r="U440" s="432"/>
      <c r="V440" s="432"/>
      <c r="W440" s="432"/>
      <c r="X440" s="432"/>
      <c r="Y440" s="432"/>
      <c r="Z440" s="432"/>
      <c r="AA440" s="432"/>
      <c r="AB440" s="432"/>
      <c r="AC440" s="432"/>
      <c r="AD440" s="432"/>
      <c r="AE440" s="432"/>
      <c r="AF440" s="432"/>
      <c r="AG440" s="432"/>
      <c r="AH440" s="432"/>
      <c r="AI440" s="432"/>
      <c r="AJ440" s="432"/>
    </row>
    <row r="441" spans="3:36" s="20" customFormat="1" hidden="1" x14ac:dyDescent="0.35">
      <c r="C441" s="170"/>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432"/>
      <c r="AE441" s="432"/>
      <c r="AF441" s="432"/>
      <c r="AG441" s="432"/>
      <c r="AH441" s="432"/>
      <c r="AI441" s="432"/>
      <c r="AJ441" s="432"/>
    </row>
    <row r="442" spans="3:36" s="20" customFormat="1" hidden="1" x14ac:dyDescent="0.35">
      <c r="C442" s="170"/>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432"/>
      <c r="AF442" s="432"/>
      <c r="AG442" s="432"/>
      <c r="AH442" s="432"/>
      <c r="AI442" s="432"/>
      <c r="AJ442" s="432"/>
    </row>
    <row r="443" spans="3:36" s="20" customFormat="1" hidden="1" x14ac:dyDescent="0.35">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432"/>
      <c r="AF443" s="432"/>
      <c r="AG443" s="432"/>
      <c r="AH443" s="432"/>
      <c r="AI443" s="432"/>
      <c r="AJ443" s="432"/>
    </row>
    <row r="444" spans="3:36" s="20" customFormat="1" hidden="1" x14ac:dyDescent="0.35">
      <c r="I444" s="432"/>
      <c r="J444" s="432"/>
      <c r="K444" s="432"/>
      <c r="L444" s="432"/>
      <c r="M444" s="432"/>
      <c r="N444" s="432"/>
      <c r="O444" s="432"/>
      <c r="P444" s="432"/>
      <c r="Q444" s="432"/>
      <c r="R444" s="432"/>
      <c r="S444" s="432"/>
      <c r="T444" s="432"/>
      <c r="U444" s="432"/>
      <c r="V444" s="432"/>
      <c r="W444" s="432"/>
      <c r="X444" s="432"/>
      <c r="Y444" s="432"/>
      <c r="Z444" s="432"/>
      <c r="AA444" s="432"/>
      <c r="AB444" s="432"/>
      <c r="AC444" s="432"/>
      <c r="AD444" s="432"/>
      <c r="AE444" s="432"/>
      <c r="AF444" s="432"/>
      <c r="AG444" s="432"/>
      <c r="AH444" s="432"/>
      <c r="AI444" s="432"/>
      <c r="AJ444" s="432"/>
    </row>
    <row r="445" spans="3:36" s="20" customFormat="1" hidden="1" x14ac:dyDescent="0.35">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432"/>
      <c r="AF445" s="432"/>
      <c r="AG445" s="432"/>
      <c r="AH445" s="432"/>
      <c r="AI445" s="432"/>
      <c r="AJ445" s="432"/>
    </row>
    <row r="446" spans="3:36" s="20" customFormat="1" hidden="1" x14ac:dyDescent="0.35">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432"/>
      <c r="AF446" s="432"/>
      <c r="AG446" s="432"/>
      <c r="AH446" s="432"/>
      <c r="AI446" s="432"/>
      <c r="AJ446" s="432"/>
    </row>
    <row r="447" spans="3:36" s="20" customFormat="1" hidden="1" x14ac:dyDescent="0.35">
      <c r="I447" s="432"/>
      <c r="J447" s="432"/>
      <c r="K447" s="432"/>
      <c r="L447" s="432"/>
      <c r="M447" s="432"/>
      <c r="N447" s="432"/>
      <c r="O447" s="432"/>
      <c r="P447" s="432"/>
      <c r="Q447" s="432"/>
      <c r="R447" s="432"/>
      <c r="S447" s="432"/>
      <c r="T447" s="432"/>
      <c r="U447" s="432"/>
      <c r="V447" s="432"/>
      <c r="W447" s="432"/>
      <c r="X447" s="432"/>
      <c r="Y447" s="432"/>
      <c r="Z447" s="432"/>
      <c r="AA447" s="432"/>
      <c r="AB447" s="432"/>
      <c r="AC447" s="432"/>
      <c r="AD447" s="432"/>
      <c r="AE447" s="432"/>
      <c r="AF447" s="432"/>
      <c r="AG447" s="432"/>
      <c r="AH447" s="432"/>
      <c r="AI447" s="432"/>
      <c r="AJ447" s="432"/>
    </row>
    <row r="448" spans="3:36" s="20" customFormat="1" hidden="1" x14ac:dyDescent="0.35">
      <c r="I448" s="432"/>
      <c r="J448" s="432"/>
      <c r="K448" s="432"/>
      <c r="L448" s="432"/>
      <c r="M448" s="432"/>
      <c r="N448" s="432"/>
      <c r="O448" s="432"/>
      <c r="P448" s="432"/>
      <c r="Q448" s="432"/>
      <c r="R448" s="432"/>
      <c r="S448" s="432"/>
      <c r="T448" s="432"/>
      <c r="U448" s="432"/>
      <c r="V448" s="432"/>
      <c r="W448" s="432"/>
      <c r="X448" s="432"/>
      <c r="Y448" s="432"/>
      <c r="Z448" s="432"/>
      <c r="AA448" s="432"/>
      <c r="AB448" s="432"/>
      <c r="AC448" s="432"/>
      <c r="AD448" s="432"/>
      <c r="AE448" s="432"/>
      <c r="AF448" s="432"/>
      <c r="AG448" s="432"/>
      <c r="AH448" s="432"/>
      <c r="AI448" s="432"/>
      <c r="AJ448" s="432"/>
    </row>
    <row r="449" spans="9:36" s="20" customFormat="1" hidden="1" x14ac:dyDescent="0.35">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432"/>
      <c r="AF449" s="432"/>
      <c r="AG449" s="432"/>
      <c r="AH449" s="432"/>
      <c r="AI449" s="432"/>
      <c r="AJ449" s="432"/>
    </row>
    <row r="450" spans="9:36" s="20" customFormat="1" hidden="1" x14ac:dyDescent="0.35">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432"/>
      <c r="AF450" s="432"/>
      <c r="AG450" s="432"/>
      <c r="AH450" s="432"/>
      <c r="AI450" s="432"/>
      <c r="AJ450" s="432"/>
    </row>
    <row r="451" spans="9:36" s="20" customFormat="1" hidden="1" x14ac:dyDescent="0.35">
      <c r="I451" s="432"/>
      <c r="J451" s="432"/>
      <c r="K451" s="432"/>
      <c r="L451" s="432"/>
      <c r="M451" s="432"/>
      <c r="N451" s="432"/>
      <c r="O451" s="432"/>
      <c r="P451" s="432"/>
      <c r="Q451" s="432"/>
      <c r="R451" s="432"/>
      <c r="S451" s="432"/>
      <c r="T451" s="432"/>
      <c r="U451" s="432"/>
      <c r="V451" s="432"/>
      <c r="W451" s="432"/>
      <c r="X451" s="432"/>
      <c r="Y451" s="432"/>
      <c r="Z451" s="432"/>
      <c r="AA451" s="432"/>
      <c r="AB451" s="432"/>
      <c r="AC451" s="432"/>
      <c r="AD451" s="432"/>
      <c r="AE451" s="432"/>
      <c r="AF451" s="432"/>
      <c r="AG451" s="432"/>
      <c r="AH451" s="432"/>
      <c r="AI451" s="432"/>
      <c r="AJ451" s="432"/>
    </row>
    <row r="452" spans="9:36" s="20" customFormat="1" hidden="1" x14ac:dyDescent="0.35">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432"/>
      <c r="AF452" s="432"/>
      <c r="AG452" s="432"/>
      <c r="AH452" s="432"/>
      <c r="AI452" s="432"/>
      <c r="AJ452" s="432"/>
    </row>
    <row r="453" spans="9:36" s="20" customFormat="1" hidden="1" x14ac:dyDescent="0.35">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432"/>
      <c r="AF453" s="432"/>
      <c r="AG453" s="432"/>
      <c r="AH453" s="432"/>
      <c r="AI453" s="432"/>
      <c r="AJ453" s="432"/>
    </row>
    <row r="454" spans="9:36" s="20" customFormat="1" hidden="1" x14ac:dyDescent="0.35">
      <c r="I454" s="432"/>
      <c r="J454" s="432"/>
      <c r="K454" s="432"/>
      <c r="L454" s="432"/>
      <c r="M454" s="432"/>
      <c r="N454" s="432"/>
      <c r="O454" s="432"/>
      <c r="P454" s="432"/>
      <c r="Q454" s="432"/>
      <c r="R454" s="432"/>
      <c r="S454" s="432"/>
      <c r="T454" s="432"/>
      <c r="U454" s="432"/>
      <c r="V454" s="432"/>
      <c r="W454" s="432"/>
      <c r="X454" s="432"/>
      <c r="Y454" s="432"/>
      <c r="Z454" s="432"/>
      <c r="AA454" s="432"/>
      <c r="AB454" s="432"/>
      <c r="AC454" s="432"/>
      <c r="AD454" s="432"/>
      <c r="AE454" s="432"/>
      <c r="AF454" s="432"/>
      <c r="AG454" s="432"/>
      <c r="AH454" s="432"/>
      <c r="AI454" s="432"/>
      <c r="AJ454" s="432"/>
    </row>
    <row r="455" spans="9:36" s="20" customFormat="1" hidden="1" x14ac:dyDescent="0.35">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432"/>
      <c r="AE455" s="432"/>
      <c r="AF455" s="432"/>
      <c r="AG455" s="432"/>
      <c r="AH455" s="432"/>
      <c r="AI455" s="432"/>
      <c r="AJ455" s="432"/>
    </row>
    <row r="456" spans="9:36" s="20" customFormat="1" hidden="1" x14ac:dyDescent="0.35">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432"/>
      <c r="AF456" s="432"/>
      <c r="AG456" s="432"/>
      <c r="AH456" s="432"/>
      <c r="AI456" s="432"/>
      <c r="AJ456" s="432"/>
    </row>
    <row r="457" spans="9:36" s="432" customFormat="1" hidden="1" x14ac:dyDescent="0.35"/>
    <row r="458" spans="9:36" s="432" customFormat="1" hidden="1" x14ac:dyDescent="0.35"/>
    <row r="459" spans="9:36" s="432" customFormat="1" hidden="1" x14ac:dyDescent="0.35"/>
    <row r="460" spans="9:36" s="432" customFormat="1" hidden="1" x14ac:dyDescent="0.35"/>
    <row r="461" spans="9:36" s="432" customFormat="1" hidden="1" x14ac:dyDescent="0.35"/>
    <row r="462" spans="9:36" s="432" customFormat="1" hidden="1" x14ac:dyDescent="0.35"/>
    <row r="463" spans="9:36" s="432" customFormat="1" hidden="1" x14ac:dyDescent="0.35"/>
    <row r="464" spans="9:36" s="432" customFormat="1" hidden="1" x14ac:dyDescent="0.35"/>
    <row r="465" s="432" customFormat="1" hidden="1" x14ac:dyDescent="0.35"/>
    <row r="466" s="432" customFormat="1" hidden="1" x14ac:dyDescent="0.35"/>
    <row r="467" s="432" customFormat="1" hidden="1" x14ac:dyDescent="0.35"/>
    <row r="468" s="432" customFormat="1" hidden="1" x14ac:dyDescent="0.35"/>
    <row r="469" s="432" customFormat="1" x14ac:dyDescent="0.35"/>
    <row r="470" s="432" customFormat="1" x14ac:dyDescent="0.35"/>
    <row r="471" s="432" customFormat="1" x14ac:dyDescent="0.35"/>
    <row r="472" s="432" customFormat="1" x14ac:dyDescent="0.35"/>
    <row r="473" s="432" customFormat="1" x14ac:dyDescent="0.35"/>
    <row r="474" s="432" customFormat="1" x14ac:dyDescent="0.35"/>
    <row r="475" s="432" customFormat="1" x14ac:dyDescent="0.35"/>
    <row r="476" s="432" customFormat="1" x14ac:dyDescent="0.35"/>
    <row r="477" s="432" customFormat="1" x14ac:dyDescent="0.35"/>
    <row r="478" s="432" customFormat="1" x14ac:dyDescent="0.35"/>
    <row r="479" s="432" customFormat="1" x14ac:dyDescent="0.35"/>
    <row r="480" s="432" customFormat="1" x14ac:dyDescent="0.35"/>
    <row r="481" s="432" customFormat="1" x14ac:dyDescent="0.35"/>
    <row r="482" s="432" customFormat="1" x14ac:dyDescent="0.35"/>
    <row r="483" s="432" customFormat="1" x14ac:dyDescent="0.35"/>
    <row r="484" s="432" customFormat="1" x14ac:dyDescent="0.35"/>
    <row r="485" s="432" customFormat="1" x14ac:dyDescent="0.35"/>
    <row r="486" s="432" customFormat="1" x14ac:dyDescent="0.35"/>
    <row r="487" s="432" customFormat="1" x14ac:dyDescent="0.35"/>
    <row r="488" s="432" customFormat="1" x14ac:dyDescent="0.35"/>
    <row r="489" s="432" customFormat="1" x14ac:dyDescent="0.35"/>
    <row r="490" s="432" customFormat="1" x14ac:dyDescent="0.35"/>
    <row r="491" s="432" customFormat="1" x14ac:dyDescent="0.35"/>
    <row r="492" s="432" customFormat="1" x14ac:dyDescent="0.35"/>
    <row r="493" s="432" customFormat="1" x14ac:dyDescent="0.35"/>
    <row r="494" s="432" customFormat="1" x14ac:dyDescent="0.35"/>
    <row r="495" s="432" customFormat="1" x14ac:dyDescent="0.35"/>
    <row r="496" s="432" customFormat="1" x14ac:dyDescent="0.35"/>
    <row r="497" s="432" customFormat="1" x14ac:dyDescent="0.35"/>
    <row r="498" s="432" customFormat="1" x14ac:dyDescent="0.35"/>
    <row r="499" s="432" customFormat="1" x14ac:dyDescent="0.35"/>
    <row r="500" s="432" customFormat="1" x14ac:dyDescent="0.35"/>
    <row r="501" s="432" customFormat="1" x14ac:dyDescent="0.35"/>
    <row r="502" s="432" customFormat="1" x14ac:dyDescent="0.35"/>
    <row r="503" s="432" customFormat="1" x14ac:dyDescent="0.35"/>
    <row r="504" s="432" customFormat="1" x14ac:dyDescent="0.35"/>
    <row r="505" s="432" customFormat="1" x14ac:dyDescent="0.35"/>
    <row r="506" s="432" customFormat="1" x14ac:dyDescent="0.35"/>
    <row r="507" s="432" customFormat="1" x14ac:dyDescent="0.35"/>
    <row r="508" s="432" customFormat="1" x14ac:dyDescent="0.35"/>
    <row r="509" s="432" customFormat="1" x14ac:dyDescent="0.35"/>
    <row r="510" s="432" customFormat="1" x14ac:dyDescent="0.35"/>
    <row r="511" s="432" customFormat="1" x14ac:dyDescent="0.35"/>
    <row r="512" s="432" customFormat="1" x14ac:dyDescent="0.35"/>
    <row r="513" s="432" customFormat="1" x14ac:dyDescent="0.35"/>
    <row r="514" s="432" customFormat="1" x14ac:dyDescent="0.35"/>
    <row r="515" s="432" customFormat="1" x14ac:dyDescent="0.35"/>
    <row r="516" s="432" customFormat="1" x14ac:dyDescent="0.35"/>
    <row r="517" s="432" customFormat="1" x14ac:dyDescent="0.35"/>
    <row r="518" s="432" customFormat="1" x14ac:dyDescent="0.35"/>
    <row r="519" s="432" customFormat="1" x14ac:dyDescent="0.35"/>
    <row r="520" s="432" customFormat="1" x14ac:dyDescent="0.35"/>
    <row r="521" s="432" customFormat="1" x14ac:dyDescent="0.35"/>
    <row r="522" s="432" customFormat="1" x14ac:dyDescent="0.35"/>
    <row r="523" s="432" customFormat="1" x14ac:dyDescent="0.35"/>
    <row r="524" s="432" customFormat="1" x14ac:dyDescent="0.35"/>
    <row r="525" s="432" customFormat="1" x14ac:dyDescent="0.35"/>
    <row r="526" s="432" customFormat="1" x14ac:dyDescent="0.35"/>
    <row r="527" s="432" customFormat="1" x14ac:dyDescent="0.35"/>
    <row r="528" s="432" customFormat="1" x14ac:dyDescent="0.35"/>
    <row r="529" s="432" customFormat="1" x14ac:dyDescent="0.35"/>
    <row r="530" s="432" customFormat="1" x14ac:dyDescent="0.35"/>
    <row r="531" s="432" customFormat="1" x14ac:dyDescent="0.35"/>
    <row r="532" s="432" customFormat="1" x14ac:dyDescent="0.35"/>
    <row r="533" s="432" customFormat="1" x14ac:dyDescent="0.35"/>
    <row r="534" s="432" customFormat="1" x14ac:dyDescent="0.35"/>
    <row r="535" s="432" customFormat="1" x14ac:dyDescent="0.35"/>
    <row r="536" s="432" customFormat="1" x14ac:dyDescent="0.35"/>
    <row r="537" s="432" customFormat="1" x14ac:dyDescent="0.35"/>
    <row r="538" s="432" customFormat="1" x14ac:dyDescent="0.35"/>
    <row r="539" s="432" customFormat="1" x14ac:dyDescent="0.35"/>
    <row r="540" s="432" customFormat="1" x14ac:dyDescent="0.35"/>
    <row r="541" s="432" customFormat="1" x14ac:dyDescent="0.35"/>
    <row r="542" s="432" customFormat="1" x14ac:dyDescent="0.35"/>
    <row r="543" s="432" customFormat="1" x14ac:dyDescent="0.35"/>
    <row r="544" s="432" customFormat="1" x14ac:dyDescent="0.35"/>
    <row r="545" s="432" customFormat="1" x14ac:dyDescent="0.35"/>
    <row r="546" s="432" customFormat="1" x14ac:dyDescent="0.35"/>
    <row r="547" s="432" customFormat="1" x14ac:dyDescent="0.35"/>
    <row r="548" s="432" customFormat="1" x14ac:dyDescent="0.35"/>
    <row r="549" s="432" customFormat="1" x14ac:dyDescent="0.35"/>
    <row r="550" s="432" customFormat="1" x14ac:dyDescent="0.35"/>
    <row r="551" s="432" customFormat="1" x14ac:dyDescent="0.35"/>
    <row r="552" s="432" customFormat="1" x14ac:dyDescent="0.35"/>
    <row r="553" s="432" customFormat="1" x14ac:dyDescent="0.35"/>
    <row r="554" s="432" customFormat="1" x14ac:dyDescent="0.35"/>
    <row r="555" s="432" customFormat="1" x14ac:dyDescent="0.35"/>
    <row r="556" s="432" customFormat="1" x14ac:dyDescent="0.35"/>
    <row r="557" s="432" customFormat="1" x14ac:dyDescent="0.35"/>
    <row r="558" s="432" customFormat="1" x14ac:dyDescent="0.35"/>
    <row r="559" s="432" customFormat="1" x14ac:dyDescent="0.35"/>
    <row r="560" s="432" customFormat="1" x14ac:dyDescent="0.35"/>
    <row r="561" s="432" customFormat="1" x14ac:dyDescent="0.35"/>
    <row r="562" s="432" customFormat="1" x14ac:dyDescent="0.35"/>
    <row r="563" s="432" customFormat="1" x14ac:dyDescent="0.35"/>
    <row r="564" s="432" customFormat="1" x14ac:dyDescent="0.35"/>
    <row r="565" s="432" customFormat="1" x14ac:dyDescent="0.35"/>
    <row r="566" s="432" customFormat="1" x14ac:dyDescent="0.35"/>
    <row r="567" s="432" customFormat="1" x14ac:dyDescent="0.35"/>
    <row r="568" s="432" customFormat="1" x14ac:dyDescent="0.35"/>
    <row r="569" s="432" customFormat="1" x14ac:dyDescent="0.35"/>
    <row r="570" s="432" customFormat="1" x14ac:dyDescent="0.35"/>
    <row r="571" s="432" customFormat="1" x14ac:dyDescent="0.35"/>
    <row r="572" s="432" customFormat="1" x14ac:dyDescent="0.35"/>
    <row r="573" s="432" customFormat="1" x14ac:dyDescent="0.35"/>
    <row r="574" s="432" customFormat="1" x14ac:dyDescent="0.35"/>
    <row r="575" s="432" customFormat="1" x14ac:dyDescent="0.35"/>
    <row r="576" s="432" customFormat="1" x14ac:dyDescent="0.35"/>
    <row r="577" s="432" customFormat="1" x14ac:dyDescent="0.35"/>
    <row r="578" s="432" customFormat="1" x14ac:dyDescent="0.35"/>
    <row r="579" s="432" customFormat="1" x14ac:dyDescent="0.35"/>
    <row r="580" s="432" customFormat="1" x14ac:dyDescent="0.35"/>
    <row r="581" s="432" customFormat="1" x14ac:dyDescent="0.35"/>
    <row r="582" s="432" customFormat="1" x14ac:dyDescent="0.35"/>
    <row r="583" s="432" customFormat="1" x14ac:dyDescent="0.35"/>
    <row r="584" s="432" customFormat="1" x14ac:dyDescent="0.35"/>
    <row r="585" s="432" customFormat="1" x14ac:dyDescent="0.35"/>
    <row r="586" s="432" customFormat="1" x14ac:dyDescent="0.35"/>
    <row r="587" s="432" customFormat="1" x14ac:dyDescent="0.35"/>
    <row r="588" s="432" customFormat="1" x14ac:dyDescent="0.35"/>
    <row r="589" s="432" customFormat="1" x14ac:dyDescent="0.35"/>
    <row r="590" s="432" customFormat="1" x14ac:dyDescent="0.35"/>
    <row r="591" s="432" customFormat="1" x14ac:dyDescent="0.35"/>
    <row r="592" s="432" customFormat="1" x14ac:dyDescent="0.35"/>
    <row r="593" s="432" customFormat="1" x14ac:dyDescent="0.35"/>
    <row r="594" s="432" customFormat="1" x14ac:dyDescent="0.35"/>
    <row r="595" s="432" customFormat="1" x14ac:dyDescent="0.35"/>
    <row r="596" s="432" customFormat="1" x14ac:dyDescent="0.35"/>
    <row r="597" s="432" customFormat="1" x14ac:dyDescent="0.35"/>
    <row r="598" s="432" customFormat="1" x14ac:dyDescent="0.35"/>
    <row r="599" s="432" customFormat="1" x14ac:dyDescent="0.35"/>
    <row r="600" s="432" customFormat="1" x14ac:dyDescent="0.35"/>
    <row r="601" s="432" customFormat="1" x14ac:dyDescent="0.35"/>
    <row r="602" s="432" customFormat="1" x14ac:dyDescent="0.35"/>
    <row r="603" s="432" customFormat="1" x14ac:dyDescent="0.35"/>
    <row r="604" s="432" customFormat="1" x14ac:dyDescent="0.35"/>
    <row r="605" s="432" customFormat="1" x14ac:dyDescent="0.35"/>
    <row r="606" s="432" customFormat="1" x14ac:dyDescent="0.35"/>
    <row r="607" s="432" customFormat="1" x14ac:dyDescent="0.35"/>
    <row r="608" s="432" customFormat="1" x14ac:dyDescent="0.35"/>
    <row r="609" s="432" customFormat="1" x14ac:dyDescent="0.35"/>
    <row r="610" s="432" customFormat="1" x14ac:dyDescent="0.35"/>
    <row r="611" s="432" customFormat="1" x14ac:dyDescent="0.35"/>
    <row r="612" s="432" customFormat="1" x14ac:dyDescent="0.35"/>
    <row r="613" s="432" customFormat="1" x14ac:dyDescent="0.35"/>
    <row r="614" s="432" customFormat="1" x14ac:dyDescent="0.35"/>
    <row r="615" s="432" customFormat="1" x14ac:dyDescent="0.35"/>
    <row r="616" s="432" customFormat="1" x14ac:dyDescent="0.35"/>
    <row r="617" s="432" customFormat="1" x14ac:dyDescent="0.35"/>
    <row r="618" s="432" customFormat="1" x14ac:dyDescent="0.35"/>
    <row r="619" s="432" customFormat="1" x14ac:dyDescent="0.35"/>
    <row r="620" s="432" customFormat="1" x14ac:dyDescent="0.35"/>
    <row r="621" s="432" customFormat="1" x14ac:dyDescent="0.35"/>
    <row r="622" s="432" customFormat="1" x14ac:dyDescent="0.35"/>
    <row r="623" s="432" customFormat="1" x14ac:dyDescent="0.35"/>
    <row r="624" s="432" customFormat="1" x14ac:dyDescent="0.35"/>
    <row r="625" s="432" customFormat="1" x14ac:dyDescent="0.35"/>
    <row r="626" s="432" customFormat="1" x14ac:dyDescent="0.35"/>
    <row r="627" s="432" customFormat="1" x14ac:dyDescent="0.35"/>
    <row r="628" s="432" customFormat="1" x14ac:dyDescent="0.35"/>
    <row r="629" s="432" customFormat="1" x14ac:dyDescent="0.35"/>
    <row r="630" s="432" customFormat="1" x14ac:dyDescent="0.35"/>
    <row r="631" s="432" customFormat="1" x14ac:dyDescent="0.35"/>
    <row r="632" s="432" customFormat="1" x14ac:dyDescent="0.35"/>
    <row r="633" s="432" customFormat="1" x14ac:dyDescent="0.35"/>
    <row r="634" s="432" customFormat="1" x14ac:dyDescent="0.35"/>
    <row r="635" s="432" customFormat="1" x14ac:dyDescent="0.35"/>
    <row r="636" s="432" customFormat="1" x14ac:dyDescent="0.35"/>
    <row r="637" s="432" customFormat="1" x14ac:dyDescent="0.35"/>
    <row r="638" s="432" customFormat="1" x14ac:dyDescent="0.35"/>
    <row r="639" s="432" customFormat="1" x14ac:dyDescent="0.35"/>
    <row r="640" s="432" customFormat="1" x14ac:dyDescent="0.35"/>
    <row r="641" s="432" customFormat="1" x14ac:dyDescent="0.35"/>
    <row r="642" s="432" customFormat="1" x14ac:dyDescent="0.35"/>
    <row r="643" s="432" customFormat="1" x14ac:dyDescent="0.35"/>
    <row r="644" s="432" customFormat="1" x14ac:dyDescent="0.35"/>
    <row r="645" s="432" customFormat="1" x14ac:dyDescent="0.35"/>
    <row r="646" s="432" customFormat="1" x14ac:dyDescent="0.35"/>
    <row r="647" s="432" customFormat="1" x14ac:dyDescent="0.35"/>
    <row r="648" s="432" customFormat="1" x14ac:dyDescent="0.35"/>
    <row r="649" s="432" customFormat="1" x14ac:dyDescent="0.35"/>
    <row r="650" s="432" customFormat="1" x14ac:dyDescent="0.35"/>
    <row r="651" s="432" customFormat="1" x14ac:dyDescent="0.35"/>
    <row r="652" s="432" customFormat="1" x14ac:dyDescent="0.35"/>
    <row r="653" s="432" customFormat="1" x14ac:dyDescent="0.35"/>
    <row r="654" s="432" customFormat="1" x14ac:dyDescent="0.35"/>
    <row r="655" s="432" customFormat="1" x14ac:dyDescent="0.35"/>
    <row r="656" s="432" customFormat="1" x14ac:dyDescent="0.35"/>
    <row r="657" s="432" customFormat="1" x14ac:dyDescent="0.35"/>
    <row r="658" s="432" customFormat="1" x14ac:dyDescent="0.35"/>
    <row r="659" s="432" customFormat="1" x14ac:dyDescent="0.35"/>
    <row r="660" s="432" customFormat="1" x14ac:dyDescent="0.35"/>
    <row r="661" s="432" customFormat="1" x14ac:dyDescent="0.35"/>
    <row r="662" s="432" customFormat="1" x14ac:dyDescent="0.35"/>
    <row r="663" s="432" customFormat="1" x14ac:dyDescent="0.35"/>
    <row r="664" s="432" customFormat="1" x14ac:dyDescent="0.35"/>
    <row r="665" s="432" customFormat="1" x14ac:dyDescent="0.35"/>
    <row r="666" s="432" customFormat="1" x14ac:dyDescent="0.35"/>
    <row r="667" s="432" customFormat="1" x14ac:dyDescent="0.35"/>
    <row r="668" s="432" customFormat="1" x14ac:dyDescent="0.35"/>
    <row r="669" s="432" customFormat="1" x14ac:dyDescent="0.35"/>
    <row r="670" s="432" customFormat="1" x14ac:dyDescent="0.35"/>
    <row r="671" s="432" customFormat="1" x14ac:dyDescent="0.35"/>
    <row r="672" s="432" customFormat="1" x14ac:dyDescent="0.35"/>
    <row r="673" s="432" customFormat="1" x14ac:dyDescent="0.35"/>
    <row r="674" s="432" customFormat="1" x14ac:dyDescent="0.35"/>
    <row r="675" s="432" customFormat="1" x14ac:dyDescent="0.35"/>
    <row r="676" s="432" customFormat="1" x14ac:dyDescent="0.35"/>
    <row r="677" s="432" customFormat="1" x14ac:dyDescent="0.35"/>
    <row r="678" s="432" customFormat="1" x14ac:dyDescent="0.35"/>
    <row r="679" s="432" customFormat="1" x14ac:dyDescent="0.35"/>
    <row r="680" s="432" customFormat="1" x14ac:dyDescent="0.35"/>
    <row r="681" s="432" customFormat="1" x14ac:dyDescent="0.35"/>
    <row r="682" s="432" customFormat="1" x14ac:dyDescent="0.35"/>
    <row r="683" s="432" customFormat="1" x14ac:dyDescent="0.35"/>
    <row r="684" s="432" customFormat="1" x14ac:dyDescent="0.35"/>
    <row r="685" s="432" customFormat="1" x14ac:dyDescent="0.35"/>
    <row r="686" s="432" customFormat="1" x14ac:dyDescent="0.35"/>
    <row r="687" s="432" customFormat="1" x14ac:dyDescent="0.35"/>
    <row r="688" s="432" customFormat="1" x14ac:dyDescent="0.35"/>
    <row r="689" s="432" customFormat="1" x14ac:dyDescent="0.35"/>
    <row r="690" s="432" customFormat="1" x14ac:dyDescent="0.35"/>
    <row r="691" s="432" customFormat="1" x14ac:dyDescent="0.35"/>
    <row r="692" s="432" customFormat="1" x14ac:dyDescent="0.35"/>
    <row r="693" s="432" customFormat="1" x14ac:dyDescent="0.35"/>
    <row r="694" s="432" customFormat="1" x14ac:dyDescent="0.35"/>
    <row r="695" s="432" customFormat="1" x14ac:dyDescent="0.35"/>
    <row r="696" s="432" customFormat="1" x14ac:dyDescent="0.35"/>
    <row r="697" s="432" customFormat="1" x14ac:dyDescent="0.35"/>
    <row r="698" s="432" customFormat="1" x14ac:dyDescent="0.35"/>
    <row r="699" s="432" customFormat="1" x14ac:dyDescent="0.35"/>
    <row r="700" s="432" customFormat="1" x14ac:dyDescent="0.35"/>
    <row r="701" s="432" customFormat="1" x14ac:dyDescent="0.35"/>
    <row r="702" s="432" customFormat="1" x14ac:dyDescent="0.35"/>
    <row r="703" s="432" customFormat="1" x14ac:dyDescent="0.35"/>
    <row r="704" s="432" customFormat="1" x14ac:dyDescent="0.35"/>
    <row r="705" s="432" customFormat="1" x14ac:dyDescent="0.35"/>
    <row r="706" s="432" customFormat="1" x14ac:dyDescent="0.35"/>
    <row r="707" s="432" customFormat="1" x14ac:dyDescent="0.35"/>
    <row r="708" s="432" customFormat="1" x14ac:dyDescent="0.35"/>
    <row r="709" s="432" customFormat="1" x14ac:dyDescent="0.35"/>
    <row r="710" s="432" customFormat="1" x14ac:dyDescent="0.35"/>
    <row r="711" s="432" customFormat="1" x14ac:dyDescent="0.35"/>
    <row r="712" s="432" customFormat="1" x14ac:dyDescent="0.35"/>
    <row r="713" s="432" customFormat="1" x14ac:dyDescent="0.35"/>
    <row r="714" s="432" customFormat="1" x14ac:dyDescent="0.35"/>
    <row r="715" s="432" customFormat="1" x14ac:dyDescent="0.35"/>
    <row r="716" s="432" customFormat="1" x14ac:dyDescent="0.35"/>
    <row r="717" s="432" customFormat="1" x14ac:dyDescent="0.35"/>
    <row r="718" s="432" customFormat="1" x14ac:dyDescent="0.35"/>
    <row r="719" s="432" customFormat="1" x14ac:dyDescent="0.35"/>
    <row r="720" s="432" customFormat="1" x14ac:dyDescent="0.35"/>
    <row r="721" s="432" customFormat="1" x14ac:dyDescent="0.35"/>
    <row r="722" s="432" customFormat="1" x14ac:dyDescent="0.35"/>
    <row r="723" s="432" customFormat="1" x14ac:dyDescent="0.35"/>
    <row r="724" s="432" customFormat="1" x14ac:dyDescent="0.35"/>
    <row r="725" s="432" customFormat="1" x14ac:dyDescent="0.35"/>
    <row r="726" s="432" customFormat="1" x14ac:dyDescent="0.35"/>
    <row r="727" s="432" customFormat="1" x14ac:dyDescent="0.35"/>
    <row r="728" s="432" customFormat="1" x14ac:dyDescent="0.35"/>
    <row r="729" s="432" customFormat="1" x14ac:dyDescent="0.35"/>
    <row r="730" s="432" customFormat="1" x14ac:dyDescent="0.35"/>
    <row r="731" s="432" customFormat="1" x14ac:dyDescent="0.35"/>
    <row r="732" s="432" customFormat="1" x14ac:dyDescent="0.35"/>
    <row r="733" s="432" customFormat="1" x14ac:dyDescent="0.35"/>
    <row r="734" s="432" customFormat="1" x14ac:dyDescent="0.35"/>
    <row r="735" s="432" customFormat="1" x14ac:dyDescent="0.35"/>
    <row r="736" s="432" customFormat="1" x14ac:dyDescent="0.35"/>
    <row r="737" s="432" customFormat="1" x14ac:dyDescent="0.35"/>
    <row r="738" s="432" customFormat="1" x14ac:dyDescent="0.35"/>
    <row r="739" s="432" customFormat="1" x14ac:dyDescent="0.35"/>
    <row r="740" s="432" customFormat="1" x14ac:dyDescent="0.35"/>
    <row r="741" s="432" customFormat="1" x14ac:dyDescent="0.35"/>
    <row r="742" s="432" customFormat="1" x14ac:dyDescent="0.35"/>
    <row r="743" s="432" customFormat="1" x14ac:dyDescent="0.35"/>
    <row r="744" s="432" customFormat="1" x14ac:dyDescent="0.35"/>
    <row r="745" s="432" customFormat="1" x14ac:dyDescent="0.35"/>
    <row r="746" s="432" customFormat="1" x14ac:dyDescent="0.35"/>
    <row r="747" s="432" customFormat="1" x14ac:dyDescent="0.35"/>
    <row r="748" s="432" customFormat="1" x14ac:dyDescent="0.35"/>
    <row r="749" s="432" customFormat="1" x14ac:dyDescent="0.35"/>
    <row r="750" s="432" customFormat="1" x14ac:dyDescent="0.35"/>
    <row r="751" s="432" customFormat="1" x14ac:dyDescent="0.35"/>
    <row r="752" s="432" customFormat="1" x14ac:dyDescent="0.35"/>
    <row r="753" s="432" customFormat="1" x14ac:dyDescent="0.35"/>
    <row r="754" s="432" customFormat="1" x14ac:dyDescent="0.35"/>
    <row r="755" s="432" customFormat="1" x14ac:dyDescent="0.35"/>
    <row r="756" s="432" customFormat="1" x14ac:dyDescent="0.35"/>
    <row r="757" s="432" customFormat="1" x14ac:dyDescent="0.35"/>
    <row r="758" s="432" customFormat="1" x14ac:dyDescent="0.35"/>
    <row r="759" s="432" customFormat="1" x14ac:dyDescent="0.35"/>
    <row r="760" s="432" customFormat="1" x14ac:dyDescent="0.35"/>
    <row r="761" s="432" customFormat="1" x14ac:dyDescent="0.35"/>
    <row r="762" s="432" customFormat="1" x14ac:dyDescent="0.35"/>
    <row r="763" s="432" customFormat="1" x14ac:dyDescent="0.35"/>
    <row r="764" s="432" customFormat="1" x14ac:dyDescent="0.35"/>
    <row r="765" s="432" customFormat="1" x14ac:dyDescent="0.35"/>
    <row r="766" s="432" customFormat="1" x14ac:dyDescent="0.35"/>
    <row r="767" s="432" customFormat="1" x14ac:dyDescent="0.35"/>
    <row r="768" s="432" customFormat="1" x14ac:dyDescent="0.35"/>
    <row r="769" s="432" customFormat="1" x14ac:dyDescent="0.35"/>
    <row r="770" s="432" customFormat="1" x14ac:dyDescent="0.35"/>
    <row r="771" s="432" customFormat="1" x14ac:dyDescent="0.35"/>
    <row r="772" s="432" customFormat="1" x14ac:dyDescent="0.35"/>
    <row r="773" s="432" customFormat="1" x14ac:dyDescent="0.35"/>
    <row r="774" s="432" customFormat="1" x14ac:dyDescent="0.35"/>
    <row r="775" s="432" customFormat="1" x14ac:dyDescent="0.35"/>
    <row r="776" s="432" customFormat="1" x14ac:dyDescent="0.35"/>
    <row r="777" s="432" customFormat="1" x14ac:dyDescent="0.35"/>
    <row r="778" s="432" customFormat="1" x14ac:dyDescent="0.35"/>
    <row r="779" s="432" customFormat="1" x14ac:dyDescent="0.35"/>
    <row r="780" s="432" customFormat="1" x14ac:dyDescent="0.35"/>
    <row r="781" s="432" customFormat="1" x14ac:dyDescent="0.35"/>
    <row r="782" s="432" customFormat="1" x14ac:dyDescent="0.35"/>
    <row r="783" s="432" customFormat="1" x14ac:dyDescent="0.35"/>
    <row r="784" s="432" customFormat="1" x14ac:dyDescent="0.35"/>
    <row r="785" s="432" customFormat="1" x14ac:dyDescent="0.35"/>
    <row r="786" s="432" customFormat="1" x14ac:dyDescent="0.35"/>
    <row r="787" s="432" customFormat="1" x14ac:dyDescent="0.35"/>
    <row r="788" s="432" customFormat="1" x14ac:dyDescent="0.35"/>
    <row r="789" s="432" customFormat="1" x14ac:dyDescent="0.35"/>
    <row r="790" s="432" customFormat="1" x14ac:dyDescent="0.35"/>
    <row r="791" s="432" customFormat="1" x14ac:dyDescent="0.35"/>
    <row r="792" s="432" customFormat="1" x14ac:dyDescent="0.35"/>
    <row r="793" s="432" customFormat="1" x14ac:dyDescent="0.35"/>
    <row r="794" s="432" customFormat="1" x14ac:dyDescent="0.35"/>
    <row r="795" s="432" customFormat="1" x14ac:dyDescent="0.35"/>
    <row r="796" s="432" customFormat="1" x14ac:dyDescent="0.35"/>
    <row r="797" s="432" customFormat="1" x14ac:dyDescent="0.35"/>
    <row r="798" s="432" customFormat="1" x14ac:dyDescent="0.35"/>
    <row r="799" s="432" customFormat="1" x14ac:dyDescent="0.35"/>
    <row r="800" s="432" customFormat="1" x14ac:dyDescent="0.35"/>
    <row r="801" s="432" customFormat="1" x14ac:dyDescent="0.35"/>
    <row r="802" s="432" customFormat="1" x14ac:dyDescent="0.35"/>
    <row r="803" s="432" customFormat="1" x14ac:dyDescent="0.35"/>
    <row r="804" s="432" customFormat="1" x14ac:dyDescent="0.35"/>
    <row r="805" s="432" customFormat="1" x14ac:dyDescent="0.35"/>
    <row r="806" s="432" customFormat="1" x14ac:dyDescent="0.35"/>
    <row r="807" s="432" customFormat="1" x14ac:dyDescent="0.35"/>
    <row r="808" s="432" customFormat="1" x14ac:dyDescent="0.35"/>
    <row r="809" s="432" customFormat="1" x14ac:dyDescent="0.35"/>
    <row r="810" s="432" customFormat="1" x14ac:dyDescent="0.35"/>
    <row r="811" s="432" customFormat="1" x14ac:dyDescent="0.35"/>
    <row r="812" s="432" customFormat="1" x14ac:dyDescent="0.35"/>
    <row r="813" s="432" customFormat="1" x14ac:dyDescent="0.35"/>
    <row r="814" s="432" customFormat="1" x14ac:dyDescent="0.35"/>
    <row r="815" s="432" customFormat="1" x14ac:dyDescent="0.35"/>
    <row r="816" s="432" customFormat="1" x14ac:dyDescent="0.35"/>
    <row r="817" s="432" customFormat="1" x14ac:dyDescent="0.35"/>
    <row r="818" s="432" customFormat="1" x14ac:dyDescent="0.35"/>
    <row r="819" s="432" customFormat="1" x14ac:dyDescent="0.35"/>
    <row r="820" s="432" customFormat="1" x14ac:dyDescent="0.35"/>
    <row r="821" s="432" customFormat="1" x14ac:dyDescent="0.35"/>
    <row r="822" s="432" customFormat="1" x14ac:dyDescent="0.35"/>
    <row r="823" s="432" customFormat="1" x14ac:dyDescent="0.35"/>
    <row r="824" s="432" customFormat="1" x14ac:dyDescent="0.35"/>
    <row r="825" s="432" customFormat="1" x14ac:dyDescent="0.35"/>
    <row r="826" s="432" customFormat="1" x14ac:dyDescent="0.35"/>
    <row r="827" s="432" customFormat="1" x14ac:dyDescent="0.35"/>
    <row r="828" s="432" customFormat="1" x14ac:dyDescent="0.35"/>
    <row r="829" s="432" customFormat="1" x14ac:dyDescent="0.35"/>
    <row r="830" s="432" customFormat="1" x14ac:dyDescent="0.35"/>
    <row r="831" s="432" customFormat="1" x14ac:dyDescent="0.35"/>
    <row r="832" s="432" customFormat="1" x14ac:dyDescent="0.35"/>
    <row r="833" s="432" customFormat="1" x14ac:dyDescent="0.35"/>
    <row r="834" s="432" customFormat="1" x14ac:dyDescent="0.35"/>
    <row r="835" s="432" customFormat="1" x14ac:dyDescent="0.35"/>
    <row r="836" s="432" customFormat="1" x14ac:dyDescent="0.35"/>
    <row r="837" s="432" customFormat="1" x14ac:dyDescent="0.35"/>
    <row r="838" s="432" customFormat="1" x14ac:dyDescent="0.35"/>
    <row r="839" s="432" customFormat="1" x14ac:dyDescent="0.35"/>
    <row r="840" s="432" customFormat="1" x14ac:dyDescent="0.35"/>
    <row r="841" s="432" customFormat="1" x14ac:dyDescent="0.35"/>
    <row r="842" s="432" customFormat="1" x14ac:dyDescent="0.35"/>
    <row r="843" s="432" customFormat="1" x14ac:dyDescent="0.35"/>
    <row r="844" s="432" customFormat="1" x14ac:dyDescent="0.35"/>
    <row r="845" s="432" customFormat="1" x14ac:dyDescent="0.35"/>
    <row r="846" s="432" customFormat="1" x14ac:dyDescent="0.35"/>
    <row r="847" s="432" customFormat="1" x14ac:dyDescent="0.35"/>
    <row r="848" s="432" customFormat="1" x14ac:dyDescent="0.35"/>
    <row r="849" s="432" customFormat="1" x14ac:dyDescent="0.35"/>
    <row r="850" s="432" customFormat="1" x14ac:dyDescent="0.35"/>
    <row r="851" s="432" customFormat="1" x14ac:dyDescent="0.35"/>
    <row r="852" s="432" customFormat="1" x14ac:dyDescent="0.35"/>
    <row r="853" s="432" customFormat="1" x14ac:dyDescent="0.35"/>
    <row r="854" s="432" customFormat="1" x14ac:dyDescent="0.35"/>
    <row r="855" s="432" customFormat="1" x14ac:dyDescent="0.35"/>
    <row r="856" s="432" customFormat="1" x14ac:dyDescent="0.35"/>
    <row r="857" s="432" customFormat="1" x14ac:dyDescent="0.35"/>
    <row r="858" s="432" customFormat="1" x14ac:dyDescent="0.35"/>
    <row r="859" s="432" customFormat="1" x14ac:dyDescent="0.35"/>
    <row r="860" s="432" customFormat="1" x14ac:dyDescent="0.35"/>
    <row r="861" s="432" customFormat="1" x14ac:dyDescent="0.35"/>
    <row r="862" s="432" customFormat="1" x14ac:dyDescent="0.35"/>
    <row r="863" s="432" customFormat="1" x14ac:dyDescent="0.35"/>
    <row r="864" s="432" customFormat="1" x14ac:dyDescent="0.35"/>
    <row r="865" s="432" customFormat="1" x14ac:dyDescent="0.35"/>
    <row r="866" s="432" customFormat="1" x14ac:dyDescent="0.35"/>
    <row r="867" s="432" customFormat="1" x14ac:dyDescent="0.35"/>
    <row r="868" s="432" customFormat="1" x14ac:dyDescent="0.35"/>
    <row r="869" s="432" customFormat="1" x14ac:dyDescent="0.35"/>
    <row r="870" s="432" customFormat="1" x14ac:dyDescent="0.35"/>
    <row r="871" s="432" customFormat="1" x14ac:dyDescent="0.35"/>
    <row r="872" s="432" customFormat="1" x14ac:dyDescent="0.35"/>
    <row r="873" s="432" customFormat="1" x14ac:dyDescent="0.35"/>
    <row r="874" s="432" customFormat="1" x14ac:dyDescent="0.35"/>
    <row r="875" s="432" customFormat="1" x14ac:dyDescent="0.35"/>
    <row r="876" s="432" customFormat="1" x14ac:dyDescent="0.35"/>
    <row r="877" s="432" customFormat="1" x14ac:dyDescent="0.35"/>
    <row r="878" s="432" customFormat="1" x14ac:dyDescent="0.35"/>
    <row r="879" s="432" customFormat="1" x14ac:dyDescent="0.35"/>
    <row r="880" s="432" customFormat="1" x14ac:dyDescent="0.35"/>
    <row r="881" s="432" customFormat="1" x14ac:dyDescent="0.35"/>
    <row r="882" s="432" customFormat="1" x14ac:dyDescent="0.35"/>
    <row r="883" s="432" customFormat="1" x14ac:dyDescent="0.35"/>
    <row r="884" s="432" customFormat="1" x14ac:dyDescent="0.35"/>
    <row r="885" s="432" customFormat="1" x14ac:dyDescent="0.35"/>
    <row r="886" s="432" customFormat="1" x14ac:dyDescent="0.35"/>
    <row r="887" s="432" customFormat="1" x14ac:dyDescent="0.35"/>
    <row r="888" s="432" customFormat="1" x14ac:dyDescent="0.35"/>
    <row r="889" s="432" customFormat="1" x14ac:dyDescent="0.35"/>
    <row r="890" s="432" customFormat="1" x14ac:dyDescent="0.35"/>
    <row r="891" s="432" customFormat="1" x14ac:dyDescent="0.35"/>
    <row r="892" s="432" customFormat="1" x14ac:dyDescent="0.35"/>
    <row r="893" s="432" customFormat="1" x14ac:dyDescent="0.35"/>
    <row r="894" s="432" customFormat="1" x14ac:dyDescent="0.35"/>
    <row r="895" s="432" customFormat="1" x14ac:dyDescent="0.35"/>
    <row r="896" s="432" customFormat="1" x14ac:dyDescent="0.35"/>
    <row r="897" s="432" customFormat="1" x14ac:dyDescent="0.35"/>
    <row r="898" s="432" customFormat="1" x14ac:dyDescent="0.35"/>
    <row r="899" s="432" customFormat="1" x14ac:dyDescent="0.35"/>
    <row r="900" s="432" customFormat="1" x14ac:dyDescent="0.35"/>
    <row r="901" s="432" customFormat="1" x14ac:dyDescent="0.35"/>
    <row r="902" s="432" customFormat="1" x14ac:dyDescent="0.35"/>
    <row r="903" s="432" customFormat="1" x14ac:dyDescent="0.35"/>
    <row r="904" s="432" customFormat="1" x14ac:dyDescent="0.35"/>
    <row r="905" s="432" customFormat="1" x14ac:dyDescent="0.35"/>
    <row r="906" s="432" customFormat="1" x14ac:dyDescent="0.35"/>
    <row r="907" s="432" customFormat="1" x14ac:dyDescent="0.35"/>
    <row r="908" s="432" customFormat="1" x14ac:dyDescent="0.35"/>
    <row r="909" s="432" customFormat="1" x14ac:dyDescent="0.35"/>
    <row r="910" s="432" customFormat="1" x14ac:dyDescent="0.35"/>
    <row r="911" s="432" customFormat="1" x14ac:dyDescent="0.35"/>
    <row r="912" s="432" customFormat="1" x14ac:dyDescent="0.35"/>
    <row r="913" s="432" customFormat="1" x14ac:dyDescent="0.35"/>
    <row r="914" s="432" customFormat="1" x14ac:dyDescent="0.35"/>
    <row r="915" s="432" customFormat="1" x14ac:dyDescent="0.35"/>
    <row r="916" s="432" customFormat="1" x14ac:dyDescent="0.35"/>
    <row r="917" s="432" customFormat="1" x14ac:dyDescent="0.35"/>
    <row r="918" s="432" customFormat="1" x14ac:dyDescent="0.35"/>
    <row r="919" s="432" customFormat="1" x14ac:dyDescent="0.35"/>
    <row r="920" s="432" customFormat="1" x14ac:dyDescent="0.35"/>
    <row r="921" s="432" customFormat="1" x14ac:dyDescent="0.35"/>
    <row r="922" s="432" customFormat="1" x14ac:dyDescent="0.35"/>
    <row r="923" s="432" customFormat="1" x14ac:dyDescent="0.35"/>
    <row r="924" s="432" customFormat="1" x14ac:dyDescent="0.35"/>
    <row r="925" s="432" customFormat="1" x14ac:dyDescent="0.35"/>
    <row r="926" s="432" customFormat="1" x14ac:dyDescent="0.35"/>
    <row r="927" s="432" customFormat="1" x14ac:dyDescent="0.35"/>
    <row r="928" s="432" customFormat="1" x14ac:dyDescent="0.35"/>
    <row r="929" s="432" customFormat="1" x14ac:dyDescent="0.35"/>
    <row r="930" s="432" customFormat="1" x14ac:dyDescent="0.35"/>
    <row r="931" s="432" customFormat="1" x14ac:dyDescent="0.35"/>
    <row r="932" s="432" customFormat="1" x14ac:dyDescent="0.35"/>
    <row r="933" s="432" customFormat="1" x14ac:dyDescent="0.35"/>
    <row r="934" s="432" customFormat="1" x14ac:dyDescent="0.35"/>
    <row r="935" s="432" customFormat="1" x14ac:dyDescent="0.35"/>
    <row r="936" s="432" customFormat="1" x14ac:dyDescent="0.35"/>
    <row r="937" s="432" customFormat="1" x14ac:dyDescent="0.35"/>
    <row r="938" s="432" customFormat="1" x14ac:dyDescent="0.35"/>
    <row r="939" s="432" customFormat="1" x14ac:dyDescent="0.35"/>
    <row r="940" s="432" customFormat="1" x14ac:dyDescent="0.35"/>
    <row r="941" s="432" customFormat="1" x14ac:dyDescent="0.35"/>
    <row r="942" s="432" customFormat="1" x14ac:dyDescent="0.35"/>
    <row r="943" s="432" customFormat="1" x14ac:dyDescent="0.35"/>
    <row r="944" s="432" customFormat="1" x14ac:dyDescent="0.35"/>
    <row r="945" s="432" customFormat="1" x14ac:dyDescent="0.35"/>
    <row r="946" s="432" customFormat="1" x14ac:dyDescent="0.35"/>
    <row r="947" s="432" customFormat="1" x14ac:dyDescent="0.35"/>
    <row r="948" s="432" customFormat="1" x14ac:dyDescent="0.35"/>
    <row r="949" s="432" customFormat="1" x14ac:dyDescent="0.35"/>
    <row r="950" s="432" customFormat="1" x14ac:dyDescent="0.35"/>
    <row r="951" s="432" customFormat="1" x14ac:dyDescent="0.35"/>
    <row r="952" s="432" customFormat="1" x14ac:dyDescent="0.35"/>
    <row r="953" s="432" customFormat="1" x14ac:dyDescent="0.35"/>
    <row r="954" s="432" customFormat="1" x14ac:dyDescent="0.35"/>
    <row r="955" s="432" customFormat="1" x14ac:dyDescent="0.35"/>
    <row r="956" s="432" customFormat="1" x14ac:dyDescent="0.35"/>
    <row r="957" s="432" customFormat="1" x14ac:dyDescent="0.35"/>
    <row r="958" s="432" customFormat="1" x14ac:dyDescent="0.35"/>
    <row r="959" s="432" customFormat="1" x14ac:dyDescent="0.35"/>
    <row r="960" s="432" customFormat="1" x14ac:dyDescent="0.35"/>
    <row r="961" s="432" customFormat="1" x14ac:dyDescent="0.35"/>
    <row r="962" s="432" customFormat="1" x14ac:dyDescent="0.35"/>
    <row r="963" s="432" customFormat="1" x14ac:dyDescent="0.35"/>
    <row r="964" s="432" customFormat="1" x14ac:dyDescent="0.35"/>
    <row r="965" s="432" customFormat="1" x14ac:dyDescent="0.35"/>
    <row r="966" s="432" customFormat="1" x14ac:dyDescent="0.35"/>
    <row r="967" s="432" customFormat="1" x14ac:dyDescent="0.35"/>
    <row r="968" s="432" customFormat="1" x14ac:dyDescent="0.35"/>
    <row r="969" s="432" customFormat="1" x14ac:dyDescent="0.35"/>
    <row r="970" s="432" customFormat="1" x14ac:dyDescent="0.35"/>
    <row r="971" s="432" customFormat="1" x14ac:dyDescent="0.35"/>
    <row r="972" s="432" customFormat="1" x14ac:dyDescent="0.35"/>
    <row r="973" s="432" customFormat="1" x14ac:dyDescent="0.35"/>
    <row r="974" s="432" customFormat="1" x14ac:dyDescent="0.35"/>
    <row r="975" s="432" customFormat="1" x14ac:dyDescent="0.35"/>
    <row r="976" s="432" customFormat="1" x14ac:dyDescent="0.35"/>
    <row r="977" s="432" customFormat="1" x14ac:dyDescent="0.35"/>
    <row r="978" s="432" customFormat="1" x14ac:dyDescent="0.35"/>
    <row r="979" s="432" customFormat="1" x14ac:dyDescent="0.35"/>
    <row r="980" s="432" customFormat="1" x14ac:dyDescent="0.35"/>
    <row r="981" s="432" customFormat="1" x14ac:dyDescent="0.35"/>
    <row r="982" s="432" customFormat="1" x14ac:dyDescent="0.35"/>
    <row r="983" s="432" customFormat="1" x14ac:dyDescent="0.35"/>
    <row r="984" s="432" customFormat="1" x14ac:dyDescent="0.35"/>
    <row r="985" s="432" customFormat="1" x14ac:dyDescent="0.35"/>
    <row r="986" s="432" customFormat="1" x14ac:dyDescent="0.35"/>
    <row r="987" s="432" customFormat="1" x14ac:dyDescent="0.35"/>
    <row r="988" s="432" customFormat="1" x14ac:dyDescent="0.35"/>
    <row r="989" s="432" customFormat="1" x14ac:dyDescent="0.35"/>
    <row r="990" s="432" customFormat="1" x14ac:dyDescent="0.35"/>
    <row r="991" s="432" customFormat="1" x14ac:dyDescent="0.35"/>
    <row r="992" s="432" customFormat="1" x14ac:dyDescent="0.35"/>
    <row r="993" s="432" customFormat="1" x14ac:dyDescent="0.35"/>
    <row r="994" s="432" customFormat="1" x14ac:dyDescent="0.35"/>
    <row r="995" s="432" customFormat="1" x14ac:dyDescent="0.35"/>
    <row r="996" s="432" customFormat="1" x14ac:dyDescent="0.35"/>
    <row r="997" s="432" customFormat="1" x14ac:dyDescent="0.35"/>
    <row r="998" s="432" customFormat="1" x14ac:dyDescent="0.35"/>
    <row r="999" s="432" customFormat="1" x14ac:dyDescent="0.35"/>
    <row r="1000" s="432" customFormat="1" x14ac:dyDescent="0.35"/>
    <row r="1001" s="432" customFormat="1" x14ac:dyDescent="0.35"/>
    <row r="1002" s="432" customFormat="1" x14ac:dyDescent="0.35"/>
    <row r="1003" s="432" customFormat="1" x14ac:dyDescent="0.35"/>
    <row r="1004" s="432" customFormat="1" x14ac:dyDescent="0.35"/>
    <row r="1005" s="432" customFormat="1" x14ac:dyDescent="0.35"/>
    <row r="1006" s="432" customFormat="1" x14ac:dyDescent="0.35"/>
    <row r="1007" s="432" customFormat="1" x14ac:dyDescent="0.35"/>
    <row r="1008" s="432" customFormat="1" x14ac:dyDescent="0.35"/>
    <row r="1009" s="432" customFormat="1" x14ac:dyDescent="0.35"/>
    <row r="1010" s="432" customFormat="1" x14ac:dyDescent="0.35"/>
    <row r="1011" s="432" customFormat="1" x14ac:dyDescent="0.35"/>
    <row r="1012" s="432" customFormat="1" x14ac:dyDescent="0.35"/>
    <row r="1013" s="432" customFormat="1" x14ac:dyDescent="0.35"/>
    <row r="1014" s="432" customFormat="1" x14ac:dyDescent="0.35"/>
    <row r="1015" s="432" customFormat="1" x14ac:dyDescent="0.35"/>
    <row r="1016" s="432" customFormat="1" x14ac:dyDescent="0.35"/>
    <row r="1017" s="432" customFormat="1" x14ac:dyDescent="0.35"/>
    <row r="1018" s="432" customFormat="1" x14ac:dyDescent="0.35"/>
    <row r="1019" s="432" customFormat="1" x14ac:dyDescent="0.35"/>
    <row r="1020" s="432" customFormat="1" x14ac:dyDescent="0.35"/>
    <row r="1021" s="432" customFormat="1" x14ac:dyDescent="0.35"/>
    <row r="1022" s="432" customFormat="1" x14ac:dyDescent="0.35"/>
    <row r="1023" s="432" customFormat="1" x14ac:dyDescent="0.35"/>
    <row r="1024" s="432" customFormat="1" x14ac:dyDescent="0.35"/>
    <row r="1025" s="432" customFormat="1" x14ac:dyDescent="0.35"/>
    <row r="1026" s="432" customFormat="1" x14ac:dyDescent="0.35"/>
    <row r="1027" s="432" customFormat="1" x14ac:dyDescent="0.35"/>
    <row r="1028" s="432" customFormat="1" x14ac:dyDescent="0.35"/>
    <row r="1029" s="432" customFormat="1" x14ac:dyDescent="0.35"/>
    <row r="1030" s="432" customFormat="1" x14ac:dyDescent="0.35"/>
    <row r="1031" s="432" customFormat="1" x14ac:dyDescent="0.35"/>
    <row r="1032" s="432" customFormat="1" x14ac:dyDescent="0.35"/>
    <row r="1033" s="432" customFormat="1" x14ac:dyDescent="0.35"/>
    <row r="1034" s="432" customFormat="1" x14ac:dyDescent="0.35"/>
    <row r="1035" s="432" customFormat="1" x14ac:dyDescent="0.35"/>
    <row r="1036" s="432" customFormat="1" x14ac:dyDescent="0.35"/>
    <row r="1037" s="432" customFormat="1" x14ac:dyDescent="0.35"/>
    <row r="1038" s="432" customFormat="1" x14ac:dyDescent="0.35"/>
    <row r="1039" s="432" customFormat="1" x14ac:dyDescent="0.35"/>
    <row r="1040" s="432" customFormat="1" x14ac:dyDescent="0.35"/>
    <row r="1041" s="432" customFormat="1" x14ac:dyDescent="0.35"/>
    <row r="1042" s="432" customFormat="1" x14ac:dyDescent="0.35"/>
    <row r="1043" s="432" customFormat="1" x14ac:dyDescent="0.35"/>
    <row r="1044" s="432" customFormat="1" x14ac:dyDescent="0.35"/>
    <row r="1045" s="432" customFormat="1" x14ac:dyDescent="0.35"/>
    <row r="1046" s="432" customFormat="1" x14ac:dyDescent="0.35"/>
    <row r="1047" s="432" customFormat="1" x14ac:dyDescent="0.35"/>
    <row r="1048" s="432" customFormat="1" x14ac:dyDescent="0.35"/>
    <row r="1049" s="432" customFormat="1" x14ac:dyDescent="0.35"/>
    <row r="1050" s="432" customFormat="1" x14ac:dyDescent="0.35"/>
    <row r="1051" s="432" customFormat="1" x14ac:dyDescent="0.35"/>
    <row r="1052" s="432" customFormat="1" x14ac:dyDescent="0.35"/>
    <row r="1053" s="432" customFormat="1" x14ac:dyDescent="0.35"/>
    <row r="1054" s="432" customFormat="1" x14ac:dyDescent="0.35"/>
    <row r="1055" s="432" customFormat="1" x14ac:dyDescent="0.35"/>
    <row r="1056" s="432" customFormat="1" x14ac:dyDescent="0.35"/>
    <row r="1057" s="432" customFormat="1" x14ac:dyDescent="0.35"/>
    <row r="1058" s="432" customFormat="1" x14ac:dyDescent="0.35"/>
    <row r="1059" s="432" customFormat="1" x14ac:dyDescent="0.35"/>
    <row r="1060" s="432" customFormat="1" x14ac:dyDescent="0.35"/>
    <row r="1061" s="432" customFormat="1" x14ac:dyDescent="0.35"/>
    <row r="1062" s="432" customFormat="1" x14ac:dyDescent="0.35"/>
    <row r="1063" s="432" customFormat="1" x14ac:dyDescent="0.35"/>
    <row r="1064" s="432" customFormat="1" x14ac:dyDescent="0.35"/>
    <row r="1065" s="432" customFormat="1" x14ac:dyDescent="0.35"/>
    <row r="1066" s="432" customFormat="1" x14ac:dyDescent="0.35"/>
    <row r="1067" s="432" customFormat="1" x14ac:dyDescent="0.35"/>
    <row r="1068" s="432" customFormat="1" x14ac:dyDescent="0.35"/>
    <row r="1069" s="432" customFormat="1" x14ac:dyDescent="0.35"/>
    <row r="1070" s="432" customFormat="1" x14ac:dyDescent="0.35"/>
    <row r="1071" s="432" customFormat="1" x14ac:dyDescent="0.35"/>
    <row r="1072" s="432" customFormat="1" x14ac:dyDescent="0.35"/>
    <row r="1073" s="432" customFormat="1" x14ac:dyDescent="0.35"/>
    <row r="1074" s="432" customFormat="1" x14ac:dyDescent="0.35"/>
    <row r="1075" s="432" customFormat="1" x14ac:dyDescent="0.35"/>
    <row r="1076" s="432" customFormat="1" x14ac:dyDescent="0.35"/>
    <row r="1077" s="432" customFormat="1" x14ac:dyDescent="0.35"/>
    <row r="1078" s="432" customFormat="1" x14ac:dyDescent="0.35"/>
    <row r="1079" s="432" customFormat="1" x14ac:dyDescent="0.35"/>
    <row r="1080" s="432" customFormat="1" x14ac:dyDescent="0.35"/>
    <row r="1081" s="432" customFormat="1" x14ac:dyDescent="0.35"/>
    <row r="1082" s="432" customFormat="1" x14ac:dyDescent="0.35"/>
    <row r="1083" s="432" customFormat="1" x14ac:dyDescent="0.35"/>
    <row r="1084" s="432" customFormat="1" x14ac:dyDescent="0.35"/>
    <row r="1085" s="432" customFormat="1" x14ac:dyDescent="0.35"/>
    <row r="1086" s="432" customFormat="1" x14ac:dyDescent="0.35"/>
    <row r="1087" s="432" customFormat="1" x14ac:dyDescent="0.35"/>
    <row r="1088" s="432" customFormat="1" x14ac:dyDescent="0.35"/>
    <row r="1089" s="432" customFormat="1" x14ac:dyDescent="0.35"/>
    <row r="1090" s="432" customFormat="1" x14ac:dyDescent="0.35"/>
    <row r="1091" s="432" customFormat="1" x14ac:dyDescent="0.35"/>
    <row r="1092" s="432" customFormat="1" x14ac:dyDescent="0.35"/>
    <row r="1093" s="432" customFormat="1" x14ac:dyDescent="0.35"/>
    <row r="1094" s="432" customFormat="1" x14ac:dyDescent="0.35"/>
    <row r="1095" s="432" customFormat="1" x14ac:dyDescent="0.35"/>
    <row r="1096" s="432" customFormat="1" x14ac:dyDescent="0.35"/>
    <row r="1097" s="432" customFormat="1" x14ac:dyDescent="0.35"/>
    <row r="1098" s="432" customFormat="1" x14ac:dyDescent="0.35"/>
    <row r="1099" s="432" customFormat="1" x14ac:dyDescent="0.35"/>
    <row r="1100" s="432" customFormat="1" x14ac:dyDescent="0.35"/>
    <row r="1101" s="432" customFormat="1" x14ac:dyDescent="0.35"/>
    <row r="1102" s="432" customFormat="1" x14ac:dyDescent="0.35"/>
    <row r="1103" s="432" customFormat="1" x14ac:dyDescent="0.35"/>
    <row r="1104" s="432" customFormat="1" x14ac:dyDescent="0.35"/>
    <row r="1105" s="432" customFormat="1" x14ac:dyDescent="0.35"/>
    <row r="1106" s="432" customFormat="1" x14ac:dyDescent="0.35"/>
    <row r="1107" s="432" customFormat="1" x14ac:dyDescent="0.35"/>
    <row r="1108" s="432" customFormat="1" x14ac:dyDescent="0.35"/>
    <row r="1109" s="432" customFormat="1" x14ac:dyDescent="0.35"/>
    <row r="1110" s="432" customFormat="1" x14ac:dyDescent="0.35"/>
    <row r="1111" s="432" customFormat="1" x14ac:dyDescent="0.35"/>
    <row r="1112" s="432" customFormat="1" x14ac:dyDescent="0.35"/>
    <row r="1113" s="432" customFormat="1" x14ac:dyDescent="0.35"/>
    <row r="1114" s="432" customFormat="1" x14ac:dyDescent="0.35"/>
    <row r="1115" s="432" customFormat="1" x14ac:dyDescent="0.35"/>
    <row r="1116" s="432" customFormat="1" x14ac:dyDescent="0.35"/>
    <row r="1117" s="432" customFormat="1" x14ac:dyDescent="0.35"/>
    <row r="1118" s="432" customFormat="1" x14ac:dyDescent="0.35"/>
    <row r="1119" s="432" customFormat="1" x14ac:dyDescent="0.35"/>
    <row r="1120" s="432" customFormat="1" x14ac:dyDescent="0.35"/>
    <row r="1121" s="432" customFormat="1" x14ac:dyDescent="0.35"/>
    <row r="1122" s="432" customFormat="1" x14ac:dyDescent="0.35"/>
    <row r="1123" s="432" customFormat="1" x14ac:dyDescent="0.35"/>
    <row r="1124" s="432" customFormat="1" x14ac:dyDescent="0.35"/>
    <row r="1125" s="432" customFormat="1" x14ac:dyDescent="0.35"/>
    <row r="1126" s="432" customFormat="1" x14ac:dyDescent="0.35"/>
    <row r="1127" s="432" customFormat="1" x14ac:dyDescent="0.35"/>
    <row r="1128" s="432" customFormat="1" x14ac:dyDescent="0.35"/>
    <row r="1129" s="432" customFormat="1" x14ac:dyDescent="0.35"/>
    <row r="1130" s="432" customFormat="1" x14ac:dyDescent="0.35"/>
    <row r="1131" s="432" customFormat="1" x14ac:dyDescent="0.35"/>
    <row r="1132" s="432" customFormat="1" x14ac:dyDescent="0.35"/>
    <row r="1133" s="432" customFormat="1" x14ac:dyDescent="0.35"/>
    <row r="1134" s="432" customFormat="1" x14ac:dyDescent="0.35"/>
    <row r="1135" s="432" customFormat="1" x14ac:dyDescent="0.35"/>
    <row r="1136" s="432" customFormat="1" x14ac:dyDescent="0.35"/>
    <row r="1137" s="432" customFormat="1" x14ac:dyDescent="0.35"/>
    <row r="1138" s="432" customFormat="1" x14ac:dyDescent="0.35"/>
    <row r="1139" s="432" customFormat="1" x14ac:dyDescent="0.35"/>
    <row r="1140" s="432" customFormat="1" x14ac:dyDescent="0.35"/>
    <row r="1141" s="432" customFormat="1" x14ac:dyDescent="0.35"/>
    <row r="1142" s="432" customFormat="1" x14ac:dyDescent="0.35"/>
    <row r="1143" s="432" customFormat="1" x14ac:dyDescent="0.35"/>
    <row r="1144" s="432" customFormat="1" x14ac:dyDescent="0.35"/>
    <row r="1145" s="432" customFormat="1" x14ac:dyDescent="0.35"/>
    <row r="1146" s="432" customFormat="1" x14ac:dyDescent="0.35"/>
    <row r="1147" s="432" customFormat="1" x14ac:dyDescent="0.35"/>
    <row r="1148" s="432" customFormat="1" x14ac:dyDescent="0.35"/>
    <row r="1149" s="432" customFormat="1" x14ac:dyDescent="0.35"/>
    <row r="1150" s="432" customFormat="1" x14ac:dyDescent="0.35"/>
    <row r="1151" s="432" customFormat="1" x14ac:dyDescent="0.35"/>
    <row r="1152" s="432" customFormat="1" x14ac:dyDescent="0.35"/>
    <row r="1153" s="432" customFormat="1" x14ac:dyDescent="0.35"/>
    <row r="1154" s="432" customFormat="1" x14ac:dyDescent="0.35"/>
    <row r="1155" s="432" customFormat="1" x14ac:dyDescent="0.35"/>
    <row r="1156" s="432" customFormat="1" x14ac:dyDescent="0.35"/>
    <row r="1157" s="432" customFormat="1" x14ac:dyDescent="0.35"/>
    <row r="1158" s="432" customFormat="1" x14ac:dyDescent="0.35"/>
    <row r="1159" s="432" customFormat="1" x14ac:dyDescent="0.35"/>
    <row r="1160" s="432" customFormat="1" x14ac:dyDescent="0.35"/>
    <row r="1161" s="432" customFormat="1" x14ac:dyDescent="0.35"/>
    <row r="1162" s="432" customFormat="1" x14ac:dyDescent="0.35"/>
    <row r="1163" s="432" customFormat="1" x14ac:dyDescent="0.35"/>
    <row r="1164" s="432" customFormat="1" x14ac:dyDescent="0.35"/>
    <row r="1165" s="432" customFormat="1" x14ac:dyDescent="0.35"/>
    <row r="1166" s="432" customFormat="1" x14ac:dyDescent="0.35"/>
    <row r="1167" s="432" customFormat="1" x14ac:dyDescent="0.35"/>
    <row r="1168" s="432" customFormat="1" x14ac:dyDescent="0.35"/>
    <row r="1169" s="432" customFormat="1" x14ac:dyDescent="0.35"/>
    <row r="1170" s="432" customFormat="1" x14ac:dyDescent="0.35"/>
    <row r="1171" s="432" customFormat="1" x14ac:dyDescent="0.35"/>
    <row r="1172" s="432" customFormat="1" x14ac:dyDescent="0.35"/>
    <row r="1173" s="432" customFormat="1" x14ac:dyDescent="0.35"/>
    <row r="1174" s="432" customFormat="1" x14ac:dyDescent="0.35"/>
    <row r="1175" s="432" customFormat="1" x14ac:dyDescent="0.35"/>
    <row r="1176" s="432" customFormat="1" x14ac:dyDescent="0.35"/>
    <row r="1177" s="432" customFormat="1" x14ac:dyDescent="0.35"/>
    <row r="1178" s="432" customFormat="1" x14ac:dyDescent="0.35"/>
    <row r="1179" s="432" customFormat="1" x14ac:dyDescent="0.35"/>
    <row r="1180" s="432" customFormat="1" x14ac:dyDescent="0.35"/>
    <row r="1181" s="432" customFormat="1" x14ac:dyDescent="0.35"/>
    <row r="1182" s="432" customFormat="1" x14ac:dyDescent="0.35"/>
    <row r="1183" s="432" customFormat="1" x14ac:dyDescent="0.35"/>
    <row r="1184" s="432" customFormat="1" x14ac:dyDescent="0.35"/>
    <row r="1185" s="432" customFormat="1" x14ac:dyDescent="0.35"/>
    <row r="1186" s="432" customFormat="1" x14ac:dyDescent="0.35"/>
    <row r="1187" s="432" customFormat="1" x14ac:dyDescent="0.35"/>
    <row r="1188" s="432" customFormat="1" x14ac:dyDescent="0.35"/>
    <row r="1189" s="432" customFormat="1" x14ac:dyDescent="0.35"/>
    <row r="1190" s="432" customFormat="1" x14ac:dyDescent="0.35"/>
    <row r="1191" s="432" customFormat="1" x14ac:dyDescent="0.35"/>
    <row r="1192" s="432" customFormat="1" x14ac:dyDescent="0.35"/>
    <row r="1193" s="432" customFormat="1" x14ac:dyDescent="0.35"/>
    <row r="1194" s="432" customFormat="1" x14ac:dyDescent="0.35"/>
    <row r="1195" s="432" customFormat="1" x14ac:dyDescent="0.35"/>
    <row r="1196" s="432" customFormat="1" x14ac:dyDescent="0.35"/>
    <row r="1197" s="432" customFormat="1" x14ac:dyDescent="0.35"/>
    <row r="1198" s="432" customFormat="1" x14ac:dyDescent="0.35"/>
    <row r="1199" s="432" customFormat="1" x14ac:dyDescent="0.35"/>
    <row r="1200" s="432" customFormat="1" x14ac:dyDescent="0.35"/>
    <row r="1201" s="432" customFormat="1" x14ac:dyDescent="0.35"/>
    <row r="1202" s="432" customFormat="1" x14ac:dyDescent="0.35"/>
    <row r="1203" s="432" customFormat="1" x14ac:dyDescent="0.35"/>
    <row r="1204" s="432" customFormat="1" x14ac:dyDescent="0.35"/>
    <row r="1205" s="432" customFormat="1" x14ac:dyDescent="0.35"/>
    <row r="1206" s="432" customFormat="1" x14ac:dyDescent="0.35"/>
    <row r="1207" s="432" customFormat="1" x14ac:dyDescent="0.35"/>
    <row r="1208" s="432" customFormat="1" x14ac:dyDescent="0.35"/>
    <row r="1209" s="432" customFormat="1" x14ac:dyDescent="0.35"/>
    <row r="1210" s="432" customFormat="1" x14ac:dyDescent="0.35"/>
    <row r="1211" s="432" customFormat="1" x14ac:dyDescent="0.35"/>
    <row r="1212" s="432" customFormat="1" x14ac:dyDescent="0.35"/>
    <row r="1213" s="432" customFormat="1" x14ac:dyDescent="0.35"/>
    <row r="1214" s="432" customFormat="1" x14ac:dyDescent="0.35"/>
    <row r="1215" s="432" customFormat="1" x14ac:dyDescent="0.35"/>
    <row r="1216" s="432" customFormat="1" x14ac:dyDescent="0.35"/>
    <row r="1217" s="432" customFormat="1" x14ac:dyDescent="0.35"/>
    <row r="1218" s="432" customFormat="1" x14ac:dyDescent="0.35"/>
    <row r="1219" s="432" customFormat="1" x14ac:dyDescent="0.35"/>
    <row r="1220" s="432" customFormat="1" x14ac:dyDescent="0.35"/>
    <row r="1221" s="432" customFormat="1" x14ac:dyDescent="0.35"/>
    <row r="1222" s="432" customFormat="1" x14ac:dyDescent="0.35"/>
    <row r="1223" s="432" customFormat="1" x14ac:dyDescent="0.35"/>
    <row r="1224" s="432" customFormat="1" x14ac:dyDescent="0.35"/>
    <row r="1225" s="432" customFormat="1" x14ac:dyDescent="0.35"/>
    <row r="1226" s="432" customFormat="1" x14ac:dyDescent="0.35"/>
    <row r="1227" s="432" customFormat="1" x14ac:dyDescent="0.35"/>
    <row r="1228" s="432" customFormat="1" x14ac:dyDescent="0.35"/>
    <row r="1229" s="432" customFormat="1" x14ac:dyDescent="0.35"/>
    <row r="1230" s="432" customFormat="1" x14ac:dyDescent="0.35"/>
    <row r="1231" s="432" customFormat="1" x14ac:dyDescent="0.35"/>
    <row r="1232" s="432" customFormat="1" x14ac:dyDescent="0.35"/>
    <row r="1233" s="432" customFormat="1" x14ac:dyDescent="0.35"/>
    <row r="1234" s="432" customFormat="1" x14ac:dyDescent="0.35"/>
    <row r="1235" s="432" customFormat="1" x14ac:dyDescent="0.35"/>
    <row r="1236" s="432" customFormat="1" x14ac:dyDescent="0.35"/>
    <row r="1237" s="432" customFormat="1" x14ac:dyDescent="0.35"/>
    <row r="1238" s="432" customFormat="1" x14ac:dyDescent="0.35"/>
    <row r="1239" s="432" customFormat="1" x14ac:dyDescent="0.35"/>
    <row r="1240" s="432" customFormat="1" x14ac:dyDescent="0.35"/>
    <row r="1241" s="432" customFormat="1" x14ac:dyDescent="0.35"/>
    <row r="1242" s="432" customFormat="1" x14ac:dyDescent="0.35"/>
    <row r="1243" s="432" customFormat="1" x14ac:dyDescent="0.35"/>
    <row r="1244" s="432" customFormat="1" x14ac:dyDescent="0.35"/>
    <row r="1245" s="432" customFormat="1" x14ac:dyDescent="0.35"/>
    <row r="1246" s="432" customFormat="1" x14ac:dyDescent="0.35"/>
    <row r="1247" s="432" customFormat="1" x14ac:dyDescent="0.35"/>
    <row r="1248" s="432" customFormat="1" x14ac:dyDescent="0.35"/>
    <row r="1249" s="432" customFormat="1" x14ac:dyDescent="0.35"/>
    <row r="1250" s="432" customFormat="1" x14ac:dyDescent="0.35"/>
    <row r="1251" s="432" customFormat="1" x14ac:dyDescent="0.35"/>
    <row r="1252" s="432" customFormat="1" x14ac:dyDescent="0.35"/>
    <row r="1253" s="432" customFormat="1" x14ac:dyDescent="0.35"/>
    <row r="1254" s="432" customFormat="1" x14ac:dyDescent="0.35"/>
    <row r="1255" s="432" customFormat="1" x14ac:dyDescent="0.35"/>
    <row r="1256" s="432" customFormat="1" x14ac:dyDescent="0.35"/>
    <row r="1257" s="432" customFormat="1" x14ac:dyDescent="0.35"/>
    <row r="1258" s="432" customFormat="1" x14ac:dyDescent="0.35"/>
    <row r="1259" s="432" customFormat="1" x14ac:dyDescent="0.35"/>
    <row r="1260" s="432" customFormat="1" x14ac:dyDescent="0.35"/>
    <row r="1261" s="432" customFormat="1" x14ac:dyDescent="0.35"/>
    <row r="1262" s="432" customFormat="1" x14ac:dyDescent="0.35"/>
    <row r="1263" s="432" customFormat="1" x14ac:dyDescent="0.35"/>
    <row r="1264" s="432" customFormat="1" x14ac:dyDescent="0.35"/>
    <row r="1265" s="432" customFormat="1" x14ac:dyDescent="0.35"/>
    <row r="1266" s="432" customFormat="1" x14ac:dyDescent="0.35"/>
    <row r="1267" s="432" customFormat="1" x14ac:dyDescent="0.35"/>
    <row r="1268" s="432" customFormat="1" x14ac:dyDescent="0.35"/>
    <row r="1269" s="432" customFormat="1" x14ac:dyDescent="0.35"/>
    <row r="1270" s="432" customFormat="1" x14ac:dyDescent="0.35"/>
    <row r="1271" s="432" customFormat="1" x14ac:dyDescent="0.35"/>
    <row r="1272" s="432" customFormat="1" x14ac:dyDescent="0.35"/>
    <row r="1273" s="432" customFormat="1" x14ac:dyDescent="0.35"/>
    <row r="1274" s="432" customFormat="1" x14ac:dyDescent="0.35"/>
    <row r="1275" s="432" customFormat="1" x14ac:dyDescent="0.35"/>
    <row r="1276" s="432" customFormat="1" x14ac:dyDescent="0.35"/>
    <row r="1277" s="432" customFormat="1" x14ac:dyDescent="0.35"/>
    <row r="1278" s="432" customFormat="1" x14ac:dyDescent="0.35"/>
    <row r="1279" s="432" customFormat="1" x14ac:dyDescent="0.35"/>
    <row r="1280" s="432" customFormat="1" x14ac:dyDescent="0.35"/>
    <row r="1281" s="432" customFormat="1" x14ac:dyDescent="0.35"/>
    <row r="1282" s="432" customFormat="1" x14ac:dyDescent="0.35"/>
    <row r="1283" s="432" customFormat="1" x14ac:dyDescent="0.35"/>
    <row r="1284" s="432" customFormat="1" x14ac:dyDescent="0.35"/>
    <row r="1285" s="432" customFormat="1" x14ac:dyDescent="0.35"/>
    <row r="1286" s="432" customFormat="1" x14ac:dyDescent="0.35"/>
    <row r="1287" s="432" customFormat="1" x14ac:dyDescent="0.35"/>
    <row r="1288" s="432" customFormat="1" x14ac:dyDescent="0.35"/>
    <row r="1289" s="432" customFormat="1" x14ac:dyDescent="0.35"/>
    <row r="1290" s="432" customFormat="1" x14ac:dyDescent="0.35"/>
    <row r="1291" s="432" customFormat="1" x14ac:dyDescent="0.35"/>
    <row r="1292" s="432" customFormat="1" x14ac:dyDescent="0.35"/>
    <row r="1293" s="432" customFormat="1" x14ac:dyDescent="0.35"/>
    <row r="1294" s="432" customFormat="1" x14ac:dyDescent="0.35"/>
    <row r="1295" s="432" customFormat="1" x14ac:dyDescent="0.35"/>
    <row r="1296" s="432" customFormat="1" x14ac:dyDescent="0.35"/>
    <row r="1297" s="432" customFormat="1" x14ac:dyDescent="0.35"/>
    <row r="1298" s="432" customFormat="1" x14ac:dyDescent="0.35"/>
    <row r="1299" s="432" customFormat="1" x14ac:dyDescent="0.35"/>
    <row r="1300" s="432" customFormat="1" x14ac:dyDescent="0.35"/>
    <row r="1301" s="432" customFormat="1" x14ac:dyDescent="0.35"/>
    <row r="1302" s="432" customFormat="1" x14ac:dyDescent="0.35"/>
    <row r="1303" s="432" customFormat="1" x14ac:dyDescent="0.35"/>
    <row r="1304" s="432" customFormat="1" x14ac:dyDescent="0.35"/>
    <row r="1305" s="432" customFormat="1" x14ac:dyDescent="0.35"/>
    <row r="1306" s="432" customFormat="1" x14ac:dyDescent="0.35"/>
    <row r="1307" s="432" customFormat="1" x14ac:dyDescent="0.35"/>
    <row r="1308" s="432" customFormat="1" x14ac:dyDescent="0.35"/>
    <row r="1309" s="432" customFormat="1" x14ac:dyDescent="0.35"/>
    <row r="1310" s="432" customFormat="1" x14ac:dyDescent="0.35"/>
    <row r="1311" s="432" customFormat="1" x14ac:dyDescent="0.35"/>
    <row r="1312" s="432" customFormat="1" x14ac:dyDescent="0.35"/>
    <row r="1313" s="432" customFormat="1" x14ac:dyDescent="0.35"/>
    <row r="1314" s="432" customFormat="1" x14ac:dyDescent="0.35"/>
    <row r="1315" s="432" customFormat="1" x14ac:dyDescent="0.35"/>
    <row r="1316" s="432" customFormat="1" x14ac:dyDescent="0.35"/>
    <row r="1317" s="432" customFormat="1" x14ac:dyDescent="0.35"/>
    <row r="1318" s="432" customFormat="1" x14ac:dyDescent="0.35"/>
    <row r="1319" s="432" customFormat="1" x14ac:dyDescent="0.35"/>
    <row r="1320" s="432" customFormat="1" x14ac:dyDescent="0.35"/>
    <row r="1321" s="432" customFormat="1" x14ac:dyDescent="0.35"/>
    <row r="1322" s="432" customFormat="1" x14ac:dyDescent="0.35"/>
    <row r="1323" s="432" customFormat="1" x14ac:dyDescent="0.35"/>
    <row r="1324" s="432" customFormat="1" x14ac:dyDescent="0.35"/>
    <row r="1325" s="432" customFormat="1" x14ac:dyDescent="0.35"/>
    <row r="1326" s="432" customFormat="1" x14ac:dyDescent="0.35"/>
    <row r="1327" s="432" customFormat="1" x14ac:dyDescent="0.35"/>
    <row r="1328" s="432" customFormat="1" x14ac:dyDescent="0.35"/>
    <row r="1329" s="432" customFormat="1" x14ac:dyDescent="0.35"/>
    <row r="1330" s="432" customFormat="1" x14ac:dyDescent="0.35"/>
    <row r="1331" s="432" customFormat="1" x14ac:dyDescent="0.35"/>
    <row r="1332" s="432" customFormat="1" x14ac:dyDescent="0.35"/>
    <row r="1333" s="432" customFormat="1" x14ac:dyDescent="0.35"/>
    <row r="1334" s="432" customFormat="1" x14ac:dyDescent="0.35"/>
    <row r="1335" s="432" customFormat="1" x14ac:dyDescent="0.35"/>
    <row r="1336" s="432" customFormat="1" x14ac:dyDescent="0.35"/>
    <row r="1337" s="432" customFormat="1" x14ac:dyDescent="0.35"/>
    <row r="1338" s="432" customFormat="1" x14ac:dyDescent="0.35"/>
    <row r="1339" s="432" customFormat="1" x14ac:dyDescent="0.35"/>
    <row r="1340" s="432" customFormat="1" x14ac:dyDescent="0.35"/>
    <row r="1341" s="432" customFormat="1" x14ac:dyDescent="0.35"/>
    <row r="1342" s="432" customFormat="1" x14ac:dyDescent="0.35"/>
    <row r="1343" s="432" customFormat="1" x14ac:dyDescent="0.35"/>
    <row r="1344" s="432" customFormat="1" x14ac:dyDescent="0.35"/>
    <row r="1345" s="432" customFormat="1" x14ac:dyDescent="0.35"/>
    <row r="1346" s="432" customFormat="1" x14ac:dyDescent="0.35"/>
    <row r="1347" s="432" customFormat="1" x14ac:dyDescent="0.35"/>
    <row r="1348" s="432" customFormat="1" x14ac:dyDescent="0.35"/>
    <row r="1349" s="432" customFormat="1" x14ac:dyDescent="0.35"/>
    <row r="1350" s="432" customFormat="1" x14ac:dyDescent="0.35"/>
    <row r="1351" s="432" customFormat="1" x14ac:dyDescent="0.35"/>
    <row r="1352" s="432" customFormat="1" x14ac:dyDescent="0.35"/>
    <row r="1353" s="432" customFormat="1" x14ac:dyDescent="0.35"/>
    <row r="1354" s="432" customFormat="1" x14ac:dyDescent="0.35"/>
    <row r="1355" s="432" customFormat="1" x14ac:dyDescent="0.35"/>
    <row r="1356" s="432" customFormat="1" x14ac:dyDescent="0.35"/>
    <row r="1357" s="432" customFormat="1" x14ac:dyDescent="0.35"/>
    <row r="1358" s="432" customFormat="1" x14ac:dyDescent="0.35"/>
    <row r="1359" s="432" customFormat="1" x14ac:dyDescent="0.35"/>
    <row r="1360" s="432" customFormat="1" x14ac:dyDescent="0.35"/>
    <row r="1361" s="432" customFormat="1" x14ac:dyDescent="0.35"/>
    <row r="1362" s="432" customFormat="1" x14ac:dyDescent="0.35"/>
    <row r="1363" s="432" customFormat="1" x14ac:dyDescent="0.35"/>
    <row r="1364" s="432" customFormat="1" x14ac:dyDescent="0.35"/>
    <row r="1365" s="432" customFormat="1" x14ac:dyDescent="0.35"/>
    <row r="1366" s="432" customFormat="1" x14ac:dyDescent="0.35"/>
    <row r="1367" s="432" customFormat="1" x14ac:dyDescent="0.35"/>
    <row r="1368" s="432" customFormat="1" x14ac:dyDescent="0.35"/>
    <row r="1369" s="432" customFormat="1" x14ac:dyDescent="0.35"/>
    <row r="1370" s="432" customFormat="1" x14ac:dyDescent="0.35"/>
    <row r="1371" s="432" customFormat="1" x14ac:dyDescent="0.35"/>
    <row r="1372" s="432" customFormat="1" x14ac:dyDescent="0.35"/>
    <row r="1373" s="432" customFormat="1" x14ac:dyDescent="0.35"/>
    <row r="1374" s="432" customFormat="1" x14ac:dyDescent="0.35"/>
    <row r="1375" s="432" customFormat="1" x14ac:dyDescent="0.35"/>
    <row r="1376" s="432" customFormat="1" x14ac:dyDescent="0.35"/>
    <row r="1377" s="432" customFormat="1" x14ac:dyDescent="0.35"/>
    <row r="1378" s="432" customFormat="1" x14ac:dyDescent="0.35"/>
    <row r="1379" s="432" customFormat="1" x14ac:dyDescent="0.35"/>
    <row r="1380" s="432" customFormat="1" x14ac:dyDescent="0.35"/>
    <row r="1381" s="432" customFormat="1" x14ac:dyDescent="0.35"/>
    <row r="1382" s="432" customFormat="1" x14ac:dyDescent="0.35"/>
    <row r="1383" s="432" customFormat="1" x14ac:dyDescent="0.35"/>
    <row r="1384" s="432" customFormat="1" x14ac:dyDescent="0.35"/>
    <row r="1385" s="432" customFormat="1" x14ac:dyDescent="0.35"/>
    <row r="1386" s="432" customFormat="1" x14ac:dyDescent="0.35"/>
    <row r="1387" s="432" customFormat="1" x14ac:dyDescent="0.35"/>
    <row r="1388" s="432" customFormat="1" x14ac:dyDescent="0.35"/>
    <row r="1389" s="432" customFormat="1" x14ac:dyDescent="0.35"/>
    <row r="1390" s="432" customFormat="1" x14ac:dyDescent="0.35"/>
    <row r="1391" s="432" customFormat="1" x14ac:dyDescent="0.35"/>
    <row r="1392" s="432" customFormat="1" x14ac:dyDescent="0.35"/>
    <row r="1393" s="432" customFormat="1" x14ac:dyDescent="0.35"/>
    <row r="1394" s="432" customFormat="1" x14ac:dyDescent="0.35"/>
    <row r="1395" s="432" customFormat="1" x14ac:dyDescent="0.35"/>
    <row r="1396" s="432" customFormat="1" x14ac:dyDescent="0.35"/>
    <row r="1397" s="432" customFormat="1" x14ac:dyDescent="0.35"/>
    <row r="1398" s="432" customFormat="1" x14ac:dyDescent="0.35"/>
    <row r="1399" s="432" customFormat="1" x14ac:dyDescent="0.35"/>
    <row r="1400" s="432" customFormat="1" x14ac:dyDescent="0.35"/>
    <row r="1401" s="432" customFormat="1" x14ac:dyDescent="0.35"/>
    <row r="1402" s="432" customFormat="1" x14ac:dyDescent="0.35"/>
    <row r="1403" s="432" customFormat="1" x14ac:dyDescent="0.35"/>
    <row r="1404" s="432" customFormat="1" x14ac:dyDescent="0.35"/>
    <row r="1405" s="432" customFormat="1" x14ac:dyDescent="0.35"/>
    <row r="1406" s="432" customFormat="1" x14ac:dyDescent="0.35"/>
    <row r="1407" s="432" customFormat="1" x14ac:dyDescent="0.35"/>
    <row r="1408" s="432" customFormat="1" x14ac:dyDescent="0.35"/>
    <row r="1409" s="432" customFormat="1" x14ac:dyDescent="0.35"/>
    <row r="1410" s="432" customFormat="1" x14ac:dyDescent="0.35"/>
    <row r="1411" s="432" customFormat="1" x14ac:dyDescent="0.35"/>
    <row r="1412" s="432" customFormat="1" x14ac:dyDescent="0.35"/>
    <row r="1413" s="432" customFormat="1" x14ac:dyDescent="0.35"/>
    <row r="1414" s="432" customFormat="1" x14ac:dyDescent="0.35"/>
    <row r="1415" s="432" customFormat="1" x14ac:dyDescent="0.35"/>
    <row r="1416" s="432" customFormat="1" x14ac:dyDescent="0.35"/>
    <row r="1417" s="432" customFormat="1" x14ac:dyDescent="0.35"/>
    <row r="1418" s="432" customFormat="1" x14ac:dyDescent="0.35"/>
    <row r="1419" s="432" customFormat="1" x14ac:dyDescent="0.35"/>
    <row r="1420" s="432" customFormat="1" x14ac:dyDescent="0.35"/>
    <row r="1421" s="432" customFormat="1" x14ac:dyDescent="0.35"/>
    <row r="1422" s="432" customFormat="1" x14ac:dyDescent="0.35"/>
    <row r="1423" s="432" customFormat="1" x14ac:dyDescent="0.35"/>
    <row r="1424" s="432" customFormat="1" x14ac:dyDescent="0.35"/>
    <row r="1425" s="432" customFormat="1" x14ac:dyDescent="0.35"/>
    <row r="1426" s="432" customFormat="1" x14ac:dyDescent="0.35"/>
    <row r="1427" s="432" customFormat="1" x14ac:dyDescent="0.35"/>
    <row r="1428" s="432" customFormat="1" x14ac:dyDescent="0.35"/>
    <row r="1429" s="432" customFormat="1" x14ac:dyDescent="0.35"/>
    <row r="1430" s="432" customFormat="1" x14ac:dyDescent="0.35"/>
    <row r="1431" s="432" customFormat="1" x14ac:dyDescent="0.35"/>
    <row r="1432" s="432" customFormat="1" x14ac:dyDescent="0.35"/>
    <row r="1433" s="432" customFormat="1" x14ac:dyDescent="0.35"/>
    <row r="1434" s="432" customFormat="1" x14ac:dyDescent="0.35"/>
    <row r="1435" s="432" customFormat="1" x14ac:dyDescent="0.35"/>
    <row r="1436" s="432" customFormat="1" x14ac:dyDescent="0.35"/>
    <row r="1437" s="432" customFormat="1" x14ac:dyDescent="0.35"/>
    <row r="1438" s="432" customFormat="1" x14ac:dyDescent="0.35"/>
    <row r="1439" s="432" customFormat="1" x14ac:dyDescent="0.35"/>
    <row r="1440" s="432" customFormat="1" x14ac:dyDescent="0.35"/>
    <row r="1441" s="432" customFormat="1" x14ac:dyDescent="0.35"/>
    <row r="1442" s="432" customFormat="1" x14ac:dyDescent="0.35"/>
    <row r="1443" s="432" customFormat="1" x14ac:dyDescent="0.35"/>
    <row r="1444" s="432" customFormat="1" x14ac:dyDescent="0.35"/>
    <row r="1445" s="432" customFormat="1" x14ac:dyDescent="0.35"/>
    <row r="1446" s="432" customFormat="1" x14ac:dyDescent="0.35"/>
    <row r="1447" s="432" customFormat="1" x14ac:dyDescent="0.35"/>
    <row r="1448" s="432" customFormat="1" x14ac:dyDescent="0.35"/>
    <row r="1449" s="432" customFormat="1" x14ac:dyDescent="0.35"/>
    <row r="1450" s="432" customFormat="1" x14ac:dyDescent="0.35"/>
    <row r="1451" s="432" customFormat="1" x14ac:dyDescent="0.35"/>
    <row r="1452" s="432" customFormat="1" x14ac:dyDescent="0.35"/>
    <row r="1453" s="432" customFormat="1" x14ac:dyDescent="0.35"/>
    <row r="1454" s="432" customFormat="1" x14ac:dyDescent="0.35"/>
    <row r="1455" s="432" customFormat="1" x14ac:dyDescent="0.35"/>
    <row r="1456" s="432" customFormat="1" x14ac:dyDescent="0.35"/>
    <row r="1457" s="432" customFormat="1" x14ac:dyDescent="0.35"/>
    <row r="1458" s="432" customFormat="1" x14ac:dyDescent="0.35"/>
    <row r="1459" s="432" customFormat="1" x14ac:dyDescent="0.35"/>
    <row r="1460" s="432" customFormat="1" x14ac:dyDescent="0.35"/>
    <row r="1461" s="432" customFormat="1" x14ac:dyDescent="0.35"/>
    <row r="1462" s="432" customFormat="1" x14ac:dyDescent="0.35"/>
    <row r="1463" s="432" customFormat="1" x14ac:dyDescent="0.35"/>
    <row r="1464" s="432" customFormat="1" x14ac:dyDescent="0.35"/>
    <row r="1465" s="432" customFormat="1" x14ac:dyDescent="0.35"/>
    <row r="1466" s="432" customFormat="1" x14ac:dyDescent="0.35"/>
    <row r="1467" s="432" customFormat="1" x14ac:dyDescent="0.35"/>
    <row r="1468" s="432" customFormat="1" x14ac:dyDescent="0.35"/>
    <row r="1469" s="432" customFormat="1" x14ac:dyDescent="0.35"/>
    <row r="1470" s="432" customFormat="1" x14ac:dyDescent="0.35"/>
    <row r="1471" s="432" customFormat="1" x14ac:dyDescent="0.35"/>
    <row r="1472" s="432" customFormat="1" x14ac:dyDescent="0.35"/>
    <row r="1473" s="432" customFormat="1" x14ac:dyDescent="0.35"/>
    <row r="1474" s="432" customFormat="1" x14ac:dyDescent="0.35"/>
    <row r="1475" s="432" customFormat="1" x14ac:dyDescent="0.35"/>
    <row r="1476" s="432" customFormat="1" x14ac:dyDescent="0.35"/>
    <row r="1477" s="432" customFormat="1" x14ac:dyDescent="0.35"/>
    <row r="1478" s="432" customFormat="1" x14ac:dyDescent="0.35"/>
    <row r="1479" s="432" customFormat="1" x14ac:dyDescent="0.35"/>
    <row r="1480" s="432" customFormat="1" x14ac:dyDescent="0.35"/>
    <row r="1481" s="432" customFormat="1" x14ac:dyDescent="0.35"/>
    <row r="1482" s="432" customFormat="1" x14ac:dyDescent="0.35"/>
    <row r="1483" s="432" customFormat="1" x14ac:dyDescent="0.35"/>
    <row r="1484" s="432" customFormat="1" x14ac:dyDescent="0.35"/>
    <row r="1485" s="432" customFormat="1" x14ac:dyDescent="0.35"/>
    <row r="1486" s="432" customFormat="1" x14ac:dyDescent="0.35"/>
    <row r="1487" s="432" customFormat="1" x14ac:dyDescent="0.35"/>
    <row r="1488" s="432" customFormat="1" x14ac:dyDescent="0.35"/>
    <row r="1489" s="432" customFormat="1" x14ac:dyDescent="0.35"/>
    <row r="1490" s="432" customFormat="1" x14ac:dyDescent="0.35"/>
    <row r="1491" s="432" customFormat="1" x14ac:dyDescent="0.35"/>
    <row r="1492" s="432" customFormat="1" x14ac:dyDescent="0.35"/>
    <row r="1493" s="432" customFormat="1" x14ac:dyDescent="0.35"/>
    <row r="1494" s="432" customFormat="1" x14ac:dyDescent="0.35"/>
    <row r="1495" s="432" customFormat="1" x14ac:dyDescent="0.35"/>
    <row r="1496" s="432" customFormat="1" x14ac:dyDescent="0.35"/>
    <row r="1497" s="432" customFormat="1" x14ac:dyDescent="0.35"/>
    <row r="1498" s="432" customFormat="1" x14ac:dyDescent="0.35"/>
    <row r="1499" s="432" customFormat="1" x14ac:dyDescent="0.35"/>
    <row r="1500" s="432" customFormat="1" x14ac:dyDescent="0.35"/>
    <row r="1501" s="432" customFormat="1" x14ac:dyDescent="0.35"/>
    <row r="1502" s="432" customFormat="1" x14ac:dyDescent="0.35"/>
    <row r="1503" s="432" customFormat="1" x14ac:dyDescent="0.35"/>
    <row r="1504" s="432" customFormat="1" x14ac:dyDescent="0.35"/>
    <row r="1505" s="432" customFormat="1" x14ac:dyDescent="0.35"/>
    <row r="1506" s="432" customFormat="1" x14ac:dyDescent="0.35"/>
    <row r="1507" s="432" customFormat="1" x14ac:dyDescent="0.35"/>
    <row r="1508" s="432" customFormat="1" x14ac:dyDescent="0.35"/>
    <row r="1509" s="432" customFormat="1" x14ac:dyDescent="0.35"/>
  </sheetData>
  <sheetProtection algorithmName="SHA-512" hashValue="RYQBGGGGHglhfoVpD70pYXpMTvXmeDt2SQhdjMJ6oj829O+b5HfD55Mqf1IAR2X3uAMZhOg2FN+H2VducIcTWQ==" saltValue="J+DW0EzqnVZ6COxQSGGbig=="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13" r:id="rId4" name="Spinner 21">
              <controlPr defaultSize="0" autoPict="0">
                <anchor moveWithCells="1" sizeWithCells="1">
                  <from>
                    <xdr:col>2</xdr:col>
                    <xdr:colOff>1200150</xdr:colOff>
                    <xdr:row>24</xdr:row>
                    <xdr:rowOff>50800</xdr:rowOff>
                  </from>
                  <to>
                    <xdr:col>2</xdr:col>
                    <xdr:colOff>1543050</xdr:colOff>
                    <xdr:row>24</xdr:row>
                    <xdr:rowOff>228600</xdr:rowOff>
                  </to>
                </anchor>
              </controlPr>
            </control>
          </mc:Choice>
        </mc:AlternateContent>
        <mc:AlternateContent xmlns:mc="http://schemas.openxmlformats.org/markup-compatibility/2006">
          <mc:Choice Requires="x14">
            <control shapeId="8215" r:id="rId5" name="Spinner 23">
              <controlPr defaultSize="0" autoPict="0">
                <anchor moveWithCells="1" sizeWithCells="1">
                  <from>
                    <xdr:col>2</xdr:col>
                    <xdr:colOff>1200150</xdr:colOff>
                    <xdr:row>26</xdr:row>
                    <xdr:rowOff>57150</xdr:rowOff>
                  </from>
                  <to>
                    <xdr:col>2</xdr:col>
                    <xdr:colOff>1543050</xdr:colOff>
                    <xdr:row>26</xdr:row>
                    <xdr:rowOff>241300</xdr:rowOff>
                  </to>
                </anchor>
              </controlPr>
            </control>
          </mc:Choice>
        </mc:AlternateContent>
        <mc:AlternateContent xmlns:mc="http://schemas.openxmlformats.org/markup-compatibility/2006">
          <mc:Choice Requires="x14">
            <control shapeId="8219" r:id="rId6" name="Spinner 27">
              <controlPr defaultSize="0" autoPict="0">
                <anchor moveWithCells="1" sizeWithCells="1">
                  <from>
                    <xdr:col>2</xdr:col>
                    <xdr:colOff>1200150</xdr:colOff>
                    <xdr:row>34</xdr:row>
                    <xdr:rowOff>57150</xdr:rowOff>
                  </from>
                  <to>
                    <xdr:col>2</xdr:col>
                    <xdr:colOff>1543050</xdr:colOff>
                    <xdr:row>34</xdr:row>
                    <xdr:rowOff>241300</xdr:rowOff>
                  </to>
                </anchor>
              </controlPr>
            </control>
          </mc:Choice>
        </mc:AlternateContent>
        <mc:AlternateContent xmlns:mc="http://schemas.openxmlformats.org/markup-compatibility/2006">
          <mc:Choice Requires="x14">
            <control shapeId="8220" r:id="rId7" name="Spinner 28">
              <controlPr defaultSize="0" autoPict="0">
                <anchor moveWithCells="1" sizeWithCells="1">
                  <from>
                    <xdr:col>2</xdr:col>
                    <xdr:colOff>1200150</xdr:colOff>
                    <xdr:row>40</xdr:row>
                    <xdr:rowOff>57150</xdr:rowOff>
                  </from>
                  <to>
                    <xdr:col>2</xdr:col>
                    <xdr:colOff>1543050</xdr:colOff>
                    <xdr:row>40</xdr:row>
                    <xdr:rowOff>241300</xdr:rowOff>
                  </to>
                </anchor>
              </controlPr>
            </control>
          </mc:Choice>
        </mc:AlternateContent>
        <mc:AlternateContent xmlns:mc="http://schemas.openxmlformats.org/markup-compatibility/2006">
          <mc:Choice Requires="x14">
            <control shapeId="8221" r:id="rId8" name="Spinner 29">
              <controlPr defaultSize="0" autoPict="0">
                <anchor moveWithCells="1" sizeWithCells="1">
                  <from>
                    <xdr:col>2</xdr:col>
                    <xdr:colOff>1200150</xdr:colOff>
                    <xdr:row>44</xdr:row>
                    <xdr:rowOff>57150</xdr:rowOff>
                  </from>
                  <to>
                    <xdr:col>2</xdr:col>
                    <xdr:colOff>1543050</xdr:colOff>
                    <xdr:row>44</xdr:row>
                    <xdr:rowOff>241300</xdr:rowOff>
                  </to>
                </anchor>
              </controlPr>
            </control>
          </mc:Choice>
        </mc:AlternateContent>
        <mc:AlternateContent xmlns:mc="http://schemas.openxmlformats.org/markup-compatibility/2006">
          <mc:Choice Requires="x14">
            <control shapeId="8222" r:id="rId9" name="Spinner 30">
              <controlPr defaultSize="0" autoPict="0">
                <anchor moveWithCells="1" sizeWithCells="1">
                  <from>
                    <xdr:col>2</xdr:col>
                    <xdr:colOff>1200150</xdr:colOff>
                    <xdr:row>48</xdr:row>
                    <xdr:rowOff>57150</xdr:rowOff>
                  </from>
                  <to>
                    <xdr:col>2</xdr:col>
                    <xdr:colOff>1543050</xdr:colOff>
                    <xdr:row>48</xdr:row>
                    <xdr:rowOff>241300</xdr:rowOff>
                  </to>
                </anchor>
              </controlPr>
            </control>
          </mc:Choice>
        </mc:AlternateContent>
        <mc:AlternateContent xmlns:mc="http://schemas.openxmlformats.org/markup-compatibility/2006">
          <mc:Choice Requires="x14">
            <control shapeId="8223" r:id="rId10" name="Spinner 31">
              <controlPr defaultSize="0" autoPict="0">
                <anchor moveWithCells="1" sizeWithCells="1">
                  <from>
                    <xdr:col>2</xdr:col>
                    <xdr:colOff>1200150</xdr:colOff>
                    <xdr:row>42</xdr:row>
                    <xdr:rowOff>57150</xdr:rowOff>
                  </from>
                  <to>
                    <xdr:col>2</xdr:col>
                    <xdr:colOff>1543050</xdr:colOff>
                    <xdr:row>42</xdr:row>
                    <xdr:rowOff>241300</xdr:rowOff>
                  </to>
                </anchor>
              </controlPr>
            </control>
          </mc:Choice>
        </mc:AlternateContent>
        <mc:AlternateContent xmlns:mc="http://schemas.openxmlformats.org/markup-compatibility/2006">
          <mc:Choice Requires="x14">
            <control shapeId="8224" r:id="rId11" name="Spinner 32">
              <controlPr defaultSize="0" autoPict="0">
                <anchor moveWithCells="1" sizeWithCells="1">
                  <from>
                    <xdr:col>2</xdr:col>
                    <xdr:colOff>1200150</xdr:colOff>
                    <xdr:row>38</xdr:row>
                    <xdr:rowOff>57150</xdr:rowOff>
                  </from>
                  <to>
                    <xdr:col>2</xdr:col>
                    <xdr:colOff>1543050</xdr:colOff>
                    <xdr:row>38</xdr:row>
                    <xdr:rowOff>241300</xdr:rowOff>
                  </to>
                </anchor>
              </controlPr>
            </control>
          </mc:Choice>
        </mc:AlternateContent>
        <mc:AlternateContent xmlns:mc="http://schemas.openxmlformats.org/markup-compatibility/2006">
          <mc:Choice Requires="x14">
            <control shapeId="8228" r:id="rId12" name="Spinner 36">
              <controlPr defaultSize="0" autoPict="0">
                <anchor moveWithCells="1" sizeWithCells="1">
                  <from>
                    <xdr:col>2</xdr:col>
                    <xdr:colOff>1200150</xdr:colOff>
                    <xdr:row>32</xdr:row>
                    <xdr:rowOff>57150</xdr:rowOff>
                  </from>
                  <to>
                    <xdr:col>2</xdr:col>
                    <xdr:colOff>1543050</xdr:colOff>
                    <xdr:row>32</xdr:row>
                    <xdr:rowOff>241300</xdr:rowOff>
                  </to>
                </anchor>
              </controlPr>
            </control>
          </mc:Choice>
        </mc:AlternateContent>
        <mc:AlternateContent xmlns:mc="http://schemas.openxmlformats.org/markup-compatibility/2006">
          <mc:Choice Requires="x14">
            <control shapeId="8231" r:id="rId13" name="Spinner 39">
              <controlPr defaultSize="0" autoPict="0">
                <anchor moveWithCells="1" sizeWithCells="1">
                  <from>
                    <xdr:col>2</xdr:col>
                    <xdr:colOff>1200150</xdr:colOff>
                    <xdr:row>20</xdr:row>
                    <xdr:rowOff>57150</xdr:rowOff>
                  </from>
                  <to>
                    <xdr:col>2</xdr:col>
                    <xdr:colOff>1543050</xdr:colOff>
                    <xdr:row>20</xdr:row>
                    <xdr:rowOff>241300</xdr:rowOff>
                  </to>
                </anchor>
              </controlPr>
            </control>
          </mc:Choice>
        </mc:AlternateContent>
        <mc:AlternateContent xmlns:mc="http://schemas.openxmlformats.org/markup-compatibility/2006">
          <mc:Choice Requires="x14">
            <control shapeId="8232" r:id="rId14" name="Spinner 40">
              <controlPr defaultSize="0" autoPict="0">
                <anchor moveWithCells="1" sizeWithCells="1">
                  <from>
                    <xdr:col>2</xdr:col>
                    <xdr:colOff>1200150</xdr:colOff>
                    <xdr:row>30</xdr:row>
                    <xdr:rowOff>57150</xdr:rowOff>
                  </from>
                  <to>
                    <xdr:col>2</xdr:col>
                    <xdr:colOff>1543050</xdr:colOff>
                    <xdr:row>30</xdr:row>
                    <xdr:rowOff>241300</xdr:rowOff>
                  </to>
                </anchor>
              </controlPr>
            </control>
          </mc:Choice>
        </mc:AlternateContent>
        <mc:AlternateContent xmlns:mc="http://schemas.openxmlformats.org/markup-compatibility/2006">
          <mc:Choice Requires="x14">
            <control shapeId="8238" r:id="rId15" name="Spinner 46">
              <controlPr defaultSize="0" autoPict="0">
                <anchor moveWithCells="1" sizeWithCells="1">
                  <from>
                    <xdr:col>2</xdr:col>
                    <xdr:colOff>1028700</xdr:colOff>
                    <xdr:row>28</xdr:row>
                    <xdr:rowOff>0</xdr:rowOff>
                  </from>
                  <to>
                    <xdr:col>3</xdr:col>
                    <xdr:colOff>0</xdr:colOff>
                    <xdr:row>28</xdr:row>
                    <xdr:rowOff>0</xdr:rowOff>
                  </to>
                </anchor>
              </controlPr>
            </control>
          </mc:Choice>
        </mc:AlternateContent>
        <mc:AlternateContent xmlns:mc="http://schemas.openxmlformats.org/markup-compatibility/2006">
          <mc:Choice Requires="x14">
            <control shapeId="8239" r:id="rId16" name="Spinner 47">
              <controlPr defaultSize="0" autoPict="0">
                <anchor moveWithCells="1" sizeWithCells="1">
                  <from>
                    <xdr:col>2</xdr:col>
                    <xdr:colOff>1028700</xdr:colOff>
                    <xdr:row>36</xdr:row>
                    <xdr:rowOff>0</xdr:rowOff>
                  </from>
                  <to>
                    <xdr:col>3</xdr:col>
                    <xdr:colOff>0</xdr:colOff>
                    <xdr:row>36</xdr:row>
                    <xdr:rowOff>0</xdr:rowOff>
                  </to>
                </anchor>
              </controlPr>
            </control>
          </mc:Choice>
        </mc:AlternateContent>
        <mc:AlternateContent xmlns:mc="http://schemas.openxmlformats.org/markup-compatibility/2006">
          <mc:Choice Requires="x14">
            <control shapeId="8243" r:id="rId17" name="Spinner 51">
              <controlPr defaultSize="0" autoPict="0">
                <anchor moveWithCells="1" sizeWithCells="1">
                  <from>
                    <xdr:col>2</xdr:col>
                    <xdr:colOff>1200150</xdr:colOff>
                    <xdr:row>46</xdr:row>
                    <xdr:rowOff>57150</xdr:rowOff>
                  </from>
                  <to>
                    <xdr:col>2</xdr:col>
                    <xdr:colOff>1543050</xdr:colOff>
                    <xdr:row>46</xdr:row>
                    <xdr:rowOff>241300</xdr:rowOff>
                  </to>
                </anchor>
              </controlPr>
            </control>
          </mc:Choice>
        </mc:AlternateContent>
        <mc:AlternateContent xmlns:mc="http://schemas.openxmlformats.org/markup-compatibility/2006">
          <mc:Choice Requires="x14">
            <control shapeId="8244" r:id="rId18" name="Spinner 52">
              <controlPr defaultSize="0" autoPict="0">
                <anchor moveWithCells="1" sizeWithCells="1">
                  <from>
                    <xdr:col>2</xdr:col>
                    <xdr:colOff>1200150</xdr:colOff>
                    <xdr:row>28</xdr:row>
                    <xdr:rowOff>57150</xdr:rowOff>
                  </from>
                  <to>
                    <xdr:col>2</xdr:col>
                    <xdr:colOff>1543050</xdr:colOff>
                    <xdr:row>28</xdr:row>
                    <xdr:rowOff>241300</xdr:rowOff>
                  </to>
                </anchor>
              </controlPr>
            </control>
          </mc:Choice>
        </mc:AlternateContent>
        <mc:AlternateContent xmlns:mc="http://schemas.openxmlformats.org/markup-compatibility/2006">
          <mc:Choice Requires="x14">
            <control shapeId="8245" r:id="rId19" name="Spinner 53">
              <controlPr defaultSize="0" autoPict="0">
                <anchor moveWithCells="1" sizeWithCells="1">
                  <from>
                    <xdr:col>2</xdr:col>
                    <xdr:colOff>1200150</xdr:colOff>
                    <xdr:row>36</xdr:row>
                    <xdr:rowOff>57150</xdr:rowOff>
                  </from>
                  <to>
                    <xdr:col>2</xdr:col>
                    <xdr:colOff>1543050</xdr:colOff>
                    <xdr:row>36</xdr:row>
                    <xdr:rowOff>241300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W546"/>
  <sheetViews>
    <sheetView zoomScaleNormal="100" workbookViewId="0"/>
  </sheetViews>
  <sheetFormatPr defaultColWidth="16.7265625" defaultRowHeight="14.5" x14ac:dyDescent="0.35"/>
  <cols>
    <col min="1" max="1" width="3.26953125" style="18" customWidth="1"/>
    <col min="2" max="2" width="82.81640625" style="18" customWidth="1"/>
    <col min="3" max="3" width="36.54296875" style="18" customWidth="1"/>
    <col min="4" max="4" width="46" style="18" customWidth="1"/>
    <col min="5" max="8" width="16.7265625" style="18"/>
    <col min="9" max="22" width="16.7265625" style="432"/>
    <col min="23" max="16384" width="16.7265625" style="18"/>
  </cols>
  <sheetData>
    <row r="1" spans="1:3" x14ac:dyDescent="0.35">
      <c r="A1" s="17"/>
    </row>
    <row r="2" spans="1:3" x14ac:dyDescent="0.35">
      <c r="A2" s="17"/>
    </row>
    <row r="3" spans="1:3" x14ac:dyDescent="0.35">
      <c r="A3" s="17"/>
    </row>
    <row r="4" spans="1:3" x14ac:dyDescent="0.35">
      <c r="A4" s="17"/>
    </row>
    <row r="5" spans="1:3" x14ac:dyDescent="0.35">
      <c r="A5" s="17"/>
    </row>
    <row r="6" spans="1:3" x14ac:dyDescent="0.35">
      <c r="A6" s="17"/>
    </row>
    <row r="7" spans="1:3" x14ac:dyDescent="0.35">
      <c r="A7" s="17"/>
    </row>
    <row r="8" spans="1:3" x14ac:dyDescent="0.35">
      <c r="A8" s="17"/>
    </row>
    <row r="9" spans="1:3" x14ac:dyDescent="0.35">
      <c r="A9" s="432"/>
    </row>
    <row r="10" spans="1:3" ht="20.149999999999999" customHeight="1" x14ac:dyDescent="0.35">
      <c r="A10" s="17"/>
      <c r="B10" s="511" t="s">
        <v>946</v>
      </c>
      <c r="C10" s="510"/>
    </row>
    <row r="11" spans="1:3" ht="20.149999999999999" customHeight="1" x14ac:dyDescent="0.35">
      <c r="A11" s="432"/>
      <c r="B11" s="171" t="s">
        <v>698</v>
      </c>
      <c r="C11" s="140">
        <f>'Baseline farm'!D19</f>
        <v>0</v>
      </c>
    </row>
    <row r="12" spans="1:3" ht="20.149999999999999" customHeight="1" x14ac:dyDescent="0.35">
      <c r="A12" s="17"/>
      <c r="B12" s="171" t="s">
        <v>427</v>
      </c>
      <c r="C12" s="140">
        <f>'Baseline farm'!D21</f>
        <v>0</v>
      </c>
    </row>
    <row r="13" spans="1:3" ht="20.149999999999999" hidden="1" customHeight="1" x14ac:dyDescent="0.35">
      <c r="A13" s="17"/>
      <c r="B13" s="171" t="s">
        <v>15</v>
      </c>
      <c r="C13" s="8">
        <v>0</v>
      </c>
    </row>
    <row r="14" spans="1:3" ht="20.149999999999999" customHeight="1" x14ac:dyDescent="0.35">
      <c r="A14" s="17"/>
      <c r="B14" s="171" t="s">
        <v>458</v>
      </c>
      <c r="C14" s="8" t="e">
        <f>'Baseline farm'!H35</f>
        <v>#DIV/0!</v>
      </c>
    </row>
    <row r="15" spans="1:3" ht="20.149999999999999" customHeight="1" x14ac:dyDescent="0.35">
      <c r="A15" s="17"/>
      <c r="B15" s="171" t="s">
        <v>476</v>
      </c>
      <c r="C15" s="7">
        <f>'Baseline farm'!D35</f>
        <v>0</v>
      </c>
    </row>
    <row r="16" spans="1:3" ht="20.149999999999999" customHeight="1" x14ac:dyDescent="0.35">
      <c r="A16" s="17"/>
      <c r="B16" s="268" t="s">
        <v>459</v>
      </c>
      <c r="C16" s="8" t="e">
        <f>'Baseline farm'!F44</f>
        <v>#DIV/0!</v>
      </c>
    </row>
    <row r="17" spans="1:3" ht="20.149999999999999" customHeight="1" x14ac:dyDescent="0.35">
      <c r="B17" s="269" t="s">
        <v>460</v>
      </c>
      <c r="C17" s="141" t="e">
        <f>'Baseline farm'!H44</f>
        <v>#DIV/0!</v>
      </c>
    </row>
    <row r="18" spans="1:3" ht="20.149999999999999" customHeight="1" x14ac:dyDescent="0.35">
      <c r="B18" s="512" t="s">
        <v>947</v>
      </c>
      <c r="C18" s="333"/>
    </row>
    <row r="19" spans="1:3" ht="21.75" customHeight="1" x14ac:dyDescent="0.35">
      <c r="A19" s="17"/>
      <c r="B19" s="270" t="s">
        <v>65</v>
      </c>
      <c r="C19" s="661">
        <f>C68/10</f>
        <v>4</v>
      </c>
    </row>
    <row r="20" spans="1:3" ht="5.15" customHeight="1" x14ac:dyDescent="0.35">
      <c r="A20" s="17"/>
      <c r="B20" s="270"/>
      <c r="C20" s="305"/>
    </row>
    <row r="21" spans="1:3" ht="20.149999999999999" customHeight="1" x14ac:dyDescent="0.35">
      <c r="A21" s="17"/>
      <c r="B21" s="270" t="s">
        <v>67</v>
      </c>
      <c r="C21" s="661">
        <f>C69/10</f>
        <v>2</v>
      </c>
    </row>
    <row r="22" spans="1:3" ht="5.15" customHeight="1" x14ac:dyDescent="0.35">
      <c r="B22" s="272"/>
      <c r="C22" s="308"/>
    </row>
    <row r="23" spans="1:3" ht="20.149999999999999" customHeight="1" x14ac:dyDescent="0.35">
      <c r="A23" s="17"/>
      <c r="B23" s="270" t="s">
        <v>90</v>
      </c>
      <c r="C23" s="661">
        <f>C70/10</f>
        <v>80</v>
      </c>
    </row>
    <row r="24" spans="1:3" ht="5.15" customHeight="1" x14ac:dyDescent="0.35">
      <c r="A24" s="17"/>
      <c r="B24" s="270"/>
      <c r="C24" s="305"/>
    </row>
    <row r="25" spans="1:3" ht="20.149999999999999" customHeight="1" x14ac:dyDescent="0.35">
      <c r="A25" s="17"/>
      <c r="B25" s="270" t="s">
        <v>462</v>
      </c>
      <c r="C25" s="661">
        <f>C71/10</f>
        <v>12</v>
      </c>
    </row>
    <row r="26" spans="1:3" ht="5.15" customHeight="1" x14ac:dyDescent="0.35">
      <c r="A26" s="17"/>
      <c r="B26" s="270"/>
      <c r="C26" s="305"/>
    </row>
    <row r="27" spans="1:3" ht="20.149999999999999" customHeight="1" x14ac:dyDescent="0.35">
      <c r="A27" s="17"/>
      <c r="B27" s="270" t="s">
        <v>66</v>
      </c>
      <c r="C27" s="661">
        <f>C72/10</f>
        <v>13</v>
      </c>
    </row>
    <row r="28" spans="1:3" ht="5.15" customHeight="1" x14ac:dyDescent="0.35">
      <c r="A28" s="17"/>
      <c r="B28" s="270"/>
      <c r="C28" s="304"/>
    </row>
    <row r="29" spans="1:3" ht="20.149999999999999" customHeight="1" x14ac:dyDescent="0.35">
      <c r="A29" s="17"/>
      <c r="B29" s="270" t="s">
        <v>95</v>
      </c>
      <c r="C29" s="663">
        <f>C73/1</f>
        <v>150</v>
      </c>
    </row>
    <row r="30" spans="1:3" ht="5.15" customHeight="1" x14ac:dyDescent="0.35">
      <c r="A30" s="17"/>
      <c r="B30" s="270"/>
      <c r="C30" s="304"/>
    </row>
    <row r="31" spans="1:3" ht="20.149999999999999" customHeight="1" x14ac:dyDescent="0.35">
      <c r="A31" s="17"/>
      <c r="B31" s="270" t="s">
        <v>69</v>
      </c>
      <c r="C31" s="663">
        <f>C74/1</f>
        <v>300</v>
      </c>
    </row>
    <row r="32" spans="1:3" ht="5.15" customHeight="1" x14ac:dyDescent="0.35">
      <c r="A32" s="17"/>
      <c r="B32" s="270"/>
      <c r="C32" s="304"/>
    </row>
    <row r="33" spans="1:22" ht="20.149999999999999" customHeight="1" x14ac:dyDescent="0.35">
      <c r="A33" s="17"/>
      <c r="B33" s="270" t="s">
        <v>697</v>
      </c>
      <c r="C33" s="974">
        <f>C75/100</f>
        <v>0.8</v>
      </c>
    </row>
    <row r="34" spans="1:22" ht="5.15" customHeight="1" x14ac:dyDescent="0.35">
      <c r="A34" s="17"/>
      <c r="B34" s="270"/>
      <c r="C34" s="304"/>
    </row>
    <row r="35" spans="1:22" ht="20.149999999999999" customHeight="1" x14ac:dyDescent="0.35">
      <c r="A35" s="17"/>
      <c r="B35" s="172" t="s">
        <v>117</v>
      </c>
      <c r="C35" s="664">
        <f>C76/1000</f>
        <v>0.6</v>
      </c>
    </row>
    <row r="36" spans="1:22" ht="4.5" customHeight="1" x14ac:dyDescent="0.35">
      <c r="A36" s="17"/>
      <c r="B36" s="172"/>
      <c r="C36" s="306"/>
    </row>
    <row r="37" spans="1:22" ht="20.149999999999999" customHeight="1" x14ac:dyDescent="0.35">
      <c r="A37" s="17"/>
      <c r="B37" s="172" t="s">
        <v>118</v>
      </c>
      <c r="C37" s="664">
        <f>C77/1000</f>
        <v>0.6</v>
      </c>
    </row>
    <row r="38" spans="1:22" ht="4.5" customHeight="1" x14ac:dyDescent="0.35">
      <c r="A38" s="17"/>
      <c r="B38" s="172"/>
      <c r="C38" s="306"/>
    </row>
    <row r="39" spans="1:22" ht="20.149999999999999" customHeight="1" x14ac:dyDescent="0.35">
      <c r="A39" s="17"/>
      <c r="B39" s="172" t="s">
        <v>70</v>
      </c>
      <c r="C39" s="665">
        <f>C78/100</f>
        <v>30</v>
      </c>
    </row>
    <row r="40" spans="1:22" s="137" customFormat="1" ht="5.15" customHeight="1" x14ac:dyDescent="0.35">
      <c r="A40" s="136"/>
      <c r="B40" s="172"/>
      <c r="C40" s="313"/>
      <c r="I40" s="136"/>
      <c r="J40" s="136"/>
      <c r="K40" s="136"/>
      <c r="L40" s="136"/>
      <c r="M40" s="136"/>
      <c r="N40" s="136"/>
      <c r="O40" s="136"/>
      <c r="P40" s="136"/>
      <c r="Q40" s="136"/>
      <c r="R40" s="136"/>
      <c r="S40" s="136"/>
      <c r="T40" s="136"/>
      <c r="U40" s="136"/>
      <c r="V40" s="136"/>
    </row>
    <row r="41" spans="1:22" ht="20.149999999999999" customHeight="1" x14ac:dyDescent="0.35">
      <c r="A41" s="17"/>
      <c r="B41" s="513" t="s">
        <v>948</v>
      </c>
      <c r="C41" s="514"/>
    </row>
    <row r="42" spans="1:22" ht="20.149999999999999" customHeight="1" x14ac:dyDescent="0.35">
      <c r="A42" s="432"/>
      <c r="B42" s="277" t="s">
        <v>98</v>
      </c>
      <c r="C42" s="515" t="e">
        <f>IF(C176&gt;7, "TOO HIGH",C176)</f>
        <v>#DIV/0!</v>
      </c>
    </row>
    <row r="43" spans="1:22" ht="20.149999999999999" customHeight="1" x14ac:dyDescent="0.35">
      <c r="A43" s="17"/>
      <c r="B43" s="174" t="s">
        <v>16</v>
      </c>
      <c r="C43" s="10" t="e">
        <f>IF(C42="TOO HIGH",0,C168*C29*C11)</f>
        <v>#DIV/0!</v>
      </c>
    </row>
    <row r="44" spans="1:22" ht="20.149999999999999" customHeight="1" x14ac:dyDescent="0.35">
      <c r="A44" s="17"/>
      <c r="B44" s="175" t="s">
        <v>949</v>
      </c>
      <c r="C44" s="11"/>
    </row>
    <row r="45" spans="1:22" ht="20.149999999999999" customHeight="1" x14ac:dyDescent="0.35">
      <c r="A45" s="17"/>
      <c r="B45" s="409" t="s">
        <v>82</v>
      </c>
      <c r="C45" s="410" t="e">
        <f>D411</f>
        <v>#DIV/0!</v>
      </c>
    </row>
    <row r="46" spans="1:22" ht="20.149999999999999" customHeight="1" x14ac:dyDescent="0.35">
      <c r="A46" s="17"/>
      <c r="B46" s="409" t="s">
        <v>456</v>
      </c>
      <c r="C46" s="410" t="e">
        <f>D412</f>
        <v>#DIV/0!</v>
      </c>
    </row>
    <row r="47" spans="1:22" ht="20.149999999999999" customHeight="1" x14ac:dyDescent="0.35">
      <c r="A47" s="17"/>
      <c r="B47" s="409" t="s">
        <v>457</v>
      </c>
      <c r="C47" s="410" t="e">
        <f>D413</f>
        <v>#DIV/0!</v>
      </c>
    </row>
    <row r="48" spans="1:22" ht="20.149999999999999" customHeight="1" x14ac:dyDescent="0.35">
      <c r="A48" s="17"/>
      <c r="B48" s="409" t="s">
        <v>197</v>
      </c>
      <c r="C48" s="410">
        <f>D414</f>
        <v>0</v>
      </c>
    </row>
    <row r="49" spans="1:4" ht="20.149999999999999" customHeight="1" x14ac:dyDescent="0.35">
      <c r="A49" s="17"/>
      <c r="B49" s="409" t="s">
        <v>198</v>
      </c>
      <c r="C49" s="410" t="e">
        <f>SUM(C45:C48)</f>
        <v>#DIV/0!</v>
      </c>
    </row>
    <row r="50" spans="1:4" ht="20.149999999999999" customHeight="1" x14ac:dyDescent="0.35">
      <c r="A50" s="17"/>
      <c r="B50" s="411" t="s">
        <v>944</v>
      </c>
      <c r="C50" s="412" t="e">
        <f>IF(C49&gt;0,C49*C39,0)</f>
        <v>#DIV/0!</v>
      </c>
    </row>
    <row r="51" spans="1:4" ht="20.149999999999999" customHeight="1" x14ac:dyDescent="0.35">
      <c r="A51" s="17"/>
      <c r="B51" s="411" t="s">
        <v>945</v>
      </c>
      <c r="C51" s="412">
        <f>(C29*C21*C11/1000*C31)</f>
        <v>0</v>
      </c>
    </row>
    <row r="52" spans="1:4" ht="20.149999999999999" customHeight="1" x14ac:dyDescent="0.35">
      <c r="A52" s="17"/>
      <c r="B52" s="411" t="s">
        <v>18</v>
      </c>
      <c r="C52" s="413" t="e">
        <f>IF(C50&gt;1,C50-C51,C51*-1)</f>
        <v>#DIV/0!</v>
      </c>
    </row>
    <row r="53" spans="1:4" ht="20.149999999999999" customHeight="1" x14ac:dyDescent="0.35">
      <c r="A53" s="17"/>
      <c r="B53" s="411" t="s">
        <v>88</v>
      </c>
      <c r="C53" s="412" t="e">
        <f>C43*C37</f>
        <v>#DIV/0!</v>
      </c>
    </row>
    <row r="54" spans="1:4" ht="20.149999999999999" customHeight="1" x14ac:dyDescent="0.35">
      <c r="A54" s="17"/>
      <c r="B54" s="411" t="s">
        <v>17</v>
      </c>
      <c r="C54" s="412" t="e">
        <f>IF(C50&gt;1,C50-C51+C53,C53-C51)</f>
        <v>#DIV/0!</v>
      </c>
    </row>
    <row r="55" spans="1:4" ht="20.149999999999999" customHeight="1" x14ac:dyDescent="0.35">
      <c r="A55" s="17"/>
      <c r="B55" s="1703" t="s">
        <v>950</v>
      </c>
      <c r="C55" s="1704" t="e">
        <f>C89</f>
        <v>#DIV/0!</v>
      </c>
    </row>
    <row r="56" spans="1:4" s="432" customFormat="1" x14ac:dyDescent="0.35">
      <c r="B56" s="138"/>
      <c r="C56" s="139"/>
    </row>
    <row r="57" spans="1:4" s="432" customFormat="1" x14ac:dyDescent="0.35">
      <c r="B57" s="138"/>
      <c r="C57" s="139"/>
    </row>
    <row r="58" spans="1:4" s="432" customFormat="1" x14ac:dyDescent="0.35">
      <c r="B58" s="138"/>
      <c r="C58" s="139"/>
    </row>
    <row r="59" spans="1:4" s="432" customFormat="1" x14ac:dyDescent="0.35">
      <c r="B59" s="138"/>
      <c r="C59" s="139"/>
    </row>
    <row r="60" spans="1:4" s="432" customFormat="1" x14ac:dyDescent="0.35">
      <c r="C60" s="139"/>
    </row>
    <row r="61" spans="1:4" s="432" customFormat="1" x14ac:dyDescent="0.35">
      <c r="C61" s="139"/>
    </row>
    <row r="62" spans="1:4" s="432" customFormat="1" ht="23" x14ac:dyDescent="0.5">
      <c r="B62" s="485"/>
      <c r="C62" s="139"/>
    </row>
    <row r="63" spans="1:4" s="432" customFormat="1" ht="24.75" customHeight="1" x14ac:dyDescent="0.5">
      <c r="B63" s="485"/>
      <c r="C63" s="139"/>
    </row>
    <row r="64" spans="1:4" s="432" customFormat="1" x14ac:dyDescent="0.35">
      <c r="B64" s="138"/>
      <c r="C64" s="139"/>
      <c r="D64" s="597"/>
    </row>
    <row r="65" spans="2:4" s="432" customFormat="1" ht="15" customHeight="1" x14ac:dyDescent="0.35">
      <c r="B65" s="138"/>
      <c r="C65" s="139"/>
    </row>
    <row r="66" spans="2:4" hidden="1" x14ac:dyDescent="0.35">
      <c r="B66" s="24"/>
      <c r="C66" s="25"/>
    </row>
    <row r="67" spans="2:4" hidden="1" x14ac:dyDescent="0.35">
      <c r="B67" s="27" t="s">
        <v>150</v>
      </c>
      <c r="C67" s="28"/>
      <c r="D67" s="29"/>
    </row>
    <row r="68" spans="2:4" hidden="1" x14ac:dyDescent="0.35">
      <c r="B68" s="46" t="s">
        <v>131</v>
      </c>
      <c r="C68" s="51">
        <v>40</v>
      </c>
      <c r="D68" s="29"/>
    </row>
    <row r="69" spans="2:4" hidden="1" x14ac:dyDescent="0.35">
      <c r="B69" s="46" t="s">
        <v>67</v>
      </c>
      <c r="C69" s="51">
        <v>20</v>
      </c>
      <c r="D69" s="29"/>
    </row>
    <row r="70" spans="2:4" hidden="1" x14ac:dyDescent="0.35">
      <c r="B70" s="46" t="s">
        <v>2166</v>
      </c>
      <c r="C70" s="51">
        <v>800</v>
      </c>
      <c r="D70" s="29"/>
    </row>
    <row r="71" spans="2:4" hidden="1" x14ac:dyDescent="0.35">
      <c r="B71" s="46" t="s">
        <v>461</v>
      </c>
      <c r="C71" s="51">
        <v>120</v>
      </c>
      <c r="D71" s="29"/>
    </row>
    <row r="72" spans="2:4" hidden="1" x14ac:dyDescent="0.35">
      <c r="B72" s="46" t="s">
        <v>66</v>
      </c>
      <c r="C72" s="51">
        <v>130</v>
      </c>
      <c r="D72" s="29"/>
    </row>
    <row r="73" spans="2:4" hidden="1" x14ac:dyDescent="0.35">
      <c r="B73" s="46" t="s">
        <v>705</v>
      </c>
      <c r="C73" s="51">
        <v>150</v>
      </c>
      <c r="D73" s="29"/>
    </row>
    <row r="74" spans="2:4" hidden="1" x14ac:dyDescent="0.35">
      <c r="B74" s="46" t="s">
        <v>706</v>
      </c>
      <c r="C74" s="51">
        <v>300</v>
      </c>
      <c r="D74" s="29"/>
    </row>
    <row r="75" spans="2:4" hidden="1" x14ac:dyDescent="0.35">
      <c r="B75" s="46" t="s">
        <v>91</v>
      </c>
      <c r="C75" s="51">
        <v>80</v>
      </c>
      <c r="D75" s="29"/>
    </row>
    <row r="76" spans="2:4" hidden="1" x14ac:dyDescent="0.35">
      <c r="B76" s="46" t="s">
        <v>126</v>
      </c>
      <c r="C76" s="51">
        <v>600</v>
      </c>
      <c r="D76" s="29"/>
    </row>
    <row r="77" spans="2:4" hidden="1" x14ac:dyDescent="0.35">
      <c r="B77" s="46" t="s">
        <v>127</v>
      </c>
      <c r="C77" s="51">
        <v>600</v>
      </c>
      <c r="D77" s="29"/>
    </row>
    <row r="78" spans="2:4" hidden="1" x14ac:dyDescent="0.35">
      <c r="B78" s="46" t="s">
        <v>70</v>
      </c>
      <c r="C78" s="51">
        <v>3000</v>
      </c>
      <c r="D78" s="29"/>
    </row>
    <row r="79" spans="2:4" hidden="1" x14ac:dyDescent="0.35">
      <c r="B79" s="24"/>
      <c r="C79" s="28"/>
      <c r="D79" s="29"/>
    </row>
    <row r="80" spans="2:4" hidden="1" x14ac:dyDescent="0.35">
      <c r="B80" s="24"/>
      <c r="C80" s="51"/>
      <c r="D80" s="29"/>
    </row>
    <row r="81" spans="2:7" ht="15.5" hidden="1" x14ac:dyDescent="0.35">
      <c r="B81" s="27" t="s">
        <v>140</v>
      </c>
      <c r="C81" s="168" t="s">
        <v>660</v>
      </c>
      <c r="D81" s="169"/>
    </row>
    <row r="82" spans="2:7" hidden="1" x14ac:dyDescent="0.35">
      <c r="B82" s="138" t="s">
        <v>2077</v>
      </c>
      <c r="C82" s="125" t="e">
        <f>C50</f>
        <v>#DIV/0!</v>
      </c>
      <c r="D82" s="53"/>
    </row>
    <row r="83" spans="2:7" hidden="1" x14ac:dyDescent="0.35">
      <c r="B83" s="24" t="s">
        <v>19</v>
      </c>
      <c r="C83" s="125">
        <f>C51</f>
        <v>0</v>
      </c>
      <c r="D83" s="53"/>
    </row>
    <row r="84" spans="2:7" hidden="1" x14ac:dyDescent="0.35">
      <c r="B84" s="24" t="s">
        <v>20</v>
      </c>
      <c r="C84" s="125" t="e">
        <f>C53</f>
        <v>#DIV/0!</v>
      </c>
      <c r="D84" s="53"/>
    </row>
    <row r="85" spans="2:7" hidden="1" x14ac:dyDescent="0.35">
      <c r="B85" s="24" t="s">
        <v>21</v>
      </c>
      <c r="C85" s="125" t="e">
        <f>C54</f>
        <v>#DIV/0!</v>
      </c>
      <c r="D85" s="53"/>
    </row>
    <row r="86" spans="2:7" hidden="1" x14ac:dyDescent="0.35">
      <c r="B86" s="24"/>
      <c r="C86" s="125"/>
      <c r="D86" s="53"/>
    </row>
    <row r="87" spans="2:7" hidden="1" x14ac:dyDescent="0.35">
      <c r="B87" s="24"/>
      <c r="C87" s="125"/>
      <c r="D87" s="53"/>
    </row>
    <row r="88" spans="2:7" hidden="1" x14ac:dyDescent="0.35">
      <c r="B88" s="24" t="s">
        <v>102</v>
      </c>
      <c r="C88" s="182" t="e">
        <f>C11*C14*C15*C35</f>
        <v>#DIV/0!</v>
      </c>
      <c r="D88" s="31"/>
    </row>
    <row r="89" spans="2:7" hidden="1" x14ac:dyDescent="0.35">
      <c r="B89" s="24" t="s">
        <v>2076</v>
      </c>
      <c r="C89" s="35" t="e">
        <f>C85/C88</f>
        <v>#DIV/0!</v>
      </c>
      <c r="D89" s="31"/>
    </row>
    <row r="90" spans="2:7" hidden="1" x14ac:dyDescent="0.35">
      <c r="B90" s="24"/>
      <c r="C90" s="51"/>
      <c r="D90" s="51"/>
    </row>
    <row r="91" spans="2:7" hidden="1" x14ac:dyDescent="0.35">
      <c r="B91" s="41"/>
      <c r="C91" s="38"/>
      <c r="D91" s="29"/>
      <c r="E91" s="126"/>
      <c r="F91" s="126"/>
    </row>
    <row r="92" spans="2:7" hidden="1" x14ac:dyDescent="0.35">
      <c r="B92" s="27" t="s">
        <v>154</v>
      </c>
      <c r="C92" s="29"/>
      <c r="D92" s="29"/>
      <c r="E92" s="29"/>
      <c r="F92" s="126"/>
      <c r="G92" s="126"/>
    </row>
    <row r="93" spans="2:7" hidden="1" x14ac:dyDescent="0.35">
      <c r="B93" s="27" t="s">
        <v>442</v>
      </c>
      <c r="C93" s="127"/>
      <c r="D93" s="29"/>
      <c r="E93" s="37"/>
      <c r="F93" s="126"/>
    </row>
    <row r="94" spans="2:7" hidden="1" x14ac:dyDescent="0.35">
      <c r="B94" s="24" t="s">
        <v>11</v>
      </c>
      <c r="C94" s="43" t="e">
        <f>'Baseline farm'!D231</f>
        <v>#DIV/0!</v>
      </c>
      <c r="D94" s="29"/>
      <c r="E94" s="128"/>
      <c r="F94" s="126"/>
    </row>
    <row r="95" spans="2:7" hidden="1" x14ac:dyDescent="0.35">
      <c r="B95" s="46"/>
      <c r="C95" s="128"/>
      <c r="D95" s="29"/>
      <c r="E95" s="37"/>
      <c r="F95" s="126"/>
    </row>
    <row r="96" spans="2:7" hidden="1" x14ac:dyDescent="0.35">
      <c r="B96" s="24" t="s">
        <v>12</v>
      </c>
      <c r="C96" s="32">
        <f>$C$11</f>
        <v>0</v>
      </c>
      <c r="D96" s="29"/>
      <c r="E96" s="44"/>
      <c r="F96" s="126"/>
    </row>
    <row r="97" spans="2:13" hidden="1" x14ac:dyDescent="0.35">
      <c r="B97" s="24" t="s">
        <v>13</v>
      </c>
      <c r="C97" s="44" t="e">
        <f>C94*C96*365</f>
        <v>#DIV/0!</v>
      </c>
      <c r="D97" s="29"/>
      <c r="E97" s="45"/>
      <c r="F97" s="126"/>
    </row>
    <row r="98" spans="2:13" hidden="1" x14ac:dyDescent="0.35">
      <c r="B98" s="27" t="s">
        <v>14</v>
      </c>
      <c r="C98" s="45" t="e">
        <f>C97*'Emission factors'!C4/1000</f>
        <v>#DIV/0!</v>
      </c>
      <c r="D98" s="29"/>
      <c r="E98" s="37"/>
      <c r="F98" s="126"/>
    </row>
    <row r="99" spans="2:13" hidden="1" x14ac:dyDescent="0.35">
      <c r="B99" s="24"/>
      <c r="C99" s="40"/>
      <c r="D99" s="29"/>
      <c r="E99" s="40"/>
      <c r="F99" s="126"/>
    </row>
    <row r="100" spans="2:13" hidden="1" x14ac:dyDescent="0.35">
      <c r="B100" s="24"/>
      <c r="C100" s="38"/>
      <c r="D100" s="29"/>
      <c r="E100" s="126"/>
      <c r="F100" s="126"/>
    </row>
    <row r="101" spans="2:13" hidden="1" x14ac:dyDescent="0.35">
      <c r="B101" s="24"/>
      <c r="C101" s="39"/>
      <c r="D101" s="29"/>
      <c r="E101" s="126"/>
      <c r="F101" s="126"/>
    </row>
    <row r="102" spans="2:13" hidden="1" x14ac:dyDescent="0.35">
      <c r="B102" s="24"/>
      <c r="C102" s="38"/>
      <c r="D102" s="29"/>
      <c r="E102" s="126"/>
      <c r="F102" s="126"/>
    </row>
    <row r="103" spans="2:13" hidden="1" x14ac:dyDescent="0.35">
      <c r="B103" s="48" t="s">
        <v>155</v>
      </c>
      <c r="C103" s="37"/>
      <c r="D103" s="29"/>
      <c r="E103" s="130"/>
      <c r="F103" s="183"/>
    </row>
    <row r="104" spans="2:13" hidden="1" x14ac:dyDescent="0.35">
      <c r="B104" s="27" t="s">
        <v>442</v>
      </c>
      <c r="C104" s="37"/>
      <c r="D104" s="29"/>
      <c r="E104" s="37"/>
      <c r="F104" s="126"/>
      <c r="K104" s="488"/>
      <c r="L104" s="488"/>
      <c r="M104" s="488"/>
    </row>
    <row r="105" spans="2:13" hidden="1" x14ac:dyDescent="0.35">
      <c r="B105" s="24"/>
      <c r="C105" s="39"/>
      <c r="D105" s="29"/>
      <c r="E105" s="37"/>
      <c r="F105" s="126"/>
      <c r="K105" s="488"/>
      <c r="L105" s="488"/>
      <c r="M105" s="488"/>
    </row>
    <row r="106" spans="2:13" hidden="1" x14ac:dyDescent="0.35">
      <c r="B106" s="24" t="s">
        <v>764</v>
      </c>
      <c r="C106" s="40" t="e">
        <f>'Baseline farm'!D223-'Baseline farm'!D227</f>
        <v>#DIV/0!</v>
      </c>
      <c r="D106" s="178" t="s">
        <v>970</v>
      </c>
      <c r="E106" s="49"/>
      <c r="F106" s="126"/>
      <c r="K106" s="488"/>
      <c r="L106" s="488"/>
      <c r="M106" s="488"/>
    </row>
    <row r="107" spans="2:13" hidden="1" x14ac:dyDescent="0.35">
      <c r="B107" s="24"/>
      <c r="C107" s="38"/>
      <c r="D107" s="29"/>
      <c r="E107" s="37"/>
      <c r="F107" s="126"/>
      <c r="K107" s="488"/>
      <c r="L107" s="488"/>
      <c r="M107" s="488"/>
    </row>
    <row r="108" spans="2:13" hidden="1" x14ac:dyDescent="0.35">
      <c r="B108" s="24" t="s">
        <v>765</v>
      </c>
      <c r="C108" s="37" t="e">
        <f>(C148*1.03*3.054)/0.6/((0.00795*C140)-0.0014)/18.4</f>
        <v>#DIV/0!</v>
      </c>
      <c r="D108" s="29"/>
      <c r="E108" s="37"/>
      <c r="F108" s="126"/>
      <c r="K108" s="488"/>
      <c r="L108" s="488"/>
      <c r="M108" s="488"/>
    </row>
    <row r="109" spans="2:13" hidden="1" x14ac:dyDescent="0.35">
      <c r="B109" s="27"/>
      <c r="C109" s="37"/>
      <c r="D109" s="29"/>
      <c r="E109" s="37"/>
      <c r="F109" s="126"/>
      <c r="K109" s="488"/>
      <c r="L109" s="488"/>
      <c r="M109" s="488"/>
    </row>
    <row r="110" spans="2:13" hidden="1" x14ac:dyDescent="0.35">
      <c r="B110" s="24" t="s">
        <v>672</v>
      </c>
      <c r="C110" s="49" t="e">
        <f>C106+C108</f>
        <v>#DIV/0!</v>
      </c>
      <c r="D110" s="29"/>
      <c r="E110" s="38"/>
      <c r="F110" s="126"/>
    </row>
    <row r="111" spans="2:13" hidden="1" x14ac:dyDescent="0.35">
      <c r="B111" s="41"/>
      <c r="C111" s="38"/>
      <c r="D111" s="29"/>
      <c r="E111" s="38"/>
      <c r="F111" s="126"/>
    </row>
    <row r="112" spans="2:13" hidden="1" x14ac:dyDescent="0.35">
      <c r="B112" s="24" t="s">
        <v>4</v>
      </c>
      <c r="C112" s="39" t="s">
        <v>5</v>
      </c>
      <c r="D112" s="29"/>
      <c r="E112" s="37"/>
      <c r="F112" s="126"/>
    </row>
    <row r="113" spans="2:6" hidden="1" x14ac:dyDescent="0.35">
      <c r="B113" s="24"/>
      <c r="C113" s="38"/>
      <c r="D113" s="29"/>
      <c r="E113" s="37"/>
      <c r="F113" s="126"/>
    </row>
    <row r="114" spans="2:6" hidden="1" x14ac:dyDescent="0.35">
      <c r="B114" s="24"/>
      <c r="C114" s="42" t="e">
        <f>(C110*18.4)</f>
        <v>#DIV/0!</v>
      </c>
      <c r="D114" s="29"/>
      <c r="E114" s="37"/>
      <c r="F114" s="126"/>
    </row>
    <row r="115" spans="2:6" hidden="1" x14ac:dyDescent="0.35">
      <c r="B115" s="24"/>
      <c r="C115" s="38"/>
      <c r="D115" s="29"/>
      <c r="E115" s="42"/>
      <c r="F115" s="126"/>
    </row>
    <row r="116" spans="2:6" hidden="1" x14ac:dyDescent="0.35">
      <c r="B116" s="24" t="s">
        <v>6</v>
      </c>
      <c r="C116" s="39" t="s">
        <v>7</v>
      </c>
      <c r="D116" s="29"/>
      <c r="E116" s="37"/>
      <c r="F116" s="126"/>
    </row>
    <row r="117" spans="2:6" hidden="1" x14ac:dyDescent="0.35">
      <c r="B117" s="24"/>
      <c r="C117" s="40" t="e">
        <f>C110/(1.185+(0.00454*$C$12)-(0.0000026*($C$12)^2)+(0.315*0))^2</f>
        <v>#DIV/0!</v>
      </c>
      <c r="D117" s="29"/>
      <c r="E117" s="37"/>
      <c r="F117" s="126"/>
    </row>
    <row r="118" spans="2:6" hidden="1" x14ac:dyDescent="0.35">
      <c r="B118" s="24"/>
      <c r="C118" s="38"/>
      <c r="D118" s="29"/>
      <c r="E118" s="37"/>
      <c r="F118" s="126"/>
    </row>
    <row r="119" spans="2:6" hidden="1" x14ac:dyDescent="0.35">
      <c r="B119" s="24" t="s">
        <v>8</v>
      </c>
      <c r="C119" s="39" t="s">
        <v>9</v>
      </c>
      <c r="D119" s="29"/>
      <c r="E119" s="42"/>
      <c r="F119" s="126"/>
    </row>
    <row r="120" spans="2:6" hidden="1" x14ac:dyDescent="0.35">
      <c r="B120" s="24" t="s">
        <v>153</v>
      </c>
      <c r="C120" s="38"/>
      <c r="D120" s="29"/>
      <c r="E120" s="37"/>
      <c r="F120" s="126"/>
    </row>
    <row r="121" spans="2:6" hidden="1" x14ac:dyDescent="0.35">
      <c r="B121" s="24"/>
      <c r="C121" s="42" t="e">
        <f>1.3+(0.112*C140)+C117*(2.37-(0.05*C140))</f>
        <v>#DIV/0!</v>
      </c>
      <c r="D121" s="29"/>
      <c r="E121" s="37"/>
      <c r="F121" s="126"/>
    </row>
    <row r="122" spans="2:6" hidden="1" x14ac:dyDescent="0.35">
      <c r="B122" s="24"/>
      <c r="C122" s="38"/>
      <c r="D122" s="29"/>
      <c r="E122" s="40"/>
      <c r="F122" s="126"/>
    </row>
    <row r="123" spans="2:6" hidden="1" x14ac:dyDescent="0.35">
      <c r="B123" s="24" t="s">
        <v>10</v>
      </c>
      <c r="C123" s="39" t="s">
        <v>1526</v>
      </c>
      <c r="D123" s="29"/>
      <c r="E123" s="37"/>
      <c r="F123" s="126"/>
    </row>
    <row r="124" spans="2:6" hidden="1" x14ac:dyDescent="0.35">
      <c r="B124" s="24"/>
      <c r="C124" s="132"/>
      <c r="D124" s="29"/>
      <c r="E124" s="37"/>
      <c r="F124" s="126"/>
    </row>
    <row r="125" spans="2:6" hidden="1" x14ac:dyDescent="0.35">
      <c r="B125" s="27" t="s">
        <v>11</v>
      </c>
      <c r="C125" s="43" t="e">
        <f>20.7*C110/1000</f>
        <v>#DIV/0!</v>
      </c>
      <c r="D125" s="29"/>
      <c r="E125" s="37"/>
      <c r="F125" s="126"/>
    </row>
    <row r="126" spans="2:6" hidden="1" x14ac:dyDescent="0.35">
      <c r="B126" s="46"/>
      <c r="C126" s="128"/>
      <c r="D126" s="29"/>
      <c r="E126" s="42"/>
      <c r="F126" s="126"/>
    </row>
    <row r="127" spans="2:6" hidden="1" x14ac:dyDescent="0.35">
      <c r="B127" s="24" t="s">
        <v>12</v>
      </c>
      <c r="C127" s="32">
        <f>$C$11</f>
        <v>0</v>
      </c>
      <c r="D127" s="29"/>
      <c r="E127" s="37"/>
      <c r="F127" s="126"/>
    </row>
    <row r="128" spans="2:6" hidden="1" x14ac:dyDescent="0.35">
      <c r="B128" s="24" t="s">
        <v>13</v>
      </c>
      <c r="C128" s="44" t="e">
        <f>C125*C127*365</f>
        <v>#DIV/0!</v>
      </c>
      <c r="D128" s="29"/>
      <c r="E128" s="43"/>
      <c r="F128" s="126"/>
    </row>
    <row r="129" spans="2:6" hidden="1" x14ac:dyDescent="0.35">
      <c r="B129" s="27" t="s">
        <v>14</v>
      </c>
      <c r="C129" s="45" t="e">
        <f>C128*'Emission factors'!C4/1000</f>
        <v>#DIV/0!</v>
      </c>
      <c r="D129" s="29"/>
      <c r="E129" s="37"/>
      <c r="F129" s="126"/>
    </row>
    <row r="130" spans="2:6" hidden="1" x14ac:dyDescent="0.35">
      <c r="B130" s="24"/>
      <c r="C130" s="39"/>
      <c r="D130" s="29"/>
      <c r="E130" s="42"/>
      <c r="F130" s="126"/>
    </row>
    <row r="131" spans="2:6" hidden="1" x14ac:dyDescent="0.35">
      <c r="B131" s="24"/>
      <c r="C131" s="40"/>
      <c r="D131" s="29"/>
      <c r="E131" s="126"/>
      <c r="F131" s="126"/>
    </row>
    <row r="132" spans="2:6" hidden="1" x14ac:dyDescent="0.35">
      <c r="B132" s="24" t="s">
        <v>162</v>
      </c>
      <c r="C132" s="42" t="e">
        <f>C129*C177*3.5/100</f>
        <v>#DIV/0!</v>
      </c>
      <c r="D132" s="29" t="s">
        <v>138</v>
      </c>
      <c r="E132" s="126"/>
      <c r="F132" s="126"/>
    </row>
    <row r="133" spans="2:6" hidden="1" x14ac:dyDescent="0.35">
      <c r="B133" s="27" t="s">
        <v>163</v>
      </c>
      <c r="C133" s="45" t="e">
        <f>C129-C132</f>
        <v>#DIV/0!</v>
      </c>
      <c r="D133" s="29" t="s">
        <v>139</v>
      </c>
      <c r="E133" s="126"/>
      <c r="F133" s="126"/>
    </row>
    <row r="134" spans="2:6" hidden="1" x14ac:dyDescent="0.35">
      <c r="B134" s="24" t="s">
        <v>164</v>
      </c>
      <c r="C134" s="42" t="e">
        <f>C98-C133</f>
        <v>#DIV/0!</v>
      </c>
      <c r="D134" s="29" t="s">
        <v>156</v>
      </c>
      <c r="E134" s="126"/>
      <c r="F134" s="126"/>
    </row>
    <row r="135" spans="2:6" hidden="1" x14ac:dyDescent="0.35">
      <c r="B135" s="24"/>
      <c r="C135" s="42"/>
      <c r="D135" s="29"/>
      <c r="E135" s="42"/>
      <c r="F135" s="126"/>
    </row>
    <row r="136" spans="2:6" hidden="1" x14ac:dyDescent="0.35">
      <c r="B136" s="29"/>
      <c r="C136" s="24"/>
      <c r="D136" s="29"/>
    </row>
    <row r="137" spans="2:6" hidden="1" x14ac:dyDescent="0.35">
      <c r="B137" s="48" t="s">
        <v>680</v>
      </c>
      <c r="C137" s="24"/>
      <c r="D137" s="29"/>
    </row>
    <row r="138" spans="2:6" hidden="1" x14ac:dyDescent="0.35">
      <c r="B138" s="24" t="s">
        <v>464</v>
      </c>
      <c r="C138" s="31" t="e">
        <f>(C16*0.1604)-1.037</f>
        <v>#DIV/0!</v>
      </c>
      <c r="D138" s="29" t="s">
        <v>143</v>
      </c>
    </row>
    <row r="139" spans="2:6" hidden="1" x14ac:dyDescent="0.35">
      <c r="B139" s="24" t="s">
        <v>463</v>
      </c>
      <c r="C139" s="31" t="e">
        <f>'Baseline farm'!D223*C138</f>
        <v>#DIV/0!</v>
      </c>
      <c r="D139" s="29" t="s">
        <v>142</v>
      </c>
    </row>
    <row r="140" spans="2:6" hidden="1" x14ac:dyDescent="0.35">
      <c r="B140" s="24" t="s">
        <v>122</v>
      </c>
      <c r="C140" s="31" t="e">
        <f>(C23*C21/(C142))+(C16*(C142-C21)/C142)</f>
        <v>#DIV/0!</v>
      </c>
      <c r="D140" s="29" t="s">
        <v>679</v>
      </c>
    </row>
    <row r="141" spans="2:6" hidden="1" x14ac:dyDescent="0.35">
      <c r="B141" s="24" t="s">
        <v>431</v>
      </c>
      <c r="C141" s="31" t="e">
        <f>(C25*C21/(C142))+(C17*(C142-C21)/C142)</f>
        <v>#DIV/0!</v>
      </c>
      <c r="D141" s="29" t="s">
        <v>465</v>
      </c>
    </row>
    <row r="142" spans="2:6" hidden="1" x14ac:dyDescent="0.35">
      <c r="B142" s="24" t="s">
        <v>128</v>
      </c>
      <c r="C142" s="31" t="e">
        <f>C21+('Baseline farm'!D223-C21*C75/100)</f>
        <v>#DIV/0!</v>
      </c>
      <c r="D142" s="29" t="s">
        <v>165</v>
      </c>
    </row>
    <row r="143" spans="2:6" hidden="1" x14ac:dyDescent="0.35">
      <c r="B143" s="24" t="s">
        <v>678</v>
      </c>
      <c r="C143" s="31" t="e">
        <f>C140*0.1604-1.037</f>
        <v>#DIV/0!</v>
      </c>
      <c r="D143" s="29" t="s">
        <v>166</v>
      </c>
    </row>
    <row r="144" spans="2:6" hidden="1" x14ac:dyDescent="0.35">
      <c r="B144" s="24" t="s">
        <v>129</v>
      </c>
      <c r="C144" s="31" t="e">
        <f>((('Baseline farm'!D223-(C21*C33))*C138)+(C21*C143))/(C142)</f>
        <v>#DIV/0!</v>
      </c>
      <c r="D144" s="29" t="s">
        <v>466</v>
      </c>
    </row>
    <row r="145" spans="2:4" hidden="1" x14ac:dyDescent="0.35">
      <c r="B145" s="24" t="s">
        <v>467</v>
      </c>
      <c r="C145" s="31" t="e">
        <f>C144*C142</f>
        <v>#DIV/0!</v>
      </c>
      <c r="D145" s="29" t="s">
        <v>145</v>
      </c>
    </row>
    <row r="146" spans="2:4" hidden="1" x14ac:dyDescent="0.35">
      <c r="B146" s="24" t="s">
        <v>123</v>
      </c>
      <c r="C146" s="31" t="e">
        <f>C145-C139</f>
        <v>#DIV/0!</v>
      </c>
      <c r="D146" s="29" t="s">
        <v>146</v>
      </c>
    </row>
    <row r="147" spans="2:4" hidden="1" x14ac:dyDescent="0.35">
      <c r="B147" s="24" t="s">
        <v>130</v>
      </c>
      <c r="C147" s="31" t="e">
        <f>C146/5.5</f>
        <v>#DIV/0!</v>
      </c>
      <c r="D147" s="29" t="s">
        <v>2123</v>
      </c>
    </row>
    <row r="148" spans="2:4" hidden="1" x14ac:dyDescent="0.35">
      <c r="B148" s="24" t="s">
        <v>124</v>
      </c>
      <c r="C148" s="31" t="e">
        <f>C147+(C14*C15/365)</f>
        <v>#DIV/0!</v>
      </c>
      <c r="D148" s="29" t="s">
        <v>147</v>
      </c>
    </row>
    <row r="149" spans="2:4" hidden="1" x14ac:dyDescent="0.35">
      <c r="B149" s="24" t="s">
        <v>749</v>
      </c>
      <c r="C149" s="31" t="e">
        <f>(C147*C29*C11)*(0.2534+(0.1226*'Baseline farm'!R206)+(0.0776*'Baseline farm'!R207))</f>
        <v>#DIV/0!</v>
      </c>
      <c r="D149" s="29"/>
    </row>
    <row r="150" spans="2:4" hidden="1" x14ac:dyDescent="0.35">
      <c r="B150" s="24" t="s">
        <v>750</v>
      </c>
      <c r="C150" s="31" t="e">
        <f>C149/365</f>
        <v>#DIV/0!</v>
      </c>
      <c r="D150" s="29"/>
    </row>
    <row r="151" spans="2:4" hidden="1" x14ac:dyDescent="0.35">
      <c r="B151" s="24" t="s">
        <v>751</v>
      </c>
      <c r="C151" s="31" t="e">
        <f>C150/C11</f>
        <v>#DIV/0!</v>
      </c>
      <c r="D151" s="29"/>
    </row>
    <row r="152" spans="2:4" hidden="1" x14ac:dyDescent="0.35">
      <c r="B152" s="24"/>
      <c r="C152" s="31"/>
      <c r="D152" s="29"/>
    </row>
    <row r="153" spans="2:4" hidden="1" x14ac:dyDescent="0.35">
      <c r="B153" s="24"/>
      <c r="C153" s="31"/>
      <c r="D153" s="29"/>
    </row>
    <row r="154" spans="2:4" hidden="1" x14ac:dyDescent="0.35">
      <c r="B154" s="24"/>
      <c r="C154" s="31"/>
      <c r="D154" s="29"/>
    </row>
    <row r="155" spans="2:4" hidden="1" x14ac:dyDescent="0.35">
      <c r="B155" s="24"/>
      <c r="C155" s="31"/>
      <c r="D155" s="29"/>
    </row>
    <row r="156" spans="2:4" hidden="1" x14ac:dyDescent="0.35">
      <c r="B156" s="48" t="s">
        <v>677</v>
      </c>
      <c r="C156" s="31"/>
      <c r="D156" s="29"/>
    </row>
    <row r="157" spans="2:4" hidden="1" x14ac:dyDescent="0.35">
      <c r="B157" s="29" t="s">
        <v>681</v>
      </c>
      <c r="C157" s="31" t="e">
        <f>'Baseline farm'!D223</f>
        <v>#DIV/0!</v>
      </c>
      <c r="D157" s="29" t="s">
        <v>688</v>
      </c>
    </row>
    <row r="158" spans="2:4" hidden="1" x14ac:dyDescent="0.35">
      <c r="B158" s="24" t="s">
        <v>682</v>
      </c>
      <c r="C158" s="31" t="e">
        <f>C16*0.134 + 1.23 + (0.235 * C19)</f>
        <v>#DIV/0!</v>
      </c>
      <c r="D158" s="29" t="s">
        <v>433</v>
      </c>
    </row>
    <row r="159" spans="2:4" hidden="1" x14ac:dyDescent="0.35">
      <c r="B159" s="24" t="s">
        <v>686</v>
      </c>
      <c r="C159" s="31" t="e">
        <f>'Baseline farm'!D223*C158</f>
        <v>#DIV/0!</v>
      </c>
      <c r="D159" s="29" t="s">
        <v>142</v>
      </c>
    </row>
    <row r="160" spans="2:4" hidden="1" x14ac:dyDescent="0.35">
      <c r="B160" s="24" t="s">
        <v>689</v>
      </c>
      <c r="C160" s="31">
        <f>C21</f>
        <v>2</v>
      </c>
      <c r="D160" s="29"/>
    </row>
    <row r="161" spans="2:6" hidden="1" x14ac:dyDescent="0.35">
      <c r="B161" s="24" t="s">
        <v>690</v>
      </c>
      <c r="C161" s="31">
        <f>IF((C23*0.134)+1.23+(0.235*C27)&gt;13.5,13.5,(C23*0.134)+1.23+(0.235*C27))</f>
        <v>13.5</v>
      </c>
      <c r="D161" s="29" t="s">
        <v>793</v>
      </c>
    </row>
    <row r="162" spans="2:6" hidden="1" x14ac:dyDescent="0.35">
      <c r="B162" s="24" t="s">
        <v>683</v>
      </c>
      <c r="C162" s="31">
        <f>C161*C160</f>
        <v>27</v>
      </c>
      <c r="D162" s="29" t="s">
        <v>691</v>
      </c>
    </row>
    <row r="163" spans="2:6" hidden="1" x14ac:dyDescent="0.35">
      <c r="B163" s="24" t="s">
        <v>89</v>
      </c>
      <c r="C163" s="31">
        <f>C33</f>
        <v>0.8</v>
      </c>
      <c r="D163" s="29"/>
    </row>
    <row r="164" spans="2:6" hidden="1" x14ac:dyDescent="0.35">
      <c r="B164" s="24" t="s">
        <v>681</v>
      </c>
      <c r="C164" s="31" t="e">
        <f>C157-(C160*C163)</f>
        <v>#DIV/0!</v>
      </c>
      <c r="D164" s="29" t="s">
        <v>692</v>
      </c>
      <c r="F164" s="180"/>
    </row>
    <row r="165" spans="2:6" hidden="1" x14ac:dyDescent="0.35">
      <c r="B165" s="24" t="s">
        <v>684</v>
      </c>
      <c r="C165" s="31" t="e">
        <f>C164*C158</f>
        <v>#DIV/0!</v>
      </c>
      <c r="D165" s="29" t="s">
        <v>971</v>
      </c>
    </row>
    <row r="166" spans="2:6" hidden="1" x14ac:dyDescent="0.35">
      <c r="B166" s="24" t="s">
        <v>685</v>
      </c>
      <c r="C166" s="31" t="e">
        <f>C165+C162</f>
        <v>#DIV/0!</v>
      </c>
      <c r="D166" s="29" t="s">
        <v>972</v>
      </c>
    </row>
    <row r="167" spans="2:6" hidden="1" x14ac:dyDescent="0.35">
      <c r="B167" s="24" t="s">
        <v>687</v>
      </c>
      <c r="C167" s="31" t="e">
        <f>C166-C159</f>
        <v>#DIV/0!</v>
      </c>
      <c r="D167" s="29" t="s">
        <v>693</v>
      </c>
    </row>
    <row r="168" spans="2:6" hidden="1" x14ac:dyDescent="0.35">
      <c r="B168" s="24" t="s">
        <v>694</v>
      </c>
      <c r="C168" s="31" t="e">
        <f>C167/5.5</f>
        <v>#DIV/0!</v>
      </c>
      <c r="D168" s="29" t="s">
        <v>669</v>
      </c>
    </row>
    <row r="169" spans="2:6" hidden="1" x14ac:dyDescent="0.35">
      <c r="B169" s="24" t="s">
        <v>695</v>
      </c>
      <c r="C169" s="31" t="e">
        <f>C168+'Baseline farm'!H35</f>
        <v>#DIV/0!</v>
      </c>
      <c r="D169" s="29"/>
    </row>
    <row r="170" spans="2:6" hidden="1" x14ac:dyDescent="0.35">
      <c r="B170" s="24" t="s">
        <v>749</v>
      </c>
      <c r="C170" s="31" t="e">
        <f>(C168*C29*C11)*(0.2534+(0.1226*'Baseline farm'!R206)+(0.0776*'Baseline farm'!R207))</f>
        <v>#DIV/0!</v>
      </c>
      <c r="D170" s="29"/>
    </row>
    <row r="171" spans="2:6" hidden="1" x14ac:dyDescent="0.35">
      <c r="B171" s="24" t="s">
        <v>750</v>
      </c>
      <c r="C171" s="31" t="e">
        <f>C170/365</f>
        <v>#DIV/0!</v>
      </c>
      <c r="D171" s="29"/>
    </row>
    <row r="172" spans="2:6" hidden="1" x14ac:dyDescent="0.35">
      <c r="B172" s="24" t="s">
        <v>751</v>
      </c>
      <c r="C172" s="31" t="e">
        <f>C171/C11</f>
        <v>#DIV/0!</v>
      </c>
      <c r="D172" s="29"/>
    </row>
    <row r="173" spans="2:6" hidden="1" x14ac:dyDescent="0.35">
      <c r="B173" s="24"/>
      <c r="C173" s="31"/>
      <c r="D173" s="29"/>
    </row>
    <row r="174" spans="2:6" hidden="1" x14ac:dyDescent="0.35">
      <c r="B174" s="27" t="s">
        <v>160</v>
      </c>
      <c r="C174" s="31"/>
      <c r="D174" s="29"/>
    </row>
    <row r="175" spans="2:6" hidden="1" x14ac:dyDescent="0.35">
      <c r="B175" s="29" t="s">
        <v>167</v>
      </c>
      <c r="C175" s="31">
        <f>C19</f>
        <v>4</v>
      </c>
      <c r="D175" s="29"/>
    </row>
    <row r="176" spans="2:6" hidden="1" x14ac:dyDescent="0.35">
      <c r="B176" s="24" t="s">
        <v>168</v>
      </c>
      <c r="C176" s="31" t="e">
        <f>(C27*C21/(C142))+(C19*(C142-C21)/C142)</f>
        <v>#DIV/0!</v>
      </c>
      <c r="D176" s="29" t="s">
        <v>170</v>
      </c>
    </row>
    <row r="177" spans="2:22" hidden="1" x14ac:dyDescent="0.35">
      <c r="B177" s="24" t="s">
        <v>39</v>
      </c>
      <c r="C177" s="49" t="e">
        <f>C176-C175</f>
        <v>#DIV/0!</v>
      </c>
      <c r="D177" s="29" t="s">
        <v>137</v>
      </c>
    </row>
    <row r="178" spans="2:22" hidden="1" x14ac:dyDescent="0.35">
      <c r="B178" s="29"/>
      <c r="C178" s="51"/>
      <c r="D178" s="29"/>
    </row>
    <row r="179" spans="2:22" hidden="1" x14ac:dyDescent="0.35">
      <c r="B179" s="29"/>
      <c r="C179" s="29"/>
      <c r="D179" s="29"/>
    </row>
    <row r="180" spans="2:22" hidden="1" x14ac:dyDescent="0.35">
      <c r="G180" s="267"/>
      <c r="H180" s="20"/>
    </row>
    <row r="181" spans="2:22" hidden="1" x14ac:dyDescent="0.35">
      <c r="G181" s="20"/>
      <c r="H181" s="20"/>
    </row>
    <row r="182" spans="2:22" hidden="1" x14ac:dyDescent="0.35">
      <c r="G182" s="20"/>
      <c r="H182" s="20"/>
    </row>
    <row r="183" spans="2:22" s="20" customFormat="1" hidden="1" x14ac:dyDescent="0.35">
      <c r="B183" s="27" t="s">
        <v>154</v>
      </c>
      <c r="C183" s="133"/>
      <c r="D183" s="133"/>
      <c r="I183" s="432"/>
      <c r="J183" s="432"/>
      <c r="K183" s="432"/>
      <c r="L183" s="432"/>
      <c r="M183" s="432"/>
      <c r="N183" s="432"/>
      <c r="O183" s="432"/>
      <c r="P183" s="432"/>
      <c r="Q183" s="432"/>
      <c r="R183" s="432"/>
      <c r="S183" s="432"/>
      <c r="T183" s="432"/>
      <c r="U183" s="432"/>
      <c r="V183" s="432"/>
    </row>
    <row r="184" spans="2:22" s="20" customFormat="1" hidden="1" x14ac:dyDescent="0.35">
      <c r="B184" s="27" t="s">
        <v>441</v>
      </c>
      <c r="C184" s="133"/>
      <c r="D184" s="133"/>
      <c r="I184" s="432"/>
      <c r="J184" s="432"/>
      <c r="K184" s="432"/>
      <c r="L184" s="432"/>
      <c r="M184" s="432"/>
      <c r="N184" s="432"/>
      <c r="O184" s="432"/>
      <c r="P184" s="432"/>
      <c r="Q184" s="432"/>
      <c r="R184" s="432"/>
      <c r="S184" s="432"/>
      <c r="T184" s="432"/>
      <c r="U184" s="432"/>
      <c r="V184" s="432"/>
    </row>
    <row r="185" spans="2:22" s="20" customFormat="1" hidden="1" x14ac:dyDescent="0.35">
      <c r="B185" s="24" t="s">
        <v>11</v>
      </c>
      <c r="C185" s="184" t="e">
        <f>'Baseline farm'!D256</f>
        <v>#DIV/0!</v>
      </c>
      <c r="D185" s="133"/>
      <c r="I185" s="432"/>
      <c r="J185" s="432"/>
      <c r="K185" s="432"/>
      <c r="L185" s="432"/>
      <c r="M185" s="432"/>
      <c r="N185" s="432"/>
      <c r="O185" s="432"/>
      <c r="P185" s="432"/>
      <c r="Q185" s="432"/>
      <c r="R185" s="432"/>
      <c r="S185" s="432"/>
      <c r="T185" s="432"/>
      <c r="U185" s="432"/>
      <c r="V185" s="432"/>
    </row>
    <row r="186" spans="2:22" s="20" customFormat="1" hidden="1" x14ac:dyDescent="0.35">
      <c r="B186" s="133"/>
      <c r="C186" s="133"/>
      <c r="D186" s="133"/>
      <c r="I186" s="432"/>
      <c r="J186" s="432"/>
      <c r="K186" s="432"/>
      <c r="L186" s="432"/>
      <c r="M186" s="432"/>
      <c r="N186" s="432"/>
      <c r="O186" s="432"/>
      <c r="P186" s="432"/>
      <c r="Q186" s="432"/>
      <c r="R186" s="432"/>
      <c r="S186" s="432"/>
      <c r="T186" s="432"/>
      <c r="U186" s="432"/>
      <c r="V186" s="432"/>
    </row>
    <row r="187" spans="2:22" s="20" customFormat="1" hidden="1" x14ac:dyDescent="0.35">
      <c r="B187" s="24" t="s">
        <v>12</v>
      </c>
      <c r="C187" s="32">
        <f>$C$11</f>
        <v>0</v>
      </c>
      <c r="D187" s="29"/>
      <c r="I187" s="432"/>
      <c r="J187" s="432"/>
      <c r="K187" s="432"/>
      <c r="L187" s="432"/>
      <c r="M187" s="432"/>
      <c r="N187" s="432"/>
      <c r="O187" s="432"/>
      <c r="P187" s="432"/>
      <c r="Q187" s="432"/>
      <c r="R187" s="432"/>
      <c r="S187" s="432"/>
      <c r="T187" s="432"/>
      <c r="U187" s="432"/>
      <c r="V187" s="432"/>
    </row>
    <row r="188" spans="2:22" s="20" customFormat="1" hidden="1" x14ac:dyDescent="0.35">
      <c r="B188" s="24" t="s">
        <v>13</v>
      </c>
      <c r="C188" s="44" t="e">
        <f>C185*C187*365</f>
        <v>#DIV/0!</v>
      </c>
      <c r="D188" s="29"/>
      <c r="I188" s="432"/>
      <c r="J188" s="432"/>
      <c r="K188" s="432"/>
      <c r="L188" s="432"/>
      <c r="M188" s="432"/>
      <c r="N188" s="432"/>
      <c r="O188" s="432"/>
      <c r="P188" s="432"/>
      <c r="Q188" s="432"/>
      <c r="R188" s="432"/>
      <c r="S188" s="432"/>
      <c r="T188" s="432"/>
      <c r="U188" s="432"/>
      <c r="V188" s="432"/>
    </row>
    <row r="189" spans="2:22" s="20" customFormat="1" hidden="1" x14ac:dyDescent="0.35">
      <c r="B189" s="27" t="s">
        <v>14</v>
      </c>
      <c r="C189" s="45" t="e">
        <f>C188*'Emission factors'!C4/1000</f>
        <v>#DIV/0!</v>
      </c>
      <c r="D189" s="29"/>
      <c r="I189" s="432"/>
      <c r="J189" s="432"/>
      <c r="K189" s="432"/>
      <c r="L189" s="432"/>
      <c r="M189" s="432"/>
      <c r="N189" s="432"/>
      <c r="O189" s="432"/>
      <c r="P189" s="432"/>
      <c r="Q189" s="432"/>
      <c r="R189" s="432"/>
      <c r="S189" s="432"/>
      <c r="T189" s="432"/>
      <c r="U189" s="432"/>
      <c r="V189" s="432"/>
    </row>
    <row r="190" spans="2:22" s="20" customFormat="1" hidden="1" x14ac:dyDescent="0.35">
      <c r="B190" s="133"/>
      <c r="C190" s="133"/>
      <c r="D190" s="133"/>
      <c r="I190" s="432"/>
      <c r="J190" s="432"/>
      <c r="K190" s="432"/>
      <c r="L190" s="432"/>
      <c r="M190" s="432"/>
      <c r="N190" s="432"/>
      <c r="O190" s="432"/>
      <c r="P190" s="432"/>
      <c r="Q190" s="432"/>
      <c r="R190" s="432"/>
      <c r="S190" s="432"/>
      <c r="T190" s="432"/>
      <c r="U190" s="432"/>
      <c r="V190" s="432"/>
    </row>
    <row r="191" spans="2:22" s="20" customFormat="1" hidden="1" x14ac:dyDescent="0.35">
      <c r="B191" s="133"/>
      <c r="C191" s="133"/>
      <c r="D191" s="133"/>
      <c r="I191" s="432"/>
      <c r="J191" s="432"/>
      <c r="K191" s="432"/>
      <c r="L191" s="432"/>
      <c r="M191" s="432"/>
      <c r="N191" s="432"/>
      <c r="O191" s="432"/>
      <c r="P191" s="432"/>
      <c r="Q191" s="432"/>
      <c r="R191" s="432"/>
      <c r="S191" s="432"/>
      <c r="T191" s="432"/>
      <c r="U191" s="432"/>
      <c r="V191" s="432"/>
    </row>
    <row r="192" spans="2:22" s="20" customFormat="1" hidden="1" x14ac:dyDescent="0.35">
      <c r="B192" s="48" t="s">
        <v>155</v>
      </c>
      <c r="C192" s="133"/>
      <c r="D192" s="133"/>
      <c r="I192" s="432"/>
      <c r="J192" s="432"/>
      <c r="K192" s="432"/>
      <c r="L192" s="432"/>
      <c r="M192" s="432"/>
      <c r="N192" s="432"/>
      <c r="O192" s="432"/>
      <c r="P192" s="432"/>
      <c r="Q192" s="432"/>
      <c r="R192" s="432"/>
      <c r="S192" s="432"/>
      <c r="T192" s="432"/>
      <c r="U192" s="432"/>
      <c r="V192" s="432"/>
    </row>
    <row r="193" spans="2:22" s="20" customFormat="1" hidden="1" x14ac:dyDescent="0.35">
      <c r="B193" s="27" t="s">
        <v>441</v>
      </c>
      <c r="C193" s="133"/>
      <c r="D193" s="133"/>
      <c r="I193" s="432"/>
      <c r="J193" s="432"/>
      <c r="K193" s="432"/>
      <c r="L193" s="432"/>
      <c r="M193" s="432"/>
      <c r="N193" s="432"/>
      <c r="O193" s="432"/>
      <c r="P193" s="432"/>
      <c r="Q193" s="432"/>
      <c r="R193" s="432"/>
      <c r="S193" s="432"/>
      <c r="T193" s="432"/>
      <c r="U193" s="432"/>
      <c r="V193" s="432"/>
    </row>
    <row r="194" spans="2:22" s="20" customFormat="1" hidden="1" x14ac:dyDescent="0.35">
      <c r="B194" s="133"/>
      <c r="C194" s="133"/>
      <c r="D194" s="133"/>
      <c r="I194" s="432"/>
      <c r="J194" s="432"/>
      <c r="K194" s="432"/>
      <c r="L194" s="432"/>
      <c r="M194" s="432"/>
      <c r="N194" s="432"/>
      <c r="O194" s="432"/>
      <c r="P194" s="432"/>
      <c r="Q194" s="432"/>
      <c r="R194" s="432"/>
      <c r="S194" s="432"/>
      <c r="T194" s="432"/>
      <c r="U194" s="432"/>
      <c r="V194" s="432"/>
    </row>
    <row r="195" spans="2:22" s="20" customFormat="1" hidden="1" x14ac:dyDescent="0.35">
      <c r="B195" s="185" t="s">
        <v>253</v>
      </c>
      <c r="C195" s="184" t="e">
        <f>(C110*(1-C140%)+(0.04*C110))*(1-0.08)</f>
        <v>#DIV/0!</v>
      </c>
      <c r="D195" s="133"/>
      <c r="I195" s="432"/>
      <c r="J195" s="432"/>
      <c r="K195" s="432"/>
      <c r="L195" s="432"/>
      <c r="M195" s="432"/>
      <c r="N195" s="432"/>
      <c r="O195" s="432"/>
      <c r="P195" s="432"/>
      <c r="Q195" s="432"/>
      <c r="R195" s="432"/>
      <c r="S195" s="432"/>
      <c r="T195" s="432"/>
      <c r="U195" s="432"/>
      <c r="V195" s="432"/>
    </row>
    <row r="196" spans="2:22" s="20" customFormat="1" hidden="1" x14ac:dyDescent="0.35">
      <c r="B196" s="29"/>
      <c r="C196" s="184"/>
      <c r="D196" s="133"/>
      <c r="I196" s="432"/>
      <c r="J196" s="432"/>
      <c r="K196" s="432"/>
      <c r="L196" s="432"/>
      <c r="M196" s="432"/>
      <c r="N196" s="432"/>
      <c r="O196" s="432"/>
      <c r="P196" s="432"/>
      <c r="Q196" s="432"/>
      <c r="R196" s="432"/>
      <c r="S196" s="432"/>
      <c r="T196" s="432"/>
      <c r="U196" s="432"/>
      <c r="V196" s="432"/>
    </row>
    <row r="197" spans="2:22" s="20" customFormat="1" hidden="1" x14ac:dyDescent="0.35">
      <c r="B197" s="185" t="s">
        <v>257</v>
      </c>
      <c r="C197" s="184" t="e">
        <f>C195*'Baseline farm'!C244*'Baseline farm'!I102%*'Baseline farm'!C245</f>
        <v>#DIV/0!</v>
      </c>
      <c r="D197" s="133"/>
      <c r="I197" s="432"/>
      <c r="J197" s="432"/>
      <c r="K197" s="432"/>
      <c r="L197" s="432"/>
      <c r="M197" s="432"/>
      <c r="N197" s="432"/>
      <c r="O197" s="432"/>
      <c r="P197" s="432"/>
      <c r="Q197" s="432"/>
      <c r="R197" s="432"/>
      <c r="S197" s="432"/>
      <c r="T197" s="432"/>
      <c r="U197" s="432"/>
      <c r="V197" s="432"/>
    </row>
    <row r="198" spans="2:22" s="20" customFormat="1" hidden="1" x14ac:dyDescent="0.35">
      <c r="B198" s="133"/>
      <c r="C198" s="184"/>
      <c r="D198" s="133"/>
      <c r="I198" s="432"/>
      <c r="J198" s="432"/>
      <c r="K198" s="432"/>
      <c r="L198" s="432"/>
      <c r="M198" s="432"/>
      <c r="N198" s="432"/>
      <c r="O198" s="432"/>
      <c r="P198" s="432"/>
      <c r="Q198" s="432"/>
      <c r="R198" s="432"/>
      <c r="S198" s="432"/>
      <c r="T198" s="432"/>
      <c r="U198" s="432"/>
      <c r="V198" s="432"/>
    </row>
    <row r="199" spans="2:22" hidden="1" x14ac:dyDescent="0.35">
      <c r="B199" s="24" t="s">
        <v>12</v>
      </c>
      <c r="C199" s="32">
        <f>$C$11</f>
        <v>0</v>
      </c>
      <c r="D199" s="29"/>
      <c r="E199" s="37"/>
      <c r="F199" s="126"/>
    </row>
    <row r="200" spans="2:22" hidden="1" x14ac:dyDescent="0.35">
      <c r="B200" s="24" t="s">
        <v>13</v>
      </c>
      <c r="C200" s="44" t="e">
        <f>C197*C199*365</f>
        <v>#DIV/0!</v>
      </c>
      <c r="D200" s="29"/>
      <c r="E200" s="43"/>
      <c r="F200" s="126"/>
    </row>
    <row r="201" spans="2:22" hidden="1" x14ac:dyDescent="0.35">
      <c r="B201" s="27" t="s">
        <v>450</v>
      </c>
      <c r="C201" s="45" t="e">
        <f>C200*'Emission factors'!C4/1000</f>
        <v>#DIV/0!</v>
      </c>
      <c r="D201" s="29"/>
      <c r="E201" s="37"/>
      <c r="F201" s="126"/>
    </row>
    <row r="202" spans="2:22" s="20" customFormat="1" hidden="1" x14ac:dyDescent="0.35">
      <c r="B202" s="133"/>
      <c r="C202" s="133"/>
      <c r="D202" s="133"/>
      <c r="I202" s="432"/>
      <c r="J202" s="432"/>
      <c r="K202" s="432"/>
      <c r="L202" s="432"/>
      <c r="M202" s="432"/>
      <c r="N202" s="432"/>
      <c r="O202" s="432"/>
      <c r="P202" s="432"/>
      <c r="Q202" s="432"/>
      <c r="R202" s="432"/>
      <c r="S202" s="432"/>
      <c r="T202" s="432"/>
      <c r="U202" s="432"/>
      <c r="V202" s="432"/>
    </row>
    <row r="203" spans="2:22" s="20" customFormat="1" hidden="1" x14ac:dyDescent="0.35">
      <c r="B203" s="134" t="s">
        <v>443</v>
      </c>
      <c r="C203" s="186" t="e">
        <f>C189-C201</f>
        <v>#DIV/0!</v>
      </c>
      <c r="D203" s="133"/>
      <c r="I203" s="432"/>
      <c r="J203" s="432"/>
      <c r="K203" s="432"/>
      <c r="L203" s="432"/>
      <c r="M203" s="432"/>
      <c r="N203" s="432"/>
      <c r="O203" s="432"/>
      <c r="P203" s="432"/>
      <c r="Q203" s="432"/>
      <c r="R203" s="432"/>
      <c r="S203" s="432"/>
      <c r="T203" s="432"/>
      <c r="U203" s="432"/>
      <c r="V203" s="432"/>
    </row>
    <row r="204" spans="2:22" s="20" customFormat="1" hidden="1" x14ac:dyDescent="0.35">
      <c r="B204" s="133"/>
      <c r="C204" s="133"/>
      <c r="D204" s="133"/>
      <c r="I204" s="432"/>
      <c r="J204" s="432"/>
      <c r="K204" s="432"/>
      <c r="L204" s="432"/>
      <c r="M204" s="432"/>
      <c r="N204" s="432"/>
      <c r="O204" s="432"/>
      <c r="P204" s="432"/>
      <c r="Q204" s="432"/>
      <c r="R204" s="432"/>
      <c r="S204" s="432"/>
      <c r="T204" s="432"/>
      <c r="U204" s="432"/>
      <c r="V204" s="432"/>
    </row>
    <row r="205" spans="2:22" s="20" customFormat="1" hidden="1" x14ac:dyDescent="0.35">
      <c r="B205" s="27" t="s">
        <v>154</v>
      </c>
      <c r="C205" s="133"/>
      <c r="D205" s="133"/>
      <c r="I205" s="432"/>
      <c r="J205" s="432"/>
      <c r="K205" s="432"/>
      <c r="L205" s="432"/>
      <c r="M205" s="432"/>
      <c r="N205" s="432"/>
      <c r="O205" s="432"/>
      <c r="P205" s="432"/>
      <c r="Q205" s="432"/>
      <c r="R205" s="432"/>
      <c r="S205" s="432"/>
      <c r="T205" s="432"/>
      <c r="U205" s="432"/>
      <c r="V205" s="432"/>
    </row>
    <row r="206" spans="2:22" s="20" customFormat="1" hidden="1" x14ac:dyDescent="0.35">
      <c r="B206" s="135" t="s">
        <v>426</v>
      </c>
      <c r="C206" s="133"/>
      <c r="D206" s="133"/>
      <c r="I206" s="432"/>
      <c r="J206" s="432"/>
      <c r="K206" s="432"/>
      <c r="L206" s="432"/>
      <c r="M206" s="432"/>
      <c r="N206" s="432"/>
      <c r="O206" s="432"/>
      <c r="P206" s="432"/>
      <c r="Q206" s="432"/>
      <c r="R206" s="432"/>
      <c r="S206" s="432"/>
      <c r="T206" s="432"/>
      <c r="U206" s="432"/>
      <c r="V206" s="432"/>
    </row>
    <row r="207" spans="2:22" s="20" customFormat="1" hidden="1" x14ac:dyDescent="0.35">
      <c r="B207" s="133" t="s">
        <v>452</v>
      </c>
      <c r="C207" s="184" t="e">
        <f>'Baseline farm'!D115/'Emission factors'!C5*1000</f>
        <v>#DIV/0!</v>
      </c>
      <c r="D207" s="133"/>
      <c r="I207" s="432"/>
      <c r="J207" s="432"/>
      <c r="K207" s="432"/>
      <c r="L207" s="432"/>
      <c r="M207" s="432"/>
      <c r="N207" s="432"/>
      <c r="O207" s="432"/>
      <c r="P207" s="432"/>
      <c r="Q207" s="432"/>
      <c r="R207" s="432"/>
      <c r="S207" s="432"/>
      <c r="T207" s="432"/>
      <c r="U207" s="432"/>
      <c r="V207" s="432"/>
    </row>
    <row r="208" spans="2:22" s="20" customFormat="1" hidden="1" x14ac:dyDescent="0.35">
      <c r="B208" s="133"/>
      <c r="C208" s="133"/>
      <c r="D208" s="133"/>
      <c r="I208" s="432"/>
      <c r="J208" s="432"/>
      <c r="K208" s="432"/>
      <c r="L208" s="432"/>
      <c r="M208" s="432"/>
      <c r="N208" s="432"/>
      <c r="O208" s="432"/>
      <c r="P208" s="432"/>
      <c r="Q208" s="432"/>
      <c r="R208" s="432"/>
      <c r="S208" s="432"/>
      <c r="T208" s="432"/>
      <c r="U208" s="432"/>
      <c r="V208" s="432"/>
    </row>
    <row r="209" spans="2:22" s="20" customFormat="1" hidden="1" x14ac:dyDescent="0.35">
      <c r="B209" s="135" t="s">
        <v>1355</v>
      </c>
      <c r="C209" s="133"/>
      <c r="D209" s="133"/>
      <c r="I209" s="432"/>
      <c r="J209" s="432"/>
      <c r="K209" s="432"/>
      <c r="L209" s="432"/>
      <c r="M209" s="432"/>
      <c r="N209" s="432"/>
      <c r="O209" s="432"/>
      <c r="P209" s="432"/>
      <c r="Q209" s="432"/>
      <c r="R209" s="432"/>
      <c r="S209" s="432"/>
      <c r="T209" s="432"/>
      <c r="U209" s="432"/>
      <c r="V209" s="432"/>
    </row>
    <row r="210" spans="2:22" s="20" customFormat="1" hidden="1" x14ac:dyDescent="0.35">
      <c r="B210" s="133" t="s">
        <v>452</v>
      </c>
      <c r="C210" s="184" t="e">
        <f>'Baseline farm'!D116/'Emission factors'!C5*1000</f>
        <v>#DIV/0!</v>
      </c>
      <c r="D210" s="133"/>
      <c r="I210" s="432"/>
      <c r="J210" s="432"/>
      <c r="K210" s="432"/>
      <c r="L210" s="432"/>
      <c r="M210" s="432"/>
      <c r="N210" s="432"/>
      <c r="O210" s="432"/>
      <c r="P210" s="432"/>
      <c r="Q210" s="432"/>
      <c r="R210" s="432"/>
      <c r="S210" s="432"/>
      <c r="T210" s="432"/>
      <c r="U210" s="432"/>
      <c r="V210" s="432"/>
    </row>
    <row r="211" spans="2:22" s="20" customFormat="1" hidden="1" x14ac:dyDescent="0.35">
      <c r="B211" s="29"/>
      <c r="C211" s="133"/>
      <c r="D211" s="133"/>
      <c r="I211" s="432"/>
      <c r="J211" s="432"/>
      <c r="K211" s="432"/>
      <c r="L211" s="432"/>
      <c r="M211" s="432"/>
      <c r="N211" s="432"/>
      <c r="O211" s="432"/>
      <c r="P211" s="432"/>
      <c r="Q211" s="432"/>
      <c r="R211" s="432"/>
      <c r="S211" s="432"/>
      <c r="T211" s="432"/>
      <c r="U211" s="432"/>
      <c r="V211" s="432"/>
    </row>
    <row r="212" spans="2:22" s="20" customFormat="1" hidden="1" x14ac:dyDescent="0.35">
      <c r="B212" s="135" t="s">
        <v>423</v>
      </c>
      <c r="C212" s="133"/>
      <c r="D212" s="133"/>
      <c r="I212" s="432"/>
      <c r="J212" s="432"/>
      <c r="K212" s="432"/>
      <c r="L212" s="432"/>
      <c r="M212" s="432"/>
      <c r="N212" s="432"/>
      <c r="O212" s="432"/>
      <c r="P212" s="432"/>
      <c r="Q212" s="432"/>
      <c r="R212" s="432"/>
      <c r="S212" s="432"/>
      <c r="T212" s="432"/>
      <c r="U212" s="432"/>
      <c r="V212" s="432"/>
    </row>
    <row r="213" spans="2:22" s="20" customFormat="1" hidden="1" x14ac:dyDescent="0.35">
      <c r="B213" s="133" t="s">
        <v>452</v>
      </c>
      <c r="C213" s="184" t="e">
        <f>'Baseline farm'!D117/'Emission factors'!C5*1000</f>
        <v>#DIV/0!</v>
      </c>
      <c r="D213" s="133"/>
      <c r="I213" s="432"/>
      <c r="J213" s="432"/>
      <c r="K213" s="432"/>
      <c r="L213" s="432"/>
      <c r="M213" s="432"/>
      <c r="N213" s="432"/>
      <c r="O213" s="432"/>
      <c r="P213" s="432"/>
      <c r="Q213" s="432"/>
      <c r="R213" s="432"/>
      <c r="S213" s="432"/>
      <c r="T213" s="432"/>
      <c r="U213" s="432"/>
      <c r="V213" s="432"/>
    </row>
    <row r="214" spans="2:22" s="20" customFormat="1" hidden="1" x14ac:dyDescent="0.35">
      <c r="B214" s="133"/>
      <c r="C214" s="133"/>
      <c r="D214" s="133"/>
      <c r="I214" s="432"/>
      <c r="J214" s="432"/>
      <c r="K214" s="432"/>
      <c r="L214" s="432"/>
      <c r="M214" s="432"/>
      <c r="N214" s="432"/>
      <c r="O214" s="432"/>
      <c r="P214" s="432"/>
      <c r="Q214" s="432"/>
      <c r="R214" s="432"/>
      <c r="S214" s="432"/>
      <c r="T214" s="432"/>
      <c r="U214" s="432"/>
      <c r="V214" s="432"/>
    </row>
    <row r="215" spans="2:22" s="20" customFormat="1" hidden="1" x14ac:dyDescent="0.35">
      <c r="B215" s="134" t="s">
        <v>447</v>
      </c>
      <c r="C215" s="133"/>
      <c r="D215" s="133"/>
      <c r="I215" s="432"/>
      <c r="J215" s="432"/>
      <c r="K215" s="432"/>
      <c r="L215" s="432"/>
      <c r="M215" s="432"/>
      <c r="N215" s="432"/>
      <c r="O215" s="432"/>
      <c r="P215" s="432"/>
      <c r="Q215" s="432"/>
      <c r="R215" s="432"/>
      <c r="S215" s="432"/>
      <c r="T215" s="432"/>
      <c r="U215" s="432"/>
      <c r="V215" s="432"/>
    </row>
    <row r="216" spans="2:22" s="20" customFormat="1" hidden="1" x14ac:dyDescent="0.35">
      <c r="B216" s="133" t="s">
        <v>452</v>
      </c>
      <c r="C216" s="184" t="e">
        <f>C207+C210+C213</f>
        <v>#DIV/0!</v>
      </c>
      <c r="D216" s="133"/>
      <c r="I216" s="432"/>
      <c r="J216" s="432"/>
      <c r="K216" s="432"/>
      <c r="L216" s="432"/>
      <c r="M216" s="432"/>
      <c r="N216" s="432"/>
      <c r="O216" s="432"/>
      <c r="P216" s="432"/>
      <c r="Q216" s="432"/>
      <c r="R216" s="432"/>
      <c r="S216" s="432"/>
      <c r="T216" s="432"/>
      <c r="U216" s="432"/>
      <c r="V216" s="432"/>
    </row>
    <row r="217" spans="2:22" s="20" customFormat="1" hidden="1" x14ac:dyDescent="0.35">
      <c r="B217" s="133"/>
      <c r="C217" s="133"/>
      <c r="D217" s="133"/>
      <c r="I217" s="432"/>
      <c r="J217" s="432"/>
      <c r="K217" s="432"/>
      <c r="L217" s="432"/>
      <c r="M217" s="432"/>
      <c r="N217" s="432"/>
      <c r="O217" s="432"/>
      <c r="P217" s="432"/>
      <c r="Q217" s="432"/>
      <c r="R217" s="432"/>
      <c r="S217" s="432"/>
      <c r="T217" s="432"/>
      <c r="U217" s="432"/>
      <c r="V217" s="432"/>
    </row>
    <row r="218" spans="2:22" hidden="1" x14ac:dyDescent="0.35">
      <c r="B218" s="27" t="s">
        <v>449</v>
      </c>
      <c r="C218" s="45" t="e">
        <f>C216*'Emission factors'!C5/1000</f>
        <v>#DIV/0!</v>
      </c>
      <c r="D218" s="29"/>
      <c r="E218" s="37"/>
      <c r="F218" s="126"/>
    </row>
    <row r="219" spans="2:22" s="20" customFormat="1" hidden="1" x14ac:dyDescent="0.35">
      <c r="I219" s="432"/>
      <c r="J219" s="432"/>
      <c r="K219" s="432"/>
      <c r="L219" s="432"/>
      <c r="M219" s="432"/>
      <c r="N219" s="432"/>
      <c r="O219" s="432"/>
      <c r="P219" s="432"/>
      <c r="Q219" s="432"/>
      <c r="R219" s="432"/>
      <c r="S219" s="432"/>
      <c r="T219" s="432"/>
      <c r="U219" s="432"/>
      <c r="V219" s="432"/>
    </row>
    <row r="220" spans="2:22" s="20" customFormat="1" hidden="1" x14ac:dyDescent="0.35">
      <c r="I220" s="432"/>
      <c r="J220" s="432"/>
      <c r="K220" s="432"/>
      <c r="L220" s="432"/>
      <c r="M220" s="432"/>
      <c r="N220" s="432"/>
      <c r="O220" s="432"/>
      <c r="P220" s="432"/>
      <c r="Q220" s="432"/>
      <c r="R220" s="432"/>
      <c r="S220" s="432"/>
      <c r="T220" s="432"/>
      <c r="U220" s="432"/>
      <c r="V220" s="432"/>
    </row>
    <row r="221" spans="2:22" s="20" customFormat="1" hidden="1" x14ac:dyDescent="0.35">
      <c r="B221" s="48" t="s">
        <v>155</v>
      </c>
      <c r="I221" s="432"/>
      <c r="J221" s="432"/>
      <c r="K221" s="432"/>
      <c r="L221" s="432"/>
      <c r="M221" s="432"/>
      <c r="N221" s="432"/>
      <c r="O221" s="432"/>
      <c r="P221" s="432"/>
      <c r="Q221" s="432"/>
      <c r="R221" s="432"/>
      <c r="S221" s="432"/>
      <c r="T221" s="432"/>
      <c r="U221" s="432"/>
      <c r="V221" s="432"/>
    </row>
    <row r="222" spans="2:22" hidden="1" x14ac:dyDescent="0.35"/>
    <row r="223" spans="2:22" s="17" customFormat="1" ht="15.5" hidden="1" x14ac:dyDescent="0.35">
      <c r="B223" s="187" t="s">
        <v>267</v>
      </c>
      <c r="C223" s="187" t="s">
        <v>216</v>
      </c>
      <c r="D223" s="188" t="s">
        <v>451</v>
      </c>
      <c r="E223" s="188"/>
      <c r="F223" s="188"/>
      <c r="G223" s="188"/>
      <c r="H223" s="188"/>
      <c r="I223" s="494"/>
      <c r="J223" s="495"/>
      <c r="K223" s="432"/>
      <c r="L223" s="432"/>
      <c r="M223" s="432"/>
      <c r="N223" s="432"/>
      <c r="O223" s="432"/>
      <c r="P223" s="432"/>
      <c r="Q223" s="432"/>
      <c r="R223" s="432"/>
      <c r="S223" s="432"/>
      <c r="T223" s="432"/>
      <c r="U223" s="432"/>
      <c r="V223" s="432"/>
    </row>
    <row r="224" spans="2:22" s="17" customFormat="1" ht="15.5" hidden="1" x14ac:dyDescent="0.35">
      <c r="B224" s="190"/>
      <c r="C224" s="190"/>
      <c r="D224" s="190"/>
      <c r="E224" s="190"/>
      <c r="F224" s="190"/>
      <c r="G224" s="190"/>
      <c r="H224" s="190"/>
      <c r="I224" s="55"/>
      <c r="J224" s="227"/>
      <c r="K224" s="432"/>
      <c r="L224" s="432"/>
      <c r="M224" s="432"/>
      <c r="N224" s="432"/>
      <c r="O224" s="432"/>
      <c r="P224" s="432"/>
      <c r="Q224" s="432"/>
      <c r="R224" s="432"/>
      <c r="S224" s="432"/>
      <c r="T224" s="432"/>
      <c r="U224" s="432"/>
      <c r="V224" s="432"/>
    </row>
    <row r="225" spans="2:22" s="17" customFormat="1" ht="15.5" hidden="1" x14ac:dyDescent="0.35">
      <c r="B225" s="192" t="s">
        <v>268</v>
      </c>
      <c r="C225" s="190"/>
      <c r="D225" s="192" t="s">
        <v>269</v>
      </c>
      <c r="E225" s="193"/>
      <c r="F225" s="193"/>
      <c r="G225" s="194"/>
      <c r="H225" s="190"/>
      <c r="I225" s="55"/>
      <c r="J225" s="227"/>
      <c r="K225" s="432"/>
      <c r="L225" s="432"/>
      <c r="M225" s="432"/>
      <c r="N225" s="432"/>
      <c r="O225" s="432"/>
      <c r="P225" s="432"/>
      <c r="Q225" s="432"/>
      <c r="R225" s="432"/>
      <c r="S225" s="432"/>
      <c r="T225" s="432"/>
      <c r="U225" s="432"/>
      <c r="V225" s="432"/>
    </row>
    <row r="226" spans="2:22" s="17" customFormat="1" ht="15.5" hidden="1" x14ac:dyDescent="0.35">
      <c r="B226" s="190"/>
      <c r="C226" s="195" t="s">
        <v>434</v>
      </c>
      <c r="D226" s="196" t="e">
        <f>C142*C141%</f>
        <v>#DIV/0!</v>
      </c>
      <c r="E226" s="196"/>
      <c r="F226" s="196"/>
      <c r="G226" s="196"/>
      <c r="H226" s="196"/>
      <c r="I226" s="55" t="s">
        <v>255</v>
      </c>
      <c r="J226" s="227"/>
      <c r="K226" s="432"/>
      <c r="L226" s="432"/>
      <c r="M226" s="432"/>
      <c r="N226" s="432"/>
      <c r="O226" s="432"/>
      <c r="P226" s="432"/>
      <c r="Q226" s="432"/>
      <c r="R226" s="432"/>
      <c r="S226" s="432"/>
      <c r="T226" s="432"/>
      <c r="U226" s="432"/>
      <c r="V226" s="432"/>
    </row>
    <row r="227" spans="2:22" s="17" customFormat="1" ht="15.5" hidden="1" x14ac:dyDescent="0.35">
      <c r="B227" s="197"/>
      <c r="C227" s="197"/>
      <c r="D227" s="197"/>
      <c r="E227" s="197"/>
      <c r="F227" s="197"/>
      <c r="G227" s="198"/>
      <c r="H227" s="190"/>
      <c r="I227" s="55"/>
      <c r="J227" s="227"/>
      <c r="K227" s="432"/>
      <c r="L227" s="432"/>
      <c r="M227" s="432"/>
      <c r="N227" s="432"/>
      <c r="O227" s="432"/>
      <c r="P227" s="432"/>
      <c r="Q227" s="432"/>
      <c r="R227" s="432"/>
      <c r="S227" s="432"/>
      <c r="T227" s="432"/>
      <c r="U227" s="432"/>
      <c r="V227" s="432"/>
    </row>
    <row r="228" spans="2:22" s="17" customFormat="1" ht="15.5" hidden="1" x14ac:dyDescent="0.35">
      <c r="B228" s="192" t="s">
        <v>271</v>
      </c>
      <c r="C228" s="193"/>
      <c r="D228" s="192" t="s">
        <v>272</v>
      </c>
      <c r="E228" s="193"/>
      <c r="F228" s="193"/>
      <c r="G228" s="194"/>
      <c r="H228" s="190"/>
      <c r="I228" s="55"/>
      <c r="J228" s="227"/>
      <c r="K228" s="432"/>
      <c r="L228" s="432"/>
      <c r="M228" s="432"/>
      <c r="N228" s="432"/>
      <c r="O228" s="432"/>
      <c r="P228" s="432"/>
      <c r="Q228" s="432"/>
      <c r="R228" s="432"/>
      <c r="S228" s="432"/>
      <c r="T228" s="432"/>
      <c r="U228" s="432"/>
      <c r="V228" s="432"/>
    </row>
    <row r="229" spans="2:22" s="17" customFormat="1" ht="15.5" hidden="1" x14ac:dyDescent="0.35">
      <c r="B229" s="193"/>
      <c r="C229" s="190"/>
      <c r="D229" s="190" t="s">
        <v>274</v>
      </c>
      <c r="E229" s="193"/>
      <c r="F229" s="193"/>
      <c r="G229" s="194"/>
      <c r="H229" s="190"/>
      <c r="I229" s="55"/>
      <c r="J229" s="227"/>
      <c r="K229" s="432"/>
      <c r="L229" s="432"/>
      <c r="M229" s="432"/>
      <c r="N229" s="432"/>
      <c r="O229" s="432"/>
      <c r="P229" s="432"/>
      <c r="Q229" s="432"/>
      <c r="R229" s="432"/>
      <c r="S229" s="432"/>
      <c r="T229" s="432"/>
      <c r="U229" s="432"/>
      <c r="V229" s="432"/>
    </row>
    <row r="230" spans="2:22" s="17" customFormat="1" ht="15.5" hidden="1" x14ac:dyDescent="0.35">
      <c r="B230" s="190"/>
      <c r="C230" s="190"/>
      <c r="D230" s="190" t="s">
        <v>275</v>
      </c>
      <c r="E230" s="199"/>
      <c r="F230" s="199"/>
      <c r="G230" s="194"/>
      <c r="H230" s="190"/>
      <c r="I230" s="55"/>
      <c r="J230" s="227"/>
      <c r="K230" s="432"/>
      <c r="L230" s="432"/>
      <c r="M230" s="432"/>
      <c r="N230" s="432"/>
      <c r="O230" s="432"/>
      <c r="P230" s="432"/>
      <c r="Q230" s="432"/>
      <c r="R230" s="432"/>
      <c r="S230" s="432"/>
      <c r="T230" s="432"/>
      <c r="U230" s="432"/>
      <c r="V230" s="432"/>
    </row>
    <row r="231" spans="2:22" s="17" customFormat="1" ht="15.5" hidden="1" x14ac:dyDescent="0.35">
      <c r="B231" s="190"/>
      <c r="C231" s="195" t="s">
        <v>434</v>
      </c>
      <c r="D231" s="196" t="e">
        <f>(0.3*((D226*(1-((C140+10)/100))))+(0.105*((C144)*C142*0.008))+(0.0152*C142))/6.25</f>
        <v>#DIV/0!</v>
      </c>
      <c r="E231" s="196"/>
      <c r="F231" s="196"/>
      <c r="G231" s="196"/>
      <c r="H231" s="196"/>
      <c r="I231" s="55" t="s">
        <v>255</v>
      </c>
      <c r="J231" s="227"/>
      <c r="K231" s="432"/>
      <c r="L231" s="432"/>
      <c r="M231" s="432"/>
      <c r="N231" s="432"/>
      <c r="O231" s="432"/>
      <c r="P231" s="432"/>
      <c r="Q231" s="432"/>
      <c r="R231" s="432"/>
      <c r="S231" s="432"/>
      <c r="T231" s="432"/>
      <c r="U231" s="432"/>
      <c r="V231" s="432"/>
    </row>
    <row r="232" spans="2:22" s="17" customFormat="1" ht="15.5" hidden="1" x14ac:dyDescent="0.35">
      <c r="B232" s="190"/>
      <c r="C232" s="190"/>
      <c r="D232" s="190"/>
      <c r="E232" s="190"/>
      <c r="F232" s="190"/>
      <c r="G232" s="190"/>
      <c r="H232" s="190"/>
      <c r="I232" s="55"/>
      <c r="J232" s="227"/>
      <c r="K232" s="432"/>
      <c r="L232" s="432"/>
      <c r="M232" s="432"/>
      <c r="N232" s="432"/>
      <c r="O232" s="432"/>
      <c r="P232" s="432"/>
      <c r="Q232" s="432"/>
      <c r="R232" s="432"/>
      <c r="S232" s="432"/>
      <c r="T232" s="432"/>
      <c r="U232" s="432"/>
      <c r="V232" s="432"/>
    </row>
    <row r="233" spans="2:22" s="17" customFormat="1" ht="18" hidden="1" x14ac:dyDescent="0.45">
      <c r="B233" s="192" t="s">
        <v>276</v>
      </c>
      <c r="C233" s="190"/>
      <c r="D233" s="200" t="s">
        <v>1364</v>
      </c>
      <c r="E233" s="201"/>
      <c r="F233" s="201"/>
      <c r="G233" s="201"/>
      <c r="H233" s="201"/>
      <c r="I233" s="55"/>
      <c r="J233" s="227"/>
      <c r="K233" s="432"/>
      <c r="L233" s="432"/>
      <c r="M233" s="432"/>
      <c r="N233" s="432"/>
      <c r="O233" s="432"/>
      <c r="P233" s="432"/>
      <c r="Q233" s="432"/>
      <c r="R233" s="432"/>
      <c r="S233" s="432"/>
      <c r="T233" s="432"/>
      <c r="U233" s="432"/>
      <c r="V233" s="432"/>
    </row>
    <row r="234" spans="2:22" s="17" customFormat="1" ht="16" hidden="1" thickBot="1" x14ac:dyDescent="0.4">
      <c r="B234" s="190"/>
      <c r="C234" s="190"/>
      <c r="D234" s="190"/>
      <c r="E234" s="190"/>
      <c r="F234" s="190"/>
      <c r="G234" s="190"/>
      <c r="H234" s="190"/>
      <c r="I234" s="55"/>
      <c r="J234" s="227"/>
      <c r="K234" s="432"/>
      <c r="L234" s="432"/>
      <c r="M234" s="432"/>
      <c r="N234" s="432"/>
      <c r="O234" s="432"/>
      <c r="P234" s="432"/>
      <c r="Q234" s="432"/>
      <c r="R234" s="432"/>
      <c r="S234" s="432"/>
      <c r="T234" s="432"/>
      <c r="U234" s="432"/>
      <c r="V234" s="432"/>
    </row>
    <row r="235" spans="2:22" s="17" customFormat="1" ht="16" hidden="1" thickBot="1" x14ac:dyDescent="0.4">
      <c r="B235" s="202"/>
      <c r="C235" s="203" t="s">
        <v>804</v>
      </c>
      <c r="D235" s="204"/>
      <c r="E235" s="204"/>
      <c r="F235" s="204"/>
      <c r="G235" s="204"/>
      <c r="H235" s="205"/>
      <c r="I235" s="55"/>
      <c r="J235" s="227"/>
      <c r="K235" s="432"/>
      <c r="L235" s="432"/>
      <c r="M235" s="432"/>
      <c r="N235" s="432"/>
      <c r="O235" s="432"/>
      <c r="P235" s="432"/>
      <c r="Q235" s="432"/>
      <c r="R235" s="432"/>
      <c r="S235" s="432"/>
      <c r="T235" s="432"/>
      <c r="U235" s="432"/>
      <c r="V235" s="432"/>
    </row>
    <row r="236" spans="2:22" s="17" customFormat="1" ht="15.5" hidden="1" x14ac:dyDescent="0.35">
      <c r="B236" s="190"/>
      <c r="C236" s="203"/>
      <c r="D236" s="206" t="s">
        <v>212</v>
      </c>
      <c r="E236" s="204"/>
      <c r="F236" s="204"/>
      <c r="G236" s="204"/>
      <c r="H236" s="205"/>
      <c r="I236" s="55"/>
      <c r="J236" s="227"/>
      <c r="K236" s="432"/>
      <c r="L236" s="432"/>
      <c r="M236" s="432"/>
      <c r="N236" s="432"/>
      <c r="O236" s="432"/>
      <c r="P236" s="432"/>
      <c r="Q236" s="432"/>
      <c r="R236" s="432"/>
      <c r="S236" s="432"/>
      <c r="T236" s="432"/>
      <c r="U236" s="432"/>
      <c r="V236" s="432"/>
    </row>
    <row r="237" spans="2:22" s="17" customFormat="1" ht="15.5" hidden="1" x14ac:dyDescent="0.35">
      <c r="B237" s="202">
        <v>1</v>
      </c>
      <c r="C237" s="473" t="s">
        <v>912</v>
      </c>
      <c r="D237" s="79">
        <v>590</v>
      </c>
      <c r="E237" s="208"/>
      <c r="F237" s="208"/>
      <c r="G237" s="208"/>
      <c r="H237" s="209"/>
      <c r="I237" s="55"/>
      <c r="J237" s="227"/>
      <c r="K237" s="432"/>
      <c r="L237" s="432"/>
      <c r="M237" s="432"/>
      <c r="N237" s="432"/>
      <c r="O237" s="432"/>
      <c r="P237" s="432"/>
      <c r="Q237" s="432"/>
      <c r="R237" s="432"/>
      <c r="S237" s="432"/>
      <c r="T237" s="432"/>
      <c r="U237" s="432"/>
      <c r="V237" s="432"/>
    </row>
    <row r="238" spans="2:22" s="17" customFormat="1" ht="15.5" hidden="1" x14ac:dyDescent="0.35">
      <c r="B238" s="202">
        <v>2</v>
      </c>
      <c r="C238" s="473" t="s">
        <v>917</v>
      </c>
      <c r="D238" s="79">
        <v>590</v>
      </c>
      <c r="E238" s="208"/>
      <c r="F238" s="208"/>
      <c r="G238" s="208"/>
      <c r="H238" s="209"/>
      <c r="I238" s="55"/>
      <c r="J238" s="227"/>
      <c r="K238" s="432"/>
      <c r="L238" s="432"/>
      <c r="M238" s="432"/>
      <c r="N238" s="432"/>
      <c r="O238" s="432"/>
      <c r="P238" s="432"/>
      <c r="Q238" s="432"/>
      <c r="R238" s="432"/>
      <c r="S238" s="432"/>
      <c r="T238" s="432"/>
      <c r="U238" s="432"/>
      <c r="V238" s="432"/>
    </row>
    <row r="239" spans="2:22" s="17" customFormat="1" ht="15.5" hidden="1" x14ac:dyDescent="0.35">
      <c r="B239" s="202">
        <v>3</v>
      </c>
      <c r="C239" s="473" t="s">
        <v>866</v>
      </c>
      <c r="D239" s="79">
        <v>590</v>
      </c>
      <c r="E239" s="208"/>
      <c r="F239" s="208"/>
      <c r="G239" s="208"/>
      <c r="H239" s="209"/>
      <c r="I239" s="496"/>
      <c r="J239" s="227"/>
      <c r="K239" s="432"/>
      <c r="L239" s="432"/>
      <c r="M239" s="432"/>
      <c r="N239" s="432"/>
      <c r="O239" s="432"/>
      <c r="P239" s="432"/>
      <c r="Q239" s="432"/>
      <c r="R239" s="432"/>
      <c r="S239" s="432"/>
      <c r="T239" s="432"/>
      <c r="U239" s="432"/>
      <c r="V239" s="432"/>
    </row>
    <row r="240" spans="2:22" s="17" customFormat="1" ht="15.5" hidden="1" x14ac:dyDescent="0.35">
      <c r="B240" s="202">
        <v>4</v>
      </c>
      <c r="C240" s="473" t="s">
        <v>914</v>
      </c>
      <c r="D240" s="907">
        <v>590</v>
      </c>
      <c r="E240" s="208"/>
      <c r="F240" s="208"/>
      <c r="G240" s="208"/>
      <c r="H240" s="209"/>
      <c r="I240" s="55"/>
      <c r="J240" s="227"/>
      <c r="K240" s="432"/>
      <c r="L240" s="432"/>
      <c r="M240" s="432"/>
      <c r="N240" s="432"/>
      <c r="O240" s="432"/>
      <c r="P240" s="432"/>
      <c r="Q240" s="432"/>
      <c r="R240" s="432"/>
      <c r="S240" s="432"/>
      <c r="T240" s="432"/>
      <c r="U240" s="432"/>
      <c r="V240" s="432"/>
    </row>
    <row r="241" spans="2:22" s="17" customFormat="1" ht="15.5" hidden="1" x14ac:dyDescent="0.35">
      <c r="B241" s="202">
        <v>5</v>
      </c>
      <c r="C241" s="473" t="s">
        <v>918</v>
      </c>
      <c r="D241" s="907">
        <v>590</v>
      </c>
      <c r="E241" s="208"/>
      <c r="F241" s="208"/>
      <c r="G241" s="208"/>
      <c r="H241" s="209"/>
      <c r="I241" s="55"/>
      <c r="J241" s="227"/>
      <c r="K241" s="432"/>
      <c r="L241" s="432"/>
      <c r="M241" s="432"/>
      <c r="N241" s="432"/>
      <c r="O241" s="432"/>
      <c r="P241" s="432"/>
      <c r="Q241" s="432"/>
      <c r="R241" s="432"/>
      <c r="S241" s="432"/>
      <c r="T241" s="432"/>
      <c r="U241" s="432"/>
      <c r="V241" s="432"/>
    </row>
    <row r="242" spans="2:22" s="17" customFormat="1" ht="15.5" hidden="1" x14ac:dyDescent="0.35">
      <c r="B242" s="202">
        <v>6</v>
      </c>
      <c r="C242" s="474" t="s">
        <v>919</v>
      </c>
      <c r="D242" s="907">
        <v>590</v>
      </c>
      <c r="E242" s="208"/>
      <c r="F242" s="208"/>
      <c r="G242" s="208"/>
      <c r="H242" s="209"/>
      <c r="I242" s="55"/>
      <c r="J242" s="227"/>
      <c r="K242" s="432"/>
      <c r="L242" s="432"/>
      <c r="M242" s="432"/>
      <c r="N242" s="432"/>
      <c r="O242" s="432"/>
      <c r="P242" s="432"/>
      <c r="Q242" s="432"/>
      <c r="R242" s="432"/>
      <c r="S242" s="432"/>
      <c r="T242" s="432"/>
      <c r="U242" s="432"/>
      <c r="V242" s="432"/>
    </row>
    <row r="243" spans="2:22" s="17" customFormat="1" ht="16" hidden="1" thickBot="1" x14ac:dyDescent="0.4">
      <c r="B243" s="202">
        <v>7</v>
      </c>
      <c r="C243" s="475" t="s">
        <v>920</v>
      </c>
      <c r="D243" s="907">
        <v>590</v>
      </c>
      <c r="E243" s="208"/>
      <c r="F243" s="208"/>
      <c r="G243" s="208"/>
      <c r="H243" s="209"/>
      <c r="I243" s="55"/>
      <c r="J243" s="227"/>
      <c r="K243" s="432"/>
      <c r="L243" s="432"/>
      <c r="M243" s="432"/>
      <c r="N243" s="432"/>
      <c r="O243" s="432"/>
      <c r="P243" s="432"/>
      <c r="Q243" s="432"/>
      <c r="R243" s="432"/>
      <c r="S243" s="432"/>
      <c r="T243" s="432"/>
      <c r="U243" s="432"/>
      <c r="V243" s="432"/>
    </row>
    <row r="244" spans="2:22" s="17" customFormat="1" ht="16" hidden="1" thickBot="1" x14ac:dyDescent="0.4">
      <c r="B244" s="190"/>
      <c r="C244" s="210" t="s">
        <v>228</v>
      </c>
      <c r="D244" s="211" t="e">
        <f>VLOOKUP('Baseline farm'!$D$15,$C$237:$H$243,2,FALSE)</f>
        <v>#N/A</v>
      </c>
      <c r="E244" s="212"/>
      <c r="F244" s="212"/>
      <c r="G244" s="212"/>
      <c r="H244" s="212"/>
      <c r="I244" s="55"/>
      <c r="J244" s="227"/>
      <c r="K244" s="432"/>
      <c r="L244" s="432"/>
      <c r="M244" s="432"/>
      <c r="N244" s="432"/>
      <c r="O244" s="432"/>
      <c r="P244" s="432"/>
      <c r="Q244" s="432"/>
      <c r="R244" s="432"/>
      <c r="S244" s="432"/>
      <c r="T244" s="432"/>
      <c r="U244" s="432"/>
      <c r="V244" s="432"/>
    </row>
    <row r="245" spans="2:22" s="17" customFormat="1" ht="16" hidden="1" thickBot="1" x14ac:dyDescent="0.4">
      <c r="B245" s="190"/>
      <c r="C245" s="210" t="s">
        <v>300</v>
      </c>
      <c r="D245" s="213" t="e">
        <f>IF(D244&gt;0,C12/D244,0)</f>
        <v>#N/A</v>
      </c>
      <c r="E245" s="214"/>
      <c r="F245" s="214"/>
      <c r="G245" s="214"/>
      <c r="H245" s="215"/>
      <c r="I245" s="496"/>
      <c r="J245" s="227"/>
      <c r="K245" s="432"/>
      <c r="L245" s="432"/>
      <c r="M245" s="432"/>
      <c r="N245" s="432"/>
      <c r="O245" s="432"/>
      <c r="P245" s="432"/>
      <c r="Q245" s="432"/>
      <c r="R245" s="432"/>
      <c r="S245" s="432"/>
      <c r="T245" s="432"/>
      <c r="U245" s="432"/>
      <c r="V245" s="432"/>
    </row>
    <row r="246" spans="2:22" s="17" customFormat="1" ht="15.5" hidden="1" x14ac:dyDescent="0.35">
      <c r="B246" s="190"/>
      <c r="C246" s="190"/>
      <c r="D246" s="190"/>
      <c r="E246" s="190"/>
      <c r="F246" s="190"/>
      <c r="G246" s="190"/>
      <c r="H246" s="190"/>
      <c r="I246" s="55"/>
      <c r="J246" s="227"/>
      <c r="K246" s="432"/>
      <c r="L246" s="432"/>
      <c r="M246" s="432"/>
      <c r="N246" s="432"/>
      <c r="O246" s="432"/>
      <c r="P246" s="432"/>
      <c r="Q246" s="432"/>
      <c r="R246" s="432"/>
      <c r="S246" s="432"/>
      <c r="T246" s="432"/>
      <c r="U246" s="432"/>
      <c r="V246" s="432"/>
    </row>
    <row r="247" spans="2:22" s="17" customFormat="1" ht="15.5" hidden="1" x14ac:dyDescent="0.35">
      <c r="B247" s="190"/>
      <c r="C247" s="195" t="s">
        <v>434</v>
      </c>
      <c r="D247" s="216" t="e">
        <f>((0.032*C148*1.03/6.38)+((0.212-0.008*('Supplementing with dietary fats'!C117-2)-((0.14-0.008*('Supplementing with dietary fats'!C117-2))/(1+EXP(-6*(D245-0.4)))))*(C13*0.92))/6.25)</f>
        <v>#DIV/0!</v>
      </c>
      <c r="E247" s="216"/>
      <c r="F247" s="216"/>
      <c r="G247" s="216"/>
      <c r="H247" s="216"/>
      <c r="I247" s="496" t="s">
        <v>283</v>
      </c>
      <c r="J247" s="227"/>
      <c r="K247" s="432"/>
      <c r="L247" s="432"/>
      <c r="M247" s="432"/>
      <c r="N247" s="432"/>
      <c r="O247" s="432"/>
      <c r="P247" s="432"/>
      <c r="Q247" s="432"/>
      <c r="R247" s="432"/>
      <c r="S247" s="432"/>
      <c r="T247" s="432"/>
      <c r="U247" s="432"/>
      <c r="V247" s="432"/>
    </row>
    <row r="248" spans="2:22" s="17" customFormat="1" ht="15.5" hidden="1" x14ac:dyDescent="0.35">
      <c r="B248" s="190"/>
      <c r="C248" s="217"/>
      <c r="D248" s="216"/>
      <c r="E248" s="216"/>
      <c r="F248" s="216"/>
      <c r="G248" s="216"/>
      <c r="H248" s="216"/>
      <c r="I248" s="496"/>
      <c r="J248" s="227"/>
      <c r="K248" s="432"/>
      <c r="L248" s="432"/>
      <c r="M248" s="432"/>
      <c r="N248" s="432"/>
      <c r="O248" s="432"/>
      <c r="P248" s="432"/>
      <c r="Q248" s="432"/>
      <c r="R248" s="432"/>
      <c r="S248" s="432"/>
      <c r="T248" s="432"/>
      <c r="U248" s="432"/>
      <c r="V248" s="432"/>
    </row>
    <row r="249" spans="2:22" s="17" customFormat="1" ht="18.5" hidden="1" x14ac:dyDescent="0.35">
      <c r="B249" s="192" t="s">
        <v>284</v>
      </c>
      <c r="C249" s="190"/>
      <c r="D249" s="218" t="s">
        <v>285</v>
      </c>
      <c r="E249" s="216"/>
      <c r="F249" s="216"/>
      <c r="G249" s="216"/>
      <c r="H249" s="190"/>
      <c r="I249" s="496"/>
      <c r="J249" s="227"/>
      <c r="K249" s="432"/>
      <c r="L249" s="432"/>
      <c r="M249" s="432"/>
      <c r="N249" s="432"/>
      <c r="O249" s="432"/>
      <c r="P249" s="432"/>
      <c r="Q249" s="432"/>
      <c r="R249" s="432"/>
      <c r="S249" s="432"/>
      <c r="T249" s="432"/>
      <c r="U249" s="432"/>
      <c r="V249" s="432"/>
    </row>
    <row r="250" spans="2:22" s="17" customFormat="1" ht="15.5" hidden="1" x14ac:dyDescent="0.35">
      <c r="B250" s="190"/>
      <c r="C250" s="195" t="s">
        <v>434</v>
      </c>
      <c r="D250" s="216" t="e">
        <f>(D226/6.25)-D247-D231-((1.1*10^-4*C12^0.75)/6.25)</f>
        <v>#DIV/0!</v>
      </c>
      <c r="E250" s="216"/>
      <c r="F250" s="216"/>
      <c r="G250" s="216"/>
      <c r="H250" s="216"/>
      <c r="I250" s="496" t="s">
        <v>283</v>
      </c>
      <c r="J250" s="227"/>
      <c r="K250" s="432"/>
      <c r="L250" s="432"/>
      <c r="M250" s="432"/>
      <c r="N250" s="432"/>
      <c r="O250" s="432"/>
      <c r="P250" s="432"/>
      <c r="Q250" s="432"/>
      <c r="R250" s="432"/>
      <c r="S250" s="432"/>
      <c r="T250" s="432"/>
      <c r="U250" s="432"/>
      <c r="V250" s="432"/>
    </row>
    <row r="251" spans="2:22" s="17" customFormat="1" ht="15.5" hidden="1" x14ac:dyDescent="0.35">
      <c r="B251" s="190"/>
      <c r="C251" s="190"/>
      <c r="D251" s="190"/>
      <c r="E251" s="190"/>
      <c r="F251" s="190"/>
      <c r="G251" s="190"/>
      <c r="H251" s="190"/>
      <c r="I251" s="496"/>
      <c r="J251" s="227"/>
      <c r="K251" s="432"/>
      <c r="L251" s="432"/>
      <c r="M251" s="432"/>
      <c r="N251" s="432"/>
      <c r="O251" s="432"/>
      <c r="P251" s="432"/>
      <c r="Q251" s="432"/>
      <c r="R251" s="432"/>
      <c r="S251" s="432"/>
      <c r="T251" s="432"/>
      <c r="U251" s="432"/>
      <c r="V251" s="432"/>
    </row>
    <row r="252" spans="2:22" s="17" customFormat="1" ht="15.5" hidden="1" x14ac:dyDescent="0.35">
      <c r="B252" s="192" t="s">
        <v>444</v>
      </c>
      <c r="C252" s="190"/>
      <c r="D252" s="192" t="s">
        <v>436</v>
      </c>
      <c r="E252" s="190"/>
      <c r="F252" s="190"/>
      <c r="G252" s="190"/>
      <c r="H252" s="190"/>
      <c r="I252" s="496"/>
      <c r="J252" s="227"/>
      <c r="K252" s="432"/>
      <c r="L252" s="432"/>
      <c r="M252" s="432"/>
      <c r="N252" s="432"/>
      <c r="O252" s="432"/>
      <c r="P252" s="432"/>
      <c r="Q252" s="432"/>
      <c r="R252" s="432"/>
      <c r="S252" s="432"/>
      <c r="T252" s="432"/>
      <c r="U252" s="432"/>
      <c r="V252" s="432"/>
    </row>
    <row r="253" spans="2:22" s="17" customFormat="1" ht="15.5" hidden="1" x14ac:dyDescent="0.35">
      <c r="B253" s="190"/>
      <c r="C253" s="190"/>
      <c r="D253" s="190"/>
      <c r="E253" s="190"/>
      <c r="F253" s="190"/>
      <c r="G253" s="190"/>
      <c r="H253" s="190"/>
      <c r="I253" s="55"/>
      <c r="J253" s="227"/>
      <c r="K253" s="432"/>
      <c r="L253" s="432"/>
      <c r="M253" s="432"/>
      <c r="N253" s="432"/>
      <c r="O253" s="432"/>
      <c r="P253" s="432"/>
      <c r="Q253" s="432"/>
      <c r="R253" s="432"/>
      <c r="S253" s="432"/>
      <c r="T253" s="432"/>
      <c r="U253" s="432"/>
      <c r="V253" s="432"/>
    </row>
    <row r="254" spans="2:22" s="17" customFormat="1" ht="15.5" hidden="1" x14ac:dyDescent="0.35">
      <c r="B254" s="190"/>
      <c r="C254" s="195" t="s">
        <v>434</v>
      </c>
      <c r="D254" s="196" t="e">
        <f>(365*C11*D231)*10^-6</f>
        <v>#DIV/0!</v>
      </c>
      <c r="E254" s="196"/>
      <c r="F254" s="196"/>
      <c r="G254" s="196"/>
      <c r="H254" s="196"/>
      <c r="I254" s="55" t="s">
        <v>438</v>
      </c>
      <c r="J254" s="227"/>
      <c r="K254" s="432"/>
      <c r="L254" s="432"/>
      <c r="M254" s="432"/>
      <c r="N254" s="432"/>
      <c r="O254" s="432"/>
      <c r="P254" s="432"/>
      <c r="Q254" s="432"/>
      <c r="R254" s="432"/>
      <c r="S254" s="432"/>
      <c r="T254" s="432"/>
      <c r="U254" s="432"/>
      <c r="V254" s="432"/>
    </row>
    <row r="255" spans="2:22" s="17" customFormat="1" ht="15.5" hidden="1" x14ac:dyDescent="0.35">
      <c r="B255" s="190"/>
      <c r="C255" s="190"/>
      <c r="D255" s="190"/>
      <c r="E255" s="190"/>
      <c r="F255" s="190"/>
      <c r="G255" s="190"/>
      <c r="H255" s="190"/>
      <c r="I255" s="55"/>
      <c r="J255" s="227"/>
      <c r="K255" s="432"/>
      <c r="L255" s="432"/>
      <c r="M255" s="432"/>
      <c r="N255" s="432"/>
      <c r="O255" s="432"/>
      <c r="P255" s="432"/>
      <c r="Q255" s="432"/>
      <c r="R255" s="432"/>
      <c r="S255" s="432"/>
      <c r="T255" s="432"/>
      <c r="U255" s="432"/>
      <c r="V255" s="432"/>
    </row>
    <row r="256" spans="2:22" s="17" customFormat="1" ht="15.5" hidden="1" x14ac:dyDescent="0.35">
      <c r="B256" s="192" t="s">
        <v>445</v>
      </c>
      <c r="C256" s="190"/>
      <c r="D256" s="192" t="s">
        <v>437</v>
      </c>
      <c r="E256" s="190"/>
      <c r="F256" s="190"/>
      <c r="G256" s="190"/>
      <c r="H256" s="190"/>
      <c r="I256" s="55"/>
      <c r="J256" s="227"/>
      <c r="K256" s="432"/>
      <c r="L256" s="432"/>
      <c r="M256" s="432"/>
      <c r="N256" s="432"/>
      <c r="O256" s="432"/>
      <c r="P256" s="432"/>
      <c r="Q256" s="432"/>
      <c r="R256" s="432"/>
      <c r="S256" s="432"/>
      <c r="T256" s="432"/>
      <c r="U256" s="432"/>
      <c r="V256" s="432"/>
    </row>
    <row r="257" spans="2:22" s="17" customFormat="1" ht="15.5" hidden="1" x14ac:dyDescent="0.35">
      <c r="B257" s="190"/>
      <c r="C257" s="190"/>
      <c r="D257" s="190"/>
      <c r="E257" s="190"/>
      <c r="F257" s="190"/>
      <c r="G257" s="190"/>
      <c r="H257" s="190"/>
      <c r="I257" s="55"/>
      <c r="J257" s="227"/>
      <c r="K257" s="432"/>
      <c r="L257" s="432"/>
      <c r="M257" s="432"/>
      <c r="N257" s="432"/>
      <c r="O257" s="432"/>
      <c r="P257" s="432"/>
      <c r="Q257" s="432"/>
      <c r="R257" s="432"/>
      <c r="S257" s="432"/>
      <c r="T257" s="432"/>
      <c r="U257" s="432"/>
      <c r="V257" s="432"/>
    </row>
    <row r="258" spans="2:22" s="17" customFormat="1" ht="15.5" hidden="1" x14ac:dyDescent="0.35">
      <c r="B258" s="190"/>
      <c r="C258" s="195" t="s">
        <v>434</v>
      </c>
      <c r="D258" s="216" t="e">
        <f>(365*C11*D250)*10^-6</f>
        <v>#DIV/0!</v>
      </c>
      <c r="E258" s="216"/>
      <c r="F258" s="216"/>
      <c r="G258" s="216"/>
      <c r="H258" s="216"/>
      <c r="I258" s="55" t="s">
        <v>438</v>
      </c>
      <c r="J258" s="227"/>
      <c r="K258" s="432"/>
      <c r="L258" s="432"/>
      <c r="M258" s="432"/>
      <c r="N258" s="432"/>
      <c r="O258" s="432"/>
      <c r="P258" s="432"/>
      <c r="Q258" s="432"/>
      <c r="R258" s="432"/>
      <c r="S258" s="432"/>
      <c r="T258" s="432"/>
      <c r="U258" s="432"/>
      <c r="V258" s="432"/>
    </row>
    <row r="259" spans="2:22" s="17" customFormat="1" ht="15.5" hidden="1" x14ac:dyDescent="0.35">
      <c r="B259" s="190"/>
      <c r="C259" s="190"/>
      <c r="D259" s="190"/>
      <c r="E259" s="190"/>
      <c r="F259" s="190"/>
      <c r="G259" s="190"/>
      <c r="H259" s="190"/>
      <c r="I259" s="55"/>
      <c r="J259" s="227"/>
      <c r="K259" s="432"/>
      <c r="L259" s="432"/>
      <c r="M259" s="432"/>
      <c r="N259" s="432"/>
      <c r="O259" s="432"/>
      <c r="P259" s="432"/>
      <c r="Q259" s="432"/>
      <c r="R259" s="432"/>
      <c r="S259" s="432"/>
      <c r="T259" s="432"/>
      <c r="U259" s="432"/>
      <c r="V259" s="432"/>
    </row>
    <row r="260" spans="2:22" s="17" customFormat="1" ht="15.5" hidden="1" x14ac:dyDescent="0.35">
      <c r="B260" s="192" t="s">
        <v>446</v>
      </c>
      <c r="C260" s="190"/>
      <c r="D260" s="192" t="s">
        <v>290</v>
      </c>
      <c r="E260" s="190"/>
      <c r="F260" s="190"/>
      <c r="G260" s="190"/>
      <c r="H260" s="190"/>
      <c r="I260" s="55"/>
      <c r="J260" s="227"/>
      <c r="K260" s="432"/>
      <c r="L260" s="432"/>
      <c r="M260" s="432"/>
      <c r="N260" s="432"/>
      <c r="O260" s="432"/>
      <c r="P260" s="432"/>
      <c r="Q260" s="432"/>
      <c r="R260" s="432"/>
      <c r="S260" s="432"/>
      <c r="T260" s="432"/>
      <c r="U260" s="432"/>
      <c r="V260" s="432"/>
    </row>
    <row r="261" spans="2:22" s="17" customFormat="1" ht="15.5" hidden="1" x14ac:dyDescent="0.35">
      <c r="B261" s="190"/>
      <c r="C261" s="190"/>
      <c r="D261" s="219"/>
      <c r="E261" s="219"/>
      <c r="F261" s="219"/>
      <c r="G261" s="219"/>
      <c r="H261" s="219"/>
      <c r="I261" s="496"/>
      <c r="J261" s="227"/>
      <c r="K261" s="432"/>
      <c r="L261" s="432"/>
      <c r="M261" s="432"/>
      <c r="N261" s="432"/>
      <c r="O261" s="432"/>
      <c r="P261" s="432"/>
      <c r="Q261" s="432"/>
      <c r="R261" s="432"/>
      <c r="S261" s="432"/>
      <c r="T261" s="432"/>
      <c r="U261" s="432"/>
      <c r="V261" s="432"/>
    </row>
    <row r="262" spans="2:22" s="17" customFormat="1" ht="15.5" hidden="1" x14ac:dyDescent="0.35">
      <c r="B262" s="190"/>
      <c r="C262" s="195" t="s">
        <v>434</v>
      </c>
      <c r="D262" s="219" t="e">
        <f>D254+D258</f>
        <v>#DIV/0!</v>
      </c>
      <c r="E262" s="219"/>
      <c r="F262" s="219"/>
      <c r="G262" s="219"/>
      <c r="H262" s="219"/>
      <c r="I262" s="55" t="s">
        <v>438</v>
      </c>
      <c r="J262" s="227"/>
      <c r="K262" s="432"/>
      <c r="L262" s="432"/>
      <c r="M262" s="432"/>
      <c r="N262" s="432"/>
      <c r="O262" s="432"/>
      <c r="P262" s="432"/>
      <c r="Q262" s="432"/>
      <c r="R262" s="432"/>
      <c r="S262" s="432"/>
      <c r="T262" s="432"/>
      <c r="U262" s="432"/>
      <c r="V262" s="432"/>
    </row>
    <row r="263" spans="2:22" s="17" customFormat="1" ht="15.5" hidden="1" x14ac:dyDescent="0.35">
      <c r="B263" s="190"/>
      <c r="C263" s="195"/>
      <c r="D263" s="190"/>
      <c r="E263" s="190"/>
      <c r="F263" s="190"/>
      <c r="G263" s="190"/>
      <c r="H263" s="190"/>
      <c r="I263" s="55"/>
      <c r="J263" s="227"/>
      <c r="K263" s="432"/>
      <c r="L263" s="432"/>
      <c r="M263" s="432"/>
      <c r="N263" s="432"/>
      <c r="O263" s="432"/>
      <c r="P263" s="432"/>
      <c r="Q263" s="432"/>
      <c r="R263" s="432"/>
      <c r="S263" s="432"/>
      <c r="T263" s="432"/>
      <c r="U263" s="432"/>
      <c r="V263" s="432"/>
    </row>
    <row r="264" spans="2:22" s="17" customFormat="1" ht="15.5" hidden="1" x14ac:dyDescent="0.35">
      <c r="B264" s="192" t="s">
        <v>291</v>
      </c>
      <c r="C264" s="217"/>
      <c r="D264" s="192" t="s">
        <v>292</v>
      </c>
      <c r="E264" s="217"/>
      <c r="F264" s="217"/>
      <c r="G264" s="217"/>
      <c r="H264" s="202"/>
      <c r="I264" s="55"/>
      <c r="J264" s="227"/>
      <c r="K264" s="432"/>
      <c r="L264" s="432"/>
      <c r="M264" s="432"/>
      <c r="N264" s="432"/>
      <c r="O264" s="432"/>
      <c r="P264" s="432"/>
      <c r="Q264" s="432"/>
      <c r="R264" s="432"/>
      <c r="S264" s="432"/>
      <c r="T264" s="432"/>
      <c r="U264" s="432"/>
      <c r="V264" s="432"/>
    </row>
    <row r="265" spans="2:22" s="17" customFormat="1" ht="15.5" hidden="1" x14ac:dyDescent="0.35">
      <c r="B265" s="190"/>
      <c r="C265" s="190"/>
      <c r="D265" s="190" t="s">
        <v>293</v>
      </c>
      <c r="E265" s="220"/>
      <c r="F265" s="220"/>
      <c r="G265" s="220"/>
      <c r="H265" s="220"/>
      <c r="I265" s="55"/>
      <c r="J265" s="227"/>
      <c r="K265" s="432"/>
      <c r="L265" s="432"/>
      <c r="M265" s="432"/>
      <c r="N265" s="432"/>
      <c r="O265" s="432"/>
      <c r="P265" s="432"/>
      <c r="Q265" s="432"/>
      <c r="R265" s="432"/>
      <c r="S265" s="432"/>
      <c r="T265" s="432"/>
      <c r="U265" s="432"/>
      <c r="V265" s="432"/>
    </row>
    <row r="266" spans="2:22" s="17" customFormat="1" ht="15.5" hidden="1" x14ac:dyDescent="0.35">
      <c r="B266" s="190"/>
      <c r="C266" s="190"/>
      <c r="D266" s="190" t="s">
        <v>294</v>
      </c>
      <c r="E266" s="190"/>
      <c r="F266" s="190"/>
      <c r="G266" s="190"/>
      <c r="H266" s="190"/>
      <c r="I266" s="55"/>
      <c r="J266" s="227"/>
      <c r="K266" s="432"/>
      <c r="L266" s="432"/>
      <c r="M266" s="432"/>
      <c r="N266" s="432"/>
      <c r="O266" s="432"/>
      <c r="P266" s="432"/>
      <c r="Q266" s="432"/>
      <c r="R266" s="432"/>
      <c r="S266" s="432"/>
      <c r="T266" s="432"/>
      <c r="U266" s="432"/>
      <c r="V266" s="432"/>
    </row>
    <row r="267" spans="2:22" s="17" customFormat="1" ht="15.5" hidden="1" x14ac:dyDescent="0.35">
      <c r="B267" s="190"/>
      <c r="C267" s="190"/>
      <c r="D267" s="190"/>
      <c r="E267" s="190"/>
      <c r="F267" s="190"/>
      <c r="G267" s="190"/>
      <c r="H267" s="190"/>
      <c r="I267" s="55"/>
      <c r="J267" s="55"/>
      <c r="K267" s="432"/>
      <c r="L267" s="432"/>
      <c r="M267" s="432"/>
      <c r="N267" s="432"/>
      <c r="O267" s="432"/>
      <c r="P267" s="432"/>
      <c r="Q267" s="432"/>
      <c r="R267" s="432"/>
      <c r="S267" s="432"/>
      <c r="T267" s="432"/>
      <c r="U267" s="432"/>
      <c r="V267" s="432"/>
    </row>
    <row r="268" spans="2:22" s="17" customFormat="1" ht="18" hidden="1" x14ac:dyDescent="0.45">
      <c r="B268" s="867" t="s">
        <v>295</v>
      </c>
      <c r="C268" s="917"/>
      <c r="D268" s="916" t="s">
        <v>1350</v>
      </c>
      <c r="E268" s="190"/>
      <c r="F268" s="190"/>
      <c r="G268" s="867" t="s">
        <v>296</v>
      </c>
      <c r="H268" s="190"/>
      <c r="I268" s="919"/>
      <c r="J268" s="919"/>
      <c r="K268" s="432"/>
      <c r="L268" s="432"/>
      <c r="M268" s="432"/>
      <c r="N268" s="432"/>
      <c r="O268" s="432"/>
      <c r="P268" s="432"/>
      <c r="Q268" s="432"/>
      <c r="R268" s="432"/>
      <c r="S268" s="432"/>
      <c r="T268" s="432"/>
      <c r="U268" s="432"/>
      <c r="V268" s="432"/>
    </row>
    <row r="269" spans="2:22" s="17" customFormat="1" ht="15.5" hidden="1" x14ac:dyDescent="0.35">
      <c r="B269" s="910" t="s">
        <v>1288</v>
      </c>
      <c r="C269" s="912" t="s">
        <v>434</v>
      </c>
      <c r="D269" s="939" t="e">
        <f>$D$262*'Baseline farm'!C85%</f>
        <v>#DIV/0!</v>
      </c>
      <c r="E269" s="223"/>
      <c r="F269" s="223"/>
      <c r="G269" s="910">
        <v>0</v>
      </c>
      <c r="H269" s="223"/>
      <c r="I269" s="919"/>
      <c r="J269" s="919"/>
      <c r="K269" s="432"/>
      <c r="L269" s="432"/>
      <c r="M269" s="432"/>
      <c r="N269" s="432"/>
      <c r="O269" s="432"/>
      <c r="P269" s="432"/>
      <c r="Q269" s="432"/>
      <c r="R269" s="432"/>
      <c r="S269" s="432"/>
      <c r="T269" s="432"/>
      <c r="U269" s="432"/>
      <c r="V269" s="432"/>
    </row>
    <row r="270" spans="2:22" s="17" customFormat="1" ht="15.5" hidden="1" x14ac:dyDescent="0.35">
      <c r="B270" s="917"/>
      <c r="C270" s="917"/>
      <c r="D270" s="909"/>
      <c r="E270" s="190"/>
      <c r="F270" s="190"/>
      <c r="G270" s="917"/>
      <c r="H270" s="190"/>
      <c r="I270" s="919"/>
      <c r="J270" s="919"/>
      <c r="K270" s="432"/>
      <c r="L270" s="432"/>
      <c r="M270" s="432"/>
      <c r="N270" s="432"/>
      <c r="O270" s="432"/>
      <c r="P270" s="432"/>
      <c r="Q270" s="432"/>
      <c r="R270" s="432"/>
      <c r="S270" s="432"/>
      <c r="T270" s="432"/>
      <c r="U270" s="432"/>
      <c r="V270" s="432"/>
    </row>
    <row r="271" spans="2:22" s="17" customFormat="1" ht="15.5" hidden="1" x14ac:dyDescent="0.35">
      <c r="B271" s="910" t="s">
        <v>1287</v>
      </c>
      <c r="C271" s="912" t="s">
        <v>434</v>
      </c>
      <c r="D271" s="939" t="e">
        <f>$D$262*'Baseline farm'!D85%</f>
        <v>#DIV/0!</v>
      </c>
      <c r="E271" s="223"/>
      <c r="F271" s="223"/>
      <c r="G271" s="910">
        <v>0</v>
      </c>
      <c r="H271" s="223"/>
      <c r="I271" s="919"/>
      <c r="J271" s="919"/>
      <c r="K271" s="432"/>
      <c r="L271" s="432"/>
      <c r="M271" s="432"/>
      <c r="N271" s="432"/>
      <c r="O271" s="432"/>
      <c r="P271" s="432"/>
      <c r="Q271" s="432"/>
      <c r="R271" s="432"/>
      <c r="S271" s="432"/>
      <c r="T271" s="432"/>
      <c r="U271" s="432"/>
      <c r="V271" s="432"/>
    </row>
    <row r="272" spans="2:22" s="17" customFormat="1" ht="15.5" hidden="1" x14ac:dyDescent="0.35">
      <c r="B272" s="917"/>
      <c r="C272" s="917"/>
      <c r="D272" s="909"/>
      <c r="E272" s="190"/>
      <c r="F272" s="190"/>
      <c r="G272" s="917"/>
      <c r="H272" s="190"/>
      <c r="I272" s="919"/>
      <c r="J272" s="919"/>
      <c r="K272" s="432"/>
      <c r="L272" s="432"/>
      <c r="M272" s="432"/>
      <c r="N272" s="432"/>
      <c r="O272" s="432"/>
      <c r="P272" s="432"/>
      <c r="Q272" s="432"/>
      <c r="R272" s="432"/>
      <c r="S272" s="432"/>
      <c r="T272" s="432"/>
      <c r="U272" s="432"/>
      <c r="V272" s="432"/>
    </row>
    <row r="273" spans="2:22" s="17" customFormat="1" ht="15.5" hidden="1" x14ac:dyDescent="0.35">
      <c r="B273" s="910" t="s">
        <v>1914</v>
      </c>
      <c r="C273" s="912" t="s">
        <v>434</v>
      </c>
      <c r="D273" s="939" t="e">
        <f>$D$262*'Baseline farm'!E85%</f>
        <v>#DIV/0!</v>
      </c>
      <c r="E273" s="223"/>
      <c r="F273" s="223"/>
      <c r="G273" s="910">
        <v>0</v>
      </c>
      <c r="H273" s="223"/>
      <c r="I273" s="919"/>
      <c r="J273" s="919"/>
      <c r="K273" s="432"/>
      <c r="L273" s="432"/>
      <c r="M273" s="432"/>
      <c r="N273" s="432"/>
      <c r="O273" s="432"/>
      <c r="P273" s="432"/>
      <c r="Q273" s="432"/>
      <c r="R273" s="432"/>
      <c r="S273" s="432"/>
      <c r="T273" s="432"/>
      <c r="U273" s="432"/>
      <c r="V273" s="432"/>
    </row>
    <row r="274" spans="2:22" s="17" customFormat="1" ht="15.5" hidden="1" x14ac:dyDescent="0.35">
      <c r="B274" s="917"/>
      <c r="C274" s="912"/>
      <c r="D274" s="909"/>
      <c r="E274" s="223"/>
      <c r="F274" s="223"/>
      <c r="G274" s="917"/>
      <c r="H274" s="223"/>
      <c r="I274" s="919"/>
      <c r="J274" s="919"/>
      <c r="K274" s="432"/>
      <c r="L274" s="432"/>
      <c r="M274" s="432"/>
      <c r="N274" s="432"/>
      <c r="O274" s="432"/>
      <c r="P274" s="432"/>
      <c r="Q274" s="432"/>
      <c r="R274" s="432"/>
      <c r="S274" s="432"/>
      <c r="T274" s="432"/>
      <c r="U274" s="432"/>
      <c r="V274" s="432"/>
    </row>
    <row r="275" spans="2:22" s="17" customFormat="1" ht="15.5" hidden="1" x14ac:dyDescent="0.35">
      <c r="B275" s="910" t="s">
        <v>1290</v>
      </c>
      <c r="C275" s="912" t="s">
        <v>434</v>
      </c>
      <c r="D275" s="939" t="e">
        <f>$D$262*'Baseline farm'!F85%</f>
        <v>#DIV/0!</v>
      </c>
      <c r="E275" s="223"/>
      <c r="F275" s="223"/>
      <c r="G275" s="912">
        <v>5.0000000000000001E-3</v>
      </c>
      <c r="H275" s="223"/>
      <c r="I275" s="919"/>
      <c r="J275" s="919"/>
      <c r="K275" s="432"/>
      <c r="L275" s="432"/>
      <c r="M275" s="432"/>
      <c r="N275" s="432"/>
      <c r="O275" s="432"/>
      <c r="P275" s="432"/>
      <c r="Q275" s="432"/>
      <c r="R275" s="432"/>
      <c r="S275" s="432"/>
      <c r="T275" s="432"/>
      <c r="U275" s="432"/>
      <c r="V275" s="432"/>
    </row>
    <row r="276" spans="2:22" s="17" customFormat="1" ht="15.5" hidden="1" x14ac:dyDescent="0.35">
      <c r="B276" s="917"/>
      <c r="C276" s="912"/>
      <c r="D276" s="909"/>
      <c r="E276" s="223"/>
      <c r="F276" s="223"/>
      <c r="G276" s="917"/>
      <c r="H276" s="223"/>
      <c r="I276" s="919"/>
      <c r="J276" s="919"/>
      <c r="K276" s="432"/>
      <c r="L276" s="432"/>
      <c r="M276" s="432"/>
      <c r="N276" s="432"/>
      <c r="O276" s="432"/>
      <c r="P276" s="432"/>
      <c r="Q276" s="432"/>
      <c r="R276" s="432"/>
      <c r="S276" s="432"/>
      <c r="T276" s="432"/>
      <c r="U276" s="432"/>
      <c r="V276" s="432"/>
    </row>
    <row r="277" spans="2:22" s="17" customFormat="1" ht="15.5" hidden="1" x14ac:dyDescent="0.35">
      <c r="B277" s="910" t="s">
        <v>1291</v>
      </c>
      <c r="C277" s="912" t="s">
        <v>434</v>
      </c>
      <c r="D277" s="939" t="e">
        <f>$D$262*'Baseline farm'!G85%</f>
        <v>#DIV/0!</v>
      </c>
      <c r="E277" s="223"/>
      <c r="F277" s="223"/>
      <c r="G277" s="910">
        <v>0</v>
      </c>
      <c r="H277" s="223"/>
      <c r="I277" s="919"/>
      <c r="J277" s="919"/>
      <c r="K277" s="432"/>
      <c r="L277" s="432"/>
      <c r="M277" s="432"/>
      <c r="N277" s="432"/>
      <c r="O277" s="432"/>
      <c r="P277" s="432"/>
      <c r="Q277" s="432"/>
      <c r="R277" s="432"/>
      <c r="S277" s="432"/>
      <c r="T277" s="432"/>
      <c r="U277" s="432"/>
      <c r="V277" s="432"/>
    </row>
    <row r="278" spans="2:22" s="17" customFormat="1" ht="15.5" hidden="1" x14ac:dyDescent="0.35">
      <c r="B278" s="917"/>
      <c r="C278" s="917"/>
      <c r="D278" s="909"/>
      <c r="E278" s="223"/>
      <c r="F278" s="223"/>
      <c r="G278" s="917"/>
      <c r="H278" s="223"/>
      <c r="I278" s="919"/>
      <c r="J278" s="919"/>
      <c r="K278" s="432"/>
      <c r="L278" s="432"/>
      <c r="M278" s="432"/>
      <c r="N278" s="432"/>
      <c r="O278" s="432"/>
      <c r="P278" s="432"/>
      <c r="Q278" s="432"/>
      <c r="R278" s="432"/>
      <c r="S278" s="432"/>
      <c r="T278" s="432"/>
      <c r="U278" s="432"/>
      <c r="V278" s="432"/>
    </row>
    <row r="279" spans="2:22" s="17" customFormat="1" ht="18" hidden="1" x14ac:dyDescent="0.45">
      <c r="B279" s="916" t="s">
        <v>1277</v>
      </c>
      <c r="C279" s="912" t="s">
        <v>434</v>
      </c>
      <c r="D279" s="939" t="e">
        <f>SUM(D269,D271,D273,D275,D277)</f>
        <v>#DIV/0!</v>
      </c>
      <c r="E279" s="223"/>
      <c r="F279" s="223"/>
      <c r="G279" s="917" t="s">
        <v>438</v>
      </c>
      <c r="H279" s="223"/>
      <c r="I279" s="919"/>
      <c r="J279" s="919"/>
      <c r="K279" s="432"/>
      <c r="L279" s="432"/>
      <c r="M279" s="432"/>
      <c r="N279" s="432"/>
      <c r="O279" s="432"/>
      <c r="P279" s="432"/>
      <c r="Q279" s="432"/>
      <c r="R279" s="432"/>
      <c r="S279" s="432"/>
      <c r="T279" s="432"/>
      <c r="U279" s="432"/>
      <c r="V279" s="432"/>
    </row>
    <row r="280" spans="2:22" s="17" customFormat="1" ht="15.5" hidden="1" x14ac:dyDescent="0.35">
      <c r="B280" s="917"/>
      <c r="C280" s="917"/>
      <c r="D280" s="940"/>
      <c r="E280" s="223"/>
      <c r="F280" s="223"/>
      <c r="G280" s="917"/>
      <c r="H280" s="223"/>
      <c r="I280" s="919"/>
      <c r="J280" s="919"/>
      <c r="K280" s="432"/>
      <c r="L280" s="432"/>
      <c r="M280" s="432"/>
      <c r="N280" s="432"/>
      <c r="O280" s="432"/>
      <c r="P280" s="432"/>
      <c r="Q280" s="432"/>
      <c r="R280" s="432"/>
      <c r="S280" s="432"/>
      <c r="T280" s="432"/>
      <c r="U280" s="432"/>
      <c r="V280" s="432"/>
    </row>
    <row r="281" spans="2:22" s="17" customFormat="1" ht="18" hidden="1" x14ac:dyDescent="0.45">
      <c r="B281" s="916" t="s">
        <v>1306</v>
      </c>
      <c r="C281" s="912" t="s">
        <v>434</v>
      </c>
      <c r="D281" s="941" t="e">
        <f>((D269*$G$269)+(D271*$G$271)+(D273*$G$273)+(D275*$G$275))*44/28</f>
        <v>#DIV/0!</v>
      </c>
      <c r="E281" s="223"/>
      <c r="F281" s="223"/>
      <c r="G281" s="917" t="s">
        <v>1279</v>
      </c>
      <c r="H281" s="223"/>
      <c r="I281" s="919"/>
      <c r="J281" s="919"/>
      <c r="K281" s="432"/>
      <c r="L281" s="432"/>
      <c r="M281" s="432"/>
      <c r="N281" s="432"/>
      <c r="O281" s="432"/>
      <c r="P281" s="432"/>
      <c r="Q281" s="432"/>
      <c r="R281" s="432"/>
      <c r="S281" s="432"/>
      <c r="T281" s="432"/>
      <c r="U281" s="432"/>
      <c r="V281" s="432"/>
    </row>
    <row r="282" spans="2:22" s="17" customFormat="1" ht="15.5" hidden="1" x14ac:dyDescent="0.35">
      <c r="B282" s="917"/>
      <c r="C282" s="912"/>
      <c r="D282" s="917"/>
      <c r="E282" s="190"/>
      <c r="F282" s="190"/>
      <c r="G282" s="917"/>
      <c r="H282" s="190"/>
      <c r="I282" s="919"/>
      <c r="J282" s="919"/>
      <c r="K282" s="432"/>
      <c r="L282" s="432"/>
      <c r="M282" s="432"/>
      <c r="N282" s="432"/>
      <c r="O282" s="432"/>
      <c r="P282" s="432"/>
      <c r="Q282" s="432"/>
      <c r="R282" s="432"/>
      <c r="S282" s="432"/>
      <c r="T282" s="432"/>
      <c r="U282" s="432"/>
      <c r="V282" s="432"/>
    </row>
    <row r="283" spans="2:22" s="17" customFormat="1" ht="15.5" hidden="1" x14ac:dyDescent="0.35">
      <c r="B283" s="916" t="s">
        <v>1264</v>
      </c>
      <c r="C283" s="912"/>
      <c r="D283" s="916" t="s">
        <v>1265</v>
      </c>
      <c r="E283" s="223"/>
      <c r="F283" s="223"/>
      <c r="G283" s="916" t="s">
        <v>1280</v>
      </c>
      <c r="H283" s="223"/>
      <c r="I283" s="919"/>
      <c r="J283" s="919"/>
      <c r="K283" s="432"/>
      <c r="L283" s="432"/>
      <c r="M283" s="432"/>
      <c r="N283" s="432"/>
      <c r="O283" s="432"/>
      <c r="P283" s="432"/>
      <c r="Q283" s="432"/>
      <c r="R283" s="432"/>
      <c r="S283" s="432"/>
      <c r="T283" s="432"/>
      <c r="U283" s="432"/>
      <c r="V283" s="432"/>
    </row>
    <row r="284" spans="2:22" s="17" customFormat="1" ht="15.5" hidden="1" x14ac:dyDescent="0.35">
      <c r="B284" s="910"/>
      <c r="C284" s="912"/>
      <c r="D284" s="917"/>
      <c r="E284" s="190"/>
      <c r="F284" s="190"/>
      <c r="G284" s="917"/>
      <c r="H284" s="190"/>
      <c r="I284" s="919"/>
      <c r="J284" s="919"/>
      <c r="K284" s="432"/>
      <c r="L284" s="432"/>
      <c r="M284" s="432"/>
      <c r="N284" s="432"/>
      <c r="O284" s="432"/>
      <c r="P284" s="432"/>
      <c r="Q284" s="432"/>
      <c r="R284" s="432"/>
      <c r="S284" s="432"/>
      <c r="T284" s="432"/>
      <c r="U284" s="432"/>
      <c r="V284" s="432"/>
    </row>
    <row r="285" spans="2:22" s="17" customFormat="1" ht="15.5" hidden="1" x14ac:dyDescent="0.35">
      <c r="B285" s="910" t="s">
        <v>1288</v>
      </c>
      <c r="C285" s="912"/>
      <c r="D285" s="940" t="e">
        <f>D269*G285</f>
        <v>#DIV/0!</v>
      </c>
      <c r="E285" s="190"/>
      <c r="F285" s="190"/>
      <c r="G285" s="917">
        <v>0.35</v>
      </c>
      <c r="H285" s="190"/>
      <c r="I285" s="919"/>
      <c r="J285" s="919"/>
      <c r="K285" s="432"/>
      <c r="L285" s="432"/>
      <c r="M285" s="432"/>
      <c r="N285" s="432"/>
      <c r="O285" s="432"/>
      <c r="P285" s="432"/>
      <c r="Q285" s="432"/>
      <c r="R285" s="432"/>
      <c r="S285" s="432"/>
      <c r="T285" s="432"/>
      <c r="U285" s="432"/>
      <c r="V285" s="432"/>
    </row>
    <row r="286" spans="2:22" s="17" customFormat="1" ht="15.5" hidden="1" x14ac:dyDescent="0.35">
      <c r="B286" s="917"/>
      <c r="C286" s="912"/>
      <c r="D286" s="940"/>
      <c r="E286" s="190"/>
      <c r="F286" s="190"/>
      <c r="G286" s="917"/>
      <c r="H286" s="190"/>
      <c r="I286" s="919"/>
      <c r="J286" s="919"/>
      <c r="K286" s="432"/>
      <c r="L286" s="432"/>
      <c r="M286" s="432"/>
      <c r="N286" s="432"/>
      <c r="O286" s="432"/>
      <c r="P286" s="432"/>
      <c r="Q286" s="432"/>
      <c r="R286" s="432"/>
      <c r="S286" s="432"/>
      <c r="T286" s="432"/>
      <c r="U286" s="432"/>
      <c r="V286" s="432"/>
    </row>
    <row r="287" spans="2:22" s="17" customFormat="1" ht="15.5" hidden="1" x14ac:dyDescent="0.35">
      <c r="B287" s="910" t="s">
        <v>1287</v>
      </c>
      <c r="C287" s="912"/>
      <c r="D287" s="940" t="e">
        <f>D271*G287</f>
        <v>#DIV/0!</v>
      </c>
      <c r="E287" s="217"/>
      <c r="F287" s="217"/>
      <c r="G287" s="917">
        <v>7.0000000000000007E-2</v>
      </c>
      <c r="H287" s="217"/>
      <c r="I287" s="919"/>
      <c r="J287" s="919"/>
      <c r="K287" s="432"/>
      <c r="L287" s="432"/>
      <c r="M287" s="432"/>
      <c r="N287" s="432"/>
      <c r="O287" s="432"/>
      <c r="P287" s="432"/>
      <c r="Q287" s="432"/>
      <c r="R287" s="432"/>
      <c r="S287" s="432"/>
      <c r="T287" s="432"/>
      <c r="U287" s="432"/>
      <c r="V287" s="432"/>
    </row>
    <row r="288" spans="2:22" s="17" customFormat="1" ht="15.5" hidden="1" x14ac:dyDescent="0.35">
      <c r="B288" s="917"/>
      <c r="C288" s="912"/>
      <c r="D288" s="940"/>
      <c r="E288" s="938"/>
      <c r="F288" s="938"/>
      <c r="G288" s="917"/>
      <c r="H288" s="938"/>
      <c r="I288" s="919"/>
      <c r="J288" s="919"/>
      <c r="K288" s="432"/>
      <c r="L288" s="432"/>
      <c r="M288" s="432"/>
      <c r="N288" s="432"/>
      <c r="O288" s="432"/>
      <c r="P288" s="432"/>
      <c r="Q288" s="432"/>
      <c r="R288" s="432"/>
      <c r="S288" s="432"/>
      <c r="T288" s="432"/>
      <c r="U288" s="432"/>
      <c r="V288" s="432"/>
    </row>
    <row r="289" spans="2:22" s="17" customFormat="1" ht="15.5" hidden="1" x14ac:dyDescent="0.35">
      <c r="B289" s="910" t="s">
        <v>1289</v>
      </c>
      <c r="C289" s="912"/>
      <c r="D289" s="940" t="e">
        <f>D273*G289</f>
        <v>#DIV/0!</v>
      </c>
      <c r="E289" s="190"/>
      <c r="F289" s="190"/>
      <c r="G289" s="917">
        <v>0.2</v>
      </c>
      <c r="H289" s="190"/>
      <c r="I289" s="919"/>
      <c r="J289" s="919"/>
      <c r="K289" s="227"/>
      <c r="L289" s="55"/>
      <c r="M289" s="55"/>
      <c r="N289" s="432"/>
      <c r="O289" s="432"/>
      <c r="P289" s="432"/>
      <c r="Q289" s="432"/>
      <c r="R289" s="432"/>
      <c r="S289" s="432"/>
      <c r="T289" s="432"/>
      <c r="U289" s="432"/>
      <c r="V289" s="432"/>
    </row>
    <row r="290" spans="2:22" s="17" customFormat="1" ht="15.5" hidden="1" x14ac:dyDescent="0.35">
      <c r="B290" s="917"/>
      <c r="C290" s="912"/>
      <c r="D290" s="940"/>
      <c r="E290" s="190"/>
      <c r="F290" s="190"/>
      <c r="G290" s="917"/>
      <c r="H290" s="190"/>
      <c r="I290" s="440"/>
      <c r="J290" s="227"/>
      <c r="K290" s="55"/>
      <c r="L290" s="55"/>
      <c r="M290" s="55"/>
      <c r="N290" s="432"/>
      <c r="O290" s="432"/>
      <c r="P290" s="432"/>
      <c r="Q290" s="432"/>
      <c r="R290" s="432"/>
      <c r="S290" s="432"/>
      <c r="T290" s="432"/>
      <c r="U290" s="432"/>
      <c r="V290" s="432"/>
    </row>
    <row r="291" spans="2:22" s="17" customFormat="1" ht="15.5" hidden="1" x14ac:dyDescent="0.35">
      <c r="B291" s="910" t="s">
        <v>1290</v>
      </c>
      <c r="C291" s="912"/>
      <c r="D291" s="940" t="e">
        <f>D275*G291</f>
        <v>#DIV/0!</v>
      </c>
      <c r="E291" s="190"/>
      <c r="F291" s="190"/>
      <c r="G291" s="917">
        <v>0.3</v>
      </c>
      <c r="H291" s="190"/>
      <c r="I291" s="440"/>
      <c r="J291" s="227"/>
      <c r="K291" s="55"/>
      <c r="L291" s="55"/>
      <c r="M291" s="55"/>
      <c r="N291" s="432"/>
      <c r="O291" s="432"/>
      <c r="P291" s="432"/>
      <c r="Q291" s="432"/>
      <c r="R291" s="432"/>
      <c r="S291" s="432"/>
      <c r="T291" s="432"/>
      <c r="U291" s="432"/>
      <c r="V291" s="432"/>
    </row>
    <row r="292" spans="2:22" s="17" customFormat="1" ht="15.5" hidden="1" x14ac:dyDescent="0.35">
      <c r="B292" s="917"/>
      <c r="C292" s="912"/>
      <c r="D292" s="942"/>
      <c r="E292" s="190"/>
      <c r="F292" s="190"/>
      <c r="G292" s="917"/>
      <c r="H292" s="190"/>
      <c r="I292" s="440"/>
      <c r="J292" s="227"/>
      <c r="K292" s="55"/>
      <c r="L292" s="55"/>
      <c r="M292" s="55"/>
      <c r="N292" s="432"/>
      <c r="O292" s="432"/>
      <c r="P292" s="432"/>
      <c r="Q292" s="432"/>
      <c r="R292" s="432"/>
      <c r="S292" s="432"/>
      <c r="T292" s="432"/>
      <c r="U292" s="432"/>
      <c r="V292" s="432"/>
    </row>
    <row r="293" spans="2:22" s="17" customFormat="1" ht="15.5" hidden="1" x14ac:dyDescent="0.35">
      <c r="B293" s="910" t="s">
        <v>1291</v>
      </c>
      <c r="C293" s="912"/>
      <c r="D293" s="940" t="e">
        <f>D277*G293</f>
        <v>#DIV/0!</v>
      </c>
      <c r="E293" s="190"/>
      <c r="F293" s="190"/>
      <c r="G293" s="917">
        <v>0</v>
      </c>
      <c r="H293" s="190"/>
      <c r="I293" s="440"/>
      <c r="J293" s="227"/>
      <c r="K293" s="55"/>
      <c r="L293" s="55"/>
      <c r="M293" s="55"/>
      <c r="N293" s="432"/>
      <c r="O293" s="432"/>
      <c r="P293" s="432"/>
      <c r="Q293" s="432"/>
      <c r="R293" s="432"/>
      <c r="S293" s="432"/>
      <c r="T293" s="432"/>
      <c r="U293" s="432"/>
      <c r="V293" s="432"/>
    </row>
    <row r="294" spans="2:22" s="17" customFormat="1" ht="15.5" hidden="1" x14ac:dyDescent="0.35">
      <c r="B294" s="917"/>
      <c r="C294" s="912"/>
      <c r="D294" s="917"/>
      <c r="E294" s="190"/>
      <c r="F294" s="190"/>
      <c r="G294" s="917"/>
      <c r="H294" s="190"/>
      <c r="I294" s="440"/>
      <c r="J294" s="227"/>
      <c r="K294" s="55"/>
      <c r="L294" s="55"/>
      <c r="M294" s="55"/>
      <c r="N294" s="432"/>
      <c r="O294" s="432"/>
      <c r="P294" s="432"/>
      <c r="Q294" s="432"/>
      <c r="R294" s="432"/>
      <c r="S294" s="432"/>
      <c r="T294" s="432"/>
      <c r="U294" s="432"/>
      <c r="V294" s="432"/>
    </row>
    <row r="295" spans="2:22" s="17" customFormat="1" ht="15.5" hidden="1" x14ac:dyDescent="0.35">
      <c r="B295" s="916" t="s">
        <v>1282</v>
      </c>
      <c r="C295" s="912"/>
      <c r="D295" s="916" t="s">
        <v>1283</v>
      </c>
      <c r="E295" s="190"/>
      <c r="F295" s="190"/>
      <c r="G295" s="916" t="s">
        <v>1284</v>
      </c>
      <c r="H295" s="190"/>
      <c r="I295" s="55"/>
      <c r="J295" s="227"/>
      <c r="K295" s="55"/>
      <c r="L295" s="55"/>
      <c r="M295" s="55"/>
      <c r="N295" s="432"/>
      <c r="O295" s="432"/>
      <c r="P295" s="432"/>
      <c r="Q295" s="432"/>
      <c r="R295" s="432"/>
      <c r="S295" s="432"/>
      <c r="T295" s="432"/>
      <c r="U295" s="432"/>
      <c r="V295" s="432"/>
    </row>
    <row r="296" spans="2:22" s="17" customFormat="1" ht="15.5" hidden="1" x14ac:dyDescent="0.35">
      <c r="B296" s="917"/>
      <c r="C296" s="912"/>
      <c r="D296" s="940" t="e">
        <f>SUM(D285:D291)*$G$296*44/28</f>
        <v>#DIV/0!</v>
      </c>
      <c r="E296" s="190"/>
      <c r="F296" s="190"/>
      <c r="G296" s="917">
        <v>3.8999999999999998E-3</v>
      </c>
      <c r="H296" s="190"/>
      <c r="I296" s="55"/>
      <c r="J296" s="227"/>
      <c r="K296" s="55"/>
      <c r="L296" s="55"/>
      <c r="M296" s="55"/>
      <c r="N296" s="432"/>
      <c r="O296" s="432"/>
      <c r="P296" s="432"/>
      <c r="Q296" s="432"/>
      <c r="R296" s="432"/>
      <c r="S296" s="432"/>
      <c r="T296" s="432"/>
      <c r="U296" s="432"/>
      <c r="V296" s="432"/>
    </row>
    <row r="297" spans="2:22" s="17" customFormat="1" ht="15.5" hidden="1" x14ac:dyDescent="0.35">
      <c r="B297" s="917"/>
      <c r="C297" s="912"/>
      <c r="D297" s="940"/>
      <c r="E297" s="190"/>
      <c r="F297" s="190"/>
      <c r="G297" s="917"/>
      <c r="H297" s="190"/>
      <c r="I297" s="55"/>
      <c r="J297" s="227"/>
      <c r="K297" s="55"/>
      <c r="L297" s="55"/>
      <c r="M297" s="55"/>
      <c r="N297" s="432"/>
      <c r="O297" s="432"/>
      <c r="P297" s="432"/>
      <c r="Q297" s="432"/>
      <c r="R297" s="432"/>
      <c r="S297" s="432"/>
      <c r="T297" s="432"/>
      <c r="U297" s="432"/>
      <c r="V297" s="432"/>
    </row>
    <row r="298" spans="2:22" s="17" customFormat="1" ht="15.5" hidden="1" x14ac:dyDescent="0.35">
      <c r="B298" s="917" t="s">
        <v>1915</v>
      </c>
      <c r="C298" s="912"/>
      <c r="D298" s="943" t="e">
        <f>SUM(D296)*'Emission factors'!C5*10^3</f>
        <v>#DIV/0!</v>
      </c>
      <c r="E298" s="190"/>
      <c r="F298" s="190"/>
      <c r="G298" s="917" t="s">
        <v>1294</v>
      </c>
      <c r="H298" s="190"/>
      <c r="I298" s="55"/>
      <c r="J298" s="227"/>
      <c r="K298" s="440"/>
      <c r="L298" s="237"/>
      <c r="M298" s="238"/>
      <c r="N298" s="432"/>
      <c r="O298" s="432"/>
      <c r="P298" s="432"/>
      <c r="Q298" s="432"/>
      <c r="R298" s="432"/>
      <c r="S298" s="432"/>
      <c r="T298" s="432"/>
      <c r="U298" s="432"/>
      <c r="V298" s="432"/>
    </row>
    <row r="299" spans="2:22" s="17" customFormat="1" ht="15.5" hidden="1" x14ac:dyDescent="0.35">
      <c r="B299" s="917"/>
      <c r="C299" s="912"/>
      <c r="D299" s="917"/>
      <c r="E299" s="190"/>
      <c r="F299" s="190"/>
      <c r="G299" s="917"/>
      <c r="H299" s="190"/>
      <c r="I299" s="499"/>
      <c r="J299" s="227"/>
      <c r="K299" s="440"/>
      <c r="L299" s="237"/>
      <c r="M299" s="239"/>
      <c r="N299" s="432"/>
      <c r="O299" s="432"/>
      <c r="P299" s="432"/>
      <c r="Q299" s="432"/>
      <c r="R299" s="432"/>
      <c r="S299" s="432"/>
      <c r="T299" s="432"/>
      <c r="U299" s="432"/>
      <c r="V299" s="432"/>
    </row>
    <row r="300" spans="2:22" s="17" customFormat="1" ht="18" hidden="1" x14ac:dyDescent="0.45">
      <c r="B300" s="916" t="s">
        <v>1286</v>
      </c>
      <c r="C300" s="912"/>
      <c r="D300" s="916" t="s">
        <v>1333</v>
      </c>
      <c r="E300" s="190"/>
      <c r="F300" s="190"/>
      <c r="G300" s="916" t="s">
        <v>1292</v>
      </c>
      <c r="H300" s="190"/>
      <c r="I300" s="499"/>
      <c r="J300" s="227"/>
      <c r="K300" s="55"/>
      <c r="L300" s="440"/>
      <c r="M300" s="239"/>
      <c r="N300" s="432"/>
      <c r="O300" s="432"/>
      <c r="P300" s="432"/>
      <c r="Q300" s="432"/>
      <c r="R300" s="432"/>
      <c r="S300" s="432"/>
      <c r="T300" s="432"/>
      <c r="U300" s="432"/>
      <c r="V300" s="432"/>
    </row>
    <row r="301" spans="2:22" s="17" customFormat="1" ht="15.5" hidden="1" x14ac:dyDescent="0.35">
      <c r="B301" s="917"/>
      <c r="C301" s="912"/>
      <c r="D301" s="917"/>
      <c r="E301" s="190"/>
      <c r="F301" s="190"/>
      <c r="G301" s="917">
        <v>1</v>
      </c>
      <c r="H301" s="190"/>
      <c r="I301" s="55"/>
      <c r="J301" s="55"/>
      <c r="K301" s="55"/>
      <c r="L301" s="242"/>
      <c r="M301" s="239"/>
      <c r="N301" s="55"/>
      <c r="O301" s="55"/>
      <c r="P301" s="55"/>
      <c r="Q301" s="55"/>
      <c r="R301" s="55"/>
      <c r="S301" s="55"/>
      <c r="T301" s="55"/>
      <c r="U301" s="432"/>
      <c r="V301" s="432"/>
    </row>
    <row r="302" spans="2:22" s="17" customFormat="1" ht="15.5" hidden="1" x14ac:dyDescent="0.35">
      <c r="B302" s="917" t="s">
        <v>1341</v>
      </c>
      <c r="C302" s="912"/>
      <c r="D302" s="944" t="e">
        <f>D275*$G$301*$G$303</f>
        <v>#DIV/0!</v>
      </c>
      <c r="E302" s="190"/>
      <c r="F302" s="190"/>
      <c r="G302" s="916" t="s">
        <v>1293</v>
      </c>
      <c r="H302" s="190"/>
      <c r="I302" s="55"/>
      <c r="J302" s="55"/>
      <c r="K302" s="55"/>
      <c r="L302" s="242"/>
      <c r="M302" s="239"/>
      <c r="N302" s="55"/>
      <c r="O302" s="55"/>
      <c r="P302" s="55"/>
      <c r="Q302" s="55"/>
      <c r="R302" s="55"/>
      <c r="S302" s="55"/>
      <c r="T302" s="55"/>
      <c r="U302" s="432"/>
      <c r="V302" s="432"/>
    </row>
    <row r="303" spans="2:22" s="17" customFormat="1" ht="15.5" hidden="1" x14ac:dyDescent="0.35">
      <c r="B303" s="916"/>
      <c r="C303" s="911"/>
      <c r="D303" s="917"/>
      <c r="E303" s="190"/>
      <c r="F303" s="190"/>
      <c r="G303" s="1006">
        <v>0.02</v>
      </c>
      <c r="H303" s="190"/>
      <c r="I303" s="55"/>
      <c r="J303" s="55"/>
      <c r="K303" s="55"/>
      <c r="L303" s="242"/>
      <c r="M303" s="242"/>
      <c r="N303" s="55"/>
      <c r="O303" s="55"/>
      <c r="P303" s="55"/>
      <c r="Q303" s="55"/>
      <c r="R303" s="55"/>
      <c r="S303" s="55"/>
      <c r="T303" s="55"/>
      <c r="U303" s="432"/>
      <c r="V303" s="432"/>
    </row>
    <row r="304" spans="2:22" s="17" customFormat="1" ht="15.5" hidden="1" x14ac:dyDescent="0.35">
      <c r="B304" s="916"/>
      <c r="C304" s="911"/>
      <c r="D304" s="916" t="s">
        <v>1336</v>
      </c>
      <c r="E304" s="190"/>
      <c r="F304" s="190"/>
      <c r="G304" s="915" t="s">
        <v>1301</v>
      </c>
      <c r="H304" s="190"/>
      <c r="I304" s="55"/>
      <c r="J304" s="55"/>
      <c r="K304" s="55"/>
      <c r="L304" s="242"/>
      <c r="M304" s="242"/>
      <c r="N304" s="55"/>
      <c r="O304" s="55"/>
      <c r="P304" s="55"/>
      <c r="Q304" s="55"/>
      <c r="R304" s="55"/>
      <c r="S304" s="55"/>
      <c r="T304" s="55"/>
      <c r="U304" s="432"/>
      <c r="V304" s="432"/>
    </row>
    <row r="305" spans="2:22" s="17" customFormat="1" ht="15.5" hidden="1" x14ac:dyDescent="0.35">
      <c r="B305" s="916"/>
      <c r="C305" s="911"/>
      <c r="D305" s="945" t="e">
        <f>D302*$G$305*44/28</f>
        <v>#DIV/0!</v>
      </c>
      <c r="E305" s="190"/>
      <c r="F305" s="190"/>
      <c r="G305" s="914">
        <v>1.0999999999999999E-2</v>
      </c>
      <c r="H305" s="190"/>
      <c r="I305" s="55"/>
      <c r="J305" s="55"/>
      <c r="K305" s="440"/>
      <c r="L305" s="484"/>
      <c r="M305" s="55"/>
      <c r="N305" s="55"/>
      <c r="O305" s="55"/>
      <c r="P305" s="55"/>
      <c r="Q305" s="55"/>
      <c r="R305" s="55"/>
      <c r="S305" s="55"/>
      <c r="T305" s="55"/>
      <c r="U305" s="432"/>
      <c r="V305" s="432"/>
    </row>
    <row r="306" spans="2:22" s="17" customFormat="1" ht="15.5" hidden="1" x14ac:dyDescent="0.35">
      <c r="B306" s="916"/>
      <c r="C306" s="870"/>
      <c r="D306" s="917"/>
      <c r="E306" s="190"/>
      <c r="F306" s="190"/>
      <c r="G306" s="917"/>
      <c r="H306" s="190"/>
      <c r="I306" s="249"/>
      <c r="J306" s="227"/>
      <c r="K306" s="440"/>
      <c r="L306" s="239"/>
      <c r="M306" s="55"/>
      <c r="N306" s="55"/>
      <c r="O306" s="55"/>
      <c r="P306" s="55"/>
      <c r="Q306" s="55"/>
      <c r="R306" s="55"/>
      <c r="S306" s="55"/>
      <c r="T306" s="55"/>
      <c r="U306" s="432"/>
      <c r="V306" s="432"/>
    </row>
    <row r="307" spans="2:22" s="17" customFormat="1" ht="15.5" hidden="1" x14ac:dyDescent="0.35">
      <c r="B307" s="89" t="s">
        <v>1295</v>
      </c>
      <c r="C307" s="471"/>
      <c r="D307" s="946" t="e">
        <f>SUM(D305)*'Emission factors'!C5*10^3</f>
        <v>#DIV/0!</v>
      </c>
      <c r="E307" s="947"/>
      <c r="F307" s="947"/>
      <c r="G307" s="872" t="s">
        <v>1294</v>
      </c>
      <c r="H307" s="947"/>
      <c r="I307" s="55"/>
      <c r="J307" s="55"/>
      <c r="K307" s="440"/>
      <c r="L307" s="246"/>
      <c r="M307" s="55"/>
      <c r="N307" s="55"/>
      <c r="O307" s="55"/>
      <c r="P307" s="55"/>
      <c r="Q307" s="55"/>
      <c r="R307" s="55"/>
      <c r="S307" s="55"/>
      <c r="T307" s="55"/>
      <c r="U307" s="432"/>
      <c r="V307" s="432"/>
    </row>
    <row r="308" spans="2:22" s="879" customFormat="1" ht="15.5" hidden="1" x14ac:dyDescent="0.35">
      <c r="B308" s="960"/>
      <c r="C308" s="961"/>
      <c r="D308" s="962"/>
      <c r="E308" s="440"/>
      <c r="F308" s="440"/>
      <c r="G308" s="875"/>
      <c r="H308" s="440"/>
      <c r="I308" s="880"/>
      <c r="J308" s="880"/>
      <c r="K308" s="440"/>
      <c r="L308" s="246"/>
      <c r="M308" s="880"/>
      <c r="N308" s="880"/>
      <c r="O308" s="880"/>
      <c r="P308" s="880"/>
      <c r="Q308" s="880"/>
      <c r="R308" s="880"/>
      <c r="S308" s="880"/>
      <c r="T308" s="880"/>
    </row>
    <row r="309" spans="2:22" s="17" customFormat="1" ht="15.5" hidden="1" x14ac:dyDescent="0.35">
      <c r="B309" s="224" t="s">
        <v>245</v>
      </c>
      <c r="C309" s="225"/>
      <c r="D309" s="226"/>
      <c r="E309" s="226"/>
      <c r="F309" s="226"/>
      <c r="G309" s="226"/>
      <c r="H309" s="226"/>
      <c r="I309" s="249"/>
      <c r="J309" s="55"/>
      <c r="K309" s="440"/>
      <c r="L309" s="484"/>
      <c r="M309" s="55"/>
      <c r="N309" s="55"/>
      <c r="O309" s="55"/>
      <c r="P309" s="55"/>
      <c r="Q309" s="55"/>
      <c r="R309" s="55"/>
      <c r="S309" s="55"/>
      <c r="T309" s="55"/>
      <c r="U309" s="432"/>
      <c r="V309" s="432"/>
    </row>
    <row r="310" spans="2:22" s="17" customFormat="1" ht="15.5" hidden="1" x14ac:dyDescent="0.35">
      <c r="B310" s="228"/>
      <c r="C310" s="228"/>
      <c r="D310" s="228"/>
      <c r="E310" s="229"/>
      <c r="F310" s="229"/>
      <c r="G310" s="229"/>
      <c r="H310" s="229"/>
      <c r="I310" s="55"/>
      <c r="J310" s="55"/>
      <c r="K310" s="248"/>
      <c r="L310" s="440"/>
      <c r="M310" s="440"/>
      <c r="N310" s="55"/>
      <c r="O310" s="55"/>
      <c r="P310" s="55"/>
      <c r="Q310" s="55"/>
      <c r="R310" s="55"/>
      <c r="S310" s="55"/>
      <c r="T310" s="55"/>
      <c r="U310" s="432"/>
      <c r="V310" s="432"/>
    </row>
    <row r="311" spans="2:22" s="17" customFormat="1" ht="18" hidden="1" x14ac:dyDescent="0.45">
      <c r="B311" s="920" t="s">
        <v>328</v>
      </c>
      <c r="C311" s="920" t="s">
        <v>1303</v>
      </c>
      <c r="D311" s="921"/>
      <c r="E311" s="229"/>
      <c r="F311" s="229"/>
      <c r="G311" s="232"/>
      <c r="H311" s="232"/>
      <c r="I311" s="55"/>
      <c r="J311" s="227"/>
      <c r="K311" s="55"/>
      <c r="L311" s="55"/>
      <c r="M311" s="249"/>
      <c r="N311" s="55"/>
      <c r="O311" s="55"/>
      <c r="P311" s="55"/>
      <c r="Q311" s="55"/>
      <c r="R311" s="55"/>
      <c r="S311" s="55"/>
      <c r="T311" s="55"/>
      <c r="U311" s="432"/>
      <c r="V311" s="432"/>
    </row>
    <row r="312" spans="2:22" s="17" customFormat="1" ht="15.5" hidden="1" x14ac:dyDescent="0.35">
      <c r="B312" s="918"/>
      <c r="C312" s="918" t="s">
        <v>330</v>
      </c>
      <c r="D312" s="918"/>
      <c r="E312" s="229"/>
      <c r="F312" s="229"/>
      <c r="G312" s="229"/>
      <c r="H312" s="229"/>
      <c r="I312" s="55"/>
      <c r="J312" s="227"/>
      <c r="K312" s="55"/>
      <c r="L312" s="55"/>
      <c r="M312" s="249"/>
      <c r="N312" s="55"/>
      <c r="O312" s="55"/>
      <c r="P312" s="55"/>
      <c r="Q312" s="55"/>
      <c r="R312" s="55"/>
      <c r="S312" s="55"/>
      <c r="T312" s="55"/>
      <c r="U312" s="432"/>
      <c r="V312" s="432"/>
    </row>
    <row r="313" spans="2:22" s="17" customFormat="1" ht="15.5" hidden="1" x14ac:dyDescent="0.35">
      <c r="B313" s="918"/>
      <c r="C313" s="921" t="s">
        <v>1329</v>
      </c>
      <c r="D313" s="918"/>
      <c r="E313" s="229"/>
      <c r="F313" s="229"/>
      <c r="G313" s="229"/>
      <c r="H313" s="229"/>
      <c r="I313" s="55"/>
      <c r="J313" s="227"/>
      <c r="K313" s="55"/>
      <c r="L313" s="55"/>
      <c r="M313" s="249"/>
      <c r="N313" s="55"/>
      <c r="O313" s="55"/>
      <c r="P313" s="55"/>
      <c r="Q313" s="55"/>
      <c r="R313" s="55"/>
      <c r="S313" s="55"/>
      <c r="T313" s="55"/>
      <c r="U313" s="432"/>
      <c r="V313" s="432"/>
    </row>
    <row r="314" spans="2:22" s="17" customFormat="1" ht="15.5" hidden="1" x14ac:dyDescent="0.35">
      <c r="B314" s="921"/>
      <c r="C314" s="921" t="s">
        <v>1304</v>
      </c>
      <c r="D314" s="918"/>
      <c r="E314" s="229"/>
      <c r="F314" s="229"/>
      <c r="G314" s="229"/>
      <c r="H314" s="229"/>
      <c r="I314" s="55"/>
      <c r="J314" s="55"/>
      <c r="K314" s="55"/>
      <c r="L314" s="55"/>
      <c r="M314" s="249"/>
      <c r="N314" s="55"/>
      <c r="O314" s="55"/>
      <c r="P314" s="55"/>
      <c r="Q314" s="55"/>
      <c r="R314" s="55"/>
      <c r="S314" s="55"/>
      <c r="T314" s="55"/>
      <c r="U314" s="432"/>
      <c r="V314" s="432"/>
    </row>
    <row r="315" spans="2:22" s="17" customFormat="1" ht="15.5" hidden="1" x14ac:dyDescent="0.35">
      <c r="B315" s="921"/>
      <c r="C315" s="921" t="s">
        <v>1305</v>
      </c>
      <c r="D315" s="918"/>
      <c r="E315" s="233"/>
      <c r="F315" s="228"/>
      <c r="G315" s="228"/>
      <c r="H315" s="228"/>
      <c r="I315" s="55"/>
      <c r="J315" s="227"/>
      <c r="K315" s="251"/>
      <c r="L315" s="251"/>
      <c r="M315" s="252"/>
      <c r="N315" s="55"/>
      <c r="O315" s="55"/>
      <c r="P315" s="55"/>
      <c r="Q315" s="55"/>
      <c r="R315" s="55"/>
      <c r="S315" s="55"/>
      <c r="T315" s="55"/>
      <c r="U315" s="432"/>
      <c r="V315" s="432"/>
    </row>
    <row r="316" spans="2:22" s="17" customFormat="1" ht="15.5" hidden="1" x14ac:dyDescent="0.35">
      <c r="B316" s="921"/>
      <c r="C316" s="918"/>
      <c r="D316" s="918"/>
      <c r="E316" s="233"/>
      <c r="F316" s="228"/>
      <c r="G316" s="228"/>
      <c r="H316" s="228"/>
      <c r="I316" s="55"/>
      <c r="J316" s="227"/>
      <c r="K316" s="251"/>
      <c r="L316" s="251"/>
      <c r="M316" s="251"/>
      <c r="N316" s="55"/>
      <c r="O316" s="55"/>
      <c r="P316" s="55"/>
      <c r="Q316" s="55"/>
      <c r="R316" s="55"/>
      <c r="S316" s="55"/>
      <c r="T316" s="55"/>
      <c r="U316" s="432"/>
      <c r="V316" s="432"/>
    </row>
    <row r="317" spans="2:22" s="17" customFormat="1" ht="15.5" hidden="1" x14ac:dyDescent="0.35">
      <c r="B317" s="920"/>
      <c r="C317" s="921"/>
      <c r="D317" s="98"/>
      <c r="E317" s="234"/>
      <c r="F317" s="234"/>
      <c r="G317" s="234"/>
      <c r="H317" s="234"/>
      <c r="I317" s="55"/>
      <c r="J317" s="227"/>
      <c r="K317" s="251"/>
      <c r="L317" s="251"/>
      <c r="M317" s="252"/>
      <c r="N317" s="440"/>
      <c r="O317" s="440"/>
      <c r="P317" s="440"/>
      <c r="Q317" s="440"/>
      <c r="R317" s="440"/>
      <c r="S317" s="440"/>
      <c r="T317" s="440"/>
      <c r="U317" s="432"/>
      <c r="V317" s="432"/>
    </row>
    <row r="318" spans="2:22" s="17" customFormat="1" ht="15.5" hidden="1" x14ac:dyDescent="0.35">
      <c r="B318" s="920" t="s">
        <v>1344</v>
      </c>
      <c r="C318" s="922" t="s">
        <v>440</v>
      </c>
      <c r="D318" s="948" t="e">
        <f>(($D$262*'Baseline farm'!$C$85%)*(1-$G269-$G285))-0</f>
        <v>#DIV/0!</v>
      </c>
      <c r="E318" s="236"/>
      <c r="F318" s="236"/>
      <c r="G318" s="236"/>
      <c r="H318" s="236"/>
      <c r="I318" s="55"/>
      <c r="J318" s="55"/>
      <c r="K318" s="251"/>
      <c r="L318" s="251"/>
      <c r="M318" s="252"/>
      <c r="N318" s="440"/>
      <c r="O318" s="440"/>
      <c r="P318" s="440"/>
      <c r="Q318" s="440"/>
      <c r="R318" s="440"/>
      <c r="S318" s="248"/>
      <c r="T318" s="440"/>
      <c r="U318" s="432"/>
      <c r="V318" s="432"/>
    </row>
    <row r="319" spans="2:22" s="17" customFormat="1" ht="15.5" hidden="1" x14ac:dyDescent="0.35">
      <c r="B319" s="921"/>
      <c r="C319" s="921"/>
      <c r="D319" s="948"/>
      <c r="E319" s="228"/>
      <c r="F319" s="228"/>
      <c r="G319" s="228"/>
      <c r="H319" s="228"/>
      <c r="I319" s="55"/>
      <c r="J319" s="55"/>
      <c r="K319" s="251"/>
      <c r="L319" s="251"/>
      <c r="M319" s="252"/>
      <c r="N319" s="440"/>
      <c r="O319" s="253"/>
      <c r="P319" s="253"/>
      <c r="Q319" s="440"/>
      <c r="R319" s="440"/>
      <c r="S319" s="248"/>
      <c r="T319" s="440"/>
      <c r="U319" s="432"/>
      <c r="V319" s="432"/>
    </row>
    <row r="320" spans="2:22" s="17" customFormat="1" ht="15.5" hidden="1" x14ac:dyDescent="0.35">
      <c r="B320" s="920" t="s">
        <v>1345</v>
      </c>
      <c r="C320" s="922" t="s">
        <v>440</v>
      </c>
      <c r="D320" s="948" t="e">
        <f>(($D$262*'Baseline farm'!$D$85%)*(1-$G271-$G287))-0</f>
        <v>#DIV/0!</v>
      </c>
      <c r="E320" s="236"/>
      <c r="F320" s="236"/>
      <c r="G320" s="236"/>
      <c r="H320" s="236"/>
      <c r="I320" s="55"/>
      <c r="J320" s="55"/>
      <c r="K320" s="55"/>
      <c r="L320" s="55"/>
      <c r="M320" s="55"/>
      <c r="N320" s="55"/>
      <c r="O320" s="55"/>
      <c r="P320" s="55"/>
      <c r="Q320" s="55"/>
      <c r="R320" s="55"/>
      <c r="S320" s="55"/>
      <c r="T320" s="55"/>
      <c r="U320" s="432"/>
      <c r="V320" s="432"/>
    </row>
    <row r="321" spans="2:22" s="17" customFormat="1" ht="15.5" hidden="1" x14ac:dyDescent="0.35">
      <c r="B321" s="921"/>
      <c r="C321" s="921"/>
      <c r="D321" s="948"/>
      <c r="E321" s="240"/>
      <c r="F321" s="240"/>
      <c r="G321" s="240"/>
      <c r="H321" s="240"/>
      <c r="I321" s="55"/>
      <c r="J321" s="227"/>
      <c r="K321" s="55"/>
      <c r="L321" s="55"/>
      <c r="M321" s="55"/>
      <c r="N321" s="55"/>
      <c r="O321" s="55"/>
      <c r="P321" s="55"/>
      <c r="Q321" s="55"/>
      <c r="R321" s="55"/>
      <c r="S321" s="55"/>
      <c r="T321" s="55"/>
      <c r="U321" s="432"/>
      <c r="V321" s="432"/>
    </row>
    <row r="322" spans="2:22" s="17" customFormat="1" ht="15.5" hidden="1" x14ac:dyDescent="0.35">
      <c r="B322" s="920" t="s">
        <v>1346</v>
      </c>
      <c r="C322" s="922" t="s">
        <v>440</v>
      </c>
      <c r="D322" s="948" t="e">
        <f>(($D$262*'Baseline farm'!$E$85%)*(1-$G273-$G289))-0</f>
        <v>#DIV/0!</v>
      </c>
      <c r="E322" s="243"/>
      <c r="F322" s="243"/>
      <c r="G322" s="243"/>
      <c r="H322" s="243"/>
      <c r="I322" s="55"/>
      <c r="J322" s="55"/>
      <c r="K322" s="55"/>
      <c r="L322" s="55"/>
      <c r="M322" s="55"/>
      <c r="N322" s="55"/>
      <c r="O322" s="55"/>
      <c r="P322" s="55"/>
      <c r="Q322" s="55"/>
      <c r="R322" s="55"/>
      <c r="S322" s="55"/>
      <c r="T322" s="55"/>
      <c r="U322" s="432"/>
      <c r="V322" s="432"/>
    </row>
    <row r="323" spans="2:22" s="17" customFormat="1" ht="15.5" hidden="1" x14ac:dyDescent="0.35">
      <c r="B323" s="921"/>
      <c r="C323" s="922"/>
      <c r="D323" s="948"/>
      <c r="E323" s="244"/>
      <c r="F323" s="244"/>
      <c r="G323" s="244"/>
      <c r="H323" s="244"/>
      <c r="I323" s="55"/>
      <c r="J323" s="55"/>
      <c r="K323" s="55"/>
      <c r="L323" s="55"/>
      <c r="M323" s="55"/>
      <c r="N323" s="55"/>
      <c r="O323" s="55"/>
      <c r="P323" s="55"/>
      <c r="Q323" s="55"/>
      <c r="R323" s="55"/>
      <c r="S323" s="55"/>
      <c r="T323" s="55"/>
      <c r="U323" s="432"/>
      <c r="V323" s="432"/>
    </row>
    <row r="324" spans="2:22" s="17" customFormat="1" ht="15.5" hidden="1" x14ac:dyDescent="0.35">
      <c r="B324" s="920" t="s">
        <v>1347</v>
      </c>
      <c r="C324" s="922" t="s">
        <v>440</v>
      </c>
      <c r="D324" s="948" t="e">
        <f>(($D$262*'Baseline farm'!$F$85%)*(1-$G275-$G291))-D302</f>
        <v>#DIV/0!</v>
      </c>
      <c r="E324" s="236"/>
      <c r="F324" s="236"/>
      <c r="G324" s="236"/>
      <c r="H324" s="236"/>
      <c r="I324" s="55"/>
      <c r="J324" s="55"/>
      <c r="K324" s="55"/>
      <c r="L324" s="55"/>
      <c r="M324" s="55"/>
      <c r="N324" s="440"/>
      <c r="O324" s="440"/>
      <c r="P324" s="440"/>
      <c r="Q324" s="440"/>
      <c r="R324" s="440"/>
      <c r="S324" s="440"/>
      <c r="T324" s="440"/>
      <c r="U324" s="432"/>
      <c r="V324" s="432"/>
    </row>
    <row r="325" spans="2:22" s="17" customFormat="1" ht="15.5" hidden="1" x14ac:dyDescent="0.35">
      <c r="B325" s="921"/>
      <c r="C325" s="922"/>
      <c r="D325" s="948"/>
      <c r="E325" s="228"/>
      <c r="F325" s="228"/>
      <c r="G325" s="228"/>
      <c r="H325" s="228"/>
      <c r="I325" s="249"/>
      <c r="J325" s="55"/>
      <c r="K325" s="55"/>
      <c r="L325" s="255"/>
      <c r="M325" s="55"/>
      <c r="N325" s="440"/>
      <c r="O325" s="440"/>
      <c r="P325" s="440"/>
      <c r="Q325" s="440"/>
      <c r="R325" s="440"/>
      <c r="S325" s="440"/>
      <c r="T325" s="440"/>
      <c r="U325" s="432"/>
      <c r="V325" s="432"/>
    </row>
    <row r="326" spans="2:22" s="17" customFormat="1" ht="15.5" hidden="1" x14ac:dyDescent="0.35">
      <c r="B326" s="920" t="s">
        <v>1348</v>
      </c>
      <c r="C326" s="922" t="s">
        <v>440</v>
      </c>
      <c r="D326" s="948" t="e">
        <f>SUM(D318:D324)</f>
        <v>#DIV/0!</v>
      </c>
      <c r="E326" s="228"/>
      <c r="F326" s="228"/>
      <c r="G326" s="228"/>
      <c r="H326" s="228"/>
      <c r="I326" s="55"/>
      <c r="J326" s="55"/>
      <c r="K326" s="55"/>
      <c r="L326" s="55"/>
      <c r="M326" s="55"/>
      <c r="N326" s="55"/>
      <c r="O326" s="55"/>
      <c r="P326" s="55"/>
      <c r="Q326" s="55"/>
      <c r="R326" s="55"/>
      <c r="S326" s="55"/>
      <c r="T326" s="55"/>
      <c r="U326" s="432"/>
      <c r="V326" s="432"/>
    </row>
    <row r="327" spans="2:22" s="17" customFormat="1" ht="15.5" hidden="1" x14ac:dyDescent="0.35">
      <c r="B327" s="921"/>
      <c r="C327" s="921"/>
      <c r="D327" s="921"/>
      <c r="E327" s="228"/>
      <c r="F327" s="228"/>
      <c r="G327" s="228"/>
      <c r="H327" s="228"/>
      <c r="I327" s="55"/>
      <c r="J327" s="55"/>
      <c r="K327" s="55"/>
      <c r="L327" s="55"/>
      <c r="M327" s="55"/>
      <c r="N327" s="55"/>
      <c r="O327" s="55"/>
      <c r="P327" s="55"/>
      <c r="Q327" s="55"/>
      <c r="R327" s="55"/>
      <c r="S327" s="55"/>
      <c r="T327" s="55"/>
      <c r="U327" s="432"/>
      <c r="V327" s="432"/>
    </row>
    <row r="328" spans="2:22" s="17" customFormat="1" ht="15.5" hidden="1" x14ac:dyDescent="0.35">
      <c r="B328" s="920" t="s">
        <v>331</v>
      </c>
      <c r="C328" s="920" t="s">
        <v>332</v>
      </c>
      <c r="D328" s="923"/>
      <c r="E328" s="247"/>
      <c r="F328" s="247"/>
      <c r="G328" s="247"/>
      <c r="H328" s="247"/>
      <c r="I328" s="249"/>
      <c r="J328" s="55"/>
      <c r="K328" s="432"/>
      <c r="L328" s="432"/>
      <c r="M328" s="432"/>
      <c r="N328" s="55"/>
      <c r="O328" s="55"/>
      <c r="P328" s="55"/>
      <c r="Q328" s="55"/>
      <c r="R328" s="55"/>
      <c r="S328" s="55"/>
      <c r="T328" s="55"/>
      <c r="U328" s="432"/>
      <c r="V328" s="432"/>
    </row>
    <row r="329" spans="2:22" s="17" customFormat="1" ht="15.5" hidden="1" x14ac:dyDescent="0.35">
      <c r="B329" s="921"/>
      <c r="C329" s="921" t="s">
        <v>334</v>
      </c>
      <c r="D329" s="949">
        <v>0.01</v>
      </c>
      <c r="E329" s="228"/>
      <c r="F329" s="228"/>
      <c r="G329" s="228"/>
      <c r="H329" s="228"/>
      <c r="I329" s="249"/>
      <c r="J329" s="500"/>
      <c r="K329" s="432"/>
      <c r="L329" s="432"/>
      <c r="M329" s="432"/>
      <c r="N329" s="55"/>
      <c r="O329" s="55"/>
      <c r="P329" s="55"/>
      <c r="Q329" s="55"/>
      <c r="R329" s="55"/>
      <c r="S329" s="55"/>
      <c r="T329" s="55"/>
      <c r="U329" s="432"/>
      <c r="V329" s="432"/>
    </row>
    <row r="330" spans="2:22" s="17" customFormat="1" ht="15.5" hidden="1" x14ac:dyDescent="0.35">
      <c r="B330" s="921"/>
      <c r="C330" s="922" t="s">
        <v>440</v>
      </c>
      <c r="D330" s="950" t="e">
        <f>D326*$D$329*44/28</f>
        <v>#DIV/0!</v>
      </c>
      <c r="E330" s="228"/>
      <c r="F330" s="228"/>
      <c r="G330" s="228"/>
      <c r="H330" s="228"/>
      <c r="I330" s="249"/>
      <c r="J330" s="500"/>
      <c r="K330" s="257"/>
      <c r="L330" s="257"/>
      <c r="M330" s="257"/>
      <c r="N330" s="55"/>
      <c r="O330" s="55"/>
      <c r="P330" s="55"/>
      <c r="Q330" s="55"/>
      <c r="R330" s="55"/>
      <c r="S330" s="55"/>
      <c r="T330" s="55"/>
      <c r="U330" s="432"/>
      <c r="V330" s="432"/>
    </row>
    <row r="331" spans="2:22" s="17" customFormat="1" ht="15.5" hidden="1" x14ac:dyDescent="0.35">
      <c r="B331" s="231" t="s">
        <v>368</v>
      </c>
      <c r="C331" s="228"/>
      <c r="D331" s="228"/>
      <c r="E331" s="228"/>
      <c r="F331" s="228"/>
      <c r="G331" s="228"/>
      <c r="H331" s="228"/>
      <c r="I331" s="249"/>
      <c r="J331" s="500"/>
      <c r="K331" s="257"/>
      <c r="L331" s="257"/>
      <c r="M331" s="257"/>
      <c r="N331" s="55"/>
      <c r="O331" s="55"/>
      <c r="P331" s="55"/>
      <c r="Q331" s="55"/>
      <c r="R331" s="55"/>
      <c r="S331" s="55"/>
      <c r="T331" s="55"/>
      <c r="U331" s="432"/>
      <c r="V331" s="432"/>
    </row>
    <row r="332" spans="2:22" s="17" customFormat="1" ht="15.5" hidden="1" x14ac:dyDescent="0.35">
      <c r="B332" s="228"/>
      <c r="C332" s="231" t="s">
        <v>370</v>
      </c>
      <c r="D332" s="228"/>
      <c r="E332" s="228"/>
      <c r="F332" s="228"/>
      <c r="G332" s="228"/>
      <c r="H332" s="228"/>
      <c r="I332" s="249"/>
      <c r="J332" s="500"/>
      <c r="K332" s="257"/>
      <c r="L332" s="257"/>
      <c r="M332" s="257"/>
      <c r="N332" s="55"/>
      <c r="O332" s="55"/>
      <c r="P332" s="55"/>
      <c r="Q332" s="55"/>
      <c r="R332" s="55"/>
      <c r="S332" s="55"/>
      <c r="T332" s="55"/>
      <c r="U332" s="432"/>
      <c r="V332" s="432"/>
    </row>
    <row r="333" spans="2:22" s="17" customFormat="1" ht="15.5" hidden="1" x14ac:dyDescent="0.35">
      <c r="B333" s="228"/>
      <c r="C333" s="228"/>
      <c r="D333" s="228"/>
      <c r="E333" s="228"/>
      <c r="F333" s="228"/>
      <c r="G333" s="228"/>
      <c r="H333" s="228"/>
      <c r="I333" s="55"/>
      <c r="J333" s="500"/>
      <c r="K333" s="257"/>
      <c r="L333" s="257"/>
      <c r="M333" s="257"/>
      <c r="N333" s="258"/>
      <c r="O333" s="258"/>
      <c r="P333" s="258"/>
      <c r="Q333" s="258"/>
      <c r="R333" s="258"/>
      <c r="S333" s="258"/>
      <c r="T333" s="55"/>
      <c r="U333" s="432"/>
      <c r="V333" s="432"/>
    </row>
    <row r="334" spans="2:22" s="17" customFormat="1" ht="15.5" hidden="1" x14ac:dyDescent="0.35">
      <c r="B334" s="250"/>
      <c r="C334" s="235" t="s">
        <v>440</v>
      </c>
      <c r="D334" s="951" t="e">
        <f>D254*'Baseline farm'!G85%</f>
        <v>#DIV/0!</v>
      </c>
      <c r="E334" s="240"/>
      <c r="F334" s="240"/>
      <c r="G334" s="240"/>
      <c r="H334" s="240"/>
      <c r="I334" s="55"/>
      <c r="J334" s="227"/>
      <c r="K334" s="227"/>
      <c r="L334" s="257"/>
      <c r="M334" s="257"/>
      <c r="N334" s="55"/>
      <c r="O334" s="55"/>
      <c r="P334" s="55"/>
      <c r="Q334" s="55"/>
      <c r="R334" s="55"/>
      <c r="S334" s="55"/>
      <c r="T334" s="55"/>
      <c r="U334" s="432"/>
      <c r="V334" s="432"/>
    </row>
    <row r="335" spans="2:22" s="17" customFormat="1" ht="15.5" hidden="1" x14ac:dyDescent="0.35">
      <c r="B335" s="228"/>
      <c r="C335" s="228"/>
      <c r="D335" s="951"/>
      <c r="E335" s="240"/>
      <c r="F335" s="240"/>
      <c r="G335" s="240"/>
      <c r="H335" s="240"/>
      <c r="I335" s="55"/>
      <c r="J335" s="227"/>
      <c r="K335" s="55"/>
      <c r="L335" s="257"/>
      <c r="M335" s="257"/>
      <c r="N335" s="55"/>
      <c r="O335" s="55"/>
      <c r="P335" s="55"/>
      <c r="Q335" s="55"/>
      <c r="R335" s="55"/>
      <c r="S335" s="55"/>
      <c r="T335" s="55"/>
      <c r="U335" s="432"/>
      <c r="V335" s="432"/>
    </row>
    <row r="336" spans="2:22" s="17" customFormat="1" ht="15.5" hidden="1" x14ac:dyDescent="0.35">
      <c r="B336" s="228"/>
      <c r="C336" s="231" t="s">
        <v>372</v>
      </c>
      <c r="D336" s="951"/>
      <c r="E336" s="240"/>
      <c r="F336" s="240"/>
      <c r="G336" s="240"/>
      <c r="H336" s="240"/>
      <c r="I336" s="501"/>
      <c r="J336" s="227"/>
      <c r="K336" s="55"/>
      <c r="L336" s="257"/>
      <c r="M336" s="257"/>
      <c r="N336" s="55"/>
      <c r="O336" s="55"/>
      <c r="P336" s="55"/>
      <c r="Q336" s="55"/>
      <c r="R336" s="55"/>
      <c r="S336" s="55"/>
      <c r="T336" s="55"/>
      <c r="U336" s="432"/>
      <c r="V336" s="432"/>
    </row>
    <row r="337" spans="2:22" s="17" customFormat="1" ht="15.5" hidden="1" x14ac:dyDescent="0.35">
      <c r="B337" s="228"/>
      <c r="C337" s="228"/>
      <c r="D337" s="951"/>
      <c r="E337" s="240"/>
      <c r="F337" s="240"/>
      <c r="G337" s="240"/>
      <c r="H337" s="240"/>
      <c r="I337" s="501"/>
      <c r="J337" s="227"/>
      <c r="K337" s="55"/>
      <c r="L337" s="257"/>
      <c r="M337" s="257"/>
      <c r="N337" s="55"/>
      <c r="O337" s="55"/>
      <c r="P337" s="55"/>
      <c r="Q337" s="55"/>
      <c r="R337" s="55"/>
      <c r="S337" s="55"/>
      <c r="T337" s="55"/>
      <c r="U337" s="432"/>
      <c r="V337" s="432"/>
    </row>
    <row r="338" spans="2:22" s="17" customFormat="1" ht="15.5" hidden="1" x14ac:dyDescent="0.35">
      <c r="B338" s="228"/>
      <c r="C338" s="235" t="s">
        <v>440</v>
      </c>
      <c r="D338" s="951" t="e">
        <f>D258*'Baseline farm'!G85%</f>
        <v>#DIV/0!</v>
      </c>
      <c r="E338" s="240"/>
      <c r="F338" s="240"/>
      <c r="G338" s="240"/>
      <c r="H338" s="240"/>
      <c r="I338" s="501"/>
      <c r="J338" s="227"/>
      <c r="K338" s="55"/>
      <c r="L338" s="55"/>
      <c r="M338" s="55"/>
      <c r="N338" s="55"/>
      <c r="O338" s="55"/>
      <c r="P338" s="55"/>
      <c r="Q338" s="55"/>
      <c r="R338" s="55"/>
      <c r="S338" s="55"/>
      <c r="T338" s="55"/>
      <c r="U338" s="432"/>
      <c r="V338" s="432"/>
    </row>
    <row r="339" spans="2:22" s="17" customFormat="1" ht="15.5" hidden="1" x14ac:dyDescent="0.35">
      <c r="B339" s="228"/>
      <c r="C339" s="228"/>
      <c r="D339" s="228"/>
      <c r="E339" s="228"/>
      <c r="F339" s="228"/>
      <c r="G339" s="228"/>
      <c r="H339" s="228"/>
      <c r="I339" s="501"/>
      <c r="J339" s="227"/>
      <c r="K339" s="55"/>
      <c r="L339" s="919"/>
      <c r="M339" s="919"/>
      <c r="N339" s="919"/>
      <c r="O339" s="919"/>
      <c r="P339" s="919"/>
      <c r="Q339" s="919"/>
      <c r="R339" s="919"/>
      <c r="S339" s="919"/>
      <c r="T339" s="919"/>
      <c r="U339" s="432"/>
      <c r="V339" s="432"/>
    </row>
    <row r="340" spans="2:22" s="17" customFormat="1" ht="15.5" hidden="1" x14ac:dyDescent="0.35">
      <c r="B340" s="231" t="s">
        <v>374</v>
      </c>
      <c r="C340" s="231" t="s">
        <v>375</v>
      </c>
      <c r="D340" s="228"/>
      <c r="E340" s="228"/>
      <c r="F340" s="228"/>
      <c r="G340" s="228"/>
      <c r="H340" s="228"/>
      <c r="I340" s="55"/>
      <c r="J340" s="227"/>
      <c r="K340" s="55"/>
      <c r="L340" s="919"/>
      <c r="M340" s="919"/>
      <c r="N340" s="919"/>
      <c r="O340" s="919"/>
      <c r="P340" s="919"/>
      <c r="Q340" s="919"/>
      <c r="R340" s="919"/>
      <c r="S340" s="919"/>
      <c r="T340" s="919"/>
      <c r="U340" s="432"/>
      <c r="V340" s="432"/>
    </row>
    <row r="341" spans="2:22" s="17" customFormat="1" ht="15.5" hidden="1" x14ac:dyDescent="0.35">
      <c r="B341" s="228"/>
      <c r="C341" s="228" t="s">
        <v>377</v>
      </c>
      <c r="D341" s="260">
        <v>4.0000000000000001E-3</v>
      </c>
      <c r="E341" s="228"/>
      <c r="F341" s="228"/>
      <c r="G341" s="228"/>
      <c r="H341" s="228"/>
      <c r="I341" s="55"/>
      <c r="J341" s="227"/>
      <c r="K341" s="55"/>
      <c r="L341" s="919"/>
      <c r="M341" s="919"/>
      <c r="N341" s="919"/>
      <c r="O341" s="919"/>
      <c r="P341" s="919"/>
      <c r="Q341" s="919"/>
      <c r="R341" s="919"/>
      <c r="S341" s="919"/>
      <c r="T341" s="919"/>
      <c r="U341" s="432"/>
      <c r="V341" s="432"/>
    </row>
    <row r="342" spans="2:22" s="17" customFormat="1" ht="15.5" hidden="1" x14ac:dyDescent="0.35">
      <c r="B342" s="228"/>
      <c r="C342" s="228" t="s">
        <v>378</v>
      </c>
      <c r="D342" s="260">
        <v>4.0000000000000001E-3</v>
      </c>
      <c r="E342" s="228"/>
      <c r="F342" s="228"/>
      <c r="G342" s="228"/>
      <c r="H342" s="228"/>
      <c r="I342" s="55"/>
      <c r="J342" s="55"/>
      <c r="K342" s="55"/>
      <c r="L342" s="919"/>
      <c r="M342" s="919"/>
      <c r="N342" s="919"/>
      <c r="O342" s="919"/>
      <c r="P342" s="919"/>
      <c r="Q342" s="919"/>
      <c r="R342" s="919"/>
      <c r="S342" s="919"/>
      <c r="T342" s="919"/>
      <c r="U342" s="432"/>
      <c r="V342" s="432"/>
    </row>
    <row r="343" spans="2:22" s="17" customFormat="1" ht="15.5" hidden="1" x14ac:dyDescent="0.35">
      <c r="B343" s="228"/>
      <c r="C343" s="228"/>
      <c r="D343" s="228"/>
      <c r="E343" s="228"/>
      <c r="F343" s="228"/>
      <c r="G343" s="228"/>
      <c r="H343" s="228"/>
      <c r="I343" s="501"/>
      <c r="J343" s="227"/>
      <c r="K343" s="55"/>
      <c r="L343" s="919"/>
      <c r="M343" s="919"/>
      <c r="N343" s="919"/>
      <c r="O343" s="919"/>
      <c r="P343" s="919"/>
      <c r="Q343" s="919"/>
      <c r="R343" s="919"/>
      <c r="S343" s="919"/>
      <c r="T343" s="919"/>
      <c r="U343" s="432"/>
      <c r="V343" s="432"/>
    </row>
    <row r="344" spans="2:22" s="17" customFormat="1" ht="15.5" hidden="1" x14ac:dyDescent="0.35">
      <c r="B344" s="228"/>
      <c r="C344" s="235" t="s">
        <v>440</v>
      </c>
      <c r="D344" s="952" t="e">
        <f>(D334+D338)*D341*44/28</f>
        <v>#DIV/0!</v>
      </c>
      <c r="E344" s="254"/>
      <c r="F344" s="254"/>
      <c r="G344" s="254"/>
      <c r="H344" s="254"/>
      <c r="I344" s="55"/>
      <c r="J344" s="55"/>
      <c r="K344" s="55"/>
      <c r="L344" s="919"/>
      <c r="M344" s="919"/>
      <c r="N344" s="919"/>
      <c r="O344" s="919"/>
      <c r="P344" s="919"/>
      <c r="Q344" s="919"/>
      <c r="R344" s="919"/>
      <c r="S344" s="919"/>
      <c r="T344" s="919"/>
      <c r="U344" s="432"/>
      <c r="V344" s="432"/>
    </row>
    <row r="345" spans="2:22" s="17" customFormat="1" ht="15.5" hidden="1" x14ac:dyDescent="0.35">
      <c r="B345" s="228"/>
      <c r="C345" s="228"/>
      <c r="D345" s="953"/>
      <c r="E345" s="228"/>
      <c r="F345" s="228"/>
      <c r="G345" s="228"/>
      <c r="H345" s="228"/>
      <c r="I345" s="55"/>
      <c r="J345" s="55"/>
      <c r="K345" s="55"/>
      <c r="L345" s="55"/>
      <c r="M345" s="55"/>
      <c r="N345" s="432"/>
      <c r="O345" s="432"/>
      <c r="P345" s="432"/>
      <c r="Q345" s="432"/>
      <c r="R345" s="432"/>
      <c r="S345" s="432"/>
      <c r="T345" s="432"/>
      <c r="U345" s="432"/>
      <c r="V345" s="432"/>
    </row>
    <row r="346" spans="2:22" s="17" customFormat="1" ht="15.5" hidden="1" x14ac:dyDescent="0.35">
      <c r="B346" s="231" t="s">
        <v>379</v>
      </c>
      <c r="C346" s="228"/>
      <c r="D346" s="954"/>
      <c r="E346" s="228"/>
      <c r="F346" s="228"/>
      <c r="G346" s="228"/>
      <c r="H346" s="228"/>
      <c r="I346" s="55"/>
      <c r="J346" s="227"/>
      <c r="K346" s="55"/>
      <c r="L346" s="55"/>
      <c r="M346" s="55"/>
      <c r="N346" s="432"/>
      <c r="O346" s="432"/>
      <c r="P346" s="432"/>
      <c r="Q346" s="432"/>
      <c r="R346" s="432"/>
      <c r="S346" s="432"/>
      <c r="T346" s="432"/>
      <c r="U346" s="432"/>
      <c r="V346" s="432"/>
    </row>
    <row r="347" spans="2:22" s="17" customFormat="1" ht="15.5" hidden="1" x14ac:dyDescent="0.35">
      <c r="B347" s="228"/>
      <c r="C347" s="235" t="s">
        <v>440</v>
      </c>
      <c r="D347" s="955" t="e">
        <f>D330+D344</f>
        <v>#DIV/0!</v>
      </c>
      <c r="E347" s="250"/>
      <c r="F347" s="250"/>
      <c r="G347" s="250"/>
      <c r="H347" s="250"/>
      <c r="I347" s="55"/>
      <c r="J347" s="227"/>
      <c r="K347" s="55"/>
      <c r="L347" s="55"/>
      <c r="M347" s="55"/>
      <c r="N347" s="432"/>
      <c r="O347" s="432"/>
      <c r="P347" s="432"/>
      <c r="Q347" s="432"/>
      <c r="R347" s="432"/>
      <c r="S347" s="432"/>
      <c r="T347" s="432"/>
      <c r="U347" s="432"/>
      <c r="V347" s="432"/>
    </row>
    <row r="348" spans="2:22" s="17" customFormat="1" ht="15.5" hidden="1" x14ac:dyDescent="0.35">
      <c r="B348" s="228"/>
      <c r="C348" s="235"/>
      <c r="D348" s="250"/>
      <c r="E348" s="250"/>
      <c r="F348" s="250"/>
      <c r="G348" s="250"/>
      <c r="H348" s="250"/>
      <c r="I348" s="55"/>
      <c r="J348" s="227"/>
      <c r="K348" s="55"/>
      <c r="L348" s="55"/>
      <c r="M348" s="55"/>
      <c r="N348" s="432"/>
      <c r="O348" s="432"/>
      <c r="P348" s="432"/>
      <c r="Q348" s="432"/>
      <c r="R348" s="432"/>
      <c r="S348" s="432"/>
      <c r="T348" s="432"/>
      <c r="U348" s="432"/>
      <c r="V348" s="432"/>
    </row>
    <row r="349" spans="2:22" s="17" customFormat="1" ht="15.5" hidden="1" x14ac:dyDescent="0.35">
      <c r="B349" s="228"/>
      <c r="C349" s="235"/>
      <c r="D349" s="247"/>
      <c r="E349" s="233"/>
      <c r="F349" s="228"/>
      <c r="G349" s="228"/>
      <c r="H349" s="228"/>
      <c r="I349" s="55"/>
      <c r="J349" s="227"/>
      <c r="K349" s="55"/>
      <c r="L349" s="55"/>
      <c r="M349" s="55"/>
      <c r="N349" s="432"/>
      <c r="O349" s="432"/>
      <c r="P349" s="432"/>
      <c r="Q349" s="432"/>
      <c r="R349" s="432"/>
      <c r="S349" s="432"/>
      <c r="T349" s="432"/>
      <c r="U349" s="432"/>
      <c r="V349" s="432"/>
    </row>
    <row r="350" spans="2:22" s="17" customFormat="1" ht="15.5" hidden="1" x14ac:dyDescent="0.35">
      <c r="B350" s="920" t="s">
        <v>386</v>
      </c>
      <c r="C350" s="920" t="s">
        <v>1310</v>
      </c>
      <c r="D350" s="921"/>
      <c r="E350" s="228"/>
      <c r="F350" s="228"/>
      <c r="G350" s="228"/>
      <c r="H350" s="228"/>
      <c r="I350" s="55"/>
      <c r="J350" s="227"/>
      <c r="K350" s="55"/>
      <c r="L350" s="55"/>
      <c r="M350" s="55"/>
      <c r="N350" s="432"/>
      <c r="O350" s="432"/>
      <c r="P350" s="432"/>
      <c r="Q350" s="432"/>
      <c r="R350" s="432"/>
      <c r="S350" s="432"/>
      <c r="T350" s="432"/>
      <c r="U350" s="432"/>
      <c r="V350" s="432"/>
    </row>
    <row r="351" spans="2:22" s="17" customFormat="1" ht="15.5" hidden="1" x14ac:dyDescent="0.35">
      <c r="B351" s="921"/>
      <c r="C351" s="921" t="s">
        <v>1311</v>
      </c>
      <c r="D351" s="956">
        <v>0.21</v>
      </c>
      <c r="E351" s="228"/>
      <c r="F351" s="228"/>
      <c r="G351" s="228"/>
      <c r="H351" s="228"/>
      <c r="I351" s="501"/>
      <c r="J351" s="227"/>
      <c r="K351" s="55"/>
      <c r="L351" s="55"/>
      <c r="M351" s="55"/>
      <c r="N351" s="432"/>
      <c r="O351" s="432"/>
      <c r="P351" s="432"/>
      <c r="Q351" s="432"/>
      <c r="R351" s="432"/>
      <c r="S351" s="432"/>
      <c r="T351" s="432"/>
      <c r="U351" s="432"/>
      <c r="V351" s="432"/>
    </row>
    <row r="352" spans="2:22" s="17" customFormat="1" ht="15.5" hidden="1" x14ac:dyDescent="0.35">
      <c r="B352" s="921"/>
      <c r="C352" s="921"/>
      <c r="D352" s="921"/>
      <c r="E352" s="228"/>
      <c r="F352" s="228"/>
      <c r="G352" s="228"/>
      <c r="H352" s="228"/>
      <c r="I352" s="55"/>
      <c r="J352" s="227"/>
      <c r="K352" s="55"/>
      <c r="L352" s="55"/>
      <c r="M352" s="55"/>
      <c r="N352" s="432"/>
      <c r="O352" s="432"/>
      <c r="P352" s="432"/>
      <c r="Q352" s="432"/>
      <c r="R352" s="432"/>
      <c r="S352" s="432"/>
      <c r="T352" s="432"/>
      <c r="U352" s="432"/>
      <c r="V352" s="432"/>
    </row>
    <row r="353" spans="2:23" s="17" customFormat="1" ht="15.5" hidden="1" x14ac:dyDescent="0.35">
      <c r="B353" s="921" t="s">
        <v>390</v>
      </c>
      <c r="C353" s="922" t="s">
        <v>440</v>
      </c>
      <c r="D353" s="957" t="e">
        <f>(D326+D334+D338)*D351</f>
        <v>#DIV/0!</v>
      </c>
      <c r="E353" s="233"/>
      <c r="F353" s="261"/>
      <c r="G353" s="261"/>
      <c r="H353" s="261"/>
      <c r="I353" s="501"/>
      <c r="J353" s="55"/>
      <c r="K353" s="55"/>
      <c r="L353" s="55"/>
      <c r="M353" s="55"/>
      <c r="N353" s="432"/>
      <c r="O353" s="432"/>
      <c r="P353" s="432"/>
      <c r="Q353" s="432"/>
      <c r="R353" s="432"/>
      <c r="S353" s="432"/>
      <c r="T353" s="432"/>
      <c r="U353" s="432"/>
      <c r="V353" s="432"/>
    </row>
    <row r="354" spans="2:23" s="17" customFormat="1" ht="15.5" hidden="1" x14ac:dyDescent="0.35">
      <c r="B354" s="228"/>
      <c r="C354" s="228"/>
      <c r="D354" s="228"/>
      <c r="E354" s="233"/>
      <c r="F354" s="228"/>
      <c r="G354" s="228"/>
      <c r="H354" s="228"/>
      <c r="I354" s="501"/>
      <c r="J354" s="227"/>
      <c r="K354" s="55"/>
      <c r="L354" s="55"/>
      <c r="M354" s="55"/>
      <c r="N354" s="432"/>
      <c r="O354" s="432"/>
      <c r="P354" s="432"/>
      <c r="Q354" s="432"/>
      <c r="R354" s="432"/>
      <c r="S354" s="432"/>
      <c r="T354" s="432"/>
      <c r="U354" s="432"/>
      <c r="V354" s="432"/>
    </row>
    <row r="355" spans="2:23" s="17" customFormat="1" ht="15.5" hidden="1" x14ac:dyDescent="0.35">
      <c r="B355" s="921"/>
      <c r="C355" s="920" t="s">
        <v>349</v>
      </c>
      <c r="D355" s="921"/>
      <c r="E355" s="228"/>
      <c r="F355" s="228"/>
      <c r="G355" s="228"/>
      <c r="H355" s="228"/>
      <c r="I355" s="501"/>
      <c r="J355" s="227"/>
      <c r="K355" s="55"/>
      <c r="L355" s="55"/>
      <c r="M355" s="55"/>
      <c r="N355" s="432"/>
      <c r="O355" s="432"/>
      <c r="P355" s="432"/>
      <c r="Q355" s="432"/>
      <c r="R355" s="432"/>
      <c r="S355" s="432"/>
      <c r="T355" s="432"/>
      <c r="U355" s="432"/>
      <c r="V355" s="432"/>
    </row>
    <row r="356" spans="2:23" s="17" customFormat="1" ht="15.5" hidden="1" x14ac:dyDescent="0.35">
      <c r="B356" s="921"/>
      <c r="C356" s="921" t="s">
        <v>399</v>
      </c>
      <c r="D356" s="921"/>
      <c r="E356" s="228"/>
      <c r="F356" s="228"/>
      <c r="G356" s="228"/>
      <c r="H356" s="228"/>
      <c r="I356" s="501"/>
      <c r="J356" s="227"/>
      <c r="K356" s="55"/>
      <c r="L356" s="55"/>
      <c r="M356" s="55"/>
      <c r="N356" s="432"/>
      <c r="O356" s="432"/>
      <c r="P356" s="432"/>
      <c r="Q356" s="432"/>
      <c r="R356" s="432"/>
      <c r="S356" s="432"/>
      <c r="T356" s="432"/>
      <c r="U356" s="432"/>
      <c r="V356" s="432"/>
    </row>
    <row r="357" spans="2:23" s="17" customFormat="1" ht="15.5" hidden="1" x14ac:dyDescent="0.35">
      <c r="B357" s="921"/>
      <c r="C357" s="921" t="s">
        <v>1300</v>
      </c>
      <c r="D357" s="956">
        <v>4.0000000000000001E-3</v>
      </c>
      <c r="E357" s="228"/>
      <c r="F357" s="228"/>
      <c r="G357" s="228"/>
      <c r="H357" s="228"/>
      <c r="I357" s="55"/>
      <c r="J357" s="227"/>
      <c r="K357" s="55"/>
      <c r="L357" s="255"/>
      <c r="M357" s="255"/>
      <c r="N357" s="432"/>
      <c r="O357" s="432"/>
      <c r="P357" s="432"/>
      <c r="Q357" s="432"/>
      <c r="R357" s="432"/>
      <c r="S357" s="432"/>
      <c r="T357" s="432"/>
      <c r="U357" s="432"/>
      <c r="V357" s="432"/>
    </row>
    <row r="358" spans="2:23" s="17" customFormat="1" ht="15.5" hidden="1" x14ac:dyDescent="0.35">
      <c r="B358" s="228"/>
      <c r="C358" s="228"/>
      <c r="D358" s="228"/>
      <c r="E358" s="228"/>
      <c r="F358" s="228"/>
      <c r="G358" s="228"/>
      <c r="H358" s="228"/>
      <c r="I358" s="55"/>
      <c r="J358" s="227"/>
      <c r="K358" s="55"/>
      <c r="L358" s="255"/>
      <c r="M358" s="255"/>
      <c r="N358" s="432"/>
      <c r="O358" s="432"/>
      <c r="P358" s="432"/>
      <c r="Q358" s="432"/>
      <c r="R358" s="432"/>
      <c r="S358" s="432"/>
      <c r="T358" s="432"/>
      <c r="U358" s="262"/>
      <c r="V358" s="262"/>
      <c r="W358" s="262"/>
    </row>
    <row r="359" spans="2:23" s="17" customFormat="1" ht="15.5" hidden="1" x14ac:dyDescent="0.35">
      <c r="B359" s="920" t="s">
        <v>397</v>
      </c>
      <c r="C359" s="922" t="s">
        <v>440</v>
      </c>
      <c r="D359" s="953" t="e">
        <f>D353*D357*44/28</f>
        <v>#DIV/0!</v>
      </c>
      <c r="E359" s="228"/>
      <c r="F359" s="228"/>
      <c r="G359" s="113" t="s">
        <v>299</v>
      </c>
      <c r="H359" s="228"/>
      <c r="I359" s="55"/>
      <c r="J359" s="227"/>
      <c r="K359" s="55"/>
      <c r="L359" s="55"/>
      <c r="M359" s="55"/>
      <c r="N359" s="432"/>
      <c r="O359" s="432"/>
      <c r="P359" s="432"/>
      <c r="Q359" s="432"/>
      <c r="R359" s="432"/>
      <c r="S359" s="432"/>
      <c r="T359" s="432"/>
      <c r="U359" s="262"/>
      <c r="V359" s="432"/>
    </row>
    <row r="360" spans="2:23" s="17" customFormat="1" ht="15.5" hidden="1" x14ac:dyDescent="0.35">
      <c r="B360" s="231" t="s">
        <v>1357</v>
      </c>
      <c r="C360" s="922" t="s">
        <v>440</v>
      </c>
      <c r="D360" s="953" t="e">
        <f>D359*'Emission factors'!C5</f>
        <v>#DIV/0!</v>
      </c>
      <c r="E360" s="228"/>
      <c r="F360" s="228"/>
      <c r="G360" s="113" t="s">
        <v>265</v>
      </c>
      <c r="H360" s="228"/>
      <c r="I360" s="55"/>
      <c r="J360" s="227"/>
      <c r="K360" s="55"/>
      <c r="L360" s="55"/>
      <c r="M360" s="55"/>
      <c r="N360" s="432"/>
      <c r="O360" s="432"/>
      <c r="P360" s="432"/>
      <c r="Q360" s="432"/>
      <c r="R360" s="432"/>
      <c r="S360" s="432"/>
      <c r="T360" s="432"/>
      <c r="U360" s="262"/>
      <c r="V360" s="432"/>
    </row>
    <row r="361" spans="2:23" s="17" customFormat="1" ht="15.5" hidden="1" x14ac:dyDescent="0.35">
      <c r="B361" s="228"/>
      <c r="C361" s="235"/>
      <c r="D361" s="250"/>
      <c r="E361" s="250"/>
      <c r="F361" s="250"/>
      <c r="G361" s="250"/>
      <c r="H361" s="250"/>
      <c r="I361" s="55"/>
      <c r="J361" s="227"/>
      <c r="K361" s="55"/>
      <c r="L361" s="55"/>
      <c r="M361" s="55"/>
      <c r="N361" s="432"/>
      <c r="O361" s="432"/>
      <c r="P361" s="432"/>
      <c r="Q361" s="432"/>
      <c r="R361" s="432"/>
      <c r="S361" s="432"/>
      <c r="T361" s="432"/>
      <c r="U361" s="262"/>
      <c r="V361" s="432"/>
    </row>
    <row r="362" spans="2:23" s="17" customFormat="1" ht="15.5" hidden="1" x14ac:dyDescent="0.35">
      <c r="B362" s="920" t="s">
        <v>409</v>
      </c>
      <c r="C362" s="920" t="s">
        <v>410</v>
      </c>
      <c r="D362" s="921"/>
      <c r="E362" s="228"/>
      <c r="F362" s="228"/>
      <c r="G362" s="921" t="s">
        <v>406</v>
      </c>
      <c r="H362" s="921">
        <v>1</v>
      </c>
      <c r="I362" s="55"/>
      <c r="J362" s="227"/>
      <c r="K362" s="227"/>
      <c r="L362" s="55"/>
      <c r="M362" s="55"/>
      <c r="N362" s="432"/>
      <c r="O362" s="432"/>
      <c r="P362" s="432"/>
      <c r="Q362" s="432"/>
      <c r="R362" s="432"/>
      <c r="S362" s="432"/>
      <c r="T362" s="432"/>
      <c r="U362" s="432"/>
      <c r="V362" s="432"/>
    </row>
    <row r="363" spans="2:23" s="17" customFormat="1" ht="15.5" hidden="1" x14ac:dyDescent="0.35">
      <c r="B363" s="921"/>
      <c r="C363" s="921" t="s">
        <v>412</v>
      </c>
      <c r="D363" s="921"/>
      <c r="E363" s="250"/>
      <c r="F363" s="250"/>
      <c r="G363" s="921" t="s">
        <v>408</v>
      </c>
      <c r="H363" s="922">
        <v>0.24</v>
      </c>
      <c r="I363" s="55"/>
      <c r="J363" s="227"/>
      <c r="K363" s="55"/>
      <c r="L363" s="55"/>
      <c r="M363" s="55"/>
      <c r="N363" s="432"/>
      <c r="O363" s="432"/>
      <c r="P363" s="432"/>
      <c r="Q363" s="432"/>
      <c r="R363" s="432"/>
      <c r="S363" s="432"/>
      <c r="T363" s="432"/>
      <c r="U363" s="432"/>
      <c r="V363" s="432"/>
    </row>
    <row r="364" spans="2:23" s="17" customFormat="1" ht="15.5" hidden="1" x14ac:dyDescent="0.35">
      <c r="B364" s="921"/>
      <c r="C364" s="921" t="s">
        <v>413</v>
      </c>
      <c r="D364" s="921"/>
      <c r="E364" s="228"/>
      <c r="F364" s="228"/>
      <c r="G364" s="228"/>
      <c r="H364" s="228"/>
      <c r="I364" s="55"/>
      <c r="J364" s="227"/>
      <c r="K364" s="55"/>
      <c r="L364" s="432"/>
      <c r="M364" s="432"/>
      <c r="N364" s="432"/>
      <c r="O364" s="432"/>
      <c r="P364" s="432"/>
      <c r="Q364" s="432"/>
      <c r="R364" s="432"/>
      <c r="S364" s="432"/>
      <c r="T364" s="432"/>
      <c r="U364" s="432"/>
      <c r="V364" s="432"/>
    </row>
    <row r="365" spans="2:23" s="17" customFormat="1" ht="15.5" hidden="1" x14ac:dyDescent="0.35">
      <c r="B365" s="921"/>
      <c r="C365" s="921" t="s">
        <v>414</v>
      </c>
      <c r="D365" s="921"/>
      <c r="E365" s="228"/>
      <c r="F365" s="228"/>
      <c r="G365" s="235"/>
      <c r="H365" s="235"/>
      <c r="I365" s="55"/>
      <c r="J365" s="227"/>
      <c r="K365" s="55"/>
      <c r="L365" s="432"/>
      <c r="M365" s="432"/>
      <c r="N365" s="432"/>
      <c r="O365" s="432"/>
      <c r="P365" s="432"/>
      <c r="Q365" s="432"/>
      <c r="R365" s="432"/>
      <c r="S365" s="432"/>
      <c r="T365" s="432"/>
      <c r="U365" s="432"/>
      <c r="V365" s="432"/>
    </row>
    <row r="366" spans="2:23" s="17" customFormat="1" ht="15.5" hidden="1" x14ac:dyDescent="0.35">
      <c r="B366" s="231"/>
      <c r="C366" s="236"/>
      <c r="D366" s="228"/>
      <c r="E366" s="228"/>
      <c r="F366" s="228"/>
      <c r="G366" s="228"/>
      <c r="H366" s="228"/>
      <c r="I366" s="55"/>
      <c r="J366" s="227"/>
      <c r="K366" s="55"/>
      <c r="L366" s="432"/>
      <c r="M366" s="432"/>
      <c r="N366" s="432"/>
      <c r="O366" s="432"/>
      <c r="P366" s="432"/>
      <c r="Q366" s="432"/>
      <c r="R366" s="432"/>
      <c r="S366" s="432"/>
      <c r="T366" s="432"/>
      <c r="U366" s="432"/>
      <c r="V366" s="432"/>
    </row>
    <row r="367" spans="2:23" s="17" customFormat="1" ht="15.5" hidden="1" x14ac:dyDescent="0.35">
      <c r="B367" s="231"/>
      <c r="C367" s="922" t="s">
        <v>440</v>
      </c>
      <c r="D367" s="958" t="e">
        <f>SUM(D326,D338,D334)*H362*H363</f>
        <v>#DIV/0!</v>
      </c>
      <c r="E367" s="228"/>
      <c r="F367" s="228"/>
      <c r="G367" s="228"/>
      <c r="H367" s="228"/>
      <c r="I367" s="55"/>
      <c r="J367" s="227"/>
      <c r="K367" s="55"/>
      <c r="L367" s="432"/>
      <c r="M367" s="432"/>
      <c r="N367" s="432"/>
      <c r="O367" s="432"/>
      <c r="P367" s="432"/>
      <c r="Q367" s="432"/>
      <c r="R367" s="432"/>
      <c r="S367" s="432"/>
      <c r="T367" s="432"/>
      <c r="U367" s="432"/>
      <c r="V367" s="432"/>
    </row>
    <row r="368" spans="2:23" s="17" customFormat="1" ht="15.5" hidden="1" x14ac:dyDescent="0.35">
      <c r="B368" s="231"/>
      <c r="C368" s="228"/>
      <c r="D368" s="228"/>
      <c r="E368" s="228"/>
      <c r="F368" s="228"/>
      <c r="G368" s="228"/>
      <c r="H368" s="228"/>
      <c r="I368" s="55"/>
      <c r="J368" s="227"/>
      <c r="K368" s="55"/>
      <c r="L368" s="432"/>
      <c r="M368" s="432"/>
      <c r="N368" s="432"/>
      <c r="O368" s="432"/>
      <c r="P368" s="432"/>
      <c r="Q368" s="432"/>
      <c r="R368" s="432"/>
      <c r="S368" s="432"/>
      <c r="T368" s="432"/>
      <c r="U368" s="432"/>
      <c r="V368" s="432"/>
    </row>
    <row r="369" spans="2:22" s="17" customFormat="1" ht="15.5" hidden="1" x14ac:dyDescent="0.35">
      <c r="B369" s="920" t="s">
        <v>415</v>
      </c>
      <c r="C369" s="920" t="s">
        <v>349</v>
      </c>
      <c r="D369" s="921"/>
      <c r="E369" s="228"/>
      <c r="F369" s="228"/>
      <c r="G369" s="228"/>
      <c r="H369" s="228"/>
      <c r="I369" s="55"/>
      <c r="J369" s="227"/>
      <c r="K369" s="55"/>
      <c r="L369" s="432"/>
      <c r="M369" s="432"/>
      <c r="N369" s="432"/>
      <c r="O369" s="432"/>
      <c r="P369" s="432"/>
      <c r="Q369" s="432"/>
      <c r="R369" s="432"/>
      <c r="S369" s="432"/>
      <c r="T369" s="432"/>
      <c r="U369" s="432"/>
      <c r="V369" s="432"/>
    </row>
    <row r="370" spans="2:22" s="17" customFormat="1" ht="15.5" hidden="1" x14ac:dyDescent="0.35">
      <c r="B370" s="921"/>
      <c r="C370" s="921" t="s">
        <v>417</v>
      </c>
      <c r="D370" s="921"/>
      <c r="E370" s="228"/>
      <c r="F370" s="228"/>
      <c r="G370" s="228"/>
      <c r="H370" s="228"/>
      <c r="I370" s="55"/>
      <c r="J370" s="227"/>
      <c r="K370" s="55"/>
      <c r="L370" s="432"/>
      <c r="M370" s="432"/>
      <c r="N370" s="432"/>
      <c r="O370" s="432"/>
      <c r="P370" s="432"/>
      <c r="Q370" s="432"/>
      <c r="R370" s="432"/>
      <c r="S370" s="432"/>
      <c r="T370" s="432"/>
      <c r="U370" s="432"/>
      <c r="V370" s="432"/>
    </row>
    <row r="371" spans="2:22" s="17" customFormat="1" ht="15.5" hidden="1" x14ac:dyDescent="0.35">
      <c r="B371" s="921"/>
      <c r="C371" s="921" t="s">
        <v>1301</v>
      </c>
      <c r="D371" s="956">
        <v>1.0999999999999999E-2</v>
      </c>
      <c r="E371" s="228"/>
      <c r="F371" s="228"/>
      <c r="G371" s="228"/>
      <c r="H371" s="228"/>
      <c r="I371" s="55"/>
      <c r="J371" s="227"/>
      <c r="K371" s="55"/>
      <c r="L371" s="432"/>
      <c r="M371" s="432"/>
      <c r="N371" s="432"/>
      <c r="O371" s="432"/>
      <c r="P371" s="432"/>
      <c r="Q371" s="432"/>
      <c r="R371" s="432"/>
      <c r="S371" s="432"/>
      <c r="T371" s="432"/>
      <c r="U371" s="432"/>
      <c r="V371" s="432"/>
    </row>
    <row r="372" spans="2:22" s="17" customFormat="1" ht="15.5" hidden="1" x14ac:dyDescent="0.35">
      <c r="B372" s="228"/>
      <c r="C372" s="228"/>
      <c r="D372" s="259"/>
      <c r="E372" s="228"/>
      <c r="F372" s="228"/>
      <c r="G372" s="228"/>
      <c r="H372" s="228"/>
      <c r="I372" s="55"/>
      <c r="J372" s="227"/>
      <c r="K372" s="55"/>
      <c r="L372" s="432"/>
      <c r="M372" s="432"/>
      <c r="N372" s="432"/>
      <c r="O372" s="432"/>
      <c r="P372" s="432"/>
      <c r="Q372" s="432"/>
      <c r="R372" s="432"/>
      <c r="S372" s="432"/>
      <c r="T372" s="432"/>
      <c r="U372" s="432"/>
      <c r="V372" s="432"/>
    </row>
    <row r="373" spans="2:22" s="17" customFormat="1" ht="15.5" hidden="1" x14ac:dyDescent="0.35">
      <c r="B373" s="921" t="s">
        <v>390</v>
      </c>
      <c r="C373" s="922" t="s">
        <v>440</v>
      </c>
      <c r="D373" s="958" t="e">
        <f>D367*D371*44/28</f>
        <v>#DIV/0!</v>
      </c>
      <c r="E373" s="228"/>
      <c r="F373" s="228"/>
      <c r="G373" s="113" t="s">
        <v>299</v>
      </c>
      <c r="H373" s="228"/>
      <c r="I373" s="55"/>
      <c r="J373" s="227"/>
      <c r="K373" s="55"/>
      <c r="L373" s="432"/>
      <c r="M373" s="432"/>
      <c r="N373" s="432"/>
      <c r="O373" s="432"/>
      <c r="P373" s="432"/>
      <c r="Q373" s="432"/>
      <c r="R373" s="432"/>
      <c r="S373" s="432"/>
      <c r="T373" s="432"/>
      <c r="U373" s="432"/>
      <c r="V373" s="432"/>
    </row>
    <row r="374" spans="2:22" s="17" customFormat="1" ht="15.5" hidden="1" x14ac:dyDescent="0.35">
      <c r="B374" s="228"/>
      <c r="C374" s="228"/>
      <c r="D374" s="228"/>
      <c r="E374" s="228"/>
      <c r="F374" s="228"/>
      <c r="G374" s="228"/>
      <c r="H374" s="228"/>
      <c r="I374" s="55"/>
      <c r="J374" s="227"/>
      <c r="K374" s="55"/>
      <c r="L374" s="432"/>
      <c r="M374" s="432"/>
      <c r="N374" s="432"/>
      <c r="O374" s="432"/>
      <c r="P374" s="432"/>
      <c r="Q374" s="432"/>
      <c r="R374" s="432"/>
      <c r="S374" s="432"/>
      <c r="T374" s="432"/>
      <c r="U374" s="432"/>
      <c r="V374" s="432"/>
    </row>
    <row r="375" spans="2:22" s="17" customFormat="1" ht="15.5" hidden="1" x14ac:dyDescent="0.35">
      <c r="B375" s="924" t="s">
        <v>418</v>
      </c>
      <c r="C375" s="1473" t="e">
        <f>D373*'Emission factors'!C5</f>
        <v>#DIV/0!</v>
      </c>
      <c r="D375" s="959"/>
      <c r="E375" s="959"/>
      <c r="F375" s="959"/>
      <c r="G375" s="959" t="s">
        <v>265</v>
      </c>
      <c r="H375" s="959"/>
      <c r="I375" s="55"/>
      <c r="J375" s="227"/>
      <c r="K375" s="55"/>
      <c r="L375" s="432"/>
      <c r="M375" s="432"/>
      <c r="N375" s="432"/>
      <c r="O375" s="432"/>
      <c r="P375" s="432"/>
      <c r="Q375" s="432"/>
      <c r="R375" s="432"/>
      <c r="S375" s="432"/>
      <c r="T375" s="432"/>
      <c r="U375" s="432"/>
      <c r="V375" s="432"/>
    </row>
    <row r="376" spans="2:22" s="17" customFormat="1" ht="15.5" hidden="1" x14ac:dyDescent="0.35">
      <c r="I376" s="432"/>
      <c r="J376" s="432"/>
      <c r="K376" s="55"/>
      <c r="L376" s="432"/>
      <c r="M376" s="432"/>
      <c r="N376" s="432"/>
      <c r="O376" s="432"/>
      <c r="P376" s="432"/>
      <c r="Q376" s="432"/>
      <c r="R376" s="432"/>
      <c r="S376" s="432"/>
      <c r="T376" s="432"/>
      <c r="U376" s="432"/>
      <c r="V376" s="432"/>
    </row>
    <row r="377" spans="2:22" s="20" customFormat="1" hidden="1" x14ac:dyDescent="0.35">
      <c r="I377" s="432"/>
      <c r="J377" s="432"/>
      <c r="K377" s="432"/>
      <c r="L377" s="432"/>
      <c r="M377" s="432"/>
      <c r="N377" s="432"/>
      <c r="O377" s="432"/>
      <c r="P377" s="432"/>
      <c r="Q377" s="432"/>
      <c r="R377" s="432"/>
      <c r="S377" s="432"/>
      <c r="T377" s="432"/>
      <c r="U377" s="432"/>
      <c r="V377" s="432"/>
    </row>
    <row r="378" spans="2:22" s="20" customFormat="1" hidden="1" x14ac:dyDescent="0.35">
      <c r="I378" s="432"/>
      <c r="J378" s="432"/>
      <c r="K378" s="432"/>
      <c r="L378" s="432"/>
      <c r="M378" s="432"/>
      <c r="N378" s="432"/>
      <c r="O378" s="432"/>
      <c r="P378" s="432"/>
      <c r="Q378" s="432"/>
      <c r="R378" s="432"/>
      <c r="S378" s="432"/>
      <c r="T378" s="432"/>
      <c r="U378" s="432"/>
      <c r="V378" s="432"/>
    </row>
    <row r="379" spans="2:22" s="20" customFormat="1" ht="15.5" hidden="1" x14ac:dyDescent="0.35">
      <c r="B379" s="263" t="s">
        <v>426</v>
      </c>
      <c r="I379" s="432"/>
      <c r="J379" s="432"/>
      <c r="K379" s="432"/>
      <c r="L379" s="432"/>
      <c r="M379" s="432"/>
      <c r="N379" s="432"/>
      <c r="O379" s="432"/>
      <c r="P379" s="432"/>
      <c r="Q379" s="432"/>
      <c r="R379" s="432"/>
      <c r="S379" s="432"/>
      <c r="T379" s="432"/>
      <c r="U379" s="432"/>
      <c r="V379" s="432"/>
    </row>
    <row r="380" spans="2:22" s="20" customFormat="1" hidden="1" x14ac:dyDescent="0.35">
      <c r="B380" s="20" t="s">
        <v>452</v>
      </c>
      <c r="C380" s="264" t="e">
        <f>D344*10^6</f>
        <v>#DIV/0!</v>
      </c>
      <c r="I380" s="432"/>
      <c r="J380" s="432"/>
      <c r="K380" s="432"/>
      <c r="L380" s="432"/>
      <c r="M380" s="432"/>
      <c r="N380" s="432"/>
      <c r="O380" s="432"/>
      <c r="P380" s="432"/>
      <c r="Q380" s="432"/>
      <c r="R380" s="432"/>
      <c r="S380" s="432"/>
      <c r="T380" s="432"/>
      <c r="U380" s="432"/>
      <c r="V380" s="432"/>
    </row>
    <row r="381" spans="2:22" s="20" customFormat="1" hidden="1" x14ac:dyDescent="0.35">
      <c r="I381" s="432"/>
      <c r="J381" s="432"/>
      <c r="K381" s="432"/>
      <c r="L381" s="432"/>
      <c r="M381" s="432"/>
      <c r="N381" s="432"/>
      <c r="O381" s="432"/>
      <c r="P381" s="432"/>
      <c r="Q381" s="432"/>
      <c r="R381" s="432"/>
      <c r="S381" s="432"/>
      <c r="T381" s="432"/>
      <c r="U381" s="432"/>
      <c r="V381" s="432"/>
    </row>
    <row r="382" spans="2:22" s="20" customFormat="1" ht="15.5" hidden="1" x14ac:dyDescent="0.35">
      <c r="B382" s="263" t="s">
        <v>1355</v>
      </c>
      <c r="I382" s="432"/>
      <c r="J382" s="432"/>
      <c r="K382" s="432"/>
      <c r="L382" s="432"/>
      <c r="M382" s="432"/>
      <c r="N382" s="432"/>
      <c r="O382" s="432"/>
      <c r="P382" s="432"/>
      <c r="Q382" s="432"/>
      <c r="R382" s="432"/>
      <c r="S382" s="432"/>
      <c r="T382" s="432"/>
      <c r="U382" s="432"/>
      <c r="V382" s="432"/>
    </row>
    <row r="383" spans="2:22" s="20" customFormat="1" hidden="1" x14ac:dyDescent="0.35">
      <c r="B383" s="20" t="s">
        <v>452</v>
      </c>
      <c r="C383" s="1474" t="e">
        <f>(D330+D281)*10^6</f>
        <v>#DIV/0!</v>
      </c>
      <c r="I383" s="432"/>
      <c r="J383" s="432"/>
      <c r="K383" s="432"/>
      <c r="L383" s="432"/>
      <c r="M383" s="432"/>
      <c r="N383" s="432"/>
      <c r="O383" s="432"/>
      <c r="P383" s="432"/>
      <c r="Q383" s="432"/>
      <c r="R383" s="432"/>
      <c r="S383" s="432"/>
      <c r="T383" s="432"/>
      <c r="U383" s="432"/>
      <c r="V383" s="432"/>
    </row>
    <row r="384" spans="2:22" s="20" customFormat="1" hidden="1" x14ac:dyDescent="0.35">
      <c r="B384" s="18"/>
      <c r="I384" s="432"/>
      <c r="J384" s="432"/>
      <c r="K384" s="432"/>
      <c r="L384" s="432"/>
      <c r="M384" s="432"/>
      <c r="N384" s="432"/>
      <c r="O384" s="432"/>
      <c r="P384" s="432"/>
      <c r="Q384" s="432"/>
      <c r="R384" s="432"/>
      <c r="S384" s="432"/>
      <c r="T384" s="432"/>
      <c r="U384" s="432"/>
      <c r="V384" s="432"/>
    </row>
    <row r="385" spans="2:22" s="20" customFormat="1" ht="15.5" hidden="1" x14ac:dyDescent="0.35">
      <c r="B385" s="263" t="s">
        <v>423</v>
      </c>
      <c r="I385" s="432"/>
      <c r="J385" s="432"/>
      <c r="K385" s="432"/>
      <c r="L385" s="432"/>
      <c r="M385" s="432"/>
      <c r="N385" s="432"/>
      <c r="O385" s="432"/>
      <c r="P385" s="432"/>
      <c r="Q385" s="432"/>
      <c r="R385" s="432"/>
      <c r="S385" s="432"/>
      <c r="T385" s="432"/>
      <c r="U385" s="432"/>
      <c r="V385" s="432"/>
    </row>
    <row r="386" spans="2:22" s="20" customFormat="1" hidden="1" x14ac:dyDescent="0.35">
      <c r="B386" s="20" t="s">
        <v>452</v>
      </c>
      <c r="C386" s="404" t="e">
        <f>(D296+D305+D359+D373)*10^6</f>
        <v>#DIV/0!</v>
      </c>
      <c r="D386" s="20" t="e">
        <f>C386-'Improved diet DMD by Supplement'!C350</f>
        <v>#DIV/0!</v>
      </c>
      <c r="I386" s="432"/>
      <c r="J386" s="432"/>
      <c r="K386" s="432"/>
      <c r="L386" s="432"/>
      <c r="M386" s="432"/>
      <c r="N386" s="432"/>
      <c r="O386" s="432"/>
      <c r="P386" s="432"/>
      <c r="Q386" s="432"/>
      <c r="R386" s="432"/>
      <c r="S386" s="432"/>
      <c r="T386" s="432"/>
      <c r="U386" s="432"/>
      <c r="V386" s="432"/>
    </row>
    <row r="387" spans="2:22" s="20" customFormat="1" hidden="1" x14ac:dyDescent="0.35">
      <c r="I387" s="432"/>
      <c r="J387" s="432"/>
      <c r="K387" s="432"/>
      <c r="L387" s="432"/>
      <c r="M387" s="432"/>
      <c r="N387" s="432"/>
      <c r="O387" s="432"/>
      <c r="P387" s="432"/>
      <c r="Q387" s="432"/>
      <c r="R387" s="432"/>
      <c r="S387" s="432"/>
      <c r="T387" s="432"/>
      <c r="U387" s="432"/>
      <c r="V387" s="432"/>
    </row>
    <row r="388" spans="2:22" s="20" customFormat="1" hidden="1" x14ac:dyDescent="0.35">
      <c r="B388" s="265" t="s">
        <v>447</v>
      </c>
      <c r="I388" s="432"/>
      <c r="J388" s="432"/>
      <c r="K388" s="432"/>
      <c r="L388" s="432"/>
      <c r="M388" s="432"/>
      <c r="N388" s="432"/>
      <c r="O388" s="432"/>
      <c r="P388" s="432"/>
      <c r="Q388" s="432"/>
      <c r="R388" s="432"/>
      <c r="S388" s="432"/>
      <c r="T388" s="432"/>
      <c r="U388" s="432"/>
      <c r="V388" s="432"/>
    </row>
    <row r="389" spans="2:22" s="20" customFormat="1" hidden="1" x14ac:dyDescent="0.35">
      <c r="B389" s="20" t="s">
        <v>452</v>
      </c>
      <c r="C389" s="963" t="e">
        <f>C380+C383+C386</f>
        <v>#DIV/0!</v>
      </c>
      <c r="I389" s="432"/>
      <c r="J389" s="432"/>
      <c r="K389" s="432"/>
      <c r="L389" s="432"/>
      <c r="M389" s="432"/>
      <c r="N389" s="432"/>
      <c r="O389" s="432"/>
      <c r="P389" s="432"/>
      <c r="Q389" s="432"/>
      <c r="R389" s="432"/>
      <c r="S389" s="432"/>
      <c r="T389" s="432"/>
      <c r="U389" s="432"/>
      <c r="V389" s="432"/>
    </row>
    <row r="390" spans="2:22" s="20" customFormat="1" hidden="1" x14ac:dyDescent="0.35">
      <c r="I390" s="432"/>
      <c r="J390" s="432"/>
      <c r="K390" s="432"/>
      <c r="L390" s="432"/>
      <c r="M390" s="432"/>
      <c r="N390" s="432"/>
      <c r="O390" s="432"/>
      <c r="P390" s="432"/>
      <c r="Q390" s="432"/>
      <c r="R390" s="432"/>
      <c r="S390" s="432"/>
      <c r="T390" s="432"/>
      <c r="U390" s="432"/>
      <c r="V390" s="432"/>
    </row>
    <row r="391" spans="2:22" s="20" customFormat="1" hidden="1" x14ac:dyDescent="0.35">
      <c r="B391" s="27" t="s">
        <v>449</v>
      </c>
      <c r="C391" s="45" t="e">
        <f>C389*'Emission factors'!C5/1000</f>
        <v>#DIV/0!</v>
      </c>
      <c r="D391" s="29" t="s">
        <v>762</v>
      </c>
      <c r="I391" s="432"/>
      <c r="J391" s="432"/>
      <c r="K391" s="432"/>
      <c r="L391" s="432"/>
      <c r="M391" s="432"/>
      <c r="N391" s="432"/>
      <c r="O391" s="432"/>
      <c r="P391" s="432"/>
      <c r="Q391" s="432"/>
      <c r="R391" s="432"/>
      <c r="S391" s="432"/>
      <c r="T391" s="432"/>
      <c r="U391" s="432"/>
      <c r="V391" s="432"/>
    </row>
    <row r="392" spans="2:22" s="20" customFormat="1" hidden="1" x14ac:dyDescent="0.35">
      <c r="I392" s="432"/>
      <c r="J392" s="432"/>
      <c r="K392" s="432"/>
      <c r="L392" s="432"/>
      <c r="M392" s="432"/>
      <c r="N392" s="432"/>
      <c r="O392" s="432"/>
      <c r="P392" s="432"/>
      <c r="Q392" s="432"/>
      <c r="R392" s="432"/>
      <c r="S392" s="432"/>
      <c r="T392" s="432"/>
      <c r="U392" s="432"/>
      <c r="V392" s="432"/>
    </row>
    <row r="393" spans="2:22" s="20" customFormat="1" hidden="1" x14ac:dyDescent="0.35">
      <c r="B393" s="265" t="s">
        <v>763</v>
      </c>
      <c r="C393" s="170" t="e">
        <f>C218-C391</f>
        <v>#DIV/0!</v>
      </c>
      <c r="I393" s="432"/>
      <c r="J393" s="432"/>
      <c r="K393" s="432"/>
      <c r="L393" s="432"/>
      <c r="M393" s="432"/>
      <c r="N393" s="432"/>
      <c r="O393" s="432"/>
      <c r="P393" s="432"/>
      <c r="Q393" s="432"/>
      <c r="R393" s="432"/>
      <c r="S393" s="432"/>
      <c r="T393" s="432"/>
      <c r="U393" s="432"/>
      <c r="V393" s="432"/>
    </row>
    <row r="394" spans="2:22" s="20" customFormat="1" hidden="1" x14ac:dyDescent="0.35">
      <c r="I394" s="432"/>
      <c r="J394" s="432"/>
      <c r="K394" s="432"/>
      <c r="L394" s="432"/>
      <c r="M394" s="432"/>
      <c r="N394" s="432"/>
      <c r="O394" s="432"/>
      <c r="P394" s="432"/>
      <c r="Q394" s="432"/>
      <c r="R394" s="432"/>
      <c r="S394" s="432"/>
      <c r="T394" s="432"/>
      <c r="U394" s="432"/>
      <c r="V394" s="432"/>
    </row>
    <row r="395" spans="2:22" s="20" customFormat="1" hidden="1" x14ac:dyDescent="0.35">
      <c r="I395" s="432"/>
      <c r="J395" s="432"/>
      <c r="K395" s="432"/>
      <c r="L395" s="432"/>
      <c r="M395" s="432"/>
      <c r="N395" s="432"/>
      <c r="O395" s="432"/>
      <c r="P395" s="432"/>
      <c r="Q395" s="432"/>
      <c r="R395" s="432"/>
      <c r="S395" s="432"/>
      <c r="T395" s="432"/>
      <c r="U395" s="432"/>
      <c r="V395" s="432"/>
    </row>
    <row r="396" spans="2:22" s="20" customFormat="1" hidden="1" x14ac:dyDescent="0.35">
      <c r="B396" s="299" t="s">
        <v>454</v>
      </c>
      <c r="D396" s="20" t="s">
        <v>767</v>
      </c>
      <c r="I396" s="432"/>
      <c r="J396" s="432"/>
      <c r="K396" s="432"/>
      <c r="L396" s="432"/>
      <c r="M396" s="432"/>
      <c r="N396" s="432"/>
      <c r="O396" s="432"/>
      <c r="P396" s="432"/>
      <c r="Q396" s="432"/>
      <c r="R396" s="432"/>
      <c r="S396" s="432"/>
      <c r="T396" s="432"/>
      <c r="U396" s="432"/>
      <c r="V396" s="432"/>
    </row>
    <row r="397" spans="2:22" s="20" customFormat="1" hidden="1" x14ac:dyDescent="0.35">
      <c r="B397" s="299" t="s">
        <v>756</v>
      </c>
      <c r="C397" s="170" t="e">
        <f>C98</f>
        <v>#DIV/0!</v>
      </c>
      <c r="D397" s="404" t="e">
        <f>C397/365</f>
        <v>#DIV/0!</v>
      </c>
      <c r="E397" s="394"/>
      <c r="I397" s="432"/>
      <c r="J397" s="432"/>
      <c r="K397" s="432"/>
      <c r="L397" s="432"/>
      <c r="M397" s="432"/>
      <c r="N397" s="432"/>
      <c r="O397" s="432"/>
      <c r="P397" s="432"/>
      <c r="Q397" s="432"/>
      <c r="R397" s="432"/>
      <c r="S397" s="432"/>
      <c r="T397" s="432"/>
      <c r="U397" s="432"/>
      <c r="V397" s="432"/>
    </row>
    <row r="398" spans="2:22" s="20" customFormat="1" hidden="1" x14ac:dyDescent="0.35">
      <c r="B398" s="299" t="s">
        <v>757</v>
      </c>
      <c r="C398" s="170" t="e">
        <f>C189</f>
        <v>#DIV/0!</v>
      </c>
      <c r="D398" s="404" t="e">
        <f>C398/365</f>
        <v>#DIV/0!</v>
      </c>
      <c r="I398" s="432"/>
      <c r="J398" s="432"/>
      <c r="K398" s="432"/>
      <c r="L398" s="432"/>
      <c r="M398" s="432"/>
      <c r="N398" s="432"/>
      <c r="O398" s="432"/>
      <c r="P398" s="432"/>
      <c r="Q398" s="432"/>
      <c r="R398" s="432"/>
      <c r="S398" s="432"/>
      <c r="T398" s="432"/>
      <c r="U398" s="432"/>
      <c r="V398" s="432"/>
    </row>
    <row r="399" spans="2:22" s="20" customFormat="1" hidden="1" x14ac:dyDescent="0.35">
      <c r="B399" s="299" t="s">
        <v>758</v>
      </c>
      <c r="C399" s="170" t="e">
        <f>C218</f>
        <v>#DIV/0!</v>
      </c>
      <c r="D399" s="404" t="e">
        <f>C399/365</f>
        <v>#DIV/0!</v>
      </c>
      <c r="I399" s="432"/>
      <c r="J399" s="432"/>
      <c r="K399" s="432"/>
      <c r="L399" s="432"/>
      <c r="M399" s="432"/>
      <c r="N399" s="432"/>
      <c r="O399" s="432"/>
      <c r="P399" s="432"/>
      <c r="Q399" s="432"/>
      <c r="R399" s="432"/>
      <c r="S399" s="432"/>
      <c r="T399" s="432"/>
      <c r="U399" s="432"/>
      <c r="V399" s="432"/>
    </row>
    <row r="400" spans="2:22" s="20" customFormat="1" hidden="1" x14ac:dyDescent="0.35">
      <c r="B400" s="299" t="s">
        <v>759</v>
      </c>
      <c r="C400" s="266">
        <v>0</v>
      </c>
      <c r="D400" s="404">
        <f>C400/365</f>
        <v>0</v>
      </c>
      <c r="I400" s="432"/>
      <c r="J400" s="432"/>
      <c r="K400" s="432"/>
      <c r="L400" s="432"/>
      <c r="M400" s="432"/>
      <c r="N400" s="432"/>
      <c r="O400" s="432"/>
      <c r="P400" s="432"/>
      <c r="Q400" s="432"/>
      <c r="R400" s="432"/>
      <c r="S400" s="432"/>
      <c r="T400" s="432"/>
      <c r="U400" s="432"/>
      <c r="V400" s="432"/>
    </row>
    <row r="401" spans="2:22" s="20" customFormat="1" hidden="1" x14ac:dyDescent="0.35">
      <c r="B401" s="299" t="s">
        <v>760</v>
      </c>
      <c r="C401" s="170" t="e">
        <f>SUM(C397:C400)</f>
        <v>#DIV/0!</v>
      </c>
      <c r="D401" s="404" t="e">
        <f>C401/365</f>
        <v>#DIV/0!</v>
      </c>
      <c r="I401" s="432"/>
      <c r="J401" s="432"/>
      <c r="K401" s="432"/>
      <c r="L401" s="432"/>
      <c r="M401" s="432"/>
      <c r="N401" s="432"/>
      <c r="O401" s="432"/>
      <c r="P401" s="432"/>
      <c r="Q401" s="432"/>
      <c r="R401" s="432"/>
      <c r="S401" s="432"/>
      <c r="T401" s="432"/>
      <c r="U401" s="432"/>
      <c r="V401" s="432"/>
    </row>
    <row r="402" spans="2:22" s="20" customFormat="1" hidden="1" x14ac:dyDescent="0.35">
      <c r="B402" s="299"/>
      <c r="C402" s="266"/>
      <c r="I402" s="432"/>
      <c r="J402" s="432"/>
      <c r="K402" s="432"/>
      <c r="L402" s="432"/>
      <c r="M402" s="432"/>
      <c r="N402" s="432"/>
      <c r="O402" s="432"/>
      <c r="P402" s="432"/>
      <c r="Q402" s="432"/>
      <c r="R402" s="432"/>
      <c r="S402" s="432"/>
      <c r="T402" s="432"/>
      <c r="U402" s="432"/>
      <c r="V402" s="432"/>
    </row>
    <row r="403" spans="2:22" s="20" customFormat="1" hidden="1" x14ac:dyDescent="0.35">
      <c r="B403" s="299" t="s">
        <v>455</v>
      </c>
      <c r="C403" s="266"/>
      <c r="I403" s="432"/>
      <c r="J403" s="432"/>
      <c r="K403" s="432"/>
      <c r="L403" s="432"/>
      <c r="M403" s="432"/>
      <c r="N403" s="432"/>
      <c r="O403" s="432"/>
      <c r="P403" s="432"/>
      <c r="Q403" s="432"/>
      <c r="R403" s="432"/>
      <c r="S403" s="432"/>
      <c r="T403" s="432"/>
      <c r="U403" s="432"/>
      <c r="V403" s="432"/>
    </row>
    <row r="404" spans="2:22" s="20" customFormat="1" hidden="1" x14ac:dyDescent="0.35">
      <c r="B404" s="299" t="s">
        <v>756</v>
      </c>
      <c r="C404" s="170" t="e">
        <f>C133</f>
        <v>#DIV/0!</v>
      </c>
      <c r="D404" s="404" t="e">
        <f>C404/365</f>
        <v>#DIV/0!</v>
      </c>
      <c r="I404" s="432"/>
      <c r="J404" s="432"/>
      <c r="K404" s="432"/>
      <c r="L404" s="432"/>
      <c r="M404" s="432"/>
      <c r="N404" s="432"/>
      <c r="O404" s="432"/>
      <c r="P404" s="432"/>
      <c r="Q404" s="432"/>
      <c r="R404" s="432"/>
      <c r="S404" s="432"/>
      <c r="T404" s="432"/>
      <c r="U404" s="432"/>
      <c r="V404" s="432"/>
    </row>
    <row r="405" spans="2:22" s="20" customFormat="1" hidden="1" x14ac:dyDescent="0.35">
      <c r="B405" s="299" t="s">
        <v>757</v>
      </c>
      <c r="C405" s="170" t="e">
        <f>C201</f>
        <v>#DIV/0!</v>
      </c>
      <c r="D405" s="404" t="e">
        <f>C405/365</f>
        <v>#DIV/0!</v>
      </c>
      <c r="I405" s="432"/>
      <c r="J405" s="432"/>
      <c r="K405" s="432"/>
      <c r="L405" s="432"/>
      <c r="M405" s="432"/>
      <c r="N405" s="432"/>
      <c r="O405" s="432"/>
      <c r="P405" s="432"/>
      <c r="Q405" s="432"/>
      <c r="R405" s="432"/>
      <c r="S405" s="432"/>
      <c r="T405" s="432"/>
      <c r="U405" s="432"/>
      <c r="V405" s="432"/>
    </row>
    <row r="406" spans="2:22" s="20" customFormat="1" hidden="1" x14ac:dyDescent="0.35">
      <c r="B406" s="299" t="s">
        <v>758</v>
      </c>
      <c r="C406" s="170" t="e">
        <f>C391</f>
        <v>#DIV/0!</v>
      </c>
      <c r="D406" s="404" t="e">
        <f>C406/365</f>
        <v>#DIV/0!</v>
      </c>
      <c r="I406" s="432"/>
      <c r="J406" s="432"/>
      <c r="K406" s="432"/>
      <c r="L406" s="432"/>
      <c r="M406" s="432"/>
      <c r="N406" s="432"/>
      <c r="O406" s="432"/>
      <c r="P406" s="432"/>
      <c r="Q406" s="432"/>
      <c r="R406" s="432"/>
      <c r="S406" s="432"/>
      <c r="T406" s="432"/>
      <c r="U406" s="432"/>
      <c r="V406" s="432"/>
    </row>
    <row r="407" spans="2:22" s="20" customFormat="1" hidden="1" x14ac:dyDescent="0.35">
      <c r="B407" s="299" t="s">
        <v>759</v>
      </c>
      <c r="C407" s="266">
        <v>0</v>
      </c>
      <c r="D407" s="404">
        <f>C407/365</f>
        <v>0</v>
      </c>
      <c r="I407" s="432"/>
      <c r="J407" s="432"/>
      <c r="K407" s="432"/>
      <c r="L407" s="432"/>
      <c r="M407" s="432"/>
      <c r="N407" s="432"/>
      <c r="O407" s="432"/>
      <c r="P407" s="432"/>
      <c r="Q407" s="432"/>
      <c r="R407" s="432"/>
      <c r="S407" s="432"/>
      <c r="T407" s="432"/>
      <c r="U407" s="432"/>
      <c r="V407" s="432"/>
    </row>
    <row r="408" spans="2:22" s="20" customFormat="1" hidden="1" x14ac:dyDescent="0.35">
      <c r="B408" s="299" t="s">
        <v>760</v>
      </c>
      <c r="C408" s="170" t="e">
        <f>SUM(C404:C407)</f>
        <v>#DIV/0!</v>
      </c>
      <c r="D408" s="404" t="e">
        <f>C408/365</f>
        <v>#DIV/0!</v>
      </c>
      <c r="E408" s="289"/>
      <c r="I408" s="432"/>
      <c r="J408" s="432"/>
      <c r="K408" s="432"/>
      <c r="L408" s="432"/>
      <c r="M408" s="432"/>
      <c r="N408" s="432"/>
      <c r="O408" s="432"/>
      <c r="P408" s="432"/>
      <c r="Q408" s="432"/>
      <c r="R408" s="432"/>
      <c r="S408" s="432"/>
      <c r="T408" s="432"/>
      <c r="U408" s="432"/>
      <c r="V408" s="432"/>
    </row>
    <row r="409" spans="2:22" s="20" customFormat="1" hidden="1" x14ac:dyDescent="0.35">
      <c r="B409" s="299"/>
      <c r="C409" s="266"/>
      <c r="I409" s="432"/>
      <c r="J409" s="432"/>
      <c r="K409" s="432"/>
      <c r="L409" s="432"/>
      <c r="M409" s="432"/>
      <c r="N409" s="432"/>
      <c r="O409" s="432"/>
      <c r="P409" s="432"/>
      <c r="Q409" s="432"/>
      <c r="R409" s="432"/>
      <c r="S409" s="432"/>
      <c r="T409" s="432"/>
      <c r="U409" s="432"/>
      <c r="V409" s="432"/>
    </row>
    <row r="410" spans="2:22" s="20" customFormat="1" hidden="1" x14ac:dyDescent="0.35">
      <c r="B410" s="299" t="s">
        <v>761</v>
      </c>
      <c r="C410" s="266"/>
      <c r="D410" s="20" t="s">
        <v>768</v>
      </c>
      <c r="I410" s="432"/>
      <c r="J410" s="432"/>
      <c r="K410" s="432"/>
      <c r="L410" s="432"/>
      <c r="M410" s="432"/>
      <c r="N410" s="432"/>
      <c r="O410" s="432"/>
      <c r="P410" s="432"/>
      <c r="Q410" s="432"/>
      <c r="R410" s="432"/>
      <c r="S410" s="432"/>
      <c r="T410" s="432"/>
      <c r="U410" s="432"/>
      <c r="V410" s="432"/>
    </row>
    <row r="411" spans="2:22" s="20" customFormat="1" hidden="1" x14ac:dyDescent="0.35">
      <c r="B411" s="299" t="s">
        <v>756</v>
      </c>
      <c r="C411" s="170" t="e">
        <f>C397-C404</f>
        <v>#DIV/0!</v>
      </c>
      <c r="D411" s="404" t="e">
        <f>(C411/365)*$C$29</f>
        <v>#DIV/0!</v>
      </c>
      <c r="I411" s="432"/>
      <c r="J411" s="432"/>
      <c r="K411" s="432"/>
      <c r="L411" s="432"/>
      <c r="M411" s="432"/>
      <c r="N411" s="432"/>
      <c r="O411" s="432"/>
      <c r="P411" s="432"/>
      <c r="Q411" s="432"/>
      <c r="R411" s="432"/>
      <c r="S411" s="432"/>
      <c r="T411" s="432"/>
      <c r="U411" s="432"/>
      <c r="V411" s="432"/>
    </row>
    <row r="412" spans="2:22" s="20" customFormat="1" hidden="1" x14ac:dyDescent="0.35">
      <c r="B412" s="299" t="s">
        <v>757</v>
      </c>
      <c r="C412" s="170" t="e">
        <f>C398-C405</f>
        <v>#DIV/0!</v>
      </c>
      <c r="D412" s="404" t="e">
        <f>(C412/365)*$C$29</f>
        <v>#DIV/0!</v>
      </c>
      <c r="I412" s="432"/>
      <c r="J412" s="432"/>
      <c r="K412" s="432"/>
      <c r="L412" s="432"/>
      <c r="M412" s="432"/>
      <c r="N412" s="432"/>
      <c r="O412" s="432"/>
      <c r="P412" s="432"/>
      <c r="Q412" s="432"/>
      <c r="R412" s="432"/>
      <c r="S412" s="432"/>
      <c r="T412" s="432"/>
      <c r="U412" s="432"/>
      <c r="V412" s="432"/>
    </row>
    <row r="413" spans="2:22" s="20" customFormat="1" hidden="1" x14ac:dyDescent="0.35">
      <c r="B413" s="299" t="s">
        <v>758</v>
      </c>
      <c r="C413" s="170" t="e">
        <f>C399-C406</f>
        <v>#DIV/0!</v>
      </c>
      <c r="D413" s="404" t="e">
        <f>(C413/365)*$C$29</f>
        <v>#DIV/0!</v>
      </c>
      <c r="I413" s="432"/>
      <c r="J413" s="432"/>
      <c r="K413" s="432"/>
      <c r="L413" s="432"/>
      <c r="M413" s="432"/>
      <c r="N413" s="432"/>
      <c r="O413" s="432"/>
      <c r="P413" s="432"/>
      <c r="Q413" s="432"/>
      <c r="R413" s="432"/>
      <c r="S413" s="432"/>
      <c r="T413" s="432"/>
      <c r="U413" s="432"/>
      <c r="V413" s="432"/>
    </row>
    <row r="414" spans="2:22" s="20" customFormat="1" hidden="1" x14ac:dyDescent="0.35">
      <c r="B414" s="299" t="s">
        <v>759</v>
      </c>
      <c r="C414" s="266">
        <f>C400-C407</f>
        <v>0</v>
      </c>
      <c r="D414" s="404">
        <f>(C414/365)*$C$29</f>
        <v>0</v>
      </c>
      <c r="I414" s="432"/>
      <c r="J414" s="432"/>
      <c r="K414" s="432"/>
      <c r="L414" s="432"/>
      <c r="M414" s="432"/>
      <c r="N414" s="432"/>
      <c r="O414" s="432"/>
      <c r="P414" s="432"/>
      <c r="Q414" s="432"/>
      <c r="R414" s="432"/>
      <c r="S414" s="432"/>
      <c r="T414" s="432"/>
      <c r="U414" s="432"/>
      <c r="V414" s="432"/>
    </row>
    <row r="415" spans="2:22" s="20" customFormat="1" hidden="1" x14ac:dyDescent="0.35">
      <c r="B415" s="299" t="s">
        <v>760</v>
      </c>
      <c r="C415" s="170" t="e">
        <f>SUM(C411:C414)</f>
        <v>#DIV/0!</v>
      </c>
      <c r="D415" s="404" t="e">
        <f>(C415/365)*$C$29</f>
        <v>#DIV/0!</v>
      </c>
      <c r="I415" s="432"/>
      <c r="J415" s="432"/>
      <c r="K415" s="432"/>
      <c r="L415" s="432"/>
      <c r="M415" s="432"/>
      <c r="N415" s="432"/>
      <c r="O415" s="432"/>
      <c r="P415" s="432"/>
      <c r="Q415" s="432"/>
      <c r="R415" s="432"/>
      <c r="S415" s="432"/>
      <c r="T415" s="432"/>
      <c r="U415" s="432"/>
      <c r="V415" s="432"/>
    </row>
    <row r="416" spans="2:22" s="20" customFormat="1" hidden="1" x14ac:dyDescent="0.35">
      <c r="B416" s="384"/>
      <c r="I416" s="432"/>
      <c r="J416" s="432"/>
      <c r="K416" s="432"/>
      <c r="L416" s="432"/>
      <c r="M416" s="432"/>
      <c r="N416" s="432"/>
      <c r="O416" s="432"/>
      <c r="P416" s="432"/>
      <c r="Q416" s="432"/>
      <c r="R416" s="432"/>
      <c r="S416" s="432"/>
      <c r="T416" s="432"/>
      <c r="U416" s="432"/>
      <c r="V416" s="432"/>
    </row>
    <row r="417" spans="2:22" s="20" customFormat="1" hidden="1" x14ac:dyDescent="0.35">
      <c r="B417" s="384"/>
      <c r="I417" s="432"/>
      <c r="J417" s="432"/>
      <c r="K417" s="432"/>
      <c r="L417" s="432"/>
      <c r="M417" s="432"/>
      <c r="N417" s="432"/>
      <c r="O417" s="432"/>
      <c r="P417" s="432"/>
      <c r="Q417" s="432"/>
      <c r="R417" s="432"/>
      <c r="S417" s="432"/>
      <c r="T417" s="432"/>
      <c r="U417" s="432"/>
      <c r="V417" s="432"/>
    </row>
    <row r="418" spans="2:22" hidden="1" x14ac:dyDescent="0.35">
      <c r="B418" s="384"/>
    </row>
    <row r="419" spans="2:22" hidden="1" x14ac:dyDescent="0.35">
      <c r="B419" s="384"/>
    </row>
    <row r="420" spans="2:22" s="432" customFormat="1" hidden="1" x14ac:dyDescent="0.35">
      <c r="B420" s="424"/>
    </row>
    <row r="421" spans="2:22" s="432" customFormat="1" hidden="1" x14ac:dyDescent="0.35"/>
    <row r="422" spans="2:22" s="432" customFormat="1" hidden="1" x14ac:dyDescent="0.35"/>
    <row r="423" spans="2:22" s="432" customFormat="1" hidden="1" x14ac:dyDescent="0.35"/>
    <row r="424" spans="2:22" s="432" customFormat="1" hidden="1" x14ac:dyDescent="0.35"/>
    <row r="425" spans="2:22" s="432" customFormat="1" hidden="1" x14ac:dyDescent="0.35"/>
    <row r="426" spans="2:22" s="432" customFormat="1" hidden="1" x14ac:dyDescent="0.35"/>
    <row r="427" spans="2:22" s="432" customFormat="1" hidden="1" x14ac:dyDescent="0.35"/>
    <row r="428" spans="2:22" s="432" customFormat="1" hidden="1" x14ac:dyDescent="0.35"/>
    <row r="429" spans="2:22" s="432" customFormat="1" hidden="1" x14ac:dyDescent="0.35"/>
    <row r="430" spans="2:22" s="432" customFormat="1" hidden="1" x14ac:dyDescent="0.35"/>
    <row r="431" spans="2:22" s="432" customFormat="1" hidden="1" x14ac:dyDescent="0.35"/>
    <row r="432" spans="2:22" s="432" customFormat="1" hidden="1" x14ac:dyDescent="0.35"/>
    <row r="433" s="432" customFormat="1" hidden="1" x14ac:dyDescent="0.35"/>
    <row r="434" s="432" customFormat="1" hidden="1" x14ac:dyDescent="0.35"/>
    <row r="435" s="432" customFormat="1" hidden="1" x14ac:dyDescent="0.35"/>
    <row r="436" s="432" customFormat="1" hidden="1" x14ac:dyDescent="0.35"/>
    <row r="437" s="432" customFormat="1" hidden="1" x14ac:dyDescent="0.35"/>
    <row r="438" s="432" customFormat="1" hidden="1" x14ac:dyDescent="0.35"/>
    <row r="439" s="432" customFormat="1" hidden="1" x14ac:dyDescent="0.35"/>
    <row r="440" s="432" customFormat="1" hidden="1" x14ac:dyDescent="0.35"/>
    <row r="441" s="432" customFormat="1" hidden="1" x14ac:dyDescent="0.35"/>
    <row r="442" s="432" customFormat="1" hidden="1" x14ac:dyDescent="0.35"/>
    <row r="443" s="432" customFormat="1" hidden="1" x14ac:dyDescent="0.35"/>
    <row r="444" s="432" customFormat="1" x14ac:dyDescent="0.35"/>
    <row r="445" s="432" customFormat="1" x14ac:dyDescent="0.35"/>
    <row r="446" s="432" customFormat="1" x14ac:dyDescent="0.35"/>
    <row r="447" s="432" customFormat="1" x14ac:dyDescent="0.35"/>
    <row r="448" s="432" customFormat="1" x14ac:dyDescent="0.35"/>
    <row r="449" s="432" customFormat="1" x14ac:dyDescent="0.35"/>
    <row r="450" s="432" customFormat="1" x14ac:dyDescent="0.35"/>
    <row r="451" s="432" customFormat="1" x14ac:dyDescent="0.35"/>
    <row r="452" s="432" customFormat="1" x14ac:dyDescent="0.35"/>
    <row r="453" s="432" customFormat="1" x14ac:dyDescent="0.35"/>
    <row r="454" s="432" customFormat="1" x14ac:dyDescent="0.35"/>
    <row r="455" s="432" customFormat="1" x14ac:dyDescent="0.35"/>
    <row r="456" s="432" customFormat="1" x14ac:dyDescent="0.35"/>
    <row r="457" s="432" customFormat="1" x14ac:dyDescent="0.35"/>
    <row r="458" s="432" customFormat="1" x14ac:dyDescent="0.35"/>
    <row r="459" s="432" customFormat="1" x14ac:dyDescent="0.35"/>
    <row r="460" s="432" customFormat="1" x14ac:dyDescent="0.35"/>
    <row r="461" s="432" customFormat="1" x14ac:dyDescent="0.35"/>
    <row r="462" s="432" customFormat="1" x14ac:dyDescent="0.35"/>
    <row r="463" s="432" customFormat="1" x14ac:dyDescent="0.35"/>
    <row r="464" s="432" customFormat="1" x14ac:dyDescent="0.35"/>
    <row r="465" s="432" customFormat="1" x14ac:dyDescent="0.35"/>
    <row r="466" s="432" customFormat="1" x14ac:dyDescent="0.35"/>
    <row r="467" s="432" customFormat="1" x14ac:dyDescent="0.35"/>
    <row r="468" s="432" customFormat="1" x14ac:dyDescent="0.35"/>
    <row r="469" s="432" customFormat="1" x14ac:dyDescent="0.35"/>
    <row r="470" s="432" customFormat="1" x14ac:dyDescent="0.35"/>
    <row r="471" s="432" customFormat="1" x14ac:dyDescent="0.35"/>
    <row r="472" s="432" customFormat="1" x14ac:dyDescent="0.35"/>
    <row r="473" s="432" customFormat="1" x14ac:dyDescent="0.35"/>
    <row r="474" s="432" customFormat="1" x14ac:dyDescent="0.35"/>
    <row r="475" s="432" customFormat="1" x14ac:dyDescent="0.35"/>
    <row r="476" s="432" customFormat="1" x14ac:dyDescent="0.35"/>
    <row r="477" s="432" customFormat="1" x14ac:dyDescent="0.35"/>
    <row r="478" s="432" customFormat="1" x14ac:dyDescent="0.35"/>
    <row r="479" s="432" customFormat="1" x14ac:dyDescent="0.35"/>
    <row r="480" s="432" customFormat="1" x14ac:dyDescent="0.35"/>
    <row r="481" s="432" customFormat="1" x14ac:dyDescent="0.35"/>
    <row r="482" s="432" customFormat="1" x14ac:dyDescent="0.35"/>
    <row r="483" s="432" customFormat="1" x14ac:dyDescent="0.35"/>
    <row r="484" s="432" customFormat="1" x14ac:dyDescent="0.35"/>
    <row r="485" s="432" customFormat="1" x14ac:dyDescent="0.35"/>
    <row r="486" s="432" customFormat="1" x14ac:dyDescent="0.35"/>
    <row r="487" s="432" customFormat="1" x14ac:dyDescent="0.35"/>
    <row r="488" s="432" customFormat="1" x14ac:dyDescent="0.35"/>
    <row r="489" s="432" customFormat="1" x14ac:dyDescent="0.35"/>
    <row r="490" s="432" customFormat="1" x14ac:dyDescent="0.35"/>
    <row r="491" s="432" customFormat="1" x14ac:dyDescent="0.35"/>
    <row r="492" s="432" customFormat="1" x14ac:dyDescent="0.35"/>
    <row r="493" s="432" customFormat="1" x14ac:dyDescent="0.35"/>
    <row r="494" s="432" customFormat="1" x14ac:dyDescent="0.35"/>
    <row r="495" s="432" customFormat="1" x14ac:dyDescent="0.35"/>
    <row r="496" s="432" customFormat="1" x14ac:dyDescent="0.35"/>
    <row r="497" s="432" customFormat="1" x14ac:dyDescent="0.35"/>
    <row r="498" s="432" customFormat="1" x14ac:dyDescent="0.35"/>
    <row r="499" s="432" customFormat="1" x14ac:dyDescent="0.35"/>
    <row r="500" s="432" customFormat="1" x14ac:dyDescent="0.35"/>
    <row r="501" s="432" customFormat="1" x14ac:dyDescent="0.35"/>
    <row r="502" s="432" customFormat="1" x14ac:dyDescent="0.35"/>
    <row r="503" s="432" customFormat="1" x14ac:dyDescent="0.35"/>
    <row r="504" s="432" customFormat="1" x14ac:dyDescent="0.35"/>
    <row r="505" s="432" customFormat="1" x14ac:dyDescent="0.35"/>
    <row r="506" s="432" customFormat="1" x14ac:dyDescent="0.35"/>
    <row r="507" s="432" customFormat="1" x14ac:dyDescent="0.35"/>
    <row r="508" s="432" customFormat="1" x14ac:dyDescent="0.35"/>
    <row r="509" s="432" customFormat="1" x14ac:dyDescent="0.35"/>
    <row r="510" s="432" customFormat="1" x14ac:dyDescent="0.35"/>
    <row r="511" s="432" customFormat="1" x14ac:dyDescent="0.35"/>
    <row r="512" s="432" customFormat="1" x14ac:dyDescent="0.35"/>
    <row r="513" s="432" customFormat="1" x14ac:dyDescent="0.35"/>
    <row r="514" s="432" customFormat="1" x14ac:dyDescent="0.35"/>
    <row r="515" s="432" customFormat="1" x14ac:dyDescent="0.35"/>
    <row r="516" s="432" customFormat="1" x14ac:dyDescent="0.35"/>
    <row r="517" s="432" customFormat="1" x14ac:dyDescent="0.35"/>
    <row r="518" s="432" customFormat="1" x14ac:dyDescent="0.35"/>
    <row r="519" s="432" customFormat="1" x14ac:dyDescent="0.35"/>
    <row r="520" s="432" customFormat="1" x14ac:dyDescent="0.35"/>
    <row r="521" s="432" customFormat="1" x14ac:dyDescent="0.35"/>
    <row r="522" s="432" customFormat="1" x14ac:dyDescent="0.35"/>
    <row r="523" s="432" customFormat="1" x14ac:dyDescent="0.35"/>
    <row r="524" s="432" customFormat="1" x14ac:dyDescent="0.35"/>
    <row r="525" s="432" customFormat="1" x14ac:dyDescent="0.35"/>
    <row r="526" s="432" customFormat="1" x14ac:dyDescent="0.35"/>
    <row r="527" s="432" customFormat="1" x14ac:dyDescent="0.35"/>
    <row r="528" s="432" customFormat="1" x14ac:dyDescent="0.35"/>
    <row r="529" s="432" customFormat="1" x14ac:dyDescent="0.35"/>
    <row r="530" s="432" customFormat="1" x14ac:dyDescent="0.35"/>
    <row r="531" s="432" customFormat="1" x14ac:dyDescent="0.35"/>
    <row r="532" s="432" customFormat="1" x14ac:dyDescent="0.35"/>
    <row r="533" s="432" customFormat="1" x14ac:dyDescent="0.35"/>
    <row r="534" s="432" customFormat="1" x14ac:dyDescent="0.35"/>
    <row r="535" s="432" customFormat="1" x14ac:dyDescent="0.35"/>
    <row r="536" s="432" customFormat="1" x14ac:dyDescent="0.35"/>
    <row r="537" s="432" customFormat="1" x14ac:dyDescent="0.35"/>
    <row r="538" s="432" customFormat="1" x14ac:dyDescent="0.35"/>
    <row r="539" s="432" customFormat="1" x14ac:dyDescent="0.35"/>
    <row r="540" s="432" customFormat="1" x14ac:dyDescent="0.35"/>
    <row r="541" s="432" customFormat="1" x14ac:dyDescent="0.35"/>
    <row r="542" s="432" customFormat="1" x14ac:dyDescent="0.35"/>
    <row r="543" s="432" customFormat="1" x14ac:dyDescent="0.35"/>
    <row r="544" s="432" customFormat="1" x14ac:dyDescent="0.35"/>
    <row r="545" s="432" customFormat="1" x14ac:dyDescent="0.35"/>
    <row r="546" s="432" customFormat="1" x14ac:dyDescent="0.35"/>
  </sheetData>
  <sheetProtection algorithmName="SHA-512" hashValue="15noMtsp0jw2GLkWZtgYrTCF4Aha9xtTU+9RE8Ocl915/Sr2fo+yV1GaTTNF5X+0MVr0WPHqOFMV3TlkbaCcQw==" saltValue="tUV/SOT+jD30OovmlfAXfw=="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9" r:id="rId4" name="Spinner 43">
              <controlPr defaultSize="0" autoPict="0">
                <anchor moveWithCells="1" sizeWithCells="1">
                  <from>
                    <xdr:col>2</xdr:col>
                    <xdr:colOff>1689100</xdr:colOff>
                    <xdr:row>18</xdr:row>
                    <xdr:rowOff>50800</xdr:rowOff>
                  </from>
                  <to>
                    <xdr:col>2</xdr:col>
                    <xdr:colOff>2032000</xdr:colOff>
                    <xdr:row>18</xdr:row>
                    <xdr:rowOff>228600</xdr:rowOff>
                  </to>
                </anchor>
              </controlPr>
            </control>
          </mc:Choice>
        </mc:AlternateContent>
        <mc:AlternateContent xmlns:mc="http://schemas.openxmlformats.org/markup-compatibility/2006">
          <mc:Choice Requires="x14">
            <control shapeId="4143" r:id="rId5" name="Spinner 47">
              <controlPr defaultSize="0" autoPict="0">
                <anchor moveWithCells="1" sizeWithCells="1">
                  <from>
                    <xdr:col>2</xdr:col>
                    <xdr:colOff>1689100</xdr:colOff>
                    <xdr:row>26</xdr:row>
                    <xdr:rowOff>50800</xdr:rowOff>
                  </from>
                  <to>
                    <xdr:col>2</xdr:col>
                    <xdr:colOff>2032000</xdr:colOff>
                    <xdr:row>26</xdr:row>
                    <xdr:rowOff>228600</xdr:rowOff>
                  </to>
                </anchor>
              </controlPr>
            </control>
          </mc:Choice>
        </mc:AlternateContent>
        <mc:AlternateContent xmlns:mc="http://schemas.openxmlformats.org/markup-compatibility/2006">
          <mc:Choice Requires="x14">
            <control shapeId="4144" r:id="rId6" name="Spinner 48">
              <controlPr defaultSize="0" autoPict="0">
                <anchor moveWithCells="1" sizeWithCells="1">
                  <from>
                    <xdr:col>2</xdr:col>
                    <xdr:colOff>1689100</xdr:colOff>
                    <xdr:row>22</xdr:row>
                    <xdr:rowOff>57150</xdr:rowOff>
                  </from>
                  <to>
                    <xdr:col>2</xdr:col>
                    <xdr:colOff>2032000</xdr:colOff>
                    <xdr:row>22</xdr:row>
                    <xdr:rowOff>247650</xdr:rowOff>
                  </to>
                </anchor>
              </controlPr>
            </control>
          </mc:Choice>
        </mc:AlternateContent>
        <mc:AlternateContent xmlns:mc="http://schemas.openxmlformats.org/markup-compatibility/2006">
          <mc:Choice Requires="x14">
            <control shapeId="4145" r:id="rId7" name="Spinner 49">
              <controlPr defaultSize="0" autoPict="0">
                <anchor moveWithCells="1" sizeWithCells="1">
                  <from>
                    <xdr:col>2</xdr:col>
                    <xdr:colOff>1689100</xdr:colOff>
                    <xdr:row>28</xdr:row>
                    <xdr:rowOff>50800</xdr:rowOff>
                  </from>
                  <to>
                    <xdr:col>2</xdr:col>
                    <xdr:colOff>2032000</xdr:colOff>
                    <xdr:row>28</xdr:row>
                    <xdr:rowOff>228600</xdr:rowOff>
                  </to>
                </anchor>
              </controlPr>
            </control>
          </mc:Choice>
        </mc:AlternateContent>
        <mc:AlternateContent xmlns:mc="http://schemas.openxmlformats.org/markup-compatibility/2006">
          <mc:Choice Requires="x14">
            <control shapeId="4147" r:id="rId8" name="Spinner 51">
              <controlPr defaultSize="0" autoPict="0">
                <anchor moveWithCells="1" sizeWithCells="1">
                  <from>
                    <xdr:col>2</xdr:col>
                    <xdr:colOff>1689100</xdr:colOff>
                    <xdr:row>32</xdr:row>
                    <xdr:rowOff>50800</xdr:rowOff>
                  </from>
                  <to>
                    <xdr:col>2</xdr:col>
                    <xdr:colOff>2032000</xdr:colOff>
                    <xdr:row>32</xdr:row>
                    <xdr:rowOff>228600</xdr:rowOff>
                  </to>
                </anchor>
              </controlPr>
            </control>
          </mc:Choice>
        </mc:AlternateContent>
        <mc:AlternateContent xmlns:mc="http://schemas.openxmlformats.org/markup-compatibility/2006">
          <mc:Choice Requires="x14">
            <control shapeId="4148" r:id="rId9" name="Spinner 52">
              <controlPr defaultSize="0" autoPict="0">
                <anchor moveWithCells="1" sizeWithCells="1">
                  <from>
                    <xdr:col>2</xdr:col>
                    <xdr:colOff>1689100</xdr:colOff>
                    <xdr:row>30</xdr:row>
                    <xdr:rowOff>50800</xdr:rowOff>
                  </from>
                  <to>
                    <xdr:col>2</xdr:col>
                    <xdr:colOff>2032000</xdr:colOff>
                    <xdr:row>30</xdr:row>
                    <xdr:rowOff>228600</xdr:rowOff>
                  </to>
                </anchor>
              </controlPr>
            </control>
          </mc:Choice>
        </mc:AlternateContent>
        <mc:AlternateContent xmlns:mc="http://schemas.openxmlformats.org/markup-compatibility/2006">
          <mc:Choice Requires="x14">
            <control shapeId="4149" r:id="rId10" name="Spinner 53">
              <controlPr defaultSize="0" autoPict="0">
                <anchor moveWithCells="1" sizeWithCells="1">
                  <from>
                    <xdr:col>2</xdr:col>
                    <xdr:colOff>1689100</xdr:colOff>
                    <xdr:row>34</xdr:row>
                    <xdr:rowOff>50800</xdr:rowOff>
                  </from>
                  <to>
                    <xdr:col>2</xdr:col>
                    <xdr:colOff>2032000</xdr:colOff>
                    <xdr:row>34</xdr:row>
                    <xdr:rowOff>228600</xdr:rowOff>
                  </to>
                </anchor>
              </controlPr>
            </control>
          </mc:Choice>
        </mc:AlternateContent>
        <mc:AlternateContent xmlns:mc="http://schemas.openxmlformats.org/markup-compatibility/2006">
          <mc:Choice Requires="x14">
            <control shapeId="4152" r:id="rId11" name="Spinner 56">
              <controlPr defaultSize="0" autoPict="0">
                <anchor moveWithCells="1" sizeWithCells="1">
                  <from>
                    <xdr:col>2</xdr:col>
                    <xdr:colOff>1689100</xdr:colOff>
                    <xdr:row>38</xdr:row>
                    <xdr:rowOff>50800</xdr:rowOff>
                  </from>
                  <to>
                    <xdr:col>2</xdr:col>
                    <xdr:colOff>2032000</xdr:colOff>
                    <xdr:row>38</xdr:row>
                    <xdr:rowOff>228600</xdr:rowOff>
                  </to>
                </anchor>
              </controlPr>
            </control>
          </mc:Choice>
        </mc:AlternateContent>
        <mc:AlternateContent xmlns:mc="http://schemas.openxmlformats.org/markup-compatibility/2006">
          <mc:Choice Requires="x14">
            <control shapeId="4166" r:id="rId12" name="Spinner 70">
              <controlPr defaultSize="0" autoPict="0">
                <anchor moveWithCells="1" sizeWithCells="1">
                  <from>
                    <xdr:col>2</xdr:col>
                    <xdr:colOff>1689100</xdr:colOff>
                    <xdr:row>36</xdr:row>
                    <xdr:rowOff>50800</xdr:rowOff>
                  </from>
                  <to>
                    <xdr:col>2</xdr:col>
                    <xdr:colOff>2032000</xdr:colOff>
                    <xdr:row>36</xdr:row>
                    <xdr:rowOff>228600</xdr:rowOff>
                  </to>
                </anchor>
              </controlPr>
            </control>
          </mc:Choice>
        </mc:AlternateContent>
        <mc:AlternateContent xmlns:mc="http://schemas.openxmlformats.org/markup-compatibility/2006">
          <mc:Choice Requires="x14">
            <control shapeId="4173" r:id="rId13" name="Spinner 77">
              <controlPr defaultSize="0" autoPict="0">
                <anchor moveWithCells="1" sizeWithCells="1">
                  <from>
                    <xdr:col>2</xdr:col>
                    <xdr:colOff>1689100</xdr:colOff>
                    <xdr:row>20</xdr:row>
                    <xdr:rowOff>57150</xdr:rowOff>
                  </from>
                  <to>
                    <xdr:col>2</xdr:col>
                    <xdr:colOff>2032000</xdr:colOff>
                    <xdr:row>20</xdr:row>
                    <xdr:rowOff>228600</xdr:rowOff>
                  </to>
                </anchor>
              </controlPr>
            </control>
          </mc:Choice>
        </mc:AlternateContent>
        <mc:AlternateContent xmlns:mc="http://schemas.openxmlformats.org/markup-compatibility/2006">
          <mc:Choice Requires="x14">
            <control shapeId="4174" r:id="rId14" name="Spinner 78">
              <controlPr defaultSize="0" autoPict="0">
                <anchor moveWithCells="1" sizeWithCells="1">
                  <from>
                    <xdr:col>2</xdr:col>
                    <xdr:colOff>1695450</xdr:colOff>
                    <xdr:row>24</xdr:row>
                    <xdr:rowOff>50800</xdr:rowOff>
                  </from>
                  <to>
                    <xdr:col>2</xdr:col>
                    <xdr:colOff>2038350</xdr:colOff>
                    <xdr:row>24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P557"/>
  <sheetViews>
    <sheetView zoomScaleNormal="100" workbookViewId="0"/>
  </sheetViews>
  <sheetFormatPr defaultColWidth="16.7265625" defaultRowHeight="14.5" x14ac:dyDescent="0.35"/>
  <cols>
    <col min="1" max="1" width="3.26953125" style="432" customWidth="1"/>
    <col min="2" max="2" width="82.81640625" style="432" customWidth="1"/>
    <col min="3" max="3" width="31.1796875" style="432" customWidth="1"/>
    <col min="4" max="4" width="46" style="432" customWidth="1"/>
    <col min="5" max="16384" width="16.7265625" style="432"/>
  </cols>
  <sheetData>
    <row r="1" spans="1:94" s="18" customFormat="1" x14ac:dyDescent="0.35">
      <c r="A1" s="17"/>
      <c r="I1" s="17"/>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row>
    <row r="2" spans="1:94" s="18" customFormat="1" x14ac:dyDescent="0.35">
      <c r="A2" s="17"/>
      <c r="I2" s="17"/>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row>
    <row r="3" spans="1:94" s="18" customFormat="1" x14ac:dyDescent="0.35">
      <c r="A3" s="17"/>
      <c r="I3" s="17"/>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432"/>
      <c r="BR3" s="432"/>
      <c r="BS3" s="432"/>
      <c r="BT3" s="432"/>
      <c r="BU3" s="432"/>
      <c r="BV3" s="432"/>
      <c r="BW3" s="432"/>
      <c r="BX3" s="432"/>
      <c r="BY3" s="432"/>
      <c r="BZ3" s="432"/>
      <c r="CA3" s="432"/>
      <c r="CB3" s="432"/>
      <c r="CC3" s="432"/>
      <c r="CD3" s="432"/>
      <c r="CE3" s="432"/>
      <c r="CF3" s="432"/>
      <c r="CG3" s="432"/>
      <c r="CH3" s="432"/>
      <c r="CI3" s="432"/>
      <c r="CJ3" s="432"/>
      <c r="CK3" s="432"/>
      <c r="CL3" s="432"/>
      <c r="CM3" s="432"/>
      <c r="CN3" s="432"/>
      <c r="CO3" s="432"/>
      <c r="CP3" s="432"/>
    </row>
    <row r="4" spans="1:94" s="18" customFormat="1" x14ac:dyDescent="0.35">
      <c r="A4" s="17"/>
      <c r="I4" s="17"/>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row>
    <row r="5" spans="1:94" s="18" customFormat="1" x14ac:dyDescent="0.35">
      <c r="A5" s="17"/>
      <c r="I5" s="17"/>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row>
    <row r="6" spans="1:94" s="18" customFormat="1" x14ac:dyDescent="0.35">
      <c r="A6" s="17"/>
      <c r="I6" s="17"/>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row>
    <row r="7" spans="1:94" s="18" customFormat="1" x14ac:dyDescent="0.35">
      <c r="A7" s="17"/>
      <c r="I7" s="17"/>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row>
    <row r="8" spans="1:94" s="18" customFormat="1" x14ac:dyDescent="0.35">
      <c r="A8" s="17"/>
      <c r="I8" s="17"/>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row>
    <row r="9" spans="1:94" s="18" customFormat="1" ht="20.149999999999999" customHeight="1" x14ac:dyDescent="0.35">
      <c r="A9" s="17"/>
      <c r="B9" s="511" t="s">
        <v>946</v>
      </c>
      <c r="C9" s="510"/>
      <c r="I9" s="17"/>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row>
    <row r="10" spans="1:94" s="18" customFormat="1" ht="20.149999999999999" customHeight="1" x14ac:dyDescent="0.35">
      <c r="A10" s="432"/>
      <c r="B10" s="171" t="s">
        <v>698</v>
      </c>
      <c r="C10" s="140">
        <f>'Baseline farm'!D19</f>
        <v>0</v>
      </c>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row>
    <row r="11" spans="1:94" s="18" customFormat="1" ht="20.149999999999999" customHeight="1" x14ac:dyDescent="0.35">
      <c r="A11" s="17"/>
      <c r="B11" s="171" t="s">
        <v>427</v>
      </c>
      <c r="C11" s="140">
        <f>'Baseline farm'!D21</f>
        <v>0</v>
      </c>
      <c r="I11" s="17"/>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row>
    <row r="12" spans="1:94" s="18" customFormat="1" ht="20.149999999999999" hidden="1" customHeight="1" x14ac:dyDescent="0.35">
      <c r="A12" s="17"/>
      <c r="B12" s="171" t="s">
        <v>15</v>
      </c>
      <c r="C12" s="8">
        <v>0</v>
      </c>
      <c r="I12" s="17"/>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row>
    <row r="13" spans="1:94" s="18" customFormat="1" ht="20.149999999999999" customHeight="1" x14ac:dyDescent="0.35">
      <c r="A13" s="17"/>
      <c r="B13" s="171" t="s">
        <v>458</v>
      </c>
      <c r="C13" s="8" t="e">
        <f>'Baseline farm'!H35</f>
        <v>#DIV/0!</v>
      </c>
      <c r="I13" s="17"/>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row>
    <row r="14" spans="1:94" s="18" customFormat="1" ht="20.149999999999999" customHeight="1" x14ac:dyDescent="0.35">
      <c r="A14" s="17"/>
      <c r="B14" s="171" t="s">
        <v>476</v>
      </c>
      <c r="C14" s="7">
        <f>'Baseline farm'!D35</f>
        <v>0</v>
      </c>
      <c r="I14" s="17"/>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row>
    <row r="15" spans="1:94" s="18" customFormat="1" ht="20.149999999999999" customHeight="1" x14ac:dyDescent="0.35">
      <c r="A15" s="17"/>
      <c r="B15" s="268" t="s">
        <v>468</v>
      </c>
      <c r="C15" s="145" t="e">
        <f>'Baseline farm'!F44</f>
        <v>#DIV/0!</v>
      </c>
      <c r="I15" s="17"/>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row>
    <row r="16" spans="1:94" s="18" customFormat="1" ht="20.149999999999999" customHeight="1" x14ac:dyDescent="0.35">
      <c r="A16" s="17"/>
      <c r="B16" s="269" t="s">
        <v>469</v>
      </c>
      <c r="C16" s="115" t="e">
        <f>'Baseline farm'!H44</f>
        <v>#DIV/0!</v>
      </c>
      <c r="I16" s="17"/>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row>
    <row r="17" spans="1:94" s="18" customFormat="1" ht="20.149999999999999" customHeight="1" x14ac:dyDescent="0.35">
      <c r="A17" s="17"/>
      <c r="B17" s="512" t="s">
        <v>947</v>
      </c>
      <c r="C17" s="275"/>
      <c r="I17" s="17"/>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row>
    <row r="18" spans="1:94" s="18" customFormat="1" ht="20.149999999999999" customHeight="1" x14ac:dyDescent="0.35">
      <c r="A18" s="17"/>
      <c r="B18" s="270" t="s">
        <v>71</v>
      </c>
      <c r="C18" s="661">
        <f>C65/10</f>
        <v>78</v>
      </c>
      <c r="I18" s="17"/>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c r="CG18" s="432"/>
      <c r="CH18" s="432"/>
      <c r="CI18" s="432"/>
      <c r="CJ18" s="432"/>
      <c r="CK18" s="432"/>
      <c r="CL18" s="432"/>
      <c r="CM18" s="432"/>
      <c r="CN18" s="432"/>
      <c r="CO18" s="432"/>
      <c r="CP18" s="432"/>
    </row>
    <row r="19" spans="1:94" s="18" customFormat="1" ht="5.15" customHeight="1" x14ac:dyDescent="0.35">
      <c r="A19" s="17"/>
      <c r="B19" s="270"/>
      <c r="C19" s="305"/>
      <c r="I19" s="17"/>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c r="BV19" s="432"/>
      <c r="BW19" s="432"/>
      <c r="BX19" s="432"/>
      <c r="BY19" s="432"/>
      <c r="BZ19" s="432"/>
      <c r="CA19" s="432"/>
      <c r="CB19" s="432"/>
      <c r="CC19" s="432"/>
      <c r="CD19" s="432"/>
      <c r="CE19" s="432"/>
      <c r="CF19" s="432"/>
      <c r="CG19" s="432"/>
      <c r="CH19" s="432"/>
      <c r="CI19" s="432"/>
      <c r="CJ19" s="432"/>
      <c r="CK19" s="432"/>
      <c r="CL19" s="432"/>
      <c r="CM19" s="432"/>
      <c r="CN19" s="432"/>
      <c r="CO19" s="432"/>
      <c r="CP19" s="432"/>
    </row>
    <row r="20" spans="1:94" s="18" customFormat="1" ht="20.149999999999999" customHeight="1" x14ac:dyDescent="0.35">
      <c r="A20" s="17"/>
      <c r="B20" s="270" t="s">
        <v>473</v>
      </c>
      <c r="C20" s="661">
        <f>C66/10</f>
        <v>17</v>
      </c>
      <c r="I20" s="17"/>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c r="BV20" s="432"/>
      <c r="BW20" s="432"/>
      <c r="BX20" s="432"/>
      <c r="BY20" s="432"/>
      <c r="BZ20" s="432"/>
      <c r="CA20" s="432"/>
      <c r="CB20" s="432"/>
      <c r="CC20" s="432"/>
      <c r="CD20" s="432"/>
      <c r="CE20" s="432"/>
      <c r="CF20" s="432"/>
      <c r="CG20" s="432"/>
      <c r="CH20" s="432"/>
      <c r="CI20" s="432"/>
      <c r="CJ20" s="432"/>
      <c r="CK20" s="432"/>
      <c r="CL20" s="432"/>
      <c r="CM20" s="432"/>
      <c r="CN20" s="432"/>
      <c r="CO20" s="432"/>
      <c r="CP20" s="432"/>
    </row>
    <row r="21" spans="1:94" s="18" customFormat="1" ht="5.15" customHeight="1" x14ac:dyDescent="0.35">
      <c r="A21" s="17"/>
      <c r="B21" s="270"/>
      <c r="C21" s="304"/>
      <c r="I21" s="17"/>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c r="CB21" s="432"/>
      <c r="CC21" s="432"/>
      <c r="CD21" s="432"/>
      <c r="CE21" s="432"/>
      <c r="CF21" s="432"/>
      <c r="CG21" s="432"/>
      <c r="CH21" s="432"/>
      <c r="CI21" s="432"/>
      <c r="CJ21" s="432"/>
      <c r="CK21" s="432"/>
      <c r="CL21" s="432"/>
      <c r="CM21" s="432"/>
      <c r="CN21" s="432"/>
      <c r="CO21" s="432"/>
      <c r="CP21" s="432"/>
    </row>
    <row r="22" spans="1:94" s="18" customFormat="1" ht="20.149999999999999" customHeight="1" x14ac:dyDescent="0.35">
      <c r="A22" s="17"/>
      <c r="B22" s="270" t="s">
        <v>990</v>
      </c>
      <c r="C22" s="663">
        <f>C67/1</f>
        <v>365</v>
      </c>
      <c r="I22" s="17"/>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c r="CK22" s="432"/>
      <c r="CL22" s="432"/>
      <c r="CM22" s="432"/>
      <c r="CN22" s="432"/>
      <c r="CO22" s="432"/>
      <c r="CP22" s="432"/>
    </row>
    <row r="23" spans="1:94" s="18" customFormat="1" ht="4.5" customHeight="1" x14ac:dyDescent="0.35">
      <c r="A23" s="17"/>
      <c r="B23" s="270"/>
      <c r="C23" s="304"/>
      <c r="I23" s="17"/>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432"/>
      <c r="AY23" s="432"/>
      <c r="AZ23" s="432"/>
      <c r="BA23" s="432"/>
      <c r="BB23" s="432"/>
      <c r="BC23" s="432"/>
      <c r="BD23" s="432"/>
      <c r="BE23" s="432"/>
      <c r="BF23" s="432"/>
      <c r="BG23" s="432"/>
      <c r="BH23" s="432"/>
      <c r="BI23" s="432"/>
      <c r="BJ23" s="432"/>
      <c r="BK23" s="432"/>
      <c r="BL23" s="432"/>
      <c r="BM23" s="432"/>
      <c r="BN23" s="432"/>
      <c r="BO23" s="432"/>
      <c r="BP23" s="432"/>
      <c r="BQ23" s="432"/>
      <c r="BR23" s="432"/>
      <c r="BS23" s="432"/>
      <c r="BT23" s="432"/>
      <c r="BU23" s="432"/>
      <c r="BV23" s="432"/>
      <c r="BW23" s="432"/>
      <c r="BX23" s="432"/>
      <c r="BY23" s="432"/>
      <c r="BZ23" s="432"/>
      <c r="CA23" s="432"/>
      <c r="CB23" s="432"/>
      <c r="CC23" s="432"/>
      <c r="CD23" s="432"/>
      <c r="CE23" s="432"/>
      <c r="CF23" s="432"/>
      <c r="CG23" s="432"/>
      <c r="CH23" s="432"/>
      <c r="CI23" s="432"/>
      <c r="CJ23" s="432"/>
      <c r="CK23" s="432"/>
      <c r="CL23" s="432"/>
      <c r="CM23" s="432"/>
      <c r="CN23" s="432"/>
      <c r="CO23" s="432"/>
      <c r="CP23" s="432"/>
    </row>
    <row r="24" spans="1:94" s="18" customFormat="1" ht="20.149999999999999" customHeight="1" x14ac:dyDescent="0.35">
      <c r="A24" s="17"/>
      <c r="B24" s="172" t="s">
        <v>1981</v>
      </c>
      <c r="C24" s="668">
        <f>C68/1</f>
        <v>5000</v>
      </c>
      <c r="I24" s="17"/>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c r="CB24" s="432"/>
      <c r="CC24" s="432"/>
      <c r="CD24" s="432"/>
      <c r="CE24" s="432"/>
      <c r="CF24" s="432"/>
      <c r="CG24" s="432"/>
      <c r="CH24" s="432"/>
      <c r="CI24" s="432"/>
      <c r="CJ24" s="432"/>
      <c r="CK24" s="432"/>
      <c r="CL24" s="432"/>
      <c r="CM24" s="432"/>
      <c r="CN24" s="432"/>
      <c r="CO24" s="432"/>
      <c r="CP24" s="432"/>
    </row>
    <row r="25" spans="1:94" s="18" customFormat="1" ht="5.15" customHeight="1" x14ac:dyDescent="0.35">
      <c r="A25" s="17"/>
      <c r="B25" s="172"/>
      <c r="C25" s="310"/>
      <c r="I25" s="17"/>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2"/>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c r="BX25" s="432"/>
      <c r="BY25" s="432"/>
      <c r="BZ25" s="432"/>
      <c r="CA25" s="432"/>
      <c r="CB25" s="432"/>
      <c r="CC25" s="432"/>
      <c r="CD25" s="432"/>
      <c r="CE25" s="432"/>
      <c r="CF25" s="432"/>
      <c r="CG25" s="432"/>
      <c r="CH25" s="432"/>
      <c r="CI25" s="432"/>
      <c r="CJ25" s="432"/>
      <c r="CK25" s="432"/>
      <c r="CL25" s="432"/>
      <c r="CM25" s="432"/>
      <c r="CN25" s="432"/>
      <c r="CO25" s="432"/>
      <c r="CP25" s="432"/>
    </row>
    <row r="26" spans="1:94" s="18" customFormat="1" ht="20.149999999999999" customHeight="1" x14ac:dyDescent="0.35">
      <c r="A26" s="17"/>
      <c r="B26" s="172" t="s">
        <v>117</v>
      </c>
      <c r="C26" s="669">
        <f>C69/1000</f>
        <v>0.6</v>
      </c>
      <c r="I26" s="17"/>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c r="CB26" s="432"/>
      <c r="CC26" s="432"/>
      <c r="CD26" s="432"/>
      <c r="CE26" s="432"/>
      <c r="CF26" s="432"/>
      <c r="CG26" s="432"/>
      <c r="CH26" s="432"/>
      <c r="CI26" s="432"/>
      <c r="CJ26" s="432"/>
      <c r="CK26" s="432"/>
      <c r="CL26" s="432"/>
      <c r="CM26" s="432"/>
      <c r="CN26" s="432"/>
      <c r="CO26" s="432"/>
      <c r="CP26" s="432"/>
    </row>
    <row r="27" spans="1:94" s="18" customFormat="1" ht="5.15" customHeight="1" x14ac:dyDescent="0.35">
      <c r="A27" s="17"/>
      <c r="B27" s="172"/>
      <c r="C27" s="310"/>
      <c r="I27" s="17"/>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c r="CK27" s="432"/>
      <c r="CL27" s="432"/>
      <c r="CM27" s="432"/>
      <c r="CN27" s="432"/>
      <c r="CO27" s="432"/>
      <c r="CP27" s="432"/>
    </row>
    <row r="28" spans="1:94" s="18" customFormat="1" ht="20.149999999999999" customHeight="1" x14ac:dyDescent="0.35">
      <c r="A28" s="17"/>
      <c r="B28" s="172" t="s">
        <v>973</v>
      </c>
      <c r="C28" s="667">
        <f>C70/1000</f>
        <v>0.6</v>
      </c>
      <c r="I28" s="17"/>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c r="CK28" s="432"/>
      <c r="CL28" s="432"/>
      <c r="CM28" s="432"/>
      <c r="CN28" s="432"/>
      <c r="CO28" s="432"/>
      <c r="CP28" s="432"/>
    </row>
    <row r="29" spans="1:94" s="18" customFormat="1" ht="5.15" customHeight="1" x14ac:dyDescent="0.35">
      <c r="A29" s="17"/>
      <c r="B29" s="172"/>
      <c r="C29" s="173"/>
      <c r="I29" s="17"/>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row>
    <row r="30" spans="1:94" s="18" customFormat="1" ht="20.149999999999999" customHeight="1" x14ac:dyDescent="0.35">
      <c r="A30" s="17"/>
      <c r="B30" s="172" t="s">
        <v>70</v>
      </c>
      <c r="C30" s="659">
        <f>C71/100</f>
        <v>30</v>
      </c>
      <c r="I30" s="17"/>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32"/>
      <c r="AU30" s="432"/>
      <c r="AV30" s="432"/>
      <c r="AW30" s="432"/>
      <c r="AX30" s="432"/>
      <c r="AY30" s="432"/>
      <c r="AZ30" s="432"/>
      <c r="BA30" s="432"/>
      <c r="BB30" s="432"/>
      <c r="BC30" s="432"/>
      <c r="BD30" s="432"/>
      <c r="BE30" s="432"/>
      <c r="BF30" s="432"/>
      <c r="BG30" s="432"/>
      <c r="BH30" s="432"/>
      <c r="BI30" s="432"/>
      <c r="BJ30" s="432"/>
      <c r="BK30" s="432"/>
      <c r="BL30" s="432"/>
      <c r="BM30" s="432"/>
      <c r="BN30" s="432"/>
      <c r="BO30" s="432"/>
      <c r="BP30" s="432"/>
      <c r="BQ30" s="432"/>
      <c r="BR30" s="432"/>
      <c r="BS30" s="432"/>
      <c r="BT30" s="432"/>
      <c r="BU30" s="432"/>
      <c r="BV30" s="432"/>
      <c r="BW30" s="432"/>
      <c r="BX30" s="432"/>
      <c r="BY30" s="432"/>
      <c r="BZ30" s="432"/>
      <c r="CA30" s="432"/>
      <c r="CB30" s="432"/>
      <c r="CC30" s="432"/>
      <c r="CD30" s="432"/>
      <c r="CE30" s="432"/>
      <c r="CF30" s="432"/>
      <c r="CG30" s="432"/>
      <c r="CH30" s="432"/>
      <c r="CI30" s="432"/>
      <c r="CJ30" s="432"/>
      <c r="CK30" s="432"/>
      <c r="CL30" s="432"/>
      <c r="CM30" s="432"/>
      <c r="CN30" s="432"/>
      <c r="CO30" s="432"/>
      <c r="CP30" s="432"/>
    </row>
    <row r="31" spans="1:94" s="18" customFormat="1" ht="5.15" customHeight="1" x14ac:dyDescent="0.35">
      <c r="A31" s="17"/>
      <c r="B31" s="274"/>
      <c r="C31" s="276"/>
      <c r="I31" s="17"/>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c r="CB31" s="432"/>
      <c r="CC31" s="432"/>
      <c r="CD31" s="432"/>
      <c r="CE31" s="432"/>
      <c r="CF31" s="432"/>
      <c r="CG31" s="432"/>
      <c r="CH31" s="432"/>
      <c r="CI31" s="432"/>
      <c r="CJ31" s="432"/>
      <c r="CK31" s="432"/>
      <c r="CL31" s="432"/>
      <c r="CM31" s="432"/>
      <c r="CN31" s="432"/>
      <c r="CO31" s="432"/>
      <c r="CP31" s="432"/>
    </row>
    <row r="32" spans="1:94" s="18" customFormat="1" ht="20.149999999999999" hidden="1" customHeight="1" x14ac:dyDescent="0.35">
      <c r="A32" s="17"/>
      <c r="B32" s="277" t="s">
        <v>72</v>
      </c>
      <c r="C32" s="146" t="e">
        <f>D215</f>
        <v>#DIV/0!</v>
      </c>
      <c r="I32" s="17"/>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2"/>
      <c r="AY32" s="432"/>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432"/>
      <c r="CB32" s="432"/>
      <c r="CC32" s="432"/>
      <c r="CD32" s="432"/>
      <c r="CE32" s="432"/>
      <c r="CF32" s="432"/>
      <c r="CG32" s="432"/>
      <c r="CH32" s="432"/>
      <c r="CI32" s="432"/>
      <c r="CJ32" s="432"/>
      <c r="CK32" s="432"/>
      <c r="CL32" s="432"/>
      <c r="CM32" s="432"/>
      <c r="CN32" s="432"/>
      <c r="CO32" s="432"/>
      <c r="CP32" s="432"/>
    </row>
    <row r="33" spans="1:94" s="18" customFormat="1" ht="5.15" hidden="1" customHeight="1" x14ac:dyDescent="0.35">
      <c r="A33" s="17"/>
      <c r="B33" s="277"/>
      <c r="C33" s="146"/>
      <c r="I33" s="17"/>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c r="BV33" s="432"/>
      <c r="BW33" s="432"/>
      <c r="BX33" s="432"/>
      <c r="BY33" s="432"/>
      <c r="BZ33" s="432"/>
      <c r="CA33" s="432"/>
      <c r="CB33" s="432"/>
      <c r="CC33" s="432"/>
      <c r="CD33" s="432"/>
      <c r="CE33" s="432"/>
      <c r="CF33" s="432"/>
      <c r="CG33" s="432"/>
      <c r="CH33" s="432"/>
      <c r="CI33" s="432"/>
      <c r="CJ33" s="432"/>
      <c r="CK33" s="432"/>
      <c r="CL33" s="432"/>
      <c r="CM33" s="432"/>
      <c r="CN33" s="432"/>
      <c r="CO33" s="432"/>
      <c r="CP33" s="432"/>
    </row>
    <row r="34" spans="1:94" s="18" customFormat="1" ht="20.149999999999999" customHeight="1" x14ac:dyDescent="0.35">
      <c r="A34" s="17"/>
      <c r="B34" s="513" t="s">
        <v>948</v>
      </c>
      <c r="C34" s="514"/>
      <c r="I34" s="17"/>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c r="BD34" s="432"/>
      <c r="BE34" s="432"/>
      <c r="BF34" s="432"/>
      <c r="BG34" s="432"/>
      <c r="BH34" s="432"/>
      <c r="BI34" s="432"/>
      <c r="BJ34" s="432"/>
      <c r="BK34" s="432"/>
      <c r="BL34" s="432"/>
      <c r="BM34" s="432"/>
      <c r="BN34" s="432"/>
      <c r="BO34" s="432"/>
      <c r="BP34" s="432"/>
      <c r="BQ34" s="432"/>
      <c r="BR34" s="432"/>
      <c r="BS34" s="432"/>
      <c r="BT34" s="432"/>
      <c r="BU34" s="432"/>
      <c r="BV34" s="432"/>
      <c r="BW34" s="432"/>
      <c r="BX34" s="432"/>
      <c r="BY34" s="432"/>
      <c r="BZ34" s="432"/>
      <c r="CA34" s="432"/>
      <c r="CB34" s="432"/>
      <c r="CC34" s="432"/>
      <c r="CD34" s="432"/>
      <c r="CE34" s="432"/>
      <c r="CF34" s="432"/>
      <c r="CG34" s="432"/>
      <c r="CH34" s="432"/>
      <c r="CI34" s="432"/>
      <c r="CJ34" s="432"/>
      <c r="CK34" s="432"/>
      <c r="CL34" s="432"/>
      <c r="CM34" s="432"/>
      <c r="CN34" s="432"/>
      <c r="CO34" s="432"/>
      <c r="CP34" s="432"/>
    </row>
    <row r="35" spans="1:94" s="18" customFormat="1" ht="20.149999999999999" customHeight="1" x14ac:dyDescent="0.35">
      <c r="A35" s="432"/>
      <c r="B35" s="277" t="s">
        <v>73</v>
      </c>
      <c r="C35" s="146" t="e">
        <f>C100-C99</f>
        <v>#DIV/0!</v>
      </c>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2"/>
      <c r="CN35" s="432"/>
      <c r="CO35" s="432"/>
      <c r="CP35" s="432"/>
    </row>
    <row r="36" spans="1:94" s="18" customFormat="1" ht="20.149999999999999" customHeight="1" x14ac:dyDescent="0.35">
      <c r="A36" s="17"/>
      <c r="B36" s="174" t="s">
        <v>747</v>
      </c>
      <c r="C36" s="10" t="e">
        <f>C102*C22*C10</f>
        <v>#DIV/0!</v>
      </c>
      <c r="I36" s="17"/>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c r="BD36" s="432"/>
      <c r="BE36" s="432"/>
      <c r="BF36" s="432"/>
      <c r="BG36" s="432"/>
      <c r="BH36" s="432"/>
      <c r="BI36" s="432"/>
      <c r="BJ36" s="432"/>
      <c r="BK36" s="432"/>
      <c r="BL36" s="432"/>
      <c r="BM36" s="432"/>
      <c r="BN36" s="432"/>
      <c r="BO36" s="432"/>
      <c r="BP36" s="432"/>
      <c r="BQ36" s="432"/>
      <c r="BR36" s="432"/>
      <c r="BS36" s="432"/>
      <c r="BT36" s="432"/>
      <c r="BU36" s="432"/>
      <c r="BV36" s="432"/>
      <c r="BW36" s="432"/>
      <c r="BX36" s="432"/>
      <c r="BY36" s="432"/>
      <c r="BZ36" s="432"/>
      <c r="CA36" s="432"/>
      <c r="CB36" s="432"/>
      <c r="CC36" s="432"/>
      <c r="CD36" s="432"/>
      <c r="CE36" s="432"/>
      <c r="CF36" s="432"/>
      <c r="CG36" s="432"/>
      <c r="CH36" s="432"/>
      <c r="CI36" s="432"/>
      <c r="CJ36" s="432"/>
      <c r="CK36" s="432"/>
      <c r="CL36" s="432"/>
      <c r="CM36" s="432"/>
      <c r="CN36" s="432"/>
      <c r="CO36" s="432"/>
      <c r="CP36" s="432"/>
    </row>
    <row r="37" spans="1:94" s="18" customFormat="1" ht="20.149999999999999" customHeight="1" x14ac:dyDescent="0.35">
      <c r="A37" s="17"/>
      <c r="B37" s="175" t="s">
        <v>949</v>
      </c>
      <c r="C37" s="11"/>
      <c r="I37" s="17"/>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c r="BV37" s="432"/>
      <c r="BW37" s="432"/>
      <c r="BX37" s="432"/>
      <c r="BY37" s="432"/>
      <c r="BZ37" s="432"/>
      <c r="CA37" s="432"/>
      <c r="CB37" s="432"/>
      <c r="CC37" s="432"/>
      <c r="CD37" s="432"/>
      <c r="CE37" s="432"/>
      <c r="CF37" s="432"/>
      <c r="CG37" s="432"/>
      <c r="CH37" s="432"/>
      <c r="CI37" s="432"/>
      <c r="CJ37" s="432"/>
      <c r="CK37" s="432"/>
      <c r="CL37" s="432"/>
      <c r="CM37" s="432"/>
      <c r="CN37" s="432"/>
      <c r="CO37" s="432"/>
      <c r="CP37" s="432"/>
    </row>
    <row r="38" spans="1:94" s="18" customFormat="1" ht="20.149999999999999" customHeight="1" x14ac:dyDescent="0.35">
      <c r="A38" s="17"/>
      <c r="B38" s="409" t="s">
        <v>82</v>
      </c>
      <c r="C38" s="414" t="e">
        <f>D488</f>
        <v>#DIV/0!</v>
      </c>
      <c r="I38" s="17"/>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c r="BO38" s="432"/>
      <c r="BP38" s="432"/>
      <c r="BQ38" s="432"/>
      <c r="BR38" s="432"/>
      <c r="BS38" s="432"/>
      <c r="BT38" s="432"/>
      <c r="BU38" s="432"/>
      <c r="BV38" s="432"/>
      <c r="BW38" s="432"/>
      <c r="BX38" s="432"/>
      <c r="BY38" s="432"/>
      <c r="BZ38" s="432"/>
      <c r="CA38" s="432"/>
      <c r="CB38" s="432"/>
      <c r="CC38" s="432"/>
      <c r="CD38" s="432"/>
      <c r="CE38" s="432"/>
      <c r="CF38" s="432"/>
      <c r="CG38" s="432"/>
      <c r="CH38" s="432"/>
      <c r="CI38" s="432"/>
      <c r="CJ38" s="432"/>
      <c r="CK38" s="432"/>
      <c r="CL38" s="432"/>
      <c r="CM38" s="432"/>
      <c r="CN38" s="432"/>
      <c r="CO38" s="432"/>
      <c r="CP38" s="432"/>
    </row>
    <row r="39" spans="1:94" s="18" customFormat="1" ht="20.149999999999999" customHeight="1" x14ac:dyDescent="0.35">
      <c r="A39" s="17"/>
      <c r="B39" s="409" t="s">
        <v>456</v>
      </c>
      <c r="C39" s="414" t="e">
        <f>D489</f>
        <v>#DIV/0!</v>
      </c>
      <c r="I39" s="17"/>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c r="BO39" s="432"/>
      <c r="BP39" s="432"/>
      <c r="BQ39" s="432"/>
      <c r="BR39" s="432"/>
      <c r="BS39" s="432"/>
      <c r="BT39" s="432"/>
      <c r="BU39" s="432"/>
      <c r="BV39" s="432"/>
      <c r="BW39" s="432"/>
      <c r="BX39" s="432"/>
      <c r="BY39" s="432"/>
      <c r="BZ39" s="432"/>
      <c r="CA39" s="432"/>
      <c r="CB39" s="432"/>
      <c r="CC39" s="432"/>
      <c r="CD39" s="432"/>
      <c r="CE39" s="432"/>
      <c r="CF39" s="432"/>
      <c r="CG39" s="432"/>
      <c r="CH39" s="432"/>
      <c r="CI39" s="432"/>
      <c r="CJ39" s="432"/>
      <c r="CK39" s="432"/>
      <c r="CL39" s="432"/>
      <c r="CM39" s="432"/>
      <c r="CN39" s="432"/>
      <c r="CO39" s="432"/>
      <c r="CP39" s="432"/>
    </row>
    <row r="40" spans="1:94" s="18" customFormat="1" ht="20.149999999999999" customHeight="1" x14ac:dyDescent="0.35">
      <c r="A40" s="17"/>
      <c r="B40" s="409" t="s">
        <v>457</v>
      </c>
      <c r="C40" s="414" t="e">
        <f>D490</f>
        <v>#DIV/0!</v>
      </c>
      <c r="I40" s="17"/>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c r="BV40" s="432"/>
      <c r="BW40" s="432"/>
      <c r="BX40" s="432"/>
      <c r="BY40" s="432"/>
      <c r="BZ40" s="432"/>
      <c r="CA40" s="432"/>
      <c r="CB40" s="432"/>
      <c r="CC40" s="432"/>
      <c r="CD40" s="432"/>
      <c r="CE40" s="432"/>
      <c r="CF40" s="432"/>
      <c r="CG40" s="432"/>
      <c r="CH40" s="432"/>
      <c r="CI40" s="432"/>
      <c r="CJ40" s="432"/>
      <c r="CK40" s="432"/>
      <c r="CL40" s="432"/>
      <c r="CM40" s="432"/>
      <c r="CN40" s="432"/>
      <c r="CO40" s="432"/>
      <c r="CP40" s="432"/>
    </row>
    <row r="41" spans="1:94" s="18" customFormat="1" ht="20.149999999999999" customHeight="1" x14ac:dyDescent="0.35">
      <c r="A41" s="17"/>
      <c r="B41" s="409" t="s">
        <v>197</v>
      </c>
      <c r="C41" s="414">
        <f>D491</f>
        <v>0</v>
      </c>
      <c r="I41" s="17"/>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432"/>
      <c r="AW41" s="432"/>
      <c r="AX41" s="432"/>
      <c r="AY41" s="432"/>
      <c r="AZ41" s="432"/>
      <c r="BA41" s="432"/>
      <c r="BB41" s="432"/>
      <c r="BC41" s="432"/>
      <c r="BD41" s="432"/>
      <c r="BE41" s="432"/>
      <c r="BF41" s="432"/>
      <c r="BG41" s="432"/>
      <c r="BH41" s="432"/>
      <c r="BI41" s="432"/>
      <c r="BJ41" s="432"/>
      <c r="BK41" s="432"/>
      <c r="BL41" s="432"/>
      <c r="BM41" s="432"/>
      <c r="BN41" s="432"/>
      <c r="BO41" s="432"/>
      <c r="BP41" s="432"/>
      <c r="BQ41" s="432"/>
      <c r="BR41" s="432"/>
      <c r="BS41" s="432"/>
      <c r="BT41" s="432"/>
      <c r="BU41" s="432"/>
      <c r="BV41" s="432"/>
      <c r="BW41" s="432"/>
      <c r="BX41" s="432"/>
      <c r="BY41" s="432"/>
      <c r="BZ41" s="432"/>
      <c r="CA41" s="432"/>
      <c r="CB41" s="432"/>
      <c r="CC41" s="432"/>
      <c r="CD41" s="432"/>
      <c r="CE41" s="432"/>
      <c r="CF41" s="432"/>
      <c r="CG41" s="432"/>
      <c r="CH41" s="432"/>
      <c r="CI41" s="432"/>
      <c r="CJ41" s="432"/>
      <c r="CK41" s="432"/>
      <c r="CL41" s="432"/>
      <c r="CM41" s="432"/>
      <c r="CN41" s="432"/>
      <c r="CO41" s="432"/>
      <c r="CP41" s="432"/>
    </row>
    <row r="42" spans="1:94" s="18" customFormat="1" ht="20.149999999999999" customHeight="1" x14ac:dyDescent="0.35">
      <c r="A42" s="17"/>
      <c r="B42" s="409" t="s">
        <v>198</v>
      </c>
      <c r="C42" s="414" t="e">
        <f>D492</f>
        <v>#DIV/0!</v>
      </c>
      <c r="I42" s="17"/>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32"/>
      <c r="AO42" s="432"/>
      <c r="AP42" s="432"/>
      <c r="AQ42" s="432"/>
      <c r="AR42" s="432"/>
      <c r="AS42" s="432"/>
      <c r="AT42" s="432"/>
      <c r="AU42" s="432"/>
      <c r="AV42" s="432"/>
      <c r="AW42" s="432"/>
      <c r="AX42" s="432"/>
      <c r="AY42" s="432"/>
      <c r="AZ42" s="432"/>
      <c r="BA42" s="432"/>
      <c r="BB42" s="432"/>
      <c r="BC42" s="432"/>
      <c r="BD42" s="432"/>
      <c r="BE42" s="432"/>
      <c r="BF42" s="432"/>
      <c r="BG42" s="432"/>
      <c r="BH42" s="432"/>
      <c r="BI42" s="432"/>
      <c r="BJ42" s="432"/>
      <c r="BK42" s="432"/>
      <c r="BL42" s="432"/>
      <c r="BM42" s="432"/>
      <c r="BN42" s="432"/>
      <c r="BO42" s="432"/>
      <c r="BP42" s="432"/>
      <c r="BQ42" s="432"/>
      <c r="BR42" s="432"/>
      <c r="BS42" s="432"/>
      <c r="BT42" s="432"/>
      <c r="BU42" s="432"/>
      <c r="BV42" s="432"/>
      <c r="BW42" s="432"/>
      <c r="BX42" s="432"/>
      <c r="BY42" s="432"/>
      <c r="BZ42" s="432"/>
      <c r="CA42" s="432"/>
      <c r="CB42" s="432"/>
      <c r="CC42" s="432"/>
      <c r="CD42" s="432"/>
      <c r="CE42" s="432"/>
      <c r="CF42" s="432"/>
      <c r="CG42" s="432"/>
      <c r="CH42" s="432"/>
      <c r="CI42" s="432"/>
      <c r="CJ42" s="432"/>
      <c r="CK42" s="432"/>
      <c r="CL42" s="432"/>
      <c r="CM42" s="432"/>
      <c r="CN42" s="432"/>
      <c r="CO42" s="432"/>
      <c r="CP42" s="432"/>
    </row>
    <row r="43" spans="1:94" s="18" customFormat="1" ht="20.149999999999999" customHeight="1" x14ac:dyDescent="0.35">
      <c r="A43" s="17"/>
      <c r="B43" s="411" t="s">
        <v>944</v>
      </c>
      <c r="C43" s="412" t="e">
        <f>IF(C42&gt;0,C42*C30,0)</f>
        <v>#DIV/0!</v>
      </c>
      <c r="I43" s="17"/>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c r="BV43" s="432"/>
      <c r="BW43" s="432"/>
      <c r="BX43" s="432"/>
      <c r="BY43" s="432"/>
      <c r="BZ43" s="432"/>
      <c r="CA43" s="432"/>
      <c r="CB43" s="432"/>
      <c r="CC43" s="432"/>
      <c r="CD43" s="432"/>
      <c r="CE43" s="432"/>
      <c r="CF43" s="432"/>
      <c r="CG43" s="432"/>
      <c r="CH43" s="432"/>
      <c r="CI43" s="432"/>
      <c r="CJ43" s="432"/>
      <c r="CK43" s="432"/>
      <c r="CL43" s="432"/>
      <c r="CM43" s="432"/>
      <c r="CN43" s="432"/>
      <c r="CO43" s="432"/>
      <c r="CP43" s="432"/>
    </row>
    <row r="44" spans="1:94" s="18" customFormat="1" ht="20.149999999999999" customHeight="1" x14ac:dyDescent="0.35">
      <c r="A44" s="17"/>
      <c r="B44" s="411" t="s">
        <v>945</v>
      </c>
      <c r="C44" s="412">
        <f>C24</f>
        <v>5000</v>
      </c>
      <c r="I44" s="17"/>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M44" s="432"/>
      <c r="AN44" s="432"/>
      <c r="AO44" s="432"/>
      <c r="AP44" s="432"/>
      <c r="AQ44" s="432"/>
      <c r="AR44" s="432"/>
      <c r="AS44" s="432"/>
      <c r="AT44" s="432"/>
      <c r="AU44" s="432"/>
      <c r="AV44" s="432"/>
      <c r="AW44" s="432"/>
      <c r="AX44" s="432"/>
      <c r="AY44" s="432"/>
      <c r="AZ44" s="432"/>
      <c r="BA44" s="432"/>
      <c r="BB44" s="432"/>
      <c r="BC44" s="432"/>
      <c r="BD44" s="432"/>
      <c r="BE44" s="432"/>
      <c r="BF44" s="432"/>
      <c r="BG44" s="432"/>
      <c r="BH44" s="432"/>
      <c r="BI44" s="432"/>
      <c r="BJ44" s="432"/>
      <c r="BK44" s="432"/>
      <c r="BL44" s="432"/>
      <c r="BM44" s="432"/>
      <c r="BN44" s="432"/>
      <c r="BO44" s="432"/>
      <c r="BP44" s="432"/>
      <c r="BQ44" s="432"/>
      <c r="BR44" s="432"/>
      <c r="BS44" s="432"/>
      <c r="BT44" s="432"/>
      <c r="BU44" s="432"/>
      <c r="BV44" s="432"/>
      <c r="BW44" s="432"/>
      <c r="BX44" s="432"/>
      <c r="BY44" s="432"/>
      <c r="BZ44" s="432"/>
      <c r="CA44" s="432"/>
      <c r="CB44" s="432"/>
      <c r="CC44" s="432"/>
      <c r="CD44" s="432"/>
      <c r="CE44" s="432"/>
      <c r="CF44" s="432"/>
      <c r="CG44" s="432"/>
      <c r="CH44" s="432"/>
      <c r="CI44" s="432"/>
      <c r="CJ44" s="432"/>
      <c r="CK44" s="432"/>
      <c r="CL44" s="432"/>
      <c r="CM44" s="432"/>
      <c r="CN44" s="432"/>
      <c r="CO44" s="432"/>
      <c r="CP44" s="432"/>
    </row>
    <row r="45" spans="1:94" s="18" customFormat="1" ht="20.149999999999999" customHeight="1" x14ac:dyDescent="0.35">
      <c r="A45" s="17"/>
      <c r="B45" s="411" t="s">
        <v>18</v>
      </c>
      <c r="C45" s="413" t="e">
        <f>IF(C43&gt;1,C43-C44,C44*-1)</f>
        <v>#DIV/0!</v>
      </c>
      <c r="I45" s="17"/>
      <c r="J45" s="432"/>
      <c r="K45" s="432"/>
      <c r="L45" s="432"/>
      <c r="M45" s="432"/>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2"/>
      <c r="AM45" s="432"/>
      <c r="AN45" s="432"/>
      <c r="AO45" s="432"/>
      <c r="AP45" s="432"/>
      <c r="AQ45" s="432"/>
      <c r="AR45" s="432"/>
      <c r="AS45" s="432"/>
      <c r="AT45" s="432"/>
      <c r="AU45" s="432"/>
      <c r="AV45" s="432"/>
      <c r="AW45" s="432"/>
      <c r="AX45" s="432"/>
      <c r="AY45" s="432"/>
      <c r="AZ45" s="432"/>
      <c r="BA45" s="432"/>
      <c r="BB45" s="432"/>
      <c r="BC45" s="432"/>
      <c r="BD45" s="432"/>
      <c r="BE45" s="432"/>
      <c r="BF45" s="432"/>
      <c r="BG45" s="432"/>
      <c r="BH45" s="432"/>
      <c r="BI45" s="432"/>
      <c r="BJ45" s="432"/>
      <c r="BK45" s="432"/>
      <c r="BL45" s="432"/>
      <c r="BM45" s="432"/>
      <c r="BN45" s="432"/>
      <c r="BO45" s="432"/>
      <c r="BP45" s="432"/>
      <c r="BQ45" s="432"/>
      <c r="BR45" s="432"/>
      <c r="BS45" s="432"/>
      <c r="BT45" s="432"/>
      <c r="BU45" s="432"/>
      <c r="BV45" s="432"/>
      <c r="BW45" s="432"/>
      <c r="BX45" s="432"/>
      <c r="BY45" s="432"/>
      <c r="BZ45" s="432"/>
      <c r="CA45" s="432"/>
      <c r="CB45" s="432"/>
      <c r="CC45" s="432"/>
      <c r="CD45" s="432"/>
      <c r="CE45" s="432"/>
      <c r="CF45" s="432"/>
      <c r="CG45" s="432"/>
      <c r="CH45" s="432"/>
      <c r="CI45" s="432"/>
      <c r="CJ45" s="432"/>
      <c r="CK45" s="432"/>
      <c r="CL45" s="432"/>
      <c r="CM45" s="432"/>
      <c r="CN45" s="432"/>
      <c r="CO45" s="432"/>
      <c r="CP45" s="432"/>
    </row>
    <row r="46" spans="1:94" s="18" customFormat="1" ht="20.149999999999999" customHeight="1" x14ac:dyDescent="0.35">
      <c r="A46" s="17"/>
      <c r="B46" s="411" t="s">
        <v>88</v>
      </c>
      <c r="C46" s="412" t="e">
        <f>C36*C28</f>
        <v>#DIV/0!</v>
      </c>
      <c r="I46" s="17"/>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c r="BV46" s="432"/>
      <c r="BW46" s="432"/>
      <c r="BX46" s="432"/>
      <c r="BY46" s="432"/>
      <c r="BZ46" s="432"/>
      <c r="CA46" s="432"/>
      <c r="CB46" s="432"/>
      <c r="CC46" s="432"/>
      <c r="CD46" s="432"/>
      <c r="CE46" s="432"/>
      <c r="CF46" s="432"/>
      <c r="CG46" s="432"/>
      <c r="CH46" s="432"/>
      <c r="CI46" s="432"/>
      <c r="CJ46" s="432"/>
      <c r="CK46" s="432"/>
      <c r="CL46" s="432"/>
      <c r="CM46" s="432"/>
      <c r="CN46" s="432"/>
      <c r="CO46" s="432"/>
      <c r="CP46" s="432"/>
    </row>
    <row r="47" spans="1:94" s="18" customFormat="1" ht="20.149999999999999" customHeight="1" x14ac:dyDescent="0.35">
      <c r="A47" s="17"/>
      <c r="B47" s="411" t="s">
        <v>17</v>
      </c>
      <c r="C47" s="412" t="e">
        <f>IF(C43&gt;1,C43-C44+C46,C46-C44)</f>
        <v>#DIV/0!</v>
      </c>
      <c r="I47" s="17"/>
      <c r="J47" s="432"/>
      <c r="K47" s="432"/>
      <c r="L47" s="432"/>
      <c r="M47" s="432"/>
      <c r="N47" s="432"/>
      <c r="O47" s="432"/>
      <c r="P47" s="432"/>
      <c r="Q47" s="432"/>
      <c r="R47" s="432"/>
      <c r="S47" s="432"/>
      <c r="T47" s="432"/>
      <c r="U47" s="432"/>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c r="AS47" s="432"/>
      <c r="AT47" s="432"/>
      <c r="AU47" s="432"/>
      <c r="AV47" s="432"/>
      <c r="AW47" s="432"/>
      <c r="AX47" s="432"/>
      <c r="AY47" s="432"/>
      <c r="AZ47" s="432"/>
      <c r="BA47" s="432"/>
      <c r="BB47" s="432"/>
      <c r="BC47" s="432"/>
      <c r="BD47" s="432"/>
      <c r="BE47" s="432"/>
      <c r="BF47" s="432"/>
      <c r="BG47" s="432"/>
      <c r="BH47" s="432"/>
      <c r="BI47" s="432"/>
      <c r="BJ47" s="432"/>
      <c r="BK47" s="432"/>
      <c r="BL47" s="432"/>
      <c r="BM47" s="432"/>
      <c r="BN47" s="432"/>
      <c r="BO47" s="432"/>
      <c r="BP47" s="432"/>
      <c r="BQ47" s="432"/>
      <c r="BR47" s="432"/>
      <c r="BS47" s="432"/>
      <c r="BT47" s="432"/>
      <c r="BU47" s="432"/>
      <c r="BV47" s="432"/>
      <c r="BW47" s="432"/>
      <c r="BX47" s="432"/>
      <c r="BY47" s="432"/>
      <c r="BZ47" s="432"/>
      <c r="CA47" s="432"/>
      <c r="CB47" s="432"/>
      <c r="CC47" s="432"/>
      <c r="CD47" s="432"/>
      <c r="CE47" s="432"/>
      <c r="CF47" s="432"/>
      <c r="CG47" s="432"/>
      <c r="CH47" s="432"/>
      <c r="CI47" s="432"/>
      <c r="CJ47" s="432"/>
      <c r="CK47" s="432"/>
      <c r="CL47" s="432"/>
      <c r="CM47" s="432"/>
      <c r="CN47" s="432"/>
      <c r="CO47" s="432"/>
      <c r="CP47" s="432"/>
    </row>
    <row r="48" spans="1:94" s="18" customFormat="1" ht="20.149999999999999" customHeight="1" x14ac:dyDescent="0.35">
      <c r="A48" s="17"/>
      <c r="B48" s="1703" t="s">
        <v>950</v>
      </c>
      <c r="C48" s="1704" t="e">
        <f>C83</f>
        <v>#DIV/0!</v>
      </c>
      <c r="I48" s="17"/>
      <c r="J48" s="432"/>
      <c r="K48" s="432"/>
      <c r="L48" s="432"/>
      <c r="M48" s="432"/>
      <c r="N48" s="432"/>
      <c r="O48" s="432"/>
      <c r="P48" s="432"/>
      <c r="Q48" s="432"/>
      <c r="R48" s="432"/>
      <c r="S48" s="432"/>
      <c r="T48" s="432"/>
      <c r="U48" s="432"/>
      <c r="V48" s="432"/>
      <c r="W48" s="432"/>
      <c r="X48" s="432"/>
      <c r="Y48" s="432"/>
      <c r="Z48" s="432"/>
      <c r="AA48" s="432"/>
      <c r="AB48" s="432"/>
      <c r="AC48" s="432"/>
      <c r="AD48" s="432"/>
      <c r="AE48" s="432"/>
      <c r="AF48" s="432"/>
      <c r="AG48" s="432"/>
      <c r="AH48" s="432"/>
      <c r="AI48" s="432"/>
      <c r="AJ48" s="432"/>
      <c r="AK48" s="432"/>
      <c r="AL48" s="432"/>
      <c r="AM48" s="432"/>
      <c r="AN48" s="432"/>
      <c r="AO48" s="432"/>
      <c r="AP48" s="432"/>
      <c r="AQ48" s="432"/>
      <c r="AR48" s="432"/>
      <c r="AS48" s="432"/>
      <c r="AT48" s="432"/>
      <c r="AU48" s="432"/>
      <c r="AV48" s="432"/>
      <c r="AW48" s="432"/>
      <c r="AX48" s="432"/>
      <c r="AY48" s="432"/>
      <c r="AZ48" s="432"/>
      <c r="BA48" s="432"/>
      <c r="BB48" s="432"/>
      <c r="BC48" s="432"/>
      <c r="BD48" s="432"/>
      <c r="BE48" s="432"/>
      <c r="BF48" s="432"/>
      <c r="BG48" s="432"/>
      <c r="BH48" s="432"/>
      <c r="BI48" s="432"/>
      <c r="BJ48" s="432"/>
      <c r="BK48" s="432"/>
      <c r="BL48" s="432"/>
      <c r="BM48" s="432"/>
      <c r="BN48" s="432"/>
      <c r="BO48" s="432"/>
      <c r="BP48" s="432"/>
      <c r="BQ48" s="432"/>
      <c r="BR48" s="432"/>
      <c r="BS48" s="432"/>
      <c r="BT48" s="432"/>
      <c r="BU48" s="432"/>
      <c r="BV48" s="432"/>
      <c r="BW48" s="432"/>
      <c r="BX48" s="432"/>
      <c r="BY48" s="432"/>
      <c r="BZ48" s="432"/>
      <c r="CA48" s="432"/>
      <c r="CB48" s="432"/>
      <c r="CC48" s="432"/>
      <c r="CD48" s="432"/>
      <c r="CE48" s="432"/>
      <c r="CF48" s="432"/>
      <c r="CG48" s="432"/>
      <c r="CH48" s="432"/>
      <c r="CI48" s="432"/>
      <c r="CJ48" s="432"/>
      <c r="CK48" s="432"/>
      <c r="CL48" s="432"/>
      <c r="CM48" s="432"/>
      <c r="CN48" s="432"/>
      <c r="CO48" s="432"/>
      <c r="CP48" s="432"/>
    </row>
    <row r="49" spans="1:94" s="18" customFormat="1" x14ac:dyDescent="0.35">
      <c r="A49" s="17"/>
      <c r="B49" s="138"/>
      <c r="C49" s="139"/>
      <c r="D49" s="17"/>
      <c r="E49" s="17"/>
      <c r="F49" s="17"/>
      <c r="G49" s="17"/>
      <c r="H49" s="17"/>
      <c r="I49" s="17"/>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row>
    <row r="50" spans="1:94" x14ac:dyDescent="0.35">
      <c r="B50" s="138"/>
      <c r="C50" s="139"/>
    </row>
    <row r="51" spans="1:94" ht="14.5" customHeight="1" x14ac:dyDescent="0.35">
      <c r="B51" s="138"/>
      <c r="C51" s="139"/>
    </row>
    <row r="52" spans="1:94" x14ac:dyDescent="0.35">
      <c r="B52" s="138"/>
      <c r="C52" s="139"/>
    </row>
    <row r="53" spans="1:94" ht="14.5" customHeight="1" x14ac:dyDescent="0.35">
      <c r="B53" s="138"/>
      <c r="C53" s="139"/>
    </row>
    <row r="54" spans="1:94" ht="14.5" customHeight="1" x14ac:dyDescent="0.35">
      <c r="B54" s="138"/>
      <c r="C54" s="139"/>
    </row>
    <row r="55" spans="1:94" ht="14.5" customHeight="1" x14ac:dyDescent="0.5">
      <c r="B55" s="485"/>
      <c r="C55" s="139"/>
    </row>
    <row r="56" spans="1:94" ht="14.5" customHeight="1" x14ac:dyDescent="0.5">
      <c r="B56" s="485"/>
      <c r="C56" s="139"/>
    </row>
    <row r="57" spans="1:94" ht="14.5" customHeight="1" x14ac:dyDescent="0.5">
      <c r="B57" s="485"/>
      <c r="C57" s="139"/>
    </row>
    <row r="58" spans="1:94" ht="14.5" customHeight="1" x14ac:dyDescent="0.5">
      <c r="B58" s="485"/>
      <c r="C58" s="139"/>
    </row>
    <row r="59" spans="1:94" ht="19.899999999999999" customHeight="1" x14ac:dyDescent="0.65">
      <c r="B59" s="502"/>
      <c r="C59" s="139"/>
    </row>
    <row r="60" spans="1:94" ht="14.5" customHeight="1" x14ac:dyDescent="0.65">
      <c r="B60" s="502"/>
      <c r="C60" s="139"/>
    </row>
    <row r="61" spans="1:94" ht="14.5" customHeight="1" x14ac:dyDescent="0.65">
      <c r="B61" s="502"/>
      <c r="C61" s="139"/>
    </row>
    <row r="62" spans="1:94" ht="14.5" customHeight="1" x14ac:dyDescent="0.65">
      <c r="B62" s="502"/>
      <c r="C62" s="139"/>
    </row>
    <row r="63" spans="1:94" ht="14.5" hidden="1" customHeight="1" x14ac:dyDescent="0.65">
      <c r="B63" s="502"/>
      <c r="C63" s="139"/>
    </row>
    <row r="64" spans="1:94" ht="14.5" hidden="1" customHeight="1" x14ac:dyDescent="0.35">
      <c r="B64" s="519" t="s">
        <v>150</v>
      </c>
      <c r="C64" s="518"/>
      <c r="D64" s="142"/>
      <c r="E64" s="142"/>
      <c r="F64" s="142"/>
      <c r="G64" s="142"/>
      <c r="H64" s="142"/>
      <c r="I64" s="142"/>
    </row>
    <row r="65" spans="2:9" ht="14.5" hidden="1" customHeight="1" x14ac:dyDescent="0.35">
      <c r="B65" s="520" t="s">
        <v>470</v>
      </c>
      <c r="C65" s="518">
        <v>780</v>
      </c>
      <c r="D65" s="142"/>
      <c r="E65" s="142"/>
      <c r="F65" s="142"/>
      <c r="G65" s="142"/>
      <c r="H65" s="142"/>
      <c r="I65" s="142"/>
    </row>
    <row r="66" spans="2:9" ht="14.5" hidden="1" customHeight="1" x14ac:dyDescent="0.35">
      <c r="B66" s="520" t="s">
        <v>471</v>
      </c>
      <c r="C66" s="518">
        <v>170</v>
      </c>
      <c r="D66" s="142"/>
      <c r="E66" s="142"/>
      <c r="F66" s="142"/>
      <c r="G66" s="142"/>
      <c r="H66" s="142"/>
      <c r="I66" s="142"/>
    </row>
    <row r="67" spans="2:9" ht="14.5" hidden="1" customHeight="1" x14ac:dyDescent="0.35">
      <c r="B67" s="520" t="s">
        <v>707</v>
      </c>
      <c r="C67" s="518">
        <v>365</v>
      </c>
      <c r="D67" s="142"/>
      <c r="E67" s="142"/>
      <c r="F67" s="142"/>
      <c r="G67" s="142"/>
      <c r="H67" s="142"/>
      <c r="I67" s="142"/>
    </row>
    <row r="68" spans="2:9" ht="14.5" hidden="1" customHeight="1" x14ac:dyDescent="0.35">
      <c r="B68" s="520" t="s">
        <v>708</v>
      </c>
      <c r="C68" s="518">
        <v>5000</v>
      </c>
      <c r="D68" s="142"/>
      <c r="E68" s="142"/>
      <c r="F68" s="142"/>
      <c r="G68" s="142"/>
      <c r="H68" s="142"/>
      <c r="I68" s="142"/>
    </row>
    <row r="69" spans="2:9" hidden="1" x14ac:dyDescent="0.35">
      <c r="B69" s="138" t="s">
        <v>117</v>
      </c>
      <c r="C69" s="518">
        <v>600</v>
      </c>
      <c r="D69" s="142"/>
      <c r="E69" s="142"/>
      <c r="F69" s="142"/>
      <c r="G69" s="142"/>
      <c r="H69" s="142"/>
      <c r="I69" s="142"/>
    </row>
    <row r="70" spans="2:9" s="142" customFormat="1" ht="13" hidden="1" x14ac:dyDescent="0.3">
      <c r="B70" s="520" t="s">
        <v>127</v>
      </c>
      <c r="C70" s="521">
        <v>600</v>
      </c>
    </row>
    <row r="71" spans="2:9" hidden="1" x14ac:dyDescent="0.35">
      <c r="B71" s="138" t="s">
        <v>70</v>
      </c>
      <c r="C71" s="518">
        <v>3000</v>
      </c>
      <c r="D71" s="142"/>
      <c r="E71" s="142"/>
      <c r="F71" s="142"/>
      <c r="G71" s="142"/>
      <c r="H71" s="142"/>
      <c r="I71" s="142"/>
    </row>
    <row r="72" spans="2:9" hidden="1" x14ac:dyDescent="0.35">
      <c r="B72" s="138"/>
      <c r="C72" s="518"/>
      <c r="D72" s="142"/>
      <c r="E72" s="142"/>
      <c r="F72" s="142"/>
      <c r="G72" s="142"/>
      <c r="H72" s="142"/>
      <c r="I72" s="142"/>
    </row>
    <row r="73" spans="2:9" hidden="1" x14ac:dyDescent="0.35">
      <c r="B73" s="138"/>
      <c r="C73" s="518"/>
      <c r="D73" s="142"/>
      <c r="E73" s="142"/>
      <c r="F73" s="142"/>
      <c r="G73" s="142"/>
      <c r="H73" s="142"/>
      <c r="I73" s="142"/>
    </row>
    <row r="74" spans="2:9" hidden="1" x14ac:dyDescent="0.35">
      <c r="B74" s="138"/>
      <c r="C74" s="522"/>
      <c r="D74" s="142"/>
      <c r="E74" s="142"/>
      <c r="F74" s="142"/>
      <c r="G74" s="142"/>
      <c r="H74" s="142"/>
      <c r="I74" s="142"/>
    </row>
    <row r="75" spans="2:9" s="5" customFormat="1" ht="15.5" hidden="1" x14ac:dyDescent="0.35">
      <c r="B75" s="523" t="s">
        <v>140</v>
      </c>
      <c r="C75" s="524" t="s">
        <v>660</v>
      </c>
      <c r="D75" s="525"/>
      <c r="E75" s="526"/>
      <c r="F75" s="526"/>
      <c r="G75" s="526"/>
      <c r="H75" s="526"/>
      <c r="I75" s="526"/>
    </row>
    <row r="76" spans="2:9" s="5" customFormat="1" hidden="1" x14ac:dyDescent="0.35">
      <c r="B76" s="138" t="s">
        <v>2077</v>
      </c>
      <c r="C76" s="528" t="e">
        <f>C43</f>
        <v>#DIV/0!</v>
      </c>
      <c r="D76" s="529"/>
      <c r="E76" s="526"/>
      <c r="F76" s="526"/>
      <c r="G76" s="526"/>
      <c r="H76" s="526"/>
      <c r="I76" s="526"/>
    </row>
    <row r="77" spans="2:9" s="5" customFormat="1" hidden="1" x14ac:dyDescent="0.35">
      <c r="B77" s="527" t="s">
        <v>19</v>
      </c>
      <c r="C77" s="528">
        <f>C44</f>
        <v>5000</v>
      </c>
      <c r="D77" s="529"/>
      <c r="E77" s="526"/>
      <c r="F77" s="526"/>
      <c r="G77" s="526"/>
      <c r="H77" s="526"/>
      <c r="I77" s="526"/>
    </row>
    <row r="78" spans="2:9" s="5" customFormat="1" hidden="1" x14ac:dyDescent="0.35">
      <c r="B78" s="527" t="s">
        <v>20</v>
      </c>
      <c r="C78" s="528" t="e">
        <f>C46</f>
        <v>#DIV/0!</v>
      </c>
      <c r="D78" s="529"/>
      <c r="E78" s="526"/>
      <c r="F78" s="526"/>
      <c r="G78" s="526"/>
      <c r="H78" s="526"/>
      <c r="I78" s="526"/>
    </row>
    <row r="79" spans="2:9" s="5" customFormat="1" hidden="1" x14ac:dyDescent="0.35">
      <c r="B79" s="527" t="s">
        <v>21</v>
      </c>
      <c r="C79" s="528" t="e">
        <f>C47</f>
        <v>#DIV/0!</v>
      </c>
      <c r="D79" s="529"/>
      <c r="E79" s="526"/>
      <c r="F79" s="526"/>
      <c r="G79" s="526"/>
      <c r="H79" s="526"/>
      <c r="I79" s="526"/>
    </row>
    <row r="80" spans="2:9" s="5" customFormat="1" hidden="1" x14ac:dyDescent="0.35">
      <c r="B80" s="527"/>
      <c r="C80" s="528"/>
      <c r="D80" s="529"/>
      <c r="E80" s="526"/>
      <c r="F80" s="526"/>
      <c r="G80" s="526"/>
      <c r="H80" s="526"/>
      <c r="I80" s="526"/>
    </row>
    <row r="81" spans="2:9" s="5" customFormat="1" hidden="1" x14ac:dyDescent="0.35">
      <c r="B81" s="527"/>
      <c r="C81" s="528"/>
      <c r="D81" s="529"/>
      <c r="E81" s="526"/>
      <c r="F81" s="526"/>
      <c r="G81" s="526"/>
      <c r="H81" s="526"/>
      <c r="I81" s="526"/>
    </row>
    <row r="82" spans="2:9" s="5" customFormat="1" hidden="1" x14ac:dyDescent="0.35">
      <c r="B82" s="527" t="s">
        <v>102</v>
      </c>
      <c r="C82" s="530" t="e">
        <f>C10*C13*C14*C26</f>
        <v>#DIV/0!</v>
      </c>
      <c r="D82" s="530"/>
      <c r="E82" s="526"/>
      <c r="F82" s="526"/>
      <c r="G82" s="526"/>
      <c r="H82" s="526"/>
      <c r="I82" s="526"/>
    </row>
    <row r="83" spans="2:9" s="5" customFormat="1" hidden="1" x14ac:dyDescent="0.35">
      <c r="B83" s="24" t="s">
        <v>2076</v>
      </c>
      <c r="C83" s="531" t="e">
        <f>C79/C82</f>
        <v>#DIV/0!</v>
      </c>
      <c r="D83" s="532"/>
      <c r="E83" s="526"/>
      <c r="F83" s="526"/>
      <c r="G83" s="526"/>
      <c r="H83" s="526"/>
      <c r="I83" s="526"/>
    </row>
    <row r="84" spans="2:9" s="5" customFormat="1" hidden="1" x14ac:dyDescent="0.35">
      <c r="B84" s="527"/>
      <c r="C84" s="533"/>
      <c r="D84" s="526"/>
      <c r="E84" s="526"/>
      <c r="F84" s="526"/>
      <c r="G84" s="526"/>
      <c r="H84" s="526"/>
      <c r="I84" s="526"/>
    </row>
    <row r="85" spans="2:9" s="5" customFormat="1" hidden="1" x14ac:dyDescent="0.35">
      <c r="B85" s="538"/>
      <c r="C85" s="537"/>
      <c r="D85" s="526"/>
      <c r="E85" s="532"/>
      <c r="F85" s="526"/>
      <c r="G85" s="526"/>
      <c r="H85" s="526"/>
      <c r="I85" s="526"/>
    </row>
    <row r="86" spans="2:9" s="5" customFormat="1" hidden="1" x14ac:dyDescent="0.35">
      <c r="B86" s="523" t="s">
        <v>154</v>
      </c>
      <c r="C86" s="526"/>
      <c r="D86" s="526"/>
      <c r="E86" s="526"/>
      <c r="F86" s="539"/>
      <c r="G86" s="539"/>
    </row>
    <row r="87" spans="2:9" s="5" customFormat="1" hidden="1" x14ac:dyDescent="0.35">
      <c r="B87" s="523" t="s">
        <v>442</v>
      </c>
      <c r="C87" s="540"/>
      <c r="D87" s="526"/>
      <c r="E87" s="532"/>
      <c r="F87" s="539"/>
    </row>
    <row r="88" spans="2:9" s="5" customFormat="1" hidden="1" x14ac:dyDescent="0.35">
      <c r="B88" s="527" t="s">
        <v>11</v>
      </c>
      <c r="C88" s="541" t="e">
        <f>'Baseline farm'!D231</f>
        <v>#DIV/0!</v>
      </c>
      <c r="D88" s="526"/>
      <c r="E88" s="542"/>
      <c r="F88" s="539"/>
    </row>
    <row r="89" spans="2:9" s="5" customFormat="1" hidden="1" x14ac:dyDescent="0.35">
      <c r="B89" s="543"/>
      <c r="C89" s="542"/>
      <c r="D89" s="526"/>
      <c r="E89" s="532"/>
      <c r="F89" s="539"/>
    </row>
    <row r="90" spans="2:9" s="5" customFormat="1" hidden="1" x14ac:dyDescent="0.35">
      <c r="B90" s="527" t="s">
        <v>12</v>
      </c>
      <c r="C90" s="544">
        <f>C10</f>
        <v>0</v>
      </c>
      <c r="D90" s="526"/>
      <c r="E90" s="545"/>
      <c r="F90" s="539"/>
    </row>
    <row r="91" spans="2:9" s="5" customFormat="1" hidden="1" x14ac:dyDescent="0.35">
      <c r="B91" s="527" t="s">
        <v>13</v>
      </c>
      <c r="C91" s="545" t="e">
        <f>C88*C90*365</f>
        <v>#DIV/0!</v>
      </c>
      <c r="D91" s="526"/>
      <c r="E91" s="546"/>
      <c r="F91" s="539"/>
    </row>
    <row r="92" spans="2:9" s="5" customFormat="1" hidden="1" x14ac:dyDescent="0.35">
      <c r="B92" s="523" t="s">
        <v>14</v>
      </c>
      <c r="C92" s="546" t="e">
        <f>C91*'Emission factors'!C4/1000</f>
        <v>#DIV/0!</v>
      </c>
      <c r="D92" s="526"/>
      <c r="E92" s="532"/>
      <c r="F92" s="539"/>
    </row>
    <row r="93" spans="2:9" s="5" customFormat="1" hidden="1" x14ac:dyDescent="0.35">
      <c r="B93" s="527"/>
      <c r="C93" s="536"/>
      <c r="D93" s="526"/>
      <c r="E93" s="532"/>
      <c r="F93" s="526"/>
      <c r="G93" s="526"/>
      <c r="H93" s="526"/>
      <c r="I93" s="526"/>
    </row>
    <row r="94" spans="2:9" s="5" customFormat="1" hidden="1" x14ac:dyDescent="0.35">
      <c r="B94" s="527"/>
      <c r="C94" s="537"/>
      <c r="D94" s="526"/>
      <c r="E94" s="532"/>
      <c r="F94" s="526"/>
      <c r="G94" s="526"/>
      <c r="H94" s="526"/>
      <c r="I94" s="526"/>
    </row>
    <row r="95" spans="2:9" s="5" customFormat="1" hidden="1" x14ac:dyDescent="0.35">
      <c r="B95" s="527"/>
      <c r="C95" s="544"/>
      <c r="D95" s="526"/>
      <c r="E95" s="532"/>
      <c r="F95" s="526"/>
      <c r="G95" s="526"/>
      <c r="H95" s="526"/>
      <c r="I95" s="526"/>
    </row>
    <row r="96" spans="2:9" s="5" customFormat="1" hidden="1" x14ac:dyDescent="0.35">
      <c r="B96" s="534" t="s">
        <v>155</v>
      </c>
      <c r="C96" s="532"/>
      <c r="D96" s="526"/>
      <c r="E96" s="547"/>
      <c r="F96" s="526"/>
      <c r="G96" s="526"/>
      <c r="H96" s="526"/>
      <c r="I96" s="526"/>
    </row>
    <row r="97" spans="2:12" s="5" customFormat="1" hidden="1" x14ac:dyDescent="0.35">
      <c r="B97" s="523" t="s">
        <v>0</v>
      </c>
      <c r="C97" s="527"/>
      <c r="D97" s="526"/>
      <c r="E97" s="532"/>
      <c r="F97" s="526"/>
      <c r="G97" s="526"/>
      <c r="H97" s="526"/>
      <c r="I97" s="526"/>
      <c r="J97" s="548"/>
      <c r="K97" s="548"/>
      <c r="L97" s="548"/>
    </row>
    <row r="98" spans="2:12" s="5" customFormat="1" hidden="1" x14ac:dyDescent="0.35">
      <c r="B98" s="526"/>
      <c r="C98" s="526"/>
      <c r="D98" s="526"/>
      <c r="E98" s="526"/>
      <c r="F98" s="526"/>
      <c r="G98" s="526"/>
      <c r="H98" s="526"/>
      <c r="I98" s="526"/>
    </row>
    <row r="99" spans="2:12" s="5" customFormat="1" hidden="1" x14ac:dyDescent="0.35">
      <c r="B99" s="527" t="s">
        <v>26</v>
      </c>
      <c r="C99" s="537" t="e">
        <f>'Baseline farm'!D223*((0.1604*C15)-1.037)</f>
        <v>#DIV/0!</v>
      </c>
      <c r="D99" s="526" t="s">
        <v>143</v>
      </c>
      <c r="E99" s="532"/>
      <c r="F99" s="526"/>
      <c r="G99" s="526"/>
      <c r="H99" s="526"/>
      <c r="I99" s="526"/>
      <c r="J99" s="548"/>
      <c r="K99" s="548"/>
      <c r="L99" s="548"/>
    </row>
    <row r="100" spans="2:12" s="5" customFormat="1" hidden="1" x14ac:dyDescent="0.35">
      <c r="B100" s="527" t="s">
        <v>27</v>
      </c>
      <c r="C100" s="537" t="e">
        <f>C112*((0.1604*C18)-1.037)</f>
        <v>#DIV/0!</v>
      </c>
      <c r="D100" s="526" t="s">
        <v>166</v>
      </c>
      <c r="E100" s="532"/>
      <c r="F100" s="526"/>
      <c r="G100" s="526"/>
      <c r="H100" s="526"/>
      <c r="I100" s="526"/>
      <c r="J100" s="548"/>
      <c r="K100" s="548"/>
      <c r="L100" s="548"/>
    </row>
    <row r="101" spans="2:12" s="5" customFormat="1" hidden="1" x14ac:dyDescent="0.35">
      <c r="B101" s="527" t="s">
        <v>22</v>
      </c>
      <c r="C101" s="537" t="e">
        <f>C100-C99</f>
        <v>#DIV/0!</v>
      </c>
      <c r="D101" s="526" t="s">
        <v>184</v>
      </c>
      <c r="E101" s="532"/>
      <c r="F101" s="526"/>
      <c r="G101" s="526"/>
      <c r="H101" s="526"/>
      <c r="I101" s="526"/>
    </row>
    <row r="102" spans="2:12" s="5" customFormat="1" hidden="1" x14ac:dyDescent="0.35">
      <c r="B102" s="527" t="s">
        <v>23</v>
      </c>
      <c r="C102" s="537" t="e">
        <f>C101/5.5</f>
        <v>#DIV/0!</v>
      </c>
      <c r="D102" s="526" t="s">
        <v>185</v>
      </c>
      <c r="E102" s="532"/>
      <c r="F102" s="526"/>
      <c r="G102" s="526"/>
      <c r="H102" s="526"/>
      <c r="I102" s="526"/>
    </row>
    <row r="103" spans="2:12" s="5" customFormat="1" hidden="1" x14ac:dyDescent="0.35">
      <c r="B103" s="138" t="s">
        <v>124</v>
      </c>
      <c r="C103" s="549" t="e">
        <f>C102+(C13*C14/365)</f>
        <v>#DIV/0!</v>
      </c>
      <c r="D103" s="526" t="s">
        <v>186</v>
      </c>
      <c r="E103" s="532"/>
      <c r="F103" s="526"/>
      <c r="G103" s="526"/>
      <c r="H103" s="526"/>
      <c r="I103" s="526"/>
    </row>
    <row r="104" spans="2:12" s="5" customFormat="1" hidden="1" x14ac:dyDescent="0.35">
      <c r="B104" s="527" t="s">
        <v>24</v>
      </c>
      <c r="C104" s="549">
        <f>C18</f>
        <v>78</v>
      </c>
      <c r="D104" s="526"/>
      <c r="E104" s="532"/>
      <c r="F104" s="526"/>
      <c r="G104" s="526"/>
      <c r="H104" s="526"/>
      <c r="I104" s="526"/>
    </row>
    <row r="105" spans="2:12" s="5" customFormat="1" hidden="1" x14ac:dyDescent="0.35">
      <c r="B105" s="527" t="s">
        <v>474</v>
      </c>
      <c r="C105" s="549">
        <f>(C104*0.1604)-1.037</f>
        <v>11.4742</v>
      </c>
      <c r="D105" s="526"/>
      <c r="E105" s="532"/>
      <c r="F105" s="526"/>
      <c r="G105" s="526"/>
      <c r="H105" s="526"/>
      <c r="I105" s="526"/>
    </row>
    <row r="106" spans="2:12" s="5" customFormat="1" hidden="1" x14ac:dyDescent="0.35">
      <c r="B106" s="138" t="s">
        <v>1109</v>
      </c>
      <c r="C106" s="537" t="e">
        <f>(C102*C10*C22)*(0.2534+(0.1226*'Baseline farm'!R206)+(0.0776*'Baseline farm'!R207))</f>
        <v>#DIV/0!</v>
      </c>
      <c r="D106" s="526"/>
      <c r="E106" s="532"/>
      <c r="F106" s="526"/>
      <c r="G106" s="526"/>
      <c r="H106" s="526"/>
      <c r="I106" s="526"/>
    </row>
    <row r="107" spans="2:12" s="5" customFormat="1" hidden="1" x14ac:dyDescent="0.35">
      <c r="B107" s="138" t="s">
        <v>750</v>
      </c>
      <c r="C107" s="537" t="e">
        <f>C106/365</f>
        <v>#DIV/0!</v>
      </c>
      <c r="D107" s="526"/>
      <c r="E107" s="532"/>
      <c r="F107" s="526"/>
      <c r="G107" s="526"/>
      <c r="H107" s="526"/>
      <c r="I107" s="526"/>
    </row>
    <row r="108" spans="2:12" s="5" customFormat="1" hidden="1" x14ac:dyDescent="0.35">
      <c r="B108" s="138" t="s">
        <v>751</v>
      </c>
      <c r="C108" s="537" t="e">
        <f>C107/C10</f>
        <v>#DIV/0!</v>
      </c>
      <c r="D108" s="526"/>
      <c r="E108" s="532"/>
      <c r="F108" s="526"/>
      <c r="G108" s="526"/>
      <c r="H108" s="526"/>
      <c r="I108" s="526"/>
    </row>
    <row r="109" spans="2:12" s="5" customFormat="1" hidden="1" x14ac:dyDescent="0.35">
      <c r="B109" s="527"/>
      <c r="C109" s="537"/>
      <c r="D109" s="526"/>
      <c r="E109" s="532"/>
      <c r="F109" s="526"/>
      <c r="G109" s="526"/>
      <c r="H109" s="526"/>
      <c r="I109" s="526"/>
    </row>
    <row r="110" spans="2:12" s="5" customFormat="1" hidden="1" x14ac:dyDescent="0.35">
      <c r="B110" s="527"/>
      <c r="C110" s="537"/>
      <c r="D110" s="526"/>
      <c r="E110" s="532"/>
      <c r="F110" s="526"/>
      <c r="G110" s="526"/>
      <c r="H110" s="526"/>
      <c r="I110" s="526"/>
    </row>
    <row r="111" spans="2:12" s="5" customFormat="1" ht="16" hidden="1" x14ac:dyDescent="0.35">
      <c r="B111" s="527" t="s">
        <v>1</v>
      </c>
      <c r="C111" s="535" t="s">
        <v>151</v>
      </c>
      <c r="D111" s="526"/>
      <c r="E111" s="532"/>
      <c r="F111" s="526"/>
      <c r="G111" s="526"/>
      <c r="H111" s="526"/>
      <c r="I111" s="526"/>
      <c r="J111" s="548"/>
      <c r="K111" s="548"/>
      <c r="L111" s="548"/>
    </row>
    <row r="112" spans="2:12" s="5" customFormat="1" hidden="1" x14ac:dyDescent="0.35">
      <c r="B112" s="527" t="s">
        <v>1</v>
      </c>
      <c r="C112" s="536" t="e">
        <f>'Baseline farm'!D223+'Improved diet DMD by management'!D215</f>
        <v>#DIV/0!</v>
      </c>
      <c r="D112" s="526"/>
      <c r="E112" s="532"/>
      <c r="F112" s="526"/>
      <c r="G112" s="526"/>
      <c r="H112" s="526"/>
      <c r="I112" s="526"/>
      <c r="J112" s="548"/>
      <c r="K112" s="548"/>
      <c r="L112" s="548"/>
    </row>
    <row r="113" spans="2:9" s="5" customFormat="1" hidden="1" x14ac:dyDescent="0.35">
      <c r="B113" s="527"/>
      <c r="C113" s="537"/>
      <c r="D113" s="526"/>
      <c r="E113" s="532"/>
      <c r="F113" s="526"/>
      <c r="G113" s="526"/>
      <c r="H113" s="526"/>
      <c r="I113" s="526"/>
    </row>
    <row r="114" spans="2:9" s="5" customFormat="1" ht="15" hidden="1" x14ac:dyDescent="0.4">
      <c r="B114" s="527" t="s">
        <v>2</v>
      </c>
      <c r="C114" s="535" t="s">
        <v>152</v>
      </c>
      <c r="D114" s="526"/>
      <c r="E114" s="532"/>
      <c r="F114" s="526"/>
      <c r="G114" s="526"/>
      <c r="H114" s="526"/>
      <c r="I114" s="526"/>
    </row>
    <row r="115" spans="2:9" s="5" customFormat="1" hidden="1" x14ac:dyDescent="0.35">
      <c r="B115" s="538" t="s">
        <v>3</v>
      </c>
      <c r="C115" s="537"/>
      <c r="D115" s="526"/>
      <c r="E115" s="532"/>
      <c r="F115" s="526"/>
      <c r="G115" s="526"/>
      <c r="H115" s="526"/>
      <c r="I115" s="526"/>
    </row>
    <row r="116" spans="2:9" s="5" customFormat="1" hidden="1" x14ac:dyDescent="0.35">
      <c r="B116" s="527"/>
      <c r="C116" s="550" t="e">
        <f>($C$103*1.03*3.054)/0.6/((0.00795*$C$104)-0.0014)/18.4</f>
        <v>#DIV/0!</v>
      </c>
      <c r="D116" s="526"/>
      <c r="E116" s="532"/>
      <c r="F116" s="526"/>
      <c r="G116" s="526"/>
      <c r="H116" s="526"/>
      <c r="I116" s="526"/>
    </row>
    <row r="117" spans="2:9" s="5" customFormat="1" hidden="1" x14ac:dyDescent="0.35">
      <c r="B117" s="527"/>
      <c r="C117" s="537"/>
      <c r="D117" s="526"/>
      <c r="E117" s="532"/>
      <c r="F117" s="526"/>
      <c r="G117" s="526"/>
      <c r="H117" s="526"/>
      <c r="I117" s="526"/>
    </row>
    <row r="118" spans="2:9" s="5" customFormat="1" hidden="1" x14ac:dyDescent="0.35">
      <c r="B118" s="527" t="s">
        <v>4</v>
      </c>
      <c r="C118" s="535" t="s">
        <v>5</v>
      </c>
      <c r="D118" s="526"/>
      <c r="E118" s="532"/>
      <c r="F118" s="526"/>
      <c r="G118" s="526"/>
      <c r="H118" s="526"/>
      <c r="I118" s="526"/>
    </row>
    <row r="119" spans="2:9" s="5" customFormat="1" hidden="1" x14ac:dyDescent="0.35">
      <c r="B119" s="527"/>
      <c r="C119" s="537"/>
      <c r="D119" s="526"/>
      <c r="E119" s="532"/>
      <c r="F119" s="526"/>
      <c r="G119" s="526"/>
      <c r="H119" s="526"/>
      <c r="I119" s="526"/>
    </row>
    <row r="120" spans="2:9" s="5" customFormat="1" hidden="1" x14ac:dyDescent="0.35">
      <c r="B120" s="527"/>
      <c r="C120" s="550" t="e">
        <f>C112*18.4</f>
        <v>#DIV/0!</v>
      </c>
      <c r="D120" s="526"/>
      <c r="E120" s="532"/>
      <c r="F120" s="526"/>
      <c r="G120" s="526"/>
      <c r="H120" s="526"/>
      <c r="I120" s="526"/>
    </row>
    <row r="121" spans="2:9" s="5" customFormat="1" hidden="1" x14ac:dyDescent="0.35">
      <c r="B121" s="527"/>
      <c r="C121" s="537"/>
      <c r="D121" s="526"/>
      <c r="E121" s="532"/>
      <c r="F121" s="526"/>
      <c r="G121" s="526"/>
      <c r="H121" s="526"/>
      <c r="I121" s="526"/>
    </row>
    <row r="122" spans="2:9" s="5" customFormat="1" hidden="1" x14ac:dyDescent="0.35">
      <c r="B122" s="527" t="s">
        <v>6</v>
      </c>
      <c r="C122" s="535" t="s">
        <v>7</v>
      </c>
      <c r="D122" s="526"/>
      <c r="E122" s="532"/>
      <c r="F122" s="526"/>
      <c r="G122" s="526"/>
      <c r="H122" s="526"/>
      <c r="I122" s="526"/>
    </row>
    <row r="123" spans="2:9" s="5" customFormat="1" hidden="1" x14ac:dyDescent="0.35">
      <c r="B123" s="527"/>
      <c r="C123" s="536" t="e">
        <f>C112/(1.185+(0.00454*$C$11)-(0.0000026*($C$11)^2)+(0.315*0))^2</f>
        <v>#DIV/0!</v>
      </c>
      <c r="D123" s="526"/>
      <c r="E123" s="532"/>
      <c r="F123" s="526"/>
      <c r="G123" s="526"/>
      <c r="H123" s="526"/>
      <c r="I123" s="526"/>
    </row>
    <row r="124" spans="2:9" s="5" customFormat="1" hidden="1" x14ac:dyDescent="0.35">
      <c r="B124" s="527"/>
      <c r="C124" s="537"/>
      <c r="D124" s="526"/>
      <c r="E124" s="532"/>
      <c r="F124" s="526"/>
      <c r="G124" s="526"/>
      <c r="H124" s="526"/>
      <c r="I124" s="526"/>
    </row>
    <row r="125" spans="2:9" s="5" customFormat="1" hidden="1" x14ac:dyDescent="0.35">
      <c r="B125" s="527" t="s">
        <v>8</v>
      </c>
      <c r="C125" s="535" t="s">
        <v>9</v>
      </c>
      <c r="D125" s="526"/>
      <c r="E125" s="532"/>
      <c r="F125" s="526"/>
      <c r="G125" s="526"/>
      <c r="H125" s="526"/>
      <c r="I125" s="526"/>
    </row>
    <row r="126" spans="2:9" s="5" customFormat="1" hidden="1" x14ac:dyDescent="0.35">
      <c r="B126" s="527" t="s">
        <v>153</v>
      </c>
      <c r="C126" s="537"/>
      <c r="D126" s="526"/>
      <c r="E126" s="532"/>
      <c r="F126" s="526"/>
      <c r="G126" s="526"/>
      <c r="H126" s="526"/>
      <c r="I126" s="526"/>
    </row>
    <row r="127" spans="2:9" s="5" customFormat="1" hidden="1" x14ac:dyDescent="0.35">
      <c r="B127" s="527"/>
      <c r="C127" s="550" t="e">
        <f>1.3+(0.112*C104)+(C123*(2.37-(0.05*C104)))</f>
        <v>#DIV/0!</v>
      </c>
      <c r="D127" s="526"/>
      <c r="E127" s="532"/>
      <c r="F127" s="526"/>
      <c r="G127" s="526"/>
      <c r="H127" s="526"/>
      <c r="I127" s="526"/>
    </row>
    <row r="128" spans="2:9" s="5" customFormat="1" hidden="1" x14ac:dyDescent="0.35">
      <c r="B128" s="527"/>
      <c r="C128" s="537"/>
      <c r="D128" s="526"/>
      <c r="E128" s="532"/>
      <c r="F128" s="526"/>
      <c r="G128" s="526"/>
      <c r="H128" s="526"/>
      <c r="I128" s="526"/>
    </row>
    <row r="129" spans="2:9" s="5" customFormat="1" hidden="1" x14ac:dyDescent="0.35">
      <c r="B129" s="527" t="s">
        <v>10</v>
      </c>
      <c r="C129" s="535" t="s">
        <v>1523</v>
      </c>
      <c r="D129" s="526"/>
      <c r="E129" s="532"/>
      <c r="F129" s="526"/>
      <c r="G129" s="526"/>
      <c r="H129" s="526"/>
      <c r="I129" s="526"/>
    </row>
    <row r="130" spans="2:9" s="5" customFormat="1" hidden="1" x14ac:dyDescent="0.35">
      <c r="B130" s="527"/>
      <c r="C130" s="551"/>
      <c r="D130" s="526"/>
      <c r="E130" s="532"/>
      <c r="F130" s="526"/>
      <c r="G130" s="526"/>
      <c r="H130" s="526"/>
      <c r="I130" s="526"/>
    </row>
    <row r="131" spans="2:9" s="5" customFormat="1" ht="15.75" hidden="1" customHeight="1" x14ac:dyDescent="0.35">
      <c r="B131" s="523" t="s">
        <v>11</v>
      </c>
      <c r="C131" s="541" t="e">
        <f>20.7*C112/1000</f>
        <v>#DIV/0!</v>
      </c>
      <c r="D131" s="526"/>
      <c r="E131" s="532"/>
      <c r="F131" s="526"/>
      <c r="G131" s="526"/>
      <c r="H131" s="526"/>
      <c r="I131" s="526"/>
    </row>
    <row r="132" spans="2:9" s="5" customFormat="1" hidden="1" x14ac:dyDescent="0.35">
      <c r="B132" s="543"/>
      <c r="C132" s="542"/>
      <c r="D132" s="526"/>
      <c r="E132" s="532"/>
      <c r="F132" s="526"/>
      <c r="G132" s="526"/>
      <c r="H132" s="526"/>
      <c r="I132" s="526"/>
    </row>
    <row r="133" spans="2:9" s="5" customFormat="1" hidden="1" x14ac:dyDescent="0.35">
      <c r="B133" s="523"/>
      <c r="C133" s="537"/>
      <c r="D133" s="526"/>
      <c r="E133" s="532"/>
      <c r="F133" s="526"/>
      <c r="G133" s="526"/>
      <c r="H133" s="526"/>
      <c r="I133" s="526"/>
    </row>
    <row r="134" spans="2:9" s="5" customFormat="1" hidden="1" x14ac:dyDescent="0.35">
      <c r="B134" s="527"/>
      <c r="C134" s="537"/>
      <c r="D134" s="526"/>
      <c r="E134" s="532"/>
      <c r="F134" s="526"/>
      <c r="G134" s="526"/>
      <c r="H134" s="526"/>
      <c r="I134" s="526"/>
    </row>
    <row r="135" spans="2:9" s="5" customFormat="1" hidden="1" x14ac:dyDescent="0.35">
      <c r="B135" s="527" t="s">
        <v>12</v>
      </c>
      <c r="C135" s="550">
        <f>C10</f>
        <v>0</v>
      </c>
      <c r="D135" s="526"/>
      <c r="E135" s="532"/>
      <c r="F135" s="526"/>
      <c r="G135" s="526"/>
      <c r="H135" s="526"/>
      <c r="I135" s="526"/>
    </row>
    <row r="136" spans="2:9" s="5" customFormat="1" hidden="1" x14ac:dyDescent="0.35">
      <c r="B136" s="527" t="s">
        <v>13</v>
      </c>
      <c r="C136" s="550" t="e">
        <f>C131*C135*365</f>
        <v>#DIV/0!</v>
      </c>
      <c r="D136" s="526"/>
      <c r="E136" s="532"/>
      <c r="F136" s="526"/>
      <c r="G136" s="526"/>
      <c r="H136" s="526"/>
      <c r="I136" s="526"/>
    </row>
    <row r="137" spans="2:9" s="5" customFormat="1" hidden="1" x14ac:dyDescent="0.35">
      <c r="B137" s="523" t="s">
        <v>14</v>
      </c>
      <c r="C137" s="546" t="e">
        <f>C136*'Emission factors'!C4/1000</f>
        <v>#DIV/0!</v>
      </c>
      <c r="D137" s="526"/>
      <c r="E137" s="532"/>
      <c r="F137" s="526"/>
      <c r="G137" s="526"/>
      <c r="H137" s="526"/>
      <c r="I137" s="526"/>
    </row>
    <row r="138" spans="2:9" s="5" customFormat="1" hidden="1" x14ac:dyDescent="0.35">
      <c r="B138" s="543"/>
      <c r="C138" s="543"/>
      <c r="D138" s="526"/>
      <c r="E138" s="526"/>
      <c r="F138" s="526"/>
      <c r="G138" s="526"/>
      <c r="H138" s="526"/>
      <c r="I138" s="526"/>
    </row>
    <row r="139" spans="2:9" s="5" customFormat="1" hidden="1" x14ac:dyDescent="0.35">
      <c r="B139" s="523" t="s">
        <v>25</v>
      </c>
      <c r="C139" s="552" t="e">
        <f>C92-C137</f>
        <v>#DIV/0!</v>
      </c>
      <c r="D139" s="526"/>
      <c r="E139" s="526"/>
      <c r="F139" s="526"/>
      <c r="G139" s="526"/>
      <c r="H139" s="526"/>
      <c r="I139" s="526"/>
    </row>
    <row r="140" spans="2:9" s="5" customFormat="1" hidden="1" x14ac:dyDescent="0.35">
      <c r="B140" s="523"/>
      <c r="C140" s="552"/>
      <c r="D140" s="526"/>
      <c r="E140" s="526"/>
      <c r="F140" s="526"/>
      <c r="G140" s="526"/>
      <c r="H140" s="526"/>
      <c r="I140" s="526"/>
    </row>
    <row r="141" spans="2:9" s="5" customFormat="1" hidden="1" x14ac:dyDescent="0.35">
      <c r="B141" s="526"/>
      <c r="C141" s="526"/>
      <c r="D141" s="526"/>
      <c r="E141" s="526"/>
      <c r="F141" s="526"/>
      <c r="G141" s="526"/>
      <c r="H141" s="526"/>
      <c r="I141" s="526"/>
    </row>
    <row r="142" spans="2:9" s="5" customFormat="1" hidden="1" x14ac:dyDescent="0.35">
      <c r="B142" s="534" t="s">
        <v>187</v>
      </c>
      <c r="C142" s="526"/>
      <c r="D142" s="526"/>
      <c r="E142" s="526"/>
      <c r="F142" s="526"/>
      <c r="G142" s="526"/>
      <c r="H142" s="526"/>
      <c r="I142" s="526"/>
    </row>
    <row r="143" spans="2:9" s="5" customFormat="1" hidden="1" x14ac:dyDescent="0.35">
      <c r="B143" s="526"/>
      <c r="C143" s="526"/>
      <c r="D143" s="526"/>
      <c r="E143" s="526"/>
      <c r="F143" s="526"/>
      <c r="G143" s="526"/>
      <c r="H143" s="526"/>
      <c r="I143" s="526"/>
    </row>
    <row r="144" spans="2:9" s="5" customFormat="1" hidden="1" x14ac:dyDescent="0.35">
      <c r="B144" s="526"/>
      <c r="C144" s="526"/>
      <c r="D144" s="526" t="s">
        <v>49</v>
      </c>
      <c r="E144" s="526" t="s">
        <v>52</v>
      </c>
      <c r="F144" s="526"/>
      <c r="G144" s="526"/>
      <c r="H144" s="526"/>
      <c r="I144" s="526"/>
    </row>
    <row r="145" spans="2:9" s="5" customFormat="1" hidden="1" x14ac:dyDescent="0.35">
      <c r="B145" s="526"/>
      <c r="C145" s="526" t="s">
        <v>188</v>
      </c>
      <c r="D145" s="526">
        <v>0.8</v>
      </c>
      <c r="E145" s="526">
        <v>20</v>
      </c>
      <c r="F145" s="526"/>
      <c r="G145" s="526"/>
      <c r="H145" s="526"/>
      <c r="I145" s="526"/>
    </row>
    <row r="146" spans="2:9" s="5" customFormat="1" hidden="1" x14ac:dyDescent="0.35">
      <c r="B146" s="526"/>
      <c r="C146" s="526"/>
      <c r="D146" s="526"/>
      <c r="E146" s="526"/>
      <c r="F146" s="526"/>
      <c r="G146" s="526"/>
      <c r="H146" s="526"/>
      <c r="I146" s="526"/>
    </row>
    <row r="147" spans="2:9" s="5" customFormat="1" hidden="1" x14ac:dyDescent="0.35">
      <c r="B147" s="526"/>
      <c r="C147" s="526" t="s">
        <v>189</v>
      </c>
      <c r="D147" s="526">
        <v>0.3</v>
      </c>
      <c r="E147" s="526">
        <v>6</v>
      </c>
      <c r="F147" s="526"/>
      <c r="G147" s="526"/>
      <c r="H147" s="526"/>
      <c r="I147" s="526"/>
    </row>
    <row r="148" spans="2:9" s="5" customFormat="1" hidden="1" x14ac:dyDescent="0.35">
      <c r="B148" s="526"/>
      <c r="C148" s="526"/>
      <c r="D148" s="526"/>
      <c r="E148" s="526"/>
      <c r="F148" s="526"/>
      <c r="G148" s="526"/>
      <c r="H148" s="526"/>
      <c r="I148" s="526"/>
    </row>
    <row r="149" spans="2:9" s="5" customFormat="1" hidden="1" x14ac:dyDescent="0.35">
      <c r="B149" s="526"/>
      <c r="C149" s="526"/>
      <c r="D149" s="526"/>
      <c r="E149" s="526"/>
      <c r="F149" s="526"/>
      <c r="G149" s="526"/>
      <c r="H149" s="526"/>
      <c r="I149" s="526"/>
    </row>
    <row r="150" spans="2:9" s="5" customFormat="1" hidden="1" x14ac:dyDescent="0.35">
      <c r="B150" s="526"/>
      <c r="C150" s="526"/>
      <c r="D150" s="526"/>
      <c r="E150" s="526"/>
      <c r="F150" s="526"/>
      <c r="G150" s="526"/>
      <c r="H150" s="526"/>
      <c r="I150" s="526"/>
    </row>
    <row r="151" spans="2:9" s="5" customFormat="1" hidden="1" x14ac:dyDescent="0.35">
      <c r="B151" s="526" t="s">
        <v>51</v>
      </c>
      <c r="C151" s="526">
        <v>1.5</v>
      </c>
      <c r="D151" s="526"/>
      <c r="E151" s="526"/>
      <c r="F151" s="526"/>
      <c r="G151" s="526"/>
      <c r="H151" s="526"/>
      <c r="I151" s="526"/>
    </row>
    <row r="152" spans="2:9" s="5" customFormat="1" hidden="1" x14ac:dyDescent="0.35">
      <c r="B152" s="526"/>
      <c r="C152" s="526"/>
      <c r="D152" s="526"/>
      <c r="E152" s="526">
        <f>(((1+$C$151)*$D$145 - $D$147))/$C$151</f>
        <v>1.1333333333333333</v>
      </c>
      <c r="F152" s="526"/>
      <c r="G152" s="526"/>
      <c r="H152" s="526"/>
      <c r="I152" s="526"/>
    </row>
    <row r="153" spans="2:9" s="5" customFormat="1" hidden="1" x14ac:dyDescent="0.35">
      <c r="B153" s="526"/>
      <c r="C153" s="526"/>
      <c r="D153" s="526"/>
      <c r="E153" s="526"/>
      <c r="F153" s="526"/>
      <c r="G153" s="526"/>
      <c r="H153" s="526"/>
      <c r="I153" s="526"/>
    </row>
    <row r="154" spans="2:9" s="5" customFormat="1" hidden="1" x14ac:dyDescent="0.35">
      <c r="B154" s="526"/>
      <c r="C154" s="526"/>
      <c r="D154" s="526"/>
      <c r="E154" s="526"/>
      <c r="F154" s="526"/>
      <c r="G154" s="526"/>
      <c r="H154" s="526"/>
      <c r="I154" s="526"/>
    </row>
    <row r="155" spans="2:9" s="5" customFormat="1" hidden="1" x14ac:dyDescent="0.35">
      <c r="B155" s="526"/>
      <c r="C155" s="526"/>
      <c r="D155" s="526"/>
      <c r="E155" s="526">
        <f>(D165-0.3)^1.5</f>
        <v>1.1180339887498938E-2</v>
      </c>
      <c r="F155" s="526">
        <f>E153-D165</f>
        <v>-0.35</v>
      </c>
      <c r="G155" s="526">
        <f>F155*E155</f>
        <v>-3.9131189606246277E-3</v>
      </c>
      <c r="H155" s="526">
        <f>G155/G156</f>
        <v>1.3834964763236642E-2</v>
      </c>
      <c r="I155" s="526"/>
    </row>
    <row r="156" spans="2:9" s="5" customFormat="1" hidden="1" x14ac:dyDescent="0.35">
      <c r="B156" s="526"/>
      <c r="C156" s="526"/>
      <c r="D156" s="526"/>
      <c r="E156" s="526">
        <f>(0.8-0.3)^1.5</f>
        <v>0.35355339059327379</v>
      </c>
      <c r="F156" s="526">
        <f>E153-0.8</f>
        <v>-0.8</v>
      </c>
      <c r="G156" s="526">
        <f>E156*F156</f>
        <v>-0.28284271247461906</v>
      </c>
      <c r="H156" s="526"/>
      <c r="I156" s="526"/>
    </row>
    <row r="157" spans="2:9" s="5" customFormat="1" hidden="1" x14ac:dyDescent="0.35">
      <c r="B157" s="526"/>
      <c r="C157" s="526"/>
      <c r="D157" s="526"/>
      <c r="E157" s="526"/>
      <c r="F157" s="526"/>
      <c r="G157" s="526"/>
      <c r="H157" s="526"/>
      <c r="I157" s="526"/>
    </row>
    <row r="158" spans="2:9" s="5" customFormat="1" hidden="1" x14ac:dyDescent="0.35">
      <c r="B158" s="526"/>
      <c r="C158" s="526"/>
      <c r="D158" s="526"/>
      <c r="E158" s="526"/>
      <c r="F158" s="526"/>
      <c r="G158" s="526"/>
      <c r="H158" s="526"/>
      <c r="I158" s="526"/>
    </row>
    <row r="159" spans="2:9" s="5" customFormat="1" hidden="1" x14ac:dyDescent="0.35">
      <c r="B159" s="526"/>
      <c r="C159" s="526"/>
      <c r="D159" s="555" t="s">
        <v>49</v>
      </c>
      <c r="E159" s="526"/>
      <c r="F159" s="526"/>
      <c r="G159" s="526"/>
      <c r="H159" s="555" t="s">
        <v>50</v>
      </c>
      <c r="I159" s="526"/>
    </row>
    <row r="160" spans="2:9" s="5" customFormat="1" hidden="1" x14ac:dyDescent="0.35">
      <c r="B160" s="526"/>
      <c r="C160" s="526"/>
      <c r="D160" s="526">
        <v>0.3</v>
      </c>
      <c r="E160" s="526">
        <f>((D160-$D$147)^$C$151)*($E$152-D160)</f>
        <v>0</v>
      </c>
      <c r="F160" s="526">
        <f>(($D$145-$D$147)^$C$151)*(($E$152-$D$145))</f>
        <v>0.11785113019775791</v>
      </c>
      <c r="G160" s="526">
        <f>E160/F160</f>
        <v>0</v>
      </c>
      <c r="H160" s="526">
        <f>$E$147+(($E$145-$E$147)*G160)</f>
        <v>6</v>
      </c>
      <c r="I160" s="526"/>
    </row>
    <row r="161" spans="2:9" s="5" customFormat="1" hidden="1" x14ac:dyDescent="0.35">
      <c r="B161" s="526"/>
      <c r="C161" s="526"/>
      <c r="D161" s="526">
        <v>0.31</v>
      </c>
      <c r="E161" s="526">
        <f t="shared" ref="E161:E210" si="0">((D161-$D$147)^$C$151)*($E$152-D161)</f>
        <v>8.2333333333333347E-4</v>
      </c>
      <c r="F161" s="526">
        <f t="shared" ref="F161:F210" si="1">(($D$145-$D$147)^$C$151)*(($E$152-$D$145))</f>
        <v>0.11785113019775791</v>
      </c>
      <c r="G161" s="526">
        <f t="shared" ref="G161:G210" si="2">E161/F161</f>
        <v>6.9862149981230913E-3</v>
      </c>
      <c r="H161" s="526">
        <f t="shared" ref="H161:H210" si="3">$E$147+(($E$145-$E$147)*G161)</f>
        <v>6.0978070099737236</v>
      </c>
      <c r="I161" s="526"/>
    </row>
    <row r="162" spans="2:9" s="5" customFormat="1" hidden="1" x14ac:dyDescent="0.35">
      <c r="B162" s="526"/>
      <c r="C162" s="526"/>
      <c r="D162" s="526">
        <v>0.32</v>
      </c>
      <c r="E162" s="526">
        <f t="shared" si="0"/>
        <v>2.300454061460237E-3</v>
      </c>
      <c r="F162" s="526">
        <f t="shared" si="1"/>
        <v>0.11785113019775791</v>
      </c>
      <c r="G162" s="526">
        <f t="shared" si="2"/>
        <v>1.9520000000000023E-2</v>
      </c>
      <c r="H162" s="526">
        <f t="shared" si="3"/>
        <v>6.2732800000000006</v>
      </c>
      <c r="I162" s="526"/>
    </row>
    <row r="163" spans="2:9" s="5" customFormat="1" hidden="1" x14ac:dyDescent="0.35">
      <c r="B163" s="526"/>
      <c r="C163" s="526"/>
      <c r="D163" s="526">
        <v>0.33</v>
      </c>
      <c r="E163" s="526">
        <f t="shared" si="0"/>
        <v>4.1742424462409989E-3</v>
      </c>
      <c r="F163" s="526">
        <f t="shared" si="1"/>
        <v>0.11785113019775791</v>
      </c>
      <c r="G163" s="526">
        <f t="shared" si="2"/>
        <v>3.5419621680644796E-2</v>
      </c>
      <c r="H163" s="526">
        <f t="shared" si="3"/>
        <v>6.4958747035290267</v>
      </c>
      <c r="I163" s="526"/>
    </row>
    <row r="164" spans="2:9" s="5" customFormat="1" hidden="1" x14ac:dyDescent="0.35">
      <c r="B164" s="526"/>
      <c r="C164" s="526"/>
      <c r="D164" s="526">
        <v>0.34</v>
      </c>
      <c r="E164" s="526">
        <f t="shared" si="0"/>
        <v>6.3466666666666741E-3</v>
      </c>
      <c r="F164" s="526">
        <f t="shared" si="1"/>
        <v>0.11785113019775791</v>
      </c>
      <c r="G164" s="526">
        <f t="shared" si="2"/>
        <v>5.3853252455167526E-2</v>
      </c>
      <c r="H164" s="526">
        <f t="shared" si="3"/>
        <v>6.7539455343723453</v>
      </c>
      <c r="I164" s="526"/>
    </row>
    <row r="165" spans="2:9" s="5" customFormat="1" hidden="1" x14ac:dyDescent="0.35">
      <c r="B165" s="526"/>
      <c r="C165" s="526"/>
      <c r="D165" s="526">
        <v>0.35</v>
      </c>
      <c r="E165" s="526">
        <f t="shared" si="0"/>
        <v>8.7579329118741677E-3</v>
      </c>
      <c r="F165" s="526">
        <f t="shared" si="1"/>
        <v>0.11785113019775791</v>
      </c>
      <c r="G165" s="526">
        <f t="shared" si="2"/>
        <v>7.4313525013956855E-2</v>
      </c>
      <c r="H165" s="526">
        <f t="shared" si="3"/>
        <v>7.0403893501953956</v>
      </c>
      <c r="I165" s="526"/>
    </row>
    <row r="166" spans="2:9" s="5" customFormat="1" hidden="1" x14ac:dyDescent="0.35">
      <c r="B166" s="526"/>
      <c r="C166" s="526"/>
      <c r="D166" s="526">
        <v>0.36</v>
      </c>
      <c r="E166" s="526">
        <f t="shared" si="0"/>
        <v>1.1365632406513941E-2</v>
      </c>
      <c r="F166" s="526">
        <f t="shared" si="1"/>
        <v>0.11785113019775791</v>
      </c>
      <c r="G166" s="526">
        <f t="shared" si="2"/>
        <v>9.6440588965435059E-2</v>
      </c>
      <c r="H166" s="526">
        <f t="shared" si="3"/>
        <v>7.350168245516091</v>
      </c>
      <c r="I166" s="526"/>
    </row>
    <row r="167" spans="2:9" s="5" customFormat="1" hidden="1" x14ac:dyDescent="0.35">
      <c r="B167" s="526"/>
      <c r="C167" s="526"/>
      <c r="D167" s="526">
        <v>0.37</v>
      </c>
      <c r="E167" s="526">
        <f t="shared" si="0"/>
        <v>1.4137131172121804E-2</v>
      </c>
      <c r="F167" s="526">
        <f t="shared" si="1"/>
        <v>0.11785113019775791</v>
      </c>
      <c r="G167" s="526">
        <f t="shared" si="2"/>
        <v>0.11995753581997265</v>
      </c>
      <c r="H167" s="526">
        <f t="shared" si="3"/>
        <v>7.679405501479617</v>
      </c>
      <c r="I167" s="526"/>
    </row>
    <row r="168" spans="2:9" s="5" customFormat="1" hidden="1" x14ac:dyDescent="0.35">
      <c r="B168" s="526"/>
      <c r="C168" s="526"/>
      <c r="D168" s="526">
        <v>0.38</v>
      </c>
      <c r="E168" s="526">
        <f t="shared" si="0"/>
        <v>1.7045987471803716E-2</v>
      </c>
      <c r="F168" s="526">
        <f t="shared" si="1"/>
        <v>0.11785113019775791</v>
      </c>
      <c r="G168" s="526">
        <f t="shared" si="2"/>
        <v>0.1446400000000001</v>
      </c>
      <c r="H168" s="526">
        <f t="shared" si="3"/>
        <v>8.0249600000000019</v>
      </c>
      <c r="I168" s="526"/>
    </row>
    <row r="169" spans="2:9" s="5" customFormat="1" hidden="1" x14ac:dyDescent="0.35">
      <c r="B169" s="526"/>
      <c r="C169" s="526"/>
      <c r="D169" s="526">
        <v>0.39</v>
      </c>
      <c r="E169" s="526">
        <f t="shared" si="0"/>
        <v>2.0070000000000005E-2</v>
      </c>
      <c r="F169" s="526">
        <f t="shared" si="1"/>
        <v>0.11785113019775791</v>
      </c>
      <c r="G169" s="526">
        <f t="shared" si="2"/>
        <v>0.17029959718096815</v>
      </c>
      <c r="H169" s="526">
        <f t="shared" si="3"/>
        <v>8.384194360533554</v>
      </c>
      <c r="I169" s="526"/>
    </row>
    <row r="170" spans="2:9" s="5" customFormat="1" hidden="1" x14ac:dyDescent="0.35">
      <c r="B170" s="526"/>
      <c r="C170" s="526"/>
      <c r="D170" s="526">
        <v>0.4</v>
      </c>
      <c r="E170" s="526">
        <f t="shared" si="0"/>
        <v>2.3190036174568118E-2</v>
      </c>
      <c r="F170" s="526">
        <f t="shared" si="1"/>
        <v>0.11785113019775791</v>
      </c>
      <c r="G170" s="526">
        <f t="shared" si="2"/>
        <v>0.19677398201998153</v>
      </c>
      <c r="H170" s="526">
        <f t="shared" si="3"/>
        <v>8.7548357482797421</v>
      </c>
      <c r="I170" s="526"/>
    </row>
    <row r="171" spans="2:9" s="5" customFormat="1" hidden="1" x14ac:dyDescent="0.35">
      <c r="B171" s="526"/>
      <c r="C171" s="526"/>
      <c r="D171" s="526">
        <v>0.41</v>
      </c>
      <c r="E171" s="526">
        <f t="shared" si="0"/>
        <v>2.638927791526112E-2</v>
      </c>
      <c r="F171" s="526">
        <f t="shared" si="1"/>
        <v>0.11785113019775791</v>
      </c>
      <c r="G171" s="526">
        <f t="shared" si="2"/>
        <v>0.22392044837397046</v>
      </c>
      <c r="H171" s="526">
        <f t="shared" si="3"/>
        <v>9.1348862772355872</v>
      </c>
      <c r="I171" s="526"/>
    </row>
    <row r="172" spans="2:9" s="5" customFormat="1" hidden="1" x14ac:dyDescent="0.35">
      <c r="B172" s="526"/>
      <c r="C172" s="526"/>
      <c r="D172" s="526">
        <v>0.42</v>
      </c>
      <c r="E172" s="526">
        <f t="shared" si="0"/>
        <v>2.9652709825579184E-2</v>
      </c>
      <c r="F172" s="526">
        <f t="shared" si="1"/>
        <v>0.11785113019775791</v>
      </c>
      <c r="G172" s="526">
        <f t="shared" si="2"/>
        <v>0.25161158637868813</v>
      </c>
      <c r="H172" s="526">
        <f t="shared" si="3"/>
        <v>9.5225622093016344</v>
      </c>
      <c r="I172" s="526"/>
    </row>
    <row r="173" spans="2:9" s="5" customFormat="1" hidden="1" x14ac:dyDescent="0.35">
      <c r="B173" s="526"/>
      <c r="C173" s="526"/>
      <c r="D173" s="526">
        <v>0.43</v>
      </c>
      <c r="E173" s="526">
        <f t="shared" si="0"/>
        <v>3.2966757161992412E-2</v>
      </c>
      <c r="F173" s="526">
        <f t="shared" si="1"/>
        <v>0.11785113019775791</v>
      </c>
      <c r="G173" s="526">
        <f t="shared" si="2"/>
        <v>0.27973221051570024</v>
      </c>
      <c r="H173" s="526">
        <f t="shared" si="3"/>
        <v>9.9162509472198028</v>
      </c>
      <c r="I173" s="526"/>
    </row>
    <row r="174" spans="2:9" s="5" customFormat="1" hidden="1" x14ac:dyDescent="0.35">
      <c r="B174" s="526"/>
      <c r="C174" s="526"/>
      <c r="D174" s="526">
        <v>0.44</v>
      </c>
      <c r="E174" s="526">
        <f t="shared" si="0"/>
        <v>3.6319021034285734E-2</v>
      </c>
      <c r="F174" s="526">
        <f t="shared" si="1"/>
        <v>0.11785113019775791</v>
      </c>
      <c r="G174" s="526">
        <f t="shared" si="2"/>
        <v>0.30817711271280362</v>
      </c>
      <c r="H174" s="526">
        <f t="shared" si="3"/>
        <v>10.314479577979251</v>
      </c>
      <c r="I174" s="526"/>
    </row>
    <row r="175" spans="2:9" s="5" customFormat="1" hidden="1" x14ac:dyDescent="0.35">
      <c r="B175" s="526"/>
      <c r="C175" s="526"/>
      <c r="D175" s="526">
        <v>0.45</v>
      </c>
      <c r="E175" s="526">
        <f t="shared" si="0"/>
        <v>3.9698079298626038E-2</v>
      </c>
      <c r="F175" s="526">
        <f t="shared" si="1"/>
        <v>0.11785113019775791</v>
      </c>
      <c r="G175" s="526">
        <f t="shared" si="2"/>
        <v>0.33684937286567734</v>
      </c>
      <c r="H175" s="526">
        <f t="shared" si="3"/>
        <v>10.715891220119483</v>
      </c>
      <c r="I175" s="526"/>
    </row>
    <row r="176" spans="2:9" s="5" customFormat="1" hidden="1" x14ac:dyDescent="0.35">
      <c r="B176" s="526"/>
      <c r="C176" s="526"/>
      <c r="D176" s="526">
        <v>0.46</v>
      </c>
      <c r="E176" s="526">
        <f t="shared" si="0"/>
        <v>4.3093333333333345E-2</v>
      </c>
      <c r="F176" s="526">
        <f t="shared" si="1"/>
        <v>0.11785113019775791</v>
      </c>
      <c r="G176" s="526">
        <f t="shared" si="2"/>
        <v>0.36565905868718762</v>
      </c>
      <c r="H176" s="526">
        <f t="shared" si="3"/>
        <v>11.119226821620627</v>
      </c>
      <c r="I176" s="526"/>
    </row>
    <row r="177" spans="2:9" s="5" customFormat="1" hidden="1" x14ac:dyDescent="0.35">
      <c r="B177" s="526"/>
      <c r="C177" s="526"/>
      <c r="D177" s="526">
        <v>0.47</v>
      </c>
      <c r="E177" s="526">
        <f t="shared" si="0"/>
        <v>4.6494887771548477E-2</v>
      </c>
      <c r="F177" s="526">
        <f t="shared" si="1"/>
        <v>0.11785113019775791</v>
      </c>
      <c r="G177" s="526">
        <f t="shared" si="2"/>
        <v>0.39452220520523301</v>
      </c>
      <c r="H177" s="526">
        <f t="shared" si="3"/>
        <v>11.523310872873262</v>
      </c>
      <c r="I177" s="526"/>
    </row>
    <row r="178" spans="2:9" s="5" customFormat="1" hidden="1" x14ac:dyDescent="0.35">
      <c r="B178" s="526"/>
      <c r="C178" s="526"/>
      <c r="D178" s="526">
        <v>0.48</v>
      </c>
      <c r="E178" s="526">
        <f t="shared" si="0"/>
        <v>4.9893454480522785E-2</v>
      </c>
      <c r="F178" s="526">
        <f t="shared" si="1"/>
        <v>0.11785113019775791</v>
      </c>
      <c r="G178" s="526">
        <f t="shared" si="2"/>
        <v>0.42335999999999996</v>
      </c>
      <c r="H178" s="526">
        <f t="shared" si="3"/>
        <v>11.92704</v>
      </c>
      <c r="I178" s="526"/>
    </row>
    <row r="179" spans="2:9" s="5" customFormat="1" hidden="1" x14ac:dyDescent="0.35">
      <c r="B179" s="526"/>
      <c r="C179" s="526"/>
      <c r="D179" s="526">
        <v>0.49</v>
      </c>
      <c r="E179" s="526">
        <f t="shared" si="0"/>
        <v>5.3280274753212162E-2</v>
      </c>
      <c r="F179" s="526">
        <f t="shared" si="1"/>
        <v>0.11785113019775791</v>
      </c>
      <c r="G179" s="526">
        <f t="shared" si="2"/>
        <v>0.45209812297774477</v>
      </c>
      <c r="H179" s="526">
        <f t="shared" si="3"/>
        <v>12.329373721688427</v>
      </c>
      <c r="I179" s="526"/>
    </row>
    <row r="180" spans="2:9" s="5" customFormat="1" hidden="1" x14ac:dyDescent="0.35">
      <c r="B180" s="526"/>
      <c r="C180" s="526"/>
      <c r="D180" s="526">
        <v>0.5</v>
      </c>
      <c r="E180" s="526">
        <f t="shared" si="0"/>
        <v>5.6647055429994687E-2</v>
      </c>
      <c r="F180" s="526">
        <f t="shared" si="1"/>
        <v>0.11785113019775791</v>
      </c>
      <c r="G180" s="526">
        <f t="shared" si="2"/>
        <v>0.48066620434559387</v>
      </c>
      <c r="H180" s="526">
        <f t="shared" si="3"/>
        <v>12.729326860838313</v>
      </c>
      <c r="I180" s="526"/>
    </row>
    <row r="181" spans="2:9" s="5" customFormat="1" hidden="1" x14ac:dyDescent="0.35">
      <c r="B181" s="526"/>
      <c r="C181" s="526"/>
      <c r="D181" s="526">
        <v>0.51</v>
      </c>
      <c r="E181" s="526">
        <f t="shared" si="0"/>
        <v>5.9985915846971945E-2</v>
      </c>
      <c r="F181" s="526">
        <f t="shared" si="1"/>
        <v>0.11785113019775791</v>
      </c>
      <c r="G181" s="526">
        <f t="shared" si="2"/>
        <v>0.50899737445295345</v>
      </c>
      <c r="H181" s="526">
        <f t="shared" si="3"/>
        <v>13.125963242341349</v>
      </c>
      <c r="I181" s="526"/>
    </row>
    <row r="182" spans="2:9" s="5" customFormat="1" hidden="1" x14ac:dyDescent="0.35">
      <c r="B182" s="526"/>
      <c r="C182" s="526"/>
      <c r="D182" s="526">
        <v>0.52</v>
      </c>
      <c r="E182" s="526">
        <f t="shared" si="0"/>
        <v>6.3289343319217511E-2</v>
      </c>
      <c r="F182" s="526">
        <f t="shared" si="1"/>
        <v>0.11785113019775791</v>
      </c>
      <c r="G182" s="526">
        <f t="shared" si="2"/>
        <v>0.5370278860543467</v>
      </c>
      <c r="H182" s="526">
        <f t="shared" si="3"/>
        <v>13.518390404760854</v>
      </c>
      <c r="I182" s="526"/>
    </row>
    <row r="183" spans="2:9" s="5" customFormat="1" hidden="1" x14ac:dyDescent="0.35">
      <c r="B183" s="526"/>
      <c r="C183" s="526"/>
      <c r="D183" s="526">
        <v>0.53</v>
      </c>
      <c r="E183" s="526">
        <f t="shared" si="0"/>
        <v>6.6550155438502845E-2</v>
      </c>
      <c r="F183" s="526">
        <f t="shared" si="1"/>
        <v>0.11785113019775791</v>
      </c>
      <c r="G183" s="526">
        <f t="shared" si="2"/>
        <v>0.56469679439500997</v>
      </c>
      <c r="H183" s="526">
        <f t="shared" si="3"/>
        <v>13.90575512153014</v>
      </c>
      <c r="I183" s="526"/>
    </row>
    <row r="184" spans="2:9" s="5" customFormat="1" hidden="1" x14ac:dyDescent="0.35">
      <c r="B184" s="526"/>
      <c r="C184" s="526"/>
      <c r="D184" s="526">
        <v>0.54</v>
      </c>
      <c r="E184" s="526">
        <f t="shared" si="0"/>
        <v>6.9761467874464925E-2</v>
      </c>
      <c r="F184" s="526">
        <f t="shared" si="1"/>
        <v>0.11785113019775791</v>
      </c>
      <c r="G184" s="526">
        <f t="shared" si="2"/>
        <v>0.59194568399473968</v>
      </c>
      <c r="H184" s="526">
        <f t="shared" si="3"/>
        <v>14.287239575926355</v>
      </c>
      <c r="I184" s="526"/>
    </row>
    <row r="185" spans="2:9" s="5" customFormat="1" hidden="1" x14ac:dyDescent="0.35">
      <c r="B185" s="526"/>
      <c r="C185" s="526"/>
      <c r="D185" s="526">
        <v>0.55000000000000004</v>
      </c>
      <c r="E185" s="526">
        <f t="shared" si="0"/>
        <v>7.2916666666666713E-2</v>
      </c>
      <c r="F185" s="526">
        <f t="shared" si="1"/>
        <v>0.11785113019775791</v>
      </c>
      <c r="G185" s="526">
        <f t="shared" si="2"/>
        <v>0.61871843353822953</v>
      </c>
      <c r="H185" s="526">
        <f t="shared" si="3"/>
        <v>14.662058069535213</v>
      </c>
      <c r="I185" s="526"/>
    </row>
    <row r="186" spans="2:9" s="5" customFormat="1" hidden="1" x14ac:dyDescent="0.35">
      <c r="B186" s="526"/>
      <c r="C186" s="526"/>
      <c r="D186" s="526">
        <v>0.56000000000000005</v>
      </c>
      <c r="E186" s="526">
        <f t="shared" si="0"/>
        <v>7.6009384215956474E-2</v>
      </c>
      <c r="F186" s="526">
        <f t="shared" si="1"/>
        <v>0.11785113019775791</v>
      </c>
      <c r="G186" s="526">
        <f t="shared" si="2"/>
        <v>0.64496101215499868</v>
      </c>
      <c r="H186" s="526">
        <f t="shared" si="3"/>
        <v>15.029454170169981</v>
      </c>
      <c r="I186" s="526"/>
    </row>
    <row r="187" spans="2:9" s="5" customFormat="1" hidden="1" x14ac:dyDescent="0.35">
      <c r="B187" s="526"/>
      <c r="C187" s="526"/>
      <c r="D187" s="526">
        <v>0.56999999999999995</v>
      </c>
      <c r="E187" s="526">
        <f t="shared" si="0"/>
        <v>7.9033478349367858E-2</v>
      </c>
      <c r="F187" s="526">
        <f t="shared" si="1"/>
        <v>0.11785113019775791</v>
      </c>
      <c r="G187" s="526">
        <f t="shared" si="2"/>
        <v>0.67062130177917845</v>
      </c>
      <c r="H187" s="526">
        <f t="shared" si="3"/>
        <v>15.388698224908499</v>
      </c>
      <c r="I187" s="526"/>
    </row>
    <row r="188" spans="2:9" s="5" customFormat="1" hidden="1" x14ac:dyDescent="0.35">
      <c r="B188" s="526"/>
      <c r="C188" s="526"/>
      <c r="D188" s="526">
        <v>0.57999999999999996</v>
      </c>
      <c r="E188" s="526">
        <f t="shared" si="0"/>
        <v>8.1983013958854767E-2</v>
      </c>
      <c r="F188" s="526">
        <f t="shared" si="1"/>
        <v>0.11785113019775791</v>
      </c>
      <c r="G188" s="526">
        <f t="shared" si="2"/>
        <v>0.69564894134901112</v>
      </c>
      <c r="H188" s="526">
        <f t="shared" si="3"/>
        <v>15.739085178886155</v>
      </c>
      <c r="I188" s="526"/>
    </row>
    <row r="189" spans="2:9" s="5" customFormat="1" hidden="1" x14ac:dyDescent="0.35">
      <c r="B189" s="526"/>
      <c r="C189" s="526"/>
      <c r="D189" s="526">
        <v>0.59</v>
      </c>
      <c r="E189" s="526">
        <f t="shared" si="0"/>
        <v>8.4852246811082652E-2</v>
      </c>
      <c r="F189" s="526">
        <f t="shared" si="1"/>
        <v>0.11785113019775791</v>
      </c>
      <c r="G189" s="526">
        <f t="shared" si="2"/>
        <v>0.71999518942837382</v>
      </c>
      <c r="H189" s="526">
        <f t="shared" si="3"/>
        <v>16.079932651997233</v>
      </c>
      <c r="I189" s="526"/>
    </row>
    <row r="190" spans="2:9" s="5" customFormat="1" hidden="1" x14ac:dyDescent="0.35">
      <c r="B190" s="526"/>
      <c r="C190" s="526"/>
      <c r="D190" s="526">
        <v>0.6</v>
      </c>
      <c r="E190" s="526">
        <f t="shared" si="0"/>
        <v>8.7635609200826553E-2</v>
      </c>
      <c r="F190" s="526">
        <f t="shared" si="1"/>
        <v>0.11785113019775791</v>
      </c>
      <c r="G190" s="526">
        <f t="shared" si="2"/>
        <v>0.74361280247182393</v>
      </c>
      <c r="H190" s="526">
        <f t="shared" si="3"/>
        <v>16.410579234605535</v>
      </c>
      <c r="I190" s="526"/>
    </row>
    <row r="191" spans="2:9" s="5" customFormat="1" hidden="1" x14ac:dyDescent="0.35">
      <c r="B191" s="526"/>
      <c r="C191" s="526"/>
      <c r="D191" s="526">
        <v>0.61</v>
      </c>
      <c r="E191" s="526">
        <f t="shared" si="0"/>
        <v>9.0327697179645727E-2</v>
      </c>
      <c r="F191" s="526">
        <f t="shared" si="1"/>
        <v>0.11785113019775791</v>
      </c>
      <c r="G191" s="526">
        <f t="shared" si="2"/>
        <v>0.76645592645630978</v>
      </c>
      <c r="H191" s="526">
        <f t="shared" si="3"/>
        <v>16.730382970388337</v>
      </c>
      <c r="I191" s="526"/>
    </row>
    <row r="192" spans="2:9" s="5" customFormat="1" hidden="1" x14ac:dyDescent="0.35">
      <c r="B192" s="526"/>
      <c r="C192" s="526"/>
      <c r="D192" s="526">
        <v>0.62</v>
      </c>
      <c r="E192" s="526">
        <f t="shared" si="0"/>
        <v>9.2923259138328163E-2</v>
      </c>
      <c r="F192" s="526">
        <f t="shared" si="1"/>
        <v>0.11785113019775791</v>
      </c>
      <c r="G192" s="526">
        <f t="shared" si="2"/>
        <v>0.78848000000000007</v>
      </c>
      <c r="H192" s="526">
        <f t="shared" si="3"/>
        <v>17.038720000000001</v>
      </c>
      <c r="I192" s="526"/>
    </row>
    <row r="193" spans="2:9" s="5" customFormat="1" hidden="1" x14ac:dyDescent="0.35">
      <c r="B193" s="526"/>
      <c r="C193" s="526"/>
      <c r="D193" s="526">
        <v>0.63</v>
      </c>
      <c r="E193" s="526">
        <f t="shared" si="0"/>
        <v>9.5417185558996656E-2</v>
      </c>
      <c r="F193" s="526">
        <f t="shared" si="1"/>
        <v>0.11785113019775791</v>
      </c>
      <c r="G193" s="526">
        <f t="shared" si="2"/>
        <v>0.80964166740601995</v>
      </c>
      <c r="H193" s="526">
        <f t="shared" si="3"/>
        <v>17.334983343684279</v>
      </c>
      <c r="I193" s="526"/>
    </row>
    <row r="194" spans="2:9" s="5" customFormat="1" hidden="1" x14ac:dyDescent="0.35">
      <c r="B194" s="526"/>
      <c r="C194" s="526"/>
      <c r="D194" s="526">
        <v>0.64</v>
      </c>
      <c r="E194" s="526">
        <f t="shared" si="0"/>
        <v>9.7804499782871854E-2</v>
      </c>
      <c r="F194" s="526">
        <f t="shared" si="1"/>
        <v>0.11785113019775791</v>
      </c>
      <c r="G194" s="526">
        <f t="shared" si="2"/>
        <v>0.82989870032432289</v>
      </c>
      <c r="H194" s="526">
        <f t="shared" si="3"/>
        <v>17.618581804540518</v>
      </c>
      <c r="I194" s="526"/>
    </row>
    <row r="195" spans="2:9" s="5" customFormat="1" hidden="1" x14ac:dyDescent="0.35">
      <c r="B195" s="526"/>
      <c r="C195" s="526"/>
      <c r="D195" s="526">
        <v>0.65</v>
      </c>
      <c r="E195" s="526">
        <f t="shared" si="0"/>
        <v>0.10008034966410184</v>
      </c>
      <c r="F195" s="526">
        <f t="shared" si="1"/>
        <v>0.11785113019775791</v>
      </c>
      <c r="G195" s="526">
        <f t="shared" si="2"/>
        <v>0.84920992693208686</v>
      </c>
      <c r="H195" s="526">
        <f t="shared" si="3"/>
        <v>17.888938977049214</v>
      </c>
      <c r="I195" s="526"/>
    </row>
    <row r="196" spans="2:9" s="5" customFormat="1" hidden="1" x14ac:dyDescent="0.35">
      <c r="B196" s="526"/>
      <c r="C196" s="526"/>
      <c r="D196" s="526">
        <v>0.66</v>
      </c>
      <c r="E196" s="526">
        <f t="shared" si="0"/>
        <v>0.10224</v>
      </c>
      <c r="F196" s="526">
        <f t="shared" si="1"/>
        <v>0.11785113019775791</v>
      </c>
      <c r="G196" s="526">
        <f t="shared" si="2"/>
        <v>0.86753516770215156</v>
      </c>
      <c r="H196" s="526">
        <f t="shared" si="3"/>
        <v>18.145492347830121</v>
      </c>
      <c r="I196" s="526"/>
    </row>
    <row r="197" spans="2:9" s="5" customFormat="1" hidden="1" x14ac:dyDescent="0.35">
      <c r="B197" s="526"/>
      <c r="C197" s="526"/>
      <c r="D197" s="526">
        <v>0.67</v>
      </c>
      <c r="E197" s="526">
        <f t="shared" si="0"/>
        <v>0.1042788256444125</v>
      </c>
      <c r="F197" s="526">
        <f t="shared" si="1"/>
        <v>0.11785113019775791</v>
      </c>
      <c r="G197" s="526">
        <f t="shared" si="2"/>
        <v>0.88483517696800484</v>
      </c>
      <c r="H197" s="526">
        <f t="shared" si="3"/>
        <v>18.387692477552068</v>
      </c>
      <c r="I197" s="526"/>
    </row>
    <row r="198" spans="2:9" s="5" customFormat="1" hidden="1" x14ac:dyDescent="0.35">
      <c r="B198" s="526"/>
      <c r="C198" s="526"/>
      <c r="D198" s="526">
        <v>0.68</v>
      </c>
      <c r="E198" s="526">
        <f t="shared" si="0"/>
        <v>0.10619230522447889</v>
      </c>
      <c r="F198" s="526">
        <f t="shared" si="1"/>
        <v>0.11785113019775791</v>
      </c>
      <c r="G198" s="526">
        <f t="shared" si="2"/>
        <v>0.90107158960872813</v>
      </c>
      <c r="H198" s="526">
        <f t="shared" si="3"/>
        <v>18.615002254522196</v>
      </c>
      <c r="I198" s="526"/>
    </row>
    <row r="199" spans="2:9" s="5" customFormat="1" hidden="1" x14ac:dyDescent="0.35">
      <c r="B199" s="526"/>
      <c r="C199" s="526"/>
      <c r="D199" s="526">
        <v>0.69</v>
      </c>
      <c r="E199" s="526">
        <f t="shared" si="0"/>
        <v>0.10797601539230829</v>
      </c>
      <c r="F199" s="526">
        <f t="shared" si="1"/>
        <v>0.11785113019775791</v>
      </c>
      <c r="G199" s="526">
        <f t="shared" si="2"/>
        <v>0.9162068722728508</v>
      </c>
      <c r="H199" s="526">
        <f t="shared" si="3"/>
        <v>18.826896211819911</v>
      </c>
      <c r="I199" s="526"/>
    </row>
    <row r="200" spans="2:9" s="5" customFormat="1" hidden="1" x14ac:dyDescent="0.35">
      <c r="B200" s="526"/>
      <c r="C200" s="526"/>
      <c r="D200" s="526">
        <v>0.7</v>
      </c>
      <c r="E200" s="526">
        <f t="shared" si="0"/>
        <v>0.10962562555250381</v>
      </c>
      <c r="F200" s="526">
        <f t="shared" si="1"/>
        <v>0.11785113019775791</v>
      </c>
      <c r="G200" s="526">
        <f t="shared" si="2"/>
        <v>0.93020427863991262</v>
      </c>
      <c r="H200" s="526">
        <f t="shared" si="3"/>
        <v>19.022859900958778</v>
      </c>
      <c r="I200" s="526"/>
    </row>
    <row r="201" spans="2:9" s="5" customFormat="1" hidden="1" x14ac:dyDescent="0.35">
      <c r="B201" s="526"/>
      <c r="C201" s="526"/>
      <c r="D201" s="526">
        <v>0.71</v>
      </c>
      <c r="E201" s="526">
        <f t="shared" si="0"/>
        <v>0.11113689301437614</v>
      </c>
      <c r="F201" s="526">
        <f t="shared" si="1"/>
        <v>0.11785113019775791</v>
      </c>
      <c r="G201" s="526">
        <f t="shared" si="2"/>
        <v>0.94302780828563071</v>
      </c>
      <c r="H201" s="526">
        <f t="shared" si="3"/>
        <v>19.202389315998829</v>
      </c>
      <c r="I201" s="526"/>
    </row>
    <row r="202" spans="2:9" s="5" customFormat="1" hidden="1" x14ac:dyDescent="0.35">
      <c r="B202" s="526"/>
      <c r="C202" s="526"/>
      <c r="D202" s="526">
        <v>0.72</v>
      </c>
      <c r="E202" s="526">
        <f t="shared" si="0"/>
        <v>0.11250565852436045</v>
      </c>
      <c r="F202" s="526">
        <f t="shared" si="1"/>
        <v>0.11785113019775791</v>
      </c>
      <c r="G202" s="526">
        <f t="shared" si="2"/>
        <v>0.95464216877320074</v>
      </c>
      <c r="H202" s="526">
        <f t="shared" si="3"/>
        <v>19.364990362824813</v>
      </c>
      <c r="I202" s="526"/>
    </row>
    <row r="203" spans="2:9" s="5" customFormat="1" hidden="1" x14ac:dyDescent="0.35">
      <c r="B203" s="526"/>
      <c r="C203" s="526"/>
      <c r="D203" s="526">
        <v>0.73</v>
      </c>
      <c r="E203" s="526">
        <f t="shared" si="0"/>
        <v>0.11372784213981102</v>
      </c>
      <c r="F203" s="526">
        <f t="shared" si="1"/>
        <v>0.11785113019775791</v>
      </c>
      <c r="G203" s="526">
        <f t="shared" si="2"/>
        <v>0.96501274064128295</v>
      </c>
      <c r="H203" s="526">
        <f t="shared" si="3"/>
        <v>19.510178368977961</v>
      </c>
      <c r="I203" s="526"/>
    </row>
    <row r="204" spans="2:9" s="5" customFormat="1" hidden="1" x14ac:dyDescent="0.35">
      <c r="B204" s="526"/>
      <c r="C204" s="526"/>
      <c r="D204" s="526">
        <v>0.74</v>
      </c>
      <c r="E204" s="526">
        <f t="shared" si="0"/>
        <v>0.11479943941016825</v>
      </c>
      <c r="F204" s="526">
        <f t="shared" si="1"/>
        <v>0.11785113019775791</v>
      </c>
      <c r="G204" s="526">
        <f t="shared" si="2"/>
        <v>0.97410554500013002</v>
      </c>
      <c r="H204" s="526">
        <f t="shared" si="3"/>
        <v>19.637477630001818</v>
      </c>
      <c r="I204" s="526"/>
    </row>
    <row r="205" spans="2:9" s="5" customFormat="1" hidden="1" x14ac:dyDescent="0.35">
      <c r="B205" s="526"/>
      <c r="C205" s="526"/>
      <c r="D205" s="526">
        <v>0.75</v>
      </c>
      <c r="E205" s="526">
        <f t="shared" si="0"/>
        <v>0.11571651783561411</v>
      </c>
      <c r="F205" s="526">
        <f t="shared" si="1"/>
        <v>0.11785113019775791</v>
      </c>
      <c r="G205" s="526">
        <f t="shared" si="2"/>
        <v>0.98188721348228181</v>
      </c>
      <c r="H205" s="526">
        <f t="shared" si="3"/>
        <v>19.746420988751943</v>
      </c>
      <c r="I205" s="526"/>
    </row>
    <row r="206" spans="2:9" s="5" customFormat="1" hidden="1" x14ac:dyDescent="0.35">
      <c r="B206" s="526"/>
      <c r="C206" s="526"/>
      <c r="D206" s="526">
        <v>0.76</v>
      </c>
      <c r="E206" s="526">
        <f t="shared" si="0"/>
        <v>0.11647521357687127</v>
      </c>
      <c r="F206" s="526">
        <f t="shared" si="1"/>
        <v>0.11785113019775791</v>
      </c>
      <c r="G206" s="526">
        <f t="shared" si="2"/>
        <v>0.9883249603242853</v>
      </c>
      <c r="H206" s="526">
        <f t="shared" si="3"/>
        <v>19.836549444539994</v>
      </c>
      <c r="I206" s="526"/>
    </row>
    <row r="207" spans="2:9" s="5" customFormat="1" hidden="1" x14ac:dyDescent="0.35">
      <c r="B207" s="526"/>
      <c r="C207" s="526"/>
      <c r="D207" s="526">
        <v>0.77</v>
      </c>
      <c r="E207" s="526">
        <f t="shared" si="0"/>
        <v>0.11707172839284848</v>
      </c>
      <c r="F207" s="526">
        <f t="shared" si="1"/>
        <v>0.11785113019775791</v>
      </c>
      <c r="G207" s="526">
        <f t="shared" si="2"/>
        <v>0.9933865563817541</v>
      </c>
      <c r="H207" s="526">
        <f t="shared" si="3"/>
        <v>19.907411789344557</v>
      </c>
      <c r="I207" s="526"/>
    </row>
    <row r="208" spans="2:9" s="5" customFormat="1" hidden="1" x14ac:dyDescent="0.35">
      <c r="B208" s="526"/>
      <c r="C208" s="526"/>
      <c r="D208" s="526">
        <v>0.78</v>
      </c>
      <c r="E208" s="526">
        <f t="shared" si="0"/>
        <v>0.11750232678547264</v>
      </c>
      <c r="F208" s="526">
        <f t="shared" si="1"/>
        <v>0.11785113019775791</v>
      </c>
      <c r="G208" s="526">
        <f t="shared" si="2"/>
        <v>0.99704030490246498</v>
      </c>
      <c r="H208" s="526">
        <f t="shared" si="3"/>
        <v>19.958564268634511</v>
      </c>
      <c r="I208" s="526"/>
    </row>
    <row r="209" spans="2:9" s="5" customFormat="1" hidden="1" x14ac:dyDescent="0.35">
      <c r="B209" s="526"/>
      <c r="C209" s="526"/>
      <c r="D209" s="526">
        <v>0.79</v>
      </c>
      <c r="E209" s="526">
        <f t="shared" si="0"/>
        <v>0.11776333333333334</v>
      </c>
      <c r="F209" s="526">
        <f t="shared" si="1"/>
        <v>0.11785113019775791</v>
      </c>
      <c r="G209" s="526">
        <f t="shared" si="2"/>
        <v>0.99925501890158175</v>
      </c>
      <c r="H209" s="526">
        <f t="shared" si="3"/>
        <v>19.989570264622145</v>
      </c>
      <c r="I209" s="526"/>
    </row>
    <row r="210" spans="2:9" s="5" customFormat="1" hidden="1" x14ac:dyDescent="0.35">
      <c r="B210" s="526"/>
      <c r="C210" s="526"/>
      <c r="D210" s="526">
        <v>0.8</v>
      </c>
      <c r="E210" s="526">
        <f t="shared" si="0"/>
        <v>0.11785113019775791</v>
      </c>
      <c r="F210" s="526">
        <f t="shared" si="1"/>
        <v>0.11785113019775791</v>
      </c>
      <c r="G210" s="526">
        <f t="shared" si="2"/>
        <v>1</v>
      </c>
      <c r="H210" s="526">
        <f t="shared" si="3"/>
        <v>20</v>
      </c>
      <c r="I210" s="526"/>
    </row>
    <row r="211" spans="2:9" s="5" customFormat="1" hidden="1" x14ac:dyDescent="0.35">
      <c r="B211" s="526"/>
      <c r="C211" s="526"/>
      <c r="D211" s="526"/>
      <c r="E211" s="526"/>
      <c r="F211" s="526"/>
      <c r="G211" s="526"/>
      <c r="H211" s="526"/>
      <c r="I211" s="526"/>
    </row>
    <row r="212" spans="2:9" s="5" customFormat="1" hidden="1" x14ac:dyDescent="0.35">
      <c r="B212" s="526"/>
      <c r="C212" s="526"/>
      <c r="D212" s="526" t="s">
        <v>193</v>
      </c>
      <c r="E212" s="526"/>
      <c r="F212" s="526"/>
      <c r="G212" s="526"/>
      <c r="H212" s="526"/>
      <c r="I212" s="526"/>
    </row>
    <row r="213" spans="2:9" s="5" customFormat="1" hidden="1" x14ac:dyDescent="0.35">
      <c r="B213" s="526" t="s">
        <v>190</v>
      </c>
      <c r="C213" s="526" t="e">
        <f>C15/100</f>
        <v>#DIV/0!</v>
      </c>
      <c r="D213" s="526" t="e">
        <f>VLOOKUP(C213,D160:H210,5,TRUE)</f>
        <v>#DIV/0!</v>
      </c>
      <c r="E213" s="526"/>
      <c r="F213" s="526"/>
      <c r="G213" s="526"/>
      <c r="H213" s="526"/>
      <c r="I213" s="526"/>
    </row>
    <row r="214" spans="2:9" s="5" customFormat="1" hidden="1" x14ac:dyDescent="0.35">
      <c r="B214" s="526" t="s">
        <v>191</v>
      </c>
      <c r="C214" s="526">
        <f>C18/100</f>
        <v>0.78</v>
      </c>
      <c r="D214" s="526">
        <f>VLOOKUP(C214,D160:H210,5,TRUE)</f>
        <v>19.958564268634511</v>
      </c>
      <c r="E214" s="526"/>
      <c r="F214" s="526"/>
      <c r="G214" s="526"/>
      <c r="H214" s="526"/>
      <c r="I214" s="526"/>
    </row>
    <row r="215" spans="2:9" s="5" customFormat="1" hidden="1" x14ac:dyDescent="0.35">
      <c r="B215" s="526"/>
      <c r="C215" s="526" t="s">
        <v>192</v>
      </c>
      <c r="D215" s="526" t="e">
        <f>D214-D213</f>
        <v>#DIV/0!</v>
      </c>
      <c r="E215" s="526"/>
      <c r="F215" s="526"/>
      <c r="G215" s="526"/>
      <c r="H215" s="526"/>
      <c r="I215" s="526"/>
    </row>
    <row r="216" spans="2:9" s="5" customFormat="1" hidden="1" x14ac:dyDescent="0.35">
      <c r="B216" s="526"/>
      <c r="C216" s="526"/>
      <c r="D216" s="526"/>
      <c r="E216" s="526"/>
      <c r="F216" s="526"/>
      <c r="G216" s="526"/>
      <c r="H216" s="526"/>
      <c r="I216" s="526"/>
    </row>
    <row r="217" spans="2:9" s="5" customFormat="1" hidden="1" x14ac:dyDescent="0.35">
      <c r="B217" s="526"/>
      <c r="C217" s="526"/>
      <c r="D217" s="526"/>
      <c r="E217" s="526"/>
      <c r="F217" s="526"/>
      <c r="G217" s="526"/>
      <c r="H217" s="526"/>
      <c r="I217" s="526"/>
    </row>
    <row r="218" spans="2:9" s="5" customFormat="1" hidden="1" x14ac:dyDescent="0.35">
      <c r="B218" s="526" t="s">
        <v>74</v>
      </c>
      <c r="C218" s="526"/>
      <c r="D218" s="526"/>
      <c r="E218" s="526"/>
      <c r="F218" s="526"/>
      <c r="G218" s="526"/>
      <c r="H218" s="526"/>
      <c r="I218" s="526"/>
    </row>
    <row r="219" spans="2:9" s="5" customFormat="1" hidden="1" x14ac:dyDescent="0.35">
      <c r="B219" s="526"/>
      <c r="C219" s="526"/>
      <c r="D219" s="526"/>
      <c r="E219" s="526"/>
      <c r="F219" s="526"/>
      <c r="G219" s="526"/>
      <c r="H219" s="526"/>
      <c r="I219" s="526"/>
    </row>
    <row r="220" spans="2:9" s="5" customFormat="1" hidden="1" x14ac:dyDescent="0.35">
      <c r="B220" s="526"/>
      <c r="C220" s="526"/>
      <c r="D220" s="526"/>
      <c r="E220" s="526"/>
      <c r="F220" s="526"/>
      <c r="G220" s="526"/>
      <c r="H220" s="526"/>
      <c r="I220" s="526"/>
    </row>
    <row r="221" spans="2:9" s="5" customFormat="1" hidden="1" x14ac:dyDescent="0.35"/>
    <row r="222" spans="2:9" s="5" customFormat="1" hidden="1" x14ac:dyDescent="0.35"/>
    <row r="223" spans="2:9" s="5" customFormat="1" hidden="1" x14ac:dyDescent="0.35"/>
    <row r="224" spans="2:9" s="5" customFormat="1" hidden="1" x14ac:dyDescent="0.35"/>
    <row r="225" s="5" customFormat="1" hidden="1" x14ac:dyDescent="0.35"/>
    <row r="226" s="5" customFormat="1" hidden="1" x14ac:dyDescent="0.35"/>
    <row r="227" s="5" customFormat="1" hidden="1" x14ac:dyDescent="0.35"/>
    <row r="228" s="5" customFormat="1" hidden="1" x14ac:dyDescent="0.35"/>
    <row r="229" s="5" customFormat="1" hidden="1" x14ac:dyDescent="0.35"/>
    <row r="230" s="5" customFormat="1" hidden="1" x14ac:dyDescent="0.35"/>
    <row r="231" s="5" customFormat="1" hidden="1" x14ac:dyDescent="0.35"/>
    <row r="232" s="5" customFormat="1" hidden="1" x14ac:dyDescent="0.35"/>
    <row r="233" s="5" customFormat="1" hidden="1" x14ac:dyDescent="0.35"/>
    <row r="234" s="5" customFormat="1" hidden="1" x14ac:dyDescent="0.35"/>
    <row r="235" s="5" customFormat="1" hidden="1" x14ac:dyDescent="0.35"/>
    <row r="236" s="5" customFormat="1" hidden="1" x14ac:dyDescent="0.35"/>
    <row r="237" s="5" customFormat="1" hidden="1" x14ac:dyDescent="0.35"/>
    <row r="238" s="5" customFormat="1" hidden="1" x14ac:dyDescent="0.35"/>
    <row r="239" s="5" customFormat="1" hidden="1" x14ac:dyDescent="0.35"/>
    <row r="240" s="5" customFormat="1" hidden="1" x14ac:dyDescent="0.35"/>
    <row r="241" s="5" customFormat="1" hidden="1" x14ac:dyDescent="0.35"/>
    <row r="242" s="5" customFormat="1" hidden="1" x14ac:dyDescent="0.35"/>
    <row r="243" s="5" customFormat="1" hidden="1" x14ac:dyDescent="0.35"/>
    <row r="244" s="5" customFormat="1" hidden="1" x14ac:dyDescent="0.35"/>
    <row r="245" s="5" customFormat="1" hidden="1" x14ac:dyDescent="0.35"/>
    <row r="246" s="5" customFormat="1" hidden="1" x14ac:dyDescent="0.35"/>
    <row r="247" s="5" customFormat="1" hidden="1" x14ac:dyDescent="0.35"/>
    <row r="248" s="5" customFormat="1" hidden="1" x14ac:dyDescent="0.35"/>
    <row r="249" s="5" customFormat="1" hidden="1" x14ac:dyDescent="0.35"/>
    <row r="250" s="5" customFormat="1" hidden="1" x14ac:dyDescent="0.35"/>
    <row r="251" s="5" customFormat="1" hidden="1" x14ac:dyDescent="0.35"/>
    <row r="252" s="5" customFormat="1" hidden="1" x14ac:dyDescent="0.35"/>
    <row r="253" s="5" customFormat="1" hidden="1" x14ac:dyDescent="0.35"/>
    <row r="254" s="5" customFormat="1" hidden="1" x14ac:dyDescent="0.35"/>
    <row r="255" s="5" customFormat="1" hidden="1" x14ac:dyDescent="0.35"/>
    <row r="256" s="5" customFormat="1" hidden="1" x14ac:dyDescent="0.35"/>
    <row r="257" spans="2:4" s="5" customFormat="1" hidden="1" x14ac:dyDescent="0.35"/>
    <row r="258" spans="2:4" s="5" customFormat="1" hidden="1" x14ac:dyDescent="0.35"/>
    <row r="259" spans="2:4" s="5" customFormat="1" hidden="1" x14ac:dyDescent="0.35"/>
    <row r="260" spans="2:4" s="5" customFormat="1" hidden="1" x14ac:dyDescent="0.35"/>
    <row r="261" spans="2:4" s="5" customFormat="1" hidden="1" x14ac:dyDescent="0.35">
      <c r="B261" s="523" t="s">
        <v>154</v>
      </c>
      <c r="C261" s="526"/>
      <c r="D261" s="526"/>
    </row>
    <row r="262" spans="2:4" s="5" customFormat="1" hidden="1" x14ac:dyDescent="0.35">
      <c r="B262" s="523" t="s">
        <v>441</v>
      </c>
      <c r="C262" s="526"/>
      <c r="D262" s="526"/>
    </row>
    <row r="263" spans="2:4" s="5" customFormat="1" hidden="1" x14ac:dyDescent="0.35">
      <c r="B263" s="527" t="s">
        <v>11</v>
      </c>
      <c r="C263" s="532" t="e">
        <f>'Baseline farm'!D256</f>
        <v>#DIV/0!</v>
      </c>
      <c r="D263" s="526"/>
    </row>
    <row r="264" spans="2:4" s="5" customFormat="1" hidden="1" x14ac:dyDescent="0.35">
      <c r="B264" s="526"/>
      <c r="C264" s="526"/>
      <c r="D264" s="526"/>
    </row>
    <row r="265" spans="2:4" s="5" customFormat="1" hidden="1" x14ac:dyDescent="0.35">
      <c r="B265" s="527" t="s">
        <v>12</v>
      </c>
      <c r="C265" s="544">
        <f>C10</f>
        <v>0</v>
      </c>
      <c r="D265" s="526"/>
    </row>
    <row r="266" spans="2:4" s="5" customFormat="1" hidden="1" x14ac:dyDescent="0.35">
      <c r="B266" s="527" t="s">
        <v>13</v>
      </c>
      <c r="C266" s="545" t="e">
        <f>C263*C265*365</f>
        <v>#DIV/0!</v>
      </c>
      <c r="D266" s="526"/>
    </row>
    <row r="267" spans="2:4" s="5" customFormat="1" hidden="1" x14ac:dyDescent="0.35">
      <c r="B267" s="523" t="s">
        <v>14</v>
      </c>
      <c r="C267" s="546" t="e">
        <f>C266*'Emission factors'!C4/1000</f>
        <v>#DIV/0!</v>
      </c>
      <c r="D267" s="526"/>
    </row>
    <row r="268" spans="2:4" s="5" customFormat="1" hidden="1" x14ac:dyDescent="0.35">
      <c r="B268" s="526"/>
      <c r="C268" s="526"/>
      <c r="D268" s="526"/>
    </row>
    <row r="269" spans="2:4" s="5" customFormat="1" hidden="1" x14ac:dyDescent="0.35">
      <c r="B269" s="526"/>
      <c r="C269" s="526"/>
      <c r="D269" s="526"/>
    </row>
    <row r="270" spans="2:4" s="5" customFormat="1" hidden="1" x14ac:dyDescent="0.35">
      <c r="B270" s="534" t="s">
        <v>155</v>
      </c>
      <c r="C270" s="526"/>
      <c r="D270" s="526"/>
    </row>
    <row r="271" spans="2:4" s="5" customFormat="1" hidden="1" x14ac:dyDescent="0.35">
      <c r="B271" s="523" t="s">
        <v>441</v>
      </c>
      <c r="C271" s="526"/>
      <c r="D271" s="526"/>
    </row>
    <row r="272" spans="2:4" s="5" customFormat="1" hidden="1" x14ac:dyDescent="0.35">
      <c r="B272" s="526"/>
      <c r="C272" s="526"/>
      <c r="D272" s="526"/>
    </row>
    <row r="273" spans="2:6" s="5" customFormat="1" hidden="1" x14ac:dyDescent="0.35">
      <c r="B273" s="556" t="s">
        <v>1368</v>
      </c>
      <c r="C273" s="532" t="e">
        <f>(C112*(1-C18%)+(0.04*C112))*(1-0.08)</f>
        <v>#DIV/0!</v>
      </c>
      <c r="D273" s="526"/>
    </row>
    <row r="274" spans="2:6" s="5" customFormat="1" hidden="1" x14ac:dyDescent="0.35">
      <c r="B274" s="526"/>
      <c r="C274" s="532"/>
      <c r="D274" s="526"/>
    </row>
    <row r="275" spans="2:6" s="5" customFormat="1" hidden="1" x14ac:dyDescent="0.35">
      <c r="B275" s="556" t="s">
        <v>257</v>
      </c>
      <c r="C275" s="532" t="e">
        <f>C273*'Baseline farm'!C244*'Baseline farm'!I102%*'Baseline farm'!C245</f>
        <v>#DIV/0!</v>
      </c>
      <c r="D275" s="526"/>
    </row>
    <row r="276" spans="2:6" s="5" customFormat="1" hidden="1" x14ac:dyDescent="0.35">
      <c r="B276" s="526"/>
      <c r="C276" s="532"/>
      <c r="D276" s="526"/>
    </row>
    <row r="277" spans="2:6" s="5" customFormat="1" hidden="1" x14ac:dyDescent="0.35">
      <c r="B277" s="527" t="s">
        <v>12</v>
      </c>
      <c r="C277" s="544">
        <f>$C$10</f>
        <v>0</v>
      </c>
      <c r="D277" s="526"/>
      <c r="E277" s="532"/>
      <c r="F277" s="539"/>
    </row>
    <row r="278" spans="2:6" s="5" customFormat="1" hidden="1" x14ac:dyDescent="0.35">
      <c r="B278" s="527" t="s">
        <v>13</v>
      </c>
      <c r="C278" s="545" t="e">
        <f>C275*C277*365</f>
        <v>#DIV/0!</v>
      </c>
      <c r="D278" s="526"/>
      <c r="E278" s="541"/>
      <c r="F278" s="539"/>
    </row>
    <row r="279" spans="2:6" s="5" customFormat="1" hidden="1" x14ac:dyDescent="0.35">
      <c r="B279" s="523" t="s">
        <v>450</v>
      </c>
      <c r="C279" s="546" t="e">
        <f>C278*'Emission factors'!C4/1000</f>
        <v>#DIV/0!</v>
      </c>
      <c r="D279" s="526"/>
      <c r="E279" s="532"/>
      <c r="F279" s="539"/>
    </row>
    <row r="280" spans="2:6" s="5" customFormat="1" hidden="1" x14ac:dyDescent="0.35">
      <c r="B280" s="526"/>
      <c r="C280" s="526"/>
      <c r="D280" s="526"/>
    </row>
    <row r="281" spans="2:6" s="5" customFormat="1" hidden="1" x14ac:dyDescent="0.35">
      <c r="B281" s="534" t="s">
        <v>443</v>
      </c>
      <c r="C281" s="552" t="e">
        <f>C267-C279</f>
        <v>#DIV/0!</v>
      </c>
      <c r="D281" s="526"/>
    </row>
    <row r="282" spans="2:6" s="5" customFormat="1" hidden="1" x14ac:dyDescent="0.35"/>
    <row r="283" spans="2:6" s="5" customFormat="1" hidden="1" x14ac:dyDescent="0.35">
      <c r="B283" s="523" t="s">
        <v>154</v>
      </c>
      <c r="C283" s="526"/>
      <c r="D283" s="526"/>
    </row>
    <row r="284" spans="2:6" s="5" customFormat="1" hidden="1" x14ac:dyDescent="0.35">
      <c r="B284" s="557" t="s">
        <v>426</v>
      </c>
      <c r="C284" s="526"/>
      <c r="D284" s="526"/>
    </row>
    <row r="285" spans="2:6" s="5" customFormat="1" hidden="1" x14ac:dyDescent="0.35">
      <c r="B285" s="526" t="s">
        <v>452</v>
      </c>
      <c r="C285" s="532" t="e">
        <f>'Baseline farm'!D115/'Emission factors'!C5*1000</f>
        <v>#DIV/0!</v>
      </c>
      <c r="D285" s="526"/>
    </row>
    <row r="286" spans="2:6" s="5" customFormat="1" hidden="1" x14ac:dyDescent="0.35">
      <c r="B286" s="526"/>
      <c r="C286" s="526"/>
      <c r="D286" s="526"/>
    </row>
    <row r="287" spans="2:6" s="5" customFormat="1" hidden="1" x14ac:dyDescent="0.35">
      <c r="B287" s="557" t="s">
        <v>1342</v>
      </c>
      <c r="C287" s="526"/>
      <c r="D287" s="526"/>
    </row>
    <row r="288" spans="2:6" s="5" customFormat="1" hidden="1" x14ac:dyDescent="0.35">
      <c r="B288" s="526" t="s">
        <v>452</v>
      </c>
      <c r="C288" s="532" t="e">
        <f>'Baseline farm'!D116/'Emission factors'!C5*1000</f>
        <v>#DIV/0!</v>
      </c>
      <c r="D288" s="526"/>
    </row>
    <row r="289" spans="2:10" s="5" customFormat="1" hidden="1" x14ac:dyDescent="0.35">
      <c r="B289" s="526"/>
      <c r="C289" s="526"/>
      <c r="D289" s="526"/>
    </row>
    <row r="290" spans="2:10" s="5" customFormat="1" hidden="1" x14ac:dyDescent="0.35">
      <c r="B290" s="557" t="s">
        <v>423</v>
      </c>
      <c r="C290" s="526"/>
      <c r="D290" s="526"/>
    </row>
    <row r="291" spans="2:10" s="5" customFormat="1" hidden="1" x14ac:dyDescent="0.35">
      <c r="B291" s="526" t="s">
        <v>452</v>
      </c>
      <c r="C291" s="532" t="e">
        <f>'Baseline farm'!D117/'Emission factors'!C5*1000</f>
        <v>#DIV/0!</v>
      </c>
      <c r="D291" s="526"/>
    </row>
    <row r="292" spans="2:10" s="5" customFormat="1" hidden="1" x14ac:dyDescent="0.35">
      <c r="B292" s="526"/>
      <c r="C292" s="526"/>
      <c r="D292" s="526"/>
    </row>
    <row r="293" spans="2:10" s="5" customFormat="1" hidden="1" x14ac:dyDescent="0.35">
      <c r="B293" s="534" t="s">
        <v>447</v>
      </c>
      <c r="C293" s="526"/>
      <c r="D293" s="526"/>
    </row>
    <row r="294" spans="2:10" s="5" customFormat="1" hidden="1" x14ac:dyDescent="0.35">
      <c r="B294" s="526" t="s">
        <v>452</v>
      </c>
      <c r="C294" s="532" t="e">
        <f>C285+C288+C291</f>
        <v>#DIV/0!</v>
      </c>
      <c r="D294" s="526"/>
    </row>
    <row r="295" spans="2:10" s="5" customFormat="1" hidden="1" x14ac:dyDescent="0.35">
      <c r="B295" s="526"/>
      <c r="C295" s="526"/>
      <c r="D295" s="526"/>
    </row>
    <row r="296" spans="2:10" s="5" customFormat="1" hidden="1" x14ac:dyDescent="0.35">
      <c r="B296" s="523" t="s">
        <v>449</v>
      </c>
      <c r="C296" s="546" t="e">
        <f>C294*'Emission factors'!C5/1000</f>
        <v>#DIV/0!</v>
      </c>
      <c r="D296" s="526"/>
      <c r="E296" s="532"/>
      <c r="F296" s="539"/>
    </row>
    <row r="297" spans="2:10" s="5" customFormat="1" hidden="1" x14ac:dyDescent="0.35"/>
    <row r="298" spans="2:10" s="5" customFormat="1" hidden="1" x14ac:dyDescent="0.35">
      <c r="B298" s="534" t="s">
        <v>155</v>
      </c>
    </row>
    <row r="299" spans="2:10" s="5" customFormat="1" hidden="1" x14ac:dyDescent="0.35"/>
    <row r="300" spans="2:10" s="5" customFormat="1" ht="15.5" hidden="1" x14ac:dyDescent="0.35">
      <c r="B300" s="60" t="s">
        <v>267</v>
      </c>
      <c r="C300" s="60" t="s">
        <v>216</v>
      </c>
      <c r="D300" s="61" t="s">
        <v>451</v>
      </c>
      <c r="E300" s="61"/>
      <c r="F300" s="61"/>
      <c r="G300" s="61"/>
      <c r="H300" s="61"/>
      <c r="I300" s="61">
        <f>I168</f>
        <v>0</v>
      </c>
      <c r="J300" s="62" t="s">
        <v>230</v>
      </c>
    </row>
    <row r="301" spans="2:10" s="5" customFormat="1" ht="15.5" hidden="1" x14ac:dyDescent="0.35">
      <c r="B301" s="63"/>
      <c r="C301" s="63"/>
      <c r="D301" s="63"/>
      <c r="E301" s="63"/>
      <c r="F301" s="63"/>
      <c r="G301" s="63"/>
      <c r="H301" s="63"/>
      <c r="I301" s="63"/>
      <c r="J301" s="64"/>
    </row>
    <row r="302" spans="2:10" s="5" customFormat="1" ht="15.5" hidden="1" x14ac:dyDescent="0.35">
      <c r="B302" s="65" t="s">
        <v>268</v>
      </c>
      <c r="C302" s="63"/>
      <c r="D302" s="65" t="s">
        <v>269</v>
      </c>
      <c r="E302" s="66"/>
      <c r="F302" s="66"/>
      <c r="G302" s="67"/>
      <c r="H302" s="63"/>
      <c r="I302" s="63"/>
      <c r="J302" s="64" t="s">
        <v>270</v>
      </c>
    </row>
    <row r="303" spans="2:10" s="5" customFormat="1" ht="15.5" hidden="1" x14ac:dyDescent="0.35">
      <c r="B303" s="63"/>
      <c r="C303" s="68" t="s">
        <v>434</v>
      </c>
      <c r="D303" s="971" t="e">
        <f>C112*C20%</f>
        <v>#DIV/0!</v>
      </c>
      <c r="E303" s="69"/>
      <c r="F303" s="69"/>
      <c r="G303" s="69"/>
      <c r="H303" s="69"/>
      <c r="I303" s="63" t="s">
        <v>255</v>
      </c>
      <c r="J303" s="64"/>
    </row>
    <row r="304" spans="2:10" s="5" customFormat="1" ht="15.5" hidden="1" x14ac:dyDescent="0.35">
      <c r="B304" s="70"/>
      <c r="C304" s="70"/>
      <c r="D304" s="70"/>
      <c r="E304" s="70"/>
      <c r="F304" s="70"/>
      <c r="G304" s="71"/>
      <c r="H304" s="63"/>
      <c r="I304" s="63"/>
      <c r="J304" s="64"/>
    </row>
    <row r="305" spans="2:10" s="5" customFormat="1" ht="15.5" hidden="1" x14ac:dyDescent="0.35">
      <c r="B305" s="65" t="s">
        <v>271</v>
      </c>
      <c r="C305" s="66"/>
      <c r="D305" s="65" t="s">
        <v>272</v>
      </c>
      <c r="E305" s="66"/>
      <c r="F305" s="66"/>
      <c r="G305" s="67"/>
      <c r="H305" s="63"/>
      <c r="I305" s="63"/>
      <c r="J305" s="64" t="s">
        <v>273</v>
      </c>
    </row>
    <row r="306" spans="2:10" s="5" customFormat="1" ht="15.5" hidden="1" x14ac:dyDescent="0.35">
      <c r="B306" s="66"/>
      <c r="C306" s="63"/>
      <c r="D306" s="63" t="s">
        <v>274</v>
      </c>
      <c r="E306" s="66"/>
      <c r="F306" s="66"/>
      <c r="G306" s="67"/>
      <c r="H306" s="63"/>
      <c r="I306" s="63"/>
      <c r="J306" s="64"/>
    </row>
    <row r="307" spans="2:10" s="5" customFormat="1" ht="15.5" hidden="1" x14ac:dyDescent="0.35">
      <c r="B307" s="63"/>
      <c r="C307" s="63"/>
      <c r="D307" s="63" t="s">
        <v>275</v>
      </c>
      <c r="E307" s="72"/>
      <c r="F307" s="72"/>
      <c r="G307" s="67"/>
      <c r="H307" s="63"/>
      <c r="I307" s="63"/>
      <c r="J307" s="64"/>
    </row>
    <row r="308" spans="2:10" s="5" customFormat="1" ht="15.5" hidden="1" x14ac:dyDescent="0.35">
      <c r="B308" s="63"/>
      <c r="C308" s="68" t="s">
        <v>434</v>
      </c>
      <c r="D308" s="908" t="e">
        <f>(0.3*((D303*(1-((C18+10)/100))))+(0.105*((C105)*C112*0.008))+(0.0152*C112))/6.25</f>
        <v>#DIV/0!</v>
      </c>
      <c r="E308" s="69"/>
      <c r="F308" s="69"/>
      <c r="G308" s="69"/>
      <c r="H308" s="69"/>
      <c r="I308" s="63" t="s">
        <v>255</v>
      </c>
      <c r="J308" s="64"/>
    </row>
    <row r="309" spans="2:10" s="5" customFormat="1" ht="15.5" hidden="1" x14ac:dyDescent="0.35">
      <c r="B309" s="63"/>
      <c r="C309" s="63"/>
      <c r="D309" s="63"/>
      <c r="E309" s="63"/>
      <c r="F309" s="63"/>
      <c r="G309" s="63"/>
      <c r="H309" s="63"/>
      <c r="I309" s="63"/>
      <c r="J309" s="64"/>
    </row>
    <row r="310" spans="2:10" s="5" customFormat="1" ht="18" hidden="1" x14ac:dyDescent="0.45">
      <c r="B310" s="65" t="s">
        <v>276</v>
      </c>
      <c r="C310" s="63"/>
      <c r="D310" s="73" t="s">
        <v>1364</v>
      </c>
      <c r="E310" s="74"/>
      <c r="F310" s="74"/>
      <c r="G310" s="74"/>
      <c r="H310" s="74"/>
      <c r="I310" s="63"/>
      <c r="J310" s="64" t="s">
        <v>277</v>
      </c>
    </row>
    <row r="311" spans="2:10" s="5" customFormat="1" ht="16" hidden="1" thickBot="1" x14ac:dyDescent="0.4">
      <c r="B311" s="63"/>
      <c r="C311" s="63"/>
      <c r="D311" s="63"/>
      <c r="E311" s="63"/>
      <c r="F311" s="63"/>
      <c r="G311" s="63"/>
      <c r="H311" s="63"/>
      <c r="I311" s="63"/>
      <c r="J311" s="64"/>
    </row>
    <row r="312" spans="2:10" s="5" customFormat="1" ht="16" hidden="1" thickBot="1" x14ac:dyDescent="0.4">
      <c r="B312" s="75"/>
      <c r="C312" s="76" t="s">
        <v>804</v>
      </c>
      <c r="D312" s="77"/>
      <c r="E312" s="77"/>
      <c r="F312" s="77"/>
      <c r="G312" s="77"/>
      <c r="H312" s="78"/>
      <c r="I312" s="63"/>
      <c r="J312" s="64" t="s">
        <v>278</v>
      </c>
    </row>
    <row r="313" spans="2:10" s="5" customFormat="1" ht="15.5" hidden="1" x14ac:dyDescent="0.35">
      <c r="B313" s="63"/>
      <c r="C313" s="76"/>
      <c r="D313" s="116" t="s">
        <v>212</v>
      </c>
      <c r="E313" s="77"/>
      <c r="F313" s="77"/>
      <c r="G313" s="77"/>
      <c r="H313" s="78"/>
      <c r="I313" s="63"/>
      <c r="J313" s="64"/>
    </row>
    <row r="314" spans="2:10" s="5" customFormat="1" ht="15.5" hidden="1" x14ac:dyDescent="0.35">
      <c r="B314" s="75">
        <v>1</v>
      </c>
      <c r="C314" s="473" t="s">
        <v>912</v>
      </c>
      <c r="D314" s="117">
        <v>590</v>
      </c>
      <c r="E314" s="79"/>
      <c r="F314" s="79"/>
      <c r="G314" s="79"/>
      <c r="H314" s="80"/>
      <c r="I314" s="63"/>
      <c r="J314" s="64"/>
    </row>
    <row r="315" spans="2:10" s="5" customFormat="1" ht="15.5" hidden="1" x14ac:dyDescent="0.35">
      <c r="B315" s="75">
        <v>2</v>
      </c>
      <c r="C315" s="473" t="s">
        <v>917</v>
      </c>
      <c r="D315" s="117">
        <v>590</v>
      </c>
      <c r="E315" s="79"/>
      <c r="F315" s="79"/>
      <c r="G315" s="79"/>
      <c r="H315" s="80"/>
      <c r="I315" s="63"/>
      <c r="J315" s="64"/>
    </row>
    <row r="316" spans="2:10" s="5" customFormat="1" ht="15.5" hidden="1" x14ac:dyDescent="0.35">
      <c r="B316" s="75">
        <v>3</v>
      </c>
      <c r="C316" s="473" t="s">
        <v>866</v>
      </c>
      <c r="D316" s="117">
        <v>590</v>
      </c>
      <c r="E316" s="79"/>
      <c r="F316" s="79"/>
      <c r="G316" s="79"/>
      <c r="H316" s="80"/>
      <c r="I316" s="75"/>
      <c r="J316" s="64"/>
    </row>
    <row r="317" spans="2:10" s="5" customFormat="1" ht="15.5" hidden="1" x14ac:dyDescent="0.35">
      <c r="B317" s="75">
        <v>4</v>
      </c>
      <c r="C317" s="473" t="s">
        <v>914</v>
      </c>
      <c r="D317" s="117">
        <v>590</v>
      </c>
      <c r="E317" s="79"/>
      <c r="F317" s="79"/>
      <c r="G317" s="79"/>
      <c r="H317" s="80"/>
      <c r="I317" s="63"/>
      <c r="J317" s="64"/>
    </row>
    <row r="318" spans="2:10" s="5" customFormat="1" ht="15.5" hidden="1" x14ac:dyDescent="0.35">
      <c r="B318" s="75">
        <v>5</v>
      </c>
      <c r="C318" s="473" t="s">
        <v>918</v>
      </c>
      <c r="D318" s="117">
        <v>590</v>
      </c>
      <c r="E318" s="79"/>
      <c r="F318" s="79"/>
      <c r="G318" s="79"/>
      <c r="H318" s="80"/>
      <c r="I318" s="63"/>
      <c r="J318" s="64"/>
    </row>
    <row r="319" spans="2:10" s="5" customFormat="1" ht="15.5" hidden="1" x14ac:dyDescent="0.35">
      <c r="B319" s="75">
        <v>6</v>
      </c>
      <c r="C319" s="474" t="s">
        <v>919</v>
      </c>
      <c r="D319" s="117">
        <v>590</v>
      </c>
      <c r="E319" s="79"/>
      <c r="F319" s="79"/>
      <c r="G319" s="79"/>
      <c r="H319" s="80"/>
      <c r="I319" s="63"/>
      <c r="J319" s="64"/>
    </row>
    <row r="320" spans="2:10" s="5" customFormat="1" ht="16" hidden="1" thickBot="1" x14ac:dyDescent="0.4">
      <c r="B320" s="75">
        <v>7</v>
      </c>
      <c r="C320" s="475" t="s">
        <v>920</v>
      </c>
      <c r="D320" s="117">
        <v>590</v>
      </c>
      <c r="E320" s="79"/>
      <c r="F320" s="79"/>
      <c r="G320" s="79"/>
      <c r="H320" s="80"/>
      <c r="I320" s="63"/>
      <c r="J320" s="64"/>
    </row>
    <row r="321" spans="2:10" s="5" customFormat="1" ht="16" hidden="1" thickBot="1" x14ac:dyDescent="0.4">
      <c r="B321" s="63"/>
      <c r="C321" s="81" t="s">
        <v>228</v>
      </c>
      <c r="D321" s="118" t="e">
        <f>VLOOKUP('Baseline farm'!$D$15,$C$314:$H$320,2,FALSE)</f>
        <v>#N/A</v>
      </c>
      <c r="E321" s="82"/>
      <c r="F321" s="82"/>
      <c r="G321" s="82"/>
      <c r="H321" s="82"/>
      <c r="I321" s="63"/>
      <c r="J321" s="64"/>
    </row>
    <row r="322" spans="2:10" s="5" customFormat="1" ht="16" hidden="1" thickBot="1" x14ac:dyDescent="0.4">
      <c r="B322" s="63"/>
      <c r="C322" s="81" t="s">
        <v>300</v>
      </c>
      <c r="D322" s="119" t="e">
        <f>IF(D321&gt;0,C11/D321,0)</f>
        <v>#N/A</v>
      </c>
      <c r="E322" s="83"/>
      <c r="F322" s="83"/>
      <c r="G322" s="83"/>
      <c r="H322" s="84"/>
      <c r="I322" s="75"/>
      <c r="J322" s="64"/>
    </row>
    <row r="323" spans="2:10" s="5" customFormat="1" ht="15.5" hidden="1" x14ac:dyDescent="0.35">
      <c r="B323" s="63"/>
      <c r="C323" s="63"/>
      <c r="D323" s="63"/>
      <c r="E323" s="63"/>
      <c r="F323" s="63"/>
      <c r="G323" s="63"/>
      <c r="H323" s="63"/>
      <c r="I323" s="63"/>
      <c r="J323" s="64"/>
    </row>
    <row r="324" spans="2:10" s="5" customFormat="1" ht="15.5" hidden="1" x14ac:dyDescent="0.35">
      <c r="B324" s="63"/>
      <c r="C324" s="68" t="s">
        <v>434</v>
      </c>
      <c r="D324" s="85" t="e">
        <f>((0.032*C103*1.03/6.38)+((0.212-0.008*(C123-2)-((0.14-0.008*(C123-2))/(1+EXP(-6*(D322-0.4)))))*(C12*0.92))/6.25)</f>
        <v>#DIV/0!</v>
      </c>
      <c r="E324" s="85"/>
      <c r="F324" s="85"/>
      <c r="G324" s="85"/>
      <c r="H324" s="85"/>
      <c r="I324" s="75" t="s">
        <v>283</v>
      </c>
      <c r="J324" s="64"/>
    </row>
    <row r="325" spans="2:10" s="5" customFormat="1" ht="15.5" hidden="1" x14ac:dyDescent="0.35">
      <c r="B325" s="63"/>
      <c r="C325" s="86"/>
      <c r="D325" s="85"/>
      <c r="E325" s="85"/>
      <c r="F325" s="85"/>
      <c r="G325" s="85"/>
      <c r="H325" s="85"/>
      <c r="I325" s="75"/>
      <c r="J325" s="64"/>
    </row>
    <row r="326" spans="2:10" s="5" customFormat="1" ht="18.5" hidden="1" x14ac:dyDescent="0.35">
      <c r="B326" s="65" t="s">
        <v>284</v>
      </c>
      <c r="C326" s="63"/>
      <c r="D326" s="87" t="s">
        <v>285</v>
      </c>
      <c r="E326" s="85"/>
      <c r="F326" s="85"/>
      <c r="G326" s="85"/>
      <c r="H326" s="63"/>
      <c r="I326" s="75"/>
      <c r="J326" s="64" t="s">
        <v>286</v>
      </c>
    </row>
    <row r="327" spans="2:10" s="5" customFormat="1" ht="15.5" hidden="1" x14ac:dyDescent="0.35">
      <c r="B327" s="63"/>
      <c r="C327" s="68" t="s">
        <v>434</v>
      </c>
      <c r="D327" s="85" t="e">
        <f>(D303/6.25)-D324-D308-((1.1*10^-4*C11^0.75)/6.25)</f>
        <v>#DIV/0!</v>
      </c>
      <c r="E327" s="85"/>
      <c r="F327" s="85"/>
      <c r="G327" s="85"/>
      <c r="H327" s="85"/>
      <c r="I327" s="75" t="s">
        <v>283</v>
      </c>
      <c r="J327" s="64"/>
    </row>
    <row r="328" spans="2:10" s="5" customFormat="1" ht="15.5" hidden="1" x14ac:dyDescent="0.35">
      <c r="B328" s="63"/>
      <c r="C328" s="63"/>
      <c r="D328" s="63"/>
      <c r="E328" s="63"/>
      <c r="F328" s="63"/>
      <c r="G328" s="63"/>
      <c r="H328" s="63"/>
      <c r="I328" s="75"/>
      <c r="J328" s="64"/>
    </row>
    <row r="329" spans="2:10" s="5" customFormat="1" ht="15.5" hidden="1" x14ac:dyDescent="0.35">
      <c r="B329" s="65" t="s">
        <v>444</v>
      </c>
      <c r="C329" s="63"/>
      <c r="D329" s="65" t="s">
        <v>436</v>
      </c>
      <c r="E329" s="63"/>
      <c r="F329" s="63"/>
      <c r="G329" s="63"/>
      <c r="H329" s="63"/>
      <c r="I329" s="75"/>
      <c r="J329" s="64" t="s">
        <v>287</v>
      </c>
    </row>
    <row r="330" spans="2:10" s="5" customFormat="1" ht="15.5" hidden="1" x14ac:dyDescent="0.35">
      <c r="B330" s="63"/>
      <c r="C330" s="63"/>
      <c r="D330" s="63"/>
      <c r="E330" s="63"/>
      <c r="F330" s="63"/>
      <c r="G330" s="63"/>
      <c r="H330" s="63"/>
      <c r="I330" s="63"/>
      <c r="J330" s="64"/>
    </row>
    <row r="331" spans="2:10" s="5" customFormat="1" ht="15.5" hidden="1" x14ac:dyDescent="0.35">
      <c r="B331" s="63"/>
      <c r="C331" s="68" t="s">
        <v>434</v>
      </c>
      <c r="D331" s="69" t="e">
        <f>(365*C10*D308)*10^-6</f>
        <v>#DIV/0!</v>
      </c>
      <c r="E331" s="69"/>
      <c r="F331" s="69"/>
      <c r="G331" s="69"/>
      <c r="H331" s="69"/>
      <c r="I331" s="63" t="s">
        <v>438</v>
      </c>
      <c r="J331" s="64"/>
    </row>
    <row r="332" spans="2:10" s="5" customFormat="1" ht="15.5" hidden="1" x14ac:dyDescent="0.35">
      <c r="B332" s="63"/>
      <c r="C332" s="63"/>
      <c r="D332" s="63"/>
      <c r="E332" s="63"/>
      <c r="F332" s="63"/>
      <c r="G332" s="63"/>
      <c r="H332" s="63"/>
      <c r="I332" s="63"/>
      <c r="J332" s="64"/>
    </row>
    <row r="333" spans="2:10" s="5" customFormat="1" ht="15.5" hidden="1" x14ac:dyDescent="0.35">
      <c r="B333" s="65" t="s">
        <v>445</v>
      </c>
      <c r="C333" s="63"/>
      <c r="D333" s="65" t="s">
        <v>437</v>
      </c>
      <c r="E333" s="63"/>
      <c r="F333" s="63"/>
      <c r="G333" s="63"/>
      <c r="H333" s="63"/>
      <c r="I333" s="63"/>
      <c r="J333" s="64" t="s">
        <v>289</v>
      </c>
    </row>
    <row r="334" spans="2:10" s="5" customFormat="1" ht="15.5" hidden="1" x14ac:dyDescent="0.35">
      <c r="B334" s="63"/>
      <c r="C334" s="63"/>
      <c r="D334" s="63"/>
      <c r="E334" s="63"/>
      <c r="F334" s="63"/>
      <c r="G334" s="63"/>
      <c r="H334" s="63"/>
      <c r="I334" s="63"/>
      <c r="J334" s="64"/>
    </row>
    <row r="335" spans="2:10" s="5" customFormat="1" ht="15.5" hidden="1" x14ac:dyDescent="0.35">
      <c r="B335" s="63"/>
      <c r="C335" s="68" t="s">
        <v>434</v>
      </c>
      <c r="D335" s="85" t="e">
        <f>(365*C10*D327)*10^-6</f>
        <v>#DIV/0!</v>
      </c>
      <c r="E335" s="85"/>
      <c r="F335" s="85"/>
      <c r="G335" s="85"/>
      <c r="H335" s="85"/>
      <c r="I335" s="63" t="s">
        <v>438</v>
      </c>
      <c r="J335" s="64"/>
    </row>
    <row r="336" spans="2:10" s="5" customFormat="1" ht="15.5" hidden="1" x14ac:dyDescent="0.35">
      <c r="B336" s="63"/>
      <c r="C336" s="63"/>
      <c r="D336" s="63"/>
      <c r="E336" s="63"/>
      <c r="F336" s="63"/>
      <c r="G336" s="63"/>
      <c r="H336" s="63"/>
      <c r="I336" s="63"/>
      <c r="J336" s="64"/>
    </row>
    <row r="337" spans="2:10" s="5" customFormat="1" ht="15.5" hidden="1" x14ac:dyDescent="0.35">
      <c r="B337" s="65" t="s">
        <v>446</v>
      </c>
      <c r="C337" s="63"/>
      <c r="D337" s="65" t="s">
        <v>290</v>
      </c>
      <c r="E337" s="63"/>
      <c r="F337" s="63"/>
      <c r="G337" s="63"/>
      <c r="H337" s="63"/>
      <c r="I337" s="63"/>
      <c r="J337" s="64"/>
    </row>
    <row r="338" spans="2:10" s="5" customFormat="1" ht="15.5" hidden="1" x14ac:dyDescent="0.35">
      <c r="B338" s="63"/>
      <c r="C338" s="63"/>
      <c r="D338" s="88"/>
      <c r="E338" s="88"/>
      <c r="F338" s="88"/>
      <c r="G338" s="88"/>
      <c r="H338" s="88"/>
      <c r="I338" s="75"/>
      <c r="J338" s="64"/>
    </row>
    <row r="339" spans="2:10" s="5" customFormat="1" ht="15.5" hidden="1" x14ac:dyDescent="0.35">
      <c r="B339" s="63"/>
      <c r="C339" s="68" t="s">
        <v>434</v>
      </c>
      <c r="D339" s="88" t="e">
        <f>D331+D335</f>
        <v>#DIV/0!</v>
      </c>
      <c r="E339" s="88"/>
      <c r="F339" s="88"/>
      <c r="G339" s="88"/>
      <c r="H339" s="88"/>
      <c r="I339" s="63" t="s">
        <v>438</v>
      </c>
      <c r="J339" s="64"/>
    </row>
    <row r="340" spans="2:10" s="5" customFormat="1" ht="15.5" hidden="1" x14ac:dyDescent="0.35">
      <c r="B340" s="63"/>
      <c r="C340" s="68"/>
      <c r="D340" s="63"/>
      <c r="E340" s="63"/>
      <c r="F340" s="63"/>
      <c r="G340" s="63"/>
      <c r="H340" s="63"/>
      <c r="I340" s="63"/>
      <c r="J340" s="64"/>
    </row>
    <row r="341" spans="2:10" s="5" customFormat="1" ht="15.5" hidden="1" x14ac:dyDescent="0.35">
      <c r="B341" s="192" t="s">
        <v>291</v>
      </c>
      <c r="C341" s="217"/>
      <c r="D341" s="192" t="s">
        <v>292</v>
      </c>
      <c r="E341" s="217"/>
      <c r="F341" s="217"/>
      <c r="G341" s="217"/>
      <c r="H341" s="202"/>
      <c r="I341" s="190"/>
      <c r="J341" s="191"/>
    </row>
    <row r="342" spans="2:10" s="5" customFormat="1" ht="15.5" hidden="1" x14ac:dyDescent="0.35">
      <c r="B342" s="190"/>
      <c r="C342" s="190"/>
      <c r="D342" s="190" t="s">
        <v>293</v>
      </c>
      <c r="E342" s="220"/>
      <c r="F342" s="220"/>
      <c r="G342" s="220"/>
      <c r="H342" s="220"/>
      <c r="I342" s="190"/>
      <c r="J342" s="191"/>
    </row>
    <row r="343" spans="2:10" s="5" customFormat="1" ht="15.5" hidden="1" x14ac:dyDescent="0.35">
      <c r="B343" s="190"/>
      <c r="C343" s="190"/>
      <c r="D343" s="190" t="s">
        <v>294</v>
      </c>
      <c r="E343" s="190"/>
      <c r="F343" s="190"/>
      <c r="G343" s="190"/>
      <c r="H343" s="190"/>
      <c r="I343" s="190"/>
      <c r="J343" s="191"/>
    </row>
    <row r="344" spans="2:10" s="5" customFormat="1" ht="15.5" hidden="1" x14ac:dyDescent="0.35">
      <c r="B344" s="190"/>
      <c r="C344" s="190"/>
      <c r="D344" s="190"/>
      <c r="E344" s="190"/>
      <c r="F344" s="190"/>
      <c r="G344" s="190"/>
      <c r="H344" s="190"/>
      <c r="I344" s="190"/>
      <c r="J344" s="191"/>
    </row>
    <row r="345" spans="2:10" s="5" customFormat="1" ht="18" hidden="1" x14ac:dyDescent="0.45">
      <c r="B345" s="867" t="s">
        <v>295</v>
      </c>
      <c r="C345" s="917"/>
      <c r="D345" s="916" t="s">
        <v>1350</v>
      </c>
      <c r="E345" s="190"/>
      <c r="F345" s="190"/>
      <c r="G345" s="867" t="s">
        <v>296</v>
      </c>
      <c r="H345" s="190"/>
      <c r="I345" s="190"/>
      <c r="J345" s="221"/>
    </row>
    <row r="346" spans="2:10" s="5" customFormat="1" ht="15.5" hidden="1" x14ac:dyDescent="0.35">
      <c r="B346" s="910" t="s">
        <v>1288</v>
      </c>
      <c r="C346" s="912" t="s">
        <v>434</v>
      </c>
      <c r="D346" s="939" t="e">
        <f>$D$339*'Baseline farm'!C85%</f>
        <v>#DIV/0!</v>
      </c>
      <c r="E346" s="223"/>
      <c r="F346" s="223"/>
      <c r="G346" s="910">
        <v>0</v>
      </c>
      <c r="H346" s="223"/>
      <c r="I346" s="222"/>
      <c r="J346" s="191"/>
    </row>
    <row r="347" spans="2:10" s="5" customFormat="1" ht="15.5" hidden="1" x14ac:dyDescent="0.35">
      <c r="B347" s="917"/>
      <c r="C347" s="917"/>
      <c r="D347" s="909"/>
      <c r="E347" s="190"/>
      <c r="F347" s="190"/>
      <c r="G347" s="917"/>
      <c r="H347" s="190"/>
      <c r="I347" s="217"/>
      <c r="J347" s="191"/>
    </row>
    <row r="348" spans="2:10" s="5" customFormat="1" ht="15.5" hidden="1" x14ac:dyDescent="0.35">
      <c r="B348" s="910" t="s">
        <v>1287</v>
      </c>
      <c r="C348" s="912" t="s">
        <v>434</v>
      </c>
      <c r="D348" s="939" t="e">
        <f>$D$339*'Baseline farm'!D85%</f>
        <v>#DIV/0!</v>
      </c>
      <c r="E348" s="223"/>
      <c r="F348" s="223"/>
      <c r="G348" s="910">
        <v>0</v>
      </c>
      <c r="H348" s="223"/>
      <c r="I348" s="190"/>
      <c r="J348" s="191"/>
    </row>
    <row r="349" spans="2:10" s="5" customFormat="1" ht="15.5" hidden="1" x14ac:dyDescent="0.35">
      <c r="B349" s="917"/>
      <c r="C349" s="917"/>
      <c r="D349" s="909"/>
      <c r="E349" s="190"/>
      <c r="F349" s="190"/>
      <c r="G349" s="917"/>
      <c r="H349" s="190"/>
      <c r="I349" s="217"/>
      <c r="J349" s="191"/>
    </row>
    <row r="350" spans="2:10" s="5" customFormat="1" ht="15.5" hidden="1" x14ac:dyDescent="0.35">
      <c r="B350" s="910" t="s">
        <v>1914</v>
      </c>
      <c r="C350" s="912" t="s">
        <v>434</v>
      </c>
      <c r="D350" s="939" t="e">
        <f>$D$339*'Baseline farm'!E85%</f>
        <v>#DIV/0!</v>
      </c>
      <c r="E350" s="223"/>
      <c r="F350" s="223"/>
      <c r="G350" s="910">
        <v>0</v>
      </c>
      <c r="H350" s="223"/>
      <c r="I350" s="190"/>
      <c r="J350" s="191"/>
    </row>
    <row r="351" spans="2:10" s="5" customFormat="1" ht="15.5" hidden="1" x14ac:dyDescent="0.35">
      <c r="B351" s="917"/>
      <c r="C351" s="912"/>
      <c r="D351" s="909"/>
      <c r="E351" s="223"/>
      <c r="F351" s="223"/>
      <c r="G351" s="917"/>
      <c r="H351" s="223"/>
      <c r="I351" s="217"/>
      <c r="J351" s="191"/>
    </row>
    <row r="352" spans="2:10" s="5" customFormat="1" ht="15.5" hidden="1" x14ac:dyDescent="0.35">
      <c r="B352" s="910" t="s">
        <v>1290</v>
      </c>
      <c r="C352" s="912" t="s">
        <v>434</v>
      </c>
      <c r="D352" s="939" t="e">
        <f>$D$339*'Baseline farm'!F85%</f>
        <v>#DIV/0!</v>
      </c>
      <c r="E352" s="223"/>
      <c r="F352" s="223"/>
      <c r="G352" s="912">
        <v>5.0000000000000001E-3</v>
      </c>
      <c r="H352" s="223"/>
      <c r="I352" s="190"/>
      <c r="J352" s="191"/>
    </row>
    <row r="353" spans="2:13" s="5" customFormat="1" ht="15.5" hidden="1" x14ac:dyDescent="0.35">
      <c r="B353" s="917"/>
      <c r="C353" s="912"/>
      <c r="D353" s="909"/>
      <c r="E353" s="223"/>
      <c r="F353" s="223"/>
      <c r="G353" s="917"/>
      <c r="H353" s="223"/>
      <c r="I353" s="195"/>
      <c r="J353" s="191"/>
    </row>
    <row r="354" spans="2:13" s="5" customFormat="1" ht="15.5" hidden="1" x14ac:dyDescent="0.35">
      <c r="B354" s="910" t="s">
        <v>1291</v>
      </c>
      <c r="C354" s="912" t="s">
        <v>434</v>
      </c>
      <c r="D354" s="939" t="e">
        <f>$D$339*'Baseline farm'!G85%</f>
        <v>#DIV/0!</v>
      </c>
      <c r="E354" s="223"/>
      <c r="F354" s="223"/>
      <c r="G354" s="910">
        <v>0</v>
      </c>
      <c r="H354" s="223"/>
      <c r="I354" s="190"/>
      <c r="J354" s="191"/>
    </row>
    <row r="355" spans="2:13" s="5" customFormat="1" ht="15.5" hidden="1" x14ac:dyDescent="0.35">
      <c r="B355" s="917"/>
      <c r="C355" s="917"/>
      <c r="D355" s="909"/>
      <c r="E355" s="223"/>
      <c r="F355" s="223"/>
      <c r="G355" s="917"/>
      <c r="H355" s="223"/>
      <c r="I355" s="195"/>
      <c r="J355" s="191"/>
    </row>
    <row r="356" spans="2:13" s="5" customFormat="1" ht="18" hidden="1" x14ac:dyDescent="0.45">
      <c r="B356" s="916" t="s">
        <v>1277</v>
      </c>
      <c r="C356" s="912" t="s">
        <v>434</v>
      </c>
      <c r="D356" s="939" t="e">
        <f>SUM(D346,D348,D350,D352,D354)</f>
        <v>#DIV/0!</v>
      </c>
      <c r="E356" s="223"/>
      <c r="F356" s="223"/>
      <c r="G356" s="917" t="s">
        <v>438</v>
      </c>
      <c r="H356" s="223"/>
      <c r="I356" s="190"/>
      <c r="J356" s="191"/>
    </row>
    <row r="357" spans="2:13" s="5" customFormat="1" ht="15.5" hidden="1" x14ac:dyDescent="0.35">
      <c r="B357" s="917"/>
      <c r="C357" s="917"/>
      <c r="D357" s="940"/>
      <c r="E357" s="223"/>
      <c r="F357" s="223"/>
      <c r="G357" s="917"/>
      <c r="H357" s="223"/>
      <c r="I357" s="217"/>
      <c r="J357" s="191"/>
    </row>
    <row r="358" spans="2:13" s="5" customFormat="1" ht="18" hidden="1" x14ac:dyDescent="0.45">
      <c r="B358" s="916" t="s">
        <v>1306</v>
      </c>
      <c r="C358" s="912" t="s">
        <v>434</v>
      </c>
      <c r="D358" s="941" t="e">
        <f>((D346*G346)+(D348*G348)+(D350*G350)+(D352*G352))*44/28</f>
        <v>#DIV/0!</v>
      </c>
      <c r="E358" s="223"/>
      <c r="F358" s="223"/>
      <c r="G358" s="917" t="s">
        <v>1279</v>
      </c>
      <c r="H358" s="223"/>
      <c r="I358" s="190"/>
      <c r="J358" s="191"/>
    </row>
    <row r="359" spans="2:13" s="5" customFormat="1" ht="15.5" hidden="1" x14ac:dyDescent="0.35">
      <c r="B359" s="917"/>
      <c r="C359" s="912"/>
      <c r="D359" s="917"/>
      <c r="E359" s="190"/>
      <c r="F359" s="190"/>
      <c r="G359" s="917"/>
      <c r="H359" s="190"/>
      <c r="I359" s="190"/>
      <c r="J359" s="191"/>
    </row>
    <row r="360" spans="2:13" s="5" customFormat="1" ht="15.5" hidden="1" x14ac:dyDescent="0.35">
      <c r="B360" s="916" t="s">
        <v>1264</v>
      </c>
      <c r="C360" s="912"/>
      <c r="D360" s="916" t="s">
        <v>1265</v>
      </c>
      <c r="E360" s="223"/>
      <c r="F360" s="223"/>
      <c r="G360" s="916" t="s">
        <v>1280</v>
      </c>
      <c r="H360" s="223"/>
      <c r="I360" s="190"/>
      <c r="J360" s="191"/>
    </row>
    <row r="361" spans="2:13" s="5" customFormat="1" ht="15.5" hidden="1" x14ac:dyDescent="0.35">
      <c r="B361" s="910"/>
      <c r="C361" s="912"/>
      <c r="D361" s="917"/>
      <c r="E361" s="190"/>
      <c r="F361" s="190"/>
      <c r="G361" s="917"/>
      <c r="H361" s="190"/>
      <c r="I361" s="190"/>
      <c r="J361" s="191"/>
    </row>
    <row r="362" spans="2:13" s="5" customFormat="1" ht="15.5" hidden="1" x14ac:dyDescent="0.35">
      <c r="B362" s="910" t="s">
        <v>1288</v>
      </c>
      <c r="C362" s="912"/>
      <c r="D362" s="940" t="e">
        <f>D346*G362</f>
        <v>#DIV/0!</v>
      </c>
      <c r="E362" s="190"/>
      <c r="F362" s="190"/>
      <c r="G362" s="917">
        <v>0.35</v>
      </c>
      <c r="H362" s="190"/>
      <c r="I362" s="190"/>
      <c r="J362" s="191"/>
    </row>
    <row r="363" spans="2:13" s="5" customFormat="1" ht="15.5" hidden="1" x14ac:dyDescent="0.35">
      <c r="B363" s="917"/>
      <c r="C363" s="912"/>
      <c r="D363" s="940"/>
      <c r="E363" s="190"/>
      <c r="F363" s="190"/>
      <c r="G363" s="917"/>
      <c r="H363" s="190"/>
      <c r="I363" s="190"/>
      <c r="J363" s="191"/>
    </row>
    <row r="364" spans="2:13" s="5" customFormat="1" ht="15.5" hidden="1" x14ac:dyDescent="0.35">
      <c r="B364" s="910" t="s">
        <v>1287</v>
      </c>
      <c r="C364" s="912"/>
      <c r="D364" s="940" t="e">
        <f>D348*G364</f>
        <v>#DIV/0!</v>
      </c>
      <c r="E364" s="217"/>
      <c r="F364" s="217"/>
      <c r="G364" s="917">
        <v>7.0000000000000007E-2</v>
      </c>
      <c r="H364" s="190"/>
      <c r="I364" s="190"/>
      <c r="J364" s="191"/>
    </row>
    <row r="365" spans="2:13" s="5" customFormat="1" ht="15.5" hidden="1" x14ac:dyDescent="0.35">
      <c r="B365" s="917"/>
      <c r="C365" s="912"/>
      <c r="D365" s="940"/>
      <c r="E365" s="938"/>
      <c r="F365" s="938"/>
      <c r="G365" s="917"/>
      <c r="H365" s="190"/>
      <c r="I365" s="190"/>
      <c r="J365" s="191"/>
    </row>
    <row r="366" spans="2:13" s="5" customFormat="1" ht="15.5" hidden="1" x14ac:dyDescent="0.35">
      <c r="B366" s="910" t="s">
        <v>1914</v>
      </c>
      <c r="C366" s="912"/>
      <c r="D366" s="940" t="e">
        <f>D350*G366</f>
        <v>#DIV/0!</v>
      </c>
      <c r="E366" s="190"/>
      <c r="F366" s="190"/>
      <c r="G366" s="917">
        <v>0.2</v>
      </c>
      <c r="H366" s="190"/>
      <c r="I366" s="190"/>
      <c r="J366" s="191"/>
      <c r="K366" s="97"/>
      <c r="L366" s="59"/>
      <c r="M366" s="59"/>
    </row>
    <row r="367" spans="2:13" s="5" customFormat="1" ht="15.5" hidden="1" x14ac:dyDescent="0.35">
      <c r="B367" s="917"/>
      <c r="C367" s="912"/>
      <c r="D367" s="940"/>
      <c r="E367" s="190"/>
      <c r="F367" s="190"/>
      <c r="G367" s="917"/>
      <c r="H367" s="190"/>
      <c r="I367" s="190"/>
      <c r="J367" s="191"/>
      <c r="K367" s="59"/>
      <c r="L367" s="59"/>
      <c r="M367" s="59"/>
    </row>
    <row r="368" spans="2:13" s="5" customFormat="1" ht="15.5" hidden="1" x14ac:dyDescent="0.35">
      <c r="B368" s="910" t="s">
        <v>1290</v>
      </c>
      <c r="C368" s="912"/>
      <c r="D368" s="940" t="e">
        <f>D352*G368</f>
        <v>#DIV/0!</v>
      </c>
      <c r="E368" s="190"/>
      <c r="F368" s="190"/>
      <c r="G368" s="917">
        <v>0.3</v>
      </c>
      <c r="H368" s="190"/>
      <c r="I368" s="190"/>
      <c r="J368" s="191"/>
      <c r="K368" s="59"/>
      <c r="L368" s="59"/>
      <c r="M368" s="59"/>
    </row>
    <row r="369" spans="2:20" s="5" customFormat="1" ht="15.5" hidden="1" x14ac:dyDescent="0.35">
      <c r="B369" s="917"/>
      <c r="C369" s="912"/>
      <c r="D369" s="942"/>
      <c r="E369" s="190"/>
      <c r="F369" s="190"/>
      <c r="G369" s="917"/>
      <c r="H369" s="190"/>
      <c r="I369" s="190"/>
      <c r="J369" s="191"/>
      <c r="K369" s="59"/>
      <c r="L369" s="59"/>
      <c r="M369" s="59"/>
    </row>
    <row r="370" spans="2:20" s="5" customFormat="1" ht="15.5" hidden="1" x14ac:dyDescent="0.35">
      <c r="B370" s="910" t="s">
        <v>1291</v>
      </c>
      <c r="C370" s="912"/>
      <c r="D370" s="940" t="e">
        <f>D354*G370</f>
        <v>#DIV/0!</v>
      </c>
      <c r="E370" s="190"/>
      <c r="F370" s="190"/>
      <c r="G370" s="917">
        <v>0</v>
      </c>
      <c r="H370" s="190"/>
      <c r="I370" s="190"/>
      <c r="J370" s="191"/>
      <c r="K370" s="59"/>
      <c r="L370" s="59"/>
      <c r="M370" s="59"/>
    </row>
    <row r="371" spans="2:20" s="5" customFormat="1" ht="15.5" hidden="1" x14ac:dyDescent="0.35">
      <c r="B371" s="917"/>
      <c r="C371" s="912"/>
      <c r="D371" s="917"/>
      <c r="E371" s="190"/>
      <c r="F371" s="190"/>
      <c r="G371" s="917"/>
      <c r="H371" s="190"/>
      <c r="I371" s="190"/>
      <c r="J371" s="191"/>
      <c r="K371" s="59"/>
      <c r="L371" s="59"/>
      <c r="M371" s="59"/>
    </row>
    <row r="372" spans="2:20" s="5" customFormat="1" ht="15.5" hidden="1" x14ac:dyDescent="0.35">
      <c r="B372" s="916" t="s">
        <v>1282</v>
      </c>
      <c r="C372" s="912"/>
      <c r="D372" s="916" t="s">
        <v>1283</v>
      </c>
      <c r="E372" s="190"/>
      <c r="F372" s="190"/>
      <c r="G372" s="916" t="s">
        <v>1284</v>
      </c>
      <c r="H372" s="190"/>
      <c r="I372" s="190"/>
      <c r="J372" s="191"/>
      <c r="K372" s="59"/>
      <c r="L372" s="59"/>
      <c r="M372" s="59"/>
    </row>
    <row r="373" spans="2:20" s="5" customFormat="1" ht="15.5" hidden="1" x14ac:dyDescent="0.35">
      <c r="B373" s="917"/>
      <c r="C373" s="912"/>
      <c r="D373" s="940" t="e">
        <f>SUM(D362:D368)*G373*44/28</f>
        <v>#DIV/0!</v>
      </c>
      <c r="E373" s="190"/>
      <c r="F373" s="190"/>
      <c r="G373" s="917">
        <v>3.8999999999999998E-3</v>
      </c>
      <c r="H373" s="190"/>
      <c r="I373" s="190"/>
      <c r="J373" s="191"/>
      <c r="K373" s="59"/>
      <c r="L373" s="59"/>
      <c r="M373" s="59"/>
    </row>
    <row r="374" spans="2:20" s="5" customFormat="1" ht="15.5" hidden="1" x14ac:dyDescent="0.35">
      <c r="B374" s="917"/>
      <c r="C374" s="912"/>
      <c r="D374" s="940"/>
      <c r="E374" s="190"/>
      <c r="F374" s="190"/>
      <c r="G374" s="917"/>
      <c r="H374" s="190"/>
      <c r="I374" s="190"/>
      <c r="J374" s="191"/>
      <c r="K374" s="59"/>
      <c r="L374" s="59"/>
      <c r="M374" s="59"/>
    </row>
    <row r="375" spans="2:20" s="5" customFormat="1" ht="15.5" hidden="1" x14ac:dyDescent="0.35">
      <c r="B375" s="917" t="s">
        <v>1915</v>
      </c>
      <c r="C375" s="912"/>
      <c r="D375" s="943" t="e">
        <f>SUM(D373)*'Emission factors'!C5*10^3</f>
        <v>#DIV/0!</v>
      </c>
      <c r="E375" s="190"/>
      <c r="F375" s="190"/>
      <c r="G375" s="917" t="s">
        <v>1294</v>
      </c>
      <c r="H375" s="190"/>
      <c r="I375" s="190"/>
      <c r="J375" s="191"/>
      <c r="K375" s="58"/>
      <c r="L375" s="99"/>
      <c r="M375" s="100"/>
    </row>
    <row r="376" spans="2:20" s="5" customFormat="1" ht="15.5" hidden="1" x14ac:dyDescent="0.35">
      <c r="B376" s="917"/>
      <c r="C376" s="912"/>
      <c r="D376" s="917"/>
      <c r="E376" s="190"/>
      <c r="F376" s="190"/>
      <c r="G376" s="917"/>
      <c r="H376" s="190"/>
      <c r="I376" s="190"/>
      <c r="J376" s="191"/>
      <c r="K376" s="58"/>
      <c r="L376" s="99"/>
      <c r="M376" s="101"/>
    </row>
    <row r="377" spans="2:20" s="5" customFormat="1" ht="18" hidden="1" x14ac:dyDescent="0.45">
      <c r="B377" s="916" t="s">
        <v>1286</v>
      </c>
      <c r="C377" s="912"/>
      <c r="D377" s="916" t="s">
        <v>1333</v>
      </c>
      <c r="E377" s="190"/>
      <c r="F377" s="190"/>
      <c r="G377" s="916" t="s">
        <v>1292</v>
      </c>
      <c r="H377" s="190"/>
      <c r="I377" s="190"/>
      <c r="J377" s="191"/>
      <c r="K377" s="59"/>
      <c r="L377" s="58"/>
      <c r="M377" s="101"/>
    </row>
    <row r="378" spans="2:20" s="5" customFormat="1" ht="15.5" hidden="1" x14ac:dyDescent="0.35">
      <c r="B378" s="917"/>
      <c r="C378" s="912"/>
      <c r="D378" s="917"/>
      <c r="E378" s="190"/>
      <c r="F378" s="190"/>
      <c r="G378" s="917">
        <v>1</v>
      </c>
      <c r="H378" s="190"/>
      <c r="I378" s="190"/>
      <c r="J378" s="191"/>
      <c r="K378" s="59"/>
      <c r="L378" s="102"/>
      <c r="M378" s="101"/>
      <c r="N378" s="59"/>
      <c r="O378" s="59"/>
      <c r="P378" s="59"/>
      <c r="Q378" s="59"/>
      <c r="R378" s="59"/>
      <c r="S378" s="59"/>
      <c r="T378" s="59"/>
    </row>
    <row r="379" spans="2:20" s="5" customFormat="1" ht="15.5" hidden="1" x14ac:dyDescent="0.35">
      <c r="B379" s="917" t="s">
        <v>1341</v>
      </c>
      <c r="C379" s="912"/>
      <c r="D379" s="944" t="e">
        <f>D352*G378*G380</f>
        <v>#DIV/0!</v>
      </c>
      <c r="E379" s="190"/>
      <c r="F379" s="190"/>
      <c r="G379" s="916" t="s">
        <v>1293</v>
      </c>
      <c r="H379" s="190"/>
      <c r="I379" s="190"/>
      <c r="J379" s="191"/>
      <c r="K379" s="59"/>
      <c r="L379" s="102"/>
      <c r="M379" s="101"/>
      <c r="N379" s="59"/>
      <c r="O379" s="59"/>
      <c r="P379" s="59"/>
      <c r="Q379" s="59"/>
      <c r="R379" s="59"/>
      <c r="S379" s="59"/>
      <c r="T379" s="59"/>
    </row>
    <row r="380" spans="2:20" s="5" customFormat="1" ht="15.5" hidden="1" x14ac:dyDescent="0.35">
      <c r="B380" s="916"/>
      <c r="C380" s="911"/>
      <c r="D380" s="917"/>
      <c r="E380" s="190"/>
      <c r="F380" s="190"/>
      <c r="G380" s="1006">
        <v>0.02</v>
      </c>
      <c r="H380" s="190"/>
      <c r="I380" s="190"/>
      <c r="J380" s="191"/>
      <c r="K380" s="59"/>
      <c r="L380" s="102"/>
      <c r="M380" s="102"/>
      <c r="N380" s="59"/>
      <c r="O380" s="59"/>
      <c r="P380" s="59"/>
      <c r="Q380" s="59"/>
      <c r="R380" s="59"/>
      <c r="S380" s="59"/>
      <c r="T380" s="59"/>
    </row>
    <row r="381" spans="2:20" s="5" customFormat="1" ht="15.5" hidden="1" x14ac:dyDescent="0.35">
      <c r="B381" s="916"/>
      <c r="C381" s="911"/>
      <c r="D381" s="916" t="s">
        <v>1336</v>
      </c>
      <c r="E381" s="190"/>
      <c r="F381" s="190"/>
      <c r="G381" s="915" t="s">
        <v>1301</v>
      </c>
      <c r="H381" s="190"/>
      <c r="I381" s="190"/>
      <c r="J381" s="191"/>
      <c r="K381" s="59"/>
      <c r="L381" s="102"/>
      <c r="M381" s="102"/>
      <c r="N381" s="59"/>
      <c r="O381" s="59"/>
      <c r="P381" s="59"/>
      <c r="Q381" s="59"/>
      <c r="R381" s="59"/>
      <c r="S381" s="59"/>
      <c r="T381" s="59"/>
    </row>
    <row r="382" spans="2:20" s="5" customFormat="1" ht="15.5" hidden="1" x14ac:dyDescent="0.35">
      <c r="B382" s="916"/>
      <c r="C382" s="911"/>
      <c r="D382" s="945" t="e">
        <f>D379*G382*44/28</f>
        <v>#DIV/0!</v>
      </c>
      <c r="E382" s="190"/>
      <c r="F382" s="190"/>
      <c r="G382" s="914">
        <v>1.0999999999999999E-2</v>
      </c>
      <c r="H382" s="190"/>
      <c r="I382" s="190"/>
      <c r="J382" s="191"/>
      <c r="K382" s="58"/>
      <c r="L382" s="103"/>
      <c r="M382" s="59"/>
      <c r="N382" s="59"/>
      <c r="O382" s="59"/>
      <c r="P382" s="59"/>
      <c r="Q382" s="59"/>
      <c r="R382" s="59"/>
      <c r="S382" s="59"/>
      <c r="T382" s="59"/>
    </row>
    <row r="383" spans="2:20" s="5" customFormat="1" ht="15.5" hidden="1" x14ac:dyDescent="0.35">
      <c r="B383" s="916"/>
      <c r="C383" s="870"/>
      <c r="D383" s="917"/>
      <c r="E383" s="190"/>
      <c r="F383" s="190"/>
      <c r="G383" s="917"/>
      <c r="H383" s="190"/>
      <c r="I383" s="190"/>
      <c r="J383" s="191"/>
      <c r="K383" s="58"/>
      <c r="L383" s="101"/>
      <c r="M383" s="59"/>
      <c r="N383" s="59"/>
      <c r="O383" s="59"/>
      <c r="P383" s="59"/>
      <c r="Q383" s="59"/>
      <c r="R383" s="59"/>
      <c r="S383" s="59"/>
      <c r="T383" s="59"/>
    </row>
    <row r="384" spans="2:20" s="5" customFormat="1" ht="15.5" hidden="1" x14ac:dyDescent="0.35">
      <c r="B384" s="89" t="s">
        <v>1295</v>
      </c>
      <c r="C384" s="471"/>
      <c r="D384" s="946" t="e">
        <f>SUM(D382)*'Emission factors'!C5*10^3</f>
        <v>#DIV/0!</v>
      </c>
      <c r="E384" s="947"/>
      <c r="F384" s="947"/>
      <c r="G384" s="872" t="s">
        <v>1294</v>
      </c>
      <c r="H384" s="947"/>
      <c r="I384" s="947"/>
      <c r="J384" s="964"/>
      <c r="K384" s="58"/>
      <c r="L384" s="104"/>
      <c r="M384" s="59"/>
      <c r="N384" s="59"/>
      <c r="O384" s="59"/>
      <c r="P384" s="59"/>
      <c r="Q384" s="59"/>
      <c r="R384" s="59"/>
      <c r="S384" s="59"/>
      <c r="T384" s="59"/>
    </row>
    <row r="385" spans="2:20" s="5" customFormat="1" ht="15.5" hidden="1" x14ac:dyDescent="0.35">
      <c r="B385" s="880"/>
      <c r="C385" s="880"/>
      <c r="D385" s="965"/>
      <c r="E385" s="880"/>
      <c r="F385" s="880"/>
      <c r="G385" s="880"/>
      <c r="H385" s="880"/>
      <c r="I385" s="880"/>
      <c r="J385" s="880"/>
      <c r="K385" s="58"/>
      <c r="L385" s="103"/>
      <c r="M385" s="59"/>
      <c r="N385" s="59"/>
      <c r="O385" s="59"/>
      <c r="P385" s="59"/>
      <c r="Q385" s="59"/>
      <c r="R385" s="59"/>
      <c r="S385" s="59"/>
      <c r="T385" s="59"/>
    </row>
    <row r="386" spans="2:20" s="5" customFormat="1" ht="15.5" hidden="1" x14ac:dyDescent="0.35">
      <c r="B386" s="224" t="s">
        <v>245</v>
      </c>
      <c r="C386" s="225"/>
      <c r="D386" s="226"/>
      <c r="E386" s="226"/>
      <c r="F386" s="226"/>
      <c r="G386" s="226"/>
      <c r="H386" s="226"/>
      <c r="I386" s="966"/>
      <c r="J386" s="967"/>
      <c r="K386" s="105"/>
      <c r="L386" s="58"/>
      <c r="M386" s="58"/>
      <c r="N386" s="59"/>
      <c r="O386" s="59"/>
      <c r="P386" s="59"/>
      <c r="Q386" s="59"/>
      <c r="R386" s="59"/>
      <c r="S386" s="59"/>
      <c r="T386" s="59"/>
    </row>
    <row r="387" spans="2:20" s="5" customFormat="1" ht="15.5" hidden="1" x14ac:dyDescent="0.35">
      <c r="B387" s="228"/>
      <c r="C387" s="228"/>
      <c r="D387" s="228"/>
      <c r="E387" s="229"/>
      <c r="F387" s="229"/>
      <c r="G387" s="229"/>
      <c r="H387" s="229"/>
      <c r="I387" s="228"/>
      <c r="J387" s="241"/>
      <c r="K387" s="59"/>
      <c r="L387" s="59"/>
      <c r="M387" s="106"/>
      <c r="N387" s="59"/>
      <c r="O387" s="59"/>
      <c r="P387" s="59"/>
      <c r="Q387" s="59"/>
      <c r="R387" s="59"/>
      <c r="S387" s="59"/>
      <c r="T387" s="59"/>
    </row>
    <row r="388" spans="2:20" s="5" customFormat="1" ht="18" hidden="1" x14ac:dyDescent="0.45">
      <c r="B388" s="920" t="s">
        <v>328</v>
      </c>
      <c r="C388" s="920" t="s">
        <v>1303</v>
      </c>
      <c r="D388" s="921"/>
      <c r="E388" s="229"/>
      <c r="F388" s="229"/>
      <c r="G388" s="232"/>
      <c r="H388" s="232"/>
      <c r="I388" s="228"/>
      <c r="J388" s="230"/>
      <c r="K388" s="59"/>
      <c r="L388" s="59"/>
      <c r="M388" s="106"/>
      <c r="N388" s="59"/>
      <c r="O388" s="59"/>
      <c r="P388" s="59"/>
      <c r="Q388" s="59"/>
      <c r="R388" s="59"/>
      <c r="S388" s="59"/>
      <c r="T388" s="59"/>
    </row>
    <row r="389" spans="2:20" s="5" customFormat="1" ht="15.5" hidden="1" x14ac:dyDescent="0.35">
      <c r="B389" s="918"/>
      <c r="C389" s="918" t="s">
        <v>330</v>
      </c>
      <c r="D389" s="918"/>
      <c r="E389" s="229"/>
      <c r="F389" s="229"/>
      <c r="G389" s="229"/>
      <c r="H389" s="229"/>
      <c r="I389" s="228"/>
      <c r="J389" s="230"/>
      <c r="K389" s="59"/>
      <c r="L389" s="59"/>
      <c r="M389" s="106"/>
      <c r="N389" s="59"/>
      <c r="O389" s="59"/>
      <c r="P389" s="59"/>
      <c r="Q389" s="59"/>
      <c r="R389" s="59"/>
      <c r="S389" s="59"/>
      <c r="T389" s="59"/>
    </row>
    <row r="390" spans="2:20" s="5" customFormat="1" ht="15.5" hidden="1" x14ac:dyDescent="0.35">
      <c r="B390" s="918"/>
      <c r="C390" s="921" t="s">
        <v>1329</v>
      </c>
      <c r="D390" s="918"/>
      <c r="E390" s="229"/>
      <c r="F390" s="229"/>
      <c r="G390" s="229"/>
      <c r="H390" s="229"/>
      <c r="I390" s="228"/>
      <c r="J390" s="230"/>
      <c r="K390" s="59"/>
      <c r="L390" s="59"/>
      <c r="M390" s="106"/>
      <c r="N390" s="59"/>
      <c r="O390" s="59"/>
      <c r="P390" s="59"/>
      <c r="Q390" s="59"/>
      <c r="R390" s="59"/>
      <c r="S390" s="59"/>
      <c r="T390" s="59"/>
    </row>
    <row r="391" spans="2:20" s="5" customFormat="1" ht="15.5" hidden="1" x14ac:dyDescent="0.35">
      <c r="B391" s="921"/>
      <c r="C391" s="921" t="s">
        <v>1304</v>
      </c>
      <c r="D391" s="918"/>
      <c r="E391" s="229"/>
      <c r="F391" s="229"/>
      <c r="G391" s="229"/>
      <c r="H391" s="229"/>
      <c r="I391" s="228"/>
      <c r="J391" s="241"/>
      <c r="K391" s="107"/>
      <c r="L391" s="107"/>
      <c r="M391" s="108"/>
      <c r="N391" s="59"/>
      <c r="O391" s="59"/>
      <c r="P391" s="59"/>
      <c r="Q391" s="59"/>
      <c r="R391" s="59"/>
      <c r="S391" s="59"/>
      <c r="T391" s="59"/>
    </row>
    <row r="392" spans="2:20" s="5" customFormat="1" ht="15.5" hidden="1" x14ac:dyDescent="0.35">
      <c r="B392" s="921"/>
      <c r="C392" s="921" t="s">
        <v>1305</v>
      </c>
      <c r="D392" s="918"/>
      <c r="E392" s="233"/>
      <c r="F392" s="228"/>
      <c r="G392" s="228"/>
      <c r="H392" s="228"/>
      <c r="I392" s="228"/>
      <c r="J392" s="230"/>
      <c r="K392" s="107"/>
      <c r="L392" s="107"/>
      <c r="M392" s="107"/>
      <c r="N392" s="59"/>
      <c r="O392" s="59"/>
      <c r="P392" s="59"/>
      <c r="Q392" s="59"/>
      <c r="R392" s="59"/>
      <c r="S392" s="59"/>
      <c r="T392" s="59"/>
    </row>
    <row r="393" spans="2:20" s="5" customFormat="1" ht="15.5" hidden="1" x14ac:dyDescent="0.35">
      <c r="B393" s="921"/>
      <c r="C393" s="918"/>
      <c r="D393" s="918"/>
      <c r="E393" s="233"/>
      <c r="F393" s="228"/>
      <c r="G393" s="228"/>
      <c r="H393" s="228"/>
      <c r="I393" s="228"/>
      <c r="J393" s="230"/>
      <c r="K393" s="107"/>
      <c r="L393" s="107"/>
      <c r="M393" s="108"/>
      <c r="N393" s="58"/>
      <c r="O393" s="58"/>
      <c r="P393" s="58"/>
      <c r="Q393" s="58"/>
      <c r="R393" s="58"/>
      <c r="S393" s="58"/>
      <c r="T393" s="58"/>
    </row>
    <row r="394" spans="2:20" s="5" customFormat="1" ht="15.5" hidden="1" x14ac:dyDescent="0.35">
      <c r="B394" s="920"/>
      <c r="C394" s="921"/>
      <c r="D394" s="98"/>
      <c r="E394" s="234"/>
      <c r="F394" s="234"/>
      <c r="G394" s="234"/>
      <c r="H394" s="234"/>
      <c r="I394" s="228"/>
      <c r="J394" s="230"/>
      <c r="K394" s="107"/>
      <c r="L394" s="107"/>
      <c r="M394" s="108"/>
      <c r="N394" s="58"/>
      <c r="O394" s="58"/>
      <c r="P394" s="58"/>
      <c r="Q394" s="58"/>
      <c r="R394" s="58"/>
      <c r="S394" s="105"/>
      <c r="T394" s="58"/>
    </row>
    <row r="395" spans="2:20" s="5" customFormat="1" ht="15.5" hidden="1" x14ac:dyDescent="0.35">
      <c r="B395" s="920" t="s">
        <v>1344</v>
      </c>
      <c r="C395" s="922" t="s">
        <v>440</v>
      </c>
      <c r="D395" s="948" t="e">
        <f>(($D$339*'Baseline farm'!$C$85%)*(1-$G346-$G362))-0</f>
        <v>#DIV/0!</v>
      </c>
      <c r="E395" s="236"/>
      <c r="F395" s="236"/>
      <c r="G395" s="236"/>
      <c r="H395" s="236"/>
      <c r="I395" s="228"/>
      <c r="J395" s="241"/>
      <c r="K395" s="107"/>
      <c r="L395" s="107"/>
      <c r="M395" s="108"/>
      <c r="N395" s="58"/>
      <c r="O395" s="109"/>
      <c r="P395" s="109"/>
      <c r="Q395" s="58"/>
      <c r="R395" s="58"/>
      <c r="S395" s="105"/>
      <c r="T395" s="58"/>
    </row>
    <row r="396" spans="2:20" s="5" customFormat="1" ht="15.5" hidden="1" x14ac:dyDescent="0.35">
      <c r="B396" s="921"/>
      <c r="C396" s="921"/>
      <c r="D396" s="948"/>
      <c r="E396" s="228"/>
      <c r="F396" s="228"/>
      <c r="G396" s="228"/>
      <c r="H396" s="228"/>
      <c r="I396" s="228"/>
      <c r="J396" s="241"/>
      <c r="K396" s="59"/>
      <c r="L396" s="59"/>
      <c r="M396" s="59"/>
      <c r="N396" s="59"/>
      <c r="O396" s="59"/>
      <c r="P396" s="59"/>
      <c r="Q396" s="59"/>
      <c r="R396" s="59"/>
      <c r="S396" s="59"/>
      <c r="T396" s="59"/>
    </row>
    <row r="397" spans="2:20" s="5" customFormat="1" ht="15.5" hidden="1" x14ac:dyDescent="0.35">
      <c r="B397" s="920" t="s">
        <v>1345</v>
      </c>
      <c r="C397" s="922" t="s">
        <v>440</v>
      </c>
      <c r="D397" s="948" t="e">
        <f>(($D$339*'Baseline farm'!$D$85%)*(1-$G348-$G364))-0</f>
        <v>#DIV/0!</v>
      </c>
      <c r="E397" s="236"/>
      <c r="F397" s="236"/>
      <c r="G397" s="236"/>
      <c r="H397" s="236"/>
      <c r="I397" s="228"/>
      <c r="J397" s="241"/>
      <c r="K397" s="59"/>
      <c r="L397" s="59"/>
      <c r="M397" s="59"/>
      <c r="N397" s="59"/>
      <c r="O397" s="59"/>
      <c r="P397" s="59"/>
      <c r="Q397" s="59"/>
      <c r="R397" s="59"/>
      <c r="S397" s="59"/>
      <c r="T397" s="59"/>
    </row>
    <row r="398" spans="2:20" s="5" customFormat="1" ht="15.5" hidden="1" x14ac:dyDescent="0.35">
      <c r="B398" s="921"/>
      <c r="C398" s="921"/>
      <c r="D398" s="948"/>
      <c r="E398" s="240"/>
      <c r="F398" s="240"/>
      <c r="G398" s="240"/>
      <c r="H398" s="240"/>
      <c r="I398" s="228"/>
      <c r="J398" s="230"/>
      <c r="K398" s="59"/>
      <c r="L398" s="59"/>
      <c r="M398" s="59"/>
      <c r="N398" s="59"/>
      <c r="O398" s="59"/>
      <c r="P398" s="59"/>
      <c r="Q398" s="59"/>
      <c r="R398" s="59"/>
      <c r="S398" s="59"/>
      <c r="T398" s="59"/>
    </row>
    <row r="399" spans="2:20" s="5" customFormat="1" ht="15.5" hidden="1" x14ac:dyDescent="0.35">
      <c r="B399" s="920" t="s">
        <v>1346</v>
      </c>
      <c r="C399" s="922" t="s">
        <v>440</v>
      </c>
      <c r="D399" s="948" t="e">
        <f>(($D$339*'Baseline farm'!$E$85%)*(1-$G350-$G366))-0</f>
        <v>#DIV/0!</v>
      </c>
      <c r="E399" s="243"/>
      <c r="F399" s="243"/>
      <c r="G399" s="243"/>
      <c r="H399" s="243"/>
      <c r="I399" s="228"/>
      <c r="J399" s="241"/>
      <c r="K399" s="59"/>
      <c r="L399" s="59"/>
      <c r="M399" s="59"/>
      <c r="N399" s="59"/>
      <c r="O399" s="59"/>
      <c r="P399" s="59"/>
      <c r="Q399" s="59"/>
      <c r="R399" s="59"/>
      <c r="S399" s="59"/>
      <c r="T399" s="59"/>
    </row>
    <row r="400" spans="2:20" s="5" customFormat="1" ht="15.5" hidden="1" x14ac:dyDescent="0.35">
      <c r="B400" s="921"/>
      <c r="C400" s="922"/>
      <c r="D400" s="948"/>
      <c r="E400" s="244"/>
      <c r="F400" s="244"/>
      <c r="G400" s="244"/>
      <c r="H400" s="244"/>
      <c r="I400" s="228"/>
      <c r="J400" s="241"/>
      <c r="K400" s="59"/>
      <c r="L400" s="59"/>
      <c r="M400" s="59"/>
      <c r="N400" s="58"/>
      <c r="O400" s="58"/>
      <c r="P400" s="58"/>
      <c r="Q400" s="58"/>
      <c r="R400" s="58"/>
      <c r="S400" s="58"/>
      <c r="T400" s="58"/>
    </row>
    <row r="401" spans="2:20" s="5" customFormat="1" ht="15.5" hidden="1" x14ac:dyDescent="0.35">
      <c r="B401" s="920" t="s">
        <v>1347</v>
      </c>
      <c r="C401" s="922" t="s">
        <v>440</v>
      </c>
      <c r="D401" s="948" t="e">
        <f>(($D$339*'Baseline farm'!$F$85%)*(1-$G352-$G368))-D379</f>
        <v>#DIV/0!</v>
      </c>
      <c r="E401" s="236"/>
      <c r="F401" s="236"/>
      <c r="G401" s="236"/>
      <c r="H401" s="236"/>
      <c r="I401" s="228"/>
      <c r="J401" s="241"/>
      <c r="K401" s="59"/>
      <c r="L401" s="110"/>
      <c r="M401" s="59"/>
      <c r="N401" s="58"/>
      <c r="O401" s="58"/>
      <c r="P401" s="58"/>
      <c r="Q401" s="58"/>
      <c r="R401" s="58"/>
      <c r="S401" s="58"/>
      <c r="T401" s="58"/>
    </row>
    <row r="402" spans="2:20" s="5" customFormat="1" ht="15.5" hidden="1" x14ac:dyDescent="0.35">
      <c r="B402" s="921"/>
      <c r="C402" s="922"/>
      <c r="D402" s="948"/>
      <c r="E402" s="228"/>
      <c r="F402" s="228"/>
      <c r="G402" s="228"/>
      <c r="H402" s="228"/>
      <c r="I402" s="235"/>
      <c r="J402" s="241"/>
      <c r="K402" s="59"/>
      <c r="L402" s="59"/>
      <c r="M402" s="59"/>
      <c r="N402" s="59"/>
      <c r="O402" s="59"/>
      <c r="P402" s="59"/>
      <c r="Q402" s="59"/>
      <c r="R402" s="59"/>
      <c r="S402" s="59"/>
      <c r="T402" s="59"/>
    </row>
    <row r="403" spans="2:20" s="5" customFormat="1" ht="15.5" hidden="1" x14ac:dyDescent="0.35">
      <c r="B403" s="920" t="s">
        <v>1348</v>
      </c>
      <c r="C403" s="922" t="s">
        <v>440</v>
      </c>
      <c r="D403" s="948" t="e">
        <f>SUM(D395:D401)</f>
        <v>#DIV/0!</v>
      </c>
      <c r="E403" s="228"/>
      <c r="F403" s="228"/>
      <c r="G403" s="228"/>
      <c r="H403" s="228"/>
      <c r="I403" s="228"/>
      <c r="J403" s="241"/>
      <c r="K403" s="59"/>
      <c r="L403" s="59"/>
      <c r="M403" s="59"/>
      <c r="N403" s="59"/>
      <c r="O403" s="59"/>
      <c r="P403" s="59"/>
      <c r="Q403" s="59"/>
      <c r="R403" s="59"/>
      <c r="S403" s="59"/>
      <c r="T403" s="59"/>
    </row>
    <row r="404" spans="2:20" s="5" customFormat="1" ht="15.5" hidden="1" x14ac:dyDescent="0.35">
      <c r="B404" s="921"/>
      <c r="C404" s="921"/>
      <c r="D404" s="921"/>
      <c r="E404" s="228"/>
      <c r="F404" s="228"/>
      <c r="G404" s="228"/>
      <c r="H404" s="228"/>
      <c r="I404" s="228"/>
      <c r="J404" s="241"/>
      <c r="N404" s="59"/>
      <c r="O404" s="59"/>
      <c r="P404" s="59"/>
      <c r="Q404" s="59"/>
      <c r="R404" s="59"/>
      <c r="S404" s="59"/>
      <c r="T404" s="59"/>
    </row>
    <row r="405" spans="2:20" s="5" customFormat="1" ht="15.5" hidden="1" x14ac:dyDescent="0.35">
      <c r="B405" s="920" t="s">
        <v>1367</v>
      </c>
      <c r="C405" s="920" t="s">
        <v>332</v>
      </c>
      <c r="D405" s="923"/>
      <c r="E405" s="247"/>
      <c r="F405" s="247"/>
      <c r="G405" s="247"/>
      <c r="H405" s="247"/>
      <c r="I405" s="235"/>
      <c r="J405" s="241"/>
      <c r="N405" s="59"/>
      <c r="O405" s="59"/>
      <c r="P405" s="59"/>
      <c r="Q405" s="59"/>
      <c r="R405" s="59"/>
      <c r="S405" s="59"/>
      <c r="T405" s="59"/>
    </row>
    <row r="406" spans="2:20" s="5" customFormat="1" ht="15.5" hidden="1" x14ac:dyDescent="0.35">
      <c r="B406" s="921"/>
      <c r="C406" s="921" t="s">
        <v>334</v>
      </c>
      <c r="D406" s="949">
        <v>0.01</v>
      </c>
      <c r="E406" s="228"/>
      <c r="F406" s="228"/>
      <c r="G406" s="228"/>
      <c r="H406" s="228"/>
      <c r="I406" s="235"/>
      <c r="J406" s="256"/>
      <c r="K406" s="111"/>
      <c r="L406" s="111"/>
      <c r="M406" s="111"/>
      <c r="N406" s="59"/>
      <c r="O406" s="59"/>
      <c r="P406" s="59"/>
      <c r="Q406" s="59"/>
      <c r="R406" s="59"/>
      <c r="S406" s="59"/>
      <c r="T406" s="59"/>
    </row>
    <row r="407" spans="2:20" s="5" customFormat="1" ht="15.5" hidden="1" x14ac:dyDescent="0.35">
      <c r="B407" s="921"/>
      <c r="C407" s="922" t="s">
        <v>440</v>
      </c>
      <c r="D407" s="950" t="e">
        <f>D403*D406*44/28</f>
        <v>#DIV/0!</v>
      </c>
      <c r="E407" s="228"/>
      <c r="F407" s="228"/>
      <c r="G407" s="228"/>
      <c r="H407" s="228"/>
      <c r="I407" s="235"/>
      <c r="J407" s="256"/>
      <c r="K407" s="111"/>
      <c r="L407" s="111"/>
      <c r="M407" s="111"/>
      <c r="N407" s="59"/>
      <c r="O407" s="59"/>
      <c r="P407" s="59"/>
      <c r="Q407" s="59"/>
      <c r="R407" s="59"/>
      <c r="S407" s="59"/>
      <c r="T407" s="59"/>
    </row>
    <row r="408" spans="2:20" s="5" customFormat="1" ht="15.5" hidden="1" x14ac:dyDescent="0.35">
      <c r="B408" s="231" t="s">
        <v>368</v>
      </c>
      <c r="C408" s="228"/>
      <c r="D408" s="228"/>
      <c r="E408" s="228"/>
      <c r="F408" s="228"/>
      <c r="G408" s="228"/>
      <c r="H408" s="228"/>
      <c r="I408" s="235"/>
      <c r="J408" s="256"/>
      <c r="K408" s="111"/>
      <c r="L408" s="111"/>
      <c r="M408" s="111"/>
      <c r="N408" s="59"/>
      <c r="O408" s="59"/>
      <c r="P408" s="59"/>
      <c r="Q408" s="59"/>
      <c r="R408" s="59"/>
      <c r="S408" s="59"/>
      <c r="T408" s="59"/>
    </row>
    <row r="409" spans="2:20" s="5" customFormat="1" ht="15.5" hidden="1" x14ac:dyDescent="0.35">
      <c r="B409" s="228"/>
      <c r="C409" s="231" t="s">
        <v>370</v>
      </c>
      <c r="D409" s="228"/>
      <c r="E409" s="228"/>
      <c r="F409" s="228"/>
      <c r="G409" s="228"/>
      <c r="H409" s="228"/>
      <c r="I409" s="235"/>
      <c r="J409" s="256"/>
      <c r="K409" s="111"/>
      <c r="L409" s="111"/>
      <c r="M409" s="111"/>
      <c r="N409" s="112"/>
      <c r="O409" s="112"/>
      <c r="P409" s="112"/>
      <c r="Q409" s="112"/>
      <c r="R409" s="112"/>
      <c r="S409" s="112"/>
      <c r="T409" s="59"/>
    </row>
    <row r="410" spans="2:20" s="5" customFormat="1" ht="15.5" hidden="1" x14ac:dyDescent="0.35">
      <c r="B410" s="228"/>
      <c r="C410" s="228"/>
      <c r="D410" s="228"/>
      <c r="E410" s="228"/>
      <c r="F410" s="228"/>
      <c r="G410" s="228"/>
      <c r="H410" s="228"/>
      <c r="I410" s="228"/>
      <c r="J410" s="256"/>
      <c r="K410" s="97"/>
      <c r="L410" s="111"/>
      <c r="M410" s="111"/>
      <c r="N410" s="59"/>
      <c r="O410" s="59"/>
      <c r="P410" s="59"/>
      <c r="Q410" s="59"/>
      <c r="R410" s="59"/>
      <c r="S410" s="59"/>
      <c r="T410" s="59"/>
    </row>
    <row r="411" spans="2:20" s="5" customFormat="1" ht="15.5" hidden="1" x14ac:dyDescent="0.35">
      <c r="B411" s="250"/>
      <c r="C411" s="235" t="s">
        <v>440</v>
      </c>
      <c r="D411" s="951" t="e">
        <f>D331*'Baseline farm'!G85%</f>
        <v>#DIV/0!</v>
      </c>
      <c r="E411" s="240"/>
      <c r="F411" s="240"/>
      <c r="G411" s="240"/>
      <c r="H411" s="240"/>
      <c r="I411" s="228"/>
      <c r="J411" s="230"/>
      <c r="K411" s="59"/>
      <c r="L411" s="111"/>
      <c r="M411" s="111"/>
      <c r="N411" s="59"/>
      <c r="O411" s="59"/>
      <c r="P411" s="59"/>
      <c r="Q411" s="59"/>
      <c r="R411" s="59"/>
      <c r="S411" s="59"/>
      <c r="T411" s="59"/>
    </row>
    <row r="412" spans="2:20" s="5" customFormat="1" ht="15.5" hidden="1" x14ac:dyDescent="0.35">
      <c r="B412" s="228"/>
      <c r="C412" s="228"/>
      <c r="D412" s="951"/>
      <c r="E412" s="240"/>
      <c r="F412" s="240"/>
      <c r="G412" s="240"/>
      <c r="H412" s="240"/>
      <c r="I412" s="228"/>
      <c r="J412" s="230"/>
      <c r="K412" s="59"/>
      <c r="L412" s="111"/>
      <c r="M412" s="111"/>
      <c r="N412" s="59"/>
      <c r="O412" s="59"/>
      <c r="P412" s="59"/>
      <c r="Q412" s="59"/>
      <c r="R412" s="59"/>
      <c r="S412" s="59"/>
      <c r="T412" s="59"/>
    </row>
    <row r="413" spans="2:20" s="5" customFormat="1" ht="15.5" hidden="1" x14ac:dyDescent="0.35">
      <c r="B413" s="228"/>
      <c r="C413" s="231" t="s">
        <v>372</v>
      </c>
      <c r="D413" s="951"/>
      <c r="E413" s="240"/>
      <c r="F413" s="240"/>
      <c r="G413" s="240"/>
      <c r="H413" s="240"/>
      <c r="I413" s="259"/>
      <c r="J413" s="230"/>
      <c r="K413" s="59"/>
      <c r="L413" s="111"/>
      <c r="M413" s="111"/>
      <c r="N413" s="59"/>
      <c r="O413" s="59"/>
      <c r="P413" s="59"/>
      <c r="Q413" s="59"/>
      <c r="R413" s="59"/>
      <c r="S413" s="59"/>
      <c r="T413" s="59"/>
    </row>
    <row r="414" spans="2:20" s="5" customFormat="1" ht="15.5" hidden="1" x14ac:dyDescent="0.35">
      <c r="B414" s="228"/>
      <c r="C414" s="228"/>
      <c r="D414" s="951"/>
      <c r="E414" s="240"/>
      <c r="F414" s="240"/>
      <c r="G414" s="240"/>
      <c r="H414" s="240"/>
      <c r="I414" s="259"/>
      <c r="J414" s="230"/>
      <c r="K414" s="59"/>
      <c r="L414" s="59"/>
      <c r="M414" s="59"/>
      <c r="N414" s="59"/>
      <c r="O414" s="59"/>
      <c r="P414" s="59"/>
      <c r="Q414" s="59"/>
      <c r="R414" s="59"/>
      <c r="S414" s="59"/>
      <c r="T414" s="59"/>
    </row>
    <row r="415" spans="2:20" s="5" customFormat="1" ht="15.5" hidden="1" x14ac:dyDescent="0.35">
      <c r="B415" s="228"/>
      <c r="C415" s="235" t="s">
        <v>440</v>
      </c>
      <c r="D415" s="951" t="e">
        <f>D335*'Baseline farm'!G85%</f>
        <v>#DIV/0!</v>
      </c>
      <c r="E415" s="240"/>
      <c r="F415" s="240"/>
      <c r="G415" s="240"/>
      <c r="H415" s="240"/>
      <c r="I415" s="259"/>
      <c r="J415" s="230"/>
      <c r="K415" s="59"/>
      <c r="L415" s="919"/>
      <c r="M415" s="919"/>
      <c r="N415" s="919"/>
      <c r="O415" s="919"/>
      <c r="P415" s="919"/>
      <c r="Q415" s="919"/>
      <c r="R415" s="919"/>
      <c r="S415" s="919"/>
      <c r="T415" s="919"/>
    </row>
    <row r="416" spans="2:20" s="5" customFormat="1" ht="15.5" hidden="1" x14ac:dyDescent="0.35">
      <c r="B416" s="228"/>
      <c r="C416" s="228"/>
      <c r="D416" s="228"/>
      <c r="E416" s="228"/>
      <c r="F416" s="228"/>
      <c r="G416" s="228"/>
      <c r="H416" s="228"/>
      <c r="I416" s="259"/>
      <c r="J416" s="230"/>
      <c r="K416" s="59"/>
      <c r="L416" s="919"/>
      <c r="M416" s="919"/>
      <c r="N416" s="919"/>
      <c r="O416" s="919"/>
      <c r="P416" s="919"/>
      <c r="Q416" s="919"/>
      <c r="R416" s="919"/>
      <c r="S416" s="919"/>
      <c r="T416" s="919"/>
    </row>
    <row r="417" spans="2:20" s="5" customFormat="1" ht="15.5" hidden="1" x14ac:dyDescent="0.35">
      <c r="B417" s="231" t="s">
        <v>374</v>
      </c>
      <c r="C417" s="231" t="s">
        <v>375</v>
      </c>
      <c r="D417" s="228"/>
      <c r="E417" s="228"/>
      <c r="F417" s="228"/>
      <c r="G417" s="228"/>
      <c r="H417" s="228"/>
      <c r="I417" s="228"/>
      <c r="J417" s="230"/>
      <c r="K417" s="59"/>
      <c r="L417" s="919"/>
      <c r="M417" s="919"/>
      <c r="N417" s="919"/>
      <c r="O417" s="919"/>
      <c r="P417" s="919"/>
      <c r="Q417" s="919"/>
      <c r="R417" s="919"/>
      <c r="S417" s="919"/>
      <c r="T417" s="919"/>
    </row>
    <row r="418" spans="2:20" s="5" customFormat="1" ht="15.5" hidden="1" x14ac:dyDescent="0.35">
      <c r="B418" s="228"/>
      <c r="C418" s="228" t="s">
        <v>377</v>
      </c>
      <c r="D418" s="260">
        <v>4.0000000000000001E-3</v>
      </c>
      <c r="E418" s="228"/>
      <c r="F418" s="228"/>
      <c r="G418" s="228"/>
      <c r="H418" s="228"/>
      <c r="I418" s="228"/>
      <c r="J418" s="230"/>
      <c r="K418" s="59"/>
      <c r="L418" s="919"/>
      <c r="M418" s="919"/>
      <c r="N418" s="919"/>
      <c r="O418" s="919"/>
      <c r="P418" s="919"/>
      <c r="Q418" s="919"/>
      <c r="R418" s="919"/>
      <c r="S418" s="919"/>
      <c r="T418" s="919"/>
    </row>
    <row r="419" spans="2:20" s="5" customFormat="1" ht="15.5" hidden="1" x14ac:dyDescent="0.35">
      <c r="B419" s="228"/>
      <c r="C419" s="228" t="s">
        <v>378</v>
      </c>
      <c r="D419" s="260">
        <v>4.0000000000000001E-3</v>
      </c>
      <c r="E419" s="228"/>
      <c r="F419" s="228"/>
      <c r="G419" s="228"/>
      <c r="H419" s="228"/>
      <c r="I419" s="228"/>
      <c r="J419" s="241"/>
      <c r="K419" s="59"/>
      <c r="L419" s="919"/>
      <c r="M419" s="919"/>
      <c r="N419" s="919"/>
      <c r="O419" s="919"/>
      <c r="P419" s="919"/>
      <c r="Q419" s="919"/>
      <c r="R419" s="919"/>
      <c r="S419" s="919"/>
      <c r="T419" s="919"/>
    </row>
    <row r="420" spans="2:20" s="5" customFormat="1" ht="15.5" hidden="1" x14ac:dyDescent="0.35">
      <c r="B420" s="228"/>
      <c r="C420" s="228"/>
      <c r="D420" s="228"/>
      <c r="E420" s="228"/>
      <c r="F420" s="228"/>
      <c r="G420" s="228"/>
      <c r="H420" s="228"/>
      <c r="I420" s="259"/>
      <c r="J420" s="230"/>
      <c r="K420" s="59"/>
      <c r="L420" s="919"/>
      <c r="M420" s="919"/>
      <c r="N420" s="919"/>
      <c r="O420" s="919"/>
      <c r="P420" s="919"/>
      <c r="Q420" s="919"/>
      <c r="R420" s="919"/>
      <c r="S420" s="919"/>
      <c r="T420" s="919"/>
    </row>
    <row r="421" spans="2:20" s="5" customFormat="1" ht="15.5" hidden="1" x14ac:dyDescent="0.35">
      <c r="B421" s="228"/>
      <c r="C421" s="235" t="s">
        <v>440</v>
      </c>
      <c r="D421" s="952" t="e">
        <f>(D411+D415)*D418*44/28</f>
        <v>#DIV/0!</v>
      </c>
      <c r="E421" s="254"/>
      <c r="F421" s="254"/>
      <c r="G421" s="254"/>
      <c r="H421" s="254"/>
      <c r="I421" s="228"/>
      <c r="J421" s="241"/>
      <c r="K421" s="59"/>
      <c r="L421" s="919"/>
      <c r="M421" s="919"/>
      <c r="N421" s="919"/>
      <c r="O421" s="919"/>
      <c r="P421" s="919"/>
      <c r="Q421" s="919"/>
      <c r="R421" s="919"/>
      <c r="S421" s="919"/>
      <c r="T421" s="919"/>
    </row>
    <row r="422" spans="2:20" s="5" customFormat="1" ht="15.5" hidden="1" x14ac:dyDescent="0.35">
      <c r="B422" s="228"/>
      <c r="C422" s="228"/>
      <c r="D422" s="953"/>
      <c r="E422" s="228"/>
      <c r="F422" s="228"/>
      <c r="G422" s="228"/>
      <c r="H422" s="228"/>
      <c r="I422" s="228"/>
      <c r="J422" s="241"/>
      <c r="K422" s="59"/>
      <c r="L422" s="59"/>
      <c r="M422" s="59"/>
    </row>
    <row r="423" spans="2:20" s="5" customFormat="1" ht="15.5" hidden="1" x14ac:dyDescent="0.35">
      <c r="B423" s="231" t="s">
        <v>379</v>
      </c>
      <c r="C423" s="228"/>
      <c r="D423" s="954"/>
      <c r="E423" s="228"/>
      <c r="F423" s="228"/>
      <c r="G423" s="228"/>
      <c r="H423" s="228"/>
      <c r="I423" s="228"/>
      <c r="J423" s="230"/>
      <c r="K423" s="59"/>
      <c r="L423" s="59"/>
      <c r="M423" s="59"/>
    </row>
    <row r="424" spans="2:20" s="5" customFormat="1" ht="15.5" hidden="1" x14ac:dyDescent="0.35">
      <c r="B424" s="228"/>
      <c r="C424" s="235" t="s">
        <v>440</v>
      </c>
      <c r="D424" s="955" t="e">
        <f>D407+D421</f>
        <v>#DIV/0!</v>
      </c>
      <c r="E424" s="250"/>
      <c r="F424" s="250"/>
      <c r="G424" s="250"/>
      <c r="H424" s="250"/>
      <c r="I424" s="228"/>
      <c r="J424" s="230"/>
      <c r="K424" s="59"/>
      <c r="L424" s="59"/>
      <c r="M424" s="59"/>
    </row>
    <row r="425" spans="2:20" s="5" customFormat="1" ht="15.5" hidden="1" x14ac:dyDescent="0.35">
      <c r="B425" s="228"/>
      <c r="C425" s="235"/>
      <c r="D425" s="250"/>
      <c r="E425" s="250"/>
      <c r="F425" s="250"/>
      <c r="G425" s="250"/>
      <c r="H425" s="250"/>
      <c r="I425" s="228"/>
      <c r="J425" s="230"/>
      <c r="K425" s="59"/>
      <c r="L425" s="59"/>
      <c r="M425" s="59"/>
    </row>
    <row r="426" spans="2:20" s="5" customFormat="1" ht="15.5" hidden="1" x14ac:dyDescent="0.35">
      <c r="B426" s="228"/>
      <c r="C426" s="235"/>
      <c r="D426" s="247"/>
      <c r="E426" s="233"/>
      <c r="F426" s="228"/>
      <c r="G426" s="228"/>
      <c r="H426" s="228"/>
      <c r="I426" s="228"/>
      <c r="J426" s="230"/>
      <c r="K426" s="59"/>
      <c r="L426" s="59"/>
      <c r="M426" s="59"/>
    </row>
    <row r="427" spans="2:20" s="5" customFormat="1" ht="15.5" hidden="1" x14ac:dyDescent="0.35">
      <c r="B427" s="920" t="s">
        <v>386</v>
      </c>
      <c r="C427" s="920" t="s">
        <v>1310</v>
      </c>
      <c r="D427" s="921"/>
      <c r="E427" s="228"/>
      <c r="F427" s="228"/>
      <c r="G427" s="228"/>
      <c r="H427" s="228"/>
      <c r="I427" s="228"/>
      <c r="J427" s="230"/>
      <c r="K427" s="59"/>
      <c r="L427" s="59"/>
      <c r="M427" s="59"/>
    </row>
    <row r="428" spans="2:20" s="5" customFormat="1" ht="15.5" hidden="1" x14ac:dyDescent="0.35">
      <c r="B428" s="921"/>
      <c r="C428" s="921" t="s">
        <v>1311</v>
      </c>
      <c r="D428" s="956">
        <v>0.21</v>
      </c>
      <c r="E428" s="228"/>
      <c r="F428" s="228"/>
      <c r="G428" s="228"/>
      <c r="H428" s="228"/>
      <c r="I428" s="259"/>
      <c r="J428" s="230"/>
      <c r="K428" s="59"/>
      <c r="L428" s="59"/>
      <c r="M428" s="59"/>
    </row>
    <row r="429" spans="2:20" s="5" customFormat="1" ht="15.5" hidden="1" x14ac:dyDescent="0.35">
      <c r="B429" s="921"/>
      <c r="C429" s="921"/>
      <c r="D429" s="921"/>
      <c r="E429" s="228"/>
      <c r="F429" s="228"/>
      <c r="G429" s="228"/>
      <c r="H429" s="228"/>
      <c r="I429" s="228"/>
      <c r="J429" s="230"/>
      <c r="K429" s="59"/>
      <c r="L429" s="59"/>
      <c r="M429" s="59"/>
    </row>
    <row r="430" spans="2:20" s="5" customFormat="1" ht="15.5" hidden="1" x14ac:dyDescent="0.35">
      <c r="B430" s="921" t="s">
        <v>390</v>
      </c>
      <c r="C430" s="922" t="s">
        <v>440</v>
      </c>
      <c r="D430" s="957" t="e">
        <f>(D403+D411+D415)*D428</f>
        <v>#DIV/0!</v>
      </c>
      <c r="E430" s="233"/>
      <c r="F430" s="261"/>
      <c r="G430" s="261"/>
      <c r="H430" s="261"/>
      <c r="I430" s="259"/>
      <c r="J430" s="241"/>
      <c r="K430" s="59"/>
      <c r="L430" s="59"/>
      <c r="M430" s="59"/>
    </row>
    <row r="431" spans="2:20" s="5" customFormat="1" ht="15.5" hidden="1" x14ac:dyDescent="0.35">
      <c r="B431" s="228"/>
      <c r="C431" s="228"/>
      <c r="D431" s="228"/>
      <c r="E431" s="233"/>
      <c r="F431" s="228"/>
      <c r="G431" s="228"/>
      <c r="H431" s="228"/>
      <c r="I431" s="259"/>
      <c r="J431" s="230"/>
      <c r="K431" s="59"/>
      <c r="L431" s="59"/>
      <c r="M431" s="59"/>
    </row>
    <row r="432" spans="2:20" s="5" customFormat="1" ht="15.5" hidden="1" x14ac:dyDescent="0.35">
      <c r="B432" s="921"/>
      <c r="C432" s="920" t="s">
        <v>349</v>
      </c>
      <c r="D432" s="921"/>
      <c r="E432" s="228"/>
      <c r="F432" s="228"/>
      <c r="G432" s="228"/>
      <c r="H432" s="228"/>
      <c r="I432" s="259"/>
      <c r="J432" s="230"/>
      <c r="K432" s="59"/>
      <c r="L432" s="59"/>
      <c r="M432" s="59"/>
    </row>
    <row r="433" spans="2:23" s="5" customFormat="1" ht="15.5" hidden="1" x14ac:dyDescent="0.35">
      <c r="B433" s="921"/>
      <c r="C433" s="921" t="s">
        <v>399</v>
      </c>
      <c r="D433" s="921"/>
      <c r="E433" s="228"/>
      <c r="F433" s="228"/>
      <c r="G433" s="228"/>
      <c r="H433" s="228"/>
      <c r="I433" s="259"/>
      <c r="J433" s="230"/>
      <c r="K433" s="59"/>
      <c r="L433" s="110"/>
      <c r="M433" s="110"/>
    </row>
    <row r="434" spans="2:23" s="5" customFormat="1" ht="15.5" hidden="1" x14ac:dyDescent="0.35">
      <c r="B434" s="921"/>
      <c r="C434" s="921" t="s">
        <v>1300</v>
      </c>
      <c r="D434" s="956">
        <v>4.0000000000000001E-3</v>
      </c>
      <c r="E434" s="228"/>
      <c r="F434" s="228"/>
      <c r="G434" s="228"/>
      <c r="H434" s="228"/>
      <c r="I434" s="228"/>
      <c r="J434" s="230"/>
      <c r="K434" s="59"/>
      <c r="L434" s="110"/>
      <c r="M434" s="110"/>
      <c r="U434" s="114"/>
      <c r="V434" s="114"/>
      <c r="W434" s="114"/>
    </row>
    <row r="435" spans="2:23" s="5" customFormat="1" ht="15.5" hidden="1" x14ac:dyDescent="0.35">
      <c r="B435" s="228"/>
      <c r="C435" s="228"/>
      <c r="D435" s="228"/>
      <c r="E435" s="228"/>
      <c r="F435" s="228"/>
      <c r="G435" s="228"/>
      <c r="H435" s="228"/>
      <c r="I435" s="228"/>
      <c r="J435" s="230"/>
      <c r="K435" s="59"/>
      <c r="L435" s="59"/>
      <c r="M435" s="59"/>
      <c r="U435" s="114"/>
    </row>
    <row r="436" spans="2:23" s="5" customFormat="1" ht="15.5" hidden="1" x14ac:dyDescent="0.35">
      <c r="B436" s="920" t="s">
        <v>397</v>
      </c>
      <c r="C436" s="922" t="s">
        <v>440</v>
      </c>
      <c r="D436" s="953" t="e">
        <f>D430*D434*44/28</f>
        <v>#DIV/0!</v>
      </c>
      <c r="E436" s="228"/>
      <c r="F436" s="228"/>
      <c r="G436" s="113" t="s">
        <v>299</v>
      </c>
      <c r="H436" s="228"/>
      <c r="I436" s="228"/>
      <c r="J436" s="230"/>
      <c r="K436" s="59"/>
      <c r="L436" s="59"/>
      <c r="M436" s="59"/>
      <c r="U436" s="114"/>
    </row>
    <row r="437" spans="2:23" s="5" customFormat="1" ht="15.5" hidden="1" x14ac:dyDescent="0.35">
      <c r="B437" s="231" t="s">
        <v>1357</v>
      </c>
      <c r="C437" s="922" t="s">
        <v>440</v>
      </c>
      <c r="D437" s="953" t="e">
        <f>D436*'Emission factors'!C5</f>
        <v>#DIV/0!</v>
      </c>
      <c r="E437" s="228"/>
      <c r="F437" s="228"/>
      <c r="G437" s="113" t="s">
        <v>265</v>
      </c>
      <c r="H437" s="228"/>
      <c r="I437" s="228"/>
      <c r="J437" s="230"/>
      <c r="K437" s="59"/>
      <c r="L437" s="59"/>
      <c r="M437" s="59"/>
      <c r="U437" s="114"/>
    </row>
    <row r="438" spans="2:23" s="5" customFormat="1" ht="15.5" hidden="1" x14ac:dyDescent="0.35">
      <c r="B438" s="228"/>
      <c r="C438" s="235"/>
      <c r="D438" s="250"/>
      <c r="E438" s="250"/>
      <c r="F438" s="250"/>
      <c r="G438" s="250"/>
      <c r="H438" s="250"/>
      <c r="I438" s="228"/>
      <c r="J438" s="230"/>
      <c r="K438" s="97"/>
      <c r="L438" s="59"/>
      <c r="M438" s="59"/>
    </row>
    <row r="439" spans="2:23" s="5" customFormat="1" ht="15.5" hidden="1" x14ac:dyDescent="0.35">
      <c r="B439" s="920" t="s">
        <v>409</v>
      </c>
      <c r="C439" s="920" t="s">
        <v>410</v>
      </c>
      <c r="D439" s="921"/>
      <c r="E439" s="228"/>
      <c r="F439" s="228"/>
      <c r="G439" s="921" t="s">
        <v>406</v>
      </c>
      <c r="H439" s="921">
        <v>1</v>
      </c>
      <c r="I439" s="228"/>
      <c r="J439" s="230"/>
      <c r="K439" s="59"/>
      <c r="L439" s="59"/>
      <c r="M439" s="59"/>
    </row>
    <row r="440" spans="2:23" s="5" customFormat="1" ht="15.5" hidden="1" x14ac:dyDescent="0.35">
      <c r="B440" s="921"/>
      <c r="C440" s="921" t="s">
        <v>412</v>
      </c>
      <c r="D440" s="921"/>
      <c r="E440" s="250"/>
      <c r="F440" s="250"/>
      <c r="G440" s="921" t="s">
        <v>408</v>
      </c>
      <c r="H440" s="922">
        <v>0.24</v>
      </c>
      <c r="I440" s="228"/>
      <c r="J440" s="230"/>
      <c r="K440" s="59"/>
    </row>
    <row r="441" spans="2:23" s="5" customFormat="1" ht="15.5" hidden="1" x14ac:dyDescent="0.35">
      <c r="B441" s="921"/>
      <c r="C441" s="921" t="s">
        <v>413</v>
      </c>
      <c r="D441" s="921"/>
      <c r="E441" s="228"/>
      <c r="F441" s="228"/>
      <c r="G441" s="228"/>
      <c r="H441" s="228"/>
      <c r="I441" s="228"/>
      <c r="J441" s="230"/>
      <c r="K441" s="59"/>
    </row>
    <row r="442" spans="2:23" s="5" customFormat="1" ht="15.5" hidden="1" x14ac:dyDescent="0.35">
      <c r="B442" s="921"/>
      <c r="C442" s="921" t="s">
        <v>414</v>
      </c>
      <c r="D442" s="921"/>
      <c r="E442" s="228"/>
      <c r="F442" s="228"/>
      <c r="G442" s="235"/>
      <c r="H442" s="235"/>
      <c r="I442" s="228"/>
      <c r="J442" s="230"/>
      <c r="K442" s="59"/>
    </row>
    <row r="443" spans="2:23" s="5" customFormat="1" ht="15.5" hidden="1" x14ac:dyDescent="0.35">
      <c r="B443" s="231"/>
      <c r="C443" s="236"/>
      <c r="D443" s="228"/>
      <c r="E443" s="228"/>
      <c r="F443" s="228"/>
      <c r="G443" s="228"/>
      <c r="H443" s="228"/>
      <c r="I443" s="228"/>
      <c r="J443" s="230"/>
      <c r="K443" s="59"/>
    </row>
    <row r="444" spans="2:23" s="5" customFormat="1" ht="15.5" hidden="1" x14ac:dyDescent="0.35">
      <c r="B444" s="231"/>
      <c r="C444" s="922" t="s">
        <v>440</v>
      </c>
      <c r="D444" s="958" t="e">
        <f>SUM(D403,D415,D411)*H439*H440</f>
        <v>#DIV/0!</v>
      </c>
      <c r="E444" s="228"/>
      <c r="F444" s="228"/>
      <c r="G444" s="228"/>
      <c r="H444" s="228"/>
      <c r="I444" s="228"/>
      <c r="J444" s="230"/>
      <c r="K444" s="59"/>
    </row>
    <row r="445" spans="2:23" s="5" customFormat="1" ht="15.5" hidden="1" x14ac:dyDescent="0.35">
      <c r="B445" s="231"/>
      <c r="C445" s="228"/>
      <c r="D445" s="228"/>
      <c r="E445" s="228"/>
      <c r="F445" s="228"/>
      <c r="G445" s="228"/>
      <c r="H445" s="228"/>
      <c r="I445" s="228"/>
      <c r="J445" s="230"/>
      <c r="K445" s="59"/>
    </row>
    <row r="446" spans="2:23" s="5" customFormat="1" ht="15.5" hidden="1" x14ac:dyDescent="0.35">
      <c r="B446" s="920" t="s">
        <v>415</v>
      </c>
      <c r="C446" s="920" t="s">
        <v>349</v>
      </c>
      <c r="D446" s="921"/>
      <c r="E446" s="228"/>
      <c r="F446" s="228"/>
      <c r="G446" s="228"/>
      <c r="H446" s="228"/>
      <c r="I446" s="228"/>
      <c r="J446" s="230"/>
      <c r="K446" s="59"/>
    </row>
    <row r="447" spans="2:23" s="5" customFormat="1" ht="15.5" hidden="1" x14ac:dyDescent="0.35">
      <c r="B447" s="921"/>
      <c r="C447" s="921" t="s">
        <v>417</v>
      </c>
      <c r="D447" s="921"/>
      <c r="E447" s="228"/>
      <c r="F447" s="228"/>
      <c r="G447" s="228"/>
      <c r="H447" s="228"/>
      <c r="I447" s="228"/>
      <c r="J447" s="230"/>
      <c r="K447" s="59"/>
    </row>
    <row r="448" spans="2:23" s="5" customFormat="1" ht="15.5" hidden="1" x14ac:dyDescent="0.35">
      <c r="B448" s="921"/>
      <c r="C448" s="921" t="s">
        <v>1301</v>
      </c>
      <c r="D448" s="956">
        <v>1.0999999999999999E-2</v>
      </c>
      <c r="E448" s="228"/>
      <c r="F448" s="228"/>
      <c r="G448" s="228"/>
      <c r="H448" s="228"/>
      <c r="I448" s="228"/>
      <c r="J448" s="230"/>
      <c r="K448" s="59"/>
    </row>
    <row r="449" spans="2:20" s="5" customFormat="1" ht="15.5" hidden="1" x14ac:dyDescent="0.35">
      <c r="B449" s="228"/>
      <c r="C449" s="228"/>
      <c r="D449" s="259"/>
      <c r="E449" s="228"/>
      <c r="F449" s="228"/>
      <c r="G449" s="228"/>
      <c r="H449" s="228"/>
      <c r="I449" s="228"/>
      <c r="J449" s="230"/>
      <c r="K449" s="59"/>
    </row>
    <row r="450" spans="2:20" s="5" customFormat="1" ht="15.5" hidden="1" x14ac:dyDescent="0.35">
      <c r="B450" s="921" t="s">
        <v>390</v>
      </c>
      <c r="C450" s="922" t="s">
        <v>440</v>
      </c>
      <c r="D450" s="958" t="e">
        <f>D444*D448*44/28</f>
        <v>#DIV/0!</v>
      </c>
      <c r="E450" s="228"/>
      <c r="F450" s="228"/>
      <c r="G450" s="113" t="s">
        <v>299</v>
      </c>
      <c r="H450" s="228"/>
      <c r="I450" s="228"/>
      <c r="J450" s="230"/>
      <c r="K450" s="59"/>
    </row>
    <row r="451" spans="2:20" s="5" customFormat="1" ht="15.5" hidden="1" x14ac:dyDescent="0.35">
      <c r="B451" s="228"/>
      <c r="C451" s="228"/>
      <c r="D451" s="228"/>
      <c r="E451" s="228"/>
      <c r="F451" s="228"/>
      <c r="G451" s="228"/>
      <c r="H451" s="228"/>
      <c r="I451" s="228"/>
      <c r="J451" s="230"/>
      <c r="K451" s="59"/>
      <c r="L451" s="9"/>
      <c r="M451" s="9"/>
      <c r="N451" s="9"/>
      <c r="O451" s="9"/>
      <c r="P451" s="9"/>
      <c r="Q451" s="9"/>
      <c r="R451" s="9"/>
      <c r="S451" s="9"/>
      <c r="T451" s="9"/>
    </row>
    <row r="452" spans="2:20" s="5" customFormat="1" ht="15.5" hidden="1" x14ac:dyDescent="0.35">
      <c r="B452" s="924" t="s">
        <v>418</v>
      </c>
      <c r="C452" s="902" t="e">
        <f>D450*'Emission factors'!C5</f>
        <v>#DIV/0!</v>
      </c>
      <c r="D452" s="959"/>
      <c r="E452" s="959"/>
      <c r="F452" s="959"/>
      <c r="G452" s="959" t="s">
        <v>265</v>
      </c>
      <c r="H452" s="959"/>
      <c r="I452" s="968"/>
      <c r="J452" s="969"/>
      <c r="K452" s="59"/>
      <c r="L452" s="9"/>
      <c r="M452" s="9"/>
      <c r="N452" s="9"/>
      <c r="O452" s="9"/>
      <c r="P452" s="9"/>
      <c r="Q452" s="9"/>
      <c r="R452" s="9"/>
      <c r="S452" s="9"/>
      <c r="T452" s="9"/>
    </row>
    <row r="453" spans="2:20" s="5" customFormat="1" ht="15.5" hidden="1" x14ac:dyDescent="0.35">
      <c r="K453" s="59"/>
      <c r="L453" s="9"/>
      <c r="M453" s="9"/>
      <c r="N453" s="9"/>
      <c r="O453" s="9"/>
      <c r="P453" s="9"/>
      <c r="Q453" s="9"/>
      <c r="R453" s="9"/>
      <c r="S453" s="9"/>
      <c r="T453" s="9"/>
    </row>
    <row r="454" spans="2:20" s="5" customFormat="1" ht="15.5" hidden="1" x14ac:dyDescent="0.35">
      <c r="B454" s="9"/>
      <c r="C454" s="9"/>
      <c r="D454" s="9"/>
      <c r="E454" s="9"/>
      <c r="F454" s="9"/>
      <c r="G454" s="9"/>
      <c r="H454" s="9"/>
      <c r="I454" s="9"/>
      <c r="J454" s="9"/>
      <c r="K454" s="59"/>
      <c r="L454" s="9"/>
      <c r="M454" s="9"/>
      <c r="N454" s="9"/>
      <c r="O454" s="9"/>
      <c r="P454" s="9"/>
      <c r="Q454" s="9"/>
      <c r="R454" s="9"/>
      <c r="S454" s="9"/>
      <c r="T454" s="9"/>
    </row>
    <row r="455" spans="2:20" s="5" customFormat="1" ht="15.5" hidden="1" x14ac:dyDescent="0.35">
      <c r="B455" s="9"/>
      <c r="C455" s="9"/>
      <c r="D455" s="9"/>
      <c r="E455" s="9"/>
      <c r="F455" s="9"/>
      <c r="G455" s="9"/>
      <c r="H455" s="9"/>
      <c r="I455" s="9"/>
      <c r="J455" s="9"/>
      <c r="K455" s="59"/>
      <c r="L455" s="9"/>
      <c r="M455" s="9"/>
      <c r="N455" s="9"/>
      <c r="O455" s="9"/>
      <c r="P455" s="9"/>
      <c r="Q455" s="9"/>
      <c r="R455" s="9"/>
      <c r="S455" s="9"/>
      <c r="T455" s="9"/>
    </row>
    <row r="456" spans="2:20" s="5" customFormat="1" ht="15.5" hidden="1" x14ac:dyDescent="0.35">
      <c r="B456" s="120" t="s">
        <v>426</v>
      </c>
      <c r="C456" s="9"/>
      <c r="D456" s="9"/>
      <c r="E456" s="9"/>
      <c r="F456" s="9"/>
      <c r="G456" s="9"/>
      <c r="H456" s="9"/>
      <c r="I456" s="9"/>
      <c r="J456" s="9"/>
      <c r="K456" s="59"/>
      <c r="L456" s="9"/>
      <c r="M456" s="9"/>
      <c r="N456" s="9"/>
      <c r="O456" s="9"/>
      <c r="P456" s="9"/>
      <c r="Q456" s="9"/>
      <c r="R456" s="9"/>
      <c r="S456" s="9"/>
      <c r="T456" s="9"/>
    </row>
    <row r="457" spans="2:20" s="5" customFormat="1" ht="15.5" hidden="1" x14ac:dyDescent="0.35">
      <c r="B457" s="9" t="s">
        <v>452</v>
      </c>
      <c r="C457" s="121" t="e">
        <f>D421*10^6</f>
        <v>#DIV/0!</v>
      </c>
      <c r="D457" s="9"/>
      <c r="E457" s="9"/>
      <c r="F457" s="9"/>
      <c r="G457" s="9"/>
      <c r="H457" s="9"/>
      <c r="I457" s="9"/>
      <c r="J457" s="9"/>
      <c r="K457" s="59"/>
      <c r="L457" s="9"/>
      <c r="M457" s="9"/>
      <c r="N457" s="9"/>
      <c r="O457" s="9"/>
      <c r="P457" s="9"/>
      <c r="Q457" s="9"/>
      <c r="R457" s="9"/>
      <c r="S457" s="9"/>
      <c r="T457" s="9"/>
    </row>
    <row r="458" spans="2:20" s="5" customFormat="1" ht="15.5" hidden="1" x14ac:dyDescent="0.35">
      <c r="B458" s="9"/>
      <c r="C458" s="9"/>
      <c r="D458" s="9"/>
      <c r="E458" s="9"/>
      <c r="F458" s="9"/>
      <c r="G458" s="9"/>
      <c r="H458" s="9"/>
      <c r="I458" s="9"/>
      <c r="J458" s="9"/>
      <c r="K458" s="59"/>
      <c r="L458" s="9"/>
      <c r="M458" s="9"/>
      <c r="N458" s="9"/>
      <c r="O458" s="9"/>
      <c r="P458" s="9"/>
      <c r="Q458" s="9"/>
      <c r="R458" s="9"/>
      <c r="S458" s="9"/>
      <c r="T458" s="9"/>
    </row>
    <row r="459" spans="2:20" s="5" customFormat="1" ht="15.5" hidden="1" x14ac:dyDescent="0.35">
      <c r="B459" s="120" t="s">
        <v>1342</v>
      </c>
      <c r="C459" s="9"/>
      <c r="D459" s="9"/>
      <c r="E459" s="9"/>
      <c r="F459" s="9"/>
      <c r="G459" s="9"/>
      <c r="H459" s="9"/>
      <c r="I459" s="9"/>
      <c r="J459" s="9"/>
      <c r="K459" s="59"/>
      <c r="L459" s="9"/>
      <c r="M459" s="9"/>
      <c r="N459" s="9"/>
      <c r="O459" s="9"/>
      <c r="P459" s="9"/>
      <c r="Q459" s="9"/>
      <c r="R459" s="9"/>
      <c r="S459" s="9"/>
      <c r="T459" s="9"/>
    </row>
    <row r="460" spans="2:20" s="5" customFormat="1" ht="15.5" hidden="1" x14ac:dyDescent="0.35">
      <c r="B460" s="9" t="s">
        <v>452</v>
      </c>
      <c r="C460" s="121" t="e">
        <f>(D407+D358)*10^6</f>
        <v>#DIV/0!</v>
      </c>
      <c r="D460" s="9"/>
      <c r="E460" s="9"/>
      <c r="F460" s="9"/>
      <c r="G460" s="9"/>
      <c r="H460" s="9"/>
      <c r="I460" s="9"/>
      <c r="J460" s="9"/>
      <c r="K460" s="59"/>
      <c r="L460" s="9"/>
      <c r="M460" s="9"/>
      <c r="N460" s="9"/>
      <c r="O460" s="9"/>
      <c r="P460" s="9"/>
      <c r="Q460" s="9"/>
      <c r="R460" s="9"/>
      <c r="S460" s="9"/>
      <c r="T460" s="9"/>
    </row>
    <row r="461" spans="2:20" s="5" customFormat="1" ht="15.5" hidden="1" x14ac:dyDescent="0.35">
      <c r="B461" s="6"/>
      <c r="C461" s="9"/>
      <c r="D461" s="9"/>
      <c r="E461" s="9"/>
      <c r="F461" s="9"/>
      <c r="G461" s="9"/>
      <c r="H461" s="9"/>
      <c r="I461" s="9"/>
      <c r="J461" s="9"/>
      <c r="K461" s="59"/>
      <c r="L461" s="9"/>
      <c r="M461" s="9"/>
      <c r="N461" s="9"/>
      <c r="O461" s="9"/>
      <c r="P461" s="9"/>
      <c r="Q461" s="9"/>
      <c r="R461" s="9"/>
      <c r="S461" s="9"/>
      <c r="T461" s="9"/>
    </row>
    <row r="462" spans="2:20" s="9" customFormat="1" ht="15.5" hidden="1" x14ac:dyDescent="0.35">
      <c r="B462" s="120" t="s">
        <v>423</v>
      </c>
    </row>
    <row r="463" spans="2:20" s="9" customFormat="1" hidden="1" x14ac:dyDescent="0.35">
      <c r="B463" s="9" t="s">
        <v>452</v>
      </c>
      <c r="C463" s="121" t="e">
        <f>(D373+D382+D450+D436)*10^6</f>
        <v>#DIV/0!</v>
      </c>
    </row>
    <row r="464" spans="2:20" s="9" customFormat="1" hidden="1" x14ac:dyDescent="0.35"/>
    <row r="465" spans="2:4" s="9" customFormat="1" hidden="1" x14ac:dyDescent="0.35">
      <c r="B465" s="122" t="s">
        <v>447</v>
      </c>
    </row>
    <row r="466" spans="2:4" s="9" customFormat="1" hidden="1" x14ac:dyDescent="0.35">
      <c r="B466" s="9" t="s">
        <v>452</v>
      </c>
      <c r="C466" s="121" t="e">
        <f>C457+C460+C463</f>
        <v>#DIV/0!</v>
      </c>
    </row>
    <row r="467" spans="2:4" s="9" customFormat="1" hidden="1" x14ac:dyDescent="0.35"/>
    <row r="468" spans="2:4" s="9" customFormat="1" hidden="1" x14ac:dyDescent="0.35">
      <c r="B468" s="12" t="s">
        <v>449</v>
      </c>
      <c r="C468" s="15" t="e">
        <f>C466*'Emission factors'!C5/1000</f>
        <v>#DIV/0!</v>
      </c>
      <c r="D468" s="13"/>
    </row>
    <row r="469" spans="2:4" s="9" customFormat="1" hidden="1" x14ac:dyDescent="0.35"/>
    <row r="470" spans="2:4" s="9" customFormat="1" hidden="1" x14ac:dyDescent="0.35">
      <c r="B470" s="265" t="s">
        <v>763</v>
      </c>
      <c r="C470" s="123" t="e">
        <f>C296-C468</f>
        <v>#DIV/0!</v>
      </c>
    </row>
    <row r="471" spans="2:4" s="9" customFormat="1" hidden="1" x14ac:dyDescent="0.35"/>
    <row r="472" spans="2:4" s="9" customFormat="1" hidden="1" x14ac:dyDescent="0.35"/>
    <row r="473" spans="2:4" s="9" customFormat="1" hidden="1" x14ac:dyDescent="0.35">
      <c r="B473" s="299" t="s">
        <v>454</v>
      </c>
      <c r="D473" s="20" t="s">
        <v>767</v>
      </c>
    </row>
    <row r="474" spans="2:4" s="9" customFormat="1" hidden="1" x14ac:dyDescent="0.35">
      <c r="B474" s="299" t="s">
        <v>756</v>
      </c>
      <c r="C474" s="123" t="e">
        <f>C92</f>
        <v>#DIV/0!</v>
      </c>
      <c r="D474" s="404" t="e">
        <f>C474/365</f>
        <v>#DIV/0!</v>
      </c>
    </row>
    <row r="475" spans="2:4" s="9" customFormat="1" hidden="1" x14ac:dyDescent="0.35">
      <c r="B475" s="299" t="s">
        <v>757</v>
      </c>
      <c r="C475" s="123" t="e">
        <f>C267</f>
        <v>#DIV/0!</v>
      </c>
      <c r="D475" s="404" t="e">
        <f>C475/365</f>
        <v>#DIV/0!</v>
      </c>
    </row>
    <row r="476" spans="2:4" s="9" customFormat="1" hidden="1" x14ac:dyDescent="0.35">
      <c r="B476" s="299" t="s">
        <v>758</v>
      </c>
      <c r="C476" s="123" t="e">
        <f>C296</f>
        <v>#DIV/0!</v>
      </c>
      <c r="D476" s="404" t="e">
        <f>C476/365</f>
        <v>#DIV/0!</v>
      </c>
    </row>
    <row r="477" spans="2:4" s="9" customFormat="1" hidden="1" x14ac:dyDescent="0.35">
      <c r="B477" s="299" t="s">
        <v>759</v>
      </c>
      <c r="C477" s="124">
        <v>0</v>
      </c>
      <c r="D477" s="404">
        <f>C477/365</f>
        <v>0</v>
      </c>
    </row>
    <row r="478" spans="2:4" s="9" customFormat="1" hidden="1" x14ac:dyDescent="0.35">
      <c r="B478" s="299" t="s">
        <v>760</v>
      </c>
      <c r="C478" s="123" t="e">
        <f>SUM(C474:C477)</f>
        <v>#DIV/0!</v>
      </c>
      <c r="D478" s="404" t="e">
        <f>C478/365</f>
        <v>#DIV/0!</v>
      </c>
    </row>
    <row r="479" spans="2:4" s="9" customFormat="1" hidden="1" x14ac:dyDescent="0.35">
      <c r="B479" s="299"/>
      <c r="C479" s="124"/>
      <c r="D479" s="20"/>
    </row>
    <row r="480" spans="2:4" s="9" customFormat="1" hidden="1" x14ac:dyDescent="0.35">
      <c r="B480" s="299" t="s">
        <v>455</v>
      </c>
      <c r="C480" s="124"/>
      <c r="D480" s="20"/>
    </row>
    <row r="481" spans="2:20" s="9" customFormat="1" hidden="1" x14ac:dyDescent="0.35">
      <c r="B481" s="299" t="s">
        <v>756</v>
      </c>
      <c r="C481" s="123" t="e">
        <f>C137</f>
        <v>#DIV/0!</v>
      </c>
      <c r="D481" s="404" t="e">
        <f>C481/365</f>
        <v>#DIV/0!</v>
      </c>
    </row>
    <row r="482" spans="2:20" s="9" customFormat="1" hidden="1" x14ac:dyDescent="0.35">
      <c r="B482" s="299" t="s">
        <v>757</v>
      </c>
      <c r="C482" s="123" t="e">
        <f>C279</f>
        <v>#DIV/0!</v>
      </c>
      <c r="D482" s="404" t="e">
        <f>C482/365</f>
        <v>#DIV/0!</v>
      </c>
    </row>
    <row r="483" spans="2:20" s="9" customFormat="1" hidden="1" x14ac:dyDescent="0.35">
      <c r="B483" s="299" t="s">
        <v>758</v>
      </c>
      <c r="C483" s="123" t="e">
        <f>C468</f>
        <v>#DIV/0!</v>
      </c>
      <c r="D483" s="404" t="e">
        <f>C483/365</f>
        <v>#DIV/0!</v>
      </c>
    </row>
    <row r="484" spans="2:20" s="9" customFormat="1" hidden="1" x14ac:dyDescent="0.35">
      <c r="B484" s="299" t="s">
        <v>759</v>
      </c>
      <c r="C484" s="124">
        <v>0</v>
      </c>
      <c r="D484" s="404">
        <f>C484/365</f>
        <v>0</v>
      </c>
    </row>
    <row r="485" spans="2:20" s="9" customFormat="1" hidden="1" x14ac:dyDescent="0.35">
      <c r="B485" s="299" t="s">
        <v>760</v>
      </c>
      <c r="C485" s="123" t="e">
        <f>SUM(C481:C484)</f>
        <v>#DIV/0!</v>
      </c>
      <c r="D485" s="404" t="e">
        <f>C485/365</f>
        <v>#DIV/0!</v>
      </c>
    </row>
    <row r="486" spans="2:20" s="9" customFormat="1" hidden="1" x14ac:dyDescent="0.35">
      <c r="B486" s="299"/>
      <c r="C486" s="124"/>
      <c r="D486" s="20"/>
    </row>
    <row r="487" spans="2:20" s="9" customFormat="1" hidden="1" x14ac:dyDescent="0.35">
      <c r="B487" s="299" t="s">
        <v>761</v>
      </c>
      <c r="C487" s="124"/>
      <c r="D487" s="20" t="s">
        <v>768</v>
      </c>
    </row>
    <row r="488" spans="2:20" s="9" customFormat="1" hidden="1" x14ac:dyDescent="0.35">
      <c r="B488" s="299" t="s">
        <v>756</v>
      </c>
      <c r="C488" s="123" t="e">
        <f>C474-C481</f>
        <v>#DIV/0!</v>
      </c>
      <c r="D488" s="404" t="e">
        <f>(C488/365)*$C$22</f>
        <v>#DIV/0!</v>
      </c>
    </row>
    <row r="489" spans="2:20" s="9" customFormat="1" hidden="1" x14ac:dyDescent="0.35">
      <c r="B489" s="299" t="s">
        <v>757</v>
      </c>
      <c r="C489" s="123" t="e">
        <f>C475-C482</f>
        <v>#DIV/0!</v>
      </c>
      <c r="D489" s="404" t="e">
        <f>(C489/365)*$C$22</f>
        <v>#DIV/0!</v>
      </c>
    </row>
    <row r="490" spans="2:20" s="9" customFormat="1" hidden="1" x14ac:dyDescent="0.35">
      <c r="B490" s="299" t="s">
        <v>758</v>
      </c>
      <c r="C490" s="123" t="e">
        <f>C476-C483</f>
        <v>#DIV/0!</v>
      </c>
      <c r="D490" s="404" t="e">
        <f>(C490/365)*$C$22</f>
        <v>#DIV/0!</v>
      </c>
    </row>
    <row r="491" spans="2:20" s="9" customFormat="1" hidden="1" x14ac:dyDescent="0.35">
      <c r="B491" s="299" t="s">
        <v>759</v>
      </c>
      <c r="C491" s="124">
        <f>C477-C484</f>
        <v>0</v>
      </c>
      <c r="D491" s="404">
        <f>(C491/365)*$C$22</f>
        <v>0</v>
      </c>
    </row>
    <row r="492" spans="2:20" s="9" customFormat="1" hidden="1" x14ac:dyDescent="0.35">
      <c r="B492" s="299" t="s">
        <v>760</v>
      </c>
      <c r="C492" s="123" t="e">
        <f>SUM(C488:C491)</f>
        <v>#DIV/0!</v>
      </c>
      <c r="D492" s="404" t="e">
        <f>(C492/365)*$C$22</f>
        <v>#DIV/0!</v>
      </c>
      <c r="L492" s="6"/>
      <c r="M492" s="6"/>
      <c r="N492" s="6"/>
      <c r="O492" s="6"/>
      <c r="P492" s="6"/>
      <c r="Q492" s="6"/>
      <c r="R492" s="6"/>
      <c r="S492" s="6"/>
      <c r="T492" s="6"/>
    </row>
    <row r="493" spans="2:20" s="9" customFormat="1" hidden="1" x14ac:dyDescent="0.35"/>
    <row r="494" spans="2:20" s="9" customFormat="1" hidden="1" x14ac:dyDescent="0.35">
      <c r="B494" s="6"/>
      <c r="C494" s="6"/>
      <c r="D494" s="6"/>
      <c r="E494" s="6"/>
      <c r="F494" s="6"/>
      <c r="G494" s="6"/>
      <c r="H494" s="6"/>
      <c r="I494" s="6"/>
      <c r="J494" s="6"/>
      <c r="L494" s="6"/>
      <c r="M494" s="6"/>
      <c r="N494" s="6"/>
      <c r="O494" s="6"/>
      <c r="P494" s="6"/>
      <c r="Q494" s="6"/>
      <c r="R494" s="6"/>
      <c r="S494" s="6"/>
      <c r="T494" s="6"/>
    </row>
    <row r="495" spans="2:20" s="9" customFormat="1" hidden="1" x14ac:dyDescent="0.35">
      <c r="B495" s="432"/>
      <c r="C495" s="432"/>
      <c r="D495" s="432"/>
      <c r="E495" s="432"/>
      <c r="F495" s="432"/>
      <c r="G495" s="432"/>
      <c r="H495" s="432"/>
      <c r="I495" s="432"/>
      <c r="J495" s="432"/>
      <c r="L495" s="6"/>
      <c r="M495" s="6"/>
      <c r="N495" s="6"/>
      <c r="O495" s="6"/>
      <c r="P495" s="6"/>
      <c r="Q495" s="6"/>
      <c r="R495" s="6"/>
      <c r="S495" s="6"/>
      <c r="T495" s="6"/>
    </row>
    <row r="496" spans="2:20" s="9" customFormat="1" hidden="1" x14ac:dyDescent="0.35">
      <c r="B496" s="432"/>
      <c r="C496" s="432"/>
      <c r="D496" s="432"/>
      <c r="E496" s="432"/>
      <c r="F496" s="432"/>
      <c r="G496" s="432"/>
      <c r="H496" s="432"/>
      <c r="I496" s="432"/>
      <c r="J496" s="432"/>
      <c r="L496" s="6"/>
      <c r="M496" s="6"/>
      <c r="N496" s="6"/>
      <c r="O496" s="6"/>
      <c r="P496" s="6"/>
      <c r="Q496" s="6"/>
      <c r="R496" s="6"/>
      <c r="S496" s="6"/>
      <c r="T496" s="6"/>
    </row>
    <row r="497" spans="2:20" s="9" customFormat="1" hidden="1" x14ac:dyDescent="0.35">
      <c r="B497" s="432"/>
      <c r="C497" s="432"/>
      <c r="D497" s="432"/>
      <c r="E497" s="432"/>
      <c r="F497" s="432"/>
      <c r="G497" s="432"/>
      <c r="H497" s="432"/>
      <c r="I497" s="432"/>
      <c r="J497" s="432"/>
      <c r="L497" s="6"/>
      <c r="M497" s="6"/>
      <c r="N497" s="6"/>
      <c r="O497" s="6"/>
      <c r="P497" s="6"/>
      <c r="Q497" s="6"/>
      <c r="R497" s="6"/>
      <c r="S497" s="6"/>
      <c r="T497" s="6"/>
    </row>
    <row r="498" spans="2:20" s="9" customFormat="1" hidden="1" x14ac:dyDescent="0.35">
      <c r="B498" s="432"/>
      <c r="C498" s="432"/>
      <c r="D498" s="432"/>
      <c r="E498" s="432"/>
      <c r="F498" s="432"/>
      <c r="G498" s="432"/>
      <c r="H498" s="432"/>
      <c r="I498" s="432"/>
      <c r="J498" s="432"/>
      <c r="L498" s="6"/>
      <c r="M498" s="6"/>
      <c r="N498" s="6"/>
      <c r="O498" s="6"/>
      <c r="P498" s="6"/>
      <c r="Q498" s="6"/>
      <c r="R498" s="6"/>
      <c r="S498" s="6"/>
      <c r="T498" s="6"/>
    </row>
    <row r="499" spans="2:20" s="9" customFormat="1" hidden="1" x14ac:dyDescent="0.35">
      <c r="B499" s="432"/>
      <c r="C499" s="432"/>
      <c r="D499" s="432"/>
      <c r="E499" s="432"/>
      <c r="F499" s="432"/>
      <c r="G499" s="432"/>
      <c r="H499" s="432"/>
      <c r="I499" s="432"/>
      <c r="J499" s="432"/>
      <c r="L499" s="6"/>
      <c r="M499" s="6"/>
      <c r="N499" s="6"/>
      <c r="O499" s="6"/>
      <c r="P499" s="6"/>
      <c r="Q499" s="6"/>
      <c r="R499" s="6"/>
      <c r="S499" s="6"/>
      <c r="T499" s="6"/>
    </row>
    <row r="500" spans="2:20" s="9" customFormat="1" hidden="1" x14ac:dyDescent="0.35">
      <c r="B500" s="432"/>
      <c r="C500" s="432"/>
      <c r="D500" s="432"/>
      <c r="E500" s="432"/>
      <c r="F500" s="432"/>
      <c r="G500" s="432"/>
      <c r="H500" s="432"/>
      <c r="I500" s="432"/>
      <c r="J500" s="432"/>
    </row>
    <row r="501" spans="2:20" s="9" customFormat="1" hidden="1" x14ac:dyDescent="0.35">
      <c r="B501" s="432"/>
      <c r="C501" s="432"/>
      <c r="D501" s="432"/>
      <c r="E501" s="432"/>
      <c r="F501" s="432"/>
      <c r="G501" s="432"/>
      <c r="H501" s="432"/>
      <c r="I501" s="432"/>
      <c r="J501" s="432"/>
      <c r="L501" s="6"/>
      <c r="M501" s="6"/>
      <c r="N501" s="6"/>
      <c r="O501" s="6"/>
      <c r="P501" s="6"/>
      <c r="Q501" s="6"/>
      <c r="R501" s="6"/>
      <c r="S501" s="6"/>
      <c r="T501" s="6"/>
    </row>
    <row r="502" spans="2:20" s="9" customFormat="1" hidden="1" x14ac:dyDescent="0.35">
      <c r="B502" s="432"/>
      <c r="C502" s="432"/>
      <c r="D502" s="432"/>
      <c r="E502" s="432"/>
      <c r="F502" s="432"/>
      <c r="G502" s="432"/>
      <c r="H502" s="432"/>
      <c r="I502" s="432"/>
      <c r="J502" s="432"/>
      <c r="L502" s="6"/>
      <c r="M502" s="6"/>
      <c r="N502" s="6"/>
      <c r="O502" s="6"/>
      <c r="P502" s="6"/>
      <c r="Q502" s="6"/>
      <c r="R502" s="6"/>
      <c r="S502" s="6"/>
      <c r="T502" s="6"/>
    </row>
    <row r="503" spans="2:20" s="6" customFormat="1" hidden="1" x14ac:dyDescent="0.35">
      <c r="B503" s="432"/>
      <c r="C503" s="432"/>
      <c r="D503" s="432"/>
      <c r="E503" s="432"/>
      <c r="F503" s="432"/>
      <c r="G503" s="432"/>
      <c r="H503" s="432"/>
      <c r="I503" s="432"/>
      <c r="J503" s="432"/>
    </row>
    <row r="504" spans="2:20" hidden="1" x14ac:dyDescent="0.35"/>
    <row r="505" spans="2:20" hidden="1" x14ac:dyDescent="0.35"/>
    <row r="506" spans="2:20" hidden="1" x14ac:dyDescent="0.35"/>
    <row r="507" spans="2:20" hidden="1" x14ac:dyDescent="0.35"/>
    <row r="508" spans="2:20" hidden="1" x14ac:dyDescent="0.35"/>
    <row r="509" spans="2:20" hidden="1" x14ac:dyDescent="0.35"/>
    <row r="510" spans="2:20" hidden="1" x14ac:dyDescent="0.35"/>
    <row r="511" spans="2:20" hidden="1" x14ac:dyDescent="0.35"/>
    <row r="512" spans="2:20" hidden="1" x14ac:dyDescent="0.35"/>
    <row r="513" hidden="1" x14ac:dyDescent="0.35"/>
    <row r="514" hidden="1" x14ac:dyDescent="0.35"/>
    <row r="515" hidden="1" x14ac:dyDescent="0.35"/>
    <row r="516" hidden="1" x14ac:dyDescent="0.35"/>
    <row r="517" hidden="1" x14ac:dyDescent="0.35"/>
    <row r="518" hidden="1" x14ac:dyDescent="0.35"/>
    <row r="519" hidden="1" x14ac:dyDescent="0.35"/>
    <row r="520" hidden="1" x14ac:dyDescent="0.35"/>
    <row r="521" hidden="1" x14ac:dyDescent="0.35"/>
    <row r="522" hidden="1" x14ac:dyDescent="0.35"/>
    <row r="523" hidden="1" x14ac:dyDescent="0.35"/>
    <row r="524" hidden="1" x14ac:dyDescent="0.35"/>
    <row r="525" hidden="1" x14ac:dyDescent="0.35"/>
    <row r="526" hidden="1" x14ac:dyDescent="0.35"/>
    <row r="527" hidden="1" x14ac:dyDescent="0.35"/>
    <row r="528" hidden="1" x14ac:dyDescent="0.35"/>
    <row r="529" hidden="1" x14ac:dyDescent="0.35"/>
    <row r="530" hidden="1" x14ac:dyDescent="0.35"/>
    <row r="531" hidden="1" x14ac:dyDescent="0.35"/>
    <row r="532" hidden="1" x14ac:dyDescent="0.35"/>
    <row r="533" hidden="1" x14ac:dyDescent="0.35"/>
    <row r="534" hidden="1" x14ac:dyDescent="0.35"/>
    <row r="535" hidden="1" x14ac:dyDescent="0.35"/>
    <row r="536" hidden="1" x14ac:dyDescent="0.35"/>
    <row r="537" hidden="1" x14ac:dyDescent="0.35"/>
    <row r="538" hidden="1" x14ac:dyDescent="0.35"/>
    <row r="539" hidden="1" x14ac:dyDescent="0.35"/>
    <row r="540" hidden="1" x14ac:dyDescent="0.35"/>
    <row r="541" hidden="1" x14ac:dyDescent="0.35"/>
    <row r="542" hidden="1" x14ac:dyDescent="0.35"/>
    <row r="543" hidden="1" x14ac:dyDescent="0.35"/>
    <row r="544" hidden="1" x14ac:dyDescent="0.35"/>
    <row r="545" hidden="1" x14ac:dyDescent="0.35"/>
    <row r="546" hidden="1" x14ac:dyDescent="0.35"/>
    <row r="547" hidden="1" x14ac:dyDescent="0.35"/>
    <row r="548" hidden="1" x14ac:dyDescent="0.35"/>
    <row r="549" hidden="1" x14ac:dyDescent="0.35"/>
    <row r="550" hidden="1" x14ac:dyDescent="0.35"/>
    <row r="551" hidden="1" x14ac:dyDescent="0.35"/>
    <row r="552" hidden="1" x14ac:dyDescent="0.35"/>
    <row r="553" hidden="1" x14ac:dyDescent="0.35"/>
    <row r="554" hidden="1" x14ac:dyDescent="0.35"/>
    <row r="555" hidden="1" x14ac:dyDescent="0.35"/>
    <row r="556" hidden="1" x14ac:dyDescent="0.35"/>
    <row r="557" hidden="1" x14ac:dyDescent="0.35"/>
  </sheetData>
  <sheetProtection algorithmName="SHA-512" hashValue="tV61D2PmnoiX8bU4FLQFUPFStrC8nuLGtdgY/ZOySggk3clO3JiJd/EGJKOCGWrvzVI8aukoLKaGnmTbl4n94w==" saltValue="fwAdIj0vfILI92KKshQRWQ=="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3" r:id="rId4" name="Spinner 103">
              <controlPr defaultSize="0" autoPict="0">
                <anchor moveWithCells="1" sizeWithCells="1">
                  <from>
                    <xdr:col>2</xdr:col>
                    <xdr:colOff>1498600</xdr:colOff>
                    <xdr:row>17</xdr:row>
                    <xdr:rowOff>57150</xdr:rowOff>
                  </from>
                  <to>
                    <xdr:col>2</xdr:col>
                    <xdr:colOff>1841500</xdr:colOff>
                    <xdr:row>18</xdr:row>
                    <xdr:rowOff>0</xdr:rowOff>
                  </to>
                </anchor>
              </controlPr>
            </control>
          </mc:Choice>
        </mc:AlternateContent>
        <mc:AlternateContent xmlns:mc="http://schemas.openxmlformats.org/markup-compatibility/2006">
          <mc:Choice Requires="x14">
            <control shapeId="5224" r:id="rId5" name="Spinner 104">
              <controlPr defaultSize="0" autoPict="0">
                <anchor moveWithCells="1" sizeWithCells="1">
                  <from>
                    <xdr:col>2</xdr:col>
                    <xdr:colOff>1485900</xdr:colOff>
                    <xdr:row>21</xdr:row>
                    <xdr:rowOff>57150</xdr:rowOff>
                  </from>
                  <to>
                    <xdr:col>2</xdr:col>
                    <xdr:colOff>1828800</xdr:colOff>
                    <xdr:row>21</xdr:row>
                    <xdr:rowOff>241300</xdr:rowOff>
                  </to>
                </anchor>
              </controlPr>
            </control>
          </mc:Choice>
        </mc:AlternateContent>
        <mc:AlternateContent xmlns:mc="http://schemas.openxmlformats.org/markup-compatibility/2006">
          <mc:Choice Requires="x14">
            <control shapeId="5225" r:id="rId6" name="Spinner 105">
              <controlPr defaultSize="0" autoPict="0">
                <anchor moveWithCells="1" sizeWithCells="1">
                  <from>
                    <xdr:col>2</xdr:col>
                    <xdr:colOff>1485900</xdr:colOff>
                    <xdr:row>23</xdr:row>
                    <xdr:rowOff>57150</xdr:rowOff>
                  </from>
                  <to>
                    <xdr:col>2</xdr:col>
                    <xdr:colOff>1828800</xdr:colOff>
                    <xdr:row>23</xdr:row>
                    <xdr:rowOff>241300</xdr:rowOff>
                  </to>
                </anchor>
              </controlPr>
            </control>
          </mc:Choice>
        </mc:AlternateContent>
        <mc:AlternateContent xmlns:mc="http://schemas.openxmlformats.org/markup-compatibility/2006">
          <mc:Choice Requires="x14">
            <control shapeId="5226" r:id="rId7" name="Spinner 106">
              <controlPr defaultSize="0" autoPict="0">
                <anchor moveWithCells="1" sizeWithCells="1">
                  <from>
                    <xdr:col>2</xdr:col>
                    <xdr:colOff>1485900</xdr:colOff>
                    <xdr:row>25</xdr:row>
                    <xdr:rowOff>57150</xdr:rowOff>
                  </from>
                  <to>
                    <xdr:col>2</xdr:col>
                    <xdr:colOff>1828800</xdr:colOff>
                    <xdr:row>25</xdr:row>
                    <xdr:rowOff>241300</xdr:rowOff>
                  </to>
                </anchor>
              </controlPr>
            </control>
          </mc:Choice>
        </mc:AlternateContent>
        <mc:AlternateContent xmlns:mc="http://schemas.openxmlformats.org/markup-compatibility/2006">
          <mc:Choice Requires="x14">
            <control shapeId="5228" r:id="rId8" name="Spinner 108">
              <controlPr defaultSize="0" autoPict="0">
                <anchor moveWithCells="1" sizeWithCells="1">
                  <from>
                    <xdr:col>2</xdr:col>
                    <xdr:colOff>1485900</xdr:colOff>
                    <xdr:row>29</xdr:row>
                    <xdr:rowOff>57150</xdr:rowOff>
                  </from>
                  <to>
                    <xdr:col>2</xdr:col>
                    <xdr:colOff>1828800</xdr:colOff>
                    <xdr:row>29</xdr:row>
                    <xdr:rowOff>241300</xdr:rowOff>
                  </to>
                </anchor>
              </controlPr>
            </control>
          </mc:Choice>
        </mc:AlternateContent>
        <mc:AlternateContent xmlns:mc="http://schemas.openxmlformats.org/markup-compatibility/2006">
          <mc:Choice Requires="x14">
            <control shapeId="5233" r:id="rId9" name="Spinner 113">
              <controlPr defaultSize="0" autoPict="0">
                <anchor moveWithCells="1" sizeWithCells="1">
                  <from>
                    <xdr:col>2</xdr:col>
                    <xdr:colOff>1485900</xdr:colOff>
                    <xdr:row>27</xdr:row>
                    <xdr:rowOff>57150</xdr:rowOff>
                  </from>
                  <to>
                    <xdr:col>2</xdr:col>
                    <xdr:colOff>1828800</xdr:colOff>
                    <xdr:row>27</xdr:row>
                    <xdr:rowOff>241300</xdr:rowOff>
                  </to>
                </anchor>
              </controlPr>
            </control>
          </mc:Choice>
        </mc:AlternateContent>
        <mc:AlternateContent xmlns:mc="http://schemas.openxmlformats.org/markup-compatibility/2006">
          <mc:Choice Requires="x14">
            <control shapeId="5242" r:id="rId10" name="Spinner 122">
              <controlPr defaultSize="0" autoPict="0">
                <anchor moveWithCells="1" sizeWithCells="1">
                  <from>
                    <xdr:col>2</xdr:col>
                    <xdr:colOff>1485900</xdr:colOff>
                    <xdr:row>19</xdr:row>
                    <xdr:rowOff>57150</xdr:rowOff>
                  </from>
                  <to>
                    <xdr:col>2</xdr:col>
                    <xdr:colOff>1828800</xdr:colOff>
                    <xdr:row>20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W449"/>
  <sheetViews>
    <sheetView zoomScaleNormal="100" workbookViewId="0"/>
  </sheetViews>
  <sheetFormatPr defaultColWidth="16.7265625" defaultRowHeight="13" x14ac:dyDescent="0.3"/>
  <cols>
    <col min="1" max="1" width="3.26953125" style="142" customWidth="1"/>
    <col min="2" max="2" width="83" style="142" customWidth="1"/>
    <col min="3" max="3" width="26.453125" style="142" customWidth="1"/>
    <col min="4" max="4" width="46" style="142" customWidth="1"/>
    <col min="5" max="16384" width="16.7265625" style="142"/>
  </cols>
  <sheetData>
    <row r="1" spans="1:9" x14ac:dyDescent="0.3">
      <c r="B1" s="29"/>
      <c r="C1" s="29"/>
      <c r="D1" s="29"/>
      <c r="E1" s="29"/>
      <c r="F1" s="29"/>
      <c r="G1" s="29"/>
      <c r="H1" s="29"/>
    </row>
    <row r="2" spans="1:9" x14ac:dyDescent="0.3">
      <c r="B2" s="29"/>
      <c r="C2" s="29"/>
      <c r="D2" s="29"/>
      <c r="E2" s="29"/>
      <c r="F2" s="29"/>
      <c r="G2" s="29"/>
      <c r="H2" s="29"/>
    </row>
    <row r="3" spans="1:9" x14ac:dyDescent="0.3">
      <c r="B3" s="29"/>
      <c r="C3" s="29"/>
      <c r="D3" s="29"/>
      <c r="E3" s="29"/>
      <c r="F3" s="29"/>
      <c r="G3" s="29"/>
      <c r="H3" s="29"/>
    </row>
    <row r="4" spans="1:9" x14ac:dyDescent="0.3">
      <c r="B4" s="29"/>
      <c r="C4" s="29"/>
      <c r="D4" s="29"/>
      <c r="E4" s="29"/>
      <c r="F4" s="29"/>
      <c r="G4" s="29"/>
      <c r="H4" s="29"/>
    </row>
    <row r="5" spans="1:9" x14ac:dyDescent="0.3">
      <c r="A5" s="29"/>
      <c r="B5" s="29"/>
      <c r="C5" s="29"/>
      <c r="D5" s="29"/>
      <c r="E5" s="29"/>
      <c r="F5" s="29"/>
      <c r="G5" s="29"/>
      <c r="H5" s="29"/>
      <c r="I5" s="29"/>
    </row>
    <row r="6" spans="1:9" x14ac:dyDescent="0.3">
      <c r="B6" s="29"/>
      <c r="C6" s="29"/>
      <c r="D6" s="29"/>
      <c r="E6" s="29"/>
      <c r="F6" s="29"/>
      <c r="G6" s="29"/>
      <c r="H6" s="29"/>
    </row>
    <row r="7" spans="1:9" x14ac:dyDescent="0.3">
      <c r="B7" s="29"/>
      <c r="C7" s="29"/>
      <c r="D7" s="29"/>
      <c r="E7" s="29"/>
      <c r="F7" s="29"/>
      <c r="G7" s="29"/>
      <c r="H7" s="29"/>
    </row>
    <row r="8" spans="1:9" ht="13.15" customHeight="1" x14ac:dyDescent="0.3">
      <c r="B8" s="29"/>
      <c r="C8" s="29"/>
      <c r="D8" s="29"/>
      <c r="E8" s="29"/>
      <c r="F8" s="29"/>
      <c r="G8" s="29"/>
      <c r="H8" s="29"/>
    </row>
    <row r="9" spans="1:9" ht="13.15" customHeight="1" x14ac:dyDescent="0.3">
      <c r="B9" s="29"/>
      <c r="C9" s="29"/>
      <c r="D9" s="29"/>
      <c r="E9" s="29"/>
      <c r="F9" s="29"/>
      <c r="G9" s="29"/>
      <c r="H9" s="29"/>
    </row>
    <row r="10" spans="1:9" ht="20.149999999999999" customHeight="1" x14ac:dyDescent="0.35">
      <c r="B10" s="511" t="s">
        <v>946</v>
      </c>
      <c r="C10" s="510"/>
      <c r="D10" s="29"/>
      <c r="E10" s="29"/>
      <c r="F10" s="29"/>
      <c r="G10" s="29"/>
      <c r="H10" s="29"/>
    </row>
    <row r="11" spans="1:9" ht="20.149999999999999" customHeight="1" x14ac:dyDescent="0.35">
      <c r="B11" s="171" t="s">
        <v>698</v>
      </c>
      <c r="C11" s="140">
        <f>'Baseline farm'!D19</f>
        <v>0</v>
      </c>
      <c r="D11" s="29"/>
      <c r="E11" s="29"/>
      <c r="F11" s="29"/>
      <c r="G11" s="29"/>
      <c r="H11" s="29"/>
    </row>
    <row r="12" spans="1:9" ht="20.149999999999999" customHeight="1" x14ac:dyDescent="0.35">
      <c r="B12" s="171" t="s">
        <v>427</v>
      </c>
      <c r="C12" s="140">
        <f>'Baseline farm'!D21</f>
        <v>0</v>
      </c>
      <c r="D12" s="29"/>
      <c r="E12" s="29"/>
      <c r="F12" s="29"/>
      <c r="G12" s="29"/>
      <c r="H12" s="29"/>
    </row>
    <row r="13" spans="1:9" ht="20.149999999999999" hidden="1" customHeight="1" x14ac:dyDescent="0.35">
      <c r="B13" s="171" t="s">
        <v>15</v>
      </c>
      <c r="C13" s="8">
        <v>0</v>
      </c>
      <c r="D13" s="29"/>
      <c r="E13" s="29"/>
      <c r="F13" s="29"/>
      <c r="G13" s="29"/>
      <c r="H13" s="29"/>
    </row>
    <row r="14" spans="1:9" ht="20.149999999999999" customHeight="1" x14ac:dyDescent="0.35">
      <c r="B14" s="171" t="s">
        <v>458</v>
      </c>
      <c r="C14" s="8" t="e">
        <f>'Baseline farm'!H35</f>
        <v>#DIV/0!</v>
      </c>
      <c r="D14" s="29"/>
      <c r="E14" s="29"/>
      <c r="F14" s="29"/>
      <c r="G14" s="29"/>
      <c r="H14" s="29"/>
    </row>
    <row r="15" spans="1:9" s="432" customFormat="1" ht="20.149999999999999" customHeight="1" x14ac:dyDescent="0.35">
      <c r="A15" s="17"/>
      <c r="B15" s="171" t="s">
        <v>476</v>
      </c>
      <c r="C15" s="7">
        <f>'Baseline farm'!D35</f>
        <v>0</v>
      </c>
      <c r="D15" s="18"/>
      <c r="E15" s="18"/>
      <c r="F15" s="18"/>
      <c r="G15" s="18"/>
      <c r="H15" s="18"/>
      <c r="I15" s="17"/>
    </row>
    <row r="16" spans="1:9" ht="20.149999999999999" customHeight="1" x14ac:dyDescent="0.35">
      <c r="B16" s="268" t="s">
        <v>468</v>
      </c>
      <c r="C16" s="145" t="e">
        <f>'Baseline farm'!F44</f>
        <v>#DIV/0!</v>
      </c>
      <c r="D16" s="29"/>
      <c r="E16" s="29"/>
      <c r="F16" s="29"/>
      <c r="G16" s="29"/>
      <c r="H16" s="29"/>
    </row>
    <row r="17" spans="2:8" ht="20.149999999999999" customHeight="1" x14ac:dyDescent="0.35">
      <c r="B17" s="269" t="s">
        <v>469</v>
      </c>
      <c r="C17" s="115" t="e">
        <f>'Baseline farm'!H44</f>
        <v>#DIV/0!</v>
      </c>
      <c r="D17" s="29"/>
      <c r="E17" s="29"/>
      <c r="F17" s="29"/>
      <c r="G17" s="29"/>
      <c r="H17" s="29"/>
    </row>
    <row r="18" spans="2:8" ht="20.149999999999999" customHeight="1" x14ac:dyDescent="0.35">
      <c r="B18" s="512" t="s">
        <v>947</v>
      </c>
      <c r="C18" s="273"/>
      <c r="D18" s="29"/>
      <c r="E18" s="29"/>
      <c r="F18" s="29"/>
      <c r="G18" s="29"/>
      <c r="H18" s="29"/>
    </row>
    <row r="19" spans="2:8" ht="20.149999999999999" customHeight="1" x14ac:dyDescent="0.35">
      <c r="B19" s="270" t="s">
        <v>67</v>
      </c>
      <c r="C19" s="661">
        <f>C65/10</f>
        <v>2</v>
      </c>
      <c r="D19" s="29"/>
      <c r="E19" s="29"/>
      <c r="F19" s="29"/>
      <c r="G19" s="29"/>
      <c r="H19" s="29"/>
    </row>
    <row r="20" spans="2:8" ht="5.15" customHeight="1" x14ac:dyDescent="0.35">
      <c r="B20" s="270"/>
      <c r="C20" s="305"/>
      <c r="D20" s="29"/>
      <c r="E20" s="29"/>
      <c r="F20" s="29"/>
      <c r="G20" s="29"/>
      <c r="H20" s="29"/>
    </row>
    <row r="21" spans="2:8" ht="20.149999999999999" customHeight="1" x14ac:dyDescent="0.35">
      <c r="B21" s="270" t="s">
        <v>90</v>
      </c>
      <c r="C21" s="661">
        <f>C66/10</f>
        <v>82</v>
      </c>
      <c r="D21" s="29"/>
      <c r="E21" s="29"/>
      <c r="F21" s="29"/>
      <c r="G21" s="29"/>
      <c r="H21" s="29"/>
    </row>
    <row r="22" spans="2:8" ht="5.15" customHeight="1" x14ac:dyDescent="0.35">
      <c r="B22" s="270"/>
      <c r="C22" s="305"/>
      <c r="D22" s="29"/>
      <c r="E22" s="29"/>
      <c r="F22" s="29"/>
      <c r="G22" s="29"/>
      <c r="H22" s="29"/>
    </row>
    <row r="23" spans="2:8" ht="20.149999999999999" customHeight="1" x14ac:dyDescent="0.35">
      <c r="B23" s="270" t="s">
        <v>462</v>
      </c>
      <c r="C23" s="661">
        <f>C67/10</f>
        <v>12</v>
      </c>
      <c r="D23" s="29"/>
      <c r="E23" s="29"/>
      <c r="F23" s="29"/>
      <c r="G23" s="29"/>
      <c r="H23" s="29"/>
    </row>
    <row r="24" spans="2:8" ht="5.15" customHeight="1" x14ac:dyDescent="0.35">
      <c r="B24" s="270"/>
      <c r="C24" s="304"/>
      <c r="D24" s="29"/>
      <c r="E24" s="29"/>
      <c r="F24" s="29"/>
      <c r="G24" s="29"/>
      <c r="H24" s="29"/>
    </row>
    <row r="25" spans="2:8" ht="20.149999999999999" customHeight="1" x14ac:dyDescent="0.35">
      <c r="B25" s="270" t="s">
        <v>101</v>
      </c>
      <c r="C25" s="666">
        <f>C68/100</f>
        <v>1</v>
      </c>
      <c r="D25" s="29"/>
      <c r="E25" s="29"/>
      <c r="F25" s="29"/>
      <c r="G25" s="29"/>
      <c r="H25" s="29"/>
    </row>
    <row r="26" spans="2:8" ht="5.15" customHeight="1" x14ac:dyDescent="0.35">
      <c r="B26" s="270"/>
      <c r="C26" s="304"/>
      <c r="D26" s="29"/>
      <c r="E26" s="29"/>
      <c r="F26" s="29"/>
      <c r="G26" s="29"/>
      <c r="H26" s="29"/>
    </row>
    <row r="27" spans="2:8" ht="20.149999999999999" customHeight="1" x14ac:dyDescent="0.35">
      <c r="B27" s="270" t="s">
        <v>96</v>
      </c>
      <c r="C27" s="663">
        <f>C69/1</f>
        <v>150</v>
      </c>
      <c r="D27" s="29"/>
      <c r="E27" s="29"/>
      <c r="F27" s="29"/>
      <c r="G27" s="29"/>
      <c r="H27" s="29"/>
    </row>
    <row r="28" spans="2:8" ht="5.15" customHeight="1" x14ac:dyDescent="0.35">
      <c r="B28" s="270"/>
      <c r="C28" s="304"/>
      <c r="D28" s="29"/>
      <c r="E28" s="29"/>
      <c r="F28" s="29"/>
      <c r="G28" s="29"/>
      <c r="H28" s="29"/>
    </row>
    <row r="29" spans="2:8" ht="20.149999999999999" customHeight="1" x14ac:dyDescent="0.35">
      <c r="B29" s="270" t="s">
        <v>69</v>
      </c>
      <c r="C29" s="663">
        <f>C70/1</f>
        <v>150</v>
      </c>
      <c r="D29" s="29"/>
      <c r="E29" s="29"/>
      <c r="F29" s="29"/>
      <c r="G29" s="29"/>
      <c r="H29" s="29"/>
    </row>
    <row r="30" spans="2:8" ht="5.15" customHeight="1" x14ac:dyDescent="0.35">
      <c r="B30" s="270"/>
      <c r="C30" s="304"/>
      <c r="D30" s="29"/>
      <c r="E30" s="29"/>
      <c r="F30" s="29"/>
      <c r="G30" s="29"/>
      <c r="H30" s="29"/>
    </row>
    <row r="31" spans="2:8" ht="20.149999999999999" customHeight="1" x14ac:dyDescent="0.35">
      <c r="B31" s="172" t="s">
        <v>117</v>
      </c>
      <c r="C31" s="667">
        <f>C71/1000</f>
        <v>0.6</v>
      </c>
      <c r="D31" s="29"/>
      <c r="E31" s="29"/>
      <c r="F31" s="29"/>
      <c r="G31" s="29"/>
      <c r="H31" s="29"/>
    </row>
    <row r="32" spans="2:8" ht="5.15" customHeight="1" x14ac:dyDescent="0.35">
      <c r="B32" s="172"/>
      <c r="C32" s="309"/>
      <c r="D32" s="29"/>
      <c r="E32" s="29"/>
      <c r="F32" s="29"/>
      <c r="G32" s="29"/>
      <c r="H32" s="29"/>
    </row>
    <row r="33" spans="1:9" ht="20.149999999999999" customHeight="1" x14ac:dyDescent="0.35">
      <c r="B33" s="172" t="s">
        <v>118</v>
      </c>
      <c r="C33" s="667">
        <f>C72/1000</f>
        <v>0.6</v>
      </c>
      <c r="D33" s="29"/>
      <c r="E33" s="29"/>
      <c r="F33" s="29"/>
      <c r="G33" s="29"/>
      <c r="H33" s="29"/>
    </row>
    <row r="34" spans="1:9" ht="5.15" customHeight="1" x14ac:dyDescent="0.35">
      <c r="B34" s="172"/>
      <c r="C34" s="309"/>
      <c r="D34" s="29"/>
      <c r="E34" s="29"/>
      <c r="F34" s="29"/>
      <c r="G34" s="29"/>
      <c r="H34" s="29"/>
    </row>
    <row r="35" spans="1:9" ht="20.149999999999999" customHeight="1" x14ac:dyDescent="0.35">
      <c r="B35" s="172" t="s">
        <v>70</v>
      </c>
      <c r="C35" s="665">
        <f>C73/100</f>
        <v>30</v>
      </c>
      <c r="D35" s="29"/>
      <c r="E35" s="29"/>
      <c r="F35" s="29"/>
      <c r="G35" s="29"/>
      <c r="H35" s="29"/>
    </row>
    <row r="36" spans="1:9" ht="5.15" customHeight="1" x14ac:dyDescent="0.35">
      <c r="B36" s="274"/>
      <c r="C36" s="314"/>
      <c r="D36" s="29"/>
      <c r="E36" s="29"/>
      <c r="F36" s="29"/>
      <c r="G36" s="29"/>
      <c r="H36" s="29"/>
    </row>
    <row r="37" spans="1:9" ht="20.149999999999999" customHeight="1" x14ac:dyDescent="0.35">
      <c r="B37" s="513" t="s">
        <v>948</v>
      </c>
      <c r="C37" s="514"/>
      <c r="D37" s="29"/>
      <c r="E37" s="29"/>
      <c r="F37" s="29"/>
      <c r="G37" s="29"/>
      <c r="H37" s="29"/>
    </row>
    <row r="38" spans="1:9" ht="20.149999999999999" customHeight="1" x14ac:dyDescent="0.35">
      <c r="B38" s="271" t="s">
        <v>97</v>
      </c>
      <c r="C38" s="516" t="e">
        <f>C139</f>
        <v>#DIV/0!</v>
      </c>
      <c r="D38" s="29"/>
      <c r="E38" s="29"/>
      <c r="F38" s="29"/>
      <c r="G38" s="29"/>
      <c r="H38" s="29"/>
    </row>
    <row r="39" spans="1:9" ht="20.149999999999999" customHeight="1" x14ac:dyDescent="0.35">
      <c r="B39" s="174" t="s">
        <v>16</v>
      </c>
      <c r="C39" s="10" t="e">
        <f>C140*C27*C11</f>
        <v>#DIV/0!</v>
      </c>
      <c r="D39" s="29"/>
      <c r="E39" s="29"/>
      <c r="F39" s="29"/>
      <c r="G39" s="29"/>
      <c r="H39" s="29"/>
    </row>
    <row r="40" spans="1:9" ht="20.149999999999999" customHeight="1" x14ac:dyDescent="0.35">
      <c r="B40" s="175" t="s">
        <v>949</v>
      </c>
      <c r="C40" s="11"/>
      <c r="D40" s="29"/>
      <c r="E40" s="29"/>
      <c r="F40" s="29"/>
      <c r="G40" s="29"/>
      <c r="H40" s="29"/>
    </row>
    <row r="41" spans="1:9" ht="20.149999999999999" customHeight="1" x14ac:dyDescent="0.35">
      <c r="B41" s="409" t="s">
        <v>82</v>
      </c>
      <c r="C41" s="410" t="e">
        <f>D375</f>
        <v>#DIV/0!</v>
      </c>
      <c r="D41" s="29"/>
      <c r="E41" s="29"/>
      <c r="F41" s="29"/>
      <c r="G41" s="29"/>
      <c r="H41" s="29"/>
    </row>
    <row r="42" spans="1:9" s="432" customFormat="1" ht="20.149999999999999" customHeight="1" x14ac:dyDescent="0.35">
      <c r="A42" s="17"/>
      <c r="B42" s="409" t="s">
        <v>456</v>
      </c>
      <c r="C42" s="410" t="e">
        <f>D376</f>
        <v>#DIV/0!</v>
      </c>
      <c r="D42" s="18"/>
      <c r="E42" s="18"/>
      <c r="F42" s="18"/>
      <c r="G42" s="18"/>
      <c r="H42" s="18"/>
      <c r="I42" s="17"/>
    </row>
    <row r="43" spans="1:9" s="432" customFormat="1" ht="20.149999999999999" customHeight="1" x14ac:dyDescent="0.35">
      <c r="A43" s="17"/>
      <c r="B43" s="409" t="s">
        <v>457</v>
      </c>
      <c r="C43" s="410" t="e">
        <f>D377</f>
        <v>#DIV/0!</v>
      </c>
      <c r="D43" s="18"/>
      <c r="E43" s="18"/>
      <c r="F43" s="18"/>
      <c r="G43" s="18"/>
      <c r="H43" s="18"/>
      <c r="I43" s="17"/>
    </row>
    <row r="44" spans="1:9" s="432" customFormat="1" ht="20.149999999999999" customHeight="1" x14ac:dyDescent="0.35">
      <c r="A44" s="17"/>
      <c r="B44" s="409" t="s">
        <v>197</v>
      </c>
      <c r="C44" s="410">
        <f>D378</f>
        <v>0</v>
      </c>
      <c r="D44" s="18"/>
      <c r="E44" s="18"/>
      <c r="F44" s="18"/>
      <c r="G44" s="18"/>
      <c r="H44" s="18"/>
      <c r="I44" s="17"/>
    </row>
    <row r="45" spans="1:9" s="432" customFormat="1" ht="20.149999999999999" customHeight="1" x14ac:dyDescent="0.35">
      <c r="A45" s="17"/>
      <c r="B45" s="409" t="s">
        <v>198</v>
      </c>
      <c r="C45" s="410" t="e">
        <f>D379</f>
        <v>#DIV/0!</v>
      </c>
      <c r="D45" s="18"/>
      <c r="E45" s="18"/>
      <c r="F45" s="18"/>
      <c r="G45" s="18"/>
      <c r="H45" s="18"/>
      <c r="I45" s="17"/>
    </row>
    <row r="46" spans="1:9" ht="20.149999999999999" customHeight="1" x14ac:dyDescent="0.35">
      <c r="B46" s="411" t="s">
        <v>944</v>
      </c>
      <c r="C46" s="412" t="e">
        <f>IF(C45&gt;0,C45*C35,0)</f>
        <v>#DIV/0!</v>
      </c>
      <c r="D46" s="29"/>
      <c r="E46" s="29"/>
      <c r="F46" s="29"/>
      <c r="G46" s="29"/>
      <c r="H46" s="29"/>
    </row>
    <row r="47" spans="1:9" ht="20.149999999999999" customHeight="1" x14ac:dyDescent="0.35">
      <c r="B47" s="411" t="s">
        <v>945</v>
      </c>
      <c r="C47" s="412">
        <f>C19*C11*C27*C29/1000</f>
        <v>0</v>
      </c>
      <c r="D47" s="29"/>
      <c r="E47" s="29"/>
      <c r="F47" s="29"/>
      <c r="G47" s="29"/>
      <c r="H47" s="29"/>
    </row>
    <row r="48" spans="1:9" ht="20.149999999999999" customHeight="1" x14ac:dyDescent="0.35">
      <c r="B48" s="411" t="s">
        <v>18</v>
      </c>
      <c r="C48" s="413" t="e">
        <f>IF(C46&gt;1,C46-C47,C47*-1)</f>
        <v>#DIV/0!</v>
      </c>
      <c r="D48" s="29"/>
      <c r="E48" s="29"/>
      <c r="F48" s="29"/>
      <c r="G48" s="29"/>
      <c r="H48" s="29"/>
    </row>
    <row r="49" spans="1:20" ht="20.149999999999999" customHeight="1" x14ac:dyDescent="0.35">
      <c r="B49" s="411" t="s">
        <v>88</v>
      </c>
      <c r="C49" s="412" t="e">
        <f>C39*C33</f>
        <v>#DIV/0!</v>
      </c>
      <c r="D49" s="29"/>
      <c r="E49" s="29"/>
      <c r="F49" s="29"/>
      <c r="G49" s="29"/>
      <c r="H49" s="29"/>
    </row>
    <row r="50" spans="1:20" ht="20.149999999999999" customHeight="1" x14ac:dyDescent="0.35">
      <c r="B50" s="411" t="s">
        <v>17</v>
      </c>
      <c r="C50" s="412" t="e">
        <f>IF(C46&gt;1,C46-C47+C49,C49-C47)</f>
        <v>#DIV/0!</v>
      </c>
      <c r="D50" s="29"/>
      <c r="E50" s="29"/>
      <c r="F50" s="29"/>
      <c r="G50" s="29"/>
      <c r="H50" s="29"/>
    </row>
    <row r="51" spans="1:20" ht="20.149999999999999" customHeight="1" x14ac:dyDescent="0.35">
      <c r="B51" s="1703" t="s">
        <v>950</v>
      </c>
      <c r="C51" s="1704" t="e">
        <f>C84</f>
        <v>#DIV/0!</v>
      </c>
      <c r="D51" s="29"/>
      <c r="E51" s="29"/>
      <c r="F51" s="29"/>
      <c r="G51" s="29"/>
      <c r="H51" s="29"/>
    </row>
    <row r="53" spans="1:20" x14ac:dyDescent="0.3">
      <c r="B53" s="138"/>
      <c r="C53" s="518"/>
    </row>
    <row r="54" spans="1:20" x14ac:dyDescent="0.3">
      <c r="B54" s="138"/>
      <c r="C54" s="518"/>
    </row>
    <row r="55" spans="1:20" x14ac:dyDescent="0.3">
      <c r="B55" s="138"/>
      <c r="C55" s="518"/>
    </row>
    <row r="56" spans="1:20" x14ac:dyDescent="0.3">
      <c r="B56" s="138"/>
      <c r="C56" s="518"/>
    </row>
    <row r="57" spans="1:20" x14ac:dyDescent="0.3">
      <c r="B57" s="138"/>
      <c r="C57" s="518"/>
    </row>
    <row r="58" spans="1:20" x14ac:dyDescent="0.3">
      <c r="B58" s="138"/>
      <c r="C58" s="518"/>
    </row>
    <row r="59" spans="1:20" x14ac:dyDescent="0.3">
      <c r="B59" s="138"/>
      <c r="C59" s="518"/>
    </row>
    <row r="60" spans="1:20" x14ac:dyDescent="0.3">
      <c r="B60" s="138"/>
      <c r="C60" s="518"/>
    </row>
    <row r="61" spans="1:20" x14ac:dyDescent="0.3">
      <c r="B61" s="138"/>
      <c r="C61" s="518"/>
      <c r="D61" s="620"/>
    </row>
    <row r="62" spans="1:20" x14ac:dyDescent="0.3">
      <c r="B62" s="138"/>
      <c r="C62" s="518"/>
    </row>
    <row r="63" spans="1:20" hidden="1" x14ac:dyDescent="0.3">
      <c r="A63" s="29"/>
      <c r="B63" s="24"/>
      <c r="C63" s="28"/>
      <c r="D63" s="29"/>
      <c r="E63" s="29"/>
      <c r="F63" s="29"/>
      <c r="G63" s="29"/>
      <c r="H63" s="29"/>
      <c r="I63" s="29"/>
      <c r="J63" s="29"/>
      <c r="K63" s="29"/>
      <c r="L63" s="29"/>
      <c r="M63" s="29"/>
      <c r="N63" s="29"/>
      <c r="O63" s="29"/>
      <c r="P63" s="29"/>
      <c r="Q63" s="29"/>
      <c r="R63" s="29"/>
      <c r="S63" s="29"/>
      <c r="T63" s="29"/>
    </row>
    <row r="64" spans="1:20" hidden="1" x14ac:dyDescent="0.3">
      <c r="A64" s="29"/>
      <c r="B64" s="27" t="s">
        <v>150</v>
      </c>
      <c r="C64" s="28"/>
      <c r="D64" s="29"/>
      <c r="E64" s="29"/>
      <c r="F64" s="29"/>
      <c r="G64" s="29"/>
      <c r="H64" s="29"/>
      <c r="I64" s="29"/>
      <c r="J64" s="29"/>
      <c r="K64" s="29"/>
      <c r="L64" s="29"/>
      <c r="M64" s="29"/>
      <c r="N64" s="29"/>
      <c r="O64" s="29"/>
      <c r="P64" s="29"/>
      <c r="Q64" s="29"/>
      <c r="R64" s="29"/>
      <c r="S64" s="29"/>
      <c r="T64" s="29"/>
    </row>
    <row r="65" spans="1:20" hidden="1" x14ac:dyDescent="0.3">
      <c r="A65" s="29"/>
      <c r="B65" s="46" t="s">
        <v>67</v>
      </c>
      <c r="C65" s="143">
        <v>20</v>
      </c>
      <c r="D65" s="29"/>
      <c r="E65" s="29"/>
      <c r="F65" s="29"/>
      <c r="G65" s="29"/>
      <c r="H65" s="29"/>
      <c r="I65" s="29"/>
      <c r="J65" s="29"/>
      <c r="K65" s="29"/>
      <c r="L65" s="29"/>
      <c r="M65" s="29"/>
      <c r="N65" s="29"/>
      <c r="O65" s="29"/>
      <c r="P65" s="29"/>
      <c r="Q65" s="29"/>
      <c r="R65" s="29"/>
      <c r="S65" s="29"/>
      <c r="T65" s="29"/>
    </row>
    <row r="66" spans="1:20" hidden="1" x14ac:dyDescent="0.3">
      <c r="A66" s="29"/>
      <c r="B66" s="46" t="s">
        <v>470</v>
      </c>
      <c r="C66" s="143">
        <v>820</v>
      </c>
      <c r="D66" s="29"/>
      <c r="E66" s="29"/>
      <c r="F66" s="29"/>
      <c r="G66" s="29"/>
      <c r="H66" s="29"/>
      <c r="I66" s="29"/>
      <c r="J66" s="29"/>
      <c r="K66" s="29"/>
      <c r="L66" s="29"/>
      <c r="M66" s="29"/>
      <c r="N66" s="29"/>
      <c r="O66" s="29"/>
      <c r="P66" s="29"/>
      <c r="Q66" s="29"/>
      <c r="R66" s="29"/>
      <c r="S66" s="29"/>
      <c r="T66" s="29"/>
    </row>
    <row r="67" spans="1:20" hidden="1" x14ac:dyDescent="0.3">
      <c r="A67" s="29"/>
      <c r="B67" s="46" t="s">
        <v>471</v>
      </c>
      <c r="C67" s="143">
        <v>120</v>
      </c>
      <c r="D67" s="29"/>
      <c r="E67" s="29"/>
      <c r="F67" s="29"/>
      <c r="G67" s="29"/>
      <c r="H67" s="29"/>
      <c r="I67" s="29"/>
      <c r="J67" s="29"/>
      <c r="K67" s="29"/>
      <c r="L67" s="29"/>
      <c r="M67" s="29"/>
      <c r="N67" s="29"/>
      <c r="O67" s="29"/>
      <c r="P67" s="29"/>
      <c r="Q67" s="29"/>
      <c r="R67" s="29"/>
      <c r="S67" s="29"/>
      <c r="T67" s="29"/>
    </row>
    <row r="68" spans="1:20" hidden="1" x14ac:dyDescent="0.3">
      <c r="A68" s="29"/>
      <c r="B68" s="46" t="s">
        <v>91</v>
      </c>
      <c r="C68" s="143">
        <v>100</v>
      </c>
      <c r="D68" s="29"/>
      <c r="E68" s="29"/>
      <c r="F68" s="29"/>
      <c r="G68" s="29"/>
      <c r="H68" s="29"/>
      <c r="I68" s="29"/>
      <c r="J68" s="29"/>
      <c r="K68" s="29"/>
      <c r="L68" s="29"/>
      <c r="M68" s="29"/>
      <c r="N68" s="29"/>
      <c r="O68" s="29"/>
      <c r="P68" s="29"/>
      <c r="Q68" s="29"/>
      <c r="R68" s="29"/>
      <c r="S68" s="29"/>
      <c r="T68" s="29"/>
    </row>
    <row r="69" spans="1:20" hidden="1" x14ac:dyDescent="0.3">
      <c r="A69" s="46"/>
      <c r="B69" s="46" t="s">
        <v>705</v>
      </c>
      <c r="C69" s="143">
        <v>150</v>
      </c>
      <c r="D69" s="29"/>
      <c r="E69" s="29"/>
      <c r="F69" s="29"/>
      <c r="G69" s="29"/>
      <c r="H69" s="29"/>
      <c r="I69" s="29"/>
      <c r="J69" s="29"/>
      <c r="K69" s="29"/>
      <c r="L69" s="29"/>
      <c r="M69" s="29"/>
      <c r="N69" s="29"/>
      <c r="O69" s="29"/>
      <c r="P69" s="29"/>
      <c r="Q69" s="29"/>
      <c r="R69" s="29"/>
      <c r="S69" s="29"/>
      <c r="T69" s="29"/>
    </row>
    <row r="70" spans="1:20" hidden="1" x14ac:dyDescent="0.3">
      <c r="A70" s="46"/>
      <c r="B70" s="46" t="s">
        <v>706</v>
      </c>
      <c r="C70" s="143">
        <v>150</v>
      </c>
      <c r="D70" s="29"/>
      <c r="E70" s="29"/>
      <c r="F70" s="29"/>
      <c r="G70" s="29"/>
      <c r="H70" s="29"/>
      <c r="I70" s="29"/>
      <c r="J70" s="29"/>
      <c r="K70" s="29"/>
      <c r="L70" s="29"/>
      <c r="M70" s="29"/>
      <c r="N70" s="29"/>
      <c r="O70" s="29"/>
      <c r="P70" s="29"/>
      <c r="Q70" s="29"/>
      <c r="R70" s="29"/>
      <c r="S70" s="29"/>
      <c r="T70" s="29"/>
    </row>
    <row r="71" spans="1:20" hidden="1" x14ac:dyDescent="0.3">
      <c r="A71" s="29"/>
      <c r="B71" s="24" t="s">
        <v>81</v>
      </c>
      <c r="C71" s="143">
        <v>600</v>
      </c>
      <c r="D71" s="29"/>
      <c r="E71" s="29"/>
      <c r="F71" s="29"/>
      <c r="G71" s="29"/>
      <c r="H71" s="29"/>
      <c r="I71" s="29"/>
      <c r="J71" s="29"/>
      <c r="K71" s="29"/>
      <c r="L71" s="29"/>
      <c r="M71" s="29"/>
      <c r="N71" s="29"/>
      <c r="O71" s="29"/>
      <c r="P71" s="29"/>
      <c r="Q71" s="29"/>
      <c r="R71" s="29"/>
      <c r="S71" s="29"/>
      <c r="T71" s="29"/>
    </row>
    <row r="72" spans="1:20" hidden="1" x14ac:dyDescent="0.3">
      <c r="A72" s="29"/>
      <c r="B72" s="46" t="s">
        <v>127</v>
      </c>
      <c r="C72" s="143">
        <v>600</v>
      </c>
      <c r="D72" s="29"/>
      <c r="E72" s="29"/>
      <c r="F72" s="29"/>
      <c r="G72" s="29"/>
      <c r="H72" s="29"/>
      <c r="I72" s="29"/>
      <c r="J72" s="29"/>
      <c r="K72" s="29"/>
      <c r="L72" s="29"/>
      <c r="M72" s="29"/>
      <c r="N72" s="29"/>
      <c r="O72" s="29"/>
      <c r="P72" s="29"/>
      <c r="Q72" s="29"/>
      <c r="R72" s="29"/>
      <c r="S72" s="29"/>
      <c r="T72" s="29"/>
    </row>
    <row r="73" spans="1:20" hidden="1" x14ac:dyDescent="0.3">
      <c r="A73" s="29"/>
      <c r="B73" s="24" t="s">
        <v>70</v>
      </c>
      <c r="C73" s="143">
        <v>3000</v>
      </c>
      <c r="D73" s="29"/>
      <c r="E73" s="29"/>
      <c r="F73" s="29"/>
      <c r="G73" s="29"/>
      <c r="H73" s="29"/>
      <c r="I73" s="29"/>
      <c r="J73" s="29"/>
      <c r="K73" s="29"/>
      <c r="L73" s="29"/>
      <c r="M73" s="29"/>
      <c r="N73" s="29"/>
      <c r="O73" s="29"/>
      <c r="P73" s="29"/>
      <c r="Q73" s="29"/>
      <c r="R73" s="29"/>
      <c r="S73" s="29"/>
      <c r="T73" s="29"/>
    </row>
    <row r="74" spans="1:20" hidden="1" x14ac:dyDescent="0.3">
      <c r="A74" s="29"/>
      <c r="B74" s="24"/>
      <c r="C74" s="143"/>
      <c r="D74" s="29"/>
      <c r="E74" s="29"/>
      <c r="F74" s="29"/>
      <c r="G74" s="29"/>
      <c r="H74" s="29"/>
      <c r="I74" s="29"/>
      <c r="J74" s="29"/>
      <c r="K74" s="29"/>
      <c r="L74" s="29"/>
      <c r="M74" s="29"/>
      <c r="N74" s="29"/>
      <c r="O74" s="29"/>
      <c r="P74" s="29"/>
      <c r="Q74" s="29"/>
      <c r="R74" s="29"/>
      <c r="S74" s="29"/>
      <c r="T74" s="29"/>
    </row>
    <row r="75" spans="1:20" hidden="1" x14ac:dyDescent="0.3">
      <c r="A75" s="29"/>
      <c r="B75" s="24"/>
      <c r="C75" s="144"/>
      <c r="D75" s="29"/>
      <c r="E75" s="29"/>
      <c r="F75" s="29"/>
      <c r="G75" s="29"/>
      <c r="H75" s="29"/>
      <c r="I75" s="29"/>
      <c r="J75" s="29"/>
      <c r="K75" s="29"/>
      <c r="L75" s="29"/>
      <c r="M75" s="29"/>
      <c r="N75" s="29"/>
      <c r="O75" s="29"/>
      <c r="P75" s="29"/>
      <c r="Q75" s="29"/>
      <c r="R75" s="29"/>
      <c r="S75" s="29"/>
      <c r="T75" s="29"/>
    </row>
    <row r="76" spans="1:20" ht="15.5" hidden="1" x14ac:dyDescent="0.35">
      <c r="A76" s="29"/>
      <c r="B76" s="27" t="s">
        <v>140</v>
      </c>
      <c r="C76" s="168" t="s">
        <v>660</v>
      </c>
      <c r="D76" s="169"/>
      <c r="E76" s="29"/>
      <c r="F76" s="29"/>
      <c r="G76" s="29"/>
      <c r="H76" s="29"/>
      <c r="I76" s="29"/>
      <c r="J76" s="29"/>
      <c r="K76" s="29"/>
      <c r="L76" s="29"/>
      <c r="M76" s="29"/>
      <c r="N76" s="29"/>
      <c r="O76" s="29"/>
      <c r="P76" s="29"/>
      <c r="Q76" s="29"/>
      <c r="R76" s="29"/>
      <c r="S76" s="29"/>
      <c r="T76" s="29"/>
    </row>
    <row r="77" spans="1:20" hidden="1" x14ac:dyDescent="0.3">
      <c r="A77" s="29"/>
      <c r="B77" s="138" t="s">
        <v>2077</v>
      </c>
      <c r="C77" s="131" t="e">
        <f>C46</f>
        <v>#DIV/0!</v>
      </c>
      <c r="D77" s="53"/>
      <c r="E77" s="29"/>
      <c r="F77" s="29"/>
      <c r="G77" s="29"/>
      <c r="H77" s="29"/>
      <c r="I77" s="29"/>
      <c r="J77" s="29"/>
      <c r="K77" s="29"/>
      <c r="L77" s="29"/>
      <c r="M77" s="29"/>
      <c r="N77" s="29"/>
      <c r="O77" s="29"/>
      <c r="P77" s="29"/>
      <c r="Q77" s="29"/>
      <c r="R77" s="29"/>
      <c r="S77" s="29"/>
      <c r="T77" s="29"/>
    </row>
    <row r="78" spans="1:20" hidden="1" x14ac:dyDescent="0.3">
      <c r="A78" s="29"/>
      <c r="B78" s="24" t="s">
        <v>19</v>
      </c>
      <c r="C78" s="131">
        <f>C47</f>
        <v>0</v>
      </c>
      <c r="D78" s="53"/>
      <c r="E78" s="29"/>
      <c r="F78" s="29"/>
      <c r="G78" s="29"/>
      <c r="H78" s="29"/>
      <c r="I78" s="29"/>
      <c r="J78" s="29"/>
      <c r="K78" s="29"/>
      <c r="L78" s="29"/>
      <c r="M78" s="29"/>
      <c r="N78" s="29"/>
      <c r="O78" s="29"/>
      <c r="P78" s="29"/>
      <c r="Q78" s="29"/>
      <c r="R78" s="29"/>
      <c r="S78" s="29"/>
      <c r="T78" s="29"/>
    </row>
    <row r="79" spans="1:20" hidden="1" x14ac:dyDescent="0.3">
      <c r="A79" s="29"/>
      <c r="B79" s="24" t="s">
        <v>20</v>
      </c>
      <c r="C79" s="131" t="e">
        <f>C49</f>
        <v>#DIV/0!</v>
      </c>
      <c r="D79" s="53"/>
      <c r="E79" s="29"/>
      <c r="F79" s="29"/>
      <c r="G79" s="29"/>
      <c r="H79" s="29"/>
      <c r="I79" s="29"/>
      <c r="J79" s="29"/>
      <c r="K79" s="29"/>
      <c r="L79" s="29"/>
      <c r="M79" s="29"/>
      <c r="N79" s="29"/>
      <c r="O79" s="29"/>
      <c r="P79" s="29"/>
      <c r="Q79" s="29"/>
      <c r="R79" s="29"/>
      <c r="S79" s="29"/>
      <c r="T79" s="29"/>
    </row>
    <row r="80" spans="1:20" hidden="1" x14ac:dyDescent="0.3">
      <c r="A80" s="29"/>
      <c r="B80" s="24" t="s">
        <v>21</v>
      </c>
      <c r="C80" s="131" t="e">
        <f>C50</f>
        <v>#DIV/0!</v>
      </c>
      <c r="D80" s="53"/>
      <c r="E80" s="29"/>
      <c r="F80" s="29"/>
      <c r="G80" s="29"/>
      <c r="H80" s="29"/>
      <c r="I80" s="29"/>
      <c r="J80" s="29"/>
      <c r="K80" s="29"/>
      <c r="L80" s="29"/>
      <c r="M80" s="29"/>
      <c r="N80" s="29"/>
      <c r="O80" s="29"/>
      <c r="P80" s="29"/>
      <c r="Q80" s="29"/>
      <c r="R80" s="29"/>
      <c r="S80" s="29"/>
      <c r="T80" s="29"/>
    </row>
    <row r="81" spans="1:20" hidden="1" x14ac:dyDescent="0.3">
      <c r="A81" s="29"/>
      <c r="B81" s="24"/>
      <c r="C81" s="131"/>
      <c r="D81" s="53"/>
      <c r="E81" s="29"/>
      <c r="F81" s="29"/>
      <c r="G81" s="29"/>
      <c r="H81" s="29"/>
      <c r="I81" s="29"/>
      <c r="J81" s="29"/>
      <c r="K81" s="29"/>
      <c r="L81" s="29"/>
      <c r="M81" s="29"/>
      <c r="N81" s="29"/>
      <c r="O81" s="29"/>
      <c r="P81" s="29"/>
      <c r="Q81" s="29"/>
      <c r="R81" s="29"/>
      <c r="S81" s="29"/>
      <c r="T81" s="29"/>
    </row>
    <row r="82" spans="1:20" hidden="1" x14ac:dyDescent="0.3">
      <c r="A82" s="29"/>
      <c r="B82" s="24"/>
      <c r="C82" s="131"/>
      <c r="D82" s="53"/>
      <c r="E82" s="29"/>
      <c r="F82" s="29"/>
      <c r="G82" s="29"/>
      <c r="H82" s="29"/>
      <c r="I82" s="29"/>
      <c r="J82" s="29"/>
      <c r="K82" s="29"/>
      <c r="L82" s="29"/>
      <c r="M82" s="29"/>
      <c r="N82" s="29"/>
      <c r="O82" s="29"/>
      <c r="P82" s="29"/>
      <c r="Q82" s="29"/>
      <c r="R82" s="29"/>
      <c r="S82" s="29"/>
      <c r="T82" s="29"/>
    </row>
    <row r="83" spans="1:20" hidden="1" x14ac:dyDescent="0.3">
      <c r="A83" s="29"/>
      <c r="B83" s="24" t="s">
        <v>102</v>
      </c>
      <c r="C83" s="50" t="e">
        <f>C11*C14*C15*C31</f>
        <v>#DIV/0!</v>
      </c>
      <c r="D83" s="37"/>
      <c r="E83" s="29"/>
      <c r="F83" s="29"/>
      <c r="G83" s="29"/>
      <c r="H83" s="29"/>
      <c r="I83" s="29"/>
      <c r="J83" s="29"/>
      <c r="K83" s="29"/>
      <c r="L83" s="29"/>
      <c r="M83" s="29"/>
      <c r="N83" s="29"/>
      <c r="O83" s="29"/>
      <c r="P83" s="29"/>
      <c r="Q83" s="29"/>
      <c r="R83" s="29"/>
      <c r="S83" s="29"/>
      <c r="T83" s="29"/>
    </row>
    <row r="84" spans="1:20" hidden="1" x14ac:dyDescent="0.3">
      <c r="A84" s="29"/>
      <c r="B84" s="24" t="s">
        <v>2076</v>
      </c>
      <c r="C84" s="35" t="e">
        <f>C80/C83</f>
        <v>#DIV/0!</v>
      </c>
      <c r="D84" s="37"/>
      <c r="E84" s="29"/>
      <c r="F84" s="29"/>
      <c r="G84" s="29"/>
      <c r="H84" s="29"/>
      <c r="I84" s="29"/>
      <c r="J84" s="29"/>
      <c r="K84" s="29"/>
      <c r="L84" s="29"/>
      <c r="M84" s="29"/>
      <c r="N84" s="29"/>
      <c r="O84" s="29"/>
      <c r="P84" s="29"/>
      <c r="Q84" s="29"/>
      <c r="R84" s="29"/>
      <c r="S84" s="29"/>
      <c r="T84" s="29"/>
    </row>
    <row r="85" spans="1:20" hidden="1" x14ac:dyDescent="0.3">
      <c r="A85" s="29"/>
      <c r="B85" s="24"/>
      <c r="C85" s="31"/>
      <c r="D85" s="31"/>
      <c r="E85" s="29"/>
      <c r="F85" s="29"/>
      <c r="G85" s="29"/>
      <c r="H85" s="29"/>
      <c r="I85" s="29"/>
      <c r="J85" s="29"/>
      <c r="K85" s="29"/>
      <c r="L85" s="29"/>
      <c r="M85" s="29"/>
      <c r="N85" s="29"/>
      <c r="O85" s="29"/>
      <c r="P85" s="29"/>
      <c r="Q85" s="29"/>
      <c r="R85" s="29"/>
      <c r="S85" s="29"/>
      <c r="T85" s="29"/>
    </row>
    <row r="86" spans="1:20" hidden="1" x14ac:dyDescent="0.3">
      <c r="A86" s="29"/>
      <c r="B86" s="24"/>
      <c r="C86" s="51"/>
      <c r="D86" s="29"/>
      <c r="E86" s="29"/>
      <c r="F86" s="37"/>
      <c r="G86" s="37"/>
      <c r="H86" s="29"/>
      <c r="I86" s="29"/>
      <c r="J86" s="29"/>
      <c r="K86" s="29"/>
      <c r="L86" s="29"/>
      <c r="M86" s="29"/>
      <c r="N86" s="29"/>
      <c r="O86" s="29"/>
      <c r="P86" s="29"/>
      <c r="Q86" s="29"/>
      <c r="R86" s="29"/>
      <c r="S86" s="29"/>
      <c r="T86" s="29"/>
    </row>
    <row r="87" spans="1:20" hidden="1" x14ac:dyDescent="0.3">
      <c r="A87" s="29"/>
      <c r="B87" s="24"/>
      <c r="C87" s="42"/>
      <c r="D87" s="29"/>
      <c r="E87" s="42"/>
      <c r="F87" s="37"/>
      <c r="G87" s="29"/>
      <c r="H87" s="29"/>
      <c r="I87" s="29"/>
      <c r="J87" s="29"/>
      <c r="K87" s="29"/>
      <c r="L87" s="29"/>
      <c r="M87" s="29"/>
      <c r="N87" s="29"/>
      <c r="O87" s="29"/>
      <c r="P87" s="29"/>
      <c r="Q87" s="29"/>
      <c r="R87" s="29"/>
      <c r="S87" s="29"/>
      <c r="T87" s="29"/>
    </row>
    <row r="88" spans="1:20" s="432" customFormat="1" ht="14.5" hidden="1" x14ac:dyDescent="0.35">
      <c r="A88" s="18"/>
      <c r="B88" s="27" t="s">
        <v>154</v>
      </c>
      <c r="C88" s="29"/>
      <c r="D88" s="29"/>
      <c r="E88" s="29"/>
      <c r="F88" s="126"/>
      <c r="G88" s="126"/>
      <c r="H88" s="18"/>
      <c r="I88" s="18"/>
      <c r="J88" s="18"/>
      <c r="K88" s="18"/>
      <c r="L88" s="18"/>
      <c r="M88" s="18"/>
      <c r="N88" s="18"/>
      <c r="O88" s="18"/>
      <c r="P88" s="18"/>
      <c r="Q88" s="18"/>
      <c r="R88" s="18"/>
      <c r="S88" s="18"/>
      <c r="T88" s="18"/>
    </row>
    <row r="89" spans="1:20" s="432" customFormat="1" ht="14.5" hidden="1" x14ac:dyDescent="0.35">
      <c r="A89" s="18"/>
      <c r="B89" s="27" t="s">
        <v>442</v>
      </c>
      <c r="C89" s="127"/>
      <c r="D89" s="29"/>
      <c r="E89" s="37"/>
      <c r="F89" s="126"/>
      <c r="G89" s="18"/>
      <c r="H89" s="18"/>
      <c r="I89" s="18"/>
      <c r="J89" s="18"/>
      <c r="K89" s="18"/>
      <c r="L89" s="18"/>
      <c r="M89" s="18"/>
      <c r="N89" s="18"/>
      <c r="O89" s="18"/>
      <c r="P89" s="18"/>
      <c r="Q89" s="18"/>
      <c r="R89" s="18"/>
      <c r="S89" s="18"/>
      <c r="T89" s="18"/>
    </row>
    <row r="90" spans="1:20" s="432" customFormat="1" ht="14.5" hidden="1" x14ac:dyDescent="0.35">
      <c r="A90" s="18"/>
      <c r="B90" s="24" t="s">
        <v>11</v>
      </c>
      <c r="C90" s="43" t="e">
        <f>'Baseline farm'!D231</f>
        <v>#DIV/0!</v>
      </c>
      <c r="D90" s="29"/>
      <c r="E90" s="128"/>
      <c r="F90" s="126"/>
      <c r="G90" s="18"/>
      <c r="H90" s="18"/>
      <c r="I90" s="18"/>
      <c r="J90" s="18"/>
      <c r="K90" s="18"/>
      <c r="L90" s="18"/>
      <c r="M90" s="18"/>
      <c r="N90" s="18"/>
      <c r="O90" s="18"/>
      <c r="P90" s="18"/>
      <c r="Q90" s="18"/>
      <c r="R90" s="18"/>
      <c r="S90" s="18"/>
      <c r="T90" s="18"/>
    </row>
    <row r="91" spans="1:20" s="432" customFormat="1" ht="14.5" hidden="1" x14ac:dyDescent="0.35">
      <c r="A91" s="18"/>
      <c r="B91" s="46"/>
      <c r="C91" s="128"/>
      <c r="D91" s="29"/>
      <c r="E91" s="37"/>
      <c r="F91" s="126"/>
      <c r="G91" s="18"/>
      <c r="H91" s="18"/>
      <c r="I91" s="18"/>
      <c r="J91" s="18"/>
      <c r="K91" s="18"/>
      <c r="L91" s="18"/>
      <c r="M91" s="18"/>
      <c r="N91" s="18"/>
      <c r="O91" s="18"/>
      <c r="P91" s="18"/>
      <c r="Q91" s="18"/>
      <c r="R91" s="18"/>
      <c r="S91" s="18"/>
      <c r="T91" s="18"/>
    </row>
    <row r="92" spans="1:20" s="432" customFormat="1" ht="14.5" hidden="1" x14ac:dyDescent="0.35">
      <c r="A92" s="18"/>
      <c r="B92" s="24" t="s">
        <v>12</v>
      </c>
      <c r="C92" s="32">
        <f>C11</f>
        <v>0</v>
      </c>
      <c r="D92" s="29"/>
      <c r="E92" s="44"/>
      <c r="F92" s="126"/>
      <c r="G92" s="18"/>
      <c r="H92" s="18"/>
      <c r="I92" s="18"/>
      <c r="J92" s="18"/>
      <c r="K92" s="18"/>
      <c r="L92" s="18"/>
      <c r="M92" s="18"/>
      <c r="N92" s="18"/>
      <c r="O92" s="18"/>
      <c r="P92" s="18"/>
      <c r="Q92" s="18"/>
      <c r="R92" s="18"/>
      <c r="S92" s="18"/>
      <c r="T92" s="18"/>
    </row>
    <row r="93" spans="1:20" s="432" customFormat="1" ht="14.5" hidden="1" x14ac:dyDescent="0.35">
      <c r="A93" s="18"/>
      <c r="B93" s="24" t="s">
        <v>13</v>
      </c>
      <c r="C93" s="44" t="e">
        <f>C90*C92*365</f>
        <v>#DIV/0!</v>
      </c>
      <c r="D93" s="29"/>
      <c r="E93" s="45"/>
      <c r="F93" s="126"/>
      <c r="G93" s="18"/>
      <c r="H93" s="18"/>
      <c r="I93" s="18"/>
      <c r="J93" s="18"/>
      <c r="K93" s="18"/>
      <c r="L93" s="18"/>
      <c r="M93" s="18"/>
      <c r="N93" s="18"/>
      <c r="O93" s="18"/>
      <c r="P93" s="18"/>
      <c r="Q93" s="18"/>
      <c r="R93" s="18"/>
      <c r="S93" s="18"/>
      <c r="T93" s="18"/>
    </row>
    <row r="94" spans="1:20" s="432" customFormat="1" ht="14.5" hidden="1" x14ac:dyDescent="0.35">
      <c r="A94" s="18"/>
      <c r="B94" s="27" t="s">
        <v>14</v>
      </c>
      <c r="C94" s="45" t="e">
        <f>C93*'Emission factors'!C4/1000</f>
        <v>#DIV/0!</v>
      </c>
      <c r="D94" s="29"/>
      <c r="E94" s="37"/>
      <c r="F94" s="126"/>
      <c r="G94" s="18"/>
      <c r="H94" s="18"/>
      <c r="I94" s="18"/>
      <c r="J94" s="18"/>
      <c r="K94" s="18"/>
      <c r="L94" s="18"/>
      <c r="M94" s="18"/>
      <c r="N94" s="18"/>
      <c r="O94" s="18"/>
      <c r="P94" s="18"/>
      <c r="Q94" s="18"/>
      <c r="R94" s="18"/>
      <c r="S94" s="18"/>
      <c r="T94" s="18"/>
    </row>
    <row r="95" spans="1:20" s="432" customFormat="1" ht="14.5" hidden="1" x14ac:dyDescent="0.35">
      <c r="A95" s="18"/>
      <c r="B95" s="24"/>
      <c r="C95" s="40"/>
      <c r="D95" s="29"/>
      <c r="E95" s="40"/>
      <c r="F95" s="126"/>
      <c r="G95" s="18"/>
      <c r="H95" s="18"/>
      <c r="I95" s="18"/>
      <c r="J95" s="18"/>
      <c r="K95" s="18"/>
      <c r="L95" s="18"/>
      <c r="M95" s="18"/>
      <c r="N95" s="18"/>
      <c r="O95" s="18"/>
      <c r="P95" s="18"/>
      <c r="Q95" s="18"/>
      <c r="R95" s="18"/>
      <c r="S95" s="18"/>
      <c r="T95" s="18"/>
    </row>
    <row r="96" spans="1:20" s="432" customFormat="1" ht="14.5" hidden="1" x14ac:dyDescent="0.35">
      <c r="A96" s="18"/>
      <c r="B96" s="24"/>
      <c r="C96" s="38"/>
      <c r="D96" s="29"/>
      <c r="E96" s="126"/>
      <c r="F96" s="126"/>
      <c r="G96" s="18"/>
      <c r="H96" s="18"/>
      <c r="I96" s="18"/>
      <c r="J96" s="18"/>
      <c r="K96" s="18"/>
      <c r="L96" s="18"/>
      <c r="M96" s="18"/>
      <c r="N96" s="18"/>
      <c r="O96" s="18"/>
      <c r="P96" s="18"/>
      <c r="Q96" s="18"/>
      <c r="R96" s="18"/>
      <c r="S96" s="18"/>
      <c r="T96" s="18"/>
    </row>
    <row r="97" spans="1:20" s="432" customFormat="1" ht="14.5" hidden="1" x14ac:dyDescent="0.35">
      <c r="A97" s="18"/>
      <c r="B97" s="24"/>
      <c r="C97" s="39"/>
      <c r="D97" s="29"/>
      <c r="E97" s="126"/>
      <c r="F97" s="126"/>
      <c r="G97" s="18"/>
      <c r="H97" s="18"/>
      <c r="I97" s="18"/>
      <c r="J97" s="18"/>
      <c r="K97" s="18"/>
      <c r="L97" s="18"/>
      <c r="M97" s="18"/>
      <c r="N97" s="18"/>
      <c r="O97" s="18"/>
      <c r="P97" s="18"/>
      <c r="Q97" s="18"/>
      <c r="R97" s="18"/>
      <c r="S97" s="18"/>
      <c r="T97" s="18"/>
    </row>
    <row r="98" spans="1:20" s="432" customFormat="1" ht="14.5" hidden="1" x14ac:dyDescent="0.35">
      <c r="A98" s="18"/>
      <c r="B98" s="24"/>
      <c r="C98" s="38"/>
      <c r="D98" s="29"/>
      <c r="E98" s="126"/>
      <c r="F98" s="126"/>
      <c r="G98" s="18"/>
      <c r="H98" s="18"/>
      <c r="I98" s="18"/>
      <c r="J98" s="18"/>
      <c r="K98" s="18"/>
      <c r="L98" s="18"/>
      <c r="M98" s="18"/>
      <c r="N98" s="18"/>
      <c r="O98" s="18"/>
      <c r="P98" s="18"/>
      <c r="Q98" s="18"/>
      <c r="R98" s="18"/>
      <c r="S98" s="18"/>
      <c r="T98" s="18"/>
    </row>
    <row r="99" spans="1:20" s="432" customFormat="1" ht="14.5" hidden="1" x14ac:dyDescent="0.35">
      <c r="A99" s="18"/>
      <c r="B99" s="48" t="s">
        <v>155</v>
      </c>
      <c r="C99" s="37"/>
      <c r="D99" s="29"/>
      <c r="E99" s="130"/>
      <c r="F99" s="183"/>
      <c r="G99" s="18"/>
      <c r="H99" s="18"/>
      <c r="I99" s="18"/>
      <c r="J99" s="18"/>
      <c r="K99" s="18"/>
      <c r="L99" s="18"/>
      <c r="M99" s="18"/>
      <c r="N99" s="18"/>
      <c r="O99" s="18"/>
      <c r="P99" s="18"/>
      <c r="Q99" s="18"/>
      <c r="R99" s="18"/>
      <c r="S99" s="18"/>
      <c r="T99" s="18"/>
    </row>
    <row r="100" spans="1:20" s="432" customFormat="1" ht="14.5" hidden="1" x14ac:dyDescent="0.35">
      <c r="A100" s="18"/>
      <c r="B100" s="27" t="s">
        <v>442</v>
      </c>
      <c r="C100" s="37"/>
      <c r="D100" s="29"/>
      <c r="E100" s="37"/>
      <c r="F100" s="126"/>
      <c r="G100" s="18"/>
      <c r="H100" s="18"/>
      <c r="I100" s="18"/>
      <c r="J100" s="18"/>
      <c r="K100" s="47"/>
      <c r="L100" s="47"/>
      <c r="M100" s="47"/>
      <c r="N100" s="18"/>
      <c r="O100" s="18"/>
      <c r="P100" s="18"/>
      <c r="Q100" s="18"/>
      <c r="R100" s="18"/>
      <c r="S100" s="18"/>
      <c r="T100" s="18"/>
    </row>
    <row r="101" spans="1:20" s="432" customFormat="1" ht="16" hidden="1" x14ac:dyDescent="0.35">
      <c r="A101" s="18"/>
      <c r="B101" s="24" t="s">
        <v>1</v>
      </c>
      <c r="C101" s="39" t="s">
        <v>151</v>
      </c>
      <c r="D101" s="29"/>
      <c r="E101" s="37"/>
      <c r="F101" s="126"/>
      <c r="G101" s="18"/>
      <c r="H101" s="18"/>
      <c r="I101" s="18"/>
      <c r="J101" s="18"/>
      <c r="K101" s="47"/>
      <c r="L101" s="47"/>
      <c r="M101" s="47"/>
      <c r="N101" s="18"/>
      <c r="O101" s="18"/>
      <c r="P101" s="18"/>
      <c r="Q101" s="18"/>
      <c r="R101" s="18"/>
      <c r="S101" s="18"/>
      <c r="T101" s="18"/>
    </row>
    <row r="102" spans="1:20" s="432" customFormat="1" ht="14.5" hidden="1" x14ac:dyDescent="0.35">
      <c r="A102" s="18"/>
      <c r="B102" s="24" t="s">
        <v>1</v>
      </c>
      <c r="C102" s="40" t="e">
        <f>(1.185+(0.00454*$C$12)-(0.0000026*($C$12)^2)+((0.315*$C$13)))^2*1.1+C106</f>
        <v>#DIV/0!</v>
      </c>
      <c r="D102" s="29"/>
      <c r="E102" s="49"/>
      <c r="F102" s="126"/>
      <c r="G102" s="18"/>
      <c r="H102" s="18"/>
      <c r="I102" s="18"/>
      <c r="J102" s="18"/>
      <c r="K102" s="47"/>
      <c r="L102" s="47"/>
      <c r="M102" s="47"/>
      <c r="N102" s="18"/>
      <c r="O102" s="18"/>
      <c r="P102" s="18"/>
      <c r="Q102" s="18"/>
      <c r="R102" s="18"/>
      <c r="S102" s="18"/>
      <c r="T102" s="18"/>
    </row>
    <row r="103" spans="1:20" s="432" customFormat="1" ht="14.5" hidden="1" x14ac:dyDescent="0.35">
      <c r="A103" s="18"/>
      <c r="B103" s="24"/>
      <c r="C103" s="38"/>
      <c r="D103" s="29"/>
      <c r="E103" s="381"/>
      <c r="F103" s="126"/>
      <c r="G103" s="18"/>
      <c r="H103" s="18"/>
      <c r="I103" s="18"/>
      <c r="J103" s="18"/>
      <c r="K103" s="47"/>
      <c r="L103" s="47"/>
      <c r="M103" s="47"/>
      <c r="N103" s="18"/>
      <c r="O103" s="18"/>
      <c r="P103" s="18"/>
      <c r="Q103" s="18"/>
      <c r="R103" s="18"/>
      <c r="S103" s="18"/>
      <c r="T103" s="18"/>
    </row>
    <row r="104" spans="1:20" s="432" customFormat="1" ht="15" hidden="1" x14ac:dyDescent="0.4">
      <c r="A104" s="18"/>
      <c r="B104" s="24" t="s">
        <v>2</v>
      </c>
      <c r="C104" s="39" t="s">
        <v>1365</v>
      </c>
      <c r="D104" s="29"/>
      <c r="E104" s="38"/>
      <c r="F104" s="126"/>
      <c r="G104" s="18"/>
      <c r="H104" s="18"/>
      <c r="I104" s="18"/>
      <c r="J104" s="18"/>
      <c r="K104" s="18"/>
      <c r="L104" s="18"/>
      <c r="M104" s="18"/>
      <c r="N104" s="18"/>
      <c r="O104" s="18"/>
      <c r="P104" s="18"/>
      <c r="Q104" s="18"/>
      <c r="R104" s="18"/>
      <c r="S104" s="18"/>
      <c r="T104" s="18"/>
    </row>
    <row r="105" spans="1:20" s="432" customFormat="1" ht="14.5" hidden="1" x14ac:dyDescent="0.35">
      <c r="A105" s="18"/>
      <c r="B105" s="41" t="s">
        <v>3</v>
      </c>
      <c r="C105" s="38"/>
      <c r="D105" s="29"/>
      <c r="E105" s="38"/>
      <c r="F105" s="126"/>
      <c r="G105" s="18"/>
      <c r="H105" s="18"/>
      <c r="I105" s="18"/>
      <c r="J105" s="18"/>
      <c r="K105" s="18"/>
      <c r="L105" s="18"/>
      <c r="M105" s="18"/>
      <c r="N105" s="18"/>
      <c r="O105" s="18"/>
      <c r="P105" s="18"/>
      <c r="Q105" s="18"/>
      <c r="R105" s="18"/>
      <c r="S105" s="18"/>
      <c r="T105" s="18"/>
    </row>
    <row r="106" spans="1:20" s="432" customFormat="1" ht="14.5" hidden="1" x14ac:dyDescent="0.35">
      <c r="A106" s="18"/>
      <c r="B106" s="24"/>
      <c r="C106" s="42" t="e">
        <f>(C141*1.03*3.054)/0.6/((0.00795*C134)-0.0014)/18.4</f>
        <v>#DIV/0!</v>
      </c>
      <c r="D106" s="29"/>
      <c r="E106" s="131"/>
      <c r="F106" s="126"/>
      <c r="G106" s="18"/>
      <c r="H106" s="18"/>
      <c r="I106" s="18"/>
      <c r="J106" s="18"/>
      <c r="K106" s="18"/>
      <c r="L106" s="18"/>
      <c r="M106" s="18"/>
      <c r="N106" s="18"/>
      <c r="O106" s="18"/>
      <c r="P106" s="18"/>
      <c r="Q106" s="18"/>
      <c r="R106" s="18"/>
      <c r="S106" s="18"/>
      <c r="T106" s="18"/>
    </row>
    <row r="107" spans="1:20" s="432" customFormat="1" ht="14.5" hidden="1" x14ac:dyDescent="0.35">
      <c r="A107" s="18"/>
      <c r="B107" s="24"/>
      <c r="C107" s="38"/>
      <c r="D107" s="29"/>
      <c r="E107" s="131"/>
      <c r="F107" s="126"/>
      <c r="G107" s="18"/>
      <c r="H107" s="18"/>
      <c r="I107" s="18"/>
      <c r="J107" s="18"/>
      <c r="K107" s="18"/>
      <c r="L107" s="18"/>
      <c r="M107" s="18"/>
      <c r="N107" s="18"/>
      <c r="O107" s="18"/>
      <c r="P107" s="18"/>
      <c r="Q107" s="18"/>
      <c r="R107" s="18"/>
      <c r="S107" s="18"/>
      <c r="T107" s="18"/>
    </row>
    <row r="108" spans="1:20" s="432" customFormat="1" ht="14.5" hidden="1" x14ac:dyDescent="0.35">
      <c r="A108" s="18"/>
      <c r="B108" s="24" t="s">
        <v>4</v>
      </c>
      <c r="C108" s="39" t="s">
        <v>5</v>
      </c>
      <c r="D108" s="29"/>
      <c r="E108" s="37"/>
      <c r="F108" s="126"/>
      <c r="G108" s="18"/>
      <c r="H108" s="18"/>
      <c r="I108" s="18"/>
      <c r="J108" s="18"/>
      <c r="K108" s="18"/>
      <c r="L108" s="18"/>
      <c r="M108" s="18"/>
      <c r="N108" s="18"/>
      <c r="O108" s="18"/>
      <c r="P108" s="18"/>
      <c r="Q108" s="18"/>
      <c r="R108" s="18"/>
      <c r="S108" s="18"/>
      <c r="T108" s="18"/>
    </row>
    <row r="109" spans="1:20" s="432" customFormat="1" ht="14.5" hidden="1" x14ac:dyDescent="0.35">
      <c r="A109" s="18"/>
      <c r="B109" s="24"/>
      <c r="C109" s="38"/>
      <c r="D109" s="29"/>
      <c r="E109" s="37"/>
      <c r="F109" s="126"/>
      <c r="G109" s="18"/>
      <c r="H109" s="18"/>
      <c r="I109" s="18"/>
      <c r="J109" s="18"/>
      <c r="K109" s="18"/>
      <c r="L109" s="18"/>
      <c r="M109" s="18"/>
      <c r="N109" s="18"/>
      <c r="O109" s="18"/>
      <c r="P109" s="18"/>
      <c r="Q109" s="18"/>
      <c r="R109" s="18"/>
      <c r="S109" s="18"/>
      <c r="T109" s="18"/>
    </row>
    <row r="110" spans="1:20" s="432" customFormat="1" ht="14.5" hidden="1" x14ac:dyDescent="0.35">
      <c r="A110" s="18"/>
      <c r="B110" s="24"/>
      <c r="C110" s="42" t="e">
        <f>(C102*18.4)</f>
        <v>#DIV/0!</v>
      </c>
      <c r="D110" s="29"/>
      <c r="E110" s="37"/>
      <c r="F110" s="126"/>
      <c r="G110" s="18"/>
      <c r="H110" s="18"/>
      <c r="I110" s="18"/>
      <c r="J110" s="18"/>
      <c r="K110" s="18"/>
      <c r="L110" s="18"/>
      <c r="M110" s="18"/>
      <c r="N110" s="18"/>
      <c r="O110" s="18"/>
      <c r="P110" s="18"/>
      <c r="Q110" s="18"/>
      <c r="R110" s="18"/>
      <c r="S110" s="18"/>
      <c r="T110" s="18"/>
    </row>
    <row r="111" spans="1:20" s="432" customFormat="1" ht="14.5" hidden="1" x14ac:dyDescent="0.35">
      <c r="A111" s="18"/>
      <c r="B111" s="24"/>
      <c r="C111" s="38"/>
      <c r="D111" s="29"/>
      <c r="E111" s="42"/>
      <c r="F111" s="126"/>
      <c r="G111" s="18"/>
      <c r="H111" s="18"/>
      <c r="I111" s="18"/>
      <c r="J111" s="18"/>
      <c r="K111" s="18"/>
      <c r="L111" s="18"/>
      <c r="M111" s="18"/>
      <c r="N111" s="18"/>
      <c r="O111" s="18"/>
      <c r="P111" s="18"/>
      <c r="Q111" s="18"/>
      <c r="R111" s="18"/>
      <c r="S111" s="18"/>
      <c r="T111" s="18"/>
    </row>
    <row r="112" spans="1:20" s="432" customFormat="1" ht="14.5" hidden="1" x14ac:dyDescent="0.35">
      <c r="A112" s="18"/>
      <c r="B112" s="24" t="s">
        <v>6</v>
      </c>
      <c r="C112" s="39" t="s">
        <v>7</v>
      </c>
      <c r="D112" s="29"/>
      <c r="E112" s="37"/>
      <c r="F112" s="126"/>
      <c r="G112" s="18"/>
      <c r="H112" s="18"/>
      <c r="I112" s="18"/>
      <c r="J112" s="18"/>
      <c r="K112" s="18"/>
      <c r="L112" s="18"/>
      <c r="M112" s="18"/>
      <c r="N112" s="18"/>
      <c r="O112" s="18"/>
      <c r="P112" s="18"/>
      <c r="Q112" s="18"/>
      <c r="R112" s="18"/>
      <c r="S112" s="18"/>
      <c r="T112" s="18"/>
    </row>
    <row r="113" spans="1:20" s="432" customFormat="1" ht="14.5" hidden="1" x14ac:dyDescent="0.35">
      <c r="A113" s="18"/>
      <c r="B113" s="24"/>
      <c r="C113" s="40" t="e">
        <f>C102/(1.185+(0.00454*$C$12)-(0.0000026*($C$12)^2)+(0.315*$C$13))^2</f>
        <v>#DIV/0!</v>
      </c>
      <c r="D113" s="29"/>
      <c r="E113" s="37"/>
      <c r="F113" s="126"/>
      <c r="G113" s="18"/>
      <c r="H113" s="18"/>
      <c r="I113" s="18"/>
      <c r="J113" s="18"/>
      <c r="K113" s="18"/>
      <c r="L113" s="18"/>
      <c r="M113" s="18"/>
      <c r="N113" s="18"/>
      <c r="O113" s="18"/>
      <c r="P113" s="18"/>
      <c r="Q113" s="18"/>
      <c r="R113" s="18"/>
      <c r="S113" s="18"/>
      <c r="T113" s="18"/>
    </row>
    <row r="114" spans="1:20" s="432" customFormat="1" ht="14.5" hidden="1" x14ac:dyDescent="0.35">
      <c r="A114" s="18"/>
      <c r="B114" s="24"/>
      <c r="C114" s="38"/>
      <c r="D114" s="29"/>
      <c r="E114" s="37"/>
      <c r="F114" s="126"/>
      <c r="G114" s="18"/>
      <c r="H114" s="18"/>
      <c r="I114" s="18"/>
      <c r="J114" s="18"/>
      <c r="K114" s="18"/>
      <c r="L114" s="18"/>
      <c r="M114" s="18"/>
      <c r="N114" s="18"/>
      <c r="O114" s="18"/>
      <c r="P114" s="18"/>
      <c r="Q114" s="18"/>
      <c r="R114" s="18"/>
      <c r="S114" s="18"/>
      <c r="T114" s="18"/>
    </row>
    <row r="115" spans="1:20" s="432" customFormat="1" ht="14.5" hidden="1" x14ac:dyDescent="0.35">
      <c r="A115" s="18"/>
      <c r="B115" s="24" t="s">
        <v>8</v>
      </c>
      <c r="C115" s="39" t="s">
        <v>9</v>
      </c>
      <c r="D115" s="29"/>
      <c r="E115" s="42"/>
      <c r="F115" s="126"/>
      <c r="G115" s="18"/>
      <c r="H115" s="18"/>
      <c r="I115" s="18"/>
      <c r="J115" s="18"/>
      <c r="K115" s="18"/>
      <c r="L115" s="18"/>
      <c r="M115" s="18"/>
      <c r="N115" s="18"/>
      <c r="O115" s="18"/>
      <c r="P115" s="18"/>
      <c r="Q115" s="18"/>
      <c r="R115" s="18"/>
      <c r="S115" s="18"/>
      <c r="T115" s="18"/>
    </row>
    <row r="116" spans="1:20" s="432" customFormat="1" ht="14.5" hidden="1" x14ac:dyDescent="0.35">
      <c r="A116" s="18"/>
      <c r="B116" s="24" t="s">
        <v>153</v>
      </c>
      <c r="C116" s="38"/>
      <c r="D116" s="29"/>
      <c r="E116" s="37"/>
      <c r="F116" s="126"/>
      <c r="G116" s="18"/>
      <c r="H116" s="18"/>
      <c r="I116" s="18"/>
      <c r="J116" s="18"/>
      <c r="K116" s="18"/>
      <c r="L116" s="18"/>
      <c r="M116" s="18"/>
      <c r="N116" s="18"/>
      <c r="O116" s="18"/>
      <c r="P116" s="18"/>
      <c r="Q116" s="18"/>
      <c r="R116" s="18"/>
      <c r="S116" s="18"/>
      <c r="T116" s="18"/>
    </row>
    <row r="117" spans="1:20" s="432" customFormat="1" ht="14.5" hidden="1" x14ac:dyDescent="0.35">
      <c r="A117" s="18"/>
      <c r="B117" s="24"/>
      <c r="C117" s="42" t="e">
        <f>1.3+(0.112*C134)+C113*(2.37-(0.05*C134))</f>
        <v>#DIV/0!</v>
      </c>
      <c r="D117" s="29"/>
      <c r="E117" s="37"/>
      <c r="F117" s="126"/>
      <c r="G117" s="18"/>
      <c r="H117" s="18"/>
      <c r="I117" s="18"/>
      <c r="J117" s="18"/>
      <c r="K117" s="18"/>
      <c r="L117" s="18"/>
      <c r="M117" s="18"/>
      <c r="N117" s="18"/>
      <c r="O117" s="18"/>
      <c r="P117" s="18"/>
      <c r="Q117" s="18"/>
      <c r="R117" s="18"/>
      <c r="S117" s="18"/>
      <c r="T117" s="18"/>
    </row>
    <row r="118" spans="1:20" s="432" customFormat="1" ht="14.5" hidden="1" x14ac:dyDescent="0.35">
      <c r="A118" s="18"/>
      <c r="B118" s="24"/>
      <c r="C118" s="38"/>
      <c r="D118" s="29"/>
      <c r="E118" s="40"/>
      <c r="F118" s="126"/>
      <c r="G118" s="18"/>
      <c r="H118" s="18"/>
      <c r="I118" s="18"/>
      <c r="J118" s="18"/>
      <c r="K118" s="18"/>
      <c r="L118" s="18"/>
      <c r="M118" s="18"/>
      <c r="N118" s="18"/>
      <c r="O118" s="18"/>
      <c r="P118" s="18"/>
      <c r="Q118" s="18"/>
      <c r="R118" s="18"/>
      <c r="S118" s="18"/>
      <c r="T118" s="18"/>
    </row>
    <row r="119" spans="1:20" s="432" customFormat="1" ht="14.5" hidden="1" x14ac:dyDescent="0.35">
      <c r="A119" s="18"/>
      <c r="B119" s="24" t="s">
        <v>10</v>
      </c>
      <c r="C119" s="39" t="s">
        <v>1523</v>
      </c>
      <c r="D119" s="29"/>
      <c r="E119" s="37"/>
      <c r="F119" s="126"/>
      <c r="G119" s="18"/>
      <c r="H119" s="18"/>
      <c r="I119" s="18"/>
      <c r="J119" s="18"/>
      <c r="K119" s="18"/>
      <c r="L119" s="18"/>
      <c r="M119" s="18"/>
      <c r="N119" s="18"/>
      <c r="O119" s="18"/>
      <c r="P119" s="18"/>
      <c r="Q119" s="18"/>
      <c r="R119" s="18"/>
      <c r="S119" s="18"/>
      <c r="T119" s="18"/>
    </row>
    <row r="120" spans="1:20" s="432" customFormat="1" ht="14.5" hidden="1" x14ac:dyDescent="0.35">
      <c r="A120" s="18"/>
      <c r="B120" s="24"/>
      <c r="C120" s="132"/>
      <c r="D120" s="29"/>
      <c r="E120" s="37"/>
      <c r="F120" s="126"/>
      <c r="G120" s="18"/>
      <c r="H120" s="18"/>
      <c r="I120" s="18"/>
      <c r="J120" s="18"/>
      <c r="K120" s="18"/>
      <c r="L120" s="18"/>
      <c r="M120" s="18"/>
      <c r="N120" s="18"/>
      <c r="O120" s="18"/>
      <c r="P120" s="18"/>
      <c r="Q120" s="18"/>
      <c r="R120" s="18"/>
      <c r="S120" s="18"/>
      <c r="T120" s="18"/>
    </row>
    <row r="121" spans="1:20" s="432" customFormat="1" ht="14.5" hidden="1" x14ac:dyDescent="0.35">
      <c r="A121" s="18"/>
      <c r="B121" s="27" t="s">
        <v>11</v>
      </c>
      <c r="C121" s="43" t="e">
        <f>20.7*C102/1000</f>
        <v>#DIV/0!</v>
      </c>
      <c r="D121" s="29"/>
      <c r="E121" s="37"/>
      <c r="F121" s="126"/>
      <c r="G121" s="18"/>
      <c r="H121" s="18"/>
      <c r="I121" s="18"/>
      <c r="J121" s="18"/>
      <c r="K121" s="18"/>
      <c r="L121" s="18"/>
      <c r="M121" s="18"/>
      <c r="N121" s="18"/>
      <c r="O121" s="18"/>
      <c r="P121" s="18"/>
      <c r="Q121" s="18"/>
      <c r="R121" s="18"/>
      <c r="S121" s="18"/>
      <c r="T121" s="18"/>
    </row>
    <row r="122" spans="1:20" s="432" customFormat="1" ht="14.5" hidden="1" x14ac:dyDescent="0.35">
      <c r="A122" s="18"/>
      <c r="B122" s="46"/>
      <c r="C122" s="128"/>
      <c r="D122" s="29"/>
      <c r="E122" s="42"/>
      <c r="F122" s="126"/>
      <c r="G122" s="18"/>
      <c r="H122" s="18"/>
      <c r="I122" s="18"/>
      <c r="J122" s="18"/>
      <c r="K122" s="18"/>
      <c r="L122" s="18"/>
      <c r="M122" s="18"/>
      <c r="N122" s="18"/>
      <c r="O122" s="18"/>
      <c r="P122" s="18"/>
      <c r="Q122" s="18"/>
      <c r="R122" s="18"/>
      <c r="S122" s="18"/>
      <c r="T122" s="18"/>
    </row>
    <row r="123" spans="1:20" s="432" customFormat="1" ht="14.5" hidden="1" x14ac:dyDescent="0.35">
      <c r="A123" s="18"/>
      <c r="B123" s="24" t="s">
        <v>12</v>
      </c>
      <c r="C123" s="32">
        <f>C11</f>
        <v>0</v>
      </c>
      <c r="D123" s="29"/>
      <c r="E123" s="37"/>
      <c r="F123" s="126"/>
      <c r="G123" s="18"/>
      <c r="H123" s="18"/>
      <c r="I123" s="18"/>
      <c r="J123" s="18"/>
      <c r="K123" s="18"/>
      <c r="L123" s="18"/>
      <c r="M123" s="18"/>
      <c r="N123" s="18"/>
      <c r="O123" s="18"/>
      <c r="P123" s="18"/>
      <c r="Q123" s="18"/>
      <c r="R123" s="18"/>
      <c r="S123" s="18"/>
      <c r="T123" s="18"/>
    </row>
    <row r="124" spans="1:20" s="432" customFormat="1" ht="14.5" hidden="1" x14ac:dyDescent="0.35">
      <c r="A124" s="18"/>
      <c r="B124" s="24" t="s">
        <v>13</v>
      </c>
      <c r="C124" s="44" t="e">
        <f>C121*C123*365</f>
        <v>#DIV/0!</v>
      </c>
      <c r="D124" s="29"/>
      <c r="E124" s="43"/>
      <c r="F124" s="126"/>
      <c r="G124" s="18"/>
      <c r="H124" s="18"/>
      <c r="I124" s="18"/>
      <c r="J124" s="18"/>
      <c r="K124" s="18"/>
      <c r="L124" s="18"/>
      <c r="M124" s="18"/>
      <c r="N124" s="18"/>
      <c r="O124" s="18"/>
      <c r="P124" s="18"/>
      <c r="Q124" s="18"/>
      <c r="R124" s="18"/>
      <c r="S124" s="18"/>
      <c r="T124" s="18"/>
    </row>
    <row r="125" spans="1:20" s="432" customFormat="1" ht="14.5" hidden="1" x14ac:dyDescent="0.35">
      <c r="A125" s="18"/>
      <c r="B125" s="27" t="s">
        <v>14</v>
      </c>
      <c r="C125" s="45" t="e">
        <f>C124*'Emission factors'!C4/1000</f>
        <v>#DIV/0!</v>
      </c>
      <c r="D125" s="29"/>
      <c r="E125" s="37"/>
      <c r="F125" s="126"/>
      <c r="G125" s="18"/>
      <c r="H125" s="18"/>
      <c r="I125" s="18"/>
      <c r="J125" s="18"/>
      <c r="K125" s="18"/>
      <c r="L125" s="18"/>
      <c r="M125" s="18"/>
      <c r="N125" s="18"/>
      <c r="O125" s="18"/>
      <c r="P125" s="18"/>
      <c r="Q125" s="18"/>
      <c r="R125" s="18"/>
      <c r="S125" s="18"/>
      <c r="T125" s="18"/>
    </row>
    <row r="126" spans="1:20" hidden="1" x14ac:dyDescent="0.3">
      <c r="A126" s="29"/>
      <c r="B126" s="24"/>
      <c r="C126" s="42"/>
      <c r="D126" s="29"/>
      <c r="E126" s="37"/>
      <c r="F126" s="37"/>
      <c r="G126" s="29"/>
      <c r="H126" s="29"/>
      <c r="I126" s="29"/>
      <c r="J126" s="29"/>
      <c r="K126" s="29"/>
      <c r="L126" s="29"/>
      <c r="M126" s="29"/>
      <c r="N126" s="29"/>
      <c r="O126" s="29"/>
      <c r="P126" s="29"/>
      <c r="Q126" s="29"/>
      <c r="R126" s="29"/>
      <c r="S126" s="29"/>
      <c r="T126" s="29"/>
    </row>
    <row r="127" spans="1:20" hidden="1" x14ac:dyDescent="0.3">
      <c r="A127" s="29"/>
      <c r="B127" s="24"/>
      <c r="C127" s="38"/>
      <c r="D127" s="29"/>
      <c r="E127" s="37"/>
      <c r="F127" s="37"/>
      <c r="G127" s="29"/>
      <c r="H127" s="29"/>
      <c r="I127" s="29"/>
      <c r="J127" s="29"/>
      <c r="K127" s="29"/>
      <c r="L127" s="29"/>
      <c r="M127" s="29"/>
      <c r="N127" s="29"/>
      <c r="O127" s="29"/>
      <c r="P127" s="29"/>
      <c r="Q127" s="29"/>
      <c r="R127" s="29"/>
      <c r="S127" s="29"/>
      <c r="T127" s="29"/>
    </row>
    <row r="128" spans="1:20" hidden="1" x14ac:dyDescent="0.3">
      <c r="A128" s="29"/>
      <c r="B128" s="27"/>
      <c r="C128" s="38"/>
      <c r="D128" s="29"/>
      <c r="E128" s="42"/>
      <c r="F128" s="37"/>
      <c r="G128" s="29"/>
      <c r="H128" s="29"/>
      <c r="I128" s="29"/>
      <c r="J128" s="29"/>
      <c r="K128" s="29"/>
      <c r="L128" s="29"/>
      <c r="M128" s="29"/>
      <c r="N128" s="29"/>
      <c r="O128" s="29"/>
      <c r="P128" s="29"/>
      <c r="Q128" s="29"/>
      <c r="R128" s="29"/>
      <c r="S128" s="29"/>
      <c r="T128" s="29"/>
    </row>
    <row r="129" spans="1:20" hidden="1" x14ac:dyDescent="0.3">
      <c r="A129" s="29"/>
      <c r="B129" s="24"/>
      <c r="C129" s="38"/>
      <c r="D129" s="29"/>
      <c r="E129" s="37"/>
      <c r="F129" s="37"/>
      <c r="G129" s="29"/>
      <c r="H129" s="29"/>
      <c r="I129" s="29"/>
      <c r="J129" s="29"/>
      <c r="K129" s="29"/>
      <c r="L129" s="29"/>
      <c r="M129" s="29"/>
      <c r="N129" s="29"/>
      <c r="O129" s="29"/>
      <c r="P129" s="29"/>
      <c r="Q129" s="29"/>
      <c r="R129" s="29"/>
      <c r="S129" s="29"/>
      <c r="T129" s="29"/>
    </row>
    <row r="130" spans="1:20" hidden="1" x14ac:dyDescent="0.3">
      <c r="A130" s="29"/>
      <c r="B130" s="48" t="s">
        <v>161</v>
      </c>
      <c r="C130" s="24"/>
      <c r="D130" s="29"/>
      <c r="E130" s="29"/>
      <c r="F130" s="29"/>
      <c r="G130" s="29"/>
      <c r="H130" s="29"/>
      <c r="I130" s="29"/>
      <c r="J130" s="29"/>
      <c r="K130" s="29"/>
      <c r="L130" s="29"/>
      <c r="M130" s="29"/>
      <c r="N130" s="29"/>
      <c r="O130" s="29"/>
      <c r="P130" s="29"/>
      <c r="Q130" s="29"/>
      <c r="R130" s="29"/>
      <c r="S130" s="29"/>
      <c r="T130" s="29"/>
    </row>
    <row r="131" spans="1:20" hidden="1" x14ac:dyDescent="0.3">
      <c r="A131" s="29"/>
      <c r="B131" s="24" t="s">
        <v>89</v>
      </c>
      <c r="C131" s="31">
        <f>C25</f>
        <v>1</v>
      </c>
      <c r="D131" s="29"/>
      <c r="E131" s="29"/>
      <c r="F131" s="29"/>
      <c r="G131" s="29"/>
      <c r="H131" s="29"/>
      <c r="I131" s="29"/>
      <c r="J131" s="29"/>
      <c r="K131" s="29"/>
      <c r="L131" s="29"/>
      <c r="M131" s="29"/>
      <c r="N131" s="29"/>
      <c r="O131" s="29"/>
      <c r="P131" s="29"/>
      <c r="Q131" s="29"/>
      <c r="R131" s="29"/>
      <c r="S131" s="29"/>
      <c r="T131" s="29"/>
    </row>
    <row r="132" spans="1:20" hidden="1" x14ac:dyDescent="0.3">
      <c r="A132" s="29"/>
      <c r="B132" s="24" t="s">
        <v>32</v>
      </c>
      <c r="C132" s="31" t="e">
        <f>(C16*0.1604)-1.037</f>
        <v>#DIV/0!</v>
      </c>
      <c r="D132" s="29" t="s">
        <v>143</v>
      </c>
      <c r="E132" s="29"/>
      <c r="F132" s="29"/>
      <c r="G132" s="29"/>
      <c r="H132" s="29"/>
      <c r="I132" s="29"/>
      <c r="J132" s="29"/>
      <c r="K132" s="29"/>
      <c r="L132" s="29"/>
      <c r="M132" s="29"/>
      <c r="N132" s="29"/>
      <c r="O132" s="29"/>
      <c r="P132" s="29"/>
      <c r="Q132" s="29"/>
      <c r="R132" s="29"/>
      <c r="S132" s="29"/>
      <c r="T132" s="29"/>
    </row>
    <row r="133" spans="1:20" hidden="1" x14ac:dyDescent="0.3">
      <c r="A133" s="29"/>
      <c r="B133" s="24" t="s">
        <v>33</v>
      </c>
      <c r="C133" s="31" t="e">
        <f>'Baseline farm'!D223*C132</f>
        <v>#DIV/0!</v>
      </c>
      <c r="D133" s="29" t="s">
        <v>142</v>
      </c>
      <c r="E133" s="29"/>
      <c r="F133" s="29"/>
      <c r="G133" s="29"/>
      <c r="H133" s="29"/>
      <c r="I133" s="29"/>
      <c r="J133" s="29"/>
      <c r="K133" s="29"/>
      <c r="L133" s="29"/>
      <c r="M133" s="29"/>
      <c r="N133" s="29"/>
      <c r="O133" s="29"/>
      <c r="P133" s="29"/>
      <c r="Q133" s="29"/>
      <c r="R133" s="29"/>
      <c r="S133" s="29"/>
      <c r="T133" s="29"/>
    </row>
    <row r="134" spans="1:20" hidden="1" x14ac:dyDescent="0.3">
      <c r="A134" s="29"/>
      <c r="B134" s="24" t="s">
        <v>34</v>
      </c>
      <c r="C134" s="31" t="e">
        <f>(C21*C19/(C136))+(C16*(C136-C19)/C136)</f>
        <v>#DIV/0!</v>
      </c>
      <c r="D134" s="29" t="s">
        <v>169</v>
      </c>
      <c r="E134" s="29"/>
      <c r="F134" s="29"/>
      <c r="G134" s="29"/>
      <c r="H134" s="29"/>
      <c r="I134" s="29"/>
      <c r="J134" s="29"/>
      <c r="K134" s="29"/>
      <c r="L134" s="29"/>
      <c r="M134" s="29"/>
      <c r="N134" s="29"/>
      <c r="O134" s="29"/>
      <c r="P134" s="29"/>
      <c r="Q134" s="29"/>
      <c r="R134" s="29"/>
      <c r="S134" s="29"/>
      <c r="T134" s="29"/>
    </row>
    <row r="135" spans="1:20" hidden="1" x14ac:dyDescent="0.3">
      <c r="A135" s="29"/>
      <c r="B135" s="24" t="s">
        <v>472</v>
      </c>
      <c r="C135" s="31" t="e">
        <f>(C23*C19/(C136))+(C17*(C136-C19)/C136)</f>
        <v>#DIV/0!</v>
      </c>
      <c r="D135" s="29" t="s">
        <v>465</v>
      </c>
      <c r="E135" s="29"/>
      <c r="F135" s="29"/>
      <c r="G135" s="29"/>
      <c r="H135" s="29"/>
      <c r="I135" s="29"/>
      <c r="J135" s="29"/>
      <c r="K135" s="29"/>
      <c r="L135" s="29"/>
      <c r="M135" s="29"/>
      <c r="N135" s="29"/>
      <c r="O135" s="29"/>
      <c r="P135" s="29"/>
      <c r="Q135" s="29"/>
      <c r="R135" s="29"/>
      <c r="S135" s="29"/>
      <c r="T135" s="29"/>
    </row>
    <row r="136" spans="1:20" hidden="1" x14ac:dyDescent="0.3">
      <c r="A136" s="29"/>
      <c r="B136" s="24" t="s">
        <v>40</v>
      </c>
      <c r="C136" s="31" t="e">
        <f>C19+('Baseline farm'!D223-(C19*C131))</f>
        <v>#DIV/0!</v>
      </c>
      <c r="D136" s="29" t="s">
        <v>165</v>
      </c>
      <c r="E136" s="29"/>
      <c r="F136" s="29"/>
      <c r="G136" s="29"/>
      <c r="H136" s="29"/>
      <c r="I136" s="29"/>
      <c r="J136" s="29"/>
      <c r="K136" s="29"/>
      <c r="L136" s="29"/>
      <c r="M136" s="29"/>
      <c r="N136" s="29"/>
      <c r="O136" s="29"/>
      <c r="P136" s="29"/>
      <c r="Q136" s="29"/>
      <c r="R136" s="29"/>
      <c r="S136" s="29"/>
      <c r="T136" s="29"/>
    </row>
    <row r="137" spans="1:20" hidden="1" x14ac:dyDescent="0.3">
      <c r="A137" s="29"/>
      <c r="B137" s="24" t="s">
        <v>35</v>
      </c>
      <c r="C137" s="31" t="e">
        <f>C134*0.1604-1.037</f>
        <v>#DIV/0!</v>
      </c>
      <c r="D137" s="29" t="s">
        <v>145</v>
      </c>
      <c r="E137" s="29"/>
      <c r="F137" s="29"/>
      <c r="G137" s="29"/>
      <c r="H137" s="29"/>
      <c r="I137" s="29"/>
      <c r="J137" s="29"/>
      <c r="K137" s="29"/>
      <c r="L137" s="29"/>
      <c r="M137" s="29"/>
      <c r="N137" s="29"/>
      <c r="O137" s="29"/>
      <c r="P137" s="29"/>
      <c r="Q137" s="29"/>
      <c r="R137" s="29"/>
      <c r="S137" s="29"/>
      <c r="T137" s="29"/>
    </row>
    <row r="138" spans="1:20" hidden="1" x14ac:dyDescent="0.3">
      <c r="A138" s="29"/>
      <c r="B138" s="24" t="s">
        <v>36</v>
      </c>
      <c r="C138" s="31" t="e">
        <f>C136*C137</f>
        <v>#DIV/0!</v>
      </c>
      <c r="D138" s="29" t="s">
        <v>145</v>
      </c>
      <c r="E138" s="29"/>
      <c r="F138" s="29"/>
      <c r="G138" s="29"/>
      <c r="H138" s="29"/>
      <c r="I138" s="29"/>
      <c r="J138" s="29"/>
      <c r="K138" s="29"/>
      <c r="L138" s="29"/>
      <c r="M138" s="29"/>
      <c r="N138" s="29"/>
      <c r="O138" s="29"/>
      <c r="P138" s="29"/>
      <c r="Q138" s="29"/>
      <c r="R138" s="29"/>
      <c r="S138" s="29"/>
      <c r="T138" s="29"/>
    </row>
    <row r="139" spans="1:20" hidden="1" x14ac:dyDescent="0.3">
      <c r="A139" s="29"/>
      <c r="B139" s="24" t="s">
        <v>37</v>
      </c>
      <c r="C139" s="31" t="e">
        <f>C138-C133</f>
        <v>#DIV/0!</v>
      </c>
      <c r="D139" s="29" t="s">
        <v>146</v>
      </c>
      <c r="E139" s="29"/>
      <c r="F139" s="29"/>
      <c r="G139" s="29"/>
      <c r="H139" s="29"/>
      <c r="I139" s="29"/>
      <c r="J139" s="29"/>
      <c r="K139" s="29"/>
      <c r="L139" s="29"/>
      <c r="M139" s="29"/>
      <c r="N139" s="29"/>
      <c r="O139" s="29"/>
      <c r="P139" s="29"/>
      <c r="Q139" s="29"/>
      <c r="R139" s="29"/>
      <c r="S139" s="29"/>
      <c r="T139" s="29"/>
    </row>
    <row r="140" spans="1:20" hidden="1" x14ac:dyDescent="0.3">
      <c r="A140" s="29"/>
      <c r="B140" s="24" t="s">
        <v>68</v>
      </c>
      <c r="C140" s="31" t="e">
        <f>C139/5.5</f>
        <v>#DIV/0!</v>
      </c>
      <c r="D140" s="29" t="s">
        <v>2123</v>
      </c>
      <c r="E140" s="29"/>
      <c r="F140" s="29"/>
      <c r="G140" s="29"/>
      <c r="H140" s="29"/>
      <c r="I140" s="29"/>
      <c r="J140" s="29"/>
      <c r="K140" s="29"/>
      <c r="L140" s="29"/>
      <c r="M140" s="29"/>
      <c r="N140" s="29"/>
      <c r="O140" s="29"/>
      <c r="P140" s="29"/>
      <c r="Q140" s="29"/>
      <c r="R140" s="29"/>
      <c r="S140" s="29"/>
      <c r="T140" s="29"/>
    </row>
    <row r="141" spans="1:20" hidden="1" x14ac:dyDescent="0.3">
      <c r="A141" s="29"/>
      <c r="B141" s="24" t="s">
        <v>41</v>
      </c>
      <c r="C141" s="31" t="e">
        <f>C140+(C14*C15/365)</f>
        <v>#DIV/0!</v>
      </c>
      <c r="D141" s="29" t="s">
        <v>147</v>
      </c>
      <c r="E141" s="29"/>
      <c r="F141" s="29"/>
      <c r="G141" s="29"/>
      <c r="H141" s="29"/>
      <c r="I141" s="29"/>
      <c r="J141" s="29"/>
      <c r="K141" s="29"/>
      <c r="L141" s="29"/>
      <c r="M141" s="29"/>
      <c r="N141" s="29"/>
      <c r="O141" s="29"/>
      <c r="P141" s="29"/>
      <c r="Q141" s="29"/>
      <c r="R141" s="29"/>
      <c r="S141" s="29"/>
      <c r="T141" s="29"/>
    </row>
    <row r="142" spans="1:20" s="432" customFormat="1" ht="14.5" hidden="1" x14ac:dyDescent="0.35">
      <c r="A142" s="18"/>
      <c r="B142" s="24" t="s">
        <v>749</v>
      </c>
      <c r="C142" s="31" t="e">
        <f>(C140*C11*C27)*(0.2534+(0.1226*'Baseline farm'!R206)+(0.0776*'Baseline farm'!R207))</f>
        <v>#DIV/0!</v>
      </c>
      <c r="D142" s="29"/>
      <c r="E142" s="18"/>
      <c r="F142" s="18"/>
      <c r="G142" s="18"/>
      <c r="H142" s="18"/>
      <c r="I142" s="18"/>
      <c r="J142" s="18"/>
      <c r="K142" s="18"/>
      <c r="L142" s="18"/>
      <c r="M142" s="18"/>
      <c r="N142" s="18"/>
      <c r="O142" s="18"/>
      <c r="P142" s="18"/>
      <c r="Q142" s="18"/>
      <c r="R142" s="18"/>
      <c r="S142" s="18"/>
      <c r="T142" s="18"/>
    </row>
    <row r="143" spans="1:20" s="432" customFormat="1" ht="14.5" hidden="1" x14ac:dyDescent="0.35">
      <c r="A143" s="18"/>
      <c r="B143" s="24" t="s">
        <v>750</v>
      </c>
      <c r="C143" s="31" t="e">
        <f>C142/365</f>
        <v>#DIV/0!</v>
      </c>
      <c r="D143" s="29"/>
      <c r="E143" s="18"/>
      <c r="F143" s="18"/>
      <c r="G143" s="18"/>
      <c r="H143" s="18"/>
      <c r="I143" s="18"/>
      <c r="J143" s="18"/>
      <c r="K143" s="18"/>
      <c r="L143" s="18"/>
      <c r="M143" s="18"/>
      <c r="N143" s="18"/>
      <c r="O143" s="18"/>
      <c r="P143" s="18"/>
      <c r="Q143" s="18"/>
      <c r="R143" s="18"/>
      <c r="S143" s="18"/>
      <c r="T143" s="18"/>
    </row>
    <row r="144" spans="1:20" s="432" customFormat="1" ht="14.5" hidden="1" x14ac:dyDescent="0.35">
      <c r="A144" s="18"/>
      <c r="B144" s="24" t="s">
        <v>751</v>
      </c>
      <c r="C144" s="31" t="e">
        <f>C143/C11</f>
        <v>#DIV/0!</v>
      </c>
      <c r="D144" s="29"/>
      <c r="E144" s="18"/>
      <c r="F144" s="18"/>
      <c r="G144" s="18"/>
      <c r="H144" s="18"/>
      <c r="I144" s="18"/>
      <c r="J144" s="18"/>
      <c r="K144" s="18"/>
      <c r="L144" s="18"/>
      <c r="M144" s="18"/>
      <c r="N144" s="18"/>
      <c r="O144" s="18"/>
      <c r="P144" s="18"/>
      <c r="Q144" s="18"/>
      <c r="R144" s="18"/>
      <c r="S144" s="18"/>
      <c r="T144" s="18"/>
    </row>
    <row r="145" spans="1:20" hidden="1" x14ac:dyDescent="0.3">
      <c r="A145" s="29"/>
      <c r="B145" s="24"/>
      <c r="C145" s="38"/>
      <c r="D145" s="29"/>
      <c r="E145" s="37"/>
      <c r="F145" s="37"/>
      <c r="G145" s="29"/>
      <c r="H145" s="29"/>
      <c r="I145" s="29"/>
      <c r="J145" s="29"/>
      <c r="K145" s="29"/>
      <c r="L145" s="29"/>
      <c r="M145" s="29"/>
      <c r="N145" s="29"/>
      <c r="O145" s="29"/>
      <c r="P145" s="29"/>
      <c r="Q145" s="29"/>
      <c r="R145" s="29"/>
      <c r="S145" s="29"/>
      <c r="T145" s="29"/>
    </row>
    <row r="146" spans="1:20" ht="15" hidden="1" customHeight="1" x14ac:dyDescent="0.3">
      <c r="A146" s="29"/>
      <c r="B146" s="29"/>
      <c r="C146" s="37"/>
      <c r="D146" s="29"/>
      <c r="E146" s="29"/>
      <c r="F146" s="29"/>
      <c r="G146" s="29"/>
      <c r="H146" s="29"/>
      <c r="I146" s="29"/>
      <c r="J146" s="29"/>
      <c r="K146" s="29"/>
      <c r="L146" s="29"/>
      <c r="M146" s="29"/>
      <c r="N146" s="29"/>
      <c r="O146" s="29"/>
      <c r="P146" s="29"/>
      <c r="Q146" s="29"/>
      <c r="R146" s="29"/>
      <c r="S146" s="29"/>
      <c r="T146" s="29"/>
    </row>
    <row r="147" spans="1:20" s="432" customFormat="1" ht="14.5" hidden="1" x14ac:dyDescent="0.35">
      <c r="A147" s="20"/>
      <c r="B147" s="27" t="s">
        <v>154</v>
      </c>
      <c r="C147" s="133"/>
      <c r="D147" s="133"/>
      <c r="E147" s="20"/>
      <c r="F147" s="20"/>
      <c r="G147" s="20"/>
      <c r="H147" s="20"/>
      <c r="I147" s="20"/>
      <c r="J147" s="20"/>
      <c r="K147" s="20"/>
      <c r="L147" s="20"/>
      <c r="M147" s="20"/>
      <c r="N147" s="20"/>
      <c r="O147" s="20"/>
      <c r="P147" s="20"/>
      <c r="Q147" s="20"/>
      <c r="R147" s="20"/>
      <c r="S147" s="20"/>
      <c r="T147" s="20"/>
    </row>
    <row r="148" spans="1:20" s="432" customFormat="1" ht="14.5" hidden="1" x14ac:dyDescent="0.35">
      <c r="A148" s="20"/>
      <c r="B148" s="27" t="s">
        <v>441</v>
      </c>
      <c r="C148" s="133"/>
      <c r="D148" s="133"/>
      <c r="E148" s="20"/>
      <c r="F148" s="20"/>
      <c r="G148" s="20"/>
      <c r="H148" s="20"/>
      <c r="I148" s="20"/>
      <c r="J148" s="20"/>
      <c r="K148" s="20"/>
      <c r="L148" s="20"/>
      <c r="M148" s="20"/>
      <c r="N148" s="20"/>
      <c r="O148" s="20"/>
      <c r="P148" s="20"/>
      <c r="Q148" s="20"/>
      <c r="R148" s="20"/>
      <c r="S148" s="20"/>
      <c r="T148" s="20"/>
    </row>
    <row r="149" spans="1:20" s="432" customFormat="1" ht="14.5" hidden="1" x14ac:dyDescent="0.35">
      <c r="A149" s="20"/>
      <c r="B149" s="24" t="s">
        <v>11</v>
      </c>
      <c r="C149" s="184" t="e">
        <f>'Baseline farm'!D256</f>
        <v>#DIV/0!</v>
      </c>
      <c r="D149" s="133"/>
      <c r="E149" s="20"/>
      <c r="F149" s="20"/>
      <c r="G149" s="20"/>
      <c r="H149" s="20"/>
      <c r="I149" s="20"/>
      <c r="J149" s="20"/>
      <c r="K149" s="20"/>
      <c r="L149" s="20"/>
      <c r="M149" s="20"/>
      <c r="N149" s="20"/>
      <c r="O149" s="20"/>
      <c r="P149" s="20"/>
      <c r="Q149" s="20"/>
      <c r="R149" s="20"/>
      <c r="S149" s="20"/>
      <c r="T149" s="20"/>
    </row>
    <row r="150" spans="1:20" s="432" customFormat="1" ht="14.5" hidden="1" x14ac:dyDescent="0.35">
      <c r="A150" s="20"/>
      <c r="B150" s="133"/>
      <c r="C150" s="133"/>
      <c r="D150" s="133"/>
      <c r="E150" s="20"/>
      <c r="F150" s="20"/>
      <c r="G150" s="20"/>
      <c r="H150" s="20"/>
      <c r="I150" s="20"/>
      <c r="J150" s="20"/>
      <c r="K150" s="20"/>
      <c r="L150" s="20"/>
      <c r="M150" s="20"/>
      <c r="N150" s="20"/>
      <c r="O150" s="20"/>
      <c r="P150" s="20"/>
      <c r="Q150" s="20"/>
      <c r="R150" s="20"/>
      <c r="S150" s="20"/>
      <c r="T150" s="20"/>
    </row>
    <row r="151" spans="1:20" s="432" customFormat="1" ht="14.5" hidden="1" x14ac:dyDescent="0.35">
      <c r="A151" s="20"/>
      <c r="B151" s="24" t="s">
        <v>12</v>
      </c>
      <c r="C151" s="32">
        <f>C11</f>
        <v>0</v>
      </c>
      <c r="D151" s="29"/>
      <c r="E151" s="20"/>
      <c r="F151" s="20"/>
      <c r="G151" s="20"/>
      <c r="H151" s="20"/>
      <c r="I151" s="20"/>
      <c r="J151" s="20"/>
      <c r="K151" s="20"/>
      <c r="L151" s="20"/>
      <c r="M151" s="20"/>
      <c r="N151" s="20"/>
      <c r="O151" s="20"/>
      <c r="P151" s="20"/>
      <c r="Q151" s="20"/>
      <c r="R151" s="20"/>
      <c r="S151" s="20"/>
      <c r="T151" s="20"/>
    </row>
    <row r="152" spans="1:20" s="432" customFormat="1" ht="14.5" hidden="1" x14ac:dyDescent="0.35">
      <c r="A152" s="20"/>
      <c r="B152" s="24" t="s">
        <v>13</v>
      </c>
      <c r="C152" s="44" t="e">
        <f>C149*C151*365</f>
        <v>#DIV/0!</v>
      </c>
      <c r="D152" s="29" t="s">
        <v>196</v>
      </c>
      <c r="E152" s="20"/>
      <c r="F152" s="20"/>
      <c r="G152" s="20"/>
      <c r="H152" s="20"/>
      <c r="I152" s="20"/>
      <c r="J152" s="20"/>
      <c r="K152" s="20"/>
      <c r="L152" s="20"/>
      <c r="M152" s="20"/>
      <c r="N152" s="20"/>
      <c r="O152" s="20"/>
      <c r="P152" s="20"/>
      <c r="Q152" s="20"/>
      <c r="R152" s="20"/>
      <c r="S152" s="20"/>
      <c r="T152" s="20"/>
    </row>
    <row r="153" spans="1:20" s="432" customFormat="1" ht="14.5" hidden="1" x14ac:dyDescent="0.35">
      <c r="A153" s="20"/>
      <c r="B153" s="27" t="s">
        <v>14</v>
      </c>
      <c r="C153" s="45" t="e">
        <f>C152*'Emission factors'!C4/1000</f>
        <v>#DIV/0!</v>
      </c>
      <c r="D153" s="29"/>
      <c r="E153" s="20"/>
      <c r="F153" s="20"/>
      <c r="G153" s="20"/>
      <c r="H153" s="20"/>
      <c r="I153" s="20"/>
      <c r="J153" s="20"/>
      <c r="K153" s="20"/>
      <c r="L153" s="20"/>
      <c r="M153" s="20"/>
      <c r="N153" s="20"/>
      <c r="O153" s="20"/>
      <c r="P153" s="20"/>
      <c r="Q153" s="20"/>
      <c r="R153" s="20"/>
      <c r="S153" s="20"/>
      <c r="T153" s="20"/>
    </row>
    <row r="154" spans="1:20" s="432" customFormat="1" ht="14.5" hidden="1" x14ac:dyDescent="0.35">
      <c r="A154" s="20"/>
      <c r="B154" s="133"/>
      <c r="C154" s="133"/>
      <c r="D154" s="133"/>
      <c r="E154" s="20"/>
      <c r="F154" s="20"/>
      <c r="G154" s="20"/>
      <c r="H154" s="20"/>
      <c r="I154" s="20"/>
      <c r="J154" s="20"/>
      <c r="K154" s="20"/>
      <c r="L154" s="20"/>
      <c r="M154" s="20"/>
      <c r="N154" s="20"/>
      <c r="O154" s="20"/>
      <c r="P154" s="20"/>
      <c r="Q154" s="20"/>
      <c r="R154" s="20"/>
      <c r="S154" s="20"/>
      <c r="T154" s="20"/>
    </row>
    <row r="155" spans="1:20" s="432" customFormat="1" ht="14.5" hidden="1" x14ac:dyDescent="0.35">
      <c r="A155" s="20"/>
      <c r="B155" s="133"/>
      <c r="C155" s="133"/>
      <c r="D155" s="133"/>
      <c r="E155" s="20"/>
      <c r="F155" s="20"/>
      <c r="G155" s="20"/>
      <c r="H155" s="20"/>
      <c r="I155" s="20"/>
      <c r="J155" s="20"/>
      <c r="K155" s="20"/>
      <c r="L155" s="20"/>
      <c r="M155" s="20"/>
      <c r="N155" s="20"/>
      <c r="O155" s="20"/>
      <c r="P155" s="20"/>
      <c r="Q155" s="20"/>
      <c r="R155" s="20"/>
      <c r="S155" s="20"/>
      <c r="T155" s="20"/>
    </row>
    <row r="156" spans="1:20" s="432" customFormat="1" ht="14.5" hidden="1" x14ac:dyDescent="0.35">
      <c r="A156" s="20"/>
      <c r="B156" s="48" t="s">
        <v>155</v>
      </c>
      <c r="C156" s="133"/>
      <c r="D156" s="133"/>
      <c r="E156" s="20"/>
      <c r="F156" s="20"/>
      <c r="G156" s="20"/>
      <c r="H156" s="20"/>
      <c r="I156" s="20"/>
      <c r="J156" s="20"/>
      <c r="K156" s="20"/>
      <c r="L156" s="20"/>
      <c r="M156" s="20"/>
      <c r="N156" s="20"/>
      <c r="O156" s="20"/>
      <c r="P156" s="20"/>
      <c r="Q156" s="20"/>
      <c r="R156" s="20"/>
      <c r="S156" s="20"/>
      <c r="T156" s="20"/>
    </row>
    <row r="157" spans="1:20" s="432" customFormat="1" ht="14.5" hidden="1" x14ac:dyDescent="0.35">
      <c r="A157" s="20"/>
      <c r="B157" s="27" t="s">
        <v>441</v>
      </c>
      <c r="C157" s="133"/>
      <c r="D157" s="133"/>
      <c r="E157" s="20"/>
      <c r="F157" s="20"/>
      <c r="G157" s="20"/>
      <c r="H157" s="20"/>
      <c r="I157" s="20"/>
      <c r="J157" s="20"/>
      <c r="K157" s="20"/>
      <c r="L157" s="20"/>
      <c r="M157" s="20"/>
      <c r="N157" s="20"/>
      <c r="O157" s="20"/>
      <c r="P157" s="20"/>
      <c r="Q157" s="20"/>
      <c r="R157" s="20"/>
      <c r="S157" s="20"/>
      <c r="T157" s="20"/>
    </row>
    <row r="158" spans="1:20" s="432" customFormat="1" ht="14.5" hidden="1" x14ac:dyDescent="0.35">
      <c r="A158" s="20"/>
      <c r="B158" s="133"/>
      <c r="C158" s="133"/>
      <c r="D158" s="133"/>
      <c r="E158" s="20"/>
      <c r="F158" s="20"/>
      <c r="G158" s="20"/>
      <c r="H158" s="20"/>
      <c r="I158" s="20"/>
      <c r="J158" s="20"/>
      <c r="K158" s="20"/>
      <c r="L158" s="20"/>
      <c r="M158" s="20"/>
      <c r="N158" s="20"/>
      <c r="O158" s="20"/>
      <c r="P158" s="20"/>
      <c r="Q158" s="20"/>
      <c r="R158" s="20"/>
      <c r="S158" s="20"/>
      <c r="T158" s="20"/>
    </row>
    <row r="159" spans="1:20" s="432" customFormat="1" ht="14.5" hidden="1" x14ac:dyDescent="0.35">
      <c r="A159" s="20"/>
      <c r="B159" s="185" t="s">
        <v>1366</v>
      </c>
      <c r="C159" s="184" t="e">
        <f>(C102*(1-C134%)+(0.04*C102))*(1-0.08)</f>
        <v>#DIV/0!</v>
      </c>
      <c r="D159" s="133"/>
      <c r="E159" s="20"/>
      <c r="F159" s="20"/>
      <c r="G159" s="20"/>
      <c r="H159" s="20"/>
      <c r="I159" s="20"/>
      <c r="J159" s="20"/>
      <c r="K159" s="20"/>
      <c r="L159" s="20"/>
      <c r="M159" s="20"/>
      <c r="N159" s="20"/>
      <c r="O159" s="20"/>
      <c r="P159" s="20"/>
      <c r="Q159" s="20"/>
      <c r="R159" s="20"/>
      <c r="S159" s="20"/>
      <c r="T159" s="20"/>
    </row>
    <row r="160" spans="1:20" s="432" customFormat="1" ht="14.5" hidden="1" x14ac:dyDescent="0.35">
      <c r="A160" s="20"/>
      <c r="B160" s="29"/>
      <c r="C160" s="184"/>
      <c r="D160" s="133"/>
      <c r="E160" s="20"/>
      <c r="F160" s="20"/>
      <c r="G160" s="20"/>
      <c r="H160" s="20"/>
      <c r="I160" s="20"/>
      <c r="J160" s="20"/>
      <c r="K160" s="20"/>
      <c r="L160" s="20"/>
      <c r="M160" s="20"/>
      <c r="N160" s="20"/>
      <c r="O160" s="20"/>
      <c r="P160" s="20"/>
      <c r="Q160" s="20"/>
      <c r="R160" s="20"/>
      <c r="S160" s="20"/>
      <c r="T160" s="20"/>
    </row>
    <row r="161" spans="1:20" s="432" customFormat="1" ht="14.5" hidden="1" x14ac:dyDescent="0.35">
      <c r="A161" s="20"/>
      <c r="B161" s="185" t="s">
        <v>257</v>
      </c>
      <c r="C161" s="184" t="e">
        <f>C159*'Baseline farm'!C244*'Baseline farm'!I102%*'Baseline farm'!C245</f>
        <v>#DIV/0!</v>
      </c>
      <c r="D161" s="133"/>
      <c r="E161" s="20"/>
      <c r="F161" s="20"/>
      <c r="G161" s="20"/>
      <c r="H161" s="20"/>
      <c r="I161" s="20"/>
      <c r="J161" s="20"/>
      <c r="K161" s="20"/>
      <c r="L161" s="20"/>
      <c r="M161" s="20"/>
      <c r="N161" s="20"/>
      <c r="O161" s="20"/>
      <c r="P161" s="20"/>
      <c r="Q161" s="20"/>
      <c r="R161" s="20"/>
      <c r="S161" s="20"/>
      <c r="T161" s="20"/>
    </row>
    <row r="162" spans="1:20" s="432" customFormat="1" ht="14.5" hidden="1" x14ac:dyDescent="0.35">
      <c r="A162" s="20"/>
      <c r="B162" s="133"/>
      <c r="C162" s="184"/>
      <c r="D162" s="133"/>
      <c r="E162" s="20"/>
      <c r="F162" s="20"/>
      <c r="G162" s="20"/>
      <c r="H162" s="20"/>
      <c r="I162" s="20"/>
      <c r="J162" s="20"/>
      <c r="K162" s="20"/>
      <c r="L162" s="20"/>
      <c r="M162" s="20"/>
      <c r="N162" s="20"/>
      <c r="O162" s="20"/>
      <c r="P162" s="20"/>
      <c r="Q162" s="20"/>
      <c r="R162" s="20"/>
      <c r="S162" s="20"/>
      <c r="T162" s="20"/>
    </row>
    <row r="163" spans="1:20" s="432" customFormat="1" ht="14.5" hidden="1" x14ac:dyDescent="0.35">
      <c r="A163" s="18"/>
      <c r="B163" s="24" t="s">
        <v>12</v>
      </c>
      <c r="C163" s="32">
        <f>$C$11</f>
        <v>0</v>
      </c>
      <c r="D163" s="29"/>
      <c r="E163" s="37"/>
      <c r="F163" s="126"/>
      <c r="G163" s="18"/>
      <c r="H163" s="18"/>
      <c r="I163" s="18"/>
      <c r="J163" s="18"/>
      <c r="K163" s="18"/>
      <c r="L163" s="18"/>
      <c r="M163" s="18"/>
      <c r="N163" s="18"/>
      <c r="O163" s="18"/>
      <c r="P163" s="18"/>
      <c r="Q163" s="18"/>
      <c r="R163" s="18"/>
      <c r="S163" s="18"/>
      <c r="T163" s="18"/>
    </row>
    <row r="164" spans="1:20" s="432" customFormat="1" ht="14.5" hidden="1" x14ac:dyDescent="0.35">
      <c r="A164" s="18"/>
      <c r="B164" s="24" t="s">
        <v>13</v>
      </c>
      <c r="C164" s="44" t="e">
        <f>C161*C163*365</f>
        <v>#DIV/0!</v>
      </c>
      <c r="D164" s="29" t="s">
        <v>196</v>
      </c>
      <c r="E164" s="43"/>
      <c r="F164" s="126"/>
      <c r="G164" s="18"/>
      <c r="H164" s="18"/>
      <c r="I164" s="18"/>
      <c r="J164" s="18"/>
      <c r="K164" s="18"/>
      <c r="L164" s="18"/>
      <c r="M164" s="18"/>
      <c r="N164" s="18"/>
      <c r="O164" s="18"/>
      <c r="P164" s="18"/>
      <c r="Q164" s="18"/>
      <c r="R164" s="18"/>
      <c r="S164" s="18"/>
      <c r="T164" s="18"/>
    </row>
    <row r="165" spans="1:20" s="432" customFormat="1" ht="14.5" hidden="1" x14ac:dyDescent="0.35">
      <c r="A165" s="18"/>
      <c r="B165" s="27" t="s">
        <v>450</v>
      </c>
      <c r="C165" s="45" t="e">
        <f>C164*'Emission factors'!C4/1000</f>
        <v>#DIV/0!</v>
      </c>
      <c r="D165" s="29"/>
      <c r="E165" s="37"/>
      <c r="F165" s="126"/>
      <c r="G165" s="18"/>
      <c r="H165" s="18"/>
      <c r="I165" s="18"/>
      <c r="J165" s="18"/>
      <c r="K165" s="18"/>
      <c r="L165" s="18"/>
      <c r="M165" s="18"/>
      <c r="N165" s="18"/>
      <c r="O165" s="18"/>
      <c r="P165" s="18"/>
      <c r="Q165" s="18"/>
      <c r="R165" s="18"/>
      <c r="S165" s="18"/>
      <c r="T165" s="18"/>
    </row>
    <row r="166" spans="1:20" s="432" customFormat="1" ht="14.5" hidden="1" x14ac:dyDescent="0.35">
      <c r="A166" s="20"/>
      <c r="B166" s="133"/>
      <c r="C166" s="133"/>
      <c r="D166" s="133"/>
      <c r="E166" s="20"/>
      <c r="F166" s="20"/>
      <c r="G166" s="20"/>
      <c r="H166" s="20"/>
      <c r="I166" s="20"/>
      <c r="J166" s="20"/>
      <c r="K166" s="20"/>
      <c r="L166" s="20"/>
      <c r="M166" s="20"/>
      <c r="N166" s="20"/>
      <c r="O166" s="20"/>
      <c r="P166" s="20"/>
      <c r="Q166" s="20"/>
      <c r="R166" s="20"/>
      <c r="S166" s="20"/>
      <c r="T166" s="20"/>
    </row>
    <row r="167" spans="1:20" s="432" customFormat="1" ht="14.5" hidden="1" x14ac:dyDescent="0.35">
      <c r="A167" s="20"/>
      <c r="B167" s="134" t="s">
        <v>443</v>
      </c>
      <c r="C167" s="186" t="e">
        <f>C153-C165</f>
        <v>#DIV/0!</v>
      </c>
      <c r="D167" s="133"/>
      <c r="E167" s="20"/>
      <c r="F167" s="20"/>
      <c r="G167" s="20"/>
      <c r="H167" s="20"/>
      <c r="I167" s="20"/>
      <c r="J167" s="20"/>
      <c r="K167" s="20"/>
      <c r="L167" s="20"/>
      <c r="M167" s="20"/>
      <c r="N167" s="20"/>
      <c r="O167" s="20"/>
      <c r="P167" s="20"/>
      <c r="Q167" s="20"/>
      <c r="R167" s="20"/>
      <c r="S167" s="20"/>
      <c r="T167" s="20"/>
    </row>
    <row r="168" spans="1:20" s="432" customFormat="1" ht="14.5" hidden="1" x14ac:dyDescent="0.35">
      <c r="A168" s="20"/>
      <c r="B168" s="133"/>
      <c r="C168" s="133"/>
      <c r="D168" s="133"/>
      <c r="E168" s="20"/>
      <c r="F168" s="20"/>
      <c r="G168" s="20"/>
      <c r="H168" s="20"/>
      <c r="I168" s="20"/>
      <c r="J168" s="20"/>
      <c r="K168" s="20"/>
      <c r="L168" s="20"/>
      <c r="M168" s="20"/>
      <c r="N168" s="20"/>
      <c r="O168" s="20"/>
      <c r="P168" s="20"/>
      <c r="Q168" s="20"/>
      <c r="R168" s="20"/>
      <c r="S168" s="20"/>
      <c r="T168" s="20"/>
    </row>
    <row r="169" spans="1:20" s="432" customFormat="1" ht="14.5" hidden="1" x14ac:dyDescent="0.35">
      <c r="A169" s="20"/>
      <c r="B169" s="27" t="s">
        <v>154</v>
      </c>
      <c r="C169" s="133"/>
      <c r="D169" s="133"/>
      <c r="E169" s="20"/>
      <c r="F169" s="20"/>
      <c r="G169" s="20"/>
      <c r="H169" s="20"/>
      <c r="I169" s="20"/>
      <c r="J169" s="20"/>
      <c r="K169" s="20"/>
      <c r="L169" s="20"/>
      <c r="M169" s="20"/>
      <c r="N169" s="20"/>
      <c r="O169" s="20"/>
      <c r="P169" s="20"/>
      <c r="Q169" s="20"/>
      <c r="R169" s="20"/>
      <c r="S169" s="20"/>
      <c r="T169" s="20"/>
    </row>
    <row r="170" spans="1:20" s="432" customFormat="1" ht="14.5" hidden="1" x14ac:dyDescent="0.35">
      <c r="A170" s="20"/>
      <c r="B170" s="135" t="s">
        <v>426</v>
      </c>
      <c r="C170" s="133"/>
      <c r="D170" s="133"/>
      <c r="E170" s="20"/>
      <c r="F170" s="20"/>
      <c r="G170" s="20"/>
      <c r="H170" s="20"/>
      <c r="I170" s="20"/>
      <c r="J170" s="20"/>
      <c r="K170" s="20"/>
      <c r="L170" s="20"/>
      <c r="M170" s="20"/>
      <c r="N170" s="20"/>
      <c r="O170" s="20"/>
      <c r="P170" s="20"/>
      <c r="Q170" s="20"/>
      <c r="R170" s="20"/>
      <c r="S170" s="20"/>
      <c r="T170" s="20"/>
    </row>
    <row r="171" spans="1:20" s="432" customFormat="1" ht="14.5" hidden="1" x14ac:dyDescent="0.35">
      <c r="A171" s="20"/>
      <c r="B171" s="133" t="s">
        <v>452</v>
      </c>
      <c r="C171" s="184" t="e">
        <f>'Baseline farm'!D115/'Emission factors'!C5*1000</f>
        <v>#DIV/0!</v>
      </c>
      <c r="D171" s="133"/>
      <c r="E171" s="20"/>
      <c r="F171" s="20"/>
      <c r="G171" s="20"/>
      <c r="H171" s="20"/>
      <c r="I171" s="20"/>
      <c r="J171" s="20"/>
      <c r="K171" s="20"/>
      <c r="L171" s="20"/>
      <c r="M171" s="20"/>
      <c r="N171" s="20"/>
      <c r="O171" s="20"/>
      <c r="P171" s="20"/>
      <c r="Q171" s="20"/>
      <c r="R171" s="20"/>
      <c r="S171" s="20"/>
      <c r="T171" s="20"/>
    </row>
    <row r="172" spans="1:20" s="432" customFormat="1" ht="14.5" hidden="1" x14ac:dyDescent="0.35">
      <c r="A172" s="20"/>
      <c r="B172" s="133"/>
      <c r="C172" s="133"/>
      <c r="D172" s="133"/>
      <c r="E172" s="20"/>
      <c r="F172" s="20"/>
      <c r="G172" s="20"/>
      <c r="H172" s="20"/>
      <c r="I172" s="20"/>
      <c r="J172" s="20"/>
      <c r="K172" s="20"/>
      <c r="L172" s="20"/>
      <c r="M172" s="20"/>
      <c r="N172" s="20"/>
      <c r="O172" s="20"/>
      <c r="P172" s="20"/>
      <c r="Q172" s="20"/>
      <c r="R172" s="20"/>
      <c r="S172" s="20"/>
      <c r="T172" s="20"/>
    </row>
    <row r="173" spans="1:20" s="432" customFormat="1" ht="14.5" hidden="1" x14ac:dyDescent="0.35">
      <c r="A173" s="20"/>
      <c r="B173" s="135" t="s">
        <v>1355</v>
      </c>
      <c r="C173" s="133"/>
      <c r="D173" s="133"/>
      <c r="E173" s="20"/>
      <c r="F173" s="20"/>
      <c r="G173" s="20"/>
      <c r="H173" s="20"/>
      <c r="I173" s="20"/>
      <c r="J173" s="20"/>
      <c r="K173" s="20"/>
      <c r="L173" s="20"/>
      <c r="M173" s="20"/>
      <c r="N173" s="20"/>
      <c r="O173" s="20"/>
      <c r="P173" s="20"/>
      <c r="Q173" s="20"/>
      <c r="R173" s="20"/>
      <c r="S173" s="20"/>
      <c r="T173" s="20"/>
    </row>
    <row r="174" spans="1:20" s="432" customFormat="1" ht="14.5" hidden="1" x14ac:dyDescent="0.35">
      <c r="A174" s="20"/>
      <c r="B174" s="133" t="s">
        <v>452</v>
      </c>
      <c r="C174" s="184" t="e">
        <f>'Baseline farm'!D116/'Emission factors'!C5*1000</f>
        <v>#DIV/0!</v>
      </c>
      <c r="D174" s="133"/>
      <c r="E174" s="20"/>
      <c r="F174" s="20"/>
      <c r="G174" s="20"/>
      <c r="H174" s="20"/>
      <c r="I174" s="20"/>
      <c r="J174" s="20"/>
      <c r="K174" s="20"/>
      <c r="L174" s="20"/>
      <c r="M174" s="20"/>
      <c r="N174" s="20"/>
      <c r="O174" s="20"/>
      <c r="P174" s="20"/>
      <c r="Q174" s="20"/>
      <c r="R174" s="20"/>
      <c r="S174" s="20"/>
      <c r="T174" s="20"/>
    </row>
    <row r="175" spans="1:20" s="432" customFormat="1" ht="14.5" hidden="1" x14ac:dyDescent="0.35">
      <c r="A175" s="20"/>
      <c r="B175" s="29"/>
      <c r="C175" s="133"/>
      <c r="D175" s="133"/>
      <c r="E175" s="20"/>
      <c r="F175" s="20"/>
      <c r="G175" s="20"/>
      <c r="H175" s="20"/>
      <c r="I175" s="20"/>
      <c r="J175" s="20"/>
      <c r="K175" s="20"/>
      <c r="L175" s="20"/>
      <c r="M175" s="20"/>
      <c r="N175" s="20"/>
      <c r="O175" s="20"/>
      <c r="P175" s="20"/>
      <c r="Q175" s="20"/>
      <c r="R175" s="20"/>
      <c r="S175" s="20"/>
      <c r="T175" s="20"/>
    </row>
    <row r="176" spans="1:20" s="432" customFormat="1" ht="14.5" hidden="1" x14ac:dyDescent="0.35">
      <c r="A176" s="20"/>
      <c r="B176" s="135" t="s">
        <v>423</v>
      </c>
      <c r="C176" s="133"/>
      <c r="D176" s="133"/>
      <c r="E176" s="20"/>
      <c r="F176" s="20"/>
      <c r="G176" s="20"/>
      <c r="H176" s="20"/>
      <c r="I176" s="20"/>
      <c r="J176" s="20"/>
      <c r="K176" s="20"/>
      <c r="L176" s="20"/>
      <c r="M176" s="20"/>
      <c r="N176" s="20"/>
      <c r="O176" s="20"/>
      <c r="P176" s="20"/>
      <c r="Q176" s="20"/>
      <c r="R176" s="20"/>
      <c r="S176" s="20"/>
      <c r="T176" s="20"/>
    </row>
    <row r="177" spans="1:20" s="432" customFormat="1" ht="14.5" hidden="1" x14ac:dyDescent="0.35">
      <c r="A177" s="20"/>
      <c r="B177" s="133" t="s">
        <v>452</v>
      </c>
      <c r="C177" s="184" t="e">
        <f>'Baseline farm'!D117/'Emission factors'!C5*1000</f>
        <v>#DIV/0!</v>
      </c>
      <c r="D177" s="133"/>
      <c r="E177" s="20"/>
      <c r="F177" s="20"/>
      <c r="G177" s="20"/>
      <c r="H177" s="20"/>
      <c r="I177" s="20"/>
      <c r="J177" s="20"/>
      <c r="K177" s="20"/>
      <c r="L177" s="20"/>
      <c r="M177" s="20"/>
      <c r="N177" s="20"/>
      <c r="O177" s="20"/>
      <c r="P177" s="20"/>
      <c r="Q177" s="20"/>
      <c r="R177" s="20"/>
      <c r="S177" s="20"/>
      <c r="T177" s="20"/>
    </row>
    <row r="178" spans="1:20" s="432" customFormat="1" ht="14.5" hidden="1" x14ac:dyDescent="0.35">
      <c r="A178" s="20"/>
      <c r="B178" s="133"/>
      <c r="C178" s="133"/>
      <c r="D178" s="133"/>
      <c r="E178" s="20"/>
      <c r="F178" s="20"/>
      <c r="G178" s="20"/>
      <c r="H178" s="20"/>
      <c r="I178" s="20"/>
      <c r="J178" s="20"/>
      <c r="K178" s="20"/>
      <c r="L178" s="20"/>
      <c r="M178" s="20"/>
      <c r="N178" s="20"/>
      <c r="O178" s="20"/>
      <c r="P178" s="20"/>
      <c r="Q178" s="20"/>
      <c r="R178" s="20"/>
      <c r="S178" s="20"/>
      <c r="T178" s="20"/>
    </row>
    <row r="179" spans="1:20" s="432" customFormat="1" ht="14.5" hidden="1" x14ac:dyDescent="0.35">
      <c r="A179" s="20"/>
      <c r="B179" s="134" t="s">
        <v>447</v>
      </c>
      <c r="C179" s="133"/>
      <c r="D179" s="133"/>
      <c r="E179" s="20"/>
      <c r="F179" s="20"/>
      <c r="G179" s="20"/>
      <c r="H179" s="20"/>
      <c r="I179" s="20"/>
      <c r="J179" s="20"/>
      <c r="K179" s="20"/>
      <c r="L179" s="20"/>
      <c r="M179" s="20"/>
      <c r="N179" s="20"/>
      <c r="O179" s="20"/>
      <c r="P179" s="20"/>
      <c r="Q179" s="20"/>
      <c r="R179" s="20"/>
      <c r="S179" s="20"/>
      <c r="T179" s="20"/>
    </row>
    <row r="180" spans="1:20" s="432" customFormat="1" ht="14.5" hidden="1" x14ac:dyDescent="0.35">
      <c r="A180" s="20"/>
      <c r="B180" s="133" t="s">
        <v>452</v>
      </c>
      <c r="C180" s="184" t="e">
        <f>C171+C174+C177</f>
        <v>#DIV/0!</v>
      </c>
      <c r="D180" s="133"/>
      <c r="E180" s="20"/>
      <c r="F180" s="20"/>
      <c r="G180" s="20"/>
      <c r="H180" s="20"/>
      <c r="I180" s="20"/>
      <c r="J180" s="20"/>
      <c r="K180" s="20"/>
      <c r="L180" s="20"/>
      <c r="M180" s="20"/>
      <c r="N180" s="20"/>
      <c r="O180" s="20"/>
      <c r="P180" s="20"/>
      <c r="Q180" s="20"/>
      <c r="R180" s="20"/>
      <c r="S180" s="20"/>
      <c r="T180" s="20"/>
    </row>
    <row r="181" spans="1:20" s="432" customFormat="1" ht="14.5" hidden="1" x14ac:dyDescent="0.35">
      <c r="A181" s="20"/>
      <c r="B181" s="133"/>
      <c r="C181" s="133"/>
      <c r="D181" s="133"/>
      <c r="E181" s="20"/>
      <c r="F181" s="20"/>
      <c r="G181" s="20"/>
      <c r="H181" s="20"/>
      <c r="I181" s="20"/>
      <c r="J181" s="20"/>
      <c r="K181" s="20"/>
      <c r="L181" s="20"/>
      <c r="M181" s="20"/>
      <c r="N181" s="20"/>
      <c r="O181" s="20"/>
      <c r="P181" s="20"/>
      <c r="Q181" s="20"/>
      <c r="R181" s="20"/>
      <c r="S181" s="20"/>
      <c r="T181" s="20"/>
    </row>
    <row r="182" spans="1:20" s="432" customFormat="1" ht="14.5" hidden="1" x14ac:dyDescent="0.35">
      <c r="A182" s="18"/>
      <c r="B182" s="27" t="s">
        <v>449</v>
      </c>
      <c r="C182" s="45" t="e">
        <f>C180*'Emission factors'!C5/1000</f>
        <v>#DIV/0!</v>
      </c>
      <c r="D182" s="29" t="s">
        <v>453</v>
      </c>
      <c r="E182" s="37"/>
      <c r="F182" s="126"/>
      <c r="G182" s="18"/>
      <c r="H182" s="18"/>
      <c r="I182" s="18"/>
      <c r="J182" s="18"/>
      <c r="K182" s="18"/>
      <c r="L182" s="18"/>
      <c r="M182" s="18"/>
      <c r="N182" s="18"/>
      <c r="O182" s="18"/>
      <c r="P182" s="18"/>
      <c r="Q182" s="18"/>
      <c r="R182" s="18"/>
      <c r="S182" s="18"/>
      <c r="T182" s="18"/>
    </row>
    <row r="183" spans="1:20" s="432" customFormat="1" ht="14.5" hidden="1" x14ac:dyDescent="0.35">
      <c r="A183" s="20"/>
      <c r="B183" s="20"/>
      <c r="C183" s="20"/>
      <c r="D183" s="20"/>
      <c r="E183" s="20"/>
      <c r="F183" s="20"/>
      <c r="G183" s="20"/>
      <c r="H183" s="20"/>
      <c r="I183" s="20"/>
      <c r="J183" s="20"/>
      <c r="K183" s="20"/>
      <c r="L183" s="20"/>
      <c r="M183" s="20"/>
      <c r="N183" s="20"/>
      <c r="O183" s="20"/>
      <c r="P183" s="20"/>
      <c r="Q183" s="20"/>
      <c r="R183" s="20"/>
      <c r="S183" s="20"/>
      <c r="T183" s="20"/>
    </row>
    <row r="184" spans="1:20" s="432" customFormat="1" ht="14.5" hidden="1" x14ac:dyDescent="0.35">
      <c r="A184" s="20"/>
      <c r="B184" s="20"/>
      <c r="C184" s="20"/>
      <c r="D184" s="20"/>
      <c r="E184" s="20"/>
      <c r="F184" s="20"/>
      <c r="G184" s="20"/>
      <c r="H184" s="20"/>
      <c r="I184" s="20"/>
      <c r="J184" s="20"/>
      <c r="K184" s="20"/>
      <c r="L184" s="20"/>
      <c r="M184" s="20"/>
      <c r="N184" s="20"/>
      <c r="O184" s="20"/>
      <c r="P184" s="20"/>
      <c r="Q184" s="20"/>
      <c r="R184" s="20"/>
      <c r="S184" s="20"/>
      <c r="T184" s="20"/>
    </row>
    <row r="185" spans="1:20" s="432" customFormat="1" ht="14.5" hidden="1" x14ac:dyDescent="0.35">
      <c r="A185" s="20"/>
      <c r="B185" s="48" t="s">
        <v>155</v>
      </c>
      <c r="C185" s="20"/>
      <c r="D185" s="20"/>
      <c r="E185" s="20"/>
      <c r="F185" s="20"/>
      <c r="G185" s="20"/>
      <c r="H185" s="20"/>
      <c r="I185" s="20"/>
      <c r="J185" s="20"/>
      <c r="K185" s="20"/>
      <c r="L185" s="20"/>
      <c r="M185" s="20"/>
      <c r="N185" s="20"/>
      <c r="O185" s="20"/>
      <c r="P185" s="20"/>
      <c r="Q185" s="20"/>
      <c r="R185" s="20"/>
      <c r="S185" s="20"/>
      <c r="T185" s="20"/>
    </row>
    <row r="186" spans="1:20" s="432" customFormat="1" ht="14.5" hidden="1" x14ac:dyDescent="0.35">
      <c r="A186" s="18"/>
      <c r="B186" s="18"/>
      <c r="C186" s="18"/>
      <c r="D186" s="18"/>
      <c r="E186" s="18"/>
      <c r="F186" s="18"/>
      <c r="G186" s="18"/>
      <c r="H186" s="18"/>
      <c r="I186" s="18"/>
      <c r="J186" s="18"/>
      <c r="K186" s="18"/>
      <c r="L186" s="18"/>
      <c r="M186" s="18"/>
      <c r="N186" s="18"/>
      <c r="O186" s="18"/>
      <c r="P186" s="18"/>
      <c r="Q186" s="18"/>
      <c r="R186" s="18"/>
      <c r="S186" s="18"/>
      <c r="T186" s="18"/>
    </row>
    <row r="187" spans="1:20" s="432" customFormat="1" ht="15.5" hidden="1" x14ac:dyDescent="0.35">
      <c r="A187" s="17"/>
      <c r="B187" s="187" t="s">
        <v>267</v>
      </c>
      <c r="C187" s="187" t="s">
        <v>216</v>
      </c>
      <c r="D187" s="188" t="s">
        <v>451</v>
      </c>
      <c r="E187" s="188"/>
      <c r="F187" s="188"/>
      <c r="G187" s="188"/>
      <c r="H187" s="188"/>
      <c r="I187" s="188" t="e">
        <f>#REF!</f>
        <v>#REF!</v>
      </c>
      <c r="J187" s="189" t="s">
        <v>230</v>
      </c>
      <c r="K187" s="17"/>
      <c r="L187" s="17"/>
      <c r="M187" s="17"/>
      <c r="N187" s="17"/>
      <c r="O187" s="17"/>
      <c r="P187" s="17"/>
      <c r="Q187" s="17"/>
      <c r="R187" s="17"/>
      <c r="S187" s="17"/>
      <c r="T187" s="17"/>
    </row>
    <row r="188" spans="1:20" s="432" customFormat="1" ht="15.5" hidden="1" x14ac:dyDescent="0.35">
      <c r="A188" s="17"/>
      <c r="B188" s="190"/>
      <c r="C188" s="190"/>
      <c r="D188" s="190"/>
      <c r="E188" s="190"/>
      <c r="F188" s="190"/>
      <c r="G188" s="190"/>
      <c r="H188" s="190"/>
      <c r="I188" s="190"/>
      <c r="J188" s="191"/>
      <c r="K188" s="17"/>
      <c r="L188" s="17"/>
      <c r="M188" s="17"/>
      <c r="N188" s="17"/>
      <c r="O188" s="17"/>
      <c r="P188" s="17"/>
      <c r="Q188" s="17"/>
      <c r="R188" s="17"/>
      <c r="S188" s="17"/>
      <c r="T188" s="17"/>
    </row>
    <row r="189" spans="1:20" s="432" customFormat="1" ht="15.5" hidden="1" x14ac:dyDescent="0.35">
      <c r="A189" s="17"/>
      <c r="B189" s="192" t="s">
        <v>268</v>
      </c>
      <c r="C189" s="190"/>
      <c r="D189" s="192" t="s">
        <v>269</v>
      </c>
      <c r="E189" s="193"/>
      <c r="F189" s="193"/>
      <c r="G189" s="194"/>
      <c r="H189" s="190"/>
      <c r="I189" s="190"/>
      <c r="J189" s="191" t="s">
        <v>270</v>
      </c>
      <c r="K189" s="17"/>
      <c r="L189" s="17"/>
      <c r="M189" s="17"/>
      <c r="N189" s="17"/>
      <c r="O189" s="17"/>
      <c r="P189" s="17"/>
      <c r="Q189" s="17"/>
      <c r="R189" s="17"/>
      <c r="S189" s="17"/>
      <c r="T189" s="17"/>
    </row>
    <row r="190" spans="1:20" s="432" customFormat="1" ht="15.5" hidden="1" x14ac:dyDescent="0.35">
      <c r="A190" s="17"/>
      <c r="B190" s="190"/>
      <c r="C190" s="195" t="s">
        <v>434</v>
      </c>
      <c r="D190" s="970" t="e">
        <f>C102*C135%</f>
        <v>#DIV/0!</v>
      </c>
      <c r="E190" s="196"/>
      <c r="F190" s="196"/>
      <c r="G190" s="196"/>
      <c r="H190" s="196"/>
      <c r="I190" s="190" t="s">
        <v>255</v>
      </c>
      <c r="J190" s="191"/>
      <c r="K190" s="17"/>
      <c r="L190" s="17"/>
      <c r="M190" s="17"/>
      <c r="N190" s="17"/>
      <c r="O190" s="17"/>
      <c r="P190" s="17"/>
      <c r="Q190" s="17"/>
      <c r="R190" s="17"/>
      <c r="S190" s="17"/>
      <c r="T190" s="17"/>
    </row>
    <row r="191" spans="1:20" s="432" customFormat="1" ht="15.5" hidden="1" x14ac:dyDescent="0.35">
      <c r="A191" s="17"/>
      <c r="B191" s="197"/>
      <c r="C191" s="197"/>
      <c r="D191" s="197"/>
      <c r="E191" s="197"/>
      <c r="F191" s="197"/>
      <c r="G191" s="198"/>
      <c r="H191" s="190"/>
      <c r="I191" s="190"/>
      <c r="J191" s="191"/>
      <c r="K191" s="17"/>
      <c r="L191" s="17"/>
      <c r="M191" s="17"/>
      <c r="N191" s="17"/>
      <c r="O191" s="17"/>
      <c r="P191" s="17"/>
      <c r="Q191" s="17"/>
      <c r="R191" s="17"/>
      <c r="S191" s="17"/>
      <c r="T191" s="17"/>
    </row>
    <row r="192" spans="1:20" s="432" customFormat="1" ht="15.5" hidden="1" x14ac:dyDescent="0.35">
      <c r="A192" s="17"/>
      <c r="B192" s="192" t="s">
        <v>271</v>
      </c>
      <c r="C192" s="193"/>
      <c r="D192" s="192" t="s">
        <v>272</v>
      </c>
      <c r="E192" s="193"/>
      <c r="F192" s="193"/>
      <c r="G192" s="194"/>
      <c r="H192" s="190"/>
      <c r="I192" s="190"/>
      <c r="J192" s="191" t="s">
        <v>273</v>
      </c>
      <c r="K192" s="17"/>
      <c r="L192" s="17"/>
      <c r="M192" s="17"/>
      <c r="N192" s="17"/>
      <c r="O192" s="17"/>
      <c r="P192" s="17"/>
      <c r="Q192" s="17"/>
      <c r="R192" s="17"/>
      <c r="S192" s="17"/>
      <c r="T192" s="17"/>
    </row>
    <row r="193" spans="1:20" s="432" customFormat="1" ht="15.5" hidden="1" x14ac:dyDescent="0.35">
      <c r="A193" s="17"/>
      <c r="B193" s="193"/>
      <c r="C193" s="190"/>
      <c r="D193" s="190" t="s">
        <v>274</v>
      </c>
      <c r="E193" s="193"/>
      <c r="F193" s="193"/>
      <c r="G193" s="194"/>
      <c r="H193" s="190"/>
      <c r="I193" s="190"/>
      <c r="J193" s="191"/>
      <c r="K193" s="17"/>
      <c r="L193" s="17"/>
      <c r="M193" s="17"/>
      <c r="N193" s="17"/>
      <c r="O193" s="17"/>
      <c r="P193" s="17"/>
      <c r="Q193" s="17"/>
      <c r="R193" s="17"/>
      <c r="S193" s="17"/>
      <c r="T193" s="17"/>
    </row>
    <row r="194" spans="1:20" s="432" customFormat="1" ht="15.5" hidden="1" x14ac:dyDescent="0.35">
      <c r="A194" s="17"/>
      <c r="B194" s="190"/>
      <c r="C194" s="190"/>
      <c r="D194" s="190" t="s">
        <v>275</v>
      </c>
      <c r="E194" s="199"/>
      <c r="F194" s="199"/>
      <c r="G194" s="194"/>
      <c r="H194" s="190"/>
      <c r="I194" s="190"/>
      <c r="J194" s="191"/>
      <c r="K194" s="17"/>
      <c r="L194" s="17"/>
      <c r="M194" s="17"/>
      <c r="N194" s="17"/>
      <c r="O194" s="17"/>
      <c r="P194" s="17"/>
      <c r="Q194" s="17"/>
      <c r="R194" s="17"/>
      <c r="S194" s="17"/>
      <c r="T194" s="17"/>
    </row>
    <row r="195" spans="1:20" s="432" customFormat="1" ht="15.5" hidden="1" x14ac:dyDescent="0.35">
      <c r="A195" s="17"/>
      <c r="B195" s="190"/>
      <c r="C195" s="195" t="s">
        <v>434</v>
      </c>
      <c r="D195" s="970" t="e">
        <f>(0.3*((D190*(1-((C134+10)/100))))+(0.105*((C137)*C102*0.008))+(0.0152*C102))/6.25</f>
        <v>#DIV/0!</v>
      </c>
      <c r="E195" s="196"/>
      <c r="F195" s="196"/>
      <c r="G195" s="196"/>
      <c r="H195" s="196"/>
      <c r="I195" s="190" t="s">
        <v>255</v>
      </c>
      <c r="J195" s="191"/>
      <c r="K195" s="17"/>
      <c r="L195" s="17"/>
      <c r="M195" s="17"/>
      <c r="N195" s="17"/>
      <c r="O195" s="17"/>
      <c r="P195" s="17"/>
      <c r="Q195" s="17"/>
      <c r="R195" s="17"/>
      <c r="S195" s="17"/>
      <c r="T195" s="17"/>
    </row>
    <row r="196" spans="1:20" s="432" customFormat="1" ht="15.5" hidden="1" x14ac:dyDescent="0.35">
      <c r="A196" s="17"/>
      <c r="B196" s="190"/>
      <c r="C196" s="190"/>
      <c r="D196" s="190"/>
      <c r="E196" s="190"/>
      <c r="F196" s="190"/>
      <c r="G196" s="190"/>
      <c r="H196" s="190"/>
      <c r="I196" s="190"/>
      <c r="J196" s="191"/>
      <c r="K196" s="17"/>
      <c r="L196" s="17"/>
      <c r="M196" s="17"/>
      <c r="N196" s="17"/>
      <c r="O196" s="17"/>
      <c r="P196" s="17"/>
      <c r="Q196" s="17"/>
      <c r="R196" s="17"/>
      <c r="S196" s="17"/>
      <c r="T196" s="17"/>
    </row>
    <row r="197" spans="1:20" s="432" customFormat="1" ht="18" hidden="1" x14ac:dyDescent="0.45">
      <c r="A197" s="17"/>
      <c r="B197" s="192" t="s">
        <v>276</v>
      </c>
      <c r="C197" s="190"/>
      <c r="D197" s="200" t="s">
        <v>1369</v>
      </c>
      <c r="E197" s="201"/>
      <c r="F197" s="201"/>
      <c r="G197" s="201"/>
      <c r="H197" s="201"/>
      <c r="I197" s="190"/>
      <c r="J197" s="191" t="s">
        <v>277</v>
      </c>
      <c r="K197" s="17"/>
      <c r="L197" s="17"/>
      <c r="M197" s="17"/>
      <c r="N197" s="17"/>
      <c r="O197" s="17"/>
      <c r="P197" s="17"/>
      <c r="Q197" s="17"/>
      <c r="R197" s="17"/>
      <c r="S197" s="17"/>
      <c r="T197" s="17"/>
    </row>
    <row r="198" spans="1:20" s="432" customFormat="1" ht="16" hidden="1" thickBot="1" x14ac:dyDescent="0.4">
      <c r="A198" s="17"/>
      <c r="B198" s="190"/>
      <c r="C198" s="190"/>
      <c r="D198" s="190"/>
      <c r="E198" s="190"/>
      <c r="F198" s="190"/>
      <c r="G198" s="190"/>
      <c r="H198" s="190"/>
      <c r="I198" s="190"/>
      <c r="J198" s="191"/>
      <c r="K198" s="17"/>
      <c r="L198" s="17"/>
      <c r="M198" s="17"/>
      <c r="N198" s="17"/>
      <c r="O198" s="17"/>
      <c r="P198" s="17"/>
      <c r="Q198" s="17"/>
      <c r="R198" s="17"/>
      <c r="S198" s="17"/>
      <c r="T198" s="17"/>
    </row>
    <row r="199" spans="1:20" s="432" customFormat="1" ht="16" hidden="1" thickBot="1" x14ac:dyDescent="0.4">
      <c r="A199" s="17"/>
      <c r="B199" s="202"/>
      <c r="C199" s="203" t="s">
        <v>804</v>
      </c>
      <c r="D199" s="204"/>
      <c r="E199" s="204"/>
      <c r="F199" s="204"/>
      <c r="G199" s="204"/>
      <c r="H199" s="205"/>
      <c r="I199" s="190"/>
      <c r="J199" s="191" t="s">
        <v>278</v>
      </c>
      <c r="K199" s="17"/>
      <c r="L199" s="17"/>
      <c r="M199" s="17"/>
      <c r="N199" s="17"/>
      <c r="O199" s="17"/>
      <c r="P199" s="17"/>
      <c r="Q199" s="17"/>
      <c r="R199" s="17"/>
      <c r="S199" s="17"/>
      <c r="T199" s="17"/>
    </row>
    <row r="200" spans="1:20" s="432" customFormat="1" ht="15.5" hidden="1" x14ac:dyDescent="0.35">
      <c r="A200" s="17"/>
      <c r="B200" s="190"/>
      <c r="C200" s="203"/>
      <c r="D200" s="206" t="s">
        <v>212</v>
      </c>
      <c r="E200" s="204"/>
      <c r="F200" s="204"/>
      <c r="G200" s="204"/>
      <c r="H200" s="205"/>
      <c r="I200" s="190"/>
      <c r="J200" s="191"/>
      <c r="K200" s="17"/>
      <c r="L200" s="17"/>
      <c r="M200" s="17"/>
      <c r="N200" s="17"/>
      <c r="O200" s="17"/>
      <c r="P200" s="17"/>
      <c r="Q200" s="17"/>
      <c r="R200" s="17"/>
      <c r="S200" s="17"/>
      <c r="T200" s="17"/>
    </row>
    <row r="201" spans="1:20" s="432" customFormat="1" ht="15.5" hidden="1" x14ac:dyDescent="0.35">
      <c r="A201" s="17"/>
      <c r="B201" s="202">
        <v>1</v>
      </c>
      <c r="C201" s="473" t="s">
        <v>912</v>
      </c>
      <c r="D201" s="207">
        <v>590</v>
      </c>
      <c r="E201" s="208"/>
      <c r="F201" s="208"/>
      <c r="G201" s="208"/>
      <c r="H201" s="209"/>
      <c r="I201" s="190"/>
      <c r="J201" s="191"/>
      <c r="K201" s="17"/>
      <c r="L201" s="17"/>
      <c r="M201" s="17"/>
      <c r="N201" s="17"/>
      <c r="O201" s="17"/>
      <c r="P201" s="17"/>
      <c r="Q201" s="17"/>
      <c r="R201" s="17"/>
      <c r="S201" s="17"/>
      <c r="T201" s="17"/>
    </row>
    <row r="202" spans="1:20" s="432" customFormat="1" ht="15.5" hidden="1" x14ac:dyDescent="0.35">
      <c r="A202" s="17"/>
      <c r="B202" s="202">
        <v>2</v>
      </c>
      <c r="C202" s="473" t="s">
        <v>917</v>
      </c>
      <c r="D202" s="207">
        <v>590</v>
      </c>
      <c r="E202" s="208"/>
      <c r="F202" s="208"/>
      <c r="G202" s="208"/>
      <c r="H202" s="209"/>
      <c r="I202" s="190"/>
      <c r="J202" s="191"/>
      <c r="K202" s="17"/>
      <c r="L202" s="17"/>
      <c r="M202" s="17"/>
      <c r="N202" s="17"/>
      <c r="O202" s="17"/>
      <c r="P202" s="17"/>
      <c r="Q202" s="17"/>
      <c r="R202" s="17"/>
      <c r="S202" s="17"/>
      <c r="T202" s="17"/>
    </row>
    <row r="203" spans="1:20" s="432" customFormat="1" ht="15.5" hidden="1" x14ac:dyDescent="0.35">
      <c r="A203" s="17"/>
      <c r="B203" s="202">
        <v>3</v>
      </c>
      <c r="C203" s="473" t="s">
        <v>866</v>
      </c>
      <c r="D203" s="207">
        <v>590</v>
      </c>
      <c r="E203" s="208"/>
      <c r="F203" s="208"/>
      <c r="G203" s="208"/>
      <c r="H203" s="209"/>
      <c r="I203" s="202"/>
      <c r="J203" s="191"/>
      <c r="K203" s="17"/>
      <c r="L203" s="17"/>
      <c r="M203" s="17"/>
      <c r="N203" s="17"/>
      <c r="O203" s="17"/>
      <c r="P203" s="17"/>
      <c r="Q203" s="17"/>
      <c r="R203" s="17"/>
      <c r="S203" s="17"/>
      <c r="T203" s="17"/>
    </row>
    <row r="204" spans="1:20" s="432" customFormat="1" ht="15.5" hidden="1" x14ac:dyDescent="0.35">
      <c r="A204" s="17"/>
      <c r="B204" s="202">
        <v>4</v>
      </c>
      <c r="C204" s="473" t="s">
        <v>914</v>
      </c>
      <c r="D204" s="207">
        <v>590</v>
      </c>
      <c r="E204" s="208"/>
      <c r="F204" s="208"/>
      <c r="G204" s="208"/>
      <c r="H204" s="209"/>
      <c r="I204" s="190"/>
      <c r="J204" s="191"/>
      <c r="K204" s="17"/>
      <c r="L204" s="17"/>
      <c r="M204" s="17"/>
      <c r="N204" s="17"/>
      <c r="O204" s="17"/>
      <c r="P204" s="17"/>
      <c r="Q204" s="17"/>
      <c r="R204" s="17"/>
      <c r="S204" s="17"/>
      <c r="T204" s="17"/>
    </row>
    <row r="205" spans="1:20" s="432" customFormat="1" ht="15.5" hidden="1" x14ac:dyDescent="0.35">
      <c r="A205" s="17"/>
      <c r="B205" s="202">
        <v>5</v>
      </c>
      <c r="C205" s="473" t="s">
        <v>918</v>
      </c>
      <c r="D205" s="207">
        <v>590</v>
      </c>
      <c r="E205" s="208"/>
      <c r="F205" s="208"/>
      <c r="G205" s="208"/>
      <c r="H205" s="209"/>
      <c r="I205" s="190"/>
      <c r="J205" s="191"/>
      <c r="K205" s="17"/>
      <c r="L205" s="17"/>
      <c r="M205" s="17"/>
      <c r="N205" s="17"/>
      <c r="O205" s="17"/>
      <c r="P205" s="17"/>
      <c r="Q205" s="17"/>
      <c r="R205" s="17"/>
      <c r="S205" s="17"/>
      <c r="T205" s="17"/>
    </row>
    <row r="206" spans="1:20" s="432" customFormat="1" ht="15.5" hidden="1" x14ac:dyDescent="0.35">
      <c r="A206" s="17"/>
      <c r="B206" s="202">
        <v>6</v>
      </c>
      <c r="C206" s="474" t="s">
        <v>919</v>
      </c>
      <c r="D206" s="207">
        <v>590</v>
      </c>
      <c r="E206" s="208"/>
      <c r="F206" s="208"/>
      <c r="G206" s="208"/>
      <c r="H206" s="209"/>
      <c r="I206" s="190"/>
      <c r="J206" s="191"/>
      <c r="K206" s="17"/>
      <c r="L206" s="17"/>
      <c r="M206" s="17"/>
      <c r="N206" s="17"/>
      <c r="O206" s="17"/>
      <c r="P206" s="17"/>
      <c r="Q206" s="17"/>
      <c r="R206" s="17"/>
      <c r="S206" s="17"/>
      <c r="T206" s="17"/>
    </row>
    <row r="207" spans="1:20" s="432" customFormat="1" ht="16" hidden="1" thickBot="1" x14ac:dyDescent="0.4">
      <c r="A207" s="17"/>
      <c r="B207" s="202">
        <v>7</v>
      </c>
      <c r="C207" s="475" t="s">
        <v>920</v>
      </c>
      <c r="D207" s="207">
        <v>590</v>
      </c>
      <c r="E207" s="208"/>
      <c r="F207" s="208"/>
      <c r="G207" s="208"/>
      <c r="H207" s="209"/>
      <c r="I207" s="190"/>
      <c r="J207" s="191"/>
      <c r="K207" s="17"/>
      <c r="L207" s="17"/>
      <c r="M207" s="17"/>
      <c r="N207" s="17"/>
      <c r="O207" s="17"/>
      <c r="P207" s="17"/>
      <c r="Q207" s="17"/>
      <c r="R207" s="17"/>
      <c r="S207" s="17"/>
      <c r="T207" s="17"/>
    </row>
    <row r="208" spans="1:20" s="432" customFormat="1" ht="16" hidden="1" thickBot="1" x14ac:dyDescent="0.4">
      <c r="A208" s="17"/>
      <c r="B208" s="190"/>
      <c r="C208" s="210" t="s">
        <v>228</v>
      </c>
      <c r="D208" s="211" t="e">
        <f>VLOOKUP('Baseline farm'!$D$15,$C$201:$H$207,2,FALSE)</f>
        <v>#N/A</v>
      </c>
      <c r="E208" s="212"/>
      <c r="F208" s="212"/>
      <c r="G208" s="212"/>
      <c r="H208" s="212"/>
      <c r="I208" s="190"/>
      <c r="J208" s="191"/>
      <c r="K208" s="17"/>
      <c r="L208" s="17"/>
      <c r="M208" s="17"/>
      <c r="N208" s="17"/>
      <c r="O208" s="17"/>
      <c r="P208" s="17"/>
      <c r="Q208" s="17"/>
      <c r="R208" s="17"/>
      <c r="S208" s="17"/>
      <c r="T208" s="17"/>
    </row>
    <row r="209" spans="1:20" s="432" customFormat="1" ht="16" hidden="1" thickBot="1" x14ac:dyDescent="0.4">
      <c r="A209" s="17"/>
      <c r="B209" s="190"/>
      <c r="C209" s="210" t="s">
        <v>300</v>
      </c>
      <c r="D209" s="213" t="e">
        <f>IF(D208&gt;0,C12/D208,0)</f>
        <v>#N/A</v>
      </c>
      <c r="E209" s="214"/>
      <c r="F209" s="214"/>
      <c r="G209" s="214"/>
      <c r="H209" s="215"/>
      <c r="I209" s="202"/>
      <c r="J209" s="191"/>
      <c r="K209" s="17"/>
      <c r="L209" s="17"/>
      <c r="M209" s="17"/>
      <c r="N209" s="17"/>
      <c r="O209" s="17"/>
      <c r="P209" s="17"/>
      <c r="Q209" s="17"/>
      <c r="R209" s="17"/>
      <c r="S209" s="17"/>
      <c r="T209" s="17"/>
    </row>
    <row r="210" spans="1:20" s="432" customFormat="1" ht="15.5" hidden="1" x14ac:dyDescent="0.35">
      <c r="A210" s="17"/>
      <c r="B210" s="190"/>
      <c r="C210" s="190"/>
      <c r="D210" s="190"/>
      <c r="E210" s="190"/>
      <c r="F210" s="190"/>
      <c r="G210" s="190"/>
      <c r="H210" s="190"/>
      <c r="I210" s="190"/>
      <c r="J210" s="191"/>
      <c r="K210" s="17"/>
      <c r="L210" s="17"/>
      <c r="M210" s="17"/>
      <c r="N210" s="17"/>
      <c r="O210" s="17"/>
      <c r="P210" s="17"/>
      <c r="Q210" s="17"/>
      <c r="R210" s="17"/>
      <c r="S210" s="17"/>
      <c r="T210" s="17"/>
    </row>
    <row r="211" spans="1:20" s="432" customFormat="1" ht="15.5" hidden="1" x14ac:dyDescent="0.35">
      <c r="A211" s="17"/>
      <c r="B211" s="190"/>
      <c r="C211" s="195" t="s">
        <v>434</v>
      </c>
      <c r="D211" s="216" t="e">
        <f>((0.032*C141*1.03/6.38)+((0.212-0.008*(C113-2)-((0.14-0.008*(C113-2))/(1+EXP(-6*(D209-0.4)))))*(C13*0.92)/6.25))</f>
        <v>#DIV/0!</v>
      </c>
      <c r="E211" s="216"/>
      <c r="F211" s="216"/>
      <c r="G211" s="216"/>
      <c r="H211" s="216"/>
      <c r="I211" s="202" t="s">
        <v>283</v>
      </c>
      <c r="J211" s="191"/>
      <c r="K211" s="17"/>
      <c r="L211" s="17"/>
      <c r="M211" s="17"/>
      <c r="N211" s="17"/>
      <c r="O211" s="17"/>
      <c r="P211" s="17"/>
      <c r="Q211" s="17"/>
      <c r="R211" s="17"/>
      <c r="S211" s="17"/>
      <c r="T211" s="17"/>
    </row>
    <row r="212" spans="1:20" s="432" customFormat="1" ht="15.5" hidden="1" x14ac:dyDescent="0.35">
      <c r="A212" s="17"/>
      <c r="B212" s="190"/>
      <c r="C212" s="217"/>
      <c r="D212" s="216"/>
      <c r="E212" s="216"/>
      <c r="F212" s="216"/>
      <c r="G212" s="216"/>
      <c r="H212" s="216"/>
      <c r="I212" s="202"/>
      <c r="J212" s="191"/>
      <c r="K212" s="17"/>
      <c r="L212" s="17"/>
      <c r="M212" s="17"/>
      <c r="N212" s="17"/>
      <c r="O212" s="17"/>
      <c r="P212" s="17"/>
      <c r="Q212" s="17"/>
      <c r="R212" s="17"/>
      <c r="S212" s="17"/>
      <c r="T212" s="17"/>
    </row>
    <row r="213" spans="1:20" s="432" customFormat="1" ht="18.5" hidden="1" x14ac:dyDescent="0.35">
      <c r="A213" s="17"/>
      <c r="B213" s="192" t="s">
        <v>284</v>
      </c>
      <c r="C213" s="190"/>
      <c r="D213" s="218" t="s">
        <v>285</v>
      </c>
      <c r="E213" s="216"/>
      <c r="F213" s="216"/>
      <c r="G213" s="216"/>
      <c r="H213" s="190"/>
      <c r="I213" s="202"/>
      <c r="J213" s="191" t="s">
        <v>286</v>
      </c>
      <c r="K213" s="17"/>
      <c r="L213" s="17"/>
      <c r="M213" s="17"/>
      <c r="N213" s="17"/>
      <c r="O213" s="17"/>
      <c r="P213" s="17"/>
      <c r="Q213" s="17"/>
      <c r="R213" s="17"/>
      <c r="S213" s="17"/>
      <c r="T213" s="17"/>
    </row>
    <row r="214" spans="1:20" s="432" customFormat="1" ht="15.5" hidden="1" x14ac:dyDescent="0.35">
      <c r="A214" s="17"/>
      <c r="B214" s="190"/>
      <c r="C214" s="195" t="s">
        <v>434</v>
      </c>
      <c r="D214" s="216" t="e">
        <f>(D190/6.25)-D211-D195-((1.1*10^-4*C12^0.75)/6.25)</f>
        <v>#DIV/0!</v>
      </c>
      <c r="E214" s="216"/>
      <c r="F214" s="216"/>
      <c r="G214" s="216"/>
      <c r="H214" s="216"/>
      <c r="I214" s="202" t="s">
        <v>283</v>
      </c>
      <c r="J214" s="191"/>
      <c r="K214" s="17"/>
      <c r="L214" s="17"/>
      <c r="M214" s="17"/>
      <c r="N214" s="17"/>
      <c r="O214" s="17"/>
      <c r="P214" s="17"/>
      <c r="Q214" s="17"/>
      <c r="R214" s="17"/>
      <c r="S214" s="17"/>
      <c r="T214" s="17"/>
    </row>
    <row r="215" spans="1:20" s="432" customFormat="1" ht="15.5" hidden="1" x14ac:dyDescent="0.35">
      <c r="A215" s="17"/>
      <c r="B215" s="190"/>
      <c r="C215" s="190"/>
      <c r="D215" s="190"/>
      <c r="E215" s="190"/>
      <c r="F215" s="190"/>
      <c r="G215" s="190"/>
      <c r="H215" s="190"/>
      <c r="I215" s="202"/>
      <c r="J215" s="191"/>
      <c r="K215" s="17"/>
      <c r="L215" s="17"/>
      <c r="M215" s="17"/>
      <c r="N215" s="17"/>
      <c r="O215" s="17"/>
      <c r="P215" s="17"/>
      <c r="Q215" s="17"/>
      <c r="R215" s="17"/>
      <c r="S215" s="17"/>
      <c r="T215" s="17"/>
    </row>
    <row r="216" spans="1:20" s="432" customFormat="1" ht="15.5" hidden="1" x14ac:dyDescent="0.35">
      <c r="A216" s="17"/>
      <c r="B216" s="192" t="s">
        <v>444</v>
      </c>
      <c r="C216" s="190"/>
      <c r="D216" s="192" t="s">
        <v>436</v>
      </c>
      <c r="E216" s="190"/>
      <c r="F216" s="190"/>
      <c r="G216" s="190"/>
      <c r="H216" s="190"/>
      <c r="I216" s="202"/>
      <c r="J216" s="191" t="s">
        <v>287</v>
      </c>
      <c r="K216" s="17"/>
      <c r="L216" s="17"/>
      <c r="M216" s="17"/>
      <c r="N216" s="17"/>
      <c r="O216" s="17"/>
      <c r="P216" s="17"/>
      <c r="Q216" s="17"/>
      <c r="R216" s="17"/>
      <c r="S216" s="17"/>
      <c r="T216" s="17"/>
    </row>
    <row r="217" spans="1:20" s="432" customFormat="1" ht="15.5" hidden="1" x14ac:dyDescent="0.35">
      <c r="A217" s="17"/>
      <c r="B217" s="190"/>
      <c r="C217" s="190"/>
      <c r="D217" s="190"/>
      <c r="E217" s="190"/>
      <c r="F217" s="190"/>
      <c r="G217" s="190"/>
      <c r="H217" s="190"/>
      <c r="I217" s="190"/>
      <c r="J217" s="191"/>
      <c r="K217" s="17"/>
      <c r="L217" s="17"/>
      <c r="M217" s="17"/>
      <c r="N217" s="17"/>
      <c r="O217" s="17"/>
      <c r="P217" s="17"/>
      <c r="Q217" s="17"/>
      <c r="R217" s="17"/>
      <c r="S217" s="17"/>
      <c r="T217" s="17"/>
    </row>
    <row r="218" spans="1:20" s="432" customFormat="1" ht="15.5" hidden="1" x14ac:dyDescent="0.35">
      <c r="A218" s="17"/>
      <c r="B218" s="190"/>
      <c r="C218" s="195" t="s">
        <v>434</v>
      </c>
      <c r="D218" s="196" t="e">
        <f>(365*C11*D195)*10^-6</f>
        <v>#DIV/0!</v>
      </c>
      <c r="E218" s="196"/>
      <c r="F218" s="196"/>
      <c r="G218" s="196"/>
      <c r="H218" s="196"/>
      <c r="I218" s="190" t="s">
        <v>438</v>
      </c>
      <c r="J218" s="191"/>
      <c r="K218" s="17"/>
      <c r="L218" s="17"/>
      <c r="M218" s="17"/>
      <c r="N218" s="17"/>
      <c r="O218" s="17"/>
      <c r="P218" s="17"/>
      <c r="Q218" s="17"/>
      <c r="R218" s="17"/>
      <c r="S218" s="17"/>
      <c r="T218" s="17"/>
    </row>
    <row r="219" spans="1:20" s="432" customFormat="1" ht="15.5" hidden="1" x14ac:dyDescent="0.35">
      <c r="A219" s="17"/>
      <c r="B219" s="190"/>
      <c r="C219" s="190"/>
      <c r="D219" s="190"/>
      <c r="E219" s="190"/>
      <c r="F219" s="190"/>
      <c r="G219" s="190"/>
      <c r="H219" s="190"/>
      <c r="I219" s="190"/>
      <c r="J219" s="191"/>
      <c r="K219" s="17"/>
      <c r="L219" s="17"/>
      <c r="M219" s="17"/>
      <c r="N219" s="17"/>
      <c r="O219" s="17"/>
      <c r="P219" s="17"/>
      <c r="Q219" s="17"/>
      <c r="R219" s="17"/>
      <c r="S219" s="17"/>
      <c r="T219" s="17"/>
    </row>
    <row r="220" spans="1:20" s="432" customFormat="1" ht="15.5" hidden="1" x14ac:dyDescent="0.35">
      <c r="A220" s="17"/>
      <c r="B220" s="192" t="s">
        <v>445</v>
      </c>
      <c r="C220" s="190"/>
      <c r="D220" s="192" t="s">
        <v>437</v>
      </c>
      <c r="E220" s="190"/>
      <c r="F220" s="190"/>
      <c r="G220" s="190"/>
      <c r="H220" s="190"/>
      <c r="I220" s="190"/>
      <c r="J220" s="191" t="s">
        <v>289</v>
      </c>
      <c r="K220" s="17"/>
      <c r="L220" s="17"/>
      <c r="M220" s="17"/>
      <c r="N220" s="17"/>
      <c r="O220" s="17"/>
      <c r="P220" s="17"/>
      <c r="Q220" s="17"/>
      <c r="R220" s="17"/>
      <c r="S220" s="17"/>
      <c r="T220" s="17"/>
    </row>
    <row r="221" spans="1:20" s="432" customFormat="1" ht="15.5" hidden="1" x14ac:dyDescent="0.35">
      <c r="A221" s="17"/>
      <c r="B221" s="190"/>
      <c r="C221" s="190"/>
      <c r="D221" s="190"/>
      <c r="E221" s="190"/>
      <c r="F221" s="190"/>
      <c r="G221" s="190"/>
      <c r="H221" s="190"/>
      <c r="I221" s="190"/>
      <c r="J221" s="191"/>
      <c r="K221" s="17"/>
      <c r="L221" s="17"/>
      <c r="M221" s="17"/>
      <c r="N221" s="17"/>
      <c r="O221" s="17"/>
      <c r="P221" s="17"/>
      <c r="Q221" s="17"/>
      <c r="R221" s="17"/>
      <c r="S221" s="17"/>
      <c r="T221" s="17"/>
    </row>
    <row r="222" spans="1:20" s="432" customFormat="1" ht="15.5" hidden="1" x14ac:dyDescent="0.35">
      <c r="A222" s="17"/>
      <c r="B222" s="190"/>
      <c r="C222" s="195" t="s">
        <v>434</v>
      </c>
      <c r="D222" s="216" t="e">
        <f>(365*C11*D214)*10^-6</f>
        <v>#DIV/0!</v>
      </c>
      <c r="E222" s="216"/>
      <c r="F222" s="216"/>
      <c r="G222" s="216"/>
      <c r="H222" s="216"/>
      <c r="I222" s="190" t="s">
        <v>438</v>
      </c>
      <c r="J222" s="191"/>
      <c r="K222" s="17"/>
      <c r="L222" s="17"/>
      <c r="M222" s="17"/>
      <c r="N222" s="17"/>
      <c r="O222" s="17"/>
      <c r="P222" s="17"/>
      <c r="Q222" s="17"/>
      <c r="R222" s="17"/>
      <c r="S222" s="17"/>
      <c r="T222" s="17"/>
    </row>
    <row r="223" spans="1:20" s="432" customFormat="1" ht="15.5" hidden="1" x14ac:dyDescent="0.35">
      <c r="A223" s="17"/>
      <c r="B223" s="190"/>
      <c r="C223" s="190"/>
      <c r="D223" s="190"/>
      <c r="E223" s="190"/>
      <c r="F223" s="190"/>
      <c r="G223" s="190"/>
      <c r="H223" s="190"/>
      <c r="I223" s="190"/>
      <c r="J223" s="191"/>
      <c r="K223" s="17"/>
      <c r="L223" s="17"/>
      <c r="M223" s="17"/>
      <c r="N223" s="17"/>
      <c r="O223" s="17"/>
      <c r="P223" s="17"/>
      <c r="Q223" s="17"/>
      <c r="R223" s="17"/>
      <c r="S223" s="17"/>
      <c r="T223" s="17"/>
    </row>
    <row r="224" spans="1:20" s="432" customFormat="1" ht="15.5" hidden="1" x14ac:dyDescent="0.35">
      <c r="A224" s="17"/>
      <c r="B224" s="192" t="s">
        <v>446</v>
      </c>
      <c r="C224" s="190"/>
      <c r="D224" s="192" t="s">
        <v>290</v>
      </c>
      <c r="E224" s="190"/>
      <c r="F224" s="190"/>
      <c r="G224" s="190"/>
      <c r="H224" s="190"/>
      <c r="I224" s="190"/>
      <c r="J224" s="191"/>
      <c r="K224" s="17"/>
      <c r="L224" s="17"/>
      <c r="M224" s="17"/>
      <c r="N224" s="17"/>
      <c r="O224" s="17"/>
      <c r="P224" s="17"/>
      <c r="Q224" s="17"/>
      <c r="R224" s="17"/>
      <c r="S224" s="17"/>
      <c r="T224" s="17"/>
    </row>
    <row r="225" spans="1:20" s="432" customFormat="1" ht="15.5" hidden="1" x14ac:dyDescent="0.35">
      <c r="A225" s="17"/>
      <c r="B225" s="190"/>
      <c r="C225" s="195"/>
      <c r="D225" s="195"/>
      <c r="E225" s="219"/>
      <c r="F225" s="219"/>
      <c r="G225" s="219"/>
      <c r="H225" s="219"/>
      <c r="I225" s="202"/>
      <c r="J225" s="191"/>
      <c r="K225" s="17"/>
      <c r="L225" s="17"/>
      <c r="M225" s="17"/>
      <c r="N225" s="17"/>
      <c r="O225" s="17"/>
      <c r="P225" s="17"/>
      <c r="Q225" s="17"/>
      <c r="R225" s="17"/>
      <c r="S225" s="17"/>
      <c r="T225" s="17"/>
    </row>
    <row r="226" spans="1:20" s="432" customFormat="1" ht="15.5" hidden="1" x14ac:dyDescent="0.35">
      <c r="A226" s="17"/>
      <c r="B226" s="190"/>
      <c r="C226" s="195" t="s">
        <v>434</v>
      </c>
      <c r="D226" s="219" t="e">
        <f>D222+D218</f>
        <v>#DIV/0!</v>
      </c>
      <c r="E226" s="219"/>
      <c r="F226" s="219"/>
      <c r="G226" s="219"/>
      <c r="H226" s="219"/>
      <c r="I226" s="190"/>
      <c r="J226" s="191"/>
      <c r="K226" s="17"/>
      <c r="L226" s="17"/>
      <c r="M226" s="17"/>
      <c r="N226" s="17"/>
      <c r="O226" s="17"/>
      <c r="P226" s="17"/>
      <c r="Q226" s="17"/>
      <c r="R226" s="17"/>
      <c r="S226" s="17"/>
      <c r="T226" s="17"/>
    </row>
    <row r="227" spans="1:20" s="879" customFormat="1" ht="15.5" hidden="1" x14ac:dyDescent="0.35">
      <c r="B227" s="190"/>
      <c r="C227" s="195"/>
      <c r="D227" s="219"/>
      <c r="E227" s="219"/>
      <c r="F227" s="219"/>
      <c r="G227" s="219"/>
      <c r="H227" s="219"/>
      <c r="I227" s="190"/>
      <c r="J227" s="191"/>
    </row>
    <row r="228" spans="1:20" s="432" customFormat="1" ht="15.5" hidden="1" x14ac:dyDescent="0.35">
      <c r="A228" s="17"/>
      <c r="B228" s="192" t="s">
        <v>291</v>
      </c>
      <c r="C228" s="217"/>
      <c r="D228" s="192" t="s">
        <v>292</v>
      </c>
      <c r="E228" s="217"/>
      <c r="F228" s="217"/>
      <c r="G228" s="217"/>
      <c r="H228" s="202"/>
      <c r="I228" s="190"/>
      <c r="J228" s="191"/>
      <c r="K228" s="17"/>
      <c r="L228" s="17"/>
      <c r="M228" s="17"/>
      <c r="N228" s="17"/>
      <c r="O228" s="17"/>
      <c r="P228" s="17"/>
      <c r="Q228" s="17"/>
      <c r="R228" s="17"/>
      <c r="S228" s="17"/>
      <c r="T228" s="17"/>
    </row>
    <row r="229" spans="1:20" s="432" customFormat="1" ht="15.5" hidden="1" x14ac:dyDescent="0.35">
      <c r="A229" s="17"/>
      <c r="B229" s="190"/>
      <c r="C229" s="190"/>
      <c r="D229" s="190" t="s">
        <v>293</v>
      </c>
      <c r="E229" s="220"/>
      <c r="F229" s="220"/>
      <c r="G229" s="220"/>
      <c r="H229" s="220"/>
      <c r="I229" s="190"/>
      <c r="J229" s="191"/>
      <c r="K229" s="17"/>
      <c r="L229" s="17"/>
      <c r="M229" s="17"/>
      <c r="N229" s="17"/>
      <c r="O229" s="17"/>
      <c r="P229" s="17"/>
      <c r="Q229" s="17"/>
      <c r="R229" s="17"/>
      <c r="S229" s="17"/>
      <c r="T229" s="17"/>
    </row>
    <row r="230" spans="1:20" s="432" customFormat="1" ht="15.5" hidden="1" x14ac:dyDescent="0.35">
      <c r="A230" s="17"/>
      <c r="B230" s="190"/>
      <c r="C230" s="190"/>
      <c r="D230" s="190" t="s">
        <v>294</v>
      </c>
      <c r="E230" s="190"/>
      <c r="F230" s="190"/>
      <c r="G230" s="190"/>
      <c r="H230" s="190"/>
      <c r="I230" s="190"/>
      <c r="J230" s="191"/>
      <c r="K230" s="17"/>
      <c r="L230" s="17"/>
      <c r="M230" s="17"/>
      <c r="N230" s="17"/>
      <c r="O230" s="17"/>
      <c r="P230" s="17"/>
      <c r="Q230" s="17"/>
      <c r="R230" s="17"/>
      <c r="S230" s="17"/>
      <c r="T230" s="17"/>
    </row>
    <row r="231" spans="1:20" s="432" customFormat="1" ht="15.5" hidden="1" x14ac:dyDescent="0.35">
      <c r="A231" s="17"/>
      <c r="B231" s="190"/>
      <c r="C231" s="190"/>
      <c r="D231" s="190"/>
      <c r="E231" s="190"/>
      <c r="F231" s="190"/>
      <c r="G231" s="190"/>
      <c r="H231" s="190"/>
      <c r="I231" s="190"/>
      <c r="J231" s="191"/>
      <c r="K231" s="17"/>
      <c r="L231" s="17"/>
      <c r="M231" s="17"/>
      <c r="N231" s="17"/>
      <c r="O231" s="17"/>
      <c r="P231" s="17"/>
      <c r="Q231" s="17"/>
      <c r="R231" s="17"/>
      <c r="S231" s="17"/>
      <c r="T231" s="17"/>
    </row>
    <row r="232" spans="1:20" s="432" customFormat="1" ht="18" hidden="1" x14ac:dyDescent="0.45">
      <c r="A232" s="17"/>
      <c r="B232" s="867" t="s">
        <v>295</v>
      </c>
      <c r="C232" s="917"/>
      <c r="D232" s="916" t="s">
        <v>1350</v>
      </c>
      <c r="E232" s="190"/>
      <c r="F232" s="190"/>
      <c r="G232" s="867" t="s">
        <v>296</v>
      </c>
      <c r="H232" s="190"/>
      <c r="I232" s="190"/>
      <c r="J232" s="221"/>
      <c r="K232" s="17"/>
      <c r="L232" s="17"/>
      <c r="M232" s="17"/>
      <c r="N232" s="17"/>
      <c r="O232" s="17"/>
      <c r="P232" s="17"/>
      <c r="Q232" s="17"/>
      <c r="R232" s="17"/>
      <c r="S232" s="17"/>
      <c r="T232" s="17"/>
    </row>
    <row r="233" spans="1:20" s="432" customFormat="1" ht="15.5" hidden="1" x14ac:dyDescent="0.35">
      <c r="A233" s="17"/>
      <c r="B233" s="910" t="s">
        <v>1288</v>
      </c>
      <c r="C233" s="912" t="s">
        <v>434</v>
      </c>
      <c r="D233" s="939" t="e">
        <f>$D$226*'Baseline farm'!C85%</f>
        <v>#DIV/0!</v>
      </c>
      <c r="E233" s="223"/>
      <c r="F233" s="223"/>
      <c r="G233" s="910">
        <v>0</v>
      </c>
      <c r="H233" s="223"/>
      <c r="I233" s="222"/>
      <c r="J233" s="191"/>
      <c r="K233" s="17"/>
      <c r="L233" s="17"/>
      <c r="M233" s="17"/>
      <c r="N233" s="17"/>
      <c r="O233" s="17"/>
      <c r="P233" s="17"/>
      <c r="Q233" s="17"/>
      <c r="R233" s="17"/>
      <c r="S233" s="17"/>
      <c r="T233" s="17"/>
    </row>
    <row r="234" spans="1:20" s="432" customFormat="1" ht="15.5" hidden="1" x14ac:dyDescent="0.35">
      <c r="A234" s="17"/>
      <c r="B234" s="917"/>
      <c r="C234" s="917"/>
      <c r="D234" s="909"/>
      <c r="E234" s="190"/>
      <c r="F234" s="190"/>
      <c r="G234" s="917"/>
      <c r="H234" s="190"/>
      <c r="I234" s="217"/>
      <c r="J234" s="191"/>
      <c r="K234" s="17"/>
      <c r="L234" s="17"/>
      <c r="M234" s="17"/>
      <c r="N234" s="17"/>
      <c r="O234" s="17"/>
      <c r="P234" s="17"/>
      <c r="Q234" s="17"/>
      <c r="R234" s="17"/>
      <c r="S234" s="17"/>
      <c r="T234" s="17"/>
    </row>
    <row r="235" spans="1:20" s="432" customFormat="1" ht="15.5" hidden="1" x14ac:dyDescent="0.35">
      <c r="A235" s="17"/>
      <c r="B235" s="910" t="s">
        <v>1287</v>
      </c>
      <c r="C235" s="912" t="s">
        <v>434</v>
      </c>
      <c r="D235" s="939" t="e">
        <f>$D$226*'Baseline farm'!D85%</f>
        <v>#DIV/0!</v>
      </c>
      <c r="E235" s="223"/>
      <c r="F235" s="223"/>
      <c r="G235" s="910">
        <v>0</v>
      </c>
      <c r="H235" s="223"/>
      <c r="I235" s="190"/>
      <c r="J235" s="191"/>
      <c r="K235" s="17"/>
      <c r="L235" s="17"/>
      <c r="M235" s="17"/>
      <c r="N235" s="17"/>
      <c r="O235" s="17"/>
      <c r="P235" s="17"/>
      <c r="Q235" s="17"/>
      <c r="R235" s="17"/>
      <c r="S235" s="17"/>
      <c r="T235" s="17"/>
    </row>
    <row r="236" spans="1:20" s="432" customFormat="1" ht="15.5" hidden="1" x14ac:dyDescent="0.35">
      <c r="A236" s="17"/>
      <c r="B236" s="917"/>
      <c r="C236" s="917"/>
      <c r="D236" s="909"/>
      <c r="E236" s="190"/>
      <c r="F236" s="190"/>
      <c r="G236" s="917"/>
      <c r="H236" s="190"/>
      <c r="I236" s="217"/>
      <c r="J236" s="191"/>
      <c r="K236" s="17"/>
      <c r="L236" s="17"/>
      <c r="M236" s="17"/>
      <c r="N236" s="17"/>
      <c r="O236" s="17"/>
      <c r="P236" s="17"/>
      <c r="Q236" s="17"/>
      <c r="R236" s="17"/>
      <c r="S236" s="17"/>
      <c r="T236" s="17"/>
    </row>
    <row r="237" spans="1:20" s="432" customFormat="1" ht="15.5" hidden="1" x14ac:dyDescent="0.35">
      <c r="A237" s="17"/>
      <c r="B237" s="910" t="s">
        <v>1914</v>
      </c>
      <c r="C237" s="912" t="s">
        <v>434</v>
      </c>
      <c r="D237" s="939" t="e">
        <f>$D$226*'Baseline farm'!E85%</f>
        <v>#DIV/0!</v>
      </c>
      <c r="E237" s="223"/>
      <c r="F237" s="223"/>
      <c r="G237" s="910">
        <v>0</v>
      </c>
      <c r="H237" s="223"/>
      <c r="I237" s="190"/>
      <c r="J237" s="191"/>
      <c r="K237" s="17"/>
      <c r="L237" s="17"/>
      <c r="M237" s="17"/>
      <c r="N237" s="17"/>
      <c r="O237" s="17"/>
      <c r="P237" s="17"/>
      <c r="Q237" s="17"/>
      <c r="R237" s="17"/>
      <c r="S237" s="17"/>
      <c r="T237" s="17"/>
    </row>
    <row r="238" spans="1:20" s="432" customFormat="1" ht="15.5" hidden="1" x14ac:dyDescent="0.35">
      <c r="A238" s="17"/>
      <c r="B238" s="917"/>
      <c r="C238" s="912"/>
      <c r="D238" s="909"/>
      <c r="E238" s="223"/>
      <c r="F238" s="223"/>
      <c r="G238" s="917"/>
      <c r="H238" s="223"/>
      <c r="I238" s="217"/>
      <c r="J238" s="191"/>
      <c r="K238" s="17"/>
      <c r="L238" s="17"/>
      <c r="M238" s="17"/>
      <c r="N238" s="17"/>
      <c r="O238" s="17"/>
      <c r="P238" s="17"/>
      <c r="Q238" s="17"/>
      <c r="R238" s="17"/>
      <c r="S238" s="17"/>
      <c r="T238" s="17"/>
    </row>
    <row r="239" spans="1:20" s="432" customFormat="1" ht="15.5" hidden="1" x14ac:dyDescent="0.35">
      <c r="A239" s="17"/>
      <c r="B239" s="910" t="s">
        <v>1290</v>
      </c>
      <c r="C239" s="912" t="s">
        <v>434</v>
      </c>
      <c r="D239" s="939" t="e">
        <f>$D$226*'Baseline farm'!F85%</f>
        <v>#DIV/0!</v>
      </c>
      <c r="E239" s="223"/>
      <c r="F239" s="223"/>
      <c r="G239" s="912">
        <v>5.0000000000000001E-3</v>
      </c>
      <c r="H239" s="223"/>
      <c r="I239" s="190"/>
      <c r="J239" s="191"/>
      <c r="K239" s="17"/>
      <c r="L239" s="17"/>
      <c r="M239" s="17"/>
      <c r="N239" s="17"/>
      <c r="O239" s="17"/>
      <c r="P239" s="17"/>
      <c r="Q239" s="17"/>
      <c r="R239" s="17"/>
      <c r="S239" s="17"/>
      <c r="T239" s="17"/>
    </row>
    <row r="240" spans="1:20" s="432" customFormat="1" ht="15.5" hidden="1" x14ac:dyDescent="0.35">
      <c r="A240" s="17"/>
      <c r="B240" s="917"/>
      <c r="C240" s="912"/>
      <c r="D240" s="909"/>
      <c r="E240" s="223"/>
      <c r="F240" s="223"/>
      <c r="G240" s="917"/>
      <c r="H240" s="223"/>
      <c r="I240" s="195"/>
      <c r="J240" s="191"/>
      <c r="K240" s="17"/>
      <c r="L240" s="17"/>
      <c r="M240" s="17"/>
      <c r="N240" s="17"/>
      <c r="O240" s="17"/>
      <c r="P240" s="17"/>
      <c r="Q240" s="17"/>
      <c r="R240" s="17"/>
      <c r="S240" s="17"/>
      <c r="T240" s="17"/>
    </row>
    <row r="241" spans="1:20" s="432" customFormat="1" ht="15.5" hidden="1" x14ac:dyDescent="0.35">
      <c r="A241" s="17"/>
      <c r="B241" s="910" t="s">
        <v>1291</v>
      </c>
      <c r="C241" s="912" t="s">
        <v>434</v>
      </c>
      <c r="D241" s="939" t="e">
        <f>$D$226*'Baseline farm'!G85%</f>
        <v>#DIV/0!</v>
      </c>
      <c r="E241" s="223"/>
      <c r="F241" s="223"/>
      <c r="G241" s="910">
        <v>0</v>
      </c>
      <c r="H241" s="223"/>
      <c r="I241" s="190"/>
      <c r="J241" s="191"/>
      <c r="K241" s="17"/>
      <c r="L241" s="17"/>
      <c r="M241" s="17"/>
      <c r="N241" s="17"/>
      <c r="O241" s="17"/>
      <c r="P241" s="17"/>
      <c r="Q241" s="17"/>
      <c r="R241" s="17"/>
      <c r="S241" s="17"/>
      <c r="T241" s="17"/>
    </row>
    <row r="242" spans="1:20" s="432" customFormat="1" ht="15.5" hidden="1" x14ac:dyDescent="0.35">
      <c r="A242" s="17"/>
      <c r="B242" s="917"/>
      <c r="C242" s="917"/>
      <c r="D242" s="909"/>
      <c r="E242" s="223"/>
      <c r="F242" s="223"/>
      <c r="G242" s="917"/>
      <c r="H242" s="223"/>
      <c r="I242" s="195"/>
      <c r="J242" s="191"/>
      <c r="K242" s="17"/>
      <c r="L242" s="17"/>
      <c r="M242" s="17"/>
      <c r="N242" s="17"/>
      <c r="O242" s="17"/>
      <c r="P242" s="17"/>
      <c r="Q242" s="17"/>
      <c r="R242" s="17"/>
      <c r="S242" s="17"/>
      <c r="T242" s="17"/>
    </row>
    <row r="243" spans="1:20" s="432" customFormat="1" ht="18" hidden="1" x14ac:dyDescent="0.45">
      <c r="A243" s="17"/>
      <c r="B243" s="916" t="s">
        <v>1277</v>
      </c>
      <c r="C243" s="912" t="s">
        <v>434</v>
      </c>
      <c r="D243" s="939" t="e">
        <f>SUM(D233,D235,D237,D239,D241)</f>
        <v>#DIV/0!</v>
      </c>
      <c r="E243" s="223"/>
      <c r="F243" s="223"/>
      <c r="G243" s="917" t="s">
        <v>438</v>
      </c>
      <c r="H243" s="223"/>
      <c r="I243" s="190"/>
      <c r="J243" s="191"/>
      <c r="K243" s="17"/>
      <c r="L243" s="17"/>
      <c r="M243" s="17"/>
      <c r="N243" s="17"/>
      <c r="O243" s="17"/>
      <c r="P243" s="17"/>
      <c r="Q243" s="17"/>
      <c r="R243" s="17"/>
      <c r="S243" s="17"/>
      <c r="T243" s="17"/>
    </row>
    <row r="244" spans="1:20" s="432" customFormat="1" ht="15.5" hidden="1" x14ac:dyDescent="0.35">
      <c r="A244" s="17"/>
      <c r="B244" s="917"/>
      <c r="C244" s="917"/>
      <c r="D244" s="940"/>
      <c r="E244" s="223"/>
      <c r="F244" s="223"/>
      <c r="G244" s="917"/>
      <c r="H244" s="223"/>
      <c r="I244" s="217"/>
      <c r="J244" s="191"/>
      <c r="K244" s="17"/>
      <c r="L244" s="17"/>
      <c r="M244" s="17"/>
      <c r="N244" s="17"/>
      <c r="O244" s="17"/>
      <c r="P244" s="17"/>
      <c r="Q244" s="17"/>
      <c r="R244" s="17"/>
      <c r="S244" s="17"/>
      <c r="T244" s="17"/>
    </row>
    <row r="245" spans="1:20" s="432" customFormat="1" ht="18" hidden="1" x14ac:dyDescent="0.45">
      <c r="A245" s="17"/>
      <c r="B245" s="916" t="s">
        <v>1306</v>
      </c>
      <c r="C245" s="912" t="s">
        <v>434</v>
      </c>
      <c r="D245" s="941" t="e">
        <f>((D233*$G$233)+(D235*$G$235)+(D237*$G$237)+(D239*$G$239))*44/28</f>
        <v>#DIV/0!</v>
      </c>
      <c r="E245" s="223"/>
      <c r="F245" s="223"/>
      <c r="G245" s="917" t="s">
        <v>1279</v>
      </c>
      <c r="H245" s="223"/>
      <c r="I245" s="190"/>
      <c r="J245" s="191"/>
      <c r="K245" s="17"/>
      <c r="L245" s="17"/>
      <c r="M245" s="17"/>
      <c r="N245" s="17"/>
      <c r="O245" s="17"/>
      <c r="P245" s="17"/>
      <c r="Q245" s="17"/>
      <c r="R245" s="17"/>
      <c r="S245" s="17"/>
      <c r="T245" s="17"/>
    </row>
    <row r="246" spans="1:20" s="432" customFormat="1" ht="15.5" hidden="1" x14ac:dyDescent="0.35">
      <c r="A246" s="17"/>
      <c r="B246" s="917"/>
      <c r="C246" s="912"/>
      <c r="D246" s="917"/>
      <c r="E246" s="190"/>
      <c r="F246" s="190"/>
      <c r="G246" s="917"/>
      <c r="H246" s="190"/>
      <c r="I246" s="190"/>
      <c r="J246" s="191"/>
      <c r="K246" s="17"/>
      <c r="L246" s="17"/>
      <c r="M246" s="17"/>
      <c r="N246" s="17"/>
      <c r="O246" s="17"/>
      <c r="P246" s="17"/>
      <c r="Q246" s="17"/>
      <c r="R246" s="17"/>
      <c r="S246" s="17"/>
      <c r="T246" s="17"/>
    </row>
    <row r="247" spans="1:20" s="432" customFormat="1" ht="15.5" hidden="1" x14ac:dyDescent="0.35">
      <c r="A247" s="17"/>
      <c r="B247" s="916" t="s">
        <v>1264</v>
      </c>
      <c r="C247" s="912"/>
      <c r="D247" s="916" t="s">
        <v>1265</v>
      </c>
      <c r="E247" s="223"/>
      <c r="F247" s="223"/>
      <c r="G247" s="916" t="s">
        <v>1280</v>
      </c>
      <c r="H247" s="223"/>
      <c r="I247" s="190"/>
      <c r="J247" s="191"/>
      <c r="K247" s="17"/>
      <c r="L247" s="17"/>
      <c r="M247" s="17"/>
      <c r="N247" s="17"/>
      <c r="O247" s="17"/>
      <c r="P247" s="17"/>
      <c r="Q247" s="17"/>
      <c r="R247" s="17"/>
      <c r="S247" s="17"/>
      <c r="T247" s="17"/>
    </row>
    <row r="248" spans="1:20" s="432" customFormat="1" ht="15.5" hidden="1" x14ac:dyDescent="0.35">
      <c r="A248" s="17"/>
      <c r="B248" s="910"/>
      <c r="C248" s="912"/>
      <c r="D248" s="917"/>
      <c r="E248" s="190"/>
      <c r="F248" s="190"/>
      <c r="G248" s="917"/>
      <c r="H248" s="190"/>
      <c r="I248" s="190"/>
      <c r="J248" s="191"/>
      <c r="K248" s="17"/>
      <c r="L248" s="17"/>
      <c r="M248" s="17"/>
      <c r="N248" s="17"/>
      <c r="O248" s="17"/>
      <c r="P248" s="17"/>
      <c r="Q248" s="17"/>
      <c r="R248" s="17"/>
      <c r="S248" s="17"/>
      <c r="T248" s="17"/>
    </row>
    <row r="249" spans="1:20" s="432" customFormat="1" ht="15.5" hidden="1" x14ac:dyDescent="0.35">
      <c r="A249" s="17"/>
      <c r="B249" s="910" t="s">
        <v>1288</v>
      </c>
      <c r="C249" s="912"/>
      <c r="D249" s="940" t="e">
        <f>D233*G249</f>
        <v>#DIV/0!</v>
      </c>
      <c r="E249" s="190"/>
      <c r="F249" s="190"/>
      <c r="G249" s="917">
        <v>0.35</v>
      </c>
      <c r="H249" s="190"/>
      <c r="I249" s="190"/>
      <c r="J249" s="191"/>
      <c r="K249" s="17"/>
      <c r="L249" s="17"/>
      <c r="M249" s="17"/>
      <c r="N249" s="17"/>
      <c r="O249" s="17"/>
      <c r="P249" s="17"/>
      <c r="Q249" s="17"/>
      <c r="R249" s="17"/>
      <c r="S249" s="17"/>
      <c r="T249" s="17"/>
    </row>
    <row r="250" spans="1:20" s="432" customFormat="1" ht="15.5" hidden="1" x14ac:dyDescent="0.35">
      <c r="A250" s="17"/>
      <c r="B250" s="917"/>
      <c r="C250" s="912"/>
      <c r="D250" s="940"/>
      <c r="E250" s="190"/>
      <c r="F250" s="190"/>
      <c r="G250" s="917"/>
      <c r="H250" s="190"/>
      <c r="I250" s="190"/>
      <c r="J250" s="191"/>
      <c r="K250" s="17"/>
      <c r="L250" s="17"/>
      <c r="M250" s="17"/>
      <c r="N250" s="17"/>
      <c r="O250" s="17"/>
      <c r="P250" s="17"/>
      <c r="Q250" s="17"/>
      <c r="R250" s="17"/>
      <c r="S250" s="17"/>
      <c r="T250" s="17"/>
    </row>
    <row r="251" spans="1:20" s="432" customFormat="1" ht="15.5" hidden="1" x14ac:dyDescent="0.35">
      <c r="A251" s="17"/>
      <c r="B251" s="910" t="s">
        <v>1287</v>
      </c>
      <c r="C251" s="912"/>
      <c r="D251" s="940" t="e">
        <f>D235*G251</f>
        <v>#DIV/0!</v>
      </c>
      <c r="E251" s="217"/>
      <c r="F251" s="217"/>
      <c r="G251" s="917">
        <v>7.0000000000000007E-2</v>
      </c>
      <c r="H251" s="190"/>
      <c r="I251" s="190"/>
      <c r="J251" s="191"/>
      <c r="K251" s="17"/>
      <c r="L251" s="17"/>
      <c r="M251" s="17"/>
      <c r="N251" s="17"/>
      <c r="O251" s="17"/>
      <c r="P251" s="17"/>
      <c r="Q251" s="17"/>
      <c r="R251" s="17"/>
      <c r="S251" s="17"/>
      <c r="T251" s="17"/>
    </row>
    <row r="252" spans="1:20" s="432" customFormat="1" ht="15.5" hidden="1" x14ac:dyDescent="0.35">
      <c r="A252" s="17"/>
      <c r="B252" s="917"/>
      <c r="C252" s="912"/>
      <c r="D252" s="940"/>
      <c r="E252" s="938"/>
      <c r="F252" s="938"/>
      <c r="G252" s="917"/>
      <c r="H252" s="190"/>
      <c r="I252" s="190"/>
      <c r="J252" s="191"/>
      <c r="K252" s="17"/>
      <c r="L252" s="17"/>
      <c r="M252" s="17"/>
      <c r="N252" s="17"/>
      <c r="O252" s="17"/>
      <c r="P252" s="17"/>
      <c r="Q252" s="17"/>
      <c r="R252" s="17"/>
      <c r="S252" s="17"/>
      <c r="T252" s="17"/>
    </row>
    <row r="253" spans="1:20" s="432" customFormat="1" ht="15.5" hidden="1" x14ac:dyDescent="0.35">
      <c r="A253" s="17"/>
      <c r="B253" s="910" t="s">
        <v>1914</v>
      </c>
      <c r="C253" s="912"/>
      <c r="D253" s="940" t="e">
        <f>D237*G253</f>
        <v>#DIV/0!</v>
      </c>
      <c r="E253" s="190"/>
      <c r="F253" s="190"/>
      <c r="G253" s="917">
        <v>0.2</v>
      </c>
      <c r="H253" s="190"/>
      <c r="I253" s="190"/>
      <c r="J253" s="191"/>
      <c r="K253" s="17"/>
      <c r="L253" s="17"/>
      <c r="M253" s="17"/>
      <c r="N253" s="17"/>
      <c r="O253" s="17"/>
      <c r="P253" s="17"/>
      <c r="Q253" s="17"/>
      <c r="R253" s="17"/>
      <c r="S253" s="17"/>
      <c r="T253" s="17"/>
    </row>
    <row r="254" spans="1:20" s="432" customFormat="1" ht="15.5" hidden="1" x14ac:dyDescent="0.35">
      <c r="A254" s="17"/>
      <c r="B254" s="917"/>
      <c r="C254" s="912"/>
      <c r="D254" s="940"/>
      <c r="E254" s="190"/>
      <c r="F254" s="190"/>
      <c r="G254" s="917"/>
      <c r="H254" s="190"/>
      <c r="I254" s="190"/>
      <c r="J254" s="191"/>
      <c r="K254" s="227"/>
      <c r="L254" s="55"/>
      <c r="M254" s="55"/>
      <c r="N254" s="17"/>
      <c r="O254" s="17"/>
      <c r="P254" s="17"/>
      <c r="Q254" s="17"/>
      <c r="R254" s="17"/>
      <c r="S254" s="17"/>
      <c r="T254" s="17"/>
    </row>
    <row r="255" spans="1:20" s="432" customFormat="1" ht="15.5" hidden="1" x14ac:dyDescent="0.35">
      <c r="A255" s="17"/>
      <c r="B255" s="910" t="s">
        <v>1290</v>
      </c>
      <c r="C255" s="912"/>
      <c r="D255" s="940" t="e">
        <f>D239*G255</f>
        <v>#DIV/0!</v>
      </c>
      <c r="E255" s="190"/>
      <c r="F255" s="190"/>
      <c r="G255" s="917">
        <v>0.3</v>
      </c>
      <c r="H255" s="190"/>
      <c r="I255" s="190"/>
      <c r="J255" s="191"/>
      <c r="K255" s="55"/>
      <c r="L255" s="55"/>
      <c r="M255" s="55"/>
      <c r="N255" s="17"/>
      <c r="O255" s="17"/>
      <c r="P255" s="17"/>
      <c r="Q255" s="17"/>
      <c r="R255" s="17"/>
      <c r="S255" s="17"/>
      <c r="T255" s="17"/>
    </row>
    <row r="256" spans="1:20" s="432" customFormat="1" ht="15.5" hidden="1" x14ac:dyDescent="0.35">
      <c r="A256" s="17"/>
      <c r="B256" s="917"/>
      <c r="C256" s="912"/>
      <c r="D256" s="942"/>
      <c r="E256" s="190"/>
      <c r="F256" s="190"/>
      <c r="G256" s="917"/>
      <c r="H256" s="190"/>
      <c r="I256" s="190"/>
      <c r="J256" s="191"/>
      <c r="K256" s="55"/>
      <c r="L256" s="55"/>
      <c r="M256" s="55"/>
      <c r="N256" s="17"/>
      <c r="O256" s="17"/>
      <c r="P256" s="17"/>
      <c r="Q256" s="17"/>
      <c r="R256" s="17"/>
      <c r="S256" s="17"/>
      <c r="T256" s="17"/>
    </row>
    <row r="257" spans="1:20" s="432" customFormat="1" ht="15.5" hidden="1" x14ac:dyDescent="0.35">
      <c r="A257" s="17"/>
      <c r="B257" s="910" t="s">
        <v>1291</v>
      </c>
      <c r="C257" s="912"/>
      <c r="D257" s="940" t="e">
        <f>D241*G257</f>
        <v>#DIV/0!</v>
      </c>
      <c r="E257" s="190"/>
      <c r="F257" s="190"/>
      <c r="G257" s="917">
        <v>0</v>
      </c>
      <c r="H257" s="190"/>
      <c r="I257" s="190"/>
      <c r="J257" s="191"/>
      <c r="K257" s="55"/>
      <c r="L257" s="55"/>
      <c r="M257" s="55"/>
      <c r="N257" s="17"/>
      <c r="O257" s="17"/>
      <c r="P257" s="17"/>
      <c r="Q257" s="17"/>
      <c r="R257" s="17"/>
      <c r="S257" s="17"/>
      <c r="T257" s="17"/>
    </row>
    <row r="258" spans="1:20" s="432" customFormat="1" ht="15.5" hidden="1" x14ac:dyDescent="0.35">
      <c r="A258" s="17"/>
      <c r="B258" s="917"/>
      <c r="C258" s="912"/>
      <c r="D258" s="917"/>
      <c r="E258" s="190"/>
      <c r="F258" s="190"/>
      <c r="G258" s="917"/>
      <c r="H258" s="190"/>
      <c r="I258" s="190"/>
      <c r="J258" s="191"/>
      <c r="K258" s="55"/>
      <c r="L258" s="55"/>
      <c r="M258" s="55"/>
      <c r="N258" s="17"/>
      <c r="O258" s="17"/>
      <c r="P258" s="17"/>
      <c r="Q258" s="17"/>
      <c r="R258" s="17"/>
      <c r="S258" s="17"/>
      <c r="T258" s="17"/>
    </row>
    <row r="259" spans="1:20" s="432" customFormat="1" ht="15.5" hidden="1" x14ac:dyDescent="0.35">
      <c r="A259" s="17"/>
      <c r="B259" s="916" t="s">
        <v>1282</v>
      </c>
      <c r="C259" s="912"/>
      <c r="D259" s="916" t="s">
        <v>1283</v>
      </c>
      <c r="E259" s="190"/>
      <c r="F259" s="190"/>
      <c r="G259" s="916" t="s">
        <v>1284</v>
      </c>
      <c r="H259" s="190"/>
      <c r="I259" s="190"/>
      <c r="J259" s="191"/>
      <c r="K259" s="55"/>
      <c r="L259" s="55"/>
      <c r="M259" s="55"/>
      <c r="N259" s="17"/>
      <c r="O259" s="17"/>
      <c r="P259" s="17"/>
      <c r="Q259" s="17"/>
      <c r="R259" s="17"/>
      <c r="S259" s="17"/>
      <c r="T259" s="17"/>
    </row>
    <row r="260" spans="1:20" s="432" customFormat="1" ht="15.5" hidden="1" x14ac:dyDescent="0.35">
      <c r="A260" s="17"/>
      <c r="B260" s="917"/>
      <c r="C260" s="912"/>
      <c r="D260" s="940" t="e">
        <f>SUM(D249:D255)*G260*44/28</f>
        <v>#DIV/0!</v>
      </c>
      <c r="E260" s="190"/>
      <c r="F260" s="190"/>
      <c r="G260" s="917">
        <v>3.8999999999999998E-3</v>
      </c>
      <c r="H260" s="190"/>
      <c r="I260" s="190"/>
      <c r="J260" s="191"/>
      <c r="K260" s="55"/>
      <c r="L260" s="55"/>
      <c r="M260" s="55"/>
      <c r="N260" s="17"/>
      <c r="O260" s="17"/>
      <c r="P260" s="17"/>
      <c r="Q260" s="17"/>
      <c r="R260" s="17"/>
      <c r="S260" s="17"/>
      <c r="T260" s="17"/>
    </row>
    <row r="261" spans="1:20" s="432" customFormat="1" ht="15.5" hidden="1" x14ac:dyDescent="0.35">
      <c r="A261" s="17"/>
      <c r="B261" s="917"/>
      <c r="C261" s="912"/>
      <c r="D261" s="940"/>
      <c r="E261" s="190"/>
      <c r="F261" s="190"/>
      <c r="G261" s="917"/>
      <c r="H261" s="190"/>
      <c r="I261" s="190"/>
      <c r="J261" s="191"/>
      <c r="K261" s="55"/>
      <c r="L261" s="55"/>
      <c r="M261" s="55"/>
      <c r="N261" s="17"/>
      <c r="O261" s="17"/>
      <c r="P261" s="17"/>
      <c r="Q261" s="17"/>
      <c r="R261" s="17"/>
      <c r="S261" s="17"/>
      <c r="T261" s="17"/>
    </row>
    <row r="262" spans="1:20" s="432" customFormat="1" ht="15.5" hidden="1" x14ac:dyDescent="0.35">
      <c r="A262" s="17"/>
      <c r="B262" s="917" t="s">
        <v>1915</v>
      </c>
      <c r="C262" s="912"/>
      <c r="D262" s="943" t="e">
        <f>SUM(D260)*'Emission factors'!C5*10^3</f>
        <v>#DIV/0!</v>
      </c>
      <c r="E262" s="190"/>
      <c r="F262" s="190"/>
      <c r="G262" s="917" t="s">
        <v>1294</v>
      </c>
      <c r="H262" s="190"/>
      <c r="I262" s="190"/>
      <c r="J262" s="191"/>
      <c r="K262" s="55"/>
      <c r="L262" s="55"/>
      <c r="M262" s="55"/>
      <c r="N262" s="17"/>
      <c r="O262" s="17"/>
      <c r="P262" s="17"/>
      <c r="Q262" s="17"/>
      <c r="R262" s="17"/>
      <c r="S262" s="17"/>
      <c r="T262" s="17"/>
    </row>
    <row r="263" spans="1:20" s="432" customFormat="1" ht="15.5" hidden="1" x14ac:dyDescent="0.35">
      <c r="A263" s="17"/>
      <c r="B263" s="917"/>
      <c r="C263" s="912"/>
      <c r="D263" s="917"/>
      <c r="E263" s="190"/>
      <c r="F263" s="190"/>
      <c r="G263" s="917"/>
      <c r="H263" s="190"/>
      <c r="I263" s="190"/>
      <c r="J263" s="191"/>
      <c r="K263" s="56"/>
      <c r="L263" s="237"/>
      <c r="M263" s="238"/>
      <c r="N263" s="17"/>
      <c r="O263" s="17"/>
      <c r="P263" s="17"/>
      <c r="Q263" s="17"/>
      <c r="R263" s="17"/>
      <c r="S263" s="17"/>
      <c r="T263" s="17"/>
    </row>
    <row r="264" spans="1:20" s="432" customFormat="1" ht="18" hidden="1" x14ac:dyDescent="0.45">
      <c r="A264" s="17"/>
      <c r="B264" s="916" t="s">
        <v>1286</v>
      </c>
      <c r="C264" s="912"/>
      <c r="D264" s="916" t="s">
        <v>1333</v>
      </c>
      <c r="E264" s="190"/>
      <c r="F264" s="190"/>
      <c r="G264" s="916" t="s">
        <v>1292</v>
      </c>
      <c r="H264" s="190"/>
      <c r="I264" s="190"/>
      <c r="J264" s="191"/>
      <c r="K264" s="56"/>
      <c r="L264" s="237"/>
      <c r="M264" s="239"/>
      <c r="N264" s="17"/>
      <c r="O264" s="17"/>
      <c r="P264" s="17"/>
      <c r="Q264" s="17"/>
      <c r="R264" s="17"/>
      <c r="S264" s="17"/>
      <c r="T264" s="17"/>
    </row>
    <row r="265" spans="1:20" s="432" customFormat="1" ht="15.5" hidden="1" x14ac:dyDescent="0.35">
      <c r="A265" s="17"/>
      <c r="B265" s="917"/>
      <c r="C265" s="912"/>
      <c r="D265" s="917"/>
      <c r="E265" s="190"/>
      <c r="F265" s="190"/>
      <c r="G265" s="917">
        <v>1</v>
      </c>
      <c r="H265" s="190"/>
      <c r="I265" s="190"/>
      <c r="J265" s="191"/>
      <c r="K265" s="55"/>
      <c r="L265" s="56"/>
      <c r="M265" s="239"/>
      <c r="N265" s="17"/>
      <c r="O265" s="17"/>
      <c r="P265" s="17"/>
      <c r="Q265" s="17"/>
      <c r="R265" s="17"/>
      <c r="S265" s="17"/>
      <c r="T265" s="17"/>
    </row>
    <row r="266" spans="1:20" s="432" customFormat="1" ht="15.5" hidden="1" x14ac:dyDescent="0.35">
      <c r="A266" s="17"/>
      <c r="B266" s="917" t="s">
        <v>1341</v>
      </c>
      <c r="C266" s="912"/>
      <c r="D266" s="944" t="e">
        <f>D239*G265*G267</f>
        <v>#DIV/0!</v>
      </c>
      <c r="E266" s="190"/>
      <c r="F266" s="190"/>
      <c r="G266" s="916" t="s">
        <v>1293</v>
      </c>
      <c r="H266" s="190"/>
      <c r="I266" s="190"/>
      <c r="J266" s="191"/>
      <c r="K266" s="55"/>
      <c r="L266" s="242"/>
      <c r="M266" s="239"/>
      <c r="N266" s="55"/>
      <c r="O266" s="55"/>
      <c r="P266" s="55"/>
      <c r="Q266" s="55"/>
      <c r="R266" s="55"/>
      <c r="S266" s="55"/>
      <c r="T266" s="55"/>
    </row>
    <row r="267" spans="1:20" s="432" customFormat="1" ht="15.5" hidden="1" x14ac:dyDescent="0.35">
      <c r="A267" s="17"/>
      <c r="B267" s="916"/>
      <c r="C267" s="911"/>
      <c r="D267" s="917"/>
      <c r="E267" s="190"/>
      <c r="F267" s="190"/>
      <c r="G267" s="1006">
        <v>0.02</v>
      </c>
      <c r="H267" s="190"/>
      <c r="I267" s="190"/>
      <c r="J267" s="191"/>
      <c r="K267" s="55"/>
      <c r="L267" s="242"/>
      <c r="M267" s="239"/>
      <c r="N267" s="55"/>
      <c r="O267" s="55"/>
      <c r="P267" s="55"/>
      <c r="Q267" s="55"/>
      <c r="R267" s="55"/>
      <c r="S267" s="55"/>
      <c r="T267" s="55"/>
    </row>
    <row r="268" spans="1:20" s="432" customFormat="1" ht="15.5" hidden="1" x14ac:dyDescent="0.35">
      <c r="A268" s="17"/>
      <c r="B268" s="916"/>
      <c r="C268" s="911"/>
      <c r="D268" s="916" t="s">
        <v>1336</v>
      </c>
      <c r="E268" s="190"/>
      <c r="F268" s="190"/>
      <c r="G268" s="915" t="s">
        <v>1301</v>
      </c>
      <c r="H268" s="190"/>
      <c r="I268" s="190"/>
      <c r="J268" s="191"/>
      <c r="K268" s="55"/>
      <c r="L268" s="242"/>
      <c r="M268" s="242"/>
      <c r="N268" s="55"/>
      <c r="O268" s="55"/>
      <c r="P268" s="55"/>
      <c r="Q268" s="55"/>
      <c r="R268" s="55"/>
      <c r="S268" s="55"/>
      <c r="T268" s="55"/>
    </row>
    <row r="269" spans="1:20" s="432" customFormat="1" ht="15.5" hidden="1" x14ac:dyDescent="0.35">
      <c r="A269" s="17"/>
      <c r="B269" s="916"/>
      <c r="C269" s="911"/>
      <c r="D269" s="945" t="e">
        <f>D266*G269*44/28</f>
        <v>#DIV/0!</v>
      </c>
      <c r="E269" s="190"/>
      <c r="F269" s="190"/>
      <c r="G269" s="914">
        <v>1.0999999999999999E-2</v>
      </c>
      <c r="H269" s="190"/>
      <c r="I269" s="190"/>
      <c r="J269" s="191"/>
      <c r="K269" s="55"/>
      <c r="L269" s="242"/>
      <c r="M269" s="242"/>
      <c r="N269" s="55"/>
      <c r="O269" s="55"/>
      <c r="P269" s="55"/>
      <c r="Q269" s="55"/>
      <c r="R269" s="55"/>
      <c r="S269" s="55"/>
      <c r="T269" s="55"/>
    </row>
    <row r="270" spans="1:20" s="432" customFormat="1" ht="15.5" hidden="1" x14ac:dyDescent="0.35">
      <c r="A270" s="17"/>
      <c r="B270" s="916"/>
      <c r="C270" s="870"/>
      <c r="D270" s="917"/>
      <c r="E270" s="190"/>
      <c r="F270" s="190"/>
      <c r="G270" s="917"/>
      <c r="H270" s="190"/>
      <c r="I270" s="190"/>
      <c r="J270" s="191"/>
      <c r="K270" s="56"/>
      <c r="L270" s="245"/>
      <c r="M270" s="55"/>
      <c r="N270" s="55"/>
      <c r="O270" s="55"/>
      <c r="P270" s="55"/>
      <c r="Q270" s="55"/>
      <c r="R270" s="55"/>
      <c r="S270" s="55"/>
      <c r="T270" s="55"/>
    </row>
    <row r="271" spans="1:20" s="432" customFormat="1" ht="15.5" hidden="1" x14ac:dyDescent="0.35">
      <c r="A271" s="17"/>
      <c r="B271" s="89" t="s">
        <v>1295</v>
      </c>
      <c r="C271" s="471"/>
      <c r="D271" s="946" t="e">
        <f>SUM(D269)*'Emission factors'!C5*10^3</f>
        <v>#DIV/0!</v>
      </c>
      <c r="E271" s="947"/>
      <c r="F271" s="947"/>
      <c r="G271" s="872" t="s">
        <v>1294</v>
      </c>
      <c r="H271" s="947"/>
      <c r="I271" s="947"/>
      <c r="J271" s="964"/>
      <c r="K271" s="56"/>
      <c r="L271" s="239"/>
      <c r="M271" s="55"/>
      <c r="N271" s="55"/>
      <c r="O271" s="55"/>
      <c r="P271" s="55"/>
      <c r="Q271" s="55"/>
      <c r="R271" s="55"/>
      <c r="S271" s="55"/>
      <c r="T271" s="55"/>
    </row>
    <row r="272" spans="1:20" s="879" customFormat="1" ht="15.5" hidden="1" x14ac:dyDescent="0.35">
      <c r="B272" s="880"/>
      <c r="C272" s="880"/>
      <c r="D272" s="965"/>
      <c r="E272" s="880"/>
      <c r="F272" s="880"/>
      <c r="G272" s="880"/>
      <c r="H272" s="880"/>
      <c r="I272" s="880"/>
      <c r="J272" s="880"/>
      <c r="K272" s="440"/>
      <c r="L272" s="246"/>
      <c r="M272" s="880"/>
      <c r="N272" s="880"/>
      <c r="O272" s="880"/>
      <c r="P272" s="880"/>
      <c r="Q272" s="880"/>
      <c r="R272" s="880"/>
      <c r="S272" s="880"/>
      <c r="T272" s="880"/>
    </row>
    <row r="273" spans="1:20" s="432" customFormat="1" ht="15.5" hidden="1" x14ac:dyDescent="0.35">
      <c r="A273" s="17"/>
      <c r="B273" s="224" t="s">
        <v>245</v>
      </c>
      <c r="C273" s="225"/>
      <c r="D273" s="226"/>
      <c r="E273" s="226"/>
      <c r="F273" s="226"/>
      <c r="G273" s="226"/>
      <c r="H273" s="226"/>
      <c r="I273" s="966"/>
      <c r="J273" s="967"/>
      <c r="K273" s="56"/>
      <c r="L273" s="245"/>
      <c r="M273" s="55"/>
      <c r="N273" s="55"/>
      <c r="O273" s="55"/>
      <c r="P273" s="55"/>
      <c r="Q273" s="55"/>
      <c r="R273" s="55"/>
      <c r="S273" s="55"/>
      <c r="T273" s="55"/>
    </row>
    <row r="274" spans="1:20" s="432" customFormat="1" ht="15.5" hidden="1" x14ac:dyDescent="0.35">
      <c r="A274" s="17"/>
      <c r="B274" s="228"/>
      <c r="C274" s="228"/>
      <c r="D274" s="228"/>
      <c r="E274" s="229"/>
      <c r="F274" s="229"/>
      <c r="G274" s="229"/>
      <c r="H274" s="229"/>
      <c r="I274" s="228"/>
      <c r="J274" s="241"/>
      <c r="K274" s="248"/>
      <c r="L274" s="56"/>
      <c r="M274" s="56"/>
      <c r="N274" s="55"/>
      <c r="O274" s="55"/>
      <c r="P274" s="55"/>
      <c r="Q274" s="55"/>
      <c r="R274" s="55"/>
      <c r="S274" s="55"/>
      <c r="T274" s="55"/>
    </row>
    <row r="275" spans="1:20" s="432" customFormat="1" ht="18" hidden="1" x14ac:dyDescent="0.45">
      <c r="A275" s="17"/>
      <c r="B275" s="920" t="s">
        <v>328</v>
      </c>
      <c r="C275" s="920" t="s">
        <v>1303</v>
      </c>
      <c r="D275" s="921"/>
      <c r="E275" s="229"/>
      <c r="F275" s="229"/>
      <c r="G275" s="232"/>
      <c r="H275" s="232"/>
      <c r="I275" s="228"/>
      <c r="J275" s="230"/>
      <c r="K275" s="55"/>
      <c r="L275" s="55"/>
      <c r="M275" s="249"/>
      <c r="N275" s="55"/>
      <c r="O275" s="55"/>
      <c r="P275" s="55"/>
      <c r="Q275" s="55"/>
      <c r="R275" s="55"/>
      <c r="S275" s="55"/>
      <c r="T275" s="55"/>
    </row>
    <row r="276" spans="1:20" s="432" customFormat="1" ht="15.5" hidden="1" x14ac:dyDescent="0.35">
      <c r="A276" s="17"/>
      <c r="B276" s="918"/>
      <c r="C276" s="918" t="s">
        <v>330</v>
      </c>
      <c r="D276" s="918"/>
      <c r="E276" s="229"/>
      <c r="F276" s="229"/>
      <c r="G276" s="229"/>
      <c r="H276" s="229"/>
      <c r="I276" s="228"/>
      <c r="J276" s="230"/>
      <c r="K276" s="55"/>
      <c r="L276" s="55"/>
      <c r="M276" s="249"/>
      <c r="N276" s="55"/>
      <c r="O276" s="55"/>
      <c r="P276" s="55"/>
      <c r="Q276" s="55"/>
      <c r="R276" s="55"/>
      <c r="S276" s="55"/>
      <c r="T276" s="55"/>
    </row>
    <row r="277" spans="1:20" s="432" customFormat="1" ht="15.5" hidden="1" x14ac:dyDescent="0.35">
      <c r="A277" s="17"/>
      <c r="B277" s="918"/>
      <c r="C277" s="921" t="s">
        <v>1329</v>
      </c>
      <c r="D277" s="918"/>
      <c r="E277" s="229"/>
      <c r="F277" s="229"/>
      <c r="G277" s="229"/>
      <c r="H277" s="229"/>
      <c r="I277" s="228"/>
      <c r="J277" s="230"/>
      <c r="K277" s="55"/>
      <c r="L277" s="55"/>
      <c r="M277" s="249"/>
      <c r="N277" s="55"/>
      <c r="O277" s="55"/>
      <c r="P277" s="55"/>
      <c r="Q277" s="55"/>
      <c r="R277" s="55"/>
      <c r="S277" s="55"/>
      <c r="T277" s="55"/>
    </row>
    <row r="278" spans="1:20" s="432" customFormat="1" ht="15.5" hidden="1" x14ac:dyDescent="0.35">
      <c r="A278" s="17"/>
      <c r="B278" s="921"/>
      <c r="C278" s="921" t="s">
        <v>1304</v>
      </c>
      <c r="D278" s="918"/>
      <c r="E278" s="229"/>
      <c r="F278" s="229"/>
      <c r="G278" s="229"/>
      <c r="H278" s="229"/>
      <c r="I278" s="228"/>
      <c r="J278" s="241"/>
      <c r="K278" s="55"/>
      <c r="L278" s="55"/>
      <c r="M278" s="249"/>
      <c r="N278" s="55"/>
      <c r="O278" s="55"/>
      <c r="P278" s="55"/>
      <c r="Q278" s="55"/>
      <c r="R278" s="55"/>
      <c r="S278" s="55"/>
      <c r="T278" s="55"/>
    </row>
    <row r="279" spans="1:20" s="432" customFormat="1" ht="15.5" hidden="1" x14ac:dyDescent="0.35">
      <c r="A279" s="17"/>
      <c r="B279" s="921"/>
      <c r="C279" s="921" t="s">
        <v>1305</v>
      </c>
      <c r="D279" s="918"/>
      <c r="E279" s="233"/>
      <c r="F279" s="228"/>
      <c r="G279" s="228"/>
      <c r="H279" s="228"/>
      <c r="I279" s="228"/>
      <c r="J279" s="230"/>
      <c r="K279" s="251"/>
      <c r="L279" s="251"/>
      <c r="M279" s="252"/>
      <c r="N279" s="55"/>
      <c r="O279" s="55"/>
      <c r="P279" s="55"/>
      <c r="Q279" s="55"/>
      <c r="R279" s="55"/>
      <c r="S279" s="55"/>
      <c r="T279" s="55"/>
    </row>
    <row r="280" spans="1:20" s="432" customFormat="1" ht="15.5" hidden="1" x14ac:dyDescent="0.35">
      <c r="A280" s="17"/>
      <c r="B280" s="921"/>
      <c r="C280" s="918"/>
      <c r="D280" s="918"/>
      <c r="E280" s="233"/>
      <c r="F280" s="228"/>
      <c r="G280" s="228"/>
      <c r="H280" s="228"/>
      <c r="I280" s="228"/>
      <c r="J280" s="230"/>
      <c r="K280" s="251"/>
      <c r="L280" s="251"/>
      <c r="M280" s="251"/>
      <c r="N280" s="55"/>
      <c r="O280" s="55"/>
      <c r="P280" s="55"/>
      <c r="Q280" s="55"/>
      <c r="R280" s="55"/>
      <c r="S280" s="55"/>
      <c r="T280" s="55"/>
    </row>
    <row r="281" spans="1:20" s="432" customFormat="1" ht="15.5" hidden="1" x14ac:dyDescent="0.35">
      <c r="A281" s="17"/>
      <c r="B281" s="920"/>
      <c r="C281" s="921"/>
      <c r="D281" s="98"/>
      <c r="E281" s="234"/>
      <c r="F281" s="234"/>
      <c r="G281" s="234"/>
      <c r="H281" s="234"/>
      <c r="I281" s="228"/>
      <c r="J281" s="230"/>
      <c r="K281" s="251"/>
      <c r="L281" s="251"/>
      <c r="M281" s="252"/>
      <c r="N281" s="56"/>
      <c r="O281" s="56"/>
      <c r="P281" s="56"/>
      <c r="Q281" s="56"/>
      <c r="R281" s="56"/>
      <c r="S281" s="56"/>
      <c r="T281" s="56"/>
    </row>
    <row r="282" spans="1:20" s="432" customFormat="1" ht="15.5" hidden="1" x14ac:dyDescent="0.35">
      <c r="A282" s="17"/>
      <c r="B282" s="920" t="s">
        <v>1344</v>
      </c>
      <c r="C282" s="922" t="s">
        <v>440</v>
      </c>
      <c r="D282" s="948" t="e">
        <f>(($D$226*'Baseline farm'!$C$85%)*(1-$G233-$G249))-0</f>
        <v>#DIV/0!</v>
      </c>
      <c r="E282" s="236"/>
      <c r="F282" s="236"/>
      <c r="G282" s="236"/>
      <c r="H282" s="236"/>
      <c r="I282" s="228"/>
      <c r="J282" s="241"/>
      <c r="K282" s="251"/>
      <c r="L282" s="251"/>
      <c r="M282" s="252"/>
      <c r="N282" s="56"/>
      <c r="O282" s="56"/>
      <c r="P282" s="56"/>
      <c r="Q282" s="56"/>
      <c r="R282" s="56"/>
      <c r="S282" s="248"/>
      <c r="T282" s="56"/>
    </row>
    <row r="283" spans="1:20" s="432" customFormat="1" ht="15.5" hidden="1" x14ac:dyDescent="0.35">
      <c r="A283" s="17"/>
      <c r="B283" s="921"/>
      <c r="C283" s="921"/>
      <c r="D283" s="948"/>
      <c r="E283" s="228"/>
      <c r="F283" s="228"/>
      <c r="G283" s="228"/>
      <c r="H283" s="228"/>
      <c r="I283" s="228"/>
      <c r="J283" s="241"/>
      <c r="K283" s="251"/>
      <c r="L283" s="251"/>
      <c r="M283" s="252"/>
      <c r="N283" s="56"/>
      <c r="O283" s="253"/>
      <c r="P283" s="253"/>
      <c r="Q283" s="56"/>
      <c r="R283" s="56"/>
      <c r="S283" s="248"/>
      <c r="T283" s="56"/>
    </row>
    <row r="284" spans="1:20" s="432" customFormat="1" ht="15.5" hidden="1" x14ac:dyDescent="0.35">
      <c r="A284" s="17"/>
      <c r="B284" s="920" t="s">
        <v>1345</v>
      </c>
      <c r="C284" s="922" t="s">
        <v>440</v>
      </c>
      <c r="D284" s="948" t="e">
        <f>(($D$226*'Baseline farm'!$D$85%)*(1-$G235-$G251))-0</f>
        <v>#DIV/0!</v>
      </c>
      <c r="E284" s="236"/>
      <c r="F284" s="236"/>
      <c r="G284" s="236"/>
      <c r="H284" s="236"/>
      <c r="I284" s="228"/>
      <c r="J284" s="241"/>
      <c r="K284" s="55"/>
      <c r="L284" s="55"/>
      <c r="M284" s="55"/>
      <c r="N284" s="55"/>
      <c r="O284" s="55"/>
      <c r="P284" s="55"/>
      <c r="Q284" s="55"/>
      <c r="R284" s="55"/>
      <c r="S284" s="55"/>
      <c r="T284" s="55"/>
    </row>
    <row r="285" spans="1:20" s="432" customFormat="1" ht="15.5" hidden="1" x14ac:dyDescent="0.35">
      <c r="A285" s="17"/>
      <c r="B285" s="921"/>
      <c r="C285" s="921"/>
      <c r="D285" s="948"/>
      <c r="E285" s="240"/>
      <c r="F285" s="240"/>
      <c r="G285" s="240"/>
      <c r="H285" s="240"/>
      <c r="I285" s="228"/>
      <c r="J285" s="230"/>
      <c r="K285" s="55"/>
      <c r="L285" s="55"/>
      <c r="M285" s="55"/>
      <c r="N285" s="55"/>
      <c r="O285" s="55"/>
      <c r="P285" s="55"/>
      <c r="Q285" s="55"/>
      <c r="R285" s="55"/>
      <c r="S285" s="55"/>
      <c r="T285" s="55"/>
    </row>
    <row r="286" spans="1:20" s="432" customFormat="1" ht="15.5" hidden="1" x14ac:dyDescent="0.35">
      <c r="A286" s="17"/>
      <c r="B286" s="920" t="s">
        <v>1346</v>
      </c>
      <c r="C286" s="922" t="s">
        <v>440</v>
      </c>
      <c r="D286" s="948" t="e">
        <f>(($D$226*'Baseline farm'!$E$85%)*(1-$G237-$G253))-0</f>
        <v>#DIV/0!</v>
      </c>
      <c r="E286" s="243"/>
      <c r="F286" s="243"/>
      <c r="G286" s="243"/>
      <c r="H286" s="243"/>
      <c r="I286" s="228"/>
      <c r="J286" s="241"/>
      <c r="K286" s="55"/>
      <c r="L286" s="55"/>
      <c r="M286" s="55"/>
      <c r="N286" s="55"/>
      <c r="O286" s="55"/>
      <c r="P286" s="55"/>
      <c r="Q286" s="55"/>
      <c r="R286" s="55"/>
      <c r="S286" s="55"/>
      <c r="T286" s="55"/>
    </row>
    <row r="287" spans="1:20" s="432" customFormat="1" ht="15.5" hidden="1" x14ac:dyDescent="0.35">
      <c r="A287" s="17"/>
      <c r="B287" s="921"/>
      <c r="C287" s="922"/>
      <c r="D287" s="948"/>
      <c r="E287" s="244"/>
      <c r="F287" s="244"/>
      <c r="G287" s="244"/>
      <c r="H287" s="244"/>
      <c r="I287" s="228"/>
      <c r="J287" s="241"/>
      <c r="K287" s="55"/>
      <c r="L287" s="55"/>
      <c r="M287" s="55"/>
      <c r="N287" s="55"/>
      <c r="O287" s="55"/>
      <c r="P287" s="55"/>
      <c r="Q287" s="55"/>
      <c r="R287" s="55"/>
      <c r="S287" s="55"/>
      <c r="T287" s="55"/>
    </row>
    <row r="288" spans="1:20" s="432" customFormat="1" ht="15.5" hidden="1" x14ac:dyDescent="0.35">
      <c r="A288" s="17"/>
      <c r="B288" s="920" t="s">
        <v>1347</v>
      </c>
      <c r="C288" s="922" t="s">
        <v>440</v>
      </c>
      <c r="D288" s="948" t="e">
        <f>(($D$226*'Baseline farm'!$F$85%)*(1-$G239-$G255))-D266</f>
        <v>#DIV/0!</v>
      </c>
      <c r="E288" s="236"/>
      <c r="F288" s="236"/>
      <c r="G288" s="236"/>
      <c r="H288" s="236"/>
      <c r="I288" s="228"/>
      <c r="J288" s="241"/>
      <c r="K288" s="55"/>
      <c r="L288" s="55"/>
      <c r="M288" s="55"/>
      <c r="N288" s="56"/>
      <c r="O288" s="56"/>
      <c r="P288" s="56"/>
      <c r="Q288" s="56"/>
      <c r="R288" s="56"/>
      <c r="S288" s="56"/>
      <c r="T288" s="56"/>
    </row>
    <row r="289" spans="1:23" s="432" customFormat="1" ht="15.5" hidden="1" x14ac:dyDescent="0.35">
      <c r="A289" s="17"/>
      <c r="B289" s="921"/>
      <c r="C289" s="922"/>
      <c r="D289" s="948"/>
      <c r="E289" s="228"/>
      <c r="F289" s="228"/>
      <c r="G289" s="228"/>
      <c r="H289" s="228"/>
      <c r="I289" s="235"/>
      <c r="J289" s="241"/>
      <c r="K289" s="55"/>
      <c r="L289" s="255"/>
      <c r="M289" s="55"/>
      <c r="N289" s="56"/>
      <c r="O289" s="56"/>
      <c r="P289" s="56"/>
      <c r="Q289" s="56"/>
      <c r="R289" s="56"/>
      <c r="S289" s="56"/>
      <c r="T289" s="56"/>
    </row>
    <row r="290" spans="1:23" s="432" customFormat="1" ht="15.5" hidden="1" x14ac:dyDescent="0.35">
      <c r="A290" s="17"/>
      <c r="B290" s="920" t="s">
        <v>1348</v>
      </c>
      <c r="C290" s="922" t="s">
        <v>440</v>
      </c>
      <c r="D290" s="948" t="e">
        <f>SUM(D282:D288)</f>
        <v>#DIV/0!</v>
      </c>
      <c r="E290" s="228"/>
      <c r="F290" s="228"/>
      <c r="G290" s="228"/>
      <c r="H290" s="228"/>
      <c r="I290" s="228"/>
      <c r="J290" s="241"/>
      <c r="K290" s="55"/>
      <c r="L290" s="55"/>
      <c r="M290" s="55"/>
      <c r="N290" s="55"/>
      <c r="O290" s="55"/>
      <c r="P290" s="55"/>
      <c r="Q290" s="55"/>
      <c r="R290" s="55"/>
      <c r="S290" s="55"/>
      <c r="T290" s="55"/>
    </row>
    <row r="291" spans="1:23" s="432" customFormat="1" ht="15.5" hidden="1" x14ac:dyDescent="0.35">
      <c r="A291" s="17"/>
      <c r="B291" s="921"/>
      <c r="C291" s="921"/>
      <c r="D291" s="921"/>
      <c r="E291" s="228"/>
      <c r="F291" s="228"/>
      <c r="G291" s="228"/>
      <c r="H291" s="228"/>
      <c r="I291" s="228"/>
      <c r="J291" s="241"/>
      <c r="K291" s="55"/>
      <c r="L291" s="55"/>
      <c r="M291" s="55"/>
      <c r="N291" s="55"/>
      <c r="O291" s="55"/>
      <c r="P291" s="55"/>
      <c r="Q291" s="55"/>
      <c r="R291" s="55"/>
      <c r="S291" s="55"/>
      <c r="T291" s="55"/>
    </row>
    <row r="292" spans="1:23" s="432" customFormat="1" ht="15.5" hidden="1" x14ac:dyDescent="0.35">
      <c r="A292" s="17"/>
      <c r="B292" s="920" t="s">
        <v>1367</v>
      </c>
      <c r="C292" s="920" t="s">
        <v>332</v>
      </c>
      <c r="D292" s="923"/>
      <c r="E292" s="247"/>
      <c r="F292" s="247"/>
      <c r="G292" s="247"/>
      <c r="H292" s="247"/>
      <c r="I292" s="235"/>
      <c r="J292" s="241"/>
      <c r="K292" s="17"/>
      <c r="L292" s="17"/>
      <c r="M292" s="17"/>
      <c r="N292" s="55"/>
      <c r="O292" s="55"/>
      <c r="P292" s="55"/>
      <c r="Q292" s="55"/>
      <c r="R292" s="55"/>
      <c r="S292" s="55"/>
      <c r="T292" s="55"/>
    </row>
    <row r="293" spans="1:23" s="432" customFormat="1" ht="15.5" hidden="1" x14ac:dyDescent="0.35">
      <c r="A293" s="17"/>
      <c r="B293" s="921"/>
      <c r="C293" s="921" t="s">
        <v>334</v>
      </c>
      <c r="D293" s="949">
        <v>0.01</v>
      </c>
      <c r="E293" s="228"/>
      <c r="F293" s="228"/>
      <c r="G293" s="228"/>
      <c r="H293" s="228"/>
      <c r="I293" s="235"/>
      <c r="J293" s="256"/>
      <c r="K293" s="17"/>
      <c r="L293" s="17"/>
      <c r="M293" s="17"/>
      <c r="N293" s="55"/>
      <c r="O293" s="55"/>
      <c r="P293" s="55"/>
      <c r="Q293" s="55"/>
      <c r="R293" s="55"/>
      <c r="S293" s="55"/>
      <c r="T293" s="55"/>
    </row>
    <row r="294" spans="1:23" s="432" customFormat="1" ht="15.5" hidden="1" x14ac:dyDescent="0.35">
      <c r="A294" s="17"/>
      <c r="B294" s="921"/>
      <c r="C294" s="922" t="s">
        <v>440</v>
      </c>
      <c r="D294" s="950" t="e">
        <f>D290*D293*44/28</f>
        <v>#DIV/0!</v>
      </c>
      <c r="E294" s="228"/>
      <c r="F294" s="228"/>
      <c r="G294" s="228"/>
      <c r="H294" s="228"/>
      <c r="I294" s="235"/>
      <c r="J294" s="256"/>
      <c r="K294" s="257"/>
      <c r="L294" s="257"/>
      <c r="M294" s="257"/>
      <c r="N294" s="55"/>
      <c r="O294" s="55"/>
      <c r="P294" s="55"/>
      <c r="Q294" s="55"/>
      <c r="R294" s="55"/>
      <c r="S294" s="55"/>
      <c r="T294" s="55"/>
    </row>
    <row r="295" spans="1:23" s="432" customFormat="1" ht="15.5" hidden="1" x14ac:dyDescent="0.35">
      <c r="A295" s="17"/>
      <c r="B295" s="231" t="s">
        <v>368</v>
      </c>
      <c r="C295" s="228"/>
      <c r="D295" s="228"/>
      <c r="E295" s="228"/>
      <c r="F295" s="228"/>
      <c r="G295" s="228"/>
      <c r="H295" s="228"/>
      <c r="I295" s="235"/>
      <c r="J295" s="256"/>
      <c r="K295" s="257"/>
      <c r="L295" s="257"/>
      <c r="M295" s="257"/>
      <c r="N295" s="55"/>
      <c r="O295" s="55"/>
      <c r="P295" s="55"/>
      <c r="Q295" s="55"/>
      <c r="R295" s="55"/>
      <c r="S295" s="55"/>
      <c r="T295" s="55"/>
    </row>
    <row r="296" spans="1:23" s="432" customFormat="1" ht="15.5" hidden="1" x14ac:dyDescent="0.35">
      <c r="A296" s="17"/>
      <c r="B296" s="228"/>
      <c r="C296" s="231" t="s">
        <v>370</v>
      </c>
      <c r="D296" s="228"/>
      <c r="E296" s="228"/>
      <c r="F296" s="228"/>
      <c r="G296" s="228"/>
      <c r="H296" s="228"/>
      <c r="I296" s="235"/>
      <c r="J296" s="256"/>
      <c r="K296" s="257"/>
      <c r="L296" s="257"/>
      <c r="M296" s="257"/>
      <c r="N296" s="55"/>
      <c r="O296" s="55"/>
      <c r="P296" s="55"/>
      <c r="Q296" s="55"/>
      <c r="R296" s="55"/>
      <c r="S296" s="55"/>
      <c r="T296" s="55"/>
    </row>
    <row r="297" spans="1:23" s="432" customFormat="1" ht="15.5" hidden="1" x14ac:dyDescent="0.35">
      <c r="A297" s="17"/>
      <c r="B297" s="228"/>
      <c r="C297" s="228"/>
      <c r="D297" s="228"/>
      <c r="E297" s="228"/>
      <c r="F297" s="228"/>
      <c r="G297" s="228"/>
      <c r="H297" s="228"/>
      <c r="I297" s="228"/>
      <c r="J297" s="256"/>
      <c r="K297" s="257"/>
      <c r="L297" s="257"/>
      <c r="M297" s="257"/>
      <c r="N297" s="258"/>
      <c r="O297" s="258"/>
      <c r="P297" s="258"/>
      <c r="Q297" s="258"/>
      <c r="R297" s="258"/>
      <c r="S297" s="258"/>
      <c r="T297" s="55"/>
    </row>
    <row r="298" spans="1:23" s="432" customFormat="1" ht="15.5" hidden="1" x14ac:dyDescent="0.35">
      <c r="A298" s="17"/>
      <c r="B298" s="250"/>
      <c r="C298" s="235" t="s">
        <v>440</v>
      </c>
      <c r="D298" s="951" t="e">
        <f>D218*'Baseline farm'!G85%</f>
        <v>#DIV/0!</v>
      </c>
      <c r="E298" s="240"/>
      <c r="F298" s="240"/>
      <c r="G298" s="240"/>
      <c r="H298" s="240"/>
      <c r="I298" s="228"/>
      <c r="J298" s="230"/>
      <c r="K298" s="227"/>
      <c r="L298" s="257"/>
      <c r="M298" s="257"/>
      <c r="N298" s="55"/>
      <c r="O298" s="55"/>
      <c r="P298" s="55"/>
      <c r="Q298" s="55"/>
      <c r="R298" s="55"/>
      <c r="S298" s="55"/>
      <c r="T298" s="55"/>
    </row>
    <row r="299" spans="1:23" s="432" customFormat="1" ht="15.5" hidden="1" x14ac:dyDescent="0.35">
      <c r="A299" s="17"/>
      <c r="B299" s="228"/>
      <c r="C299" s="228"/>
      <c r="D299" s="951"/>
      <c r="E299" s="240"/>
      <c r="F299" s="240"/>
      <c r="G299" s="240"/>
      <c r="H299" s="240"/>
      <c r="I299" s="228"/>
      <c r="J299" s="230"/>
      <c r="K299" s="55"/>
      <c r="L299" s="257"/>
      <c r="M299" s="257"/>
      <c r="N299" s="55"/>
      <c r="O299" s="55"/>
      <c r="P299" s="55"/>
      <c r="Q299" s="55"/>
      <c r="R299" s="55"/>
      <c r="S299" s="55"/>
      <c r="T299" s="55"/>
    </row>
    <row r="300" spans="1:23" s="432" customFormat="1" ht="15.5" hidden="1" x14ac:dyDescent="0.35">
      <c r="A300" s="17"/>
      <c r="B300" s="228"/>
      <c r="C300" s="231" t="s">
        <v>372</v>
      </c>
      <c r="D300" s="951"/>
      <c r="E300" s="240"/>
      <c r="F300" s="240"/>
      <c r="G300" s="240"/>
      <c r="H300" s="240"/>
      <c r="I300" s="259"/>
      <c r="J300" s="230"/>
      <c r="K300" s="55"/>
      <c r="L300" s="257"/>
      <c r="M300" s="257"/>
      <c r="N300" s="55"/>
      <c r="O300" s="55"/>
      <c r="P300" s="55"/>
      <c r="Q300" s="55"/>
      <c r="R300" s="55"/>
      <c r="S300" s="55"/>
      <c r="T300" s="55"/>
    </row>
    <row r="301" spans="1:23" s="432" customFormat="1" ht="15.5" hidden="1" x14ac:dyDescent="0.35">
      <c r="A301" s="17"/>
      <c r="B301" s="228"/>
      <c r="C301" s="228"/>
      <c r="D301" s="951"/>
      <c r="E301" s="240"/>
      <c r="F301" s="240"/>
      <c r="G301" s="240"/>
      <c r="H301" s="240"/>
      <c r="I301" s="259"/>
      <c r="J301" s="230"/>
      <c r="K301" s="919"/>
      <c r="L301" s="919"/>
      <c r="M301" s="919"/>
      <c r="N301" s="919"/>
      <c r="O301" s="919"/>
      <c r="P301" s="919"/>
      <c r="Q301" s="919"/>
      <c r="R301" s="919"/>
      <c r="S301" s="919"/>
      <c r="T301" s="919"/>
      <c r="U301" s="919"/>
      <c r="V301" s="919"/>
      <c r="W301" s="919"/>
    </row>
    <row r="302" spans="1:23" s="432" customFormat="1" ht="15.5" hidden="1" x14ac:dyDescent="0.35">
      <c r="A302" s="17"/>
      <c r="B302" s="228"/>
      <c r="C302" s="235" t="s">
        <v>440</v>
      </c>
      <c r="D302" s="951" t="e">
        <f>D222*'Baseline farm'!G85%</f>
        <v>#DIV/0!</v>
      </c>
      <c r="E302" s="240"/>
      <c r="F302" s="240"/>
      <c r="G302" s="240"/>
      <c r="H302" s="240"/>
      <c r="I302" s="259"/>
      <c r="J302" s="230"/>
      <c r="K302" s="919"/>
      <c r="L302" s="919"/>
      <c r="M302" s="919"/>
      <c r="N302" s="919"/>
      <c r="O302" s="919"/>
      <c r="P302" s="919"/>
      <c r="Q302" s="919"/>
      <c r="R302" s="919"/>
      <c r="S302" s="919"/>
      <c r="T302" s="919"/>
      <c r="U302" s="919"/>
      <c r="V302" s="919"/>
      <c r="W302" s="919"/>
    </row>
    <row r="303" spans="1:23" s="432" customFormat="1" ht="15.5" hidden="1" x14ac:dyDescent="0.35">
      <c r="A303" s="17"/>
      <c r="B303" s="228"/>
      <c r="C303" s="228"/>
      <c r="D303" s="228"/>
      <c r="E303" s="228"/>
      <c r="F303" s="228"/>
      <c r="G303" s="228"/>
      <c r="H303" s="228"/>
      <c r="I303" s="259"/>
      <c r="J303" s="230"/>
      <c r="K303" s="919"/>
      <c r="L303" s="919"/>
      <c r="M303" s="919"/>
      <c r="N303" s="919"/>
      <c r="O303" s="919"/>
      <c r="P303" s="919"/>
      <c r="Q303" s="919"/>
      <c r="R303" s="919"/>
      <c r="S303" s="919"/>
      <c r="T303" s="919"/>
      <c r="U303" s="919"/>
      <c r="V303" s="919"/>
      <c r="W303" s="919"/>
    </row>
    <row r="304" spans="1:23" s="432" customFormat="1" ht="15.5" hidden="1" x14ac:dyDescent="0.35">
      <c r="A304" s="17"/>
      <c r="B304" s="231" t="s">
        <v>374</v>
      </c>
      <c r="C304" s="231" t="s">
        <v>375</v>
      </c>
      <c r="D304" s="228"/>
      <c r="E304" s="228"/>
      <c r="F304" s="228"/>
      <c r="G304" s="228"/>
      <c r="H304" s="228"/>
      <c r="I304" s="228"/>
      <c r="J304" s="230"/>
      <c r="K304" s="919"/>
      <c r="L304" s="919"/>
      <c r="M304" s="919"/>
      <c r="N304" s="919"/>
      <c r="O304" s="919"/>
      <c r="P304" s="919"/>
      <c r="Q304" s="919"/>
      <c r="R304" s="919"/>
      <c r="S304" s="919"/>
      <c r="T304" s="919"/>
      <c r="U304" s="919"/>
      <c r="V304" s="919"/>
      <c r="W304" s="919"/>
    </row>
    <row r="305" spans="1:23" s="432" customFormat="1" ht="15.5" hidden="1" x14ac:dyDescent="0.35">
      <c r="A305" s="17"/>
      <c r="B305" s="228"/>
      <c r="C305" s="228" t="s">
        <v>377</v>
      </c>
      <c r="D305" s="260">
        <v>4.0000000000000001E-3</v>
      </c>
      <c r="E305" s="228"/>
      <c r="F305" s="228"/>
      <c r="G305" s="228"/>
      <c r="H305" s="228"/>
      <c r="I305" s="228"/>
      <c r="J305" s="230"/>
      <c r="K305" s="919"/>
      <c r="L305" s="919"/>
      <c r="M305" s="919"/>
      <c r="N305" s="919"/>
      <c r="O305" s="919"/>
      <c r="P305" s="919"/>
      <c r="Q305" s="919"/>
      <c r="R305" s="919"/>
      <c r="S305" s="919"/>
      <c r="T305" s="919"/>
      <c r="U305" s="919"/>
      <c r="V305" s="919"/>
      <c r="W305" s="919"/>
    </row>
    <row r="306" spans="1:23" s="432" customFormat="1" ht="15.5" hidden="1" x14ac:dyDescent="0.35">
      <c r="A306" s="17"/>
      <c r="B306" s="228"/>
      <c r="C306" s="228" t="s">
        <v>378</v>
      </c>
      <c r="D306" s="260">
        <v>4.0000000000000001E-3</v>
      </c>
      <c r="E306" s="228"/>
      <c r="F306" s="228"/>
      <c r="G306" s="228"/>
      <c r="H306" s="228"/>
      <c r="I306" s="228"/>
      <c r="J306" s="241"/>
      <c r="K306" s="919"/>
      <c r="L306" s="919"/>
      <c r="M306" s="919"/>
      <c r="N306" s="919"/>
      <c r="O306" s="919"/>
      <c r="P306" s="919"/>
      <c r="Q306" s="919"/>
      <c r="R306" s="919"/>
      <c r="S306" s="919"/>
      <c r="T306" s="919"/>
      <c r="U306" s="919"/>
      <c r="V306" s="919"/>
      <c r="W306" s="919"/>
    </row>
    <row r="307" spans="1:23" s="432" customFormat="1" ht="15.5" hidden="1" x14ac:dyDescent="0.35">
      <c r="A307" s="17"/>
      <c r="B307" s="228"/>
      <c r="C307" s="228"/>
      <c r="D307" s="228"/>
      <c r="E307" s="228"/>
      <c r="F307" s="228"/>
      <c r="G307" s="228"/>
      <c r="H307" s="228"/>
      <c r="I307" s="259"/>
      <c r="J307" s="230"/>
      <c r="K307" s="919"/>
      <c r="L307" s="919"/>
      <c r="M307" s="919"/>
      <c r="N307" s="919"/>
      <c r="O307" s="919"/>
      <c r="P307" s="919"/>
      <c r="Q307" s="919"/>
      <c r="R307" s="919"/>
      <c r="S307" s="919"/>
      <c r="T307" s="919"/>
      <c r="U307" s="919"/>
      <c r="V307" s="919"/>
      <c r="W307" s="919"/>
    </row>
    <row r="308" spans="1:23" s="432" customFormat="1" ht="15.5" hidden="1" x14ac:dyDescent="0.35">
      <c r="A308" s="17"/>
      <c r="B308" s="228"/>
      <c r="C308" s="235" t="s">
        <v>440</v>
      </c>
      <c r="D308" s="952" t="e">
        <f>(D298+D302)*D305*44/28</f>
        <v>#DIV/0!</v>
      </c>
      <c r="E308" s="254"/>
      <c r="F308" s="254"/>
      <c r="G308" s="254"/>
      <c r="H308" s="254"/>
      <c r="I308" s="228"/>
      <c r="J308" s="241"/>
      <c r="K308" s="919"/>
      <c r="L308" s="919"/>
      <c r="M308" s="919"/>
      <c r="N308" s="919"/>
      <c r="O308" s="919"/>
      <c r="P308" s="919"/>
      <c r="Q308" s="919"/>
      <c r="R308" s="919"/>
      <c r="S308" s="919"/>
      <c r="T308" s="919"/>
      <c r="U308" s="919"/>
      <c r="V308" s="919"/>
      <c r="W308" s="919"/>
    </row>
    <row r="309" spans="1:23" s="432" customFormat="1" ht="15.5" hidden="1" x14ac:dyDescent="0.35">
      <c r="A309" s="17"/>
      <c r="B309" s="228"/>
      <c r="C309" s="228"/>
      <c r="D309" s="953"/>
      <c r="E309" s="228"/>
      <c r="F309" s="228"/>
      <c r="G309" s="228"/>
      <c r="H309" s="228"/>
      <c r="I309" s="228"/>
      <c r="J309" s="241"/>
      <c r="K309" s="919"/>
      <c r="L309" s="919"/>
      <c r="M309" s="919"/>
      <c r="N309" s="919"/>
      <c r="O309" s="919"/>
      <c r="P309" s="919"/>
      <c r="Q309" s="919"/>
      <c r="R309" s="919"/>
      <c r="S309" s="919"/>
      <c r="T309" s="919"/>
      <c r="U309" s="919"/>
      <c r="V309" s="919"/>
      <c r="W309" s="919"/>
    </row>
    <row r="310" spans="1:23" s="432" customFormat="1" ht="15.5" hidden="1" x14ac:dyDescent="0.35">
      <c r="A310" s="17"/>
      <c r="B310" s="231" t="s">
        <v>379</v>
      </c>
      <c r="C310" s="228"/>
      <c r="D310" s="954"/>
      <c r="E310" s="228"/>
      <c r="F310" s="228"/>
      <c r="G310" s="228"/>
      <c r="H310" s="228"/>
      <c r="I310" s="228"/>
      <c r="J310" s="230"/>
      <c r="K310" s="919"/>
      <c r="L310" s="919"/>
      <c r="M310" s="919"/>
      <c r="N310" s="919"/>
      <c r="O310" s="919"/>
      <c r="P310" s="919"/>
      <c r="Q310" s="919"/>
      <c r="R310" s="919"/>
      <c r="S310" s="919"/>
      <c r="T310" s="919"/>
      <c r="U310" s="919"/>
      <c r="V310" s="919"/>
      <c r="W310" s="919"/>
    </row>
    <row r="311" spans="1:23" s="432" customFormat="1" ht="15.5" hidden="1" x14ac:dyDescent="0.35">
      <c r="A311" s="17"/>
      <c r="B311" s="228"/>
      <c r="C311" s="235" t="s">
        <v>440</v>
      </c>
      <c r="D311" s="955" t="e">
        <f>D294+D308</f>
        <v>#DIV/0!</v>
      </c>
      <c r="E311" s="250"/>
      <c r="F311" s="250"/>
      <c r="G311" s="250"/>
      <c r="H311" s="250"/>
      <c r="I311" s="228"/>
      <c r="J311" s="230"/>
      <c r="K311" s="919"/>
      <c r="L311" s="919"/>
      <c r="M311" s="919"/>
      <c r="N311" s="919"/>
      <c r="O311" s="919"/>
      <c r="P311" s="919"/>
      <c r="Q311" s="919"/>
      <c r="R311" s="919"/>
      <c r="S311" s="919"/>
      <c r="T311" s="919"/>
      <c r="U311" s="919"/>
      <c r="V311" s="919"/>
      <c r="W311" s="919"/>
    </row>
    <row r="312" spans="1:23" s="432" customFormat="1" ht="15.5" hidden="1" x14ac:dyDescent="0.35">
      <c r="A312" s="17"/>
      <c r="B312" s="228"/>
      <c r="C312" s="235"/>
      <c r="D312" s="250"/>
      <c r="E312" s="250"/>
      <c r="F312" s="250"/>
      <c r="G312" s="250"/>
      <c r="H312" s="250"/>
      <c r="I312" s="228"/>
      <c r="J312" s="230"/>
      <c r="K312" s="919"/>
      <c r="L312" s="919"/>
      <c r="M312" s="919"/>
      <c r="N312" s="919"/>
      <c r="O312" s="919"/>
      <c r="P312" s="919"/>
      <c r="Q312" s="919"/>
      <c r="R312" s="919"/>
      <c r="S312" s="919"/>
      <c r="T312" s="919"/>
      <c r="U312" s="919"/>
      <c r="V312" s="919"/>
      <c r="W312" s="919"/>
    </row>
    <row r="313" spans="1:23" s="432" customFormat="1" ht="15.5" hidden="1" x14ac:dyDescent="0.35">
      <c r="A313" s="17"/>
      <c r="B313" s="228"/>
      <c r="C313" s="235"/>
      <c r="D313" s="247"/>
      <c r="E313" s="233"/>
      <c r="F313" s="228"/>
      <c r="G313" s="228"/>
      <c r="H313" s="228"/>
      <c r="I313" s="228"/>
      <c r="J313" s="230"/>
      <c r="K313" s="55"/>
      <c r="L313" s="55"/>
      <c r="M313" s="55"/>
      <c r="N313" s="17"/>
      <c r="O313" s="17"/>
      <c r="P313" s="17"/>
      <c r="Q313" s="17"/>
      <c r="R313" s="17"/>
      <c r="S313" s="17"/>
      <c r="T313" s="17"/>
    </row>
    <row r="314" spans="1:23" s="432" customFormat="1" ht="15.5" hidden="1" x14ac:dyDescent="0.35">
      <c r="A314" s="17"/>
      <c r="B314" s="920" t="s">
        <v>386</v>
      </c>
      <c r="C314" s="920" t="s">
        <v>1310</v>
      </c>
      <c r="D314" s="921"/>
      <c r="E314" s="228"/>
      <c r="F314" s="228"/>
      <c r="G314" s="228"/>
      <c r="H314" s="228"/>
      <c r="I314" s="228"/>
      <c r="J314" s="230"/>
      <c r="K314" s="55"/>
      <c r="L314" s="55"/>
      <c r="M314" s="55"/>
      <c r="N314" s="17"/>
      <c r="O314" s="17"/>
      <c r="P314" s="17"/>
      <c r="Q314" s="17"/>
      <c r="R314" s="17"/>
      <c r="S314" s="17"/>
      <c r="T314" s="17"/>
    </row>
    <row r="315" spans="1:23" s="432" customFormat="1" ht="15.5" hidden="1" x14ac:dyDescent="0.35">
      <c r="A315" s="17"/>
      <c r="B315" s="921"/>
      <c r="C315" s="921" t="s">
        <v>1311</v>
      </c>
      <c r="D315" s="956">
        <v>0.21</v>
      </c>
      <c r="E315" s="228"/>
      <c r="F315" s="228"/>
      <c r="G315" s="228"/>
      <c r="H315" s="228"/>
      <c r="I315" s="259"/>
      <c r="J315" s="230"/>
      <c r="K315" s="55"/>
      <c r="L315" s="55"/>
      <c r="M315" s="55"/>
      <c r="N315" s="17"/>
      <c r="O315" s="17"/>
      <c r="P315" s="17"/>
      <c r="Q315" s="17"/>
      <c r="R315" s="17"/>
      <c r="S315" s="17"/>
      <c r="T315" s="17"/>
    </row>
    <row r="316" spans="1:23" s="432" customFormat="1" ht="15.5" hidden="1" x14ac:dyDescent="0.35">
      <c r="A316" s="17"/>
      <c r="B316" s="921"/>
      <c r="C316" s="921"/>
      <c r="D316" s="921"/>
      <c r="E316" s="228"/>
      <c r="F316" s="228"/>
      <c r="G316" s="228"/>
      <c r="H316" s="228"/>
      <c r="I316" s="228"/>
      <c r="J316" s="230"/>
      <c r="K316" s="55"/>
      <c r="L316" s="55"/>
      <c r="M316" s="55"/>
      <c r="N316" s="17"/>
      <c r="O316" s="17"/>
      <c r="P316" s="17"/>
      <c r="Q316" s="17"/>
      <c r="R316" s="17"/>
      <c r="S316" s="17"/>
      <c r="T316" s="17"/>
    </row>
    <row r="317" spans="1:23" s="432" customFormat="1" ht="15.5" hidden="1" x14ac:dyDescent="0.35">
      <c r="A317" s="17"/>
      <c r="B317" s="921" t="s">
        <v>390</v>
      </c>
      <c r="C317" s="922" t="s">
        <v>440</v>
      </c>
      <c r="D317" s="1208" t="e">
        <f>(D290+D298+D302)*D315</f>
        <v>#DIV/0!</v>
      </c>
      <c r="E317" s="233"/>
      <c r="F317" s="261"/>
      <c r="G317" s="261"/>
      <c r="H317" s="261"/>
      <c r="I317" s="259"/>
      <c r="J317" s="241"/>
      <c r="K317" s="55"/>
      <c r="L317" s="55"/>
      <c r="M317" s="55"/>
      <c r="N317" s="17"/>
      <c r="O317" s="17"/>
      <c r="P317" s="17"/>
      <c r="Q317" s="17"/>
      <c r="R317" s="17"/>
      <c r="S317" s="17"/>
      <c r="T317" s="17"/>
    </row>
    <row r="318" spans="1:23" s="432" customFormat="1" ht="15.5" hidden="1" x14ac:dyDescent="0.35">
      <c r="A318" s="17"/>
      <c r="B318" s="228"/>
      <c r="C318" s="228"/>
      <c r="D318" s="228"/>
      <c r="E318" s="233"/>
      <c r="F318" s="228"/>
      <c r="G318" s="228"/>
      <c r="H318" s="228"/>
      <c r="I318" s="259"/>
      <c r="J318" s="230"/>
      <c r="K318" s="55"/>
      <c r="L318" s="55"/>
      <c r="M318" s="55"/>
      <c r="N318" s="17"/>
      <c r="O318" s="17"/>
      <c r="P318" s="17"/>
      <c r="Q318" s="17"/>
      <c r="R318" s="17"/>
      <c r="S318" s="17"/>
      <c r="T318" s="17"/>
    </row>
    <row r="319" spans="1:23" s="432" customFormat="1" ht="15.5" hidden="1" x14ac:dyDescent="0.35">
      <c r="A319" s="17"/>
      <c r="B319" s="921"/>
      <c r="C319" s="920" t="s">
        <v>349</v>
      </c>
      <c r="D319" s="921"/>
      <c r="E319" s="228"/>
      <c r="F319" s="228"/>
      <c r="G319" s="228"/>
      <c r="H319" s="228"/>
      <c r="I319" s="259"/>
      <c r="J319" s="230"/>
      <c r="K319" s="55"/>
      <c r="L319" s="55"/>
      <c r="M319" s="55"/>
      <c r="N319" s="17"/>
      <c r="O319" s="17"/>
      <c r="P319" s="17"/>
      <c r="Q319" s="17"/>
      <c r="R319" s="17"/>
      <c r="S319" s="17"/>
      <c r="T319" s="17"/>
    </row>
    <row r="320" spans="1:23" s="432" customFormat="1" ht="15.5" hidden="1" x14ac:dyDescent="0.35">
      <c r="A320" s="17"/>
      <c r="B320" s="921"/>
      <c r="C320" s="921" t="s">
        <v>399</v>
      </c>
      <c r="D320" s="921"/>
      <c r="E320" s="228"/>
      <c r="F320" s="228"/>
      <c r="G320" s="228"/>
      <c r="H320" s="228"/>
      <c r="I320" s="259"/>
      <c r="J320" s="230"/>
      <c r="K320" s="55"/>
      <c r="L320" s="55"/>
      <c r="M320" s="55"/>
      <c r="N320" s="17"/>
      <c r="O320" s="17"/>
      <c r="P320" s="17"/>
      <c r="Q320" s="17"/>
      <c r="R320" s="17"/>
      <c r="S320" s="17"/>
      <c r="T320" s="17"/>
    </row>
    <row r="321" spans="1:23" s="432" customFormat="1" ht="15.5" hidden="1" x14ac:dyDescent="0.35">
      <c r="A321" s="17"/>
      <c r="B321" s="921"/>
      <c r="C321" s="921" t="s">
        <v>1300</v>
      </c>
      <c r="D321" s="956">
        <v>4.0000000000000001E-3</v>
      </c>
      <c r="E321" s="228"/>
      <c r="F321" s="228"/>
      <c r="G321" s="228"/>
      <c r="H321" s="228"/>
      <c r="I321" s="228"/>
      <c r="J321" s="230"/>
      <c r="K321" s="55"/>
      <c r="L321" s="255"/>
      <c r="M321" s="255"/>
      <c r="N321" s="17"/>
      <c r="O321" s="17"/>
      <c r="P321" s="17"/>
      <c r="Q321" s="17"/>
      <c r="R321" s="17"/>
      <c r="S321" s="17"/>
      <c r="T321" s="17"/>
    </row>
    <row r="322" spans="1:23" s="432" customFormat="1" ht="15.5" hidden="1" x14ac:dyDescent="0.35">
      <c r="A322" s="17"/>
      <c r="B322" s="228"/>
      <c r="C322" s="228"/>
      <c r="D322" s="228"/>
      <c r="E322" s="228"/>
      <c r="F322" s="228"/>
      <c r="G322" s="228"/>
      <c r="H322" s="228"/>
      <c r="I322" s="228"/>
      <c r="J322" s="230"/>
      <c r="K322" s="55"/>
      <c r="L322" s="255"/>
      <c r="M322" s="255"/>
      <c r="N322" s="17"/>
      <c r="O322" s="17"/>
      <c r="P322" s="17"/>
      <c r="Q322" s="17"/>
      <c r="R322" s="17"/>
      <c r="S322" s="17"/>
      <c r="T322" s="17"/>
      <c r="U322" s="262"/>
      <c r="V322" s="262"/>
      <c r="W322" s="262"/>
    </row>
    <row r="323" spans="1:23" s="432" customFormat="1" ht="15.5" hidden="1" x14ac:dyDescent="0.35">
      <c r="A323" s="17"/>
      <c r="B323" s="920" t="s">
        <v>397</v>
      </c>
      <c r="C323" s="922" t="s">
        <v>440</v>
      </c>
      <c r="D323" s="953" t="e">
        <f>D317*D321*44/28</f>
        <v>#DIV/0!</v>
      </c>
      <c r="E323" s="228"/>
      <c r="F323" s="228"/>
      <c r="G323" s="113" t="s">
        <v>299</v>
      </c>
      <c r="H323" s="228"/>
      <c r="I323" s="228"/>
      <c r="J323" s="230"/>
      <c r="K323" s="55"/>
      <c r="L323" s="55"/>
      <c r="M323" s="55"/>
      <c r="N323" s="17"/>
      <c r="O323" s="17"/>
      <c r="P323" s="17"/>
      <c r="Q323" s="17"/>
      <c r="R323" s="17"/>
      <c r="S323" s="17"/>
      <c r="T323" s="17"/>
      <c r="U323" s="262"/>
    </row>
    <row r="324" spans="1:23" s="432" customFormat="1" ht="15.5" hidden="1" x14ac:dyDescent="0.35">
      <c r="A324" s="17"/>
      <c r="B324" s="231" t="s">
        <v>1357</v>
      </c>
      <c r="C324" s="922" t="s">
        <v>440</v>
      </c>
      <c r="D324" s="953" t="e">
        <f>D323*'Emission factors'!C5</f>
        <v>#DIV/0!</v>
      </c>
      <c r="E324" s="228"/>
      <c r="F324" s="228"/>
      <c r="G324" s="113" t="s">
        <v>265</v>
      </c>
      <c r="H324" s="228"/>
      <c r="I324" s="228"/>
      <c r="J324" s="230"/>
      <c r="K324" s="55"/>
      <c r="L324" s="55"/>
      <c r="M324" s="55"/>
      <c r="N324" s="17"/>
      <c r="O324" s="17"/>
      <c r="P324" s="17"/>
      <c r="Q324" s="17"/>
      <c r="R324" s="17"/>
      <c r="S324" s="17"/>
      <c r="T324" s="17"/>
      <c r="U324" s="262"/>
    </row>
    <row r="325" spans="1:23" s="432" customFormat="1" ht="15.5" hidden="1" x14ac:dyDescent="0.35">
      <c r="A325" s="17"/>
      <c r="B325" s="228"/>
      <c r="C325" s="235"/>
      <c r="D325" s="250"/>
      <c r="E325" s="250"/>
      <c r="F325" s="250"/>
      <c r="G325" s="250"/>
      <c r="H325" s="250"/>
      <c r="I325" s="228"/>
      <c r="J325" s="230"/>
      <c r="K325" s="55"/>
      <c r="L325" s="55"/>
      <c r="M325" s="55"/>
      <c r="N325" s="17"/>
      <c r="O325" s="17"/>
      <c r="P325" s="17"/>
      <c r="Q325" s="17"/>
      <c r="R325" s="17"/>
      <c r="S325" s="17"/>
      <c r="T325" s="17"/>
      <c r="U325" s="262"/>
    </row>
    <row r="326" spans="1:23" s="432" customFormat="1" ht="15.5" hidden="1" x14ac:dyDescent="0.35">
      <c r="A326" s="17"/>
      <c r="B326" s="920" t="s">
        <v>409</v>
      </c>
      <c r="C326" s="920" t="s">
        <v>410</v>
      </c>
      <c r="D326" s="921"/>
      <c r="E326" s="228"/>
      <c r="F326" s="228"/>
      <c r="G326" s="921" t="s">
        <v>406</v>
      </c>
      <c r="H326" s="921">
        <v>1</v>
      </c>
      <c r="I326" s="228"/>
      <c r="J326" s="230"/>
      <c r="K326" s="227"/>
      <c r="L326" s="55"/>
      <c r="M326" s="55"/>
      <c r="N326" s="17"/>
      <c r="O326" s="17"/>
      <c r="P326" s="17"/>
      <c r="Q326" s="17"/>
      <c r="R326" s="17"/>
      <c r="S326" s="17"/>
      <c r="T326" s="17"/>
    </row>
    <row r="327" spans="1:23" s="432" customFormat="1" ht="15.5" hidden="1" x14ac:dyDescent="0.35">
      <c r="A327" s="17"/>
      <c r="B327" s="921"/>
      <c r="C327" s="921" t="s">
        <v>412</v>
      </c>
      <c r="D327" s="921"/>
      <c r="E327" s="250"/>
      <c r="F327" s="250"/>
      <c r="G327" s="921" t="s">
        <v>408</v>
      </c>
      <c r="H327" s="922">
        <v>0.24</v>
      </c>
      <c r="I327" s="228"/>
      <c r="J327" s="230"/>
      <c r="K327" s="55"/>
      <c r="L327" s="55"/>
      <c r="M327" s="55"/>
      <c r="N327" s="17"/>
      <c r="O327" s="17"/>
      <c r="P327" s="17"/>
      <c r="Q327" s="17"/>
      <c r="R327" s="17"/>
      <c r="S327" s="17"/>
      <c r="T327" s="17"/>
    </row>
    <row r="328" spans="1:23" s="432" customFormat="1" ht="15.5" hidden="1" x14ac:dyDescent="0.35">
      <c r="A328" s="17"/>
      <c r="B328" s="921"/>
      <c r="C328" s="921" t="s">
        <v>413</v>
      </c>
      <c r="D328" s="921"/>
      <c r="E328" s="228"/>
      <c r="F328" s="228"/>
      <c r="G328" s="228"/>
      <c r="H328" s="228"/>
      <c r="I328" s="228"/>
      <c r="J328" s="230"/>
      <c r="K328" s="55"/>
      <c r="L328" s="17"/>
      <c r="M328" s="17"/>
      <c r="N328" s="17"/>
      <c r="O328" s="17"/>
      <c r="P328" s="17"/>
      <c r="Q328" s="17"/>
      <c r="R328" s="17"/>
      <c r="S328" s="17"/>
      <c r="T328" s="17"/>
    </row>
    <row r="329" spans="1:23" s="432" customFormat="1" ht="15.5" hidden="1" x14ac:dyDescent="0.35">
      <c r="A329" s="17"/>
      <c r="B329" s="921"/>
      <c r="C329" s="921" t="s">
        <v>414</v>
      </c>
      <c r="D329" s="921"/>
      <c r="E329" s="228"/>
      <c r="F329" s="228"/>
      <c r="G329" s="235"/>
      <c r="H329" s="235"/>
      <c r="I329" s="228"/>
      <c r="J329" s="230"/>
      <c r="K329" s="55"/>
      <c r="L329" s="17"/>
      <c r="M329" s="17"/>
      <c r="N329" s="17"/>
      <c r="O329" s="17"/>
      <c r="P329" s="17"/>
      <c r="Q329" s="17"/>
      <c r="R329" s="17"/>
      <c r="S329" s="17"/>
      <c r="T329" s="17"/>
    </row>
    <row r="330" spans="1:23" s="432" customFormat="1" ht="15.5" hidden="1" x14ac:dyDescent="0.35">
      <c r="A330" s="17"/>
      <c r="B330" s="231"/>
      <c r="C330" s="236"/>
      <c r="D330" s="228"/>
      <c r="E330" s="228"/>
      <c r="F330" s="228"/>
      <c r="G330" s="228"/>
      <c r="H330" s="228"/>
      <c r="I330" s="228"/>
      <c r="J330" s="230"/>
      <c r="K330" s="55"/>
      <c r="L330" s="17"/>
      <c r="M330" s="17"/>
      <c r="N330" s="17"/>
      <c r="O330" s="17"/>
      <c r="P330" s="17"/>
      <c r="Q330" s="17"/>
      <c r="R330" s="17"/>
      <c r="S330" s="17"/>
      <c r="T330" s="17"/>
    </row>
    <row r="331" spans="1:23" s="432" customFormat="1" ht="15.5" hidden="1" x14ac:dyDescent="0.35">
      <c r="A331" s="17"/>
      <c r="B331" s="231"/>
      <c r="C331" s="922" t="s">
        <v>440</v>
      </c>
      <c r="D331" s="958" t="e">
        <f>SUM(D290,D302,D298)*H326*H327</f>
        <v>#DIV/0!</v>
      </c>
      <c r="E331" s="228"/>
      <c r="F331" s="228"/>
      <c r="G331" s="228"/>
      <c r="H331" s="228"/>
      <c r="I331" s="228"/>
      <c r="J331" s="230"/>
      <c r="K331" s="55"/>
      <c r="L331" s="17"/>
      <c r="M331" s="17"/>
      <c r="N331" s="17"/>
      <c r="O331" s="17"/>
      <c r="P331" s="17"/>
      <c r="Q331" s="17"/>
      <c r="R331" s="17"/>
      <c r="S331" s="17"/>
      <c r="T331" s="17"/>
    </row>
    <row r="332" spans="1:23" s="432" customFormat="1" ht="15.5" hidden="1" x14ac:dyDescent="0.35">
      <c r="A332" s="17"/>
      <c r="B332" s="231"/>
      <c r="C332" s="228"/>
      <c r="D332" s="228"/>
      <c r="E332" s="228"/>
      <c r="F332" s="228"/>
      <c r="G332" s="228"/>
      <c r="H332" s="228"/>
      <c r="I332" s="228"/>
      <c r="J332" s="230"/>
      <c r="K332" s="55"/>
      <c r="L332" s="17"/>
      <c r="M332" s="17"/>
      <c r="N332" s="17"/>
      <c r="O332" s="17"/>
      <c r="P332" s="17"/>
      <c r="Q332" s="17"/>
      <c r="R332" s="17"/>
      <c r="S332" s="17"/>
      <c r="T332" s="17"/>
    </row>
    <row r="333" spans="1:23" s="432" customFormat="1" ht="15.5" hidden="1" x14ac:dyDescent="0.35">
      <c r="A333" s="17"/>
      <c r="B333" s="920" t="s">
        <v>415</v>
      </c>
      <c r="C333" s="920" t="s">
        <v>349</v>
      </c>
      <c r="D333" s="921"/>
      <c r="E333" s="228"/>
      <c r="F333" s="228"/>
      <c r="G333" s="228"/>
      <c r="H333" s="228"/>
      <c r="I333" s="228"/>
      <c r="J333" s="230"/>
      <c r="K333" s="55"/>
      <c r="L333" s="17"/>
      <c r="M333" s="17"/>
      <c r="N333" s="17"/>
      <c r="O333" s="17"/>
      <c r="P333" s="17"/>
      <c r="Q333" s="17"/>
      <c r="R333" s="17"/>
      <c r="S333" s="17"/>
      <c r="T333" s="17"/>
    </row>
    <row r="334" spans="1:23" s="432" customFormat="1" ht="15.5" hidden="1" x14ac:dyDescent="0.35">
      <c r="A334" s="17"/>
      <c r="B334" s="921"/>
      <c r="C334" s="921" t="s">
        <v>417</v>
      </c>
      <c r="D334" s="921"/>
      <c r="E334" s="228"/>
      <c r="F334" s="228"/>
      <c r="G334" s="228"/>
      <c r="H334" s="228"/>
      <c r="I334" s="228"/>
      <c r="J334" s="230"/>
      <c r="K334" s="55"/>
      <c r="L334" s="17"/>
      <c r="M334" s="17"/>
      <c r="N334" s="17"/>
      <c r="O334" s="17"/>
      <c r="P334" s="17"/>
      <c r="Q334" s="17"/>
      <c r="R334" s="17"/>
      <c r="S334" s="17"/>
      <c r="T334" s="17"/>
    </row>
    <row r="335" spans="1:23" s="432" customFormat="1" ht="15.5" hidden="1" x14ac:dyDescent="0.35">
      <c r="A335" s="17"/>
      <c r="B335" s="921"/>
      <c r="C335" s="921" t="s">
        <v>1301</v>
      </c>
      <c r="D335" s="956">
        <v>1.0999999999999999E-2</v>
      </c>
      <c r="E335" s="228"/>
      <c r="F335" s="228"/>
      <c r="G335" s="228"/>
      <c r="H335" s="228"/>
      <c r="I335" s="228"/>
      <c r="J335" s="230"/>
      <c r="K335" s="55"/>
      <c r="L335" s="17"/>
      <c r="M335" s="17"/>
      <c r="N335" s="17"/>
      <c r="O335" s="17"/>
      <c r="P335" s="17"/>
      <c r="Q335" s="17"/>
      <c r="R335" s="17"/>
      <c r="S335" s="17"/>
      <c r="T335" s="17"/>
    </row>
    <row r="336" spans="1:23" s="432" customFormat="1" ht="15.5" hidden="1" x14ac:dyDescent="0.35">
      <c r="A336" s="17"/>
      <c r="B336" s="228"/>
      <c r="C336" s="228"/>
      <c r="D336" s="259"/>
      <c r="E336" s="228"/>
      <c r="F336" s="228"/>
      <c r="G336" s="228"/>
      <c r="H336" s="228"/>
      <c r="I336" s="228"/>
      <c r="J336" s="230"/>
      <c r="K336" s="55"/>
      <c r="L336" s="17"/>
      <c r="M336" s="17"/>
      <c r="N336" s="17"/>
      <c r="O336" s="17"/>
      <c r="P336" s="17"/>
      <c r="Q336" s="17"/>
      <c r="R336" s="17"/>
      <c r="S336" s="17"/>
      <c r="T336" s="17"/>
    </row>
    <row r="337" spans="1:20" s="432" customFormat="1" ht="15.5" hidden="1" x14ac:dyDescent="0.35">
      <c r="A337" s="17"/>
      <c r="B337" s="921" t="s">
        <v>390</v>
      </c>
      <c r="C337" s="922" t="s">
        <v>440</v>
      </c>
      <c r="D337" s="958" t="e">
        <f>D331*D335*44/28</f>
        <v>#DIV/0!</v>
      </c>
      <c r="E337" s="1476"/>
      <c r="F337" s="228"/>
      <c r="G337" s="113" t="s">
        <v>299</v>
      </c>
      <c r="H337" s="228"/>
      <c r="I337" s="228"/>
      <c r="J337" s="230"/>
      <c r="K337" s="55"/>
      <c r="L337" s="17"/>
      <c r="M337" s="17"/>
      <c r="N337" s="17"/>
      <c r="O337" s="17"/>
      <c r="P337" s="17"/>
      <c r="Q337" s="17"/>
      <c r="R337" s="17"/>
      <c r="S337" s="17"/>
      <c r="T337" s="17"/>
    </row>
    <row r="338" spans="1:20" s="432" customFormat="1" ht="15.5" hidden="1" x14ac:dyDescent="0.35">
      <c r="A338" s="17"/>
      <c r="B338" s="228"/>
      <c r="C338" s="228"/>
      <c r="D338" s="228"/>
      <c r="E338" s="228"/>
      <c r="F338" s="228"/>
      <c r="G338" s="228"/>
      <c r="H338" s="228"/>
      <c r="I338" s="228"/>
      <c r="J338" s="230"/>
      <c r="K338" s="55"/>
      <c r="L338" s="17"/>
      <c r="M338" s="17"/>
      <c r="N338" s="17"/>
      <c r="O338" s="17"/>
      <c r="P338" s="17"/>
      <c r="Q338" s="17"/>
      <c r="R338" s="17"/>
      <c r="S338" s="17"/>
      <c r="T338" s="17"/>
    </row>
    <row r="339" spans="1:20" s="432" customFormat="1" ht="15.5" hidden="1" x14ac:dyDescent="0.35">
      <c r="A339" s="17"/>
      <c r="B339" s="924" t="s">
        <v>418</v>
      </c>
      <c r="C339" s="1473" t="e">
        <f>D337*'Emission factors'!C5</f>
        <v>#DIV/0!</v>
      </c>
      <c r="D339" s="959"/>
      <c r="E339" s="959"/>
      <c r="F339" s="959"/>
      <c r="G339" s="959" t="s">
        <v>265</v>
      </c>
      <c r="H339" s="959"/>
      <c r="I339" s="968"/>
      <c r="J339" s="969"/>
      <c r="K339" s="55"/>
      <c r="L339" s="20"/>
      <c r="M339" s="20"/>
      <c r="N339" s="20"/>
      <c r="O339" s="20"/>
      <c r="P339" s="20"/>
      <c r="Q339" s="20"/>
      <c r="R339" s="20"/>
      <c r="S339" s="20"/>
      <c r="T339" s="20"/>
    </row>
    <row r="340" spans="1:20" s="432" customFormat="1" ht="15.5" hidden="1" x14ac:dyDescent="0.35">
      <c r="A340" s="17"/>
      <c r="B340" s="17"/>
      <c r="C340" s="17"/>
      <c r="D340" s="17"/>
      <c r="E340" s="17"/>
      <c r="F340" s="17"/>
      <c r="G340" s="17"/>
      <c r="H340" s="17"/>
      <c r="I340" s="17"/>
      <c r="J340" s="17"/>
      <c r="K340" s="55"/>
      <c r="L340" s="20"/>
      <c r="M340" s="20"/>
      <c r="N340" s="20"/>
      <c r="O340" s="20"/>
      <c r="P340" s="20"/>
      <c r="Q340" s="20"/>
      <c r="R340" s="20"/>
      <c r="S340" s="20"/>
      <c r="T340" s="20"/>
    </row>
    <row r="341" spans="1:20" s="432" customFormat="1" ht="14.5" hidden="1" x14ac:dyDescent="0.35">
      <c r="A341" s="20"/>
      <c r="B341" s="20"/>
      <c r="C341" s="20"/>
      <c r="D341" s="20"/>
      <c r="E341" s="20"/>
      <c r="F341" s="20"/>
      <c r="G341" s="20"/>
      <c r="H341" s="20"/>
      <c r="I341" s="20"/>
      <c r="J341" s="20"/>
      <c r="K341" s="20"/>
      <c r="L341" s="20"/>
      <c r="M341" s="20"/>
      <c r="N341" s="20"/>
      <c r="O341" s="20"/>
      <c r="P341" s="20"/>
      <c r="Q341" s="20"/>
      <c r="R341" s="20"/>
      <c r="S341" s="20"/>
      <c r="T341" s="20"/>
    </row>
    <row r="342" spans="1:20" s="432" customFormat="1" ht="14.5" hidden="1" x14ac:dyDescent="0.35">
      <c r="A342" s="20"/>
      <c r="B342" s="20"/>
      <c r="C342" s="20"/>
      <c r="D342" s="20"/>
      <c r="E342" s="20"/>
      <c r="F342" s="20"/>
      <c r="G342" s="20"/>
      <c r="H342" s="20"/>
      <c r="I342" s="20"/>
      <c r="J342" s="20"/>
      <c r="K342" s="20"/>
      <c r="L342" s="20"/>
      <c r="M342" s="20"/>
      <c r="N342" s="20"/>
      <c r="O342" s="20"/>
      <c r="P342" s="20"/>
      <c r="Q342" s="20"/>
      <c r="R342" s="20"/>
      <c r="S342" s="20"/>
      <c r="T342" s="20"/>
    </row>
    <row r="343" spans="1:20" s="432" customFormat="1" ht="15.5" hidden="1" x14ac:dyDescent="0.35">
      <c r="A343" s="20"/>
      <c r="B343" s="263" t="s">
        <v>426</v>
      </c>
      <c r="C343" s="20"/>
      <c r="D343" s="20"/>
      <c r="E343" s="20"/>
      <c r="F343" s="20"/>
      <c r="G343" s="20"/>
      <c r="H343" s="20"/>
      <c r="I343" s="20"/>
      <c r="J343" s="20"/>
      <c r="K343" s="20"/>
      <c r="L343" s="20"/>
      <c r="M343" s="20"/>
      <c r="N343" s="20"/>
      <c r="O343" s="20"/>
      <c r="P343" s="20"/>
      <c r="Q343" s="20"/>
      <c r="R343" s="20"/>
      <c r="S343" s="20"/>
      <c r="T343" s="20"/>
    </row>
    <row r="344" spans="1:20" s="432" customFormat="1" ht="14.5" hidden="1" x14ac:dyDescent="0.35">
      <c r="A344" s="20"/>
      <c r="B344" s="20" t="s">
        <v>452</v>
      </c>
      <c r="C344" s="264" t="e">
        <f>D308*10^6</f>
        <v>#DIV/0!</v>
      </c>
      <c r="D344" s="20"/>
      <c r="E344" s="20"/>
      <c r="F344" s="20"/>
      <c r="G344" s="20"/>
      <c r="H344" s="20"/>
      <c r="I344" s="20"/>
      <c r="J344" s="20"/>
      <c r="K344" s="20"/>
      <c r="L344" s="20"/>
      <c r="M344" s="20"/>
      <c r="N344" s="20"/>
      <c r="O344" s="20"/>
      <c r="P344" s="20"/>
      <c r="Q344" s="20"/>
      <c r="R344" s="20"/>
      <c r="S344" s="20"/>
      <c r="T344" s="20"/>
    </row>
    <row r="345" spans="1:20" s="432" customFormat="1" ht="14.5" hidden="1" x14ac:dyDescent="0.35">
      <c r="A345" s="20"/>
      <c r="B345" s="20"/>
      <c r="C345" s="20"/>
      <c r="D345" s="20"/>
      <c r="E345" s="20"/>
      <c r="F345" s="20"/>
      <c r="G345" s="20"/>
      <c r="H345" s="20"/>
      <c r="I345" s="20"/>
      <c r="J345" s="20"/>
      <c r="K345" s="20"/>
      <c r="L345" s="20"/>
      <c r="M345" s="20"/>
      <c r="N345" s="20"/>
      <c r="O345" s="20"/>
      <c r="P345" s="20"/>
      <c r="Q345" s="20"/>
      <c r="R345" s="20"/>
      <c r="S345" s="20"/>
      <c r="T345" s="20"/>
    </row>
    <row r="346" spans="1:20" s="432" customFormat="1" ht="15.5" hidden="1" x14ac:dyDescent="0.35">
      <c r="A346" s="20"/>
      <c r="B346" s="263" t="s">
        <v>1342</v>
      </c>
      <c r="C346" s="20"/>
      <c r="D346" s="20"/>
      <c r="E346" s="20"/>
      <c r="F346" s="20"/>
      <c r="G346" s="20"/>
      <c r="H346" s="20"/>
      <c r="I346" s="20"/>
      <c r="J346" s="20"/>
      <c r="K346" s="20"/>
      <c r="L346" s="20"/>
      <c r="M346" s="20"/>
      <c r="N346" s="20"/>
      <c r="O346" s="20"/>
      <c r="P346" s="20"/>
      <c r="Q346" s="20"/>
      <c r="R346" s="20"/>
      <c r="S346" s="20"/>
      <c r="T346" s="20"/>
    </row>
    <row r="347" spans="1:20" s="432" customFormat="1" ht="14.5" hidden="1" x14ac:dyDescent="0.35">
      <c r="A347" s="20"/>
      <c r="B347" s="20" t="s">
        <v>452</v>
      </c>
      <c r="C347" s="264" t="e">
        <f>(D245+D294)*10^6</f>
        <v>#DIV/0!</v>
      </c>
      <c r="D347" s="20"/>
      <c r="E347" s="20"/>
      <c r="F347" s="20"/>
      <c r="G347" s="20"/>
      <c r="H347" s="20"/>
      <c r="I347" s="20"/>
      <c r="J347" s="20"/>
      <c r="K347" s="20"/>
      <c r="L347" s="20"/>
      <c r="M347" s="20"/>
      <c r="N347" s="20"/>
      <c r="O347" s="20"/>
      <c r="P347" s="20"/>
      <c r="Q347" s="20"/>
      <c r="R347" s="20"/>
      <c r="S347" s="20"/>
      <c r="T347" s="20"/>
    </row>
    <row r="348" spans="1:20" s="432" customFormat="1" ht="14.5" hidden="1" x14ac:dyDescent="0.35">
      <c r="A348" s="20"/>
      <c r="B348" s="18"/>
      <c r="C348" s="20"/>
      <c r="D348" s="20"/>
      <c r="E348" s="20"/>
      <c r="F348" s="20"/>
      <c r="G348" s="20"/>
      <c r="H348" s="20"/>
      <c r="I348" s="20"/>
      <c r="J348" s="20"/>
      <c r="K348" s="20"/>
      <c r="L348" s="20"/>
      <c r="M348" s="20"/>
      <c r="N348" s="20"/>
      <c r="O348" s="20"/>
      <c r="P348" s="20"/>
      <c r="Q348" s="20"/>
      <c r="R348" s="20"/>
      <c r="S348" s="20"/>
      <c r="T348" s="20"/>
    </row>
    <row r="349" spans="1:20" s="432" customFormat="1" ht="15.5" hidden="1" x14ac:dyDescent="0.35">
      <c r="A349" s="20"/>
      <c r="B349" s="263" t="s">
        <v>423</v>
      </c>
      <c r="C349" s="20"/>
      <c r="D349" s="20"/>
      <c r="E349" s="20"/>
      <c r="F349" s="20"/>
      <c r="G349" s="20"/>
      <c r="H349" s="20"/>
      <c r="I349" s="20"/>
      <c r="J349" s="20"/>
      <c r="K349" s="20"/>
      <c r="L349" s="20"/>
      <c r="M349" s="20"/>
      <c r="N349" s="20"/>
      <c r="O349" s="20"/>
      <c r="P349" s="20"/>
      <c r="Q349" s="20"/>
      <c r="R349" s="20"/>
      <c r="S349" s="20"/>
      <c r="T349" s="20"/>
    </row>
    <row r="350" spans="1:20" s="432" customFormat="1" ht="14.5" hidden="1" x14ac:dyDescent="0.35">
      <c r="A350" s="20"/>
      <c r="B350" s="20" t="s">
        <v>452</v>
      </c>
      <c r="C350" s="1475" t="e">
        <f>(D260+D269+D323+D337)*10^6</f>
        <v>#DIV/0!</v>
      </c>
      <c r="D350" s="20"/>
      <c r="E350" s="20"/>
      <c r="F350" s="20"/>
      <c r="G350" s="20"/>
      <c r="H350" s="20"/>
      <c r="I350" s="20"/>
      <c r="J350" s="20"/>
      <c r="K350" s="20"/>
      <c r="L350" s="20"/>
      <c r="M350" s="20"/>
      <c r="N350" s="20"/>
      <c r="O350" s="20"/>
      <c r="P350" s="20"/>
      <c r="Q350" s="20"/>
      <c r="R350" s="20"/>
      <c r="S350" s="20"/>
      <c r="T350" s="20"/>
    </row>
    <row r="351" spans="1:20" s="432" customFormat="1" ht="14.5" hidden="1" x14ac:dyDescent="0.35">
      <c r="A351" s="20"/>
      <c r="B351" s="20"/>
      <c r="C351" s="20"/>
      <c r="D351" s="20"/>
      <c r="E351" s="20"/>
      <c r="F351" s="20"/>
      <c r="G351" s="20"/>
      <c r="H351" s="20"/>
      <c r="I351" s="20"/>
      <c r="J351" s="20"/>
      <c r="K351" s="20"/>
      <c r="L351" s="20"/>
      <c r="M351" s="20"/>
      <c r="N351" s="20"/>
      <c r="O351" s="20"/>
      <c r="P351" s="20"/>
      <c r="Q351" s="20"/>
      <c r="R351" s="20"/>
      <c r="S351" s="20"/>
      <c r="T351" s="20"/>
    </row>
    <row r="352" spans="1:20" s="432" customFormat="1" ht="14.5" hidden="1" x14ac:dyDescent="0.35">
      <c r="A352" s="20"/>
      <c r="B352" s="265" t="s">
        <v>447</v>
      </c>
      <c r="C352" s="20"/>
      <c r="D352" s="20"/>
      <c r="E352" s="20"/>
      <c r="F352" s="20"/>
      <c r="G352" s="20"/>
      <c r="H352" s="20"/>
      <c r="I352" s="20"/>
      <c r="J352" s="20"/>
      <c r="K352" s="20"/>
      <c r="L352" s="20"/>
      <c r="M352" s="20"/>
      <c r="N352" s="20"/>
      <c r="O352" s="20"/>
      <c r="P352" s="20"/>
      <c r="Q352" s="20"/>
      <c r="R352" s="20"/>
      <c r="S352" s="20"/>
      <c r="T352" s="20"/>
    </row>
    <row r="353" spans="1:20" s="432" customFormat="1" ht="14.5" hidden="1" x14ac:dyDescent="0.35">
      <c r="A353" s="20"/>
      <c r="B353" s="20" t="s">
        <v>452</v>
      </c>
      <c r="C353" s="1475" t="e">
        <f>C344+C347+C350</f>
        <v>#DIV/0!</v>
      </c>
      <c r="D353" s="20"/>
      <c r="E353" s="20"/>
      <c r="F353" s="20"/>
      <c r="G353" s="20"/>
      <c r="H353" s="20"/>
      <c r="I353" s="20"/>
      <c r="J353" s="20"/>
      <c r="K353" s="20"/>
      <c r="L353" s="20"/>
      <c r="M353" s="20"/>
      <c r="N353" s="20"/>
      <c r="O353" s="20"/>
      <c r="P353" s="20"/>
      <c r="Q353" s="20"/>
      <c r="R353" s="20"/>
      <c r="S353" s="20"/>
      <c r="T353" s="20"/>
    </row>
    <row r="354" spans="1:20" s="432" customFormat="1" ht="14.5" hidden="1" x14ac:dyDescent="0.35">
      <c r="A354" s="20"/>
      <c r="B354" s="20"/>
      <c r="C354" s="20"/>
      <c r="D354" s="20"/>
      <c r="E354" s="20"/>
      <c r="F354" s="20"/>
      <c r="G354" s="20"/>
      <c r="H354" s="20"/>
      <c r="I354" s="20"/>
      <c r="J354" s="20"/>
      <c r="K354" s="20"/>
      <c r="L354" s="20"/>
      <c r="M354" s="20"/>
      <c r="N354" s="20"/>
      <c r="O354" s="20"/>
      <c r="P354" s="20"/>
      <c r="Q354" s="20"/>
      <c r="R354" s="20"/>
      <c r="S354" s="20"/>
      <c r="T354" s="20"/>
    </row>
    <row r="355" spans="1:20" s="432" customFormat="1" ht="14.5" hidden="1" x14ac:dyDescent="0.35">
      <c r="A355" s="20"/>
      <c r="B355" s="27" t="s">
        <v>449</v>
      </c>
      <c r="C355" s="45" t="e">
        <f>C353*'Emission factors'!C5/1000</f>
        <v>#DIV/0!</v>
      </c>
      <c r="D355" s="29" t="s">
        <v>453</v>
      </c>
      <c r="E355" s="20"/>
      <c r="F355" s="20"/>
      <c r="G355" s="20"/>
      <c r="H355" s="20"/>
      <c r="I355" s="20"/>
      <c r="J355" s="20"/>
      <c r="K355" s="20"/>
      <c r="L355" s="20"/>
      <c r="M355" s="20"/>
      <c r="N355" s="20"/>
      <c r="O355" s="20"/>
      <c r="P355" s="20"/>
      <c r="Q355" s="20"/>
      <c r="R355" s="20"/>
      <c r="S355" s="20"/>
      <c r="T355" s="20"/>
    </row>
    <row r="356" spans="1:20" s="432" customFormat="1" ht="14.5" hidden="1" x14ac:dyDescent="0.35">
      <c r="A356" s="20"/>
      <c r="B356" s="20"/>
      <c r="C356" s="20"/>
      <c r="D356" s="20"/>
      <c r="E356" s="20"/>
      <c r="F356" s="20"/>
      <c r="G356" s="20"/>
      <c r="H356" s="20"/>
      <c r="I356" s="20"/>
      <c r="J356" s="20"/>
      <c r="K356" s="20"/>
      <c r="L356" s="20"/>
      <c r="M356" s="20"/>
      <c r="N356" s="20"/>
      <c r="O356" s="20"/>
      <c r="P356" s="20"/>
      <c r="Q356" s="20"/>
      <c r="R356" s="20"/>
      <c r="S356" s="20"/>
      <c r="T356" s="20"/>
    </row>
    <row r="357" spans="1:20" s="432" customFormat="1" ht="14.5" hidden="1" x14ac:dyDescent="0.35">
      <c r="A357" s="20"/>
      <c r="B357" s="265" t="s">
        <v>763</v>
      </c>
      <c r="C357" s="170" t="e">
        <f>C182-C355</f>
        <v>#DIV/0!</v>
      </c>
      <c r="D357" s="20"/>
      <c r="E357" s="20"/>
      <c r="F357" s="20"/>
      <c r="G357" s="20"/>
      <c r="H357" s="20"/>
      <c r="I357" s="20"/>
      <c r="J357" s="20"/>
      <c r="K357" s="20"/>
      <c r="L357" s="20"/>
      <c r="M357" s="20"/>
      <c r="N357" s="20"/>
      <c r="O357" s="20"/>
      <c r="P357" s="20"/>
      <c r="Q357" s="20"/>
      <c r="R357" s="20"/>
      <c r="S357" s="20"/>
      <c r="T357" s="20"/>
    </row>
    <row r="358" spans="1:20" s="432" customFormat="1" ht="14.5" hidden="1" x14ac:dyDescent="0.35">
      <c r="A358" s="20"/>
      <c r="B358" s="20"/>
      <c r="C358" s="20"/>
      <c r="D358" s="20"/>
      <c r="E358" s="20"/>
      <c r="F358" s="20"/>
      <c r="G358" s="20"/>
      <c r="H358" s="20"/>
      <c r="I358" s="20"/>
      <c r="J358" s="20"/>
      <c r="K358" s="20"/>
      <c r="L358" s="20"/>
      <c r="M358" s="20"/>
      <c r="N358" s="20"/>
      <c r="O358" s="20"/>
      <c r="P358" s="20"/>
      <c r="Q358" s="20"/>
      <c r="R358" s="20"/>
      <c r="S358" s="20"/>
      <c r="T358" s="20"/>
    </row>
    <row r="359" spans="1:20" s="432" customFormat="1" ht="14.5" hidden="1" x14ac:dyDescent="0.35">
      <c r="A359" s="20"/>
      <c r="B359" s="20"/>
      <c r="C359" s="20"/>
      <c r="D359" s="20"/>
      <c r="E359" s="20"/>
      <c r="F359" s="20"/>
      <c r="G359" s="20"/>
      <c r="H359" s="20"/>
      <c r="I359" s="20"/>
      <c r="J359" s="20"/>
      <c r="K359" s="20"/>
      <c r="L359" s="20"/>
      <c r="M359" s="20"/>
      <c r="N359" s="20"/>
      <c r="O359" s="20"/>
      <c r="P359" s="20"/>
      <c r="Q359" s="20"/>
      <c r="R359" s="20"/>
      <c r="S359" s="20"/>
      <c r="T359" s="20"/>
    </row>
    <row r="360" spans="1:20" s="432" customFormat="1" ht="14.5" hidden="1" x14ac:dyDescent="0.35">
      <c r="A360" s="20"/>
      <c r="B360" s="299" t="s">
        <v>454</v>
      </c>
      <c r="C360" s="20"/>
      <c r="D360" s="20" t="s">
        <v>767</v>
      </c>
      <c r="E360" s="20"/>
      <c r="F360" s="20"/>
      <c r="G360" s="20"/>
      <c r="H360" s="20"/>
      <c r="I360" s="20"/>
      <c r="J360" s="20"/>
      <c r="K360" s="20"/>
      <c r="L360" s="20"/>
      <c r="M360" s="20"/>
      <c r="N360" s="20"/>
      <c r="O360" s="20"/>
      <c r="P360" s="20"/>
      <c r="Q360" s="20"/>
      <c r="R360" s="20"/>
      <c r="S360" s="20"/>
      <c r="T360" s="20"/>
    </row>
    <row r="361" spans="1:20" s="432" customFormat="1" ht="14.5" hidden="1" x14ac:dyDescent="0.35">
      <c r="A361" s="20"/>
      <c r="B361" s="299" t="s">
        <v>756</v>
      </c>
      <c r="C361" s="170" t="e">
        <f>C94</f>
        <v>#DIV/0!</v>
      </c>
      <c r="D361" s="404" t="e">
        <f>C361/365</f>
        <v>#DIV/0!</v>
      </c>
      <c r="E361" s="20"/>
      <c r="F361" s="20"/>
      <c r="G361" s="20"/>
      <c r="H361" s="20"/>
      <c r="I361" s="20"/>
      <c r="J361" s="20"/>
      <c r="K361" s="20"/>
      <c r="L361" s="20"/>
      <c r="M361" s="20"/>
      <c r="N361" s="20"/>
      <c r="O361" s="20"/>
      <c r="P361" s="20"/>
      <c r="Q361" s="20"/>
      <c r="R361" s="20"/>
      <c r="S361" s="20"/>
      <c r="T361" s="20"/>
    </row>
    <row r="362" spans="1:20" s="432" customFormat="1" ht="14.5" hidden="1" x14ac:dyDescent="0.35">
      <c r="A362" s="20"/>
      <c r="B362" s="299" t="s">
        <v>757</v>
      </c>
      <c r="C362" s="170" t="e">
        <f>C153</f>
        <v>#DIV/0!</v>
      </c>
      <c r="D362" s="404" t="e">
        <f>C362/365</f>
        <v>#DIV/0!</v>
      </c>
      <c r="E362" s="20"/>
      <c r="F362" s="20"/>
      <c r="G362" s="20"/>
      <c r="H362" s="20"/>
      <c r="I362" s="20"/>
      <c r="J362" s="20"/>
      <c r="K362" s="20"/>
      <c r="L362" s="20"/>
      <c r="M362" s="20"/>
      <c r="N362" s="20"/>
      <c r="O362" s="20"/>
      <c r="P362" s="20"/>
      <c r="Q362" s="20"/>
      <c r="R362" s="20"/>
      <c r="S362" s="20"/>
      <c r="T362" s="20"/>
    </row>
    <row r="363" spans="1:20" s="432" customFormat="1" ht="14.5" hidden="1" x14ac:dyDescent="0.35">
      <c r="A363" s="20"/>
      <c r="B363" s="299" t="s">
        <v>758</v>
      </c>
      <c r="C363" s="170" t="e">
        <f>C182</f>
        <v>#DIV/0!</v>
      </c>
      <c r="D363" s="404" t="e">
        <f>C363/365</f>
        <v>#DIV/0!</v>
      </c>
      <c r="E363" s="20"/>
      <c r="F363" s="20"/>
      <c r="G363" s="20"/>
      <c r="H363" s="20"/>
      <c r="I363" s="20"/>
      <c r="J363" s="20"/>
      <c r="K363" s="20"/>
      <c r="L363" s="20"/>
      <c r="M363" s="20"/>
      <c r="N363" s="20"/>
      <c r="O363" s="20"/>
      <c r="P363" s="20"/>
      <c r="Q363" s="20"/>
      <c r="R363" s="20"/>
      <c r="S363" s="20"/>
      <c r="T363" s="20"/>
    </row>
    <row r="364" spans="1:20" s="432" customFormat="1" ht="14.5" hidden="1" x14ac:dyDescent="0.35">
      <c r="A364" s="20"/>
      <c r="B364" s="299" t="s">
        <v>759</v>
      </c>
      <c r="C364" s="266">
        <v>0</v>
      </c>
      <c r="D364" s="404">
        <f>C364/365</f>
        <v>0</v>
      </c>
      <c r="E364" s="20"/>
      <c r="F364" s="20"/>
      <c r="G364" s="20"/>
      <c r="H364" s="20"/>
      <c r="I364" s="20"/>
      <c r="J364" s="20"/>
      <c r="K364" s="20"/>
      <c r="L364" s="20"/>
      <c r="M364" s="20"/>
      <c r="N364" s="20"/>
      <c r="O364" s="20"/>
      <c r="P364" s="20"/>
      <c r="Q364" s="20"/>
      <c r="R364" s="20"/>
      <c r="S364" s="20"/>
      <c r="T364" s="20"/>
    </row>
    <row r="365" spans="1:20" s="432" customFormat="1" ht="14.5" hidden="1" x14ac:dyDescent="0.35">
      <c r="A365" s="20"/>
      <c r="B365" s="299" t="s">
        <v>760</v>
      </c>
      <c r="C365" s="170" t="e">
        <f>SUM(C361:C364)</f>
        <v>#DIV/0!</v>
      </c>
      <c r="D365" s="404" t="e">
        <f>C365/365</f>
        <v>#DIV/0!</v>
      </c>
      <c r="E365" s="20"/>
      <c r="F365" s="20"/>
      <c r="G365" s="20"/>
      <c r="H365" s="20"/>
      <c r="I365" s="20"/>
      <c r="J365" s="20"/>
      <c r="K365" s="20"/>
      <c r="L365" s="20"/>
      <c r="M365" s="20"/>
      <c r="N365" s="20"/>
      <c r="O365" s="20"/>
      <c r="P365" s="20"/>
      <c r="Q365" s="20"/>
      <c r="R365" s="20"/>
      <c r="S365" s="20"/>
      <c r="T365" s="20"/>
    </row>
    <row r="366" spans="1:20" s="432" customFormat="1" ht="14.5" hidden="1" x14ac:dyDescent="0.35">
      <c r="A366" s="20"/>
      <c r="B366" s="299"/>
      <c r="C366" s="266"/>
      <c r="D366" s="20"/>
      <c r="E366" s="20"/>
      <c r="F366" s="20"/>
      <c r="G366" s="20"/>
      <c r="H366" s="20"/>
      <c r="I366" s="20"/>
      <c r="J366" s="20"/>
      <c r="K366" s="20"/>
      <c r="L366" s="20"/>
      <c r="M366" s="20"/>
      <c r="N366" s="20"/>
      <c r="O366" s="20"/>
      <c r="P366" s="20"/>
      <c r="Q366" s="20"/>
      <c r="R366" s="20"/>
      <c r="S366" s="20"/>
      <c r="T366" s="20"/>
    </row>
    <row r="367" spans="1:20" s="432" customFormat="1" ht="14.5" hidden="1" x14ac:dyDescent="0.35">
      <c r="A367" s="20"/>
      <c r="B367" s="299" t="s">
        <v>455</v>
      </c>
      <c r="C367" s="266"/>
      <c r="D367" s="20"/>
      <c r="E367" s="20"/>
      <c r="F367" s="20"/>
      <c r="G367" s="20"/>
      <c r="H367" s="20"/>
      <c r="I367" s="20"/>
      <c r="J367" s="20"/>
      <c r="K367" s="20"/>
      <c r="L367" s="20"/>
      <c r="M367" s="20"/>
      <c r="N367" s="20"/>
      <c r="O367" s="20"/>
      <c r="P367" s="20"/>
      <c r="Q367" s="20"/>
      <c r="R367" s="20"/>
      <c r="S367" s="20"/>
      <c r="T367" s="20"/>
    </row>
    <row r="368" spans="1:20" s="432" customFormat="1" ht="14.5" hidden="1" x14ac:dyDescent="0.35">
      <c r="A368" s="20"/>
      <c r="B368" s="299" t="s">
        <v>756</v>
      </c>
      <c r="C368" s="170" t="e">
        <f>C125</f>
        <v>#DIV/0!</v>
      </c>
      <c r="D368" s="404" t="e">
        <f>C368/365</f>
        <v>#DIV/0!</v>
      </c>
      <c r="E368" s="20"/>
      <c r="F368" s="20"/>
      <c r="G368" s="20"/>
      <c r="H368" s="20"/>
      <c r="I368" s="20"/>
      <c r="J368" s="20"/>
      <c r="K368" s="20"/>
      <c r="L368" s="20"/>
      <c r="M368" s="20"/>
      <c r="N368" s="20"/>
      <c r="O368" s="20"/>
      <c r="P368" s="20"/>
      <c r="Q368" s="20"/>
      <c r="R368" s="20"/>
      <c r="S368" s="20"/>
      <c r="T368" s="20"/>
    </row>
    <row r="369" spans="1:20" s="432" customFormat="1" ht="14.5" hidden="1" x14ac:dyDescent="0.35">
      <c r="A369" s="20"/>
      <c r="B369" s="299" t="s">
        <v>757</v>
      </c>
      <c r="C369" s="170" t="e">
        <f>C165</f>
        <v>#DIV/0!</v>
      </c>
      <c r="D369" s="404" t="e">
        <f>C369/365</f>
        <v>#DIV/0!</v>
      </c>
      <c r="E369" s="20"/>
      <c r="F369" s="20"/>
      <c r="G369" s="20"/>
      <c r="H369" s="20"/>
      <c r="I369" s="20"/>
      <c r="J369" s="20"/>
      <c r="K369" s="20"/>
      <c r="L369" s="20"/>
      <c r="M369" s="20"/>
      <c r="N369" s="20"/>
      <c r="O369" s="20"/>
      <c r="P369" s="20"/>
      <c r="Q369" s="20"/>
      <c r="R369" s="20"/>
      <c r="S369" s="20"/>
      <c r="T369" s="20"/>
    </row>
    <row r="370" spans="1:20" s="432" customFormat="1" ht="14.5" hidden="1" x14ac:dyDescent="0.35">
      <c r="A370" s="20"/>
      <c r="B370" s="299" t="s">
        <v>758</v>
      </c>
      <c r="C370" s="170" t="e">
        <f>C355</f>
        <v>#DIV/0!</v>
      </c>
      <c r="D370" s="404" t="e">
        <f>C370/365</f>
        <v>#DIV/0!</v>
      </c>
      <c r="E370" s="20"/>
      <c r="F370" s="20"/>
      <c r="G370" s="20"/>
      <c r="H370" s="20"/>
      <c r="I370" s="20"/>
      <c r="J370" s="20"/>
      <c r="K370" s="20"/>
      <c r="L370" s="18"/>
      <c r="M370" s="18"/>
      <c r="N370" s="18"/>
      <c r="O370" s="18"/>
      <c r="P370" s="18"/>
      <c r="Q370" s="18"/>
      <c r="R370" s="18"/>
      <c r="S370" s="18"/>
      <c r="T370" s="18"/>
    </row>
    <row r="371" spans="1:20" s="432" customFormat="1" ht="14.5" hidden="1" x14ac:dyDescent="0.35">
      <c r="A371" s="20"/>
      <c r="B371" s="299" t="s">
        <v>759</v>
      </c>
      <c r="C371" s="266">
        <v>0</v>
      </c>
      <c r="D371" s="404">
        <f>C371/365</f>
        <v>0</v>
      </c>
      <c r="E371" s="20"/>
      <c r="F371" s="20"/>
      <c r="G371" s="20"/>
      <c r="H371" s="20"/>
      <c r="I371" s="20"/>
      <c r="J371" s="20"/>
      <c r="K371" s="20"/>
      <c r="L371" s="20"/>
      <c r="M371" s="20"/>
      <c r="N371" s="20"/>
      <c r="O371" s="20"/>
      <c r="P371" s="20"/>
      <c r="Q371" s="20"/>
      <c r="R371" s="20"/>
      <c r="S371" s="20"/>
      <c r="T371" s="20"/>
    </row>
    <row r="372" spans="1:20" s="432" customFormat="1" ht="14.5" hidden="1" x14ac:dyDescent="0.35">
      <c r="A372" s="20"/>
      <c r="B372" s="299" t="s">
        <v>760</v>
      </c>
      <c r="C372" s="170" t="e">
        <f>SUM(C368:C371)</f>
        <v>#DIV/0!</v>
      </c>
      <c r="D372" s="404" t="e">
        <f>C372/365</f>
        <v>#DIV/0!</v>
      </c>
      <c r="E372" s="20"/>
      <c r="F372" s="20"/>
      <c r="G372" s="20"/>
      <c r="H372" s="20"/>
      <c r="I372" s="20"/>
      <c r="J372" s="20"/>
      <c r="K372" s="20"/>
      <c r="L372" s="18"/>
      <c r="M372" s="18"/>
      <c r="N372" s="18"/>
      <c r="O372" s="18"/>
      <c r="P372" s="18"/>
      <c r="Q372" s="18"/>
      <c r="R372" s="18"/>
      <c r="S372" s="18"/>
      <c r="T372" s="18"/>
    </row>
    <row r="373" spans="1:20" s="432" customFormat="1" ht="14.5" hidden="1" x14ac:dyDescent="0.35">
      <c r="A373" s="20"/>
      <c r="B373" s="299"/>
      <c r="C373" s="266"/>
      <c r="D373" s="20"/>
      <c r="E373" s="20"/>
      <c r="F373" s="20"/>
      <c r="G373" s="20"/>
      <c r="H373" s="20"/>
      <c r="I373" s="20"/>
      <c r="J373" s="20"/>
      <c r="K373" s="20"/>
      <c r="L373" s="18"/>
      <c r="M373" s="18"/>
      <c r="N373" s="18"/>
      <c r="O373" s="18"/>
      <c r="P373" s="18"/>
      <c r="Q373" s="18"/>
      <c r="R373" s="18"/>
      <c r="S373" s="18"/>
      <c r="T373" s="18"/>
    </row>
    <row r="374" spans="1:20" s="432" customFormat="1" ht="14.5" hidden="1" x14ac:dyDescent="0.35">
      <c r="A374" s="20"/>
      <c r="B374" s="299" t="s">
        <v>761</v>
      </c>
      <c r="C374" s="266"/>
      <c r="D374" s="20" t="s">
        <v>768</v>
      </c>
      <c r="E374" s="20"/>
      <c r="F374" s="20"/>
      <c r="G374" s="20"/>
      <c r="H374" s="20"/>
      <c r="I374" s="20"/>
      <c r="J374" s="20"/>
      <c r="K374" s="20"/>
      <c r="L374" s="18"/>
      <c r="M374" s="18"/>
      <c r="N374" s="18"/>
      <c r="O374" s="18"/>
      <c r="P374" s="18"/>
      <c r="Q374" s="18"/>
      <c r="R374" s="18"/>
      <c r="S374" s="18"/>
      <c r="T374" s="18"/>
    </row>
    <row r="375" spans="1:20" s="432" customFormat="1" ht="14.5" hidden="1" x14ac:dyDescent="0.35">
      <c r="A375" s="20"/>
      <c r="B375" s="299" t="s">
        <v>756</v>
      </c>
      <c r="C375" s="170" t="e">
        <f>C361-C368</f>
        <v>#DIV/0!</v>
      </c>
      <c r="D375" s="404" t="e">
        <f>(C375/365)*$C$27</f>
        <v>#DIV/0!</v>
      </c>
      <c r="E375" s="20"/>
      <c r="F375" s="20"/>
      <c r="G375" s="20"/>
      <c r="H375" s="20"/>
      <c r="I375" s="20"/>
      <c r="J375" s="20"/>
      <c r="K375" s="20"/>
      <c r="L375" s="18"/>
      <c r="M375" s="18"/>
      <c r="N375" s="18"/>
      <c r="O375" s="18"/>
      <c r="P375" s="18"/>
      <c r="Q375" s="18"/>
      <c r="R375" s="18"/>
      <c r="S375" s="18"/>
      <c r="T375" s="18"/>
    </row>
    <row r="376" spans="1:20" s="432" customFormat="1" ht="14.5" hidden="1" x14ac:dyDescent="0.35">
      <c r="A376" s="20"/>
      <c r="B376" s="299" t="s">
        <v>757</v>
      </c>
      <c r="C376" s="170" t="e">
        <f>C362-C369</f>
        <v>#DIV/0!</v>
      </c>
      <c r="D376" s="404" t="e">
        <f>(C376/365)*$C$27</f>
        <v>#DIV/0!</v>
      </c>
      <c r="E376" s="20"/>
      <c r="F376" s="20"/>
      <c r="G376" s="20"/>
      <c r="H376" s="20"/>
      <c r="I376" s="20"/>
      <c r="J376" s="20"/>
      <c r="K376" s="20"/>
      <c r="L376" s="18"/>
      <c r="M376" s="18"/>
      <c r="N376" s="18"/>
      <c r="O376" s="18"/>
      <c r="P376" s="18"/>
      <c r="Q376" s="18"/>
      <c r="R376" s="18"/>
      <c r="S376" s="18"/>
      <c r="T376" s="18"/>
    </row>
    <row r="377" spans="1:20" s="432" customFormat="1" ht="14.5" hidden="1" x14ac:dyDescent="0.35">
      <c r="A377" s="20"/>
      <c r="B377" s="299" t="s">
        <v>758</v>
      </c>
      <c r="C377" s="170" t="e">
        <f>C363-C370</f>
        <v>#DIV/0!</v>
      </c>
      <c r="D377" s="404" t="e">
        <f>(C377/365)*$C$27</f>
        <v>#DIV/0!</v>
      </c>
      <c r="E377" s="20"/>
      <c r="F377" s="20"/>
      <c r="G377" s="20"/>
      <c r="H377" s="20"/>
      <c r="I377" s="20"/>
      <c r="J377" s="20"/>
      <c r="K377" s="20"/>
      <c r="L377" s="18"/>
      <c r="M377" s="18"/>
      <c r="N377" s="18"/>
      <c r="O377" s="18"/>
      <c r="P377" s="18"/>
      <c r="Q377" s="18"/>
      <c r="R377" s="18"/>
      <c r="S377" s="18"/>
      <c r="T377" s="18"/>
    </row>
    <row r="378" spans="1:20" s="432" customFormat="1" ht="14.5" hidden="1" x14ac:dyDescent="0.35">
      <c r="A378" s="20"/>
      <c r="B378" s="299" t="s">
        <v>759</v>
      </c>
      <c r="C378" s="266">
        <f>C364-C371</f>
        <v>0</v>
      </c>
      <c r="D378" s="404">
        <f>(C378/365)*$C$27</f>
        <v>0</v>
      </c>
      <c r="E378" s="20"/>
      <c r="F378" s="20"/>
      <c r="G378" s="20"/>
      <c r="H378" s="20"/>
      <c r="I378" s="20"/>
      <c r="J378" s="20"/>
      <c r="K378" s="20"/>
      <c r="L378" s="20"/>
      <c r="M378" s="20"/>
      <c r="N378" s="20"/>
      <c r="O378" s="20"/>
      <c r="P378" s="20"/>
      <c r="Q378" s="20"/>
      <c r="R378" s="20"/>
      <c r="S378" s="20"/>
      <c r="T378" s="20"/>
    </row>
    <row r="379" spans="1:20" s="432" customFormat="1" ht="14.5" hidden="1" x14ac:dyDescent="0.35">
      <c r="A379" s="20"/>
      <c r="B379" s="299" t="s">
        <v>760</v>
      </c>
      <c r="C379" s="170" t="e">
        <f>SUM(C375:C378)</f>
        <v>#DIV/0!</v>
      </c>
      <c r="D379" s="404" t="e">
        <f>(C379/365)*$C$27</f>
        <v>#DIV/0!</v>
      </c>
      <c r="E379" s="20"/>
      <c r="F379" s="20"/>
      <c r="G379" s="20"/>
      <c r="H379" s="20"/>
      <c r="I379" s="20"/>
      <c r="J379" s="20"/>
      <c r="K379" s="20"/>
      <c r="L379" s="18"/>
      <c r="M379" s="18"/>
      <c r="N379" s="18"/>
      <c r="O379" s="18"/>
      <c r="P379" s="18"/>
      <c r="Q379" s="18"/>
      <c r="R379" s="18"/>
      <c r="S379" s="18"/>
      <c r="T379" s="18"/>
    </row>
    <row r="380" spans="1:20" s="432" customFormat="1" ht="14.5" hidden="1" x14ac:dyDescent="0.35">
      <c r="A380" s="20"/>
      <c r="B380" s="20"/>
      <c r="C380" s="20"/>
      <c r="D380" s="20"/>
      <c r="E380" s="20"/>
      <c r="F380" s="20"/>
      <c r="G380" s="20"/>
      <c r="H380" s="20"/>
      <c r="I380" s="20"/>
      <c r="J380" s="20"/>
      <c r="K380" s="20"/>
      <c r="L380" s="18"/>
      <c r="M380" s="18"/>
      <c r="N380" s="18"/>
      <c r="O380" s="18"/>
      <c r="P380" s="18"/>
      <c r="Q380" s="18"/>
      <c r="R380" s="18"/>
      <c r="S380" s="18"/>
      <c r="T380" s="18"/>
    </row>
    <row r="381" spans="1:20" hidden="1" x14ac:dyDescent="0.3">
      <c r="A381" s="29"/>
      <c r="B381" s="29"/>
      <c r="C381" s="29"/>
      <c r="D381" s="29"/>
      <c r="E381" s="29"/>
      <c r="F381" s="29"/>
      <c r="G381" s="29"/>
      <c r="H381" s="29"/>
      <c r="I381" s="29"/>
      <c r="J381" s="29"/>
      <c r="K381" s="29"/>
      <c r="L381" s="29"/>
      <c r="M381" s="29"/>
      <c r="N381" s="29"/>
      <c r="O381" s="29"/>
      <c r="P381" s="29"/>
      <c r="Q381" s="29"/>
      <c r="R381" s="29"/>
      <c r="S381" s="29"/>
      <c r="T381" s="29"/>
    </row>
    <row r="382" spans="1:20" hidden="1" x14ac:dyDescent="0.3">
      <c r="A382" s="29"/>
      <c r="B382" s="29"/>
      <c r="C382" s="29"/>
      <c r="D382" s="29"/>
      <c r="E382" s="29"/>
      <c r="F382" s="29"/>
      <c r="G382" s="29"/>
      <c r="H382" s="29"/>
      <c r="I382" s="29"/>
      <c r="J382" s="29"/>
      <c r="K382" s="29"/>
      <c r="L382" s="29"/>
      <c r="M382" s="29"/>
      <c r="N382" s="29"/>
      <c r="O382" s="29"/>
      <c r="P382" s="29"/>
      <c r="Q382" s="29"/>
      <c r="R382" s="29"/>
      <c r="S382" s="29"/>
      <c r="T382" s="29"/>
    </row>
    <row r="383" spans="1:20" hidden="1" x14ac:dyDescent="0.3">
      <c r="A383" s="29"/>
      <c r="B383" s="29"/>
      <c r="C383" s="29"/>
      <c r="D383" s="29"/>
      <c r="E383" s="29"/>
      <c r="F383" s="29"/>
      <c r="G383" s="29"/>
      <c r="H383" s="29"/>
      <c r="I383" s="29"/>
      <c r="J383" s="29"/>
      <c r="K383" s="29"/>
      <c r="L383" s="29"/>
      <c r="M383" s="29"/>
      <c r="N383" s="29"/>
      <c r="O383" s="29"/>
      <c r="P383" s="29"/>
      <c r="Q383" s="29"/>
      <c r="R383" s="29"/>
      <c r="S383" s="29"/>
      <c r="T383" s="29"/>
    </row>
    <row r="384" spans="1:20" hidden="1" x14ac:dyDescent="0.3">
      <c r="A384" s="29"/>
      <c r="B384" s="29"/>
      <c r="C384" s="29"/>
      <c r="D384" s="29"/>
      <c r="E384" s="29"/>
      <c r="F384" s="29"/>
      <c r="G384" s="29"/>
      <c r="H384" s="29"/>
      <c r="I384" s="29"/>
      <c r="J384" s="29"/>
      <c r="K384" s="29"/>
      <c r="L384" s="29"/>
      <c r="M384" s="29"/>
      <c r="N384" s="29"/>
      <c r="O384" s="29"/>
      <c r="P384" s="29"/>
      <c r="Q384" s="29"/>
      <c r="R384" s="29"/>
      <c r="S384" s="29"/>
      <c r="T384" s="29"/>
    </row>
    <row r="385" spans="1:20" hidden="1" x14ac:dyDescent="0.3">
      <c r="A385" s="29"/>
      <c r="B385" s="29"/>
      <c r="C385" s="29"/>
      <c r="D385" s="29"/>
      <c r="E385" s="29"/>
      <c r="F385" s="29"/>
      <c r="G385" s="29"/>
      <c r="H385" s="29"/>
      <c r="I385" s="29"/>
      <c r="J385" s="29"/>
      <c r="K385" s="29"/>
      <c r="L385" s="29"/>
      <c r="M385" s="29"/>
      <c r="N385" s="29"/>
      <c r="O385" s="29"/>
      <c r="P385" s="29"/>
      <c r="Q385" s="29"/>
      <c r="R385" s="29"/>
      <c r="S385" s="29"/>
      <c r="T385" s="29"/>
    </row>
    <row r="386" spans="1:20" hidden="1" x14ac:dyDescent="0.3">
      <c r="A386" s="29"/>
      <c r="B386" s="29"/>
      <c r="C386" s="29"/>
      <c r="D386" s="29"/>
      <c r="E386" s="29"/>
      <c r="F386" s="29"/>
      <c r="G386" s="29"/>
      <c r="H386" s="29"/>
      <c r="I386" s="29"/>
      <c r="J386" s="29"/>
      <c r="K386" s="29"/>
      <c r="L386" s="29"/>
      <c r="M386" s="29"/>
      <c r="N386" s="29"/>
      <c r="O386" s="29"/>
      <c r="P386" s="29"/>
      <c r="Q386" s="29"/>
      <c r="R386" s="29"/>
      <c r="S386" s="29"/>
      <c r="T386" s="29"/>
    </row>
    <row r="387" spans="1:20" hidden="1" x14ac:dyDescent="0.3">
      <c r="A387" s="29"/>
      <c r="B387" s="29"/>
      <c r="C387" s="29"/>
      <c r="D387" s="29"/>
      <c r="E387" s="29"/>
      <c r="F387" s="29"/>
      <c r="G387" s="29"/>
      <c r="H387" s="29"/>
      <c r="I387" s="29"/>
      <c r="J387" s="29"/>
      <c r="K387" s="29"/>
      <c r="L387" s="29"/>
      <c r="M387" s="29"/>
      <c r="N387" s="29"/>
      <c r="O387" s="29"/>
      <c r="P387" s="29"/>
      <c r="Q387" s="29"/>
      <c r="R387" s="29"/>
      <c r="S387" s="29"/>
      <c r="T387" s="29"/>
    </row>
    <row r="388" spans="1:20" hidden="1" x14ac:dyDescent="0.3">
      <c r="A388" s="29"/>
      <c r="B388" s="29"/>
      <c r="C388" s="29"/>
      <c r="D388" s="29"/>
      <c r="E388" s="29"/>
      <c r="F388" s="29"/>
      <c r="G388" s="29"/>
      <c r="H388" s="29"/>
      <c r="I388" s="29"/>
      <c r="J388" s="29"/>
      <c r="K388" s="29"/>
      <c r="L388" s="29"/>
      <c r="M388" s="29"/>
      <c r="N388" s="29"/>
      <c r="O388" s="29"/>
      <c r="P388" s="29"/>
      <c r="Q388" s="29"/>
      <c r="R388" s="29"/>
      <c r="S388" s="29"/>
      <c r="T388" s="29"/>
    </row>
    <row r="389" spans="1:20" hidden="1" x14ac:dyDescent="0.3">
      <c r="A389" s="29"/>
      <c r="B389" s="29"/>
      <c r="C389" s="29"/>
      <c r="D389" s="29"/>
      <c r="E389" s="29"/>
      <c r="F389" s="29"/>
      <c r="G389" s="29"/>
      <c r="H389" s="29"/>
      <c r="I389" s="29"/>
      <c r="J389" s="29"/>
      <c r="K389" s="29"/>
      <c r="L389" s="29"/>
      <c r="M389" s="29"/>
      <c r="N389" s="29"/>
      <c r="O389" s="29"/>
      <c r="P389" s="29"/>
      <c r="Q389" s="29"/>
      <c r="R389" s="29"/>
      <c r="S389" s="29"/>
      <c r="T389" s="29"/>
    </row>
    <row r="390" spans="1:20" hidden="1" x14ac:dyDescent="0.3">
      <c r="A390" s="29"/>
      <c r="B390" s="29"/>
      <c r="C390" s="29"/>
      <c r="D390" s="29"/>
      <c r="E390" s="29"/>
      <c r="F390" s="29"/>
      <c r="G390" s="29"/>
      <c r="H390" s="29"/>
      <c r="I390" s="29"/>
      <c r="J390" s="29"/>
      <c r="K390" s="29"/>
      <c r="L390" s="29"/>
      <c r="M390" s="29"/>
      <c r="N390" s="29"/>
      <c r="O390" s="29"/>
      <c r="P390" s="29"/>
      <c r="Q390" s="29"/>
      <c r="R390" s="29"/>
      <c r="S390" s="29"/>
      <c r="T390" s="29"/>
    </row>
    <row r="391" spans="1:20" hidden="1" x14ac:dyDescent="0.3"/>
    <row r="392" spans="1:20" hidden="1" x14ac:dyDescent="0.3"/>
    <row r="393" spans="1:20" hidden="1" x14ac:dyDescent="0.3"/>
    <row r="394" spans="1:20" hidden="1" x14ac:dyDescent="0.3"/>
    <row r="395" spans="1:20" hidden="1" x14ac:dyDescent="0.3"/>
    <row r="396" spans="1:20" hidden="1" x14ac:dyDescent="0.3"/>
    <row r="397" spans="1:20" hidden="1" x14ac:dyDescent="0.3"/>
    <row r="398" spans="1:20" hidden="1" x14ac:dyDescent="0.3"/>
    <row r="399" spans="1:20" hidden="1" x14ac:dyDescent="0.3"/>
    <row r="400" spans="1:2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sheetData>
  <sheetProtection algorithmName="SHA-512" hashValue="VfipDLDt9JWbPw0T9AHf6RAGsCvZ5+Jgjc4EiTfKvPda8kfCN47qx3Fao+HyEvTUoFkJR4HAfpM4EcInVqxQYA==" saltValue="xFob1JO+pgnSccdDDCw0HQ=="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02" r:id="rId4" name="Spinner 42">
              <controlPr defaultSize="0" autoPict="0">
                <anchor moveWithCells="1" sizeWithCells="1">
                  <from>
                    <xdr:col>2</xdr:col>
                    <xdr:colOff>1238250</xdr:colOff>
                    <xdr:row>18</xdr:row>
                    <xdr:rowOff>57150</xdr:rowOff>
                  </from>
                  <to>
                    <xdr:col>2</xdr:col>
                    <xdr:colOff>1581150</xdr:colOff>
                    <xdr:row>18</xdr:row>
                    <xdr:rowOff>247650</xdr:rowOff>
                  </to>
                </anchor>
              </controlPr>
            </control>
          </mc:Choice>
        </mc:AlternateContent>
        <mc:AlternateContent xmlns:mc="http://schemas.openxmlformats.org/markup-compatibility/2006">
          <mc:Choice Requires="x14">
            <control shapeId="15403" r:id="rId5" name="Spinner 43">
              <controlPr defaultSize="0" autoPict="0">
                <anchor moveWithCells="1" sizeWithCells="1">
                  <from>
                    <xdr:col>2</xdr:col>
                    <xdr:colOff>1238250</xdr:colOff>
                    <xdr:row>20</xdr:row>
                    <xdr:rowOff>57150</xdr:rowOff>
                  </from>
                  <to>
                    <xdr:col>2</xdr:col>
                    <xdr:colOff>1581150</xdr:colOff>
                    <xdr:row>20</xdr:row>
                    <xdr:rowOff>247650</xdr:rowOff>
                  </to>
                </anchor>
              </controlPr>
            </control>
          </mc:Choice>
        </mc:AlternateContent>
        <mc:AlternateContent xmlns:mc="http://schemas.openxmlformats.org/markup-compatibility/2006">
          <mc:Choice Requires="x14">
            <control shapeId="15405" r:id="rId6" name="Spinner 45">
              <controlPr defaultSize="0" autoPict="0">
                <anchor moveWithCells="1" sizeWithCells="1">
                  <from>
                    <xdr:col>2</xdr:col>
                    <xdr:colOff>1238250</xdr:colOff>
                    <xdr:row>24</xdr:row>
                    <xdr:rowOff>57150</xdr:rowOff>
                  </from>
                  <to>
                    <xdr:col>2</xdr:col>
                    <xdr:colOff>1581150</xdr:colOff>
                    <xdr:row>24</xdr:row>
                    <xdr:rowOff>247650</xdr:rowOff>
                  </to>
                </anchor>
              </controlPr>
            </control>
          </mc:Choice>
        </mc:AlternateContent>
        <mc:AlternateContent xmlns:mc="http://schemas.openxmlformats.org/markup-compatibility/2006">
          <mc:Choice Requires="x14">
            <control shapeId="15409" r:id="rId7" name="Spinner 49">
              <controlPr defaultSize="0" autoPict="0">
                <anchor moveWithCells="1" sizeWithCells="1">
                  <from>
                    <xdr:col>2</xdr:col>
                    <xdr:colOff>1238250</xdr:colOff>
                    <xdr:row>26</xdr:row>
                    <xdr:rowOff>57150</xdr:rowOff>
                  </from>
                  <to>
                    <xdr:col>2</xdr:col>
                    <xdr:colOff>1581150</xdr:colOff>
                    <xdr:row>26</xdr:row>
                    <xdr:rowOff>247650</xdr:rowOff>
                  </to>
                </anchor>
              </controlPr>
            </control>
          </mc:Choice>
        </mc:AlternateContent>
        <mc:AlternateContent xmlns:mc="http://schemas.openxmlformats.org/markup-compatibility/2006">
          <mc:Choice Requires="x14">
            <control shapeId="15410" r:id="rId8" name="Spinner 50">
              <controlPr defaultSize="0" autoPict="0">
                <anchor moveWithCells="1" sizeWithCells="1">
                  <from>
                    <xdr:col>2</xdr:col>
                    <xdr:colOff>1238250</xdr:colOff>
                    <xdr:row>28</xdr:row>
                    <xdr:rowOff>57150</xdr:rowOff>
                  </from>
                  <to>
                    <xdr:col>2</xdr:col>
                    <xdr:colOff>1581150</xdr:colOff>
                    <xdr:row>28</xdr:row>
                    <xdr:rowOff>241300</xdr:rowOff>
                  </to>
                </anchor>
              </controlPr>
            </control>
          </mc:Choice>
        </mc:AlternateContent>
        <mc:AlternateContent xmlns:mc="http://schemas.openxmlformats.org/markup-compatibility/2006">
          <mc:Choice Requires="x14">
            <control shapeId="15412" r:id="rId9" name="Spinner 52">
              <controlPr defaultSize="0" autoPict="0">
                <anchor moveWithCells="1" sizeWithCells="1">
                  <from>
                    <xdr:col>2</xdr:col>
                    <xdr:colOff>1238250</xdr:colOff>
                    <xdr:row>30</xdr:row>
                    <xdr:rowOff>57150</xdr:rowOff>
                  </from>
                  <to>
                    <xdr:col>2</xdr:col>
                    <xdr:colOff>1581150</xdr:colOff>
                    <xdr:row>30</xdr:row>
                    <xdr:rowOff>241300</xdr:rowOff>
                  </to>
                </anchor>
              </controlPr>
            </control>
          </mc:Choice>
        </mc:AlternateContent>
        <mc:AlternateContent xmlns:mc="http://schemas.openxmlformats.org/markup-compatibility/2006">
          <mc:Choice Requires="x14">
            <control shapeId="15414" r:id="rId10" name="Spinner 54">
              <controlPr defaultSize="0" autoPict="0">
                <anchor moveWithCells="1" sizeWithCells="1">
                  <from>
                    <xdr:col>2</xdr:col>
                    <xdr:colOff>1238250</xdr:colOff>
                    <xdr:row>34</xdr:row>
                    <xdr:rowOff>50800</xdr:rowOff>
                  </from>
                  <to>
                    <xdr:col>2</xdr:col>
                    <xdr:colOff>1581150</xdr:colOff>
                    <xdr:row>34</xdr:row>
                    <xdr:rowOff>247650</xdr:rowOff>
                  </to>
                </anchor>
              </controlPr>
            </control>
          </mc:Choice>
        </mc:AlternateContent>
        <mc:AlternateContent xmlns:mc="http://schemas.openxmlformats.org/markup-compatibility/2006">
          <mc:Choice Requires="x14">
            <control shapeId="15422" r:id="rId11" name="Spinner 62">
              <controlPr defaultSize="0" autoPict="0">
                <anchor moveWithCells="1" sizeWithCells="1">
                  <from>
                    <xdr:col>2</xdr:col>
                    <xdr:colOff>1238250</xdr:colOff>
                    <xdr:row>32</xdr:row>
                    <xdr:rowOff>57150</xdr:rowOff>
                  </from>
                  <to>
                    <xdr:col>2</xdr:col>
                    <xdr:colOff>1581150</xdr:colOff>
                    <xdr:row>32</xdr:row>
                    <xdr:rowOff>247650</xdr:rowOff>
                  </to>
                </anchor>
              </controlPr>
            </control>
          </mc:Choice>
        </mc:AlternateContent>
        <mc:AlternateContent xmlns:mc="http://schemas.openxmlformats.org/markup-compatibility/2006">
          <mc:Choice Requires="x14">
            <control shapeId="15425" r:id="rId12" name="Spinner 65">
              <controlPr defaultSize="0" autoPict="0">
                <anchor moveWithCells="1" sizeWithCells="1">
                  <from>
                    <xdr:col>2</xdr:col>
                    <xdr:colOff>1238250</xdr:colOff>
                    <xdr:row>22</xdr:row>
                    <xdr:rowOff>69850</xdr:rowOff>
                  </from>
                  <to>
                    <xdr:col>2</xdr:col>
                    <xdr:colOff>1581150</xdr:colOff>
                    <xdr:row>23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FT471"/>
  <sheetViews>
    <sheetView zoomScaleNormal="100" workbookViewId="0"/>
  </sheetViews>
  <sheetFormatPr defaultColWidth="16.7265625" defaultRowHeight="14.5" x14ac:dyDescent="0.35"/>
  <cols>
    <col min="1" max="1" width="3.26953125" style="18" customWidth="1"/>
    <col min="2" max="2" width="82.54296875" style="18" customWidth="1"/>
    <col min="3" max="9" width="25.7265625" style="18" customWidth="1"/>
    <col min="10" max="16384" width="16.7265625" style="18"/>
  </cols>
  <sheetData>
    <row r="1" spans="1:176" x14ac:dyDescent="0.35">
      <c r="A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row>
    <row r="2" spans="1:176" x14ac:dyDescent="0.35">
      <c r="A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row>
    <row r="3" spans="1:176" x14ac:dyDescent="0.35">
      <c r="A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432"/>
      <c r="BR3" s="432"/>
      <c r="BS3" s="432"/>
      <c r="BT3" s="432"/>
      <c r="BU3" s="432"/>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row>
    <row r="4" spans="1:176" x14ac:dyDescent="0.35">
      <c r="A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c r="ED4" s="432"/>
      <c r="EE4" s="432"/>
      <c r="EF4" s="432"/>
      <c r="EG4" s="432"/>
      <c r="EH4" s="432"/>
      <c r="EI4" s="432"/>
      <c r="EJ4" s="432"/>
      <c r="EK4" s="432"/>
      <c r="EL4" s="432"/>
      <c r="EM4" s="432"/>
      <c r="EN4" s="432"/>
      <c r="EO4" s="432"/>
      <c r="EP4" s="432"/>
      <c r="EQ4" s="432"/>
      <c r="ER4" s="432"/>
      <c r="ES4" s="432"/>
      <c r="ET4" s="432"/>
      <c r="EU4" s="432"/>
      <c r="EV4" s="432"/>
      <c r="EW4" s="432"/>
      <c r="EX4" s="432"/>
      <c r="EY4" s="432"/>
      <c r="EZ4" s="432"/>
      <c r="FA4" s="432"/>
      <c r="FB4" s="432"/>
      <c r="FC4" s="432"/>
      <c r="FD4" s="432"/>
      <c r="FE4" s="432"/>
      <c r="FF4" s="432"/>
      <c r="FG4" s="432"/>
      <c r="FH4" s="432"/>
      <c r="FI4" s="432"/>
      <c r="FJ4" s="432"/>
      <c r="FK4" s="432"/>
      <c r="FL4" s="432"/>
      <c r="FM4" s="432"/>
      <c r="FN4" s="432"/>
      <c r="FO4" s="432"/>
      <c r="FP4" s="432"/>
      <c r="FQ4" s="432"/>
      <c r="FR4" s="432"/>
      <c r="FS4" s="432"/>
      <c r="FT4" s="432"/>
    </row>
    <row r="5" spans="1:176" x14ac:dyDescent="0.35">
      <c r="A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c r="CU5" s="432"/>
      <c r="CV5" s="432"/>
      <c r="CW5" s="432"/>
      <c r="CX5" s="432"/>
      <c r="CY5" s="432"/>
      <c r="CZ5" s="432"/>
      <c r="DA5" s="432"/>
      <c r="DB5" s="432"/>
      <c r="DC5" s="432"/>
      <c r="DD5" s="432"/>
      <c r="DE5" s="432"/>
      <c r="DF5" s="432"/>
      <c r="DG5" s="432"/>
      <c r="DH5" s="432"/>
      <c r="DI5" s="432"/>
      <c r="DJ5" s="432"/>
      <c r="DK5" s="432"/>
      <c r="DL5" s="432"/>
      <c r="DM5" s="432"/>
      <c r="DN5" s="432"/>
      <c r="DO5" s="432"/>
      <c r="DP5" s="432"/>
      <c r="DQ5" s="432"/>
      <c r="DR5" s="432"/>
      <c r="DS5" s="432"/>
      <c r="DT5" s="432"/>
      <c r="DU5" s="432"/>
      <c r="DV5" s="432"/>
      <c r="DW5" s="432"/>
      <c r="DX5" s="432"/>
      <c r="DY5" s="432"/>
      <c r="DZ5" s="432"/>
      <c r="EA5" s="432"/>
      <c r="EB5" s="432"/>
      <c r="EC5" s="432"/>
      <c r="ED5" s="432"/>
      <c r="EE5" s="432"/>
      <c r="EF5" s="432"/>
      <c r="EG5" s="432"/>
      <c r="EH5" s="432"/>
      <c r="EI5" s="432"/>
      <c r="EJ5" s="432"/>
      <c r="EK5" s="432"/>
      <c r="EL5" s="432"/>
      <c r="EM5" s="432"/>
      <c r="EN5" s="432"/>
      <c r="EO5" s="432"/>
      <c r="EP5" s="432"/>
      <c r="EQ5" s="432"/>
      <c r="ER5" s="432"/>
      <c r="ES5" s="432"/>
      <c r="ET5" s="432"/>
      <c r="EU5" s="432"/>
      <c r="EV5" s="432"/>
      <c r="EW5" s="432"/>
      <c r="EX5" s="432"/>
      <c r="EY5" s="432"/>
      <c r="EZ5" s="432"/>
      <c r="FA5" s="432"/>
      <c r="FB5" s="432"/>
      <c r="FC5" s="432"/>
      <c r="FD5" s="432"/>
      <c r="FE5" s="432"/>
      <c r="FF5" s="432"/>
      <c r="FG5" s="432"/>
      <c r="FH5" s="432"/>
      <c r="FI5" s="432"/>
      <c r="FJ5" s="432"/>
      <c r="FK5" s="432"/>
      <c r="FL5" s="432"/>
      <c r="FM5" s="432"/>
      <c r="FN5" s="432"/>
      <c r="FO5" s="432"/>
      <c r="FP5" s="432"/>
      <c r="FQ5" s="432"/>
      <c r="FR5" s="432"/>
      <c r="FS5" s="432"/>
      <c r="FT5" s="432"/>
    </row>
    <row r="6" spans="1:176" x14ac:dyDescent="0.35">
      <c r="A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c r="DE6" s="432"/>
      <c r="DF6" s="432"/>
      <c r="DG6" s="432"/>
      <c r="DH6" s="432"/>
      <c r="DI6" s="432"/>
      <c r="DJ6" s="432"/>
      <c r="DK6" s="432"/>
      <c r="DL6" s="432"/>
      <c r="DM6" s="432"/>
      <c r="DN6" s="432"/>
      <c r="DO6" s="432"/>
      <c r="DP6" s="432"/>
      <c r="DQ6" s="432"/>
      <c r="DR6" s="432"/>
      <c r="DS6" s="432"/>
      <c r="DT6" s="432"/>
      <c r="DU6" s="432"/>
      <c r="DV6" s="432"/>
      <c r="DW6" s="432"/>
      <c r="DX6" s="432"/>
      <c r="DY6" s="432"/>
      <c r="DZ6" s="432"/>
      <c r="EA6" s="432"/>
      <c r="EB6" s="432"/>
      <c r="EC6" s="432"/>
      <c r="ED6" s="432"/>
      <c r="EE6" s="432"/>
      <c r="EF6" s="432"/>
      <c r="EG6" s="432"/>
      <c r="EH6" s="432"/>
      <c r="EI6" s="432"/>
      <c r="EJ6" s="432"/>
      <c r="EK6" s="432"/>
      <c r="EL6" s="432"/>
      <c r="EM6" s="432"/>
      <c r="EN6" s="432"/>
      <c r="EO6" s="432"/>
      <c r="EP6" s="432"/>
      <c r="EQ6" s="432"/>
      <c r="ER6" s="432"/>
      <c r="ES6" s="432"/>
      <c r="ET6" s="432"/>
      <c r="EU6" s="432"/>
      <c r="EV6" s="432"/>
      <c r="EW6" s="432"/>
      <c r="EX6" s="432"/>
      <c r="EY6" s="432"/>
      <c r="EZ6" s="432"/>
      <c r="FA6" s="432"/>
      <c r="FB6" s="432"/>
      <c r="FC6" s="432"/>
      <c r="FD6" s="432"/>
      <c r="FE6" s="432"/>
      <c r="FF6" s="432"/>
      <c r="FG6" s="432"/>
      <c r="FH6" s="432"/>
      <c r="FI6" s="432"/>
      <c r="FJ6" s="432"/>
      <c r="FK6" s="432"/>
      <c r="FL6" s="432"/>
      <c r="FM6" s="432"/>
      <c r="FN6" s="432"/>
      <c r="FO6" s="432"/>
      <c r="FP6" s="432"/>
      <c r="FQ6" s="432"/>
      <c r="FR6" s="432"/>
      <c r="FS6" s="432"/>
      <c r="FT6" s="432"/>
    </row>
    <row r="7" spans="1:176" x14ac:dyDescent="0.35">
      <c r="A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2"/>
      <c r="DJ7" s="432"/>
      <c r="DK7" s="432"/>
      <c r="DL7" s="432"/>
      <c r="DM7" s="432"/>
      <c r="DN7" s="432"/>
      <c r="DO7" s="432"/>
      <c r="DP7" s="432"/>
      <c r="DQ7" s="432"/>
      <c r="DR7" s="432"/>
      <c r="DS7" s="432"/>
      <c r="DT7" s="432"/>
      <c r="DU7" s="432"/>
      <c r="DV7" s="432"/>
      <c r="DW7" s="432"/>
      <c r="DX7" s="432"/>
      <c r="DY7" s="432"/>
      <c r="DZ7" s="432"/>
      <c r="EA7" s="432"/>
      <c r="EB7" s="432"/>
      <c r="EC7" s="432"/>
      <c r="ED7" s="432"/>
      <c r="EE7" s="432"/>
      <c r="EF7" s="432"/>
      <c r="EG7" s="432"/>
      <c r="EH7" s="432"/>
      <c r="EI7" s="432"/>
      <c r="EJ7" s="432"/>
      <c r="EK7" s="432"/>
      <c r="EL7" s="432"/>
      <c r="EM7" s="432"/>
      <c r="EN7" s="432"/>
      <c r="EO7" s="432"/>
      <c r="EP7" s="432"/>
      <c r="EQ7" s="432"/>
      <c r="ER7" s="432"/>
      <c r="ES7" s="432"/>
      <c r="ET7" s="432"/>
      <c r="EU7" s="432"/>
      <c r="EV7" s="432"/>
      <c r="EW7" s="432"/>
      <c r="EX7" s="432"/>
      <c r="EY7" s="432"/>
      <c r="EZ7" s="432"/>
      <c r="FA7" s="432"/>
      <c r="FB7" s="432"/>
      <c r="FC7" s="432"/>
      <c r="FD7" s="432"/>
      <c r="FE7" s="432"/>
      <c r="FF7" s="432"/>
      <c r="FG7" s="432"/>
      <c r="FH7" s="432"/>
      <c r="FI7" s="432"/>
      <c r="FJ7" s="432"/>
      <c r="FK7" s="432"/>
      <c r="FL7" s="432"/>
      <c r="FM7" s="432"/>
      <c r="FN7" s="432"/>
      <c r="FO7" s="432"/>
      <c r="FP7" s="432"/>
      <c r="FQ7" s="432"/>
      <c r="FR7" s="432"/>
      <c r="FS7" s="432"/>
      <c r="FT7" s="432"/>
    </row>
    <row r="8" spans="1:176" x14ac:dyDescent="0.35">
      <c r="A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432"/>
      <c r="EO8" s="432"/>
      <c r="EP8" s="432"/>
      <c r="EQ8" s="432"/>
      <c r="ER8" s="432"/>
      <c r="ES8" s="432"/>
      <c r="ET8" s="432"/>
      <c r="EU8" s="432"/>
      <c r="EV8" s="432"/>
      <c r="EW8" s="432"/>
      <c r="EX8" s="432"/>
      <c r="EY8" s="432"/>
      <c r="EZ8" s="432"/>
      <c r="FA8" s="432"/>
      <c r="FB8" s="432"/>
      <c r="FC8" s="432"/>
      <c r="FD8" s="432"/>
      <c r="FE8" s="432"/>
      <c r="FF8" s="432"/>
      <c r="FG8" s="432"/>
      <c r="FH8" s="432"/>
      <c r="FI8" s="432"/>
      <c r="FJ8" s="432"/>
      <c r="FK8" s="432"/>
      <c r="FL8" s="432"/>
      <c r="FM8" s="432"/>
      <c r="FN8" s="432"/>
      <c r="FO8" s="432"/>
      <c r="FP8" s="432"/>
      <c r="FQ8" s="432"/>
      <c r="FR8" s="432"/>
      <c r="FS8" s="432"/>
      <c r="FT8" s="432"/>
    </row>
    <row r="9" spans="1:176" ht="20.149999999999999" customHeight="1" x14ac:dyDescent="0.35">
      <c r="A9" s="432"/>
      <c r="B9" s="511" t="s">
        <v>946</v>
      </c>
      <c r="C9" s="510"/>
      <c r="I9" s="432"/>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row>
    <row r="10" spans="1:176" ht="20.149999999999999" customHeight="1" x14ac:dyDescent="0.35">
      <c r="A10" s="432"/>
      <c r="B10" s="171" t="s">
        <v>698</v>
      </c>
      <c r="C10" s="140">
        <f>'Baseline farm'!D19</f>
        <v>0</v>
      </c>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2"/>
      <c r="DJ10" s="432"/>
      <c r="DK10" s="432"/>
      <c r="DL10" s="432"/>
      <c r="DM10" s="432"/>
      <c r="DN10" s="432"/>
      <c r="DO10" s="432"/>
      <c r="DP10" s="432"/>
      <c r="DQ10" s="432"/>
      <c r="DR10" s="432"/>
      <c r="DS10" s="432"/>
      <c r="DT10" s="432"/>
      <c r="DU10" s="432"/>
      <c r="DV10" s="432"/>
      <c r="DW10" s="432"/>
      <c r="DX10" s="432"/>
      <c r="DY10" s="432"/>
      <c r="DZ10" s="432"/>
      <c r="EA10" s="432"/>
      <c r="EB10" s="432"/>
      <c r="EC10" s="432"/>
      <c r="ED10" s="432"/>
      <c r="EE10" s="432"/>
      <c r="EF10" s="432"/>
      <c r="EG10" s="432"/>
      <c r="EH10" s="432"/>
      <c r="EI10" s="432"/>
      <c r="EJ10" s="432"/>
      <c r="EK10" s="432"/>
      <c r="EL10" s="432"/>
      <c r="EM10" s="432"/>
      <c r="EN10" s="432"/>
      <c r="EO10" s="432"/>
      <c r="EP10" s="432"/>
      <c r="EQ10" s="432"/>
      <c r="ER10" s="432"/>
      <c r="ES10" s="432"/>
      <c r="ET10" s="432"/>
      <c r="EU10" s="432"/>
      <c r="EV10" s="432"/>
      <c r="EW10" s="432"/>
      <c r="EX10" s="432"/>
      <c r="EY10" s="432"/>
      <c r="EZ10" s="432"/>
      <c r="FA10" s="432"/>
      <c r="FB10" s="432"/>
      <c r="FC10" s="432"/>
      <c r="FD10" s="432"/>
      <c r="FE10" s="432"/>
      <c r="FF10" s="432"/>
      <c r="FG10" s="432"/>
      <c r="FH10" s="432"/>
      <c r="FI10" s="432"/>
      <c r="FJ10" s="432"/>
      <c r="FK10" s="432"/>
      <c r="FL10" s="432"/>
      <c r="FM10" s="432"/>
      <c r="FN10" s="432"/>
      <c r="FO10" s="432"/>
      <c r="FP10" s="432"/>
      <c r="FQ10" s="432"/>
      <c r="FR10" s="432"/>
      <c r="FS10" s="432"/>
      <c r="FT10" s="432"/>
    </row>
    <row r="11" spans="1:176" ht="20.149999999999999" hidden="1" customHeight="1" x14ac:dyDescent="0.35">
      <c r="A11" s="432"/>
      <c r="B11" s="171" t="s">
        <v>15</v>
      </c>
      <c r="C11" s="8">
        <v>0</v>
      </c>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c r="DJ11" s="432"/>
      <c r="DK11" s="432"/>
      <c r="DL11" s="432"/>
      <c r="DM11" s="432"/>
      <c r="DN11" s="432"/>
      <c r="DO11" s="432"/>
      <c r="DP11" s="432"/>
      <c r="DQ11" s="432"/>
      <c r="DR11" s="432"/>
      <c r="DS11" s="432"/>
      <c r="DT11" s="432"/>
      <c r="DU11" s="432"/>
      <c r="DV11" s="432"/>
      <c r="DW11" s="432"/>
      <c r="DX11" s="432"/>
      <c r="DY11" s="432"/>
      <c r="DZ11" s="432"/>
      <c r="EA11" s="432"/>
      <c r="EB11" s="432"/>
      <c r="EC11" s="432"/>
      <c r="ED11" s="432"/>
      <c r="EE11" s="432"/>
      <c r="EF11" s="432"/>
      <c r="EG11" s="432"/>
      <c r="EH11" s="432"/>
      <c r="EI11" s="432"/>
      <c r="EJ11" s="432"/>
      <c r="EK11" s="432"/>
      <c r="EL11" s="432"/>
      <c r="EM11" s="432"/>
      <c r="EN11" s="432"/>
      <c r="EO11" s="432"/>
      <c r="EP11" s="432"/>
      <c r="EQ11" s="432"/>
      <c r="ER11" s="432"/>
      <c r="ES11" s="432"/>
      <c r="ET11" s="432"/>
      <c r="EU11" s="432"/>
      <c r="EV11" s="432"/>
      <c r="EW11" s="432"/>
      <c r="EX11" s="432"/>
      <c r="EY11" s="432"/>
      <c r="EZ11" s="432"/>
      <c r="FA11" s="432"/>
      <c r="FB11" s="432"/>
      <c r="FC11" s="432"/>
      <c r="FD11" s="432"/>
      <c r="FE11" s="432"/>
      <c r="FF11" s="432"/>
      <c r="FG11" s="432"/>
      <c r="FH11" s="432"/>
      <c r="FI11" s="432"/>
      <c r="FJ11" s="432"/>
      <c r="FK11" s="432"/>
      <c r="FL11" s="432"/>
      <c r="FM11" s="432"/>
      <c r="FN11" s="432"/>
      <c r="FO11" s="432"/>
      <c r="FP11" s="432"/>
      <c r="FQ11" s="432"/>
      <c r="FR11" s="432"/>
      <c r="FS11" s="432"/>
      <c r="FT11" s="432"/>
    </row>
    <row r="12" spans="1:176" ht="20.149999999999999" customHeight="1" x14ac:dyDescent="0.35">
      <c r="A12" s="432"/>
      <c r="B12" s="171" t="s">
        <v>458</v>
      </c>
      <c r="C12" s="8" t="e">
        <f>'Baseline farm'!H35</f>
        <v>#DIV/0!</v>
      </c>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2"/>
      <c r="FG12" s="432"/>
      <c r="FH12" s="432"/>
      <c r="FI12" s="432"/>
      <c r="FJ12" s="432"/>
      <c r="FK12" s="432"/>
      <c r="FL12" s="432"/>
      <c r="FM12" s="432"/>
      <c r="FN12" s="432"/>
      <c r="FO12" s="432"/>
      <c r="FP12" s="432"/>
      <c r="FQ12" s="432"/>
      <c r="FR12" s="432"/>
      <c r="FS12" s="432"/>
      <c r="FT12" s="432"/>
    </row>
    <row r="13" spans="1:176" ht="20.149999999999999" customHeight="1" x14ac:dyDescent="0.35">
      <c r="A13" s="432"/>
      <c r="B13" s="171" t="s">
        <v>721</v>
      </c>
      <c r="C13" s="7">
        <f>'Baseline farm'!D35</f>
        <v>0</v>
      </c>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2"/>
      <c r="FG13" s="432"/>
      <c r="FH13" s="432"/>
      <c r="FI13" s="432"/>
      <c r="FJ13" s="432"/>
      <c r="FK13" s="432"/>
      <c r="FL13" s="432"/>
      <c r="FM13" s="432"/>
      <c r="FN13" s="432"/>
      <c r="FO13" s="432"/>
      <c r="FP13" s="432"/>
      <c r="FQ13" s="432"/>
      <c r="FR13" s="432"/>
      <c r="FS13" s="432"/>
      <c r="FT13" s="432"/>
    </row>
    <row r="14" spans="1:176" ht="20.149999999999999" customHeight="1" x14ac:dyDescent="0.35">
      <c r="A14" s="432"/>
      <c r="B14" s="281" t="s">
        <v>75</v>
      </c>
      <c r="C14" s="282">
        <f>'Baseline farm'!D357*1000</f>
        <v>0</v>
      </c>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c r="EO14" s="432"/>
      <c r="EP14" s="432"/>
      <c r="EQ14" s="432"/>
      <c r="ER14" s="432"/>
      <c r="ES14" s="432"/>
      <c r="ET14" s="432"/>
      <c r="EU14" s="432"/>
      <c r="EV14" s="432"/>
      <c r="EW14" s="432"/>
      <c r="EX14" s="432"/>
      <c r="EY14" s="432"/>
      <c r="EZ14" s="432"/>
      <c r="FA14" s="432"/>
      <c r="FB14" s="432"/>
      <c r="FC14" s="432"/>
      <c r="FD14" s="432"/>
      <c r="FE14" s="432"/>
      <c r="FF14" s="432"/>
      <c r="FG14" s="432"/>
      <c r="FH14" s="432"/>
      <c r="FI14" s="432"/>
      <c r="FJ14" s="432"/>
      <c r="FK14" s="432"/>
      <c r="FL14" s="432"/>
      <c r="FM14" s="432"/>
      <c r="FN14" s="432"/>
      <c r="FO14" s="432"/>
      <c r="FP14" s="432"/>
      <c r="FQ14" s="432"/>
      <c r="FR14" s="432"/>
      <c r="FS14" s="432"/>
      <c r="FT14" s="432"/>
    </row>
    <row r="15" spans="1:176" ht="20.149999999999999" customHeight="1" x14ac:dyDescent="0.35">
      <c r="A15" s="432"/>
      <c r="B15" s="512" t="s">
        <v>947</v>
      </c>
      <c r="C15" s="283"/>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CU15" s="432"/>
      <c r="CV15" s="432"/>
      <c r="CW15" s="432"/>
      <c r="CX15" s="432"/>
      <c r="CY15" s="432"/>
      <c r="CZ15" s="432"/>
      <c r="DA15" s="432"/>
      <c r="DB15" s="432"/>
      <c r="DC15" s="432"/>
      <c r="DD15" s="432"/>
      <c r="DE15" s="432"/>
      <c r="DF15" s="432"/>
      <c r="DG15" s="432"/>
      <c r="DH15" s="432"/>
      <c r="DI15" s="432"/>
      <c r="DJ15" s="432"/>
      <c r="DK15" s="432"/>
      <c r="DL15" s="432"/>
      <c r="DM15" s="432"/>
      <c r="DN15" s="432"/>
      <c r="DO15" s="432"/>
      <c r="DP15" s="432"/>
      <c r="DQ15" s="432"/>
      <c r="DR15" s="432"/>
      <c r="DS15" s="432"/>
      <c r="DT15" s="432"/>
      <c r="DU15" s="432"/>
      <c r="DV15" s="432"/>
      <c r="DW15" s="432"/>
      <c r="DX15" s="432"/>
      <c r="DY15" s="432"/>
      <c r="DZ15" s="432"/>
      <c r="EA15" s="432"/>
      <c r="EB15" s="432"/>
      <c r="EC15" s="432"/>
      <c r="ED15" s="432"/>
      <c r="EE15" s="432"/>
      <c r="EF15" s="432"/>
      <c r="EG15" s="432"/>
      <c r="EH15" s="432"/>
      <c r="EI15" s="432"/>
      <c r="EJ15" s="432"/>
      <c r="EK15" s="432"/>
      <c r="EL15" s="432"/>
      <c r="EM15" s="432"/>
      <c r="EN15" s="432"/>
      <c r="EO15" s="432"/>
      <c r="EP15" s="432"/>
      <c r="EQ15" s="432"/>
      <c r="ER15" s="432"/>
      <c r="ES15" s="432"/>
      <c r="ET15" s="432"/>
      <c r="EU15" s="432"/>
      <c r="EV15" s="432"/>
      <c r="EW15" s="432"/>
      <c r="EX15" s="432"/>
      <c r="EY15" s="432"/>
      <c r="EZ15" s="432"/>
      <c r="FA15" s="432"/>
      <c r="FB15" s="432"/>
      <c r="FC15" s="432"/>
      <c r="FD15" s="432"/>
      <c r="FE15" s="432"/>
      <c r="FF15" s="432"/>
      <c r="FG15" s="432"/>
      <c r="FH15" s="432"/>
      <c r="FI15" s="432"/>
      <c r="FJ15" s="432"/>
      <c r="FK15" s="432"/>
      <c r="FL15" s="432"/>
      <c r="FM15" s="432"/>
      <c r="FN15" s="432"/>
      <c r="FO15" s="432"/>
      <c r="FP15" s="432"/>
      <c r="FQ15" s="432"/>
      <c r="FR15" s="432"/>
      <c r="FS15" s="432"/>
      <c r="FT15" s="432"/>
    </row>
    <row r="16" spans="1:176" ht="19.5" customHeight="1" x14ac:dyDescent="0.35">
      <c r="A16" s="432"/>
      <c r="B16" s="270" t="s">
        <v>179</v>
      </c>
      <c r="C16" s="671">
        <f>C69/100</f>
        <v>0.3</v>
      </c>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c r="CU16" s="432"/>
      <c r="CV16" s="432"/>
      <c r="CW16" s="432"/>
      <c r="CX16" s="432"/>
      <c r="CY16" s="432"/>
      <c r="CZ16" s="432"/>
      <c r="DA16" s="432"/>
      <c r="DB16" s="432"/>
      <c r="DC16" s="432"/>
      <c r="DD16" s="432"/>
      <c r="DE16" s="432"/>
      <c r="DF16" s="432"/>
      <c r="DG16" s="432"/>
      <c r="DH16" s="432"/>
      <c r="DI16" s="432"/>
      <c r="DJ16" s="432"/>
      <c r="DK16" s="432"/>
      <c r="DL16" s="432"/>
      <c r="DM16" s="432"/>
      <c r="DN16" s="432"/>
      <c r="DO16" s="432"/>
      <c r="DP16" s="432"/>
      <c r="DQ16" s="432"/>
      <c r="DR16" s="432"/>
      <c r="DS16" s="432"/>
      <c r="DT16" s="432"/>
      <c r="DU16" s="432"/>
      <c r="DV16" s="432"/>
      <c r="DW16" s="432"/>
      <c r="DX16" s="432"/>
      <c r="DY16" s="432"/>
      <c r="DZ16" s="432"/>
      <c r="EA16" s="432"/>
      <c r="EB16" s="432"/>
      <c r="EC16" s="432"/>
      <c r="ED16" s="432"/>
      <c r="EE16" s="432"/>
      <c r="EF16" s="432"/>
      <c r="EG16" s="432"/>
      <c r="EH16" s="432"/>
      <c r="EI16" s="432"/>
      <c r="EJ16" s="432"/>
      <c r="EK16" s="432"/>
      <c r="EL16" s="432"/>
      <c r="EM16" s="432"/>
      <c r="EN16" s="432"/>
      <c r="EO16" s="432"/>
      <c r="EP16" s="432"/>
      <c r="EQ16" s="432"/>
      <c r="ER16" s="432"/>
      <c r="ES16" s="432"/>
      <c r="ET16" s="432"/>
      <c r="EU16" s="432"/>
      <c r="EV16" s="432"/>
      <c r="EW16" s="432"/>
      <c r="EX16" s="432"/>
      <c r="EY16" s="432"/>
      <c r="EZ16" s="432"/>
      <c r="FA16" s="432"/>
      <c r="FB16" s="432"/>
      <c r="FC16" s="432"/>
      <c r="FD16" s="432"/>
      <c r="FE16" s="432"/>
      <c r="FF16" s="432"/>
      <c r="FG16" s="432"/>
      <c r="FH16" s="432"/>
      <c r="FI16" s="432"/>
      <c r="FJ16" s="432"/>
      <c r="FK16" s="432"/>
      <c r="FL16" s="432"/>
      <c r="FM16" s="432"/>
      <c r="FN16" s="432"/>
      <c r="FO16" s="432"/>
      <c r="FP16" s="432"/>
      <c r="FQ16" s="432"/>
      <c r="FR16" s="432"/>
      <c r="FS16" s="432"/>
      <c r="FT16" s="432"/>
    </row>
    <row r="17" spans="1:176" ht="5.15" customHeight="1" x14ac:dyDescent="0.35">
      <c r="A17" s="432"/>
      <c r="B17" s="270"/>
      <c r="C17" s="31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c r="CU17" s="432"/>
      <c r="CV17" s="432"/>
      <c r="CW17" s="432"/>
      <c r="CX17" s="432"/>
      <c r="CY17" s="432"/>
      <c r="CZ17" s="432"/>
      <c r="DA17" s="432"/>
      <c r="DB17" s="432"/>
      <c r="DC17" s="432"/>
      <c r="DD17" s="432"/>
      <c r="DE17" s="432"/>
      <c r="DF17" s="432"/>
      <c r="DG17" s="432"/>
      <c r="DH17" s="432"/>
      <c r="DI17" s="432"/>
      <c r="DJ17" s="432"/>
      <c r="DK17" s="432"/>
      <c r="DL17" s="432"/>
      <c r="DM17" s="432"/>
      <c r="DN17" s="432"/>
      <c r="DO17" s="432"/>
      <c r="DP17" s="432"/>
      <c r="DQ17" s="432"/>
      <c r="DR17" s="432"/>
      <c r="DS17" s="432"/>
      <c r="DT17" s="432"/>
      <c r="DU17" s="432"/>
      <c r="DV17" s="432"/>
      <c r="DW17" s="432"/>
      <c r="DX17" s="432"/>
      <c r="DY17" s="432"/>
      <c r="DZ17" s="432"/>
      <c r="EA17" s="432"/>
      <c r="EB17" s="432"/>
      <c r="EC17" s="432"/>
      <c r="ED17" s="432"/>
      <c r="EE17" s="432"/>
      <c r="EF17" s="432"/>
      <c r="EG17" s="432"/>
      <c r="EH17" s="432"/>
      <c r="EI17" s="432"/>
      <c r="EJ17" s="432"/>
      <c r="EK17" s="432"/>
      <c r="EL17" s="432"/>
      <c r="EM17" s="432"/>
      <c r="EN17" s="432"/>
      <c r="EO17" s="432"/>
      <c r="EP17" s="432"/>
      <c r="EQ17" s="432"/>
      <c r="ER17" s="432"/>
      <c r="ES17" s="432"/>
      <c r="ET17" s="432"/>
      <c r="EU17" s="432"/>
      <c r="EV17" s="432"/>
      <c r="EW17" s="432"/>
      <c r="EX17" s="432"/>
      <c r="EY17" s="432"/>
      <c r="EZ17" s="432"/>
      <c r="FA17" s="432"/>
      <c r="FB17" s="432"/>
      <c r="FC17" s="432"/>
      <c r="FD17" s="432"/>
      <c r="FE17" s="432"/>
      <c r="FF17" s="432"/>
      <c r="FG17" s="432"/>
      <c r="FH17" s="432"/>
      <c r="FI17" s="432"/>
      <c r="FJ17" s="432"/>
      <c r="FK17" s="432"/>
      <c r="FL17" s="432"/>
      <c r="FM17" s="432"/>
      <c r="FN17" s="432"/>
      <c r="FO17" s="432"/>
      <c r="FP17" s="432"/>
      <c r="FQ17" s="432"/>
      <c r="FR17" s="432"/>
      <c r="FS17" s="432"/>
      <c r="FT17" s="432"/>
    </row>
    <row r="18" spans="1:176" ht="20.149999999999999" customHeight="1" x14ac:dyDescent="0.35">
      <c r="A18" s="432"/>
      <c r="B18" s="270" t="s">
        <v>786</v>
      </c>
      <c r="C18" s="671">
        <f>C71/100</f>
        <v>1</v>
      </c>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c r="CG18" s="432"/>
      <c r="CH18" s="432"/>
      <c r="CI18" s="432"/>
      <c r="CJ18" s="432"/>
      <c r="CK18" s="432"/>
      <c r="CL18" s="432"/>
      <c r="CM18" s="432"/>
      <c r="CN18" s="432"/>
      <c r="CO18" s="432"/>
      <c r="CP18" s="432"/>
      <c r="CQ18" s="432"/>
      <c r="CR18" s="432"/>
      <c r="CS18" s="432"/>
      <c r="CT18" s="432"/>
      <c r="CU18" s="432"/>
      <c r="CV18" s="432"/>
      <c r="CW18" s="432"/>
      <c r="CX18" s="432"/>
      <c r="CY18" s="432"/>
      <c r="CZ18" s="432"/>
      <c r="DA18" s="432"/>
      <c r="DB18" s="432"/>
      <c r="DC18" s="432"/>
      <c r="DD18" s="432"/>
      <c r="DE18" s="432"/>
      <c r="DF18" s="432"/>
      <c r="DG18" s="432"/>
      <c r="DH18" s="432"/>
      <c r="DI18" s="432"/>
      <c r="DJ18" s="432"/>
      <c r="DK18" s="432"/>
      <c r="DL18" s="432"/>
      <c r="DM18" s="432"/>
      <c r="DN18" s="432"/>
      <c r="DO18" s="432"/>
      <c r="DP18" s="432"/>
      <c r="DQ18" s="432"/>
      <c r="DR18" s="432"/>
      <c r="DS18" s="432"/>
      <c r="DT18" s="432"/>
      <c r="DU18" s="432"/>
      <c r="DV18" s="432"/>
      <c r="DW18" s="432"/>
      <c r="DX18" s="432"/>
      <c r="DY18" s="432"/>
      <c r="DZ18" s="432"/>
      <c r="EA18" s="432"/>
      <c r="EB18" s="432"/>
      <c r="EC18" s="432"/>
      <c r="ED18" s="432"/>
      <c r="EE18" s="432"/>
      <c r="EF18" s="432"/>
      <c r="EG18" s="432"/>
      <c r="EH18" s="432"/>
      <c r="EI18" s="432"/>
      <c r="EJ18" s="432"/>
      <c r="EK18" s="432"/>
      <c r="EL18" s="432"/>
      <c r="EM18" s="432"/>
      <c r="EN18" s="432"/>
      <c r="EO18" s="432"/>
      <c r="EP18" s="432"/>
      <c r="EQ18" s="432"/>
      <c r="ER18" s="432"/>
      <c r="ES18" s="432"/>
      <c r="ET18" s="432"/>
      <c r="EU18" s="432"/>
      <c r="EV18" s="432"/>
      <c r="EW18" s="432"/>
      <c r="EX18" s="432"/>
      <c r="EY18" s="432"/>
      <c r="EZ18" s="432"/>
      <c r="FA18" s="432"/>
      <c r="FB18" s="432"/>
      <c r="FC18" s="432"/>
      <c r="FD18" s="432"/>
      <c r="FE18" s="432"/>
      <c r="FF18" s="432"/>
      <c r="FG18" s="432"/>
      <c r="FH18" s="432"/>
      <c r="FI18" s="432"/>
      <c r="FJ18" s="432"/>
      <c r="FK18" s="432"/>
      <c r="FL18" s="432"/>
      <c r="FM18" s="432"/>
      <c r="FN18" s="432"/>
      <c r="FO18" s="432"/>
      <c r="FP18" s="432"/>
      <c r="FQ18" s="432"/>
      <c r="FR18" s="432"/>
      <c r="FS18" s="432"/>
      <c r="FT18" s="432"/>
    </row>
    <row r="19" spans="1:176" ht="5.15" customHeight="1" x14ac:dyDescent="0.35">
      <c r="A19" s="432"/>
      <c r="B19" s="270"/>
      <c r="C19" s="31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c r="BV19" s="432"/>
      <c r="BW19" s="432"/>
      <c r="BX19" s="432"/>
      <c r="BY19" s="432"/>
      <c r="BZ19" s="432"/>
      <c r="CA19" s="432"/>
      <c r="CB19" s="432"/>
      <c r="CC19" s="432"/>
      <c r="CD19" s="432"/>
      <c r="CE19" s="432"/>
      <c r="CF19" s="432"/>
      <c r="CG19" s="432"/>
      <c r="CH19" s="432"/>
      <c r="CI19" s="432"/>
      <c r="CJ19" s="432"/>
      <c r="CK19" s="432"/>
      <c r="CL19" s="432"/>
      <c r="CM19" s="432"/>
      <c r="CN19" s="432"/>
      <c r="CO19" s="432"/>
      <c r="CP19" s="432"/>
      <c r="CQ19" s="432"/>
      <c r="CR19" s="432"/>
      <c r="CS19" s="432"/>
      <c r="CT19" s="432"/>
      <c r="CU19" s="432"/>
      <c r="CV19" s="432"/>
      <c r="CW19" s="432"/>
      <c r="CX19" s="432"/>
      <c r="CY19" s="432"/>
      <c r="CZ19" s="432"/>
      <c r="DA19" s="432"/>
      <c r="DB19" s="432"/>
      <c r="DC19" s="432"/>
      <c r="DD19" s="432"/>
      <c r="DE19" s="432"/>
      <c r="DF19" s="432"/>
      <c r="DG19" s="432"/>
      <c r="DH19" s="432"/>
      <c r="DI19" s="432"/>
      <c r="DJ19" s="432"/>
      <c r="DK19" s="432"/>
      <c r="DL19" s="432"/>
      <c r="DM19" s="432"/>
      <c r="DN19" s="432"/>
      <c r="DO19" s="432"/>
      <c r="DP19" s="432"/>
      <c r="DQ19" s="432"/>
      <c r="DR19" s="432"/>
      <c r="DS19" s="432"/>
      <c r="DT19" s="432"/>
      <c r="DU19" s="432"/>
      <c r="DV19" s="432"/>
      <c r="DW19" s="432"/>
      <c r="DX19" s="432"/>
      <c r="DY19" s="432"/>
      <c r="DZ19" s="432"/>
      <c r="EA19" s="432"/>
      <c r="EB19" s="432"/>
      <c r="EC19" s="432"/>
      <c r="ED19" s="432"/>
      <c r="EE19" s="432"/>
      <c r="EF19" s="432"/>
      <c r="EG19" s="432"/>
      <c r="EH19" s="432"/>
      <c r="EI19" s="432"/>
      <c r="EJ19" s="432"/>
      <c r="EK19" s="432"/>
      <c r="EL19" s="432"/>
      <c r="EM19" s="432"/>
      <c r="EN19" s="432"/>
      <c r="EO19" s="432"/>
      <c r="EP19" s="432"/>
      <c r="EQ19" s="432"/>
      <c r="ER19" s="432"/>
      <c r="ES19" s="432"/>
      <c r="ET19" s="432"/>
      <c r="EU19" s="432"/>
      <c r="EV19" s="432"/>
      <c r="EW19" s="432"/>
      <c r="EX19" s="432"/>
      <c r="EY19" s="432"/>
      <c r="EZ19" s="432"/>
      <c r="FA19" s="432"/>
      <c r="FB19" s="432"/>
      <c r="FC19" s="432"/>
      <c r="FD19" s="432"/>
      <c r="FE19" s="432"/>
      <c r="FF19" s="432"/>
      <c r="FG19" s="432"/>
      <c r="FH19" s="432"/>
      <c r="FI19" s="432"/>
      <c r="FJ19" s="432"/>
      <c r="FK19" s="432"/>
      <c r="FL19" s="432"/>
      <c r="FM19" s="432"/>
      <c r="FN19" s="432"/>
      <c r="FO19" s="432"/>
      <c r="FP19" s="432"/>
      <c r="FQ19" s="432"/>
      <c r="FR19" s="432"/>
      <c r="FS19" s="432"/>
      <c r="FT19" s="432"/>
    </row>
    <row r="20" spans="1:176" ht="20.149999999999999" customHeight="1" x14ac:dyDescent="0.35">
      <c r="A20" s="432"/>
      <c r="B20" s="270" t="s">
        <v>180</v>
      </c>
      <c r="C20" s="671">
        <f>C72/100</f>
        <v>0.4</v>
      </c>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c r="BV20" s="432"/>
      <c r="BW20" s="432"/>
      <c r="BX20" s="432"/>
      <c r="BY20" s="432"/>
      <c r="BZ20" s="432"/>
      <c r="CA20" s="432"/>
      <c r="CB20" s="432"/>
      <c r="CC20" s="432"/>
      <c r="CD20" s="432"/>
      <c r="CE20" s="432"/>
      <c r="CF20" s="432"/>
      <c r="CG20" s="432"/>
      <c r="CH20" s="432"/>
      <c r="CI20" s="432"/>
      <c r="CJ20" s="432"/>
      <c r="CK20" s="432"/>
      <c r="CL20" s="432"/>
      <c r="CM20" s="432"/>
      <c r="CN20" s="432"/>
      <c r="CO20" s="432"/>
      <c r="CP20" s="432"/>
      <c r="CQ20" s="432"/>
      <c r="CR20" s="432"/>
      <c r="CS20" s="432"/>
      <c r="CT20" s="432"/>
      <c r="CU20" s="432"/>
      <c r="CV20" s="432"/>
      <c r="CW20" s="432"/>
      <c r="CX20" s="432"/>
      <c r="CY20" s="432"/>
      <c r="CZ20" s="432"/>
      <c r="DA20" s="432"/>
      <c r="DB20" s="432"/>
      <c r="DC20" s="432"/>
      <c r="DD20" s="432"/>
      <c r="DE20" s="432"/>
      <c r="DF20" s="432"/>
      <c r="DG20" s="432"/>
      <c r="DH20" s="432"/>
      <c r="DI20" s="432"/>
      <c r="DJ20" s="432"/>
      <c r="DK20" s="432"/>
      <c r="DL20" s="432"/>
      <c r="DM20" s="432"/>
      <c r="DN20" s="432"/>
      <c r="DO20" s="432"/>
      <c r="DP20" s="432"/>
      <c r="DQ20" s="432"/>
      <c r="DR20" s="432"/>
      <c r="DS20" s="432"/>
      <c r="DT20" s="432"/>
      <c r="DU20" s="432"/>
      <c r="DV20" s="432"/>
      <c r="DW20" s="432"/>
      <c r="DX20" s="432"/>
      <c r="DY20" s="432"/>
      <c r="DZ20" s="432"/>
      <c r="EA20" s="432"/>
      <c r="EB20" s="432"/>
      <c r="EC20" s="432"/>
      <c r="ED20" s="432"/>
      <c r="EE20" s="432"/>
      <c r="EF20" s="432"/>
      <c r="EG20" s="432"/>
      <c r="EH20" s="432"/>
      <c r="EI20" s="432"/>
      <c r="EJ20" s="432"/>
      <c r="EK20" s="432"/>
      <c r="EL20" s="432"/>
      <c r="EM20" s="432"/>
      <c r="EN20" s="432"/>
      <c r="EO20" s="432"/>
      <c r="EP20" s="432"/>
      <c r="EQ20" s="432"/>
      <c r="ER20" s="432"/>
      <c r="ES20" s="432"/>
      <c r="ET20" s="432"/>
      <c r="EU20" s="432"/>
      <c r="EV20" s="432"/>
      <c r="EW20" s="432"/>
      <c r="EX20" s="432"/>
      <c r="EY20" s="432"/>
      <c r="EZ20" s="432"/>
      <c r="FA20" s="432"/>
      <c r="FB20" s="432"/>
      <c r="FC20" s="432"/>
      <c r="FD20" s="432"/>
      <c r="FE20" s="432"/>
      <c r="FF20" s="432"/>
      <c r="FG20" s="432"/>
      <c r="FH20" s="432"/>
      <c r="FI20" s="432"/>
      <c r="FJ20" s="432"/>
      <c r="FK20" s="432"/>
      <c r="FL20" s="432"/>
      <c r="FM20" s="432"/>
      <c r="FN20" s="432"/>
      <c r="FO20" s="432"/>
      <c r="FP20" s="432"/>
      <c r="FQ20" s="432"/>
      <c r="FR20" s="432"/>
      <c r="FS20" s="432"/>
      <c r="FT20" s="432"/>
    </row>
    <row r="21" spans="1:176" ht="5.15" customHeight="1" x14ac:dyDescent="0.35">
      <c r="A21" s="432"/>
      <c r="B21" s="270"/>
      <c r="C21" s="31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c r="CB21" s="432"/>
      <c r="CC21" s="432"/>
      <c r="CD21" s="432"/>
      <c r="CE21" s="432"/>
      <c r="CF21" s="432"/>
      <c r="CG21" s="432"/>
      <c r="CH21" s="432"/>
      <c r="CI21" s="432"/>
      <c r="CJ21" s="432"/>
      <c r="CK21" s="432"/>
      <c r="CL21" s="432"/>
      <c r="CM21" s="432"/>
      <c r="CN21" s="432"/>
      <c r="CO21" s="432"/>
      <c r="CP21" s="432"/>
      <c r="CQ21" s="432"/>
      <c r="CR21" s="432"/>
      <c r="CS21" s="432"/>
      <c r="CT21" s="432"/>
      <c r="CU21" s="432"/>
      <c r="CV21" s="432"/>
      <c r="CW21" s="432"/>
      <c r="CX21" s="432"/>
      <c r="CY21" s="432"/>
      <c r="CZ21" s="432"/>
      <c r="DA21" s="432"/>
      <c r="DB21" s="432"/>
      <c r="DC21" s="432"/>
      <c r="DD21" s="432"/>
      <c r="DE21" s="432"/>
      <c r="DF21" s="432"/>
      <c r="DG21" s="432"/>
      <c r="DH21" s="432"/>
      <c r="DI21" s="432"/>
      <c r="DJ21" s="432"/>
      <c r="DK21" s="432"/>
      <c r="DL21" s="432"/>
      <c r="DM21" s="432"/>
      <c r="DN21" s="432"/>
      <c r="DO21" s="432"/>
      <c r="DP21" s="432"/>
      <c r="DQ21" s="432"/>
      <c r="DR21" s="432"/>
      <c r="DS21" s="432"/>
      <c r="DT21" s="432"/>
      <c r="DU21" s="432"/>
      <c r="DV21" s="432"/>
      <c r="DW21" s="432"/>
      <c r="DX21" s="432"/>
      <c r="DY21" s="432"/>
      <c r="DZ21" s="432"/>
      <c r="EA21" s="432"/>
      <c r="EB21" s="432"/>
      <c r="EC21" s="432"/>
      <c r="ED21" s="432"/>
      <c r="EE21" s="432"/>
      <c r="EF21" s="432"/>
      <c r="EG21" s="432"/>
      <c r="EH21" s="432"/>
      <c r="EI21" s="432"/>
      <c r="EJ21" s="432"/>
      <c r="EK21" s="432"/>
      <c r="EL21" s="432"/>
      <c r="EM21" s="432"/>
      <c r="EN21" s="432"/>
      <c r="EO21" s="432"/>
      <c r="EP21" s="432"/>
      <c r="EQ21" s="432"/>
      <c r="ER21" s="432"/>
      <c r="ES21" s="432"/>
      <c r="ET21" s="432"/>
      <c r="EU21" s="432"/>
      <c r="EV21" s="432"/>
      <c r="EW21" s="432"/>
      <c r="EX21" s="432"/>
      <c r="EY21" s="432"/>
      <c r="EZ21" s="432"/>
      <c r="FA21" s="432"/>
      <c r="FB21" s="432"/>
      <c r="FC21" s="432"/>
      <c r="FD21" s="432"/>
      <c r="FE21" s="432"/>
      <c r="FF21" s="432"/>
      <c r="FG21" s="432"/>
      <c r="FH21" s="432"/>
      <c r="FI21" s="432"/>
      <c r="FJ21" s="432"/>
      <c r="FK21" s="432"/>
      <c r="FL21" s="432"/>
      <c r="FM21" s="432"/>
      <c r="FN21" s="432"/>
      <c r="FO21" s="432"/>
      <c r="FP21" s="432"/>
      <c r="FQ21" s="432"/>
      <c r="FR21" s="432"/>
      <c r="FS21" s="432"/>
      <c r="FT21" s="432"/>
    </row>
    <row r="22" spans="1:176" ht="20.149999999999999" customHeight="1" x14ac:dyDescent="0.35">
      <c r="A22" s="432"/>
      <c r="B22" s="172" t="s">
        <v>78</v>
      </c>
      <c r="C22" s="668">
        <f>C73/1</f>
        <v>1300</v>
      </c>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c r="CK22" s="432"/>
      <c r="CL22" s="432"/>
      <c r="CM22" s="432"/>
      <c r="CN22" s="432"/>
      <c r="CO22" s="432"/>
      <c r="CP22" s="432"/>
      <c r="CQ22" s="432"/>
      <c r="CR22" s="432"/>
      <c r="CS22" s="432"/>
      <c r="CT22" s="432"/>
      <c r="CU22" s="432"/>
      <c r="CV22" s="432"/>
      <c r="CW22" s="432"/>
      <c r="CX22" s="432"/>
      <c r="CY22" s="432"/>
      <c r="CZ22" s="432"/>
      <c r="DA22" s="432"/>
      <c r="DB22" s="432"/>
      <c r="DC22" s="432"/>
      <c r="DD22" s="432"/>
      <c r="DE22" s="432"/>
      <c r="DF22" s="432"/>
      <c r="DG22" s="432"/>
      <c r="DH22" s="432"/>
      <c r="DI22" s="432"/>
      <c r="DJ22" s="432"/>
      <c r="DK22" s="432"/>
      <c r="DL22" s="432"/>
      <c r="DM22" s="432"/>
      <c r="DN22" s="432"/>
      <c r="DO22" s="432"/>
      <c r="DP22" s="432"/>
      <c r="DQ22" s="432"/>
      <c r="DR22" s="432"/>
      <c r="DS22" s="432"/>
      <c r="DT22" s="432"/>
      <c r="DU22" s="432"/>
      <c r="DV22" s="432"/>
      <c r="DW22" s="432"/>
      <c r="DX22" s="432"/>
      <c r="DY22" s="432"/>
      <c r="DZ22" s="432"/>
      <c r="EA22" s="432"/>
      <c r="EB22" s="432"/>
      <c r="EC22" s="432"/>
      <c r="ED22" s="432"/>
      <c r="EE22" s="432"/>
      <c r="EF22" s="432"/>
      <c r="EG22" s="432"/>
      <c r="EH22" s="432"/>
      <c r="EI22" s="432"/>
      <c r="EJ22" s="432"/>
      <c r="EK22" s="432"/>
      <c r="EL22" s="432"/>
      <c r="EM22" s="432"/>
      <c r="EN22" s="432"/>
      <c r="EO22" s="432"/>
      <c r="EP22" s="432"/>
      <c r="EQ22" s="432"/>
      <c r="ER22" s="432"/>
      <c r="ES22" s="432"/>
      <c r="ET22" s="432"/>
      <c r="EU22" s="432"/>
      <c r="EV22" s="432"/>
      <c r="EW22" s="432"/>
      <c r="EX22" s="432"/>
      <c r="EY22" s="432"/>
      <c r="EZ22" s="432"/>
      <c r="FA22" s="432"/>
      <c r="FB22" s="432"/>
      <c r="FC22" s="432"/>
      <c r="FD22" s="432"/>
      <c r="FE22" s="432"/>
      <c r="FF22" s="432"/>
      <c r="FG22" s="432"/>
      <c r="FH22" s="432"/>
      <c r="FI22" s="432"/>
      <c r="FJ22" s="432"/>
      <c r="FK22" s="432"/>
      <c r="FL22" s="432"/>
      <c r="FM22" s="432"/>
      <c r="FN22" s="432"/>
      <c r="FO22" s="432"/>
      <c r="FP22" s="432"/>
      <c r="FQ22" s="432"/>
      <c r="FR22" s="432"/>
      <c r="FS22" s="432"/>
      <c r="FT22" s="432"/>
    </row>
    <row r="23" spans="1:176" ht="5.15" customHeight="1" x14ac:dyDescent="0.35">
      <c r="A23" s="432"/>
      <c r="B23" s="172"/>
      <c r="C23" s="310"/>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432"/>
      <c r="AY23" s="432"/>
      <c r="AZ23" s="432"/>
      <c r="BA23" s="432"/>
      <c r="BB23" s="432"/>
      <c r="BC23" s="432"/>
      <c r="BD23" s="432"/>
      <c r="BE23" s="432"/>
      <c r="BF23" s="432"/>
      <c r="BG23" s="432"/>
      <c r="BH23" s="432"/>
      <c r="BI23" s="432"/>
      <c r="BJ23" s="432"/>
      <c r="BK23" s="432"/>
      <c r="BL23" s="432"/>
      <c r="BM23" s="432"/>
      <c r="BN23" s="432"/>
      <c r="BO23" s="432"/>
      <c r="BP23" s="432"/>
      <c r="BQ23" s="432"/>
      <c r="BR23" s="432"/>
      <c r="BS23" s="432"/>
      <c r="BT23" s="432"/>
      <c r="BU23" s="432"/>
      <c r="BV23" s="432"/>
      <c r="BW23" s="432"/>
      <c r="BX23" s="432"/>
      <c r="BY23" s="432"/>
      <c r="BZ23" s="432"/>
      <c r="CA23" s="432"/>
      <c r="CB23" s="432"/>
      <c r="CC23" s="432"/>
      <c r="CD23" s="432"/>
      <c r="CE23" s="432"/>
      <c r="CF23" s="432"/>
      <c r="CG23" s="432"/>
      <c r="CH23" s="432"/>
      <c r="CI23" s="432"/>
      <c r="CJ23" s="432"/>
      <c r="CK23" s="432"/>
      <c r="CL23" s="432"/>
      <c r="CM23" s="432"/>
      <c r="CN23" s="432"/>
      <c r="CO23" s="432"/>
      <c r="CP23" s="432"/>
      <c r="CQ23" s="432"/>
      <c r="CR23" s="432"/>
      <c r="CS23" s="432"/>
      <c r="CT23" s="432"/>
      <c r="CU23" s="432"/>
      <c r="CV23" s="432"/>
      <c r="CW23" s="432"/>
      <c r="CX23" s="432"/>
      <c r="CY23" s="432"/>
      <c r="CZ23" s="432"/>
      <c r="DA23" s="432"/>
      <c r="DB23" s="432"/>
      <c r="DC23" s="432"/>
      <c r="DD23" s="432"/>
      <c r="DE23" s="432"/>
      <c r="DF23" s="432"/>
      <c r="DG23" s="432"/>
      <c r="DH23" s="432"/>
      <c r="DI23" s="432"/>
      <c r="DJ23" s="432"/>
      <c r="DK23" s="432"/>
      <c r="DL23" s="432"/>
      <c r="DM23" s="432"/>
      <c r="DN23" s="432"/>
      <c r="DO23" s="432"/>
      <c r="DP23" s="432"/>
      <c r="DQ23" s="432"/>
      <c r="DR23" s="432"/>
      <c r="DS23" s="432"/>
      <c r="DT23" s="432"/>
      <c r="DU23" s="432"/>
      <c r="DV23" s="432"/>
      <c r="DW23" s="432"/>
      <c r="DX23" s="432"/>
      <c r="DY23" s="432"/>
      <c r="DZ23" s="432"/>
      <c r="EA23" s="432"/>
      <c r="EB23" s="432"/>
      <c r="EC23" s="432"/>
      <c r="ED23" s="432"/>
      <c r="EE23" s="432"/>
      <c r="EF23" s="432"/>
      <c r="EG23" s="432"/>
      <c r="EH23" s="432"/>
      <c r="EI23" s="432"/>
      <c r="EJ23" s="432"/>
      <c r="EK23" s="432"/>
      <c r="EL23" s="432"/>
      <c r="EM23" s="432"/>
      <c r="EN23" s="432"/>
      <c r="EO23" s="432"/>
      <c r="EP23" s="432"/>
      <c r="EQ23" s="432"/>
      <c r="ER23" s="432"/>
      <c r="ES23" s="432"/>
      <c r="ET23" s="432"/>
      <c r="EU23" s="432"/>
      <c r="EV23" s="432"/>
      <c r="EW23" s="432"/>
      <c r="EX23" s="432"/>
      <c r="EY23" s="432"/>
      <c r="EZ23" s="432"/>
      <c r="FA23" s="432"/>
      <c r="FB23" s="432"/>
      <c r="FC23" s="432"/>
      <c r="FD23" s="432"/>
      <c r="FE23" s="432"/>
      <c r="FF23" s="432"/>
      <c r="FG23" s="432"/>
      <c r="FH23" s="432"/>
      <c r="FI23" s="432"/>
      <c r="FJ23" s="432"/>
      <c r="FK23" s="432"/>
      <c r="FL23" s="432"/>
      <c r="FM23" s="432"/>
      <c r="FN23" s="432"/>
      <c r="FO23" s="432"/>
      <c r="FP23" s="432"/>
      <c r="FQ23" s="432"/>
      <c r="FR23" s="432"/>
      <c r="FS23" s="432"/>
      <c r="FT23" s="432"/>
    </row>
    <row r="24" spans="1:176" ht="20.149999999999999" customHeight="1" x14ac:dyDescent="0.35">
      <c r="A24" s="432"/>
      <c r="B24" s="172" t="s">
        <v>79</v>
      </c>
      <c r="C24" s="668">
        <f>C74/1</f>
        <v>1500</v>
      </c>
      <c r="I24" s="432"/>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c r="CB24" s="432"/>
      <c r="CC24" s="432"/>
      <c r="CD24" s="432"/>
      <c r="CE24" s="432"/>
      <c r="CF24" s="432"/>
      <c r="CG24" s="432"/>
      <c r="CH24" s="432"/>
      <c r="CI24" s="432"/>
      <c r="CJ24" s="432"/>
      <c r="CK24" s="432"/>
      <c r="CL24" s="432"/>
      <c r="CM24" s="432"/>
      <c r="CN24" s="432"/>
      <c r="CO24" s="432"/>
      <c r="CP24" s="432"/>
      <c r="CQ24" s="432"/>
      <c r="CR24" s="432"/>
      <c r="CS24" s="432"/>
      <c r="CT24" s="432"/>
      <c r="CU24" s="432"/>
      <c r="CV24" s="432"/>
      <c r="CW24" s="432"/>
      <c r="CX24" s="432"/>
      <c r="CY24" s="432"/>
      <c r="CZ24" s="432"/>
      <c r="DA24" s="432"/>
      <c r="DB24" s="432"/>
      <c r="DC24" s="432"/>
      <c r="DD24" s="432"/>
      <c r="DE24" s="432"/>
      <c r="DF24" s="432"/>
      <c r="DG24" s="432"/>
      <c r="DH24" s="432"/>
      <c r="DI24" s="432"/>
      <c r="DJ24" s="432"/>
      <c r="DK24" s="432"/>
      <c r="DL24" s="432"/>
      <c r="DM24" s="432"/>
      <c r="DN24" s="432"/>
      <c r="DO24" s="432"/>
      <c r="DP24" s="432"/>
      <c r="DQ24" s="432"/>
      <c r="DR24" s="432"/>
      <c r="DS24" s="432"/>
      <c r="DT24" s="432"/>
      <c r="DU24" s="432"/>
      <c r="DV24" s="432"/>
      <c r="DW24" s="432"/>
      <c r="DX24" s="432"/>
      <c r="DY24" s="432"/>
      <c r="DZ24" s="432"/>
      <c r="EA24" s="432"/>
      <c r="EB24" s="432"/>
      <c r="EC24" s="432"/>
      <c r="ED24" s="432"/>
      <c r="EE24" s="432"/>
      <c r="EF24" s="432"/>
      <c r="EG24" s="432"/>
      <c r="EH24" s="432"/>
      <c r="EI24" s="432"/>
      <c r="EJ24" s="432"/>
      <c r="EK24" s="432"/>
      <c r="EL24" s="432"/>
      <c r="EM24" s="432"/>
      <c r="EN24" s="432"/>
      <c r="EO24" s="432"/>
      <c r="EP24" s="432"/>
      <c r="EQ24" s="432"/>
      <c r="ER24" s="432"/>
      <c r="ES24" s="432"/>
      <c r="ET24" s="432"/>
      <c r="EU24" s="432"/>
      <c r="EV24" s="432"/>
      <c r="EW24" s="432"/>
      <c r="EX24" s="432"/>
      <c r="EY24" s="432"/>
      <c r="EZ24" s="432"/>
      <c r="FA24" s="432"/>
      <c r="FB24" s="432"/>
      <c r="FC24" s="432"/>
      <c r="FD24" s="432"/>
      <c r="FE24" s="432"/>
      <c r="FF24" s="432"/>
      <c r="FG24" s="432"/>
      <c r="FH24" s="432"/>
      <c r="FI24" s="432"/>
      <c r="FJ24" s="432"/>
      <c r="FK24" s="432"/>
      <c r="FL24" s="432"/>
      <c r="FM24" s="432"/>
      <c r="FN24" s="432"/>
      <c r="FO24" s="432"/>
      <c r="FP24" s="432"/>
      <c r="FQ24" s="432"/>
      <c r="FR24" s="432"/>
      <c r="FS24" s="432"/>
      <c r="FT24" s="432"/>
    </row>
    <row r="25" spans="1:176" ht="5.15" customHeight="1" x14ac:dyDescent="0.35">
      <c r="A25" s="432"/>
      <c r="B25" s="172"/>
      <c r="C25" s="310"/>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2"/>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c r="BX25" s="432"/>
      <c r="BY25" s="432"/>
      <c r="BZ25" s="432"/>
      <c r="CA25" s="432"/>
      <c r="CB25" s="432"/>
      <c r="CC25" s="432"/>
      <c r="CD25" s="432"/>
      <c r="CE25" s="432"/>
      <c r="CF25" s="432"/>
      <c r="CG25" s="432"/>
      <c r="CH25" s="432"/>
      <c r="CI25" s="432"/>
      <c r="CJ25" s="432"/>
      <c r="CK25" s="432"/>
      <c r="CL25" s="432"/>
      <c r="CM25" s="432"/>
      <c r="CN25" s="432"/>
      <c r="CO25" s="432"/>
      <c r="CP25" s="432"/>
      <c r="CQ25" s="432"/>
      <c r="CR25" s="432"/>
      <c r="CS25" s="432"/>
      <c r="CT25" s="432"/>
      <c r="CU25" s="432"/>
      <c r="CV25" s="432"/>
      <c r="CW25" s="432"/>
      <c r="CX25" s="432"/>
      <c r="CY25" s="432"/>
      <c r="CZ25" s="432"/>
      <c r="DA25" s="432"/>
      <c r="DB25" s="432"/>
      <c r="DC25" s="432"/>
      <c r="DD25" s="432"/>
      <c r="DE25" s="432"/>
      <c r="DF25" s="432"/>
      <c r="DG25" s="432"/>
      <c r="DH25" s="432"/>
      <c r="DI25" s="432"/>
      <c r="DJ25" s="432"/>
      <c r="DK25" s="432"/>
      <c r="DL25" s="432"/>
      <c r="DM25" s="432"/>
      <c r="DN25" s="432"/>
      <c r="DO25" s="432"/>
      <c r="DP25" s="432"/>
      <c r="DQ25" s="432"/>
      <c r="DR25" s="432"/>
      <c r="DS25" s="432"/>
      <c r="DT25" s="432"/>
      <c r="DU25" s="432"/>
      <c r="DV25" s="432"/>
      <c r="DW25" s="432"/>
      <c r="DX25" s="432"/>
      <c r="DY25" s="432"/>
      <c r="DZ25" s="432"/>
      <c r="EA25" s="432"/>
      <c r="EB25" s="432"/>
      <c r="EC25" s="432"/>
      <c r="ED25" s="432"/>
      <c r="EE25" s="432"/>
      <c r="EF25" s="432"/>
      <c r="EG25" s="432"/>
      <c r="EH25" s="432"/>
      <c r="EI25" s="432"/>
      <c r="EJ25" s="432"/>
      <c r="EK25" s="432"/>
      <c r="EL25" s="432"/>
      <c r="EM25" s="432"/>
      <c r="EN25" s="432"/>
      <c r="EO25" s="432"/>
      <c r="EP25" s="432"/>
      <c r="EQ25" s="432"/>
      <c r="ER25" s="432"/>
      <c r="ES25" s="432"/>
      <c r="ET25" s="432"/>
      <c r="EU25" s="432"/>
      <c r="EV25" s="432"/>
      <c r="EW25" s="432"/>
      <c r="EX25" s="432"/>
      <c r="EY25" s="432"/>
      <c r="EZ25" s="432"/>
      <c r="FA25" s="432"/>
      <c r="FB25" s="432"/>
      <c r="FC25" s="432"/>
      <c r="FD25" s="432"/>
      <c r="FE25" s="432"/>
      <c r="FF25" s="432"/>
      <c r="FG25" s="432"/>
      <c r="FH25" s="432"/>
      <c r="FI25" s="432"/>
      <c r="FJ25" s="432"/>
      <c r="FK25" s="432"/>
      <c r="FL25" s="432"/>
      <c r="FM25" s="432"/>
      <c r="FN25" s="432"/>
      <c r="FO25" s="432"/>
      <c r="FP25" s="432"/>
      <c r="FQ25" s="432"/>
      <c r="FR25" s="432"/>
      <c r="FS25" s="432"/>
      <c r="FT25" s="432"/>
    </row>
    <row r="26" spans="1:176" ht="20.149999999999999" customHeight="1" x14ac:dyDescent="0.35">
      <c r="A26" s="432"/>
      <c r="B26" s="270" t="s">
        <v>784</v>
      </c>
      <c r="C26" s="663">
        <f>C75/1</f>
        <v>200</v>
      </c>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c r="CB26" s="432"/>
      <c r="CC26" s="432"/>
      <c r="CD26" s="432"/>
      <c r="CE26" s="432"/>
      <c r="CF26" s="432"/>
      <c r="CG26" s="432"/>
      <c r="CH26" s="432"/>
      <c r="CI26" s="432"/>
      <c r="CJ26" s="432"/>
      <c r="CK26" s="432"/>
      <c r="CL26" s="432"/>
      <c r="CM26" s="432"/>
      <c r="CN26" s="432"/>
      <c r="CO26" s="432"/>
      <c r="CP26" s="432"/>
      <c r="CQ26" s="432"/>
      <c r="CR26" s="432"/>
      <c r="CS26" s="432"/>
      <c r="CT26" s="432"/>
      <c r="CU26" s="432"/>
      <c r="CV26" s="432"/>
      <c r="CW26" s="432"/>
      <c r="CX26" s="432"/>
      <c r="CY26" s="432"/>
      <c r="CZ26" s="432"/>
      <c r="DA26" s="432"/>
      <c r="DB26" s="432"/>
      <c r="DC26" s="432"/>
      <c r="DD26" s="432"/>
      <c r="DE26" s="432"/>
      <c r="DF26" s="432"/>
      <c r="DG26" s="432"/>
      <c r="DH26" s="432"/>
      <c r="DI26" s="432"/>
      <c r="DJ26" s="432"/>
      <c r="DK26" s="432"/>
      <c r="DL26" s="432"/>
      <c r="DM26" s="432"/>
      <c r="DN26" s="432"/>
      <c r="DO26" s="432"/>
      <c r="DP26" s="432"/>
      <c r="DQ26" s="432"/>
      <c r="DR26" s="432"/>
      <c r="DS26" s="432"/>
      <c r="DT26" s="432"/>
      <c r="DU26" s="432"/>
      <c r="DV26" s="432"/>
      <c r="DW26" s="432"/>
      <c r="DX26" s="432"/>
      <c r="DY26" s="432"/>
      <c r="DZ26" s="432"/>
      <c r="EA26" s="432"/>
      <c r="EB26" s="432"/>
      <c r="EC26" s="432"/>
      <c r="ED26" s="432"/>
      <c r="EE26" s="432"/>
      <c r="EF26" s="432"/>
      <c r="EG26" s="432"/>
      <c r="EH26" s="432"/>
      <c r="EI26" s="432"/>
      <c r="EJ26" s="432"/>
      <c r="EK26" s="432"/>
      <c r="EL26" s="432"/>
      <c r="EM26" s="432"/>
      <c r="EN26" s="432"/>
      <c r="EO26" s="432"/>
      <c r="EP26" s="432"/>
      <c r="EQ26" s="432"/>
      <c r="ER26" s="432"/>
      <c r="ES26" s="432"/>
      <c r="ET26" s="432"/>
      <c r="EU26" s="432"/>
      <c r="EV26" s="432"/>
      <c r="EW26" s="432"/>
      <c r="EX26" s="432"/>
      <c r="EY26" s="432"/>
      <c r="EZ26" s="432"/>
      <c r="FA26" s="432"/>
      <c r="FB26" s="432"/>
      <c r="FC26" s="432"/>
      <c r="FD26" s="432"/>
      <c r="FE26" s="432"/>
      <c r="FF26" s="432"/>
      <c r="FG26" s="432"/>
      <c r="FH26" s="432"/>
      <c r="FI26" s="432"/>
      <c r="FJ26" s="432"/>
      <c r="FK26" s="432"/>
      <c r="FL26" s="432"/>
      <c r="FM26" s="432"/>
      <c r="FN26" s="432"/>
      <c r="FO26" s="432"/>
      <c r="FP26" s="432"/>
      <c r="FQ26" s="432"/>
      <c r="FR26" s="432"/>
      <c r="FS26" s="432"/>
      <c r="FT26" s="432"/>
    </row>
    <row r="27" spans="1:176" ht="5.15" customHeight="1" x14ac:dyDescent="0.35">
      <c r="A27" s="432"/>
      <c r="B27" s="270"/>
      <c r="C27" s="304"/>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c r="CK27" s="432"/>
      <c r="CL27" s="432"/>
      <c r="CM27" s="432"/>
      <c r="CN27" s="432"/>
      <c r="CO27" s="432"/>
      <c r="CP27" s="432"/>
      <c r="CQ27" s="432"/>
      <c r="CR27" s="432"/>
      <c r="CS27" s="432"/>
      <c r="CT27" s="432"/>
      <c r="CU27" s="432"/>
      <c r="CV27" s="432"/>
      <c r="CW27" s="432"/>
      <c r="CX27" s="432"/>
      <c r="CY27" s="432"/>
      <c r="CZ27" s="432"/>
      <c r="DA27" s="432"/>
      <c r="DB27" s="432"/>
      <c r="DC27" s="432"/>
      <c r="DD27" s="432"/>
      <c r="DE27" s="432"/>
      <c r="DF27" s="432"/>
      <c r="DG27" s="432"/>
      <c r="DH27" s="432"/>
      <c r="DI27" s="432"/>
      <c r="DJ27" s="432"/>
      <c r="DK27" s="432"/>
      <c r="DL27" s="432"/>
      <c r="DM27" s="432"/>
      <c r="DN27" s="432"/>
      <c r="DO27" s="432"/>
      <c r="DP27" s="432"/>
      <c r="DQ27" s="432"/>
      <c r="DR27" s="432"/>
      <c r="DS27" s="432"/>
      <c r="DT27" s="432"/>
      <c r="DU27" s="432"/>
      <c r="DV27" s="432"/>
      <c r="DW27" s="432"/>
      <c r="DX27" s="432"/>
      <c r="DY27" s="432"/>
      <c r="DZ27" s="432"/>
      <c r="EA27" s="432"/>
      <c r="EB27" s="432"/>
      <c r="EC27" s="432"/>
      <c r="ED27" s="432"/>
      <c r="EE27" s="432"/>
      <c r="EF27" s="432"/>
      <c r="EG27" s="432"/>
      <c r="EH27" s="432"/>
      <c r="EI27" s="432"/>
      <c r="EJ27" s="432"/>
      <c r="EK27" s="432"/>
      <c r="EL27" s="432"/>
      <c r="EM27" s="432"/>
      <c r="EN27" s="432"/>
      <c r="EO27" s="432"/>
      <c r="EP27" s="432"/>
      <c r="EQ27" s="432"/>
      <c r="ER27" s="432"/>
      <c r="ES27" s="432"/>
      <c r="ET27" s="432"/>
      <c r="EU27" s="432"/>
      <c r="EV27" s="432"/>
      <c r="EW27" s="432"/>
      <c r="EX27" s="432"/>
      <c r="EY27" s="432"/>
      <c r="EZ27" s="432"/>
      <c r="FA27" s="432"/>
      <c r="FB27" s="432"/>
      <c r="FC27" s="432"/>
      <c r="FD27" s="432"/>
      <c r="FE27" s="432"/>
      <c r="FF27" s="432"/>
      <c r="FG27" s="432"/>
      <c r="FH27" s="432"/>
      <c r="FI27" s="432"/>
      <c r="FJ27" s="432"/>
      <c r="FK27" s="432"/>
      <c r="FL27" s="432"/>
      <c r="FM27" s="432"/>
      <c r="FN27" s="432"/>
      <c r="FO27" s="432"/>
      <c r="FP27" s="432"/>
      <c r="FQ27" s="432"/>
      <c r="FR27" s="432"/>
      <c r="FS27" s="432"/>
      <c r="FT27" s="432"/>
    </row>
    <row r="28" spans="1:176" ht="20.149999999999999" customHeight="1" x14ac:dyDescent="0.35">
      <c r="A28" s="432"/>
      <c r="B28" s="270" t="s">
        <v>80</v>
      </c>
      <c r="C28" s="663">
        <f>C76/1</f>
        <v>100</v>
      </c>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c r="CK28" s="432"/>
      <c r="CL28" s="432"/>
      <c r="CM28" s="432"/>
      <c r="CN28" s="432"/>
      <c r="CO28" s="432"/>
      <c r="CP28" s="432"/>
      <c r="CQ28" s="432"/>
      <c r="CR28" s="432"/>
      <c r="CS28" s="432"/>
      <c r="CT28" s="432"/>
      <c r="CU28" s="432"/>
      <c r="CV28" s="432"/>
      <c r="CW28" s="432"/>
      <c r="CX28" s="432"/>
      <c r="CY28" s="432"/>
      <c r="CZ28" s="432"/>
      <c r="DA28" s="432"/>
      <c r="DB28" s="432"/>
      <c r="DC28" s="432"/>
      <c r="DD28" s="432"/>
      <c r="DE28" s="432"/>
      <c r="DF28" s="432"/>
      <c r="DG28" s="432"/>
      <c r="DH28" s="432"/>
      <c r="DI28" s="432"/>
      <c r="DJ28" s="432"/>
      <c r="DK28" s="432"/>
      <c r="DL28" s="432"/>
      <c r="DM28" s="432"/>
      <c r="DN28" s="432"/>
      <c r="DO28" s="432"/>
      <c r="DP28" s="432"/>
      <c r="DQ28" s="432"/>
      <c r="DR28" s="432"/>
      <c r="DS28" s="432"/>
      <c r="DT28" s="432"/>
      <c r="DU28" s="432"/>
      <c r="DV28" s="432"/>
      <c r="DW28" s="432"/>
      <c r="DX28" s="432"/>
      <c r="DY28" s="432"/>
      <c r="DZ28" s="432"/>
      <c r="EA28" s="432"/>
      <c r="EB28" s="432"/>
      <c r="EC28" s="432"/>
      <c r="ED28" s="432"/>
      <c r="EE28" s="432"/>
      <c r="EF28" s="432"/>
      <c r="EG28" s="432"/>
      <c r="EH28" s="432"/>
      <c r="EI28" s="432"/>
      <c r="EJ28" s="432"/>
      <c r="EK28" s="432"/>
      <c r="EL28" s="432"/>
      <c r="EM28" s="432"/>
      <c r="EN28" s="432"/>
      <c r="EO28" s="432"/>
      <c r="EP28" s="432"/>
      <c r="EQ28" s="432"/>
      <c r="ER28" s="432"/>
      <c r="ES28" s="432"/>
      <c r="ET28" s="432"/>
      <c r="EU28" s="432"/>
      <c r="EV28" s="432"/>
      <c r="EW28" s="432"/>
      <c r="EX28" s="432"/>
      <c r="EY28" s="432"/>
      <c r="EZ28" s="432"/>
      <c r="FA28" s="432"/>
      <c r="FB28" s="432"/>
      <c r="FC28" s="432"/>
      <c r="FD28" s="432"/>
      <c r="FE28" s="432"/>
      <c r="FF28" s="432"/>
      <c r="FG28" s="432"/>
      <c r="FH28" s="432"/>
      <c r="FI28" s="432"/>
      <c r="FJ28" s="432"/>
      <c r="FK28" s="432"/>
      <c r="FL28" s="432"/>
      <c r="FM28" s="432"/>
      <c r="FN28" s="432"/>
      <c r="FO28" s="432"/>
      <c r="FP28" s="432"/>
      <c r="FQ28" s="432"/>
      <c r="FR28" s="432"/>
      <c r="FS28" s="432"/>
      <c r="FT28" s="432"/>
    </row>
    <row r="29" spans="1:176" ht="5.15" customHeight="1" x14ac:dyDescent="0.35">
      <c r="A29" s="432"/>
      <c r="B29" s="270"/>
      <c r="C29" s="304"/>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2"/>
      <c r="CU29" s="432"/>
      <c r="CV29" s="432"/>
      <c r="CW29" s="432"/>
      <c r="CX29" s="432"/>
      <c r="CY29" s="432"/>
      <c r="CZ29" s="432"/>
      <c r="DA29" s="432"/>
      <c r="DB29" s="432"/>
      <c r="DC29" s="432"/>
      <c r="DD29" s="432"/>
      <c r="DE29" s="432"/>
      <c r="DF29" s="432"/>
      <c r="DG29" s="432"/>
      <c r="DH29" s="432"/>
      <c r="DI29" s="432"/>
      <c r="DJ29" s="432"/>
      <c r="DK29" s="432"/>
      <c r="DL29" s="432"/>
      <c r="DM29" s="432"/>
      <c r="DN29" s="432"/>
      <c r="DO29" s="432"/>
      <c r="DP29" s="432"/>
      <c r="DQ29" s="432"/>
      <c r="DR29" s="432"/>
      <c r="DS29" s="432"/>
      <c r="DT29" s="432"/>
      <c r="DU29" s="432"/>
      <c r="DV29" s="432"/>
      <c r="DW29" s="432"/>
      <c r="DX29" s="432"/>
      <c r="DY29" s="432"/>
      <c r="DZ29" s="432"/>
      <c r="EA29" s="432"/>
      <c r="EB29" s="432"/>
      <c r="EC29" s="432"/>
      <c r="ED29" s="432"/>
      <c r="EE29" s="432"/>
      <c r="EF29" s="432"/>
      <c r="EG29" s="432"/>
      <c r="EH29" s="432"/>
      <c r="EI29" s="432"/>
      <c r="EJ29" s="432"/>
      <c r="EK29" s="432"/>
      <c r="EL29" s="432"/>
      <c r="EM29" s="432"/>
      <c r="EN29" s="432"/>
      <c r="EO29" s="432"/>
      <c r="EP29" s="432"/>
      <c r="EQ29" s="432"/>
      <c r="ER29" s="432"/>
      <c r="ES29" s="432"/>
      <c r="ET29" s="432"/>
      <c r="EU29" s="432"/>
      <c r="EV29" s="432"/>
      <c r="EW29" s="432"/>
      <c r="EX29" s="432"/>
      <c r="EY29" s="432"/>
      <c r="EZ29" s="432"/>
      <c r="FA29" s="432"/>
      <c r="FB29" s="432"/>
      <c r="FC29" s="432"/>
      <c r="FD29" s="432"/>
      <c r="FE29" s="432"/>
      <c r="FF29" s="432"/>
      <c r="FG29" s="432"/>
      <c r="FH29" s="432"/>
      <c r="FI29" s="432"/>
      <c r="FJ29" s="432"/>
      <c r="FK29" s="432"/>
      <c r="FL29" s="432"/>
      <c r="FM29" s="432"/>
      <c r="FN29" s="432"/>
      <c r="FO29" s="432"/>
      <c r="FP29" s="432"/>
      <c r="FQ29" s="432"/>
      <c r="FR29" s="432"/>
      <c r="FS29" s="432"/>
      <c r="FT29" s="432"/>
    </row>
    <row r="30" spans="1:176" ht="20.149999999999999" customHeight="1" x14ac:dyDescent="0.35">
      <c r="A30" s="432"/>
      <c r="B30" s="270" t="s">
        <v>957</v>
      </c>
      <c r="C30" s="663">
        <f>C77/10</f>
        <v>11</v>
      </c>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32"/>
      <c r="AU30" s="432"/>
      <c r="AV30" s="432"/>
      <c r="AW30" s="432"/>
      <c r="AX30" s="432"/>
      <c r="AY30" s="432"/>
      <c r="AZ30" s="432"/>
      <c r="BA30" s="432"/>
      <c r="BB30" s="432"/>
      <c r="BC30" s="432"/>
      <c r="BD30" s="432"/>
      <c r="BE30" s="432"/>
      <c r="BF30" s="432"/>
      <c r="BG30" s="432"/>
      <c r="BH30" s="432"/>
      <c r="BI30" s="432"/>
      <c r="BJ30" s="432"/>
      <c r="BK30" s="432"/>
      <c r="BL30" s="432"/>
      <c r="BM30" s="432"/>
      <c r="BN30" s="432"/>
      <c r="BO30" s="432"/>
      <c r="BP30" s="432"/>
      <c r="BQ30" s="432"/>
      <c r="BR30" s="432"/>
      <c r="BS30" s="432"/>
      <c r="BT30" s="432"/>
      <c r="BU30" s="432"/>
      <c r="BV30" s="432"/>
      <c r="BW30" s="432"/>
      <c r="BX30" s="432"/>
      <c r="BY30" s="432"/>
      <c r="BZ30" s="432"/>
      <c r="CA30" s="432"/>
      <c r="CB30" s="432"/>
      <c r="CC30" s="432"/>
      <c r="CD30" s="432"/>
      <c r="CE30" s="432"/>
      <c r="CF30" s="432"/>
      <c r="CG30" s="432"/>
      <c r="CH30" s="432"/>
      <c r="CI30" s="432"/>
      <c r="CJ30" s="432"/>
      <c r="CK30" s="432"/>
      <c r="CL30" s="432"/>
      <c r="CM30" s="432"/>
      <c r="CN30" s="432"/>
      <c r="CO30" s="432"/>
      <c r="CP30" s="432"/>
      <c r="CQ30" s="432"/>
      <c r="CR30" s="432"/>
      <c r="CS30" s="432"/>
      <c r="CT30" s="432"/>
      <c r="CU30" s="432"/>
      <c r="CV30" s="432"/>
      <c r="CW30" s="432"/>
      <c r="CX30" s="432"/>
      <c r="CY30" s="432"/>
      <c r="CZ30" s="432"/>
      <c r="DA30" s="432"/>
      <c r="DB30" s="432"/>
      <c r="DC30" s="432"/>
      <c r="DD30" s="432"/>
      <c r="DE30" s="432"/>
      <c r="DF30" s="432"/>
      <c r="DG30" s="432"/>
      <c r="DH30" s="432"/>
      <c r="DI30" s="432"/>
      <c r="DJ30" s="432"/>
      <c r="DK30" s="432"/>
      <c r="DL30" s="432"/>
      <c r="DM30" s="432"/>
      <c r="DN30" s="432"/>
      <c r="DO30" s="432"/>
      <c r="DP30" s="432"/>
      <c r="DQ30" s="432"/>
      <c r="DR30" s="432"/>
      <c r="DS30" s="432"/>
      <c r="DT30" s="432"/>
      <c r="DU30" s="432"/>
      <c r="DV30" s="432"/>
      <c r="DW30" s="432"/>
      <c r="DX30" s="432"/>
      <c r="DY30" s="432"/>
      <c r="DZ30" s="432"/>
      <c r="EA30" s="432"/>
      <c r="EB30" s="432"/>
      <c r="EC30" s="432"/>
      <c r="ED30" s="432"/>
      <c r="EE30" s="432"/>
      <c r="EF30" s="432"/>
      <c r="EG30" s="432"/>
      <c r="EH30" s="432"/>
      <c r="EI30" s="432"/>
      <c r="EJ30" s="432"/>
      <c r="EK30" s="432"/>
      <c r="EL30" s="432"/>
      <c r="EM30" s="432"/>
      <c r="EN30" s="432"/>
      <c r="EO30" s="432"/>
      <c r="EP30" s="432"/>
      <c r="EQ30" s="432"/>
      <c r="ER30" s="432"/>
      <c r="ES30" s="432"/>
      <c r="ET30" s="432"/>
      <c r="EU30" s="432"/>
      <c r="EV30" s="432"/>
      <c r="EW30" s="432"/>
      <c r="EX30" s="432"/>
      <c r="EY30" s="432"/>
      <c r="EZ30" s="432"/>
      <c r="FA30" s="432"/>
      <c r="FB30" s="432"/>
      <c r="FC30" s="432"/>
      <c r="FD30" s="432"/>
      <c r="FE30" s="432"/>
      <c r="FF30" s="432"/>
      <c r="FG30" s="432"/>
      <c r="FH30" s="432"/>
      <c r="FI30" s="432"/>
      <c r="FJ30" s="432"/>
      <c r="FK30" s="432"/>
      <c r="FL30" s="432"/>
      <c r="FM30" s="432"/>
      <c r="FN30" s="432"/>
      <c r="FO30" s="432"/>
      <c r="FP30" s="432"/>
      <c r="FQ30" s="432"/>
      <c r="FR30" s="432"/>
      <c r="FS30" s="432"/>
      <c r="FT30" s="432"/>
    </row>
    <row r="31" spans="1:176" ht="5.15" customHeight="1" x14ac:dyDescent="0.35">
      <c r="A31" s="432"/>
      <c r="B31" s="270"/>
      <c r="C31" s="304"/>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c r="CB31" s="432"/>
      <c r="CC31" s="432"/>
      <c r="CD31" s="432"/>
      <c r="CE31" s="432"/>
      <c r="CF31" s="432"/>
      <c r="CG31" s="432"/>
      <c r="CH31" s="432"/>
      <c r="CI31" s="432"/>
      <c r="CJ31" s="432"/>
      <c r="CK31" s="432"/>
      <c r="CL31" s="432"/>
      <c r="CM31" s="432"/>
      <c r="CN31" s="432"/>
      <c r="CO31" s="432"/>
      <c r="CP31" s="432"/>
      <c r="CQ31" s="432"/>
      <c r="CR31" s="432"/>
      <c r="CS31" s="432"/>
      <c r="CT31" s="432"/>
      <c r="CU31" s="432"/>
      <c r="CV31" s="432"/>
      <c r="CW31" s="432"/>
      <c r="CX31" s="432"/>
      <c r="CY31" s="432"/>
      <c r="CZ31" s="432"/>
      <c r="DA31" s="432"/>
      <c r="DB31" s="432"/>
      <c r="DC31" s="432"/>
      <c r="DD31" s="432"/>
      <c r="DE31" s="432"/>
      <c r="DF31" s="432"/>
      <c r="DG31" s="432"/>
      <c r="DH31" s="432"/>
      <c r="DI31" s="432"/>
      <c r="DJ31" s="432"/>
      <c r="DK31" s="432"/>
      <c r="DL31" s="432"/>
      <c r="DM31" s="432"/>
      <c r="DN31" s="432"/>
      <c r="DO31" s="432"/>
      <c r="DP31" s="432"/>
      <c r="DQ31" s="432"/>
      <c r="DR31" s="432"/>
      <c r="DS31" s="432"/>
      <c r="DT31" s="432"/>
      <c r="DU31" s="432"/>
      <c r="DV31" s="432"/>
      <c r="DW31" s="432"/>
      <c r="DX31" s="432"/>
      <c r="DY31" s="432"/>
      <c r="DZ31" s="432"/>
      <c r="EA31" s="432"/>
      <c r="EB31" s="432"/>
      <c r="EC31" s="432"/>
      <c r="ED31" s="432"/>
      <c r="EE31" s="432"/>
      <c r="EF31" s="432"/>
      <c r="EG31" s="432"/>
      <c r="EH31" s="432"/>
      <c r="EI31" s="432"/>
      <c r="EJ31" s="432"/>
      <c r="EK31" s="432"/>
      <c r="EL31" s="432"/>
      <c r="EM31" s="432"/>
      <c r="EN31" s="432"/>
      <c r="EO31" s="432"/>
      <c r="EP31" s="432"/>
      <c r="EQ31" s="432"/>
      <c r="ER31" s="432"/>
      <c r="ES31" s="432"/>
      <c r="ET31" s="432"/>
      <c r="EU31" s="432"/>
      <c r="EV31" s="432"/>
      <c r="EW31" s="432"/>
      <c r="EX31" s="432"/>
      <c r="EY31" s="432"/>
      <c r="EZ31" s="432"/>
      <c r="FA31" s="432"/>
      <c r="FB31" s="432"/>
      <c r="FC31" s="432"/>
      <c r="FD31" s="432"/>
      <c r="FE31" s="432"/>
      <c r="FF31" s="432"/>
      <c r="FG31" s="432"/>
      <c r="FH31" s="432"/>
      <c r="FI31" s="432"/>
      <c r="FJ31" s="432"/>
      <c r="FK31" s="432"/>
      <c r="FL31" s="432"/>
      <c r="FM31" s="432"/>
      <c r="FN31" s="432"/>
      <c r="FO31" s="432"/>
      <c r="FP31" s="432"/>
      <c r="FQ31" s="432"/>
      <c r="FR31" s="432"/>
      <c r="FS31" s="432"/>
      <c r="FT31" s="432"/>
    </row>
    <row r="32" spans="1:176" ht="20.149999999999999" customHeight="1" x14ac:dyDescent="0.35">
      <c r="A32" s="432"/>
      <c r="B32" s="270" t="s">
        <v>93</v>
      </c>
      <c r="C32" s="663">
        <f>C78/1</f>
        <v>75</v>
      </c>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2"/>
      <c r="AY32" s="432"/>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432"/>
      <c r="CB32" s="432"/>
      <c r="CC32" s="432"/>
      <c r="CD32" s="432"/>
      <c r="CE32" s="432"/>
      <c r="CF32" s="432"/>
      <c r="CG32" s="432"/>
      <c r="CH32" s="432"/>
      <c r="CI32" s="432"/>
      <c r="CJ32" s="432"/>
      <c r="CK32" s="432"/>
      <c r="CL32" s="432"/>
      <c r="CM32" s="432"/>
      <c r="CN32" s="432"/>
      <c r="CO32" s="432"/>
      <c r="CP32" s="432"/>
      <c r="CQ32" s="432"/>
      <c r="CR32" s="432"/>
      <c r="CS32" s="432"/>
      <c r="CT32" s="432"/>
      <c r="CU32" s="432"/>
      <c r="CV32" s="432"/>
      <c r="CW32" s="432"/>
      <c r="CX32" s="432"/>
      <c r="CY32" s="432"/>
      <c r="CZ32" s="432"/>
      <c r="DA32" s="432"/>
      <c r="DB32" s="432"/>
      <c r="DC32" s="432"/>
      <c r="DD32" s="432"/>
      <c r="DE32" s="432"/>
      <c r="DF32" s="432"/>
      <c r="DG32" s="432"/>
      <c r="DH32" s="432"/>
      <c r="DI32" s="432"/>
      <c r="DJ32" s="432"/>
      <c r="DK32" s="432"/>
      <c r="DL32" s="432"/>
      <c r="DM32" s="432"/>
      <c r="DN32" s="432"/>
      <c r="DO32" s="432"/>
      <c r="DP32" s="432"/>
      <c r="DQ32" s="432"/>
      <c r="DR32" s="432"/>
      <c r="DS32" s="432"/>
      <c r="DT32" s="432"/>
      <c r="DU32" s="432"/>
      <c r="DV32" s="432"/>
      <c r="DW32" s="432"/>
      <c r="DX32" s="432"/>
      <c r="DY32" s="432"/>
      <c r="DZ32" s="432"/>
      <c r="EA32" s="432"/>
      <c r="EB32" s="432"/>
      <c r="EC32" s="432"/>
      <c r="ED32" s="432"/>
      <c r="EE32" s="432"/>
      <c r="EF32" s="432"/>
      <c r="EG32" s="432"/>
      <c r="EH32" s="432"/>
      <c r="EI32" s="432"/>
      <c r="EJ32" s="432"/>
      <c r="EK32" s="432"/>
      <c r="EL32" s="432"/>
      <c r="EM32" s="432"/>
      <c r="EN32" s="432"/>
      <c r="EO32" s="432"/>
      <c r="EP32" s="432"/>
      <c r="EQ32" s="432"/>
      <c r="ER32" s="432"/>
      <c r="ES32" s="432"/>
      <c r="ET32" s="432"/>
      <c r="EU32" s="432"/>
      <c r="EV32" s="432"/>
      <c r="EW32" s="432"/>
      <c r="EX32" s="432"/>
      <c r="EY32" s="432"/>
      <c r="EZ32" s="432"/>
      <c r="FA32" s="432"/>
      <c r="FB32" s="432"/>
      <c r="FC32" s="432"/>
      <c r="FD32" s="432"/>
      <c r="FE32" s="432"/>
      <c r="FF32" s="432"/>
      <c r="FG32" s="432"/>
      <c r="FH32" s="432"/>
      <c r="FI32" s="432"/>
      <c r="FJ32" s="432"/>
      <c r="FK32" s="432"/>
      <c r="FL32" s="432"/>
      <c r="FM32" s="432"/>
      <c r="FN32" s="432"/>
      <c r="FO32" s="432"/>
      <c r="FP32" s="432"/>
      <c r="FQ32" s="432"/>
      <c r="FR32" s="432"/>
      <c r="FS32" s="432"/>
      <c r="FT32" s="432"/>
    </row>
    <row r="33" spans="1:176" ht="5.15" customHeight="1" x14ac:dyDescent="0.35">
      <c r="A33" s="432"/>
      <c r="B33" s="270"/>
      <c r="C33" s="304"/>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c r="BV33" s="432"/>
      <c r="BW33" s="432"/>
      <c r="BX33" s="432"/>
      <c r="BY33" s="432"/>
      <c r="BZ33" s="432"/>
      <c r="CA33" s="432"/>
      <c r="CB33" s="432"/>
      <c r="CC33" s="432"/>
      <c r="CD33" s="432"/>
      <c r="CE33" s="432"/>
      <c r="CF33" s="432"/>
      <c r="CG33" s="432"/>
      <c r="CH33" s="432"/>
      <c r="CI33" s="432"/>
      <c r="CJ33" s="432"/>
      <c r="CK33" s="432"/>
      <c r="CL33" s="432"/>
      <c r="CM33" s="432"/>
      <c r="CN33" s="432"/>
      <c r="CO33" s="432"/>
      <c r="CP33" s="432"/>
      <c r="CQ33" s="432"/>
      <c r="CR33" s="432"/>
      <c r="CS33" s="432"/>
      <c r="CT33" s="432"/>
      <c r="CU33" s="432"/>
      <c r="CV33" s="432"/>
      <c r="CW33" s="432"/>
      <c r="CX33" s="432"/>
      <c r="CY33" s="432"/>
      <c r="CZ33" s="432"/>
      <c r="DA33" s="432"/>
      <c r="DB33" s="432"/>
      <c r="DC33" s="432"/>
      <c r="DD33" s="432"/>
      <c r="DE33" s="432"/>
      <c r="DF33" s="432"/>
      <c r="DG33" s="432"/>
      <c r="DH33" s="432"/>
      <c r="DI33" s="432"/>
      <c r="DJ33" s="432"/>
      <c r="DK33" s="432"/>
      <c r="DL33" s="432"/>
      <c r="DM33" s="432"/>
      <c r="DN33" s="432"/>
      <c r="DO33" s="432"/>
      <c r="DP33" s="432"/>
      <c r="DQ33" s="432"/>
      <c r="DR33" s="432"/>
      <c r="DS33" s="432"/>
      <c r="DT33" s="432"/>
      <c r="DU33" s="432"/>
      <c r="DV33" s="432"/>
      <c r="DW33" s="432"/>
      <c r="DX33" s="432"/>
      <c r="DY33" s="432"/>
      <c r="DZ33" s="432"/>
      <c r="EA33" s="432"/>
      <c r="EB33" s="432"/>
      <c r="EC33" s="432"/>
      <c r="ED33" s="432"/>
      <c r="EE33" s="432"/>
      <c r="EF33" s="432"/>
      <c r="EG33" s="432"/>
      <c r="EH33" s="432"/>
      <c r="EI33" s="432"/>
      <c r="EJ33" s="432"/>
      <c r="EK33" s="432"/>
      <c r="EL33" s="432"/>
      <c r="EM33" s="432"/>
      <c r="EN33" s="432"/>
      <c r="EO33" s="432"/>
      <c r="EP33" s="432"/>
      <c r="EQ33" s="432"/>
      <c r="ER33" s="432"/>
      <c r="ES33" s="432"/>
      <c r="ET33" s="432"/>
      <c r="EU33" s="432"/>
      <c r="EV33" s="432"/>
      <c r="EW33" s="432"/>
      <c r="EX33" s="432"/>
      <c r="EY33" s="432"/>
      <c r="EZ33" s="432"/>
      <c r="FA33" s="432"/>
      <c r="FB33" s="432"/>
      <c r="FC33" s="432"/>
      <c r="FD33" s="432"/>
      <c r="FE33" s="432"/>
      <c r="FF33" s="432"/>
      <c r="FG33" s="432"/>
      <c r="FH33" s="432"/>
      <c r="FI33" s="432"/>
      <c r="FJ33" s="432"/>
      <c r="FK33" s="432"/>
      <c r="FL33" s="432"/>
      <c r="FM33" s="432"/>
      <c r="FN33" s="432"/>
      <c r="FO33" s="432"/>
      <c r="FP33" s="432"/>
      <c r="FQ33" s="432"/>
      <c r="FR33" s="432"/>
      <c r="FS33" s="432"/>
      <c r="FT33" s="432"/>
    </row>
    <row r="34" spans="1:176" ht="20.149999999999999" customHeight="1" x14ac:dyDescent="0.35">
      <c r="A34" s="432"/>
      <c r="B34" s="172" t="s">
        <v>117</v>
      </c>
      <c r="C34" s="669">
        <f>C79/1000</f>
        <v>0.6</v>
      </c>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c r="BD34" s="432"/>
      <c r="BE34" s="432"/>
      <c r="BF34" s="432"/>
      <c r="BG34" s="432"/>
      <c r="BH34" s="432"/>
      <c r="BI34" s="432"/>
      <c r="BJ34" s="432"/>
      <c r="BK34" s="432"/>
      <c r="BL34" s="432"/>
      <c r="BM34" s="432"/>
      <c r="BN34" s="432"/>
      <c r="BO34" s="432"/>
      <c r="BP34" s="432"/>
      <c r="BQ34" s="432"/>
      <c r="BR34" s="432"/>
      <c r="BS34" s="432"/>
      <c r="BT34" s="432"/>
      <c r="BU34" s="432"/>
      <c r="BV34" s="432"/>
      <c r="BW34" s="432"/>
      <c r="BX34" s="432"/>
      <c r="BY34" s="432"/>
      <c r="BZ34" s="432"/>
      <c r="CA34" s="432"/>
      <c r="CB34" s="432"/>
      <c r="CC34" s="432"/>
      <c r="CD34" s="432"/>
      <c r="CE34" s="432"/>
      <c r="CF34" s="432"/>
      <c r="CG34" s="432"/>
      <c r="CH34" s="432"/>
      <c r="CI34" s="432"/>
      <c r="CJ34" s="432"/>
      <c r="CK34" s="432"/>
      <c r="CL34" s="432"/>
      <c r="CM34" s="432"/>
      <c r="CN34" s="432"/>
      <c r="CO34" s="432"/>
      <c r="CP34" s="432"/>
      <c r="CQ34" s="432"/>
      <c r="CR34" s="432"/>
      <c r="CS34" s="432"/>
      <c r="CT34" s="432"/>
      <c r="CU34" s="432"/>
      <c r="CV34" s="432"/>
      <c r="CW34" s="432"/>
      <c r="CX34" s="432"/>
      <c r="CY34" s="432"/>
      <c r="CZ34" s="432"/>
      <c r="DA34" s="432"/>
      <c r="DB34" s="432"/>
      <c r="DC34" s="432"/>
      <c r="DD34" s="432"/>
      <c r="DE34" s="432"/>
      <c r="DF34" s="432"/>
      <c r="DG34" s="432"/>
      <c r="DH34" s="432"/>
      <c r="DI34" s="432"/>
      <c r="DJ34" s="432"/>
      <c r="DK34" s="432"/>
      <c r="DL34" s="432"/>
      <c r="DM34" s="432"/>
      <c r="DN34" s="432"/>
      <c r="DO34" s="432"/>
      <c r="DP34" s="432"/>
      <c r="DQ34" s="432"/>
      <c r="DR34" s="432"/>
      <c r="DS34" s="432"/>
      <c r="DT34" s="432"/>
      <c r="DU34" s="432"/>
      <c r="DV34" s="432"/>
      <c r="DW34" s="432"/>
      <c r="DX34" s="432"/>
      <c r="DY34" s="432"/>
      <c r="DZ34" s="432"/>
      <c r="EA34" s="432"/>
      <c r="EB34" s="432"/>
      <c r="EC34" s="432"/>
      <c r="ED34" s="432"/>
      <c r="EE34" s="432"/>
      <c r="EF34" s="432"/>
      <c r="EG34" s="432"/>
      <c r="EH34" s="432"/>
      <c r="EI34" s="432"/>
      <c r="EJ34" s="432"/>
      <c r="EK34" s="432"/>
      <c r="EL34" s="432"/>
      <c r="EM34" s="432"/>
      <c r="EN34" s="432"/>
      <c r="EO34" s="432"/>
      <c r="EP34" s="432"/>
      <c r="EQ34" s="432"/>
      <c r="ER34" s="432"/>
      <c r="ES34" s="432"/>
      <c r="ET34" s="432"/>
      <c r="EU34" s="432"/>
      <c r="EV34" s="432"/>
      <c r="EW34" s="432"/>
      <c r="EX34" s="432"/>
      <c r="EY34" s="432"/>
      <c r="EZ34" s="432"/>
      <c r="FA34" s="432"/>
      <c r="FB34" s="432"/>
      <c r="FC34" s="432"/>
      <c r="FD34" s="432"/>
      <c r="FE34" s="432"/>
      <c r="FF34" s="432"/>
      <c r="FG34" s="432"/>
      <c r="FH34" s="432"/>
      <c r="FI34" s="432"/>
      <c r="FJ34" s="432"/>
      <c r="FK34" s="432"/>
      <c r="FL34" s="432"/>
      <c r="FM34" s="432"/>
      <c r="FN34" s="432"/>
      <c r="FO34" s="432"/>
      <c r="FP34" s="432"/>
      <c r="FQ34" s="432"/>
      <c r="FR34" s="432"/>
      <c r="FS34" s="432"/>
      <c r="FT34" s="432"/>
    </row>
    <row r="35" spans="1:176" ht="5.15" customHeight="1" x14ac:dyDescent="0.35">
      <c r="A35" s="432"/>
      <c r="B35" s="270"/>
      <c r="C35" s="304"/>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2"/>
      <c r="CN35" s="432"/>
      <c r="CO35" s="432"/>
      <c r="CP35" s="432"/>
      <c r="CQ35" s="432"/>
      <c r="CR35" s="432"/>
      <c r="CS35" s="432"/>
      <c r="CT35" s="432"/>
      <c r="CU35" s="432"/>
      <c r="CV35" s="432"/>
      <c r="CW35" s="432"/>
      <c r="CX35" s="432"/>
      <c r="CY35" s="432"/>
      <c r="CZ35" s="432"/>
      <c r="DA35" s="432"/>
      <c r="DB35" s="432"/>
      <c r="DC35" s="432"/>
      <c r="DD35" s="432"/>
      <c r="DE35" s="432"/>
      <c r="DF35" s="432"/>
      <c r="DG35" s="432"/>
      <c r="DH35" s="432"/>
      <c r="DI35" s="432"/>
      <c r="DJ35" s="432"/>
      <c r="DK35" s="432"/>
      <c r="DL35" s="432"/>
      <c r="DM35" s="432"/>
      <c r="DN35" s="432"/>
      <c r="DO35" s="432"/>
      <c r="DP35" s="432"/>
      <c r="DQ35" s="432"/>
      <c r="DR35" s="432"/>
      <c r="DS35" s="432"/>
      <c r="DT35" s="432"/>
      <c r="DU35" s="432"/>
      <c r="DV35" s="432"/>
      <c r="DW35" s="432"/>
      <c r="DX35" s="432"/>
      <c r="DY35" s="432"/>
      <c r="DZ35" s="432"/>
      <c r="EA35" s="432"/>
      <c r="EB35" s="432"/>
      <c r="EC35" s="432"/>
      <c r="ED35" s="432"/>
      <c r="EE35" s="432"/>
      <c r="EF35" s="432"/>
      <c r="EG35" s="432"/>
      <c r="EH35" s="432"/>
      <c r="EI35" s="432"/>
      <c r="EJ35" s="432"/>
      <c r="EK35" s="432"/>
      <c r="EL35" s="432"/>
      <c r="EM35" s="432"/>
      <c r="EN35" s="432"/>
      <c r="EO35" s="432"/>
      <c r="EP35" s="432"/>
      <c r="EQ35" s="432"/>
      <c r="ER35" s="432"/>
      <c r="ES35" s="432"/>
      <c r="ET35" s="432"/>
      <c r="EU35" s="432"/>
      <c r="EV35" s="432"/>
      <c r="EW35" s="432"/>
      <c r="EX35" s="432"/>
      <c r="EY35" s="432"/>
      <c r="EZ35" s="432"/>
      <c r="FA35" s="432"/>
      <c r="FB35" s="432"/>
      <c r="FC35" s="432"/>
      <c r="FD35" s="432"/>
      <c r="FE35" s="432"/>
      <c r="FF35" s="432"/>
      <c r="FG35" s="432"/>
      <c r="FH35" s="432"/>
      <c r="FI35" s="432"/>
      <c r="FJ35" s="432"/>
      <c r="FK35" s="432"/>
      <c r="FL35" s="432"/>
      <c r="FM35" s="432"/>
      <c r="FN35" s="432"/>
      <c r="FO35" s="432"/>
      <c r="FP35" s="432"/>
      <c r="FQ35" s="432"/>
      <c r="FR35" s="432"/>
      <c r="FS35" s="432"/>
      <c r="FT35" s="432"/>
    </row>
    <row r="36" spans="1:176" ht="20.149999999999999" customHeight="1" x14ac:dyDescent="0.35">
      <c r="A36" s="432"/>
      <c r="B36" s="172" t="s">
        <v>973</v>
      </c>
      <c r="C36" s="664">
        <f>C80/1000</f>
        <v>0.6</v>
      </c>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c r="BD36" s="432"/>
      <c r="BE36" s="432"/>
      <c r="BF36" s="432"/>
      <c r="BG36" s="432"/>
      <c r="BH36" s="432"/>
      <c r="BI36" s="432"/>
      <c r="BJ36" s="432"/>
      <c r="BK36" s="432"/>
      <c r="BL36" s="432"/>
      <c r="BM36" s="432"/>
      <c r="BN36" s="432"/>
      <c r="BO36" s="432"/>
      <c r="BP36" s="432"/>
      <c r="BQ36" s="432"/>
      <c r="BR36" s="432"/>
      <c r="BS36" s="432"/>
      <c r="BT36" s="432"/>
      <c r="BU36" s="432"/>
      <c r="BV36" s="432"/>
      <c r="BW36" s="432"/>
      <c r="BX36" s="432"/>
      <c r="BY36" s="432"/>
      <c r="BZ36" s="432"/>
      <c r="CA36" s="432"/>
      <c r="CB36" s="432"/>
      <c r="CC36" s="432"/>
      <c r="CD36" s="432"/>
      <c r="CE36" s="432"/>
      <c r="CF36" s="432"/>
      <c r="CG36" s="432"/>
      <c r="CH36" s="432"/>
      <c r="CI36" s="432"/>
      <c r="CJ36" s="432"/>
      <c r="CK36" s="432"/>
      <c r="CL36" s="432"/>
      <c r="CM36" s="432"/>
      <c r="CN36" s="432"/>
      <c r="CO36" s="432"/>
      <c r="CP36" s="432"/>
      <c r="CQ36" s="432"/>
      <c r="CR36" s="432"/>
      <c r="CS36" s="432"/>
      <c r="CT36" s="432"/>
      <c r="CU36" s="432"/>
      <c r="CV36" s="432"/>
      <c r="CW36" s="432"/>
      <c r="CX36" s="432"/>
      <c r="CY36" s="432"/>
      <c r="CZ36" s="432"/>
      <c r="DA36" s="432"/>
      <c r="DB36" s="432"/>
      <c r="DC36" s="432"/>
      <c r="DD36" s="432"/>
      <c r="DE36" s="432"/>
      <c r="DF36" s="432"/>
      <c r="DG36" s="432"/>
      <c r="DH36" s="432"/>
      <c r="DI36" s="432"/>
      <c r="DJ36" s="432"/>
      <c r="DK36" s="432"/>
      <c r="DL36" s="432"/>
      <c r="DM36" s="432"/>
      <c r="DN36" s="432"/>
      <c r="DO36" s="432"/>
      <c r="DP36" s="432"/>
      <c r="DQ36" s="432"/>
      <c r="DR36" s="432"/>
      <c r="DS36" s="432"/>
      <c r="DT36" s="432"/>
      <c r="DU36" s="432"/>
      <c r="DV36" s="432"/>
      <c r="DW36" s="432"/>
      <c r="DX36" s="432"/>
      <c r="DY36" s="432"/>
      <c r="DZ36" s="432"/>
      <c r="EA36" s="432"/>
      <c r="EB36" s="432"/>
      <c r="EC36" s="432"/>
      <c r="ED36" s="432"/>
      <c r="EE36" s="432"/>
      <c r="EF36" s="432"/>
      <c r="EG36" s="432"/>
      <c r="EH36" s="432"/>
      <c r="EI36" s="432"/>
      <c r="EJ36" s="432"/>
      <c r="EK36" s="432"/>
      <c r="EL36" s="432"/>
      <c r="EM36" s="432"/>
      <c r="EN36" s="432"/>
      <c r="EO36" s="432"/>
      <c r="EP36" s="432"/>
      <c r="EQ36" s="432"/>
      <c r="ER36" s="432"/>
      <c r="ES36" s="432"/>
      <c r="ET36" s="432"/>
      <c r="EU36" s="432"/>
      <c r="EV36" s="432"/>
      <c r="EW36" s="432"/>
      <c r="EX36" s="432"/>
      <c r="EY36" s="432"/>
      <c r="EZ36" s="432"/>
      <c r="FA36" s="432"/>
      <c r="FB36" s="432"/>
      <c r="FC36" s="432"/>
      <c r="FD36" s="432"/>
      <c r="FE36" s="432"/>
      <c r="FF36" s="432"/>
      <c r="FG36" s="432"/>
      <c r="FH36" s="432"/>
      <c r="FI36" s="432"/>
      <c r="FJ36" s="432"/>
      <c r="FK36" s="432"/>
      <c r="FL36" s="432"/>
      <c r="FM36" s="432"/>
      <c r="FN36" s="432"/>
      <c r="FO36" s="432"/>
      <c r="FP36" s="432"/>
      <c r="FQ36" s="432"/>
      <c r="FR36" s="432"/>
      <c r="FS36" s="432"/>
      <c r="FT36" s="432"/>
    </row>
    <row r="37" spans="1:176" ht="5.15" customHeight="1" x14ac:dyDescent="0.35">
      <c r="A37" s="432"/>
      <c r="B37" s="172"/>
      <c r="C37" s="173"/>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c r="BV37" s="432"/>
      <c r="BW37" s="432"/>
      <c r="BX37" s="432"/>
      <c r="BY37" s="432"/>
      <c r="BZ37" s="432"/>
      <c r="CA37" s="432"/>
      <c r="CB37" s="432"/>
      <c r="CC37" s="432"/>
      <c r="CD37" s="432"/>
      <c r="CE37" s="432"/>
      <c r="CF37" s="432"/>
      <c r="CG37" s="432"/>
      <c r="CH37" s="432"/>
      <c r="CI37" s="432"/>
      <c r="CJ37" s="432"/>
      <c r="CK37" s="432"/>
      <c r="CL37" s="432"/>
      <c r="CM37" s="432"/>
      <c r="CN37" s="432"/>
      <c r="CO37" s="432"/>
      <c r="CP37" s="432"/>
      <c r="CQ37" s="432"/>
      <c r="CR37" s="432"/>
      <c r="CS37" s="432"/>
      <c r="CT37" s="432"/>
      <c r="CU37" s="432"/>
      <c r="CV37" s="432"/>
      <c r="CW37" s="432"/>
      <c r="CX37" s="432"/>
      <c r="CY37" s="432"/>
      <c r="CZ37" s="432"/>
      <c r="DA37" s="432"/>
      <c r="DB37" s="432"/>
      <c r="DC37" s="432"/>
      <c r="DD37" s="432"/>
      <c r="DE37" s="432"/>
      <c r="DF37" s="432"/>
      <c r="DG37" s="432"/>
      <c r="DH37" s="432"/>
      <c r="DI37" s="432"/>
      <c r="DJ37" s="432"/>
      <c r="DK37" s="432"/>
      <c r="DL37" s="432"/>
      <c r="DM37" s="432"/>
      <c r="DN37" s="432"/>
      <c r="DO37" s="432"/>
      <c r="DP37" s="432"/>
      <c r="DQ37" s="432"/>
      <c r="DR37" s="432"/>
      <c r="DS37" s="432"/>
      <c r="DT37" s="432"/>
      <c r="DU37" s="432"/>
      <c r="DV37" s="432"/>
      <c r="DW37" s="432"/>
      <c r="DX37" s="432"/>
      <c r="DY37" s="432"/>
      <c r="DZ37" s="432"/>
      <c r="EA37" s="432"/>
      <c r="EB37" s="432"/>
      <c r="EC37" s="432"/>
      <c r="ED37" s="432"/>
      <c r="EE37" s="432"/>
      <c r="EF37" s="432"/>
      <c r="EG37" s="432"/>
      <c r="EH37" s="432"/>
      <c r="EI37" s="432"/>
      <c r="EJ37" s="432"/>
      <c r="EK37" s="432"/>
      <c r="EL37" s="432"/>
      <c r="EM37" s="432"/>
      <c r="EN37" s="432"/>
      <c r="EO37" s="432"/>
      <c r="EP37" s="432"/>
      <c r="EQ37" s="432"/>
      <c r="ER37" s="432"/>
      <c r="ES37" s="432"/>
      <c r="ET37" s="432"/>
      <c r="EU37" s="432"/>
      <c r="EV37" s="432"/>
      <c r="EW37" s="432"/>
      <c r="EX37" s="432"/>
      <c r="EY37" s="432"/>
      <c r="EZ37" s="432"/>
      <c r="FA37" s="432"/>
      <c r="FB37" s="432"/>
      <c r="FC37" s="432"/>
      <c r="FD37" s="432"/>
      <c r="FE37" s="432"/>
      <c r="FF37" s="432"/>
      <c r="FG37" s="432"/>
      <c r="FH37" s="432"/>
      <c r="FI37" s="432"/>
      <c r="FJ37" s="432"/>
      <c r="FK37" s="432"/>
      <c r="FL37" s="432"/>
      <c r="FM37" s="432"/>
      <c r="FN37" s="432"/>
      <c r="FO37" s="432"/>
      <c r="FP37" s="432"/>
      <c r="FQ37" s="432"/>
      <c r="FR37" s="432"/>
      <c r="FS37" s="432"/>
      <c r="FT37" s="432"/>
    </row>
    <row r="38" spans="1:176" ht="20.149999999999999" customHeight="1" x14ac:dyDescent="0.35">
      <c r="A38" s="432"/>
      <c r="B38" s="172" t="s">
        <v>70</v>
      </c>
      <c r="C38" s="659">
        <f>C81/100</f>
        <v>30</v>
      </c>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c r="BO38" s="432"/>
      <c r="BP38" s="432"/>
      <c r="BQ38" s="432"/>
      <c r="BR38" s="432"/>
      <c r="BS38" s="432"/>
      <c r="BT38" s="432"/>
      <c r="BU38" s="432"/>
      <c r="BV38" s="432"/>
      <c r="BW38" s="432"/>
      <c r="BX38" s="432"/>
      <c r="BY38" s="432"/>
      <c r="BZ38" s="432"/>
      <c r="CA38" s="432"/>
      <c r="CB38" s="432"/>
      <c r="CC38" s="432"/>
      <c r="CD38" s="432"/>
      <c r="CE38" s="432"/>
      <c r="CF38" s="432"/>
      <c r="CG38" s="432"/>
      <c r="CH38" s="432"/>
      <c r="CI38" s="432"/>
      <c r="CJ38" s="432"/>
      <c r="CK38" s="432"/>
      <c r="CL38" s="432"/>
      <c r="CM38" s="432"/>
      <c r="CN38" s="432"/>
      <c r="CO38" s="432"/>
      <c r="CP38" s="432"/>
      <c r="CQ38" s="432"/>
      <c r="CR38" s="432"/>
      <c r="CS38" s="432"/>
      <c r="CT38" s="432"/>
      <c r="CU38" s="432"/>
      <c r="CV38" s="432"/>
      <c r="CW38" s="432"/>
      <c r="CX38" s="432"/>
      <c r="CY38" s="432"/>
      <c r="CZ38" s="432"/>
      <c r="DA38" s="432"/>
      <c r="DB38" s="432"/>
      <c r="DC38" s="432"/>
      <c r="DD38" s="432"/>
      <c r="DE38" s="432"/>
      <c r="DF38" s="432"/>
      <c r="DG38" s="432"/>
      <c r="DH38" s="432"/>
      <c r="DI38" s="432"/>
      <c r="DJ38" s="432"/>
      <c r="DK38" s="432"/>
      <c r="DL38" s="432"/>
      <c r="DM38" s="432"/>
      <c r="DN38" s="432"/>
      <c r="DO38" s="432"/>
      <c r="DP38" s="432"/>
      <c r="DQ38" s="432"/>
      <c r="DR38" s="432"/>
      <c r="DS38" s="432"/>
      <c r="DT38" s="432"/>
      <c r="DU38" s="432"/>
      <c r="DV38" s="432"/>
      <c r="DW38" s="432"/>
      <c r="DX38" s="432"/>
      <c r="DY38" s="432"/>
      <c r="DZ38" s="432"/>
      <c r="EA38" s="432"/>
      <c r="EB38" s="432"/>
      <c r="EC38" s="432"/>
      <c r="ED38" s="432"/>
      <c r="EE38" s="432"/>
      <c r="EF38" s="432"/>
      <c r="EG38" s="432"/>
      <c r="EH38" s="432"/>
      <c r="EI38" s="432"/>
      <c r="EJ38" s="432"/>
      <c r="EK38" s="432"/>
      <c r="EL38" s="432"/>
      <c r="EM38" s="432"/>
      <c r="EN38" s="432"/>
      <c r="EO38" s="432"/>
      <c r="EP38" s="432"/>
      <c r="EQ38" s="432"/>
      <c r="ER38" s="432"/>
      <c r="ES38" s="432"/>
      <c r="ET38" s="432"/>
      <c r="EU38" s="432"/>
      <c r="EV38" s="432"/>
      <c r="EW38" s="432"/>
      <c r="EX38" s="432"/>
      <c r="EY38" s="432"/>
      <c r="EZ38" s="432"/>
      <c r="FA38" s="432"/>
      <c r="FB38" s="432"/>
      <c r="FC38" s="432"/>
      <c r="FD38" s="432"/>
      <c r="FE38" s="432"/>
      <c r="FF38" s="432"/>
      <c r="FG38" s="432"/>
      <c r="FH38" s="432"/>
      <c r="FI38" s="432"/>
      <c r="FJ38" s="432"/>
      <c r="FK38" s="432"/>
      <c r="FL38" s="432"/>
      <c r="FM38" s="432"/>
      <c r="FN38" s="432"/>
      <c r="FO38" s="432"/>
      <c r="FP38" s="432"/>
      <c r="FQ38" s="432"/>
      <c r="FR38" s="432"/>
      <c r="FS38" s="432"/>
      <c r="FT38" s="432"/>
    </row>
    <row r="39" spans="1:176" ht="5.15" customHeight="1" x14ac:dyDescent="0.35">
      <c r="A39" s="432"/>
      <c r="B39" s="274"/>
      <c r="C39" s="276"/>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c r="BO39" s="432"/>
      <c r="BP39" s="432"/>
      <c r="BQ39" s="432"/>
      <c r="BR39" s="432"/>
      <c r="BS39" s="432"/>
      <c r="BT39" s="432"/>
      <c r="BU39" s="432"/>
      <c r="BV39" s="432"/>
      <c r="BW39" s="432"/>
      <c r="BX39" s="432"/>
      <c r="BY39" s="432"/>
      <c r="BZ39" s="432"/>
      <c r="CA39" s="432"/>
      <c r="CB39" s="432"/>
      <c r="CC39" s="432"/>
      <c r="CD39" s="432"/>
      <c r="CE39" s="432"/>
      <c r="CF39" s="432"/>
      <c r="CG39" s="432"/>
      <c r="CH39" s="432"/>
      <c r="CI39" s="432"/>
      <c r="CJ39" s="432"/>
      <c r="CK39" s="432"/>
      <c r="CL39" s="432"/>
      <c r="CM39" s="432"/>
      <c r="CN39" s="432"/>
      <c r="CO39" s="432"/>
      <c r="CP39" s="432"/>
      <c r="CQ39" s="432"/>
      <c r="CR39" s="432"/>
      <c r="CS39" s="432"/>
      <c r="CT39" s="432"/>
      <c r="CU39" s="432"/>
      <c r="CV39" s="432"/>
      <c r="CW39" s="432"/>
      <c r="CX39" s="432"/>
      <c r="CY39" s="432"/>
      <c r="CZ39" s="432"/>
      <c r="DA39" s="432"/>
      <c r="DB39" s="432"/>
      <c r="DC39" s="432"/>
      <c r="DD39" s="432"/>
      <c r="DE39" s="432"/>
      <c r="DF39" s="432"/>
      <c r="DG39" s="432"/>
      <c r="DH39" s="432"/>
      <c r="DI39" s="432"/>
      <c r="DJ39" s="432"/>
      <c r="DK39" s="432"/>
      <c r="DL39" s="432"/>
      <c r="DM39" s="432"/>
      <c r="DN39" s="432"/>
      <c r="DO39" s="432"/>
      <c r="DP39" s="432"/>
      <c r="DQ39" s="432"/>
      <c r="DR39" s="432"/>
      <c r="DS39" s="432"/>
      <c r="DT39" s="432"/>
      <c r="DU39" s="432"/>
      <c r="DV39" s="432"/>
      <c r="DW39" s="432"/>
      <c r="DX39" s="432"/>
      <c r="DY39" s="432"/>
      <c r="DZ39" s="432"/>
      <c r="EA39" s="432"/>
      <c r="EB39" s="432"/>
      <c r="EC39" s="432"/>
      <c r="ED39" s="432"/>
      <c r="EE39" s="432"/>
      <c r="EF39" s="432"/>
      <c r="EG39" s="432"/>
      <c r="EH39" s="432"/>
      <c r="EI39" s="432"/>
      <c r="EJ39" s="432"/>
      <c r="EK39" s="432"/>
      <c r="EL39" s="432"/>
      <c r="EM39" s="432"/>
      <c r="EN39" s="432"/>
      <c r="EO39" s="432"/>
      <c r="EP39" s="432"/>
      <c r="EQ39" s="432"/>
      <c r="ER39" s="432"/>
      <c r="ES39" s="432"/>
      <c r="ET39" s="432"/>
      <c r="EU39" s="432"/>
      <c r="EV39" s="432"/>
      <c r="EW39" s="432"/>
      <c r="EX39" s="432"/>
      <c r="EY39" s="432"/>
      <c r="EZ39" s="432"/>
      <c r="FA39" s="432"/>
      <c r="FB39" s="432"/>
      <c r="FC39" s="432"/>
      <c r="FD39" s="432"/>
      <c r="FE39" s="432"/>
      <c r="FF39" s="432"/>
      <c r="FG39" s="432"/>
      <c r="FH39" s="432"/>
      <c r="FI39" s="432"/>
      <c r="FJ39" s="432"/>
      <c r="FK39" s="432"/>
      <c r="FL39" s="432"/>
      <c r="FM39" s="432"/>
      <c r="FN39" s="432"/>
      <c r="FO39" s="432"/>
      <c r="FP39" s="432"/>
      <c r="FQ39" s="432"/>
      <c r="FR39" s="432"/>
      <c r="FS39" s="432"/>
      <c r="FT39" s="432"/>
    </row>
    <row r="40" spans="1:176" ht="20.149999999999999" customHeight="1" x14ac:dyDescent="0.35">
      <c r="A40" s="432"/>
      <c r="B40" s="513" t="s">
        <v>948</v>
      </c>
      <c r="C40" s="514"/>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c r="BV40" s="432"/>
      <c r="BW40" s="432"/>
      <c r="BX40" s="432"/>
      <c r="BY40" s="432"/>
      <c r="BZ40" s="432"/>
      <c r="CA40" s="432"/>
      <c r="CB40" s="432"/>
      <c r="CC40" s="432"/>
      <c r="CD40" s="432"/>
      <c r="CE40" s="432"/>
      <c r="CF40" s="432"/>
      <c r="CG40" s="432"/>
      <c r="CH40" s="432"/>
      <c r="CI40" s="432"/>
      <c r="CJ40" s="432"/>
      <c r="CK40" s="432"/>
      <c r="CL40" s="432"/>
      <c r="CM40" s="432"/>
      <c r="CN40" s="432"/>
      <c r="CO40" s="432"/>
      <c r="CP40" s="432"/>
      <c r="CQ40" s="432"/>
      <c r="CR40" s="432"/>
      <c r="CS40" s="432"/>
      <c r="CT40" s="432"/>
      <c r="CU40" s="432"/>
      <c r="CV40" s="432"/>
      <c r="CW40" s="432"/>
      <c r="CX40" s="432"/>
      <c r="CY40" s="432"/>
      <c r="CZ40" s="432"/>
      <c r="DA40" s="432"/>
      <c r="DB40" s="432"/>
      <c r="DC40" s="432"/>
      <c r="DD40" s="432"/>
      <c r="DE40" s="432"/>
      <c r="DF40" s="432"/>
      <c r="DG40" s="432"/>
      <c r="DH40" s="432"/>
      <c r="DI40" s="432"/>
      <c r="DJ40" s="432"/>
      <c r="DK40" s="432"/>
      <c r="DL40" s="432"/>
      <c r="DM40" s="432"/>
      <c r="DN40" s="432"/>
      <c r="DO40" s="432"/>
      <c r="DP40" s="432"/>
      <c r="DQ40" s="432"/>
      <c r="DR40" s="432"/>
      <c r="DS40" s="432"/>
      <c r="DT40" s="432"/>
      <c r="DU40" s="432"/>
      <c r="DV40" s="432"/>
      <c r="DW40" s="432"/>
      <c r="DX40" s="432"/>
      <c r="DY40" s="432"/>
      <c r="DZ40" s="432"/>
      <c r="EA40" s="432"/>
      <c r="EB40" s="432"/>
      <c r="EC40" s="432"/>
      <c r="ED40" s="432"/>
      <c r="EE40" s="432"/>
      <c r="EF40" s="432"/>
      <c r="EG40" s="432"/>
      <c r="EH40" s="432"/>
      <c r="EI40" s="432"/>
      <c r="EJ40" s="432"/>
      <c r="EK40" s="432"/>
      <c r="EL40" s="432"/>
      <c r="EM40" s="432"/>
      <c r="EN40" s="432"/>
      <c r="EO40" s="432"/>
      <c r="EP40" s="432"/>
      <c r="EQ40" s="432"/>
      <c r="ER40" s="432"/>
      <c r="ES40" s="432"/>
      <c r="ET40" s="432"/>
      <c r="EU40" s="432"/>
      <c r="EV40" s="432"/>
      <c r="EW40" s="432"/>
      <c r="EX40" s="432"/>
      <c r="EY40" s="432"/>
      <c r="EZ40" s="432"/>
      <c r="FA40" s="432"/>
      <c r="FB40" s="432"/>
      <c r="FC40" s="432"/>
      <c r="FD40" s="432"/>
      <c r="FE40" s="432"/>
      <c r="FF40" s="432"/>
      <c r="FG40" s="432"/>
      <c r="FH40" s="432"/>
      <c r="FI40" s="432"/>
      <c r="FJ40" s="432"/>
      <c r="FK40" s="432"/>
      <c r="FL40" s="432"/>
      <c r="FM40" s="432"/>
      <c r="FN40" s="432"/>
      <c r="FO40" s="432"/>
      <c r="FP40" s="432"/>
      <c r="FQ40" s="432"/>
      <c r="FR40" s="432"/>
      <c r="FS40" s="432"/>
      <c r="FT40" s="432"/>
    </row>
    <row r="41" spans="1:176" ht="20.149999999999999" customHeight="1" x14ac:dyDescent="0.35">
      <c r="A41" s="432"/>
      <c r="B41" s="174" t="s">
        <v>747</v>
      </c>
      <c r="C41" s="406">
        <f>C110</f>
        <v>30896.292000000001</v>
      </c>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432"/>
      <c r="AW41" s="432"/>
      <c r="AX41" s="432"/>
      <c r="AY41" s="432"/>
      <c r="AZ41" s="432"/>
      <c r="BA41" s="432"/>
      <c r="BB41" s="432"/>
      <c r="BC41" s="432"/>
      <c r="BD41" s="432"/>
      <c r="BE41" s="432"/>
      <c r="BF41" s="432"/>
      <c r="BG41" s="432"/>
      <c r="BH41" s="432"/>
      <c r="BI41" s="432"/>
      <c r="BJ41" s="432"/>
      <c r="BK41" s="432"/>
      <c r="BL41" s="432"/>
      <c r="BM41" s="432"/>
      <c r="BN41" s="432"/>
      <c r="BO41" s="432"/>
      <c r="BP41" s="432"/>
      <c r="BQ41" s="432"/>
      <c r="BR41" s="432"/>
      <c r="BS41" s="432"/>
      <c r="BT41" s="432"/>
      <c r="BU41" s="432"/>
      <c r="BV41" s="432"/>
      <c r="BW41" s="432"/>
      <c r="BX41" s="432"/>
      <c r="BY41" s="432"/>
      <c r="BZ41" s="432"/>
      <c r="CA41" s="432"/>
      <c r="CB41" s="432"/>
      <c r="CC41" s="432"/>
      <c r="CD41" s="432"/>
      <c r="CE41" s="432"/>
      <c r="CF41" s="432"/>
      <c r="CG41" s="432"/>
      <c r="CH41" s="432"/>
      <c r="CI41" s="432"/>
      <c r="CJ41" s="432"/>
      <c r="CK41" s="432"/>
      <c r="CL41" s="432"/>
      <c r="CM41" s="432"/>
      <c r="CN41" s="432"/>
      <c r="CO41" s="432"/>
      <c r="CP41" s="432"/>
      <c r="CQ41" s="432"/>
      <c r="CR41" s="432"/>
      <c r="CS41" s="432"/>
      <c r="CT41" s="432"/>
      <c r="CU41" s="432"/>
      <c r="CV41" s="432"/>
      <c r="CW41" s="432"/>
      <c r="CX41" s="432"/>
      <c r="CY41" s="432"/>
      <c r="CZ41" s="432"/>
      <c r="DA41" s="432"/>
      <c r="DB41" s="432"/>
      <c r="DC41" s="432"/>
      <c r="DD41" s="432"/>
      <c r="DE41" s="432"/>
      <c r="DF41" s="432"/>
      <c r="DG41" s="432"/>
      <c r="DH41" s="432"/>
      <c r="DI41" s="432"/>
      <c r="DJ41" s="432"/>
      <c r="DK41" s="432"/>
      <c r="DL41" s="432"/>
      <c r="DM41" s="432"/>
      <c r="DN41" s="432"/>
      <c r="DO41" s="432"/>
      <c r="DP41" s="432"/>
      <c r="DQ41" s="432"/>
      <c r="DR41" s="432"/>
      <c r="DS41" s="432"/>
      <c r="DT41" s="432"/>
      <c r="DU41" s="432"/>
      <c r="DV41" s="432"/>
      <c r="DW41" s="432"/>
      <c r="DX41" s="432"/>
      <c r="DY41" s="432"/>
      <c r="DZ41" s="432"/>
      <c r="EA41" s="432"/>
      <c r="EB41" s="432"/>
      <c r="EC41" s="432"/>
      <c r="ED41" s="432"/>
      <c r="EE41" s="432"/>
      <c r="EF41" s="432"/>
      <c r="EG41" s="432"/>
      <c r="EH41" s="432"/>
      <c r="EI41" s="432"/>
      <c r="EJ41" s="432"/>
      <c r="EK41" s="432"/>
      <c r="EL41" s="432"/>
      <c r="EM41" s="432"/>
      <c r="EN41" s="432"/>
      <c r="EO41" s="432"/>
      <c r="EP41" s="432"/>
      <c r="EQ41" s="432"/>
      <c r="ER41" s="432"/>
      <c r="ES41" s="432"/>
      <c r="ET41" s="432"/>
      <c r="EU41" s="432"/>
      <c r="EV41" s="432"/>
      <c r="EW41" s="432"/>
      <c r="EX41" s="432"/>
      <c r="EY41" s="432"/>
      <c r="EZ41" s="432"/>
      <c r="FA41" s="432"/>
      <c r="FB41" s="432"/>
      <c r="FC41" s="432"/>
      <c r="FD41" s="432"/>
      <c r="FE41" s="432"/>
      <c r="FF41" s="432"/>
      <c r="FG41" s="432"/>
      <c r="FH41" s="432"/>
      <c r="FI41" s="432"/>
      <c r="FJ41" s="432"/>
      <c r="FK41" s="432"/>
      <c r="FL41" s="432"/>
      <c r="FM41" s="432"/>
      <c r="FN41" s="432"/>
      <c r="FO41" s="432"/>
      <c r="FP41" s="432"/>
      <c r="FQ41" s="432"/>
      <c r="FR41" s="432"/>
      <c r="FS41" s="432"/>
      <c r="FT41" s="432"/>
    </row>
    <row r="42" spans="1:176" ht="20.149999999999999" customHeight="1" x14ac:dyDescent="0.35">
      <c r="A42" s="432"/>
      <c r="B42" s="175" t="s">
        <v>949</v>
      </c>
      <c r="C42" s="11"/>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32"/>
      <c r="AO42" s="432"/>
      <c r="AP42" s="432"/>
      <c r="AQ42" s="432"/>
      <c r="AR42" s="432"/>
      <c r="AS42" s="432"/>
      <c r="AT42" s="432"/>
      <c r="AU42" s="432"/>
      <c r="AV42" s="432"/>
      <c r="AW42" s="432"/>
      <c r="AX42" s="432"/>
      <c r="AY42" s="432"/>
      <c r="AZ42" s="432"/>
      <c r="BA42" s="432"/>
      <c r="BB42" s="432"/>
      <c r="BC42" s="432"/>
      <c r="BD42" s="432"/>
      <c r="BE42" s="432"/>
      <c r="BF42" s="432"/>
      <c r="BG42" s="432"/>
      <c r="BH42" s="432"/>
      <c r="BI42" s="432"/>
      <c r="BJ42" s="432"/>
      <c r="BK42" s="432"/>
      <c r="BL42" s="432"/>
      <c r="BM42" s="432"/>
      <c r="BN42" s="432"/>
      <c r="BO42" s="432"/>
      <c r="BP42" s="432"/>
      <c r="BQ42" s="432"/>
      <c r="BR42" s="432"/>
      <c r="BS42" s="432"/>
      <c r="BT42" s="432"/>
      <c r="BU42" s="432"/>
      <c r="BV42" s="432"/>
      <c r="BW42" s="432"/>
      <c r="BX42" s="432"/>
      <c r="BY42" s="432"/>
      <c r="BZ42" s="432"/>
      <c r="CA42" s="432"/>
      <c r="CB42" s="432"/>
      <c r="CC42" s="432"/>
      <c r="CD42" s="432"/>
      <c r="CE42" s="432"/>
      <c r="CF42" s="432"/>
      <c r="CG42" s="432"/>
      <c r="CH42" s="432"/>
      <c r="CI42" s="432"/>
      <c r="CJ42" s="432"/>
      <c r="CK42" s="432"/>
      <c r="CL42" s="432"/>
      <c r="CM42" s="432"/>
      <c r="CN42" s="432"/>
      <c r="CO42" s="432"/>
      <c r="CP42" s="432"/>
      <c r="CQ42" s="432"/>
      <c r="CR42" s="432"/>
      <c r="CS42" s="432"/>
      <c r="CT42" s="432"/>
      <c r="CU42" s="432"/>
      <c r="CV42" s="432"/>
      <c r="CW42" s="432"/>
      <c r="CX42" s="432"/>
      <c r="CY42" s="432"/>
      <c r="CZ42" s="432"/>
      <c r="DA42" s="432"/>
      <c r="DB42" s="432"/>
      <c r="DC42" s="432"/>
      <c r="DD42" s="432"/>
      <c r="DE42" s="432"/>
      <c r="DF42" s="432"/>
      <c r="DG42" s="432"/>
      <c r="DH42" s="432"/>
      <c r="DI42" s="432"/>
      <c r="DJ42" s="432"/>
      <c r="DK42" s="432"/>
      <c r="DL42" s="432"/>
      <c r="DM42" s="432"/>
      <c r="DN42" s="432"/>
      <c r="DO42" s="432"/>
      <c r="DP42" s="432"/>
      <c r="DQ42" s="432"/>
      <c r="DR42" s="432"/>
      <c r="DS42" s="432"/>
      <c r="DT42" s="432"/>
      <c r="DU42" s="432"/>
      <c r="DV42" s="432"/>
      <c r="DW42" s="432"/>
      <c r="DX42" s="432"/>
      <c r="DY42" s="432"/>
      <c r="DZ42" s="432"/>
      <c r="EA42" s="432"/>
      <c r="EB42" s="432"/>
      <c r="EC42" s="432"/>
      <c r="ED42" s="432"/>
      <c r="EE42" s="432"/>
      <c r="EF42" s="432"/>
      <c r="EG42" s="432"/>
      <c r="EH42" s="432"/>
      <c r="EI42" s="432"/>
      <c r="EJ42" s="432"/>
      <c r="EK42" s="432"/>
      <c r="EL42" s="432"/>
      <c r="EM42" s="432"/>
      <c r="EN42" s="432"/>
      <c r="EO42" s="432"/>
      <c r="EP42" s="432"/>
      <c r="EQ42" s="432"/>
      <c r="ER42" s="432"/>
      <c r="ES42" s="432"/>
      <c r="ET42" s="432"/>
      <c r="EU42" s="432"/>
      <c r="EV42" s="432"/>
      <c r="EW42" s="432"/>
      <c r="EX42" s="432"/>
      <c r="EY42" s="432"/>
      <c r="EZ42" s="432"/>
      <c r="FA42" s="432"/>
      <c r="FB42" s="432"/>
      <c r="FC42" s="432"/>
      <c r="FD42" s="432"/>
      <c r="FE42" s="432"/>
      <c r="FF42" s="432"/>
      <c r="FG42" s="432"/>
      <c r="FH42" s="432"/>
      <c r="FI42" s="432"/>
      <c r="FJ42" s="432"/>
      <c r="FK42" s="432"/>
      <c r="FL42" s="432"/>
      <c r="FM42" s="432"/>
      <c r="FN42" s="432"/>
      <c r="FO42" s="432"/>
      <c r="FP42" s="432"/>
      <c r="FQ42" s="432"/>
      <c r="FR42" s="432"/>
      <c r="FS42" s="432"/>
      <c r="FT42" s="432"/>
    </row>
    <row r="43" spans="1:176" ht="20.149999999999999" customHeight="1" x14ac:dyDescent="0.35">
      <c r="A43" s="432"/>
      <c r="B43" s="409" t="s">
        <v>82</v>
      </c>
      <c r="C43" s="414">
        <f>-1*C108</f>
        <v>-8.6939999999999991</v>
      </c>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c r="BV43" s="432"/>
      <c r="BW43" s="432"/>
      <c r="BX43" s="432"/>
      <c r="BY43" s="432"/>
      <c r="BZ43" s="432"/>
      <c r="CA43" s="432"/>
      <c r="CB43" s="432"/>
      <c r="CC43" s="432"/>
      <c r="CD43" s="432"/>
      <c r="CE43" s="432"/>
      <c r="CF43" s="432"/>
      <c r="CG43" s="432"/>
      <c r="CH43" s="432"/>
      <c r="CI43" s="432"/>
      <c r="CJ43" s="432"/>
      <c r="CK43" s="432"/>
      <c r="CL43" s="432"/>
      <c r="CM43" s="432"/>
      <c r="CN43" s="432"/>
      <c r="CO43" s="432"/>
      <c r="CP43" s="432"/>
      <c r="CQ43" s="432"/>
      <c r="CR43" s="432"/>
      <c r="CS43" s="432"/>
      <c r="CT43" s="432"/>
      <c r="CU43" s="432"/>
      <c r="CV43" s="432"/>
      <c r="CW43" s="432"/>
      <c r="CX43" s="432"/>
      <c r="CY43" s="432"/>
      <c r="CZ43" s="432"/>
      <c r="DA43" s="432"/>
      <c r="DB43" s="432"/>
      <c r="DC43" s="432"/>
      <c r="DD43" s="432"/>
      <c r="DE43" s="432"/>
      <c r="DF43" s="432"/>
      <c r="DG43" s="432"/>
      <c r="DH43" s="432"/>
      <c r="DI43" s="432"/>
      <c r="DJ43" s="432"/>
      <c r="DK43" s="432"/>
      <c r="DL43" s="432"/>
      <c r="DM43" s="432"/>
      <c r="DN43" s="432"/>
      <c r="DO43" s="432"/>
      <c r="DP43" s="432"/>
      <c r="DQ43" s="432"/>
      <c r="DR43" s="432"/>
      <c r="DS43" s="432"/>
      <c r="DT43" s="432"/>
      <c r="DU43" s="432"/>
      <c r="DV43" s="432"/>
      <c r="DW43" s="432"/>
      <c r="DX43" s="432"/>
      <c r="DY43" s="432"/>
      <c r="DZ43" s="432"/>
      <c r="EA43" s="432"/>
      <c r="EB43" s="432"/>
      <c r="EC43" s="432"/>
      <c r="ED43" s="432"/>
      <c r="EE43" s="432"/>
      <c r="EF43" s="432"/>
      <c r="EG43" s="432"/>
      <c r="EH43" s="432"/>
      <c r="EI43" s="432"/>
      <c r="EJ43" s="432"/>
      <c r="EK43" s="432"/>
      <c r="EL43" s="432"/>
      <c r="EM43" s="432"/>
      <c r="EN43" s="432"/>
      <c r="EO43" s="432"/>
      <c r="EP43" s="432"/>
      <c r="EQ43" s="432"/>
      <c r="ER43" s="432"/>
      <c r="ES43" s="432"/>
      <c r="ET43" s="432"/>
      <c r="EU43" s="432"/>
      <c r="EV43" s="432"/>
      <c r="EW43" s="432"/>
      <c r="EX43" s="432"/>
      <c r="EY43" s="432"/>
      <c r="EZ43" s="432"/>
      <c r="FA43" s="432"/>
      <c r="FB43" s="432"/>
      <c r="FC43" s="432"/>
      <c r="FD43" s="432"/>
      <c r="FE43" s="432"/>
      <c r="FF43" s="432"/>
      <c r="FG43" s="432"/>
      <c r="FH43" s="432"/>
      <c r="FI43" s="432"/>
      <c r="FJ43" s="432"/>
      <c r="FK43" s="432"/>
      <c r="FL43" s="432"/>
      <c r="FM43" s="432"/>
      <c r="FN43" s="432"/>
      <c r="FO43" s="432"/>
      <c r="FP43" s="432"/>
      <c r="FQ43" s="432"/>
      <c r="FR43" s="432"/>
      <c r="FS43" s="432"/>
      <c r="FT43" s="432"/>
    </row>
    <row r="44" spans="1:176" ht="20.149999999999999" customHeight="1" x14ac:dyDescent="0.35">
      <c r="A44" s="432"/>
      <c r="B44" s="409" t="s">
        <v>456</v>
      </c>
      <c r="C44" s="414">
        <v>0</v>
      </c>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M44" s="432"/>
      <c r="AN44" s="432"/>
      <c r="AO44" s="432"/>
      <c r="AP44" s="432"/>
      <c r="AQ44" s="432"/>
      <c r="AR44" s="432"/>
      <c r="AS44" s="432"/>
      <c r="AT44" s="432"/>
      <c r="AU44" s="432"/>
      <c r="AV44" s="432"/>
      <c r="AW44" s="432"/>
      <c r="AX44" s="432"/>
      <c r="AY44" s="432"/>
      <c r="AZ44" s="432"/>
      <c r="BA44" s="432"/>
      <c r="BB44" s="432"/>
      <c r="BC44" s="432"/>
      <c r="BD44" s="432"/>
      <c r="BE44" s="432"/>
      <c r="BF44" s="432"/>
      <c r="BG44" s="432"/>
      <c r="BH44" s="432"/>
      <c r="BI44" s="432"/>
      <c r="BJ44" s="432"/>
      <c r="BK44" s="432"/>
      <c r="BL44" s="432"/>
      <c r="BM44" s="432"/>
      <c r="BN44" s="432"/>
      <c r="BO44" s="432"/>
      <c r="BP44" s="432"/>
      <c r="BQ44" s="432"/>
      <c r="BR44" s="432"/>
      <c r="BS44" s="432"/>
      <c r="BT44" s="432"/>
      <c r="BU44" s="432"/>
      <c r="BV44" s="432"/>
      <c r="BW44" s="432"/>
      <c r="BX44" s="432"/>
      <c r="BY44" s="432"/>
      <c r="BZ44" s="432"/>
      <c r="CA44" s="432"/>
      <c r="CB44" s="432"/>
      <c r="CC44" s="432"/>
      <c r="CD44" s="432"/>
      <c r="CE44" s="432"/>
      <c r="CF44" s="432"/>
      <c r="CG44" s="432"/>
      <c r="CH44" s="432"/>
      <c r="CI44" s="432"/>
      <c r="CJ44" s="432"/>
      <c r="CK44" s="432"/>
      <c r="CL44" s="432"/>
      <c r="CM44" s="432"/>
      <c r="CN44" s="432"/>
      <c r="CO44" s="432"/>
      <c r="CP44" s="432"/>
      <c r="CQ44" s="432"/>
      <c r="CR44" s="432"/>
      <c r="CS44" s="432"/>
      <c r="CT44" s="432"/>
      <c r="CU44" s="432"/>
      <c r="CV44" s="432"/>
      <c r="CW44" s="432"/>
      <c r="CX44" s="432"/>
      <c r="CY44" s="432"/>
      <c r="CZ44" s="432"/>
      <c r="DA44" s="432"/>
      <c r="DB44" s="432"/>
      <c r="DC44" s="432"/>
      <c r="DD44" s="432"/>
      <c r="DE44" s="432"/>
      <c r="DF44" s="432"/>
      <c r="DG44" s="432"/>
      <c r="DH44" s="432"/>
      <c r="DI44" s="432"/>
      <c r="DJ44" s="432"/>
      <c r="DK44" s="432"/>
      <c r="DL44" s="432"/>
      <c r="DM44" s="432"/>
      <c r="DN44" s="432"/>
      <c r="DO44" s="432"/>
      <c r="DP44" s="432"/>
      <c r="DQ44" s="432"/>
      <c r="DR44" s="432"/>
      <c r="DS44" s="432"/>
      <c r="DT44" s="432"/>
      <c r="DU44" s="432"/>
      <c r="DV44" s="432"/>
      <c r="DW44" s="432"/>
      <c r="DX44" s="432"/>
      <c r="DY44" s="432"/>
      <c r="DZ44" s="432"/>
      <c r="EA44" s="432"/>
      <c r="EB44" s="432"/>
      <c r="EC44" s="432"/>
      <c r="ED44" s="432"/>
      <c r="EE44" s="432"/>
      <c r="EF44" s="432"/>
      <c r="EG44" s="432"/>
      <c r="EH44" s="432"/>
      <c r="EI44" s="432"/>
      <c r="EJ44" s="432"/>
      <c r="EK44" s="432"/>
      <c r="EL44" s="432"/>
      <c r="EM44" s="432"/>
      <c r="EN44" s="432"/>
      <c r="EO44" s="432"/>
      <c r="EP44" s="432"/>
      <c r="EQ44" s="432"/>
      <c r="ER44" s="432"/>
      <c r="ES44" s="432"/>
      <c r="ET44" s="432"/>
      <c r="EU44" s="432"/>
      <c r="EV44" s="432"/>
      <c r="EW44" s="432"/>
      <c r="EX44" s="432"/>
      <c r="EY44" s="432"/>
      <c r="EZ44" s="432"/>
      <c r="FA44" s="432"/>
      <c r="FB44" s="432"/>
      <c r="FC44" s="432"/>
      <c r="FD44" s="432"/>
      <c r="FE44" s="432"/>
      <c r="FF44" s="432"/>
      <c r="FG44" s="432"/>
      <c r="FH44" s="432"/>
      <c r="FI44" s="432"/>
      <c r="FJ44" s="432"/>
      <c r="FK44" s="432"/>
      <c r="FL44" s="432"/>
      <c r="FM44" s="432"/>
      <c r="FN44" s="432"/>
      <c r="FO44" s="432"/>
      <c r="FP44" s="432"/>
      <c r="FQ44" s="432"/>
      <c r="FR44" s="432"/>
      <c r="FS44" s="432"/>
      <c r="FT44" s="432"/>
    </row>
    <row r="45" spans="1:176" ht="20.149999999999999" customHeight="1" x14ac:dyDescent="0.35">
      <c r="A45" s="432"/>
      <c r="B45" s="409" t="s">
        <v>457</v>
      </c>
      <c r="C45" s="410">
        <v>0</v>
      </c>
      <c r="I45" s="432"/>
      <c r="J45" s="432"/>
      <c r="K45" s="432"/>
      <c r="L45" s="432"/>
      <c r="M45" s="432"/>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2"/>
      <c r="AM45" s="432"/>
      <c r="AN45" s="432"/>
      <c r="AO45" s="432"/>
      <c r="AP45" s="432"/>
      <c r="AQ45" s="432"/>
      <c r="AR45" s="432"/>
      <c r="AS45" s="432"/>
      <c r="AT45" s="432"/>
      <c r="AU45" s="432"/>
      <c r="AV45" s="432"/>
      <c r="AW45" s="432"/>
      <c r="AX45" s="432"/>
      <c r="AY45" s="432"/>
      <c r="AZ45" s="432"/>
      <c r="BA45" s="432"/>
      <c r="BB45" s="432"/>
      <c r="BC45" s="432"/>
      <c r="BD45" s="432"/>
      <c r="BE45" s="432"/>
      <c r="BF45" s="432"/>
      <c r="BG45" s="432"/>
      <c r="BH45" s="432"/>
      <c r="BI45" s="432"/>
      <c r="BJ45" s="432"/>
      <c r="BK45" s="432"/>
      <c r="BL45" s="432"/>
      <c r="BM45" s="432"/>
      <c r="BN45" s="432"/>
      <c r="BO45" s="432"/>
      <c r="BP45" s="432"/>
      <c r="BQ45" s="432"/>
      <c r="BR45" s="432"/>
      <c r="BS45" s="432"/>
      <c r="BT45" s="432"/>
      <c r="BU45" s="432"/>
      <c r="BV45" s="432"/>
      <c r="BW45" s="432"/>
      <c r="BX45" s="432"/>
      <c r="BY45" s="432"/>
      <c r="BZ45" s="432"/>
      <c r="CA45" s="432"/>
      <c r="CB45" s="432"/>
      <c r="CC45" s="432"/>
      <c r="CD45" s="432"/>
      <c r="CE45" s="432"/>
      <c r="CF45" s="432"/>
      <c r="CG45" s="432"/>
      <c r="CH45" s="432"/>
      <c r="CI45" s="432"/>
      <c r="CJ45" s="432"/>
      <c r="CK45" s="432"/>
      <c r="CL45" s="432"/>
      <c r="CM45" s="432"/>
      <c r="CN45" s="432"/>
      <c r="CO45" s="432"/>
      <c r="CP45" s="432"/>
      <c r="CQ45" s="432"/>
      <c r="CR45" s="432"/>
      <c r="CS45" s="432"/>
      <c r="CT45" s="432"/>
      <c r="CU45" s="432"/>
      <c r="CV45" s="432"/>
      <c r="CW45" s="432"/>
      <c r="CX45" s="432"/>
      <c r="CY45" s="432"/>
      <c r="CZ45" s="432"/>
      <c r="DA45" s="432"/>
      <c r="DB45" s="432"/>
      <c r="DC45" s="432"/>
      <c r="DD45" s="432"/>
      <c r="DE45" s="432"/>
      <c r="DF45" s="432"/>
      <c r="DG45" s="432"/>
      <c r="DH45" s="432"/>
      <c r="DI45" s="432"/>
      <c r="DJ45" s="432"/>
      <c r="DK45" s="432"/>
      <c r="DL45" s="432"/>
      <c r="DM45" s="432"/>
      <c r="DN45" s="432"/>
      <c r="DO45" s="432"/>
      <c r="DP45" s="432"/>
      <c r="DQ45" s="432"/>
      <c r="DR45" s="432"/>
      <c r="DS45" s="432"/>
      <c r="DT45" s="432"/>
      <c r="DU45" s="432"/>
      <c r="DV45" s="432"/>
      <c r="DW45" s="432"/>
      <c r="DX45" s="432"/>
      <c r="DY45" s="432"/>
      <c r="DZ45" s="432"/>
      <c r="EA45" s="432"/>
      <c r="EB45" s="432"/>
      <c r="EC45" s="432"/>
      <c r="ED45" s="432"/>
      <c r="EE45" s="432"/>
      <c r="EF45" s="432"/>
      <c r="EG45" s="432"/>
      <c r="EH45" s="432"/>
      <c r="EI45" s="432"/>
      <c r="EJ45" s="432"/>
      <c r="EK45" s="432"/>
      <c r="EL45" s="432"/>
      <c r="EM45" s="432"/>
      <c r="EN45" s="432"/>
      <c r="EO45" s="432"/>
      <c r="EP45" s="432"/>
      <c r="EQ45" s="432"/>
      <c r="ER45" s="432"/>
      <c r="ES45" s="432"/>
      <c r="ET45" s="432"/>
      <c r="EU45" s="432"/>
      <c r="EV45" s="432"/>
      <c r="EW45" s="432"/>
      <c r="EX45" s="432"/>
      <c r="EY45" s="432"/>
      <c r="EZ45" s="432"/>
      <c r="FA45" s="432"/>
      <c r="FB45" s="432"/>
      <c r="FC45" s="432"/>
      <c r="FD45" s="432"/>
      <c r="FE45" s="432"/>
      <c r="FF45" s="432"/>
      <c r="FG45" s="432"/>
      <c r="FH45" s="432"/>
      <c r="FI45" s="432"/>
      <c r="FJ45" s="432"/>
      <c r="FK45" s="432"/>
      <c r="FL45" s="432"/>
      <c r="FM45" s="432"/>
      <c r="FN45" s="432"/>
      <c r="FO45" s="432"/>
      <c r="FP45" s="432"/>
      <c r="FQ45" s="432"/>
      <c r="FR45" s="432"/>
      <c r="FS45" s="432"/>
      <c r="FT45" s="432"/>
    </row>
    <row r="46" spans="1:176" ht="20.149999999999999" customHeight="1" x14ac:dyDescent="0.35">
      <c r="A46" s="432"/>
      <c r="B46" s="409" t="s">
        <v>197</v>
      </c>
      <c r="C46" s="410">
        <f>C104</f>
        <v>0</v>
      </c>
      <c r="I46" s="432"/>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c r="BV46" s="432"/>
      <c r="BW46" s="432"/>
      <c r="BX46" s="432"/>
      <c r="BY46" s="432"/>
      <c r="BZ46" s="432"/>
      <c r="CA46" s="432"/>
      <c r="CB46" s="432"/>
      <c r="CC46" s="432"/>
      <c r="CD46" s="432"/>
      <c r="CE46" s="432"/>
      <c r="CF46" s="432"/>
      <c r="CG46" s="432"/>
      <c r="CH46" s="432"/>
      <c r="CI46" s="432"/>
      <c r="CJ46" s="432"/>
      <c r="CK46" s="432"/>
      <c r="CL46" s="432"/>
      <c r="CM46" s="432"/>
      <c r="CN46" s="432"/>
      <c r="CO46" s="432"/>
      <c r="CP46" s="432"/>
      <c r="CQ46" s="432"/>
      <c r="CR46" s="432"/>
      <c r="CS46" s="432"/>
      <c r="CT46" s="432"/>
      <c r="CU46" s="432"/>
      <c r="CV46" s="432"/>
      <c r="CW46" s="432"/>
      <c r="CX46" s="432"/>
      <c r="CY46" s="432"/>
      <c r="CZ46" s="432"/>
      <c r="DA46" s="432"/>
      <c r="DB46" s="432"/>
      <c r="DC46" s="432"/>
      <c r="DD46" s="432"/>
      <c r="DE46" s="432"/>
      <c r="DF46" s="432"/>
      <c r="DG46" s="432"/>
      <c r="DH46" s="432"/>
      <c r="DI46" s="432"/>
      <c r="DJ46" s="432"/>
      <c r="DK46" s="432"/>
      <c r="DL46" s="432"/>
      <c r="DM46" s="432"/>
      <c r="DN46" s="432"/>
      <c r="DO46" s="432"/>
      <c r="DP46" s="432"/>
      <c r="DQ46" s="432"/>
      <c r="DR46" s="432"/>
      <c r="DS46" s="432"/>
      <c r="DT46" s="432"/>
      <c r="DU46" s="432"/>
      <c r="DV46" s="432"/>
      <c r="DW46" s="432"/>
      <c r="DX46" s="432"/>
      <c r="DY46" s="432"/>
      <c r="DZ46" s="432"/>
      <c r="EA46" s="432"/>
      <c r="EB46" s="432"/>
      <c r="EC46" s="432"/>
      <c r="ED46" s="432"/>
      <c r="EE46" s="432"/>
      <c r="EF46" s="432"/>
      <c r="EG46" s="432"/>
      <c r="EH46" s="432"/>
      <c r="EI46" s="432"/>
      <c r="EJ46" s="432"/>
      <c r="EK46" s="432"/>
      <c r="EL46" s="432"/>
      <c r="EM46" s="432"/>
      <c r="EN46" s="432"/>
      <c r="EO46" s="432"/>
      <c r="EP46" s="432"/>
      <c r="EQ46" s="432"/>
      <c r="ER46" s="432"/>
      <c r="ES46" s="432"/>
      <c r="ET46" s="432"/>
      <c r="EU46" s="432"/>
      <c r="EV46" s="432"/>
      <c r="EW46" s="432"/>
      <c r="EX46" s="432"/>
      <c r="EY46" s="432"/>
      <c r="EZ46" s="432"/>
      <c r="FA46" s="432"/>
      <c r="FB46" s="432"/>
      <c r="FC46" s="432"/>
      <c r="FD46" s="432"/>
      <c r="FE46" s="432"/>
      <c r="FF46" s="432"/>
      <c r="FG46" s="432"/>
      <c r="FH46" s="432"/>
      <c r="FI46" s="432"/>
      <c r="FJ46" s="432"/>
      <c r="FK46" s="432"/>
      <c r="FL46" s="432"/>
      <c r="FM46" s="432"/>
      <c r="FN46" s="432"/>
      <c r="FO46" s="432"/>
      <c r="FP46" s="432"/>
      <c r="FQ46" s="432"/>
      <c r="FR46" s="432"/>
      <c r="FS46" s="432"/>
      <c r="FT46" s="432"/>
    </row>
    <row r="47" spans="1:176" ht="20.149999999999999" customHeight="1" x14ac:dyDescent="0.35">
      <c r="A47" s="432"/>
      <c r="B47" s="409" t="s">
        <v>198</v>
      </c>
      <c r="C47" s="410">
        <f>SUM(C43:C46)</f>
        <v>-8.6939999999999991</v>
      </c>
      <c r="I47" s="432"/>
      <c r="J47" s="432"/>
      <c r="K47" s="432"/>
      <c r="L47" s="432"/>
      <c r="M47" s="432"/>
      <c r="N47" s="432"/>
      <c r="O47" s="432"/>
      <c r="P47" s="432"/>
      <c r="Q47" s="432"/>
      <c r="R47" s="432"/>
      <c r="S47" s="432"/>
      <c r="T47" s="432"/>
      <c r="U47" s="432"/>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c r="AS47" s="432"/>
      <c r="AT47" s="432"/>
      <c r="AU47" s="432"/>
      <c r="AV47" s="432"/>
      <c r="AW47" s="432"/>
      <c r="AX47" s="432"/>
      <c r="AY47" s="432"/>
      <c r="AZ47" s="432"/>
      <c r="BA47" s="432"/>
      <c r="BB47" s="432"/>
      <c r="BC47" s="432"/>
      <c r="BD47" s="432"/>
      <c r="BE47" s="432"/>
      <c r="BF47" s="432"/>
      <c r="BG47" s="432"/>
      <c r="BH47" s="432"/>
      <c r="BI47" s="432"/>
      <c r="BJ47" s="432"/>
      <c r="BK47" s="432"/>
      <c r="BL47" s="432"/>
      <c r="BM47" s="432"/>
      <c r="BN47" s="432"/>
      <c r="BO47" s="432"/>
      <c r="BP47" s="432"/>
      <c r="BQ47" s="432"/>
      <c r="BR47" s="432"/>
      <c r="BS47" s="432"/>
      <c r="BT47" s="432"/>
      <c r="BU47" s="432"/>
      <c r="BV47" s="432"/>
      <c r="BW47" s="432"/>
      <c r="BX47" s="432"/>
      <c r="BY47" s="432"/>
      <c r="BZ47" s="432"/>
      <c r="CA47" s="432"/>
      <c r="CB47" s="432"/>
      <c r="CC47" s="432"/>
      <c r="CD47" s="432"/>
      <c r="CE47" s="432"/>
      <c r="CF47" s="432"/>
      <c r="CG47" s="432"/>
      <c r="CH47" s="432"/>
      <c r="CI47" s="432"/>
      <c r="CJ47" s="432"/>
      <c r="CK47" s="432"/>
      <c r="CL47" s="432"/>
      <c r="CM47" s="432"/>
      <c r="CN47" s="432"/>
      <c r="CO47" s="432"/>
      <c r="CP47" s="432"/>
      <c r="CQ47" s="432"/>
      <c r="CR47" s="432"/>
      <c r="CS47" s="432"/>
      <c r="CT47" s="432"/>
      <c r="CU47" s="432"/>
      <c r="CV47" s="432"/>
      <c r="CW47" s="432"/>
      <c r="CX47" s="432"/>
      <c r="CY47" s="432"/>
      <c r="CZ47" s="432"/>
      <c r="DA47" s="432"/>
      <c r="DB47" s="432"/>
      <c r="DC47" s="432"/>
      <c r="DD47" s="432"/>
      <c r="DE47" s="432"/>
      <c r="DF47" s="432"/>
      <c r="DG47" s="432"/>
      <c r="DH47" s="432"/>
      <c r="DI47" s="432"/>
      <c r="DJ47" s="432"/>
      <c r="DK47" s="432"/>
      <c r="DL47" s="432"/>
      <c r="DM47" s="432"/>
      <c r="DN47" s="432"/>
      <c r="DO47" s="432"/>
      <c r="DP47" s="432"/>
      <c r="DQ47" s="432"/>
      <c r="DR47" s="432"/>
      <c r="DS47" s="432"/>
      <c r="DT47" s="432"/>
      <c r="DU47" s="432"/>
      <c r="DV47" s="432"/>
      <c r="DW47" s="432"/>
      <c r="DX47" s="432"/>
      <c r="DY47" s="432"/>
      <c r="DZ47" s="432"/>
      <c r="EA47" s="432"/>
      <c r="EB47" s="432"/>
      <c r="EC47" s="432"/>
      <c r="ED47" s="432"/>
      <c r="EE47" s="432"/>
      <c r="EF47" s="432"/>
      <c r="EG47" s="432"/>
      <c r="EH47" s="432"/>
      <c r="EI47" s="432"/>
      <c r="EJ47" s="432"/>
      <c r="EK47" s="432"/>
      <c r="EL47" s="432"/>
      <c r="EM47" s="432"/>
      <c r="EN47" s="432"/>
      <c r="EO47" s="432"/>
      <c r="EP47" s="432"/>
      <c r="EQ47" s="432"/>
      <c r="ER47" s="432"/>
      <c r="ES47" s="432"/>
      <c r="ET47" s="432"/>
      <c r="EU47" s="432"/>
      <c r="EV47" s="432"/>
      <c r="EW47" s="432"/>
      <c r="EX47" s="432"/>
      <c r="EY47" s="432"/>
      <c r="EZ47" s="432"/>
      <c r="FA47" s="432"/>
      <c r="FB47" s="432"/>
      <c r="FC47" s="432"/>
      <c r="FD47" s="432"/>
      <c r="FE47" s="432"/>
      <c r="FF47" s="432"/>
      <c r="FG47" s="432"/>
      <c r="FH47" s="432"/>
      <c r="FI47" s="432"/>
      <c r="FJ47" s="432"/>
      <c r="FK47" s="432"/>
      <c r="FL47" s="432"/>
      <c r="FM47" s="432"/>
      <c r="FN47" s="432"/>
      <c r="FO47" s="432"/>
      <c r="FP47" s="432"/>
      <c r="FQ47" s="432"/>
      <c r="FR47" s="432"/>
      <c r="FS47" s="432"/>
      <c r="FT47" s="432"/>
    </row>
    <row r="48" spans="1:176" ht="20.149999999999999" customHeight="1" x14ac:dyDescent="0.35">
      <c r="A48" s="432"/>
      <c r="B48" s="411" t="s">
        <v>944</v>
      </c>
      <c r="C48" s="412">
        <f>IF(C47&gt;0,C47*C38,0)</f>
        <v>0</v>
      </c>
      <c r="I48" s="432"/>
      <c r="J48" s="432"/>
      <c r="K48" s="432"/>
      <c r="L48" s="432"/>
      <c r="M48" s="432"/>
      <c r="N48" s="432"/>
      <c r="O48" s="432"/>
      <c r="P48" s="432"/>
      <c r="Q48" s="432"/>
      <c r="R48" s="432"/>
      <c r="S48" s="432"/>
      <c r="T48" s="432"/>
      <c r="U48" s="432"/>
      <c r="V48" s="432"/>
      <c r="W48" s="432"/>
      <c r="X48" s="432"/>
      <c r="Y48" s="432"/>
      <c r="Z48" s="432"/>
      <c r="AA48" s="432"/>
      <c r="AB48" s="432"/>
      <c r="AC48" s="432"/>
      <c r="AD48" s="432"/>
      <c r="AE48" s="432"/>
      <c r="AF48" s="432"/>
      <c r="AG48" s="432"/>
      <c r="AH48" s="432"/>
      <c r="AI48" s="432"/>
      <c r="AJ48" s="432"/>
      <c r="AK48" s="432"/>
      <c r="AL48" s="432"/>
      <c r="AM48" s="432"/>
      <c r="AN48" s="432"/>
      <c r="AO48" s="432"/>
      <c r="AP48" s="432"/>
      <c r="AQ48" s="432"/>
      <c r="AR48" s="432"/>
      <c r="AS48" s="432"/>
      <c r="AT48" s="432"/>
      <c r="AU48" s="432"/>
      <c r="AV48" s="432"/>
      <c r="AW48" s="432"/>
      <c r="AX48" s="432"/>
      <c r="AY48" s="432"/>
      <c r="AZ48" s="432"/>
      <c r="BA48" s="432"/>
      <c r="BB48" s="432"/>
      <c r="BC48" s="432"/>
      <c r="BD48" s="432"/>
      <c r="BE48" s="432"/>
      <c r="BF48" s="432"/>
      <c r="BG48" s="432"/>
      <c r="BH48" s="432"/>
      <c r="BI48" s="432"/>
      <c r="BJ48" s="432"/>
      <c r="BK48" s="432"/>
      <c r="BL48" s="432"/>
      <c r="BM48" s="432"/>
      <c r="BN48" s="432"/>
      <c r="BO48" s="432"/>
      <c r="BP48" s="432"/>
      <c r="BQ48" s="432"/>
      <c r="BR48" s="432"/>
      <c r="BS48" s="432"/>
      <c r="BT48" s="432"/>
      <c r="BU48" s="432"/>
      <c r="BV48" s="432"/>
      <c r="BW48" s="432"/>
      <c r="BX48" s="432"/>
      <c r="BY48" s="432"/>
      <c r="BZ48" s="432"/>
      <c r="CA48" s="432"/>
      <c r="CB48" s="432"/>
      <c r="CC48" s="432"/>
      <c r="CD48" s="432"/>
      <c r="CE48" s="432"/>
      <c r="CF48" s="432"/>
      <c r="CG48" s="432"/>
      <c r="CH48" s="432"/>
      <c r="CI48" s="432"/>
      <c r="CJ48" s="432"/>
      <c r="CK48" s="432"/>
      <c r="CL48" s="432"/>
      <c r="CM48" s="432"/>
      <c r="CN48" s="432"/>
      <c r="CO48" s="432"/>
      <c r="CP48" s="432"/>
      <c r="CQ48" s="432"/>
      <c r="CR48" s="432"/>
      <c r="CS48" s="432"/>
      <c r="CT48" s="432"/>
      <c r="CU48" s="432"/>
      <c r="CV48" s="432"/>
      <c r="CW48" s="432"/>
      <c r="CX48" s="432"/>
      <c r="CY48" s="432"/>
      <c r="CZ48" s="432"/>
      <c r="DA48" s="432"/>
      <c r="DB48" s="432"/>
      <c r="DC48" s="432"/>
      <c r="DD48" s="432"/>
      <c r="DE48" s="432"/>
      <c r="DF48" s="432"/>
      <c r="DG48" s="432"/>
      <c r="DH48" s="432"/>
      <c r="DI48" s="432"/>
      <c r="DJ48" s="432"/>
      <c r="DK48" s="432"/>
      <c r="DL48" s="432"/>
      <c r="DM48" s="432"/>
      <c r="DN48" s="432"/>
      <c r="DO48" s="432"/>
      <c r="DP48" s="432"/>
      <c r="DQ48" s="432"/>
      <c r="DR48" s="432"/>
      <c r="DS48" s="432"/>
      <c r="DT48" s="432"/>
      <c r="DU48" s="432"/>
      <c r="DV48" s="432"/>
      <c r="DW48" s="432"/>
      <c r="DX48" s="432"/>
      <c r="DY48" s="432"/>
      <c r="DZ48" s="432"/>
      <c r="EA48" s="432"/>
      <c r="EB48" s="432"/>
      <c r="EC48" s="432"/>
      <c r="ED48" s="432"/>
      <c r="EE48" s="432"/>
      <c r="EF48" s="432"/>
      <c r="EG48" s="432"/>
      <c r="EH48" s="432"/>
      <c r="EI48" s="432"/>
      <c r="EJ48" s="432"/>
      <c r="EK48" s="432"/>
      <c r="EL48" s="432"/>
      <c r="EM48" s="432"/>
      <c r="EN48" s="432"/>
      <c r="EO48" s="432"/>
      <c r="EP48" s="432"/>
      <c r="EQ48" s="432"/>
      <c r="ER48" s="432"/>
      <c r="ES48" s="432"/>
      <c r="ET48" s="432"/>
      <c r="EU48" s="432"/>
      <c r="EV48" s="432"/>
      <c r="EW48" s="432"/>
      <c r="EX48" s="432"/>
      <c r="EY48" s="432"/>
      <c r="EZ48" s="432"/>
      <c r="FA48" s="432"/>
      <c r="FB48" s="432"/>
      <c r="FC48" s="432"/>
      <c r="FD48" s="432"/>
      <c r="FE48" s="432"/>
      <c r="FF48" s="432"/>
      <c r="FG48" s="432"/>
      <c r="FH48" s="432"/>
      <c r="FI48" s="432"/>
      <c r="FJ48" s="432"/>
      <c r="FK48" s="432"/>
      <c r="FL48" s="432"/>
      <c r="FM48" s="432"/>
      <c r="FN48" s="432"/>
      <c r="FO48" s="432"/>
      <c r="FP48" s="432"/>
      <c r="FQ48" s="432"/>
      <c r="FR48" s="432"/>
      <c r="FS48" s="432"/>
      <c r="FT48" s="432"/>
    </row>
    <row r="49" spans="1:176" ht="20.149999999999999" customHeight="1" x14ac:dyDescent="0.35">
      <c r="A49" s="432"/>
      <c r="B49" s="411" t="s">
        <v>945</v>
      </c>
      <c r="C49" s="412">
        <f>(C24-C22)*C16*C14</f>
        <v>0</v>
      </c>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c r="CU49" s="432"/>
      <c r="CV49" s="432"/>
      <c r="CW49" s="432"/>
      <c r="CX49" s="432"/>
      <c r="CY49" s="432"/>
      <c r="CZ49" s="432"/>
      <c r="DA49" s="432"/>
      <c r="DB49" s="432"/>
      <c r="DC49" s="432"/>
      <c r="DD49" s="432"/>
      <c r="DE49" s="432"/>
      <c r="DF49" s="432"/>
      <c r="DG49" s="432"/>
      <c r="DH49" s="432"/>
      <c r="DI49" s="432"/>
      <c r="DJ49" s="432"/>
      <c r="DK49" s="432"/>
      <c r="DL49" s="432"/>
      <c r="DM49" s="432"/>
      <c r="DN49" s="432"/>
      <c r="DO49" s="432"/>
      <c r="DP49" s="432"/>
      <c r="DQ49" s="432"/>
      <c r="DR49" s="432"/>
      <c r="DS49" s="432"/>
      <c r="DT49" s="432"/>
      <c r="DU49" s="432"/>
      <c r="DV49" s="432"/>
      <c r="DW49" s="432"/>
      <c r="DX49" s="432"/>
      <c r="DY49" s="432"/>
      <c r="DZ49" s="432"/>
      <c r="EA49" s="432"/>
      <c r="EB49" s="432"/>
      <c r="EC49" s="432"/>
      <c r="ED49" s="432"/>
      <c r="EE49" s="432"/>
      <c r="EF49" s="432"/>
      <c r="EG49" s="432"/>
      <c r="EH49" s="432"/>
      <c r="EI49" s="432"/>
      <c r="EJ49" s="432"/>
      <c r="EK49" s="432"/>
      <c r="EL49" s="432"/>
      <c r="EM49" s="432"/>
      <c r="EN49" s="432"/>
      <c r="EO49" s="432"/>
      <c r="EP49" s="432"/>
      <c r="EQ49" s="432"/>
      <c r="ER49" s="432"/>
      <c r="ES49" s="432"/>
      <c r="ET49" s="432"/>
      <c r="EU49" s="432"/>
      <c r="EV49" s="432"/>
      <c r="EW49" s="432"/>
      <c r="EX49" s="432"/>
      <c r="EY49" s="432"/>
      <c r="EZ49" s="432"/>
      <c r="FA49" s="432"/>
      <c r="FB49" s="432"/>
      <c r="FC49" s="432"/>
      <c r="FD49" s="432"/>
      <c r="FE49" s="432"/>
      <c r="FF49" s="432"/>
      <c r="FG49" s="432"/>
      <c r="FH49" s="432"/>
      <c r="FI49" s="432"/>
      <c r="FJ49" s="432"/>
      <c r="FK49" s="432"/>
      <c r="FL49" s="432"/>
      <c r="FM49" s="432"/>
      <c r="FN49" s="432"/>
      <c r="FO49" s="432"/>
      <c r="FP49" s="432"/>
      <c r="FQ49" s="432"/>
      <c r="FR49" s="432"/>
      <c r="FS49" s="432"/>
      <c r="FT49" s="432"/>
    </row>
    <row r="50" spans="1:176" ht="20.149999999999999" customHeight="1" x14ac:dyDescent="0.35">
      <c r="A50" s="432"/>
      <c r="B50" s="411" t="s">
        <v>18</v>
      </c>
      <c r="C50" s="413">
        <f>IF(C48&gt;1,C48-C49,C49*-1)</f>
        <v>0</v>
      </c>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c r="CU50" s="432"/>
      <c r="CV50" s="432"/>
      <c r="CW50" s="432"/>
      <c r="CX50" s="432"/>
      <c r="CY50" s="432"/>
      <c r="CZ50" s="432"/>
      <c r="DA50" s="432"/>
      <c r="DB50" s="432"/>
      <c r="DC50" s="432"/>
      <c r="DD50" s="432"/>
      <c r="DE50" s="432"/>
      <c r="DF50" s="432"/>
      <c r="DG50" s="432"/>
      <c r="DH50" s="432"/>
      <c r="DI50" s="432"/>
      <c r="DJ50" s="432"/>
      <c r="DK50" s="432"/>
      <c r="DL50" s="432"/>
      <c r="DM50" s="432"/>
      <c r="DN50" s="432"/>
      <c r="DO50" s="432"/>
      <c r="DP50" s="432"/>
      <c r="DQ50" s="432"/>
      <c r="DR50" s="432"/>
      <c r="DS50" s="432"/>
      <c r="DT50" s="432"/>
      <c r="DU50" s="432"/>
      <c r="DV50" s="432"/>
      <c r="DW50" s="432"/>
      <c r="DX50" s="432"/>
      <c r="DY50" s="432"/>
      <c r="DZ50" s="432"/>
      <c r="EA50" s="432"/>
      <c r="EB50" s="432"/>
      <c r="EC50" s="432"/>
      <c r="ED50" s="432"/>
      <c r="EE50" s="432"/>
      <c r="EF50" s="432"/>
      <c r="EG50" s="432"/>
      <c r="EH50" s="432"/>
      <c r="EI50" s="432"/>
      <c r="EJ50" s="432"/>
      <c r="EK50" s="432"/>
      <c r="EL50" s="432"/>
      <c r="EM50" s="432"/>
      <c r="EN50" s="432"/>
      <c r="EO50" s="432"/>
      <c r="EP50" s="432"/>
      <c r="EQ50" s="432"/>
      <c r="ER50" s="432"/>
      <c r="ES50" s="432"/>
      <c r="ET50" s="432"/>
      <c r="EU50" s="432"/>
      <c r="EV50" s="432"/>
      <c r="EW50" s="432"/>
      <c r="EX50" s="432"/>
      <c r="EY50" s="432"/>
      <c r="EZ50" s="432"/>
      <c r="FA50" s="432"/>
      <c r="FB50" s="432"/>
      <c r="FC50" s="432"/>
      <c r="FD50" s="432"/>
      <c r="FE50" s="432"/>
      <c r="FF50" s="432"/>
      <c r="FG50" s="432"/>
      <c r="FH50" s="432"/>
      <c r="FI50" s="432"/>
      <c r="FJ50" s="432"/>
      <c r="FK50" s="432"/>
      <c r="FL50" s="432"/>
      <c r="FM50" s="432"/>
      <c r="FN50" s="432"/>
      <c r="FO50" s="432"/>
      <c r="FP50" s="432"/>
      <c r="FQ50" s="432"/>
      <c r="FR50" s="432"/>
      <c r="FS50" s="432"/>
      <c r="FT50" s="432"/>
    </row>
    <row r="51" spans="1:176" ht="20.149999999999999" customHeight="1" x14ac:dyDescent="0.35">
      <c r="A51" s="432"/>
      <c r="B51" s="411" t="s">
        <v>88</v>
      </c>
      <c r="C51" s="412">
        <f>C36*C41</f>
        <v>18537.7752</v>
      </c>
      <c r="I51" s="432"/>
      <c r="J51" s="432"/>
      <c r="K51" s="432"/>
      <c r="L51" s="432"/>
      <c r="M51" s="432"/>
      <c r="N51" s="432"/>
      <c r="O51" s="432"/>
      <c r="P51" s="432"/>
      <c r="Q51" s="432"/>
      <c r="R51" s="432"/>
      <c r="S51" s="432"/>
      <c r="T51" s="432"/>
      <c r="U51" s="432"/>
      <c r="V51" s="432"/>
      <c r="W51" s="432"/>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A51" s="432"/>
      <c r="BB51" s="432"/>
      <c r="BC51" s="432"/>
      <c r="BD51" s="432"/>
      <c r="BE51" s="432"/>
      <c r="BF51" s="432"/>
      <c r="BG51" s="432"/>
      <c r="BH51" s="432"/>
      <c r="BI51" s="432"/>
      <c r="BJ51" s="432"/>
      <c r="BK51" s="432"/>
      <c r="BL51" s="432"/>
      <c r="BM51" s="432"/>
      <c r="BN51" s="432"/>
      <c r="BO51" s="432"/>
      <c r="BP51" s="432"/>
      <c r="BQ51" s="432"/>
      <c r="BR51" s="432"/>
      <c r="BS51" s="432"/>
      <c r="BT51" s="432"/>
      <c r="BU51" s="432"/>
      <c r="BV51" s="432"/>
      <c r="BW51" s="432"/>
      <c r="BX51" s="432"/>
      <c r="BY51" s="432"/>
      <c r="BZ51" s="432"/>
      <c r="CA51" s="432"/>
      <c r="CB51" s="432"/>
      <c r="CC51" s="432"/>
      <c r="CD51" s="432"/>
      <c r="CE51" s="432"/>
      <c r="CF51" s="432"/>
      <c r="CG51" s="432"/>
      <c r="CH51" s="432"/>
      <c r="CI51" s="432"/>
      <c r="CJ51" s="432"/>
      <c r="CK51" s="432"/>
      <c r="CL51" s="432"/>
      <c r="CM51" s="432"/>
      <c r="CN51" s="432"/>
      <c r="CO51" s="432"/>
      <c r="CP51" s="432"/>
      <c r="CQ51" s="432"/>
      <c r="CR51" s="432"/>
      <c r="CS51" s="432"/>
      <c r="CT51" s="432"/>
      <c r="CU51" s="432"/>
      <c r="CV51" s="432"/>
      <c r="CW51" s="432"/>
      <c r="CX51" s="432"/>
      <c r="CY51" s="432"/>
      <c r="CZ51" s="432"/>
      <c r="DA51" s="432"/>
      <c r="DB51" s="432"/>
      <c r="DC51" s="432"/>
      <c r="DD51" s="432"/>
      <c r="DE51" s="432"/>
      <c r="DF51" s="432"/>
      <c r="DG51" s="432"/>
      <c r="DH51" s="432"/>
      <c r="DI51" s="432"/>
      <c r="DJ51" s="432"/>
      <c r="DK51" s="432"/>
      <c r="DL51" s="432"/>
      <c r="DM51" s="432"/>
      <c r="DN51" s="432"/>
      <c r="DO51" s="432"/>
      <c r="DP51" s="432"/>
      <c r="DQ51" s="432"/>
      <c r="DR51" s="432"/>
      <c r="DS51" s="432"/>
      <c r="DT51" s="432"/>
      <c r="DU51" s="432"/>
      <c r="DV51" s="432"/>
      <c r="DW51" s="432"/>
      <c r="DX51" s="432"/>
      <c r="DY51" s="432"/>
      <c r="DZ51" s="432"/>
      <c r="EA51" s="432"/>
      <c r="EB51" s="432"/>
      <c r="EC51" s="432"/>
      <c r="ED51" s="432"/>
      <c r="EE51" s="432"/>
      <c r="EF51" s="432"/>
      <c r="EG51" s="432"/>
      <c r="EH51" s="432"/>
      <c r="EI51" s="432"/>
      <c r="EJ51" s="432"/>
      <c r="EK51" s="432"/>
      <c r="EL51" s="432"/>
      <c r="EM51" s="432"/>
      <c r="EN51" s="432"/>
      <c r="EO51" s="432"/>
      <c r="EP51" s="432"/>
      <c r="EQ51" s="432"/>
      <c r="ER51" s="432"/>
      <c r="ES51" s="432"/>
      <c r="ET51" s="432"/>
      <c r="EU51" s="432"/>
      <c r="EV51" s="432"/>
      <c r="EW51" s="432"/>
      <c r="EX51" s="432"/>
      <c r="EY51" s="432"/>
      <c r="EZ51" s="432"/>
      <c r="FA51" s="432"/>
      <c r="FB51" s="432"/>
      <c r="FC51" s="432"/>
      <c r="FD51" s="432"/>
      <c r="FE51" s="432"/>
      <c r="FF51" s="432"/>
      <c r="FG51" s="432"/>
      <c r="FH51" s="432"/>
      <c r="FI51" s="432"/>
      <c r="FJ51" s="432"/>
      <c r="FK51" s="432"/>
      <c r="FL51" s="432"/>
      <c r="FM51" s="432"/>
      <c r="FN51" s="432"/>
      <c r="FO51" s="432"/>
      <c r="FP51" s="432"/>
      <c r="FQ51" s="432"/>
      <c r="FR51" s="432"/>
      <c r="FS51" s="432"/>
      <c r="FT51" s="432"/>
    </row>
    <row r="52" spans="1:176" ht="20.149999999999999" customHeight="1" x14ac:dyDescent="0.35">
      <c r="A52" s="432"/>
      <c r="B52" s="411" t="s">
        <v>17</v>
      </c>
      <c r="C52" s="412">
        <f>IF(C48&gt;1,C48-C49+C51,C51-C49)</f>
        <v>18537.7752</v>
      </c>
      <c r="I52" s="432"/>
      <c r="J52" s="432"/>
      <c r="K52" s="432"/>
      <c r="L52" s="432"/>
      <c r="M52" s="432"/>
      <c r="N52" s="432"/>
      <c r="O52" s="432"/>
      <c r="P52" s="432"/>
      <c r="Q52" s="432"/>
      <c r="R52" s="432"/>
      <c r="S52" s="432"/>
      <c r="T52" s="432"/>
      <c r="U52" s="432"/>
      <c r="V52" s="432"/>
      <c r="W52" s="432"/>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c r="BV52" s="432"/>
      <c r="BW52" s="432"/>
      <c r="BX52" s="432"/>
      <c r="BY52" s="432"/>
      <c r="BZ52" s="432"/>
      <c r="CA52" s="432"/>
      <c r="CB52" s="432"/>
      <c r="CC52" s="432"/>
      <c r="CD52" s="432"/>
      <c r="CE52" s="432"/>
      <c r="CF52" s="432"/>
      <c r="CG52" s="432"/>
      <c r="CH52" s="432"/>
      <c r="CI52" s="432"/>
      <c r="CJ52" s="432"/>
      <c r="CK52" s="432"/>
      <c r="CL52" s="432"/>
      <c r="CM52" s="432"/>
      <c r="CN52" s="432"/>
      <c r="CO52" s="432"/>
      <c r="CP52" s="432"/>
      <c r="CQ52" s="432"/>
      <c r="CR52" s="432"/>
      <c r="CS52" s="432"/>
      <c r="CT52" s="432"/>
      <c r="CU52" s="432"/>
      <c r="CV52" s="432"/>
      <c r="CW52" s="432"/>
      <c r="CX52" s="432"/>
      <c r="CY52" s="432"/>
      <c r="CZ52" s="432"/>
      <c r="DA52" s="432"/>
      <c r="DB52" s="432"/>
      <c r="DC52" s="432"/>
      <c r="DD52" s="432"/>
      <c r="DE52" s="432"/>
      <c r="DF52" s="432"/>
      <c r="DG52" s="432"/>
      <c r="DH52" s="432"/>
      <c r="DI52" s="432"/>
      <c r="DJ52" s="432"/>
      <c r="DK52" s="432"/>
      <c r="DL52" s="432"/>
      <c r="DM52" s="432"/>
      <c r="DN52" s="432"/>
      <c r="DO52" s="432"/>
      <c r="DP52" s="432"/>
      <c r="DQ52" s="432"/>
      <c r="DR52" s="432"/>
      <c r="DS52" s="432"/>
      <c r="DT52" s="432"/>
      <c r="DU52" s="432"/>
      <c r="DV52" s="432"/>
      <c r="DW52" s="432"/>
      <c r="DX52" s="432"/>
      <c r="DY52" s="432"/>
      <c r="DZ52" s="432"/>
      <c r="EA52" s="432"/>
      <c r="EB52" s="432"/>
      <c r="EC52" s="432"/>
      <c r="ED52" s="432"/>
      <c r="EE52" s="432"/>
      <c r="EF52" s="432"/>
      <c r="EG52" s="432"/>
      <c r="EH52" s="432"/>
      <c r="EI52" s="432"/>
      <c r="EJ52" s="432"/>
      <c r="EK52" s="432"/>
      <c r="EL52" s="432"/>
      <c r="EM52" s="432"/>
      <c r="EN52" s="432"/>
      <c r="EO52" s="432"/>
      <c r="EP52" s="432"/>
      <c r="EQ52" s="432"/>
      <c r="ER52" s="432"/>
      <c r="ES52" s="432"/>
      <c r="ET52" s="432"/>
      <c r="EU52" s="432"/>
      <c r="EV52" s="432"/>
      <c r="EW52" s="432"/>
      <c r="EX52" s="432"/>
      <c r="EY52" s="432"/>
      <c r="EZ52" s="432"/>
      <c r="FA52" s="432"/>
      <c r="FB52" s="432"/>
      <c r="FC52" s="432"/>
      <c r="FD52" s="432"/>
      <c r="FE52" s="432"/>
      <c r="FF52" s="432"/>
      <c r="FG52" s="432"/>
      <c r="FH52" s="432"/>
      <c r="FI52" s="432"/>
      <c r="FJ52" s="432"/>
      <c r="FK52" s="432"/>
      <c r="FL52" s="432"/>
      <c r="FM52" s="432"/>
      <c r="FN52" s="432"/>
      <c r="FO52" s="432"/>
      <c r="FP52" s="432"/>
      <c r="FQ52" s="432"/>
      <c r="FR52" s="432"/>
      <c r="FS52" s="432"/>
      <c r="FT52" s="432"/>
    </row>
    <row r="53" spans="1:176" ht="20.149999999999999" customHeight="1" x14ac:dyDescent="0.35">
      <c r="A53" s="432"/>
      <c r="B53" s="1703" t="s">
        <v>950</v>
      </c>
      <c r="C53" s="1704" t="e">
        <f>C94</f>
        <v>#DIV/0!</v>
      </c>
      <c r="I53" s="432"/>
      <c r="J53" s="432"/>
      <c r="K53" s="432"/>
      <c r="L53" s="432"/>
      <c r="M53" s="432"/>
      <c r="N53" s="432"/>
      <c r="O53" s="432"/>
      <c r="P53" s="432"/>
      <c r="Q53" s="432"/>
      <c r="R53" s="432"/>
      <c r="S53" s="432"/>
      <c r="T53" s="432"/>
      <c r="U53" s="432"/>
      <c r="V53" s="432"/>
      <c r="W53" s="432"/>
      <c r="X53" s="432"/>
      <c r="Y53" s="432"/>
      <c r="Z53" s="432"/>
      <c r="AA53" s="432"/>
      <c r="AB53" s="432"/>
      <c r="AC53" s="432"/>
      <c r="AD53" s="432"/>
      <c r="AE53" s="432"/>
      <c r="AF53" s="432"/>
      <c r="AG53" s="432"/>
      <c r="AH53" s="432"/>
      <c r="AI53" s="432"/>
      <c r="AJ53" s="432"/>
      <c r="AK53" s="432"/>
      <c r="AL53" s="432"/>
      <c r="AM53" s="432"/>
      <c r="AN53" s="432"/>
      <c r="AO53" s="432"/>
      <c r="AP53" s="432"/>
      <c r="AQ53" s="432"/>
      <c r="AR53" s="432"/>
      <c r="AS53" s="432"/>
      <c r="AT53" s="432"/>
      <c r="AU53" s="432"/>
      <c r="AV53" s="432"/>
      <c r="AW53" s="432"/>
      <c r="AX53" s="432"/>
      <c r="AY53" s="432"/>
      <c r="AZ53" s="432"/>
      <c r="BA53" s="432"/>
      <c r="BB53" s="432"/>
      <c r="BC53" s="432"/>
      <c r="BD53" s="432"/>
      <c r="BE53" s="432"/>
      <c r="BF53" s="432"/>
      <c r="BG53" s="432"/>
      <c r="BH53" s="432"/>
      <c r="BI53" s="432"/>
      <c r="BJ53" s="432"/>
      <c r="BK53" s="432"/>
      <c r="BL53" s="432"/>
      <c r="BM53" s="432"/>
      <c r="BN53" s="432"/>
      <c r="BO53" s="432"/>
      <c r="BP53" s="432"/>
      <c r="BQ53" s="432"/>
      <c r="BR53" s="432"/>
      <c r="BS53" s="432"/>
      <c r="BT53" s="432"/>
      <c r="BU53" s="432"/>
      <c r="BV53" s="432"/>
      <c r="BW53" s="432"/>
      <c r="BX53" s="432"/>
      <c r="BY53" s="432"/>
      <c r="BZ53" s="432"/>
      <c r="CA53" s="432"/>
      <c r="CB53" s="432"/>
      <c r="CC53" s="432"/>
      <c r="CD53" s="432"/>
      <c r="CE53" s="432"/>
      <c r="CF53" s="432"/>
      <c r="CG53" s="432"/>
      <c r="CH53" s="432"/>
      <c r="CI53" s="432"/>
      <c r="CJ53" s="432"/>
      <c r="CK53" s="432"/>
      <c r="CL53" s="432"/>
      <c r="CM53" s="432"/>
      <c r="CN53" s="432"/>
      <c r="CO53" s="432"/>
      <c r="CP53" s="432"/>
      <c r="CQ53" s="432"/>
      <c r="CR53" s="432"/>
      <c r="CS53" s="432"/>
      <c r="CT53" s="432"/>
      <c r="CU53" s="432"/>
      <c r="CV53" s="432"/>
      <c r="CW53" s="432"/>
      <c r="CX53" s="432"/>
      <c r="CY53" s="432"/>
      <c r="CZ53" s="432"/>
      <c r="DA53" s="432"/>
      <c r="DB53" s="432"/>
      <c r="DC53" s="432"/>
      <c r="DD53" s="432"/>
      <c r="DE53" s="432"/>
      <c r="DF53" s="432"/>
      <c r="DG53" s="432"/>
      <c r="DH53" s="432"/>
      <c r="DI53" s="432"/>
      <c r="DJ53" s="432"/>
      <c r="DK53" s="432"/>
      <c r="DL53" s="432"/>
      <c r="DM53" s="432"/>
      <c r="DN53" s="432"/>
      <c r="DO53" s="432"/>
      <c r="DP53" s="432"/>
      <c r="DQ53" s="432"/>
      <c r="DR53" s="432"/>
      <c r="DS53" s="432"/>
      <c r="DT53" s="432"/>
      <c r="DU53" s="432"/>
      <c r="DV53" s="432"/>
      <c r="DW53" s="432"/>
      <c r="DX53" s="432"/>
      <c r="DY53" s="432"/>
      <c r="DZ53" s="432"/>
      <c r="EA53" s="432"/>
      <c r="EB53" s="432"/>
      <c r="EC53" s="432"/>
      <c r="ED53" s="432"/>
      <c r="EE53" s="432"/>
      <c r="EF53" s="432"/>
      <c r="EG53" s="432"/>
      <c r="EH53" s="432"/>
      <c r="EI53" s="432"/>
      <c r="EJ53" s="432"/>
      <c r="EK53" s="432"/>
      <c r="EL53" s="432"/>
      <c r="EM53" s="432"/>
      <c r="EN53" s="432"/>
      <c r="EO53" s="432"/>
      <c r="EP53" s="432"/>
      <c r="EQ53" s="432"/>
      <c r="ER53" s="432"/>
      <c r="ES53" s="432"/>
      <c r="ET53" s="432"/>
      <c r="EU53" s="432"/>
      <c r="EV53" s="432"/>
      <c r="EW53" s="432"/>
      <c r="EX53" s="432"/>
      <c r="EY53" s="432"/>
      <c r="EZ53" s="432"/>
      <c r="FA53" s="432"/>
      <c r="FB53" s="432"/>
      <c r="FC53" s="432"/>
      <c r="FD53" s="432"/>
      <c r="FE53" s="432"/>
      <c r="FF53" s="432"/>
      <c r="FG53" s="432"/>
      <c r="FH53" s="432"/>
      <c r="FI53" s="432"/>
      <c r="FJ53" s="432"/>
      <c r="FK53" s="432"/>
      <c r="FL53" s="432"/>
      <c r="FM53" s="432"/>
      <c r="FN53" s="432"/>
      <c r="FO53" s="432"/>
      <c r="FP53" s="432"/>
      <c r="FQ53" s="432"/>
      <c r="FR53" s="432"/>
      <c r="FS53" s="432"/>
      <c r="FT53" s="432"/>
    </row>
    <row r="54" spans="1:176" x14ac:dyDescent="0.35">
      <c r="A54" s="432"/>
      <c r="B54" s="138"/>
      <c r="C54" s="139"/>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432"/>
      <c r="AF54" s="432"/>
      <c r="AG54" s="432"/>
      <c r="AH54" s="432"/>
      <c r="AI54" s="432"/>
      <c r="AJ54" s="432"/>
      <c r="AK54" s="432"/>
      <c r="AL54" s="432"/>
      <c r="AM54" s="432"/>
      <c r="AN54" s="432"/>
      <c r="AO54" s="432"/>
      <c r="AP54" s="432"/>
      <c r="AQ54" s="432"/>
      <c r="AR54" s="432"/>
      <c r="AS54" s="432"/>
      <c r="AT54" s="432"/>
      <c r="AU54" s="432"/>
      <c r="AV54" s="432"/>
      <c r="AW54" s="432"/>
      <c r="AX54" s="432"/>
      <c r="AY54" s="432"/>
      <c r="AZ54" s="432"/>
      <c r="BA54" s="432"/>
      <c r="BB54" s="432"/>
      <c r="BC54" s="432"/>
      <c r="BD54" s="432"/>
      <c r="BE54" s="432"/>
      <c r="BF54" s="432"/>
      <c r="BG54" s="432"/>
      <c r="BH54" s="432"/>
      <c r="BI54" s="432"/>
      <c r="BJ54" s="432"/>
      <c r="BK54" s="432"/>
      <c r="BL54" s="432"/>
      <c r="BM54" s="432"/>
      <c r="BN54" s="432"/>
      <c r="BO54" s="432"/>
      <c r="BP54" s="432"/>
      <c r="BQ54" s="432"/>
      <c r="BR54" s="432"/>
      <c r="BS54" s="432"/>
      <c r="BT54" s="432"/>
      <c r="BU54" s="432"/>
      <c r="BV54" s="432"/>
      <c r="BW54" s="432"/>
      <c r="BX54" s="432"/>
      <c r="BY54" s="432"/>
      <c r="BZ54" s="432"/>
      <c r="CA54" s="432"/>
      <c r="CB54" s="432"/>
      <c r="CC54" s="432"/>
      <c r="CD54" s="432"/>
      <c r="CE54" s="432"/>
      <c r="CF54" s="432"/>
      <c r="CG54" s="432"/>
      <c r="CH54" s="432"/>
      <c r="CI54" s="432"/>
      <c r="CJ54" s="432"/>
      <c r="CK54" s="432"/>
      <c r="CL54" s="432"/>
      <c r="CM54" s="432"/>
      <c r="CN54" s="432"/>
      <c r="CO54" s="432"/>
      <c r="CP54" s="432"/>
      <c r="CQ54" s="432"/>
      <c r="CR54" s="432"/>
      <c r="CS54" s="432"/>
      <c r="CT54" s="432"/>
      <c r="CU54" s="432"/>
      <c r="CV54" s="432"/>
      <c r="CW54" s="432"/>
      <c r="CX54" s="432"/>
      <c r="CY54" s="432"/>
      <c r="CZ54" s="432"/>
      <c r="DA54" s="432"/>
      <c r="DB54" s="432"/>
      <c r="DC54" s="432"/>
      <c r="DD54" s="432"/>
      <c r="DE54" s="432"/>
      <c r="DF54" s="432"/>
      <c r="DG54" s="432"/>
      <c r="DH54" s="432"/>
      <c r="DI54" s="432"/>
      <c r="DJ54" s="432"/>
      <c r="DK54" s="432"/>
      <c r="DL54" s="432"/>
      <c r="DM54" s="432"/>
      <c r="DN54" s="432"/>
      <c r="DO54" s="432"/>
      <c r="DP54" s="432"/>
      <c r="DQ54" s="432"/>
      <c r="DR54" s="432"/>
      <c r="DS54" s="432"/>
      <c r="DT54" s="432"/>
      <c r="DU54" s="432"/>
      <c r="DV54" s="432"/>
      <c r="DW54" s="432"/>
      <c r="DX54" s="432"/>
      <c r="DY54" s="432"/>
      <c r="DZ54" s="432"/>
      <c r="EA54" s="432"/>
      <c r="EB54" s="432"/>
      <c r="EC54" s="432"/>
      <c r="ED54" s="432"/>
      <c r="EE54" s="432"/>
      <c r="EF54" s="432"/>
      <c r="EG54" s="432"/>
      <c r="EH54" s="432"/>
      <c r="EI54" s="432"/>
      <c r="EJ54" s="432"/>
      <c r="EK54" s="432"/>
      <c r="EL54" s="432"/>
      <c r="EM54" s="432"/>
      <c r="EN54" s="432"/>
      <c r="EO54" s="432"/>
      <c r="EP54" s="432"/>
      <c r="EQ54" s="432"/>
      <c r="ER54" s="432"/>
      <c r="ES54" s="432"/>
      <c r="ET54" s="432"/>
      <c r="EU54" s="432"/>
      <c r="EV54" s="432"/>
      <c r="EW54" s="432"/>
      <c r="EX54" s="432"/>
      <c r="EY54" s="432"/>
      <c r="EZ54" s="432"/>
      <c r="FA54" s="432"/>
      <c r="FB54" s="432"/>
      <c r="FC54" s="432"/>
      <c r="FD54" s="432"/>
      <c r="FE54" s="432"/>
      <c r="FF54" s="432"/>
      <c r="FG54" s="432"/>
      <c r="FH54" s="432"/>
      <c r="FI54" s="432"/>
      <c r="FJ54" s="432"/>
      <c r="FK54" s="432"/>
      <c r="FL54" s="432"/>
      <c r="FM54" s="432"/>
      <c r="FN54" s="432"/>
      <c r="FO54" s="432"/>
      <c r="FP54" s="432"/>
      <c r="FQ54" s="432"/>
      <c r="FR54" s="432"/>
      <c r="FS54" s="432"/>
      <c r="FT54" s="432"/>
    </row>
    <row r="55" spans="1:176" s="432" customFormat="1" x14ac:dyDescent="0.35">
      <c r="B55" s="138"/>
      <c r="C55" s="139"/>
      <c r="D55" s="393"/>
    </row>
    <row r="56" spans="1:176" s="432" customFormat="1" x14ac:dyDescent="0.35">
      <c r="B56" s="138"/>
      <c r="C56" s="139"/>
    </row>
    <row r="57" spans="1:176" s="432" customFormat="1" ht="14.5" customHeight="1" x14ac:dyDescent="0.35">
      <c r="B57" s="138"/>
      <c r="C57" s="139"/>
    </row>
    <row r="58" spans="1:176" s="432" customFormat="1" x14ac:dyDescent="0.35">
      <c r="B58" s="138"/>
      <c r="C58" s="139"/>
    </row>
    <row r="59" spans="1:176" s="432" customFormat="1" ht="16.149999999999999" customHeight="1" x14ac:dyDescent="0.35">
      <c r="B59" s="138"/>
      <c r="C59" s="139"/>
    </row>
    <row r="60" spans="1:176" s="432" customFormat="1" ht="14.5" customHeight="1" x14ac:dyDescent="0.5">
      <c r="B60" s="485"/>
      <c r="C60" s="139"/>
    </row>
    <row r="61" spans="1:176" s="432" customFormat="1" ht="14.5" customHeight="1" x14ac:dyDescent="0.5">
      <c r="B61" s="485"/>
      <c r="C61" s="139"/>
    </row>
    <row r="62" spans="1:176" s="432" customFormat="1" ht="23" x14ac:dyDescent="0.5">
      <c r="B62" s="485"/>
      <c r="C62" s="139"/>
    </row>
    <row r="63" spans="1:176" s="432" customFormat="1" ht="23" x14ac:dyDescent="0.5">
      <c r="B63" s="485"/>
      <c r="C63" s="139"/>
    </row>
    <row r="64" spans="1:176" s="432" customFormat="1" ht="23" x14ac:dyDescent="0.5">
      <c r="B64" s="485"/>
      <c r="C64" s="139"/>
    </row>
    <row r="65" spans="2:7" s="432" customFormat="1" ht="30.5" x14ac:dyDescent="0.65">
      <c r="B65" s="502"/>
      <c r="C65" s="139"/>
    </row>
    <row r="66" spans="2:7" s="432" customFormat="1" ht="30.5" x14ac:dyDescent="0.65">
      <c r="B66" s="502"/>
      <c r="C66" s="139"/>
    </row>
    <row r="67" spans="2:7" s="432" customFormat="1" x14ac:dyDescent="0.35">
      <c r="B67" s="138"/>
      <c r="C67" s="575"/>
      <c r="D67" s="972"/>
    </row>
    <row r="68" spans="2:7" hidden="1" x14ac:dyDescent="0.35">
      <c r="B68" s="27" t="s">
        <v>150</v>
      </c>
      <c r="C68" s="292"/>
      <c r="D68" s="291"/>
    </row>
    <row r="69" spans="2:7" s="137" customFormat="1" hidden="1" x14ac:dyDescent="0.35">
      <c r="B69" s="46" t="s">
        <v>92</v>
      </c>
      <c r="C69" s="30">
        <v>30</v>
      </c>
      <c r="D69" s="154"/>
      <c r="E69" s="293"/>
      <c r="F69" s="294"/>
      <c r="G69" s="293"/>
    </row>
    <row r="70" spans="2:7" s="137" customFormat="1" hidden="1" x14ac:dyDescent="0.35">
      <c r="B70" s="46" t="s">
        <v>207</v>
      </c>
      <c r="C70" s="30">
        <v>120</v>
      </c>
      <c r="D70" s="154"/>
      <c r="E70" s="293"/>
      <c r="F70" s="294"/>
      <c r="G70" s="293"/>
    </row>
    <row r="71" spans="2:7" s="137" customFormat="1" hidden="1" x14ac:dyDescent="0.35">
      <c r="B71" s="46" t="s">
        <v>77</v>
      </c>
      <c r="C71" s="30">
        <v>100</v>
      </c>
      <c r="D71" s="128"/>
      <c r="F71" s="295"/>
    </row>
    <row r="72" spans="2:7" s="137" customFormat="1" hidden="1" x14ac:dyDescent="0.35">
      <c r="B72" s="46" t="s">
        <v>76</v>
      </c>
      <c r="C72" s="128">
        <v>40</v>
      </c>
      <c r="D72" s="128"/>
      <c r="F72" s="295"/>
    </row>
    <row r="73" spans="2:7" s="137" customFormat="1" hidden="1" x14ac:dyDescent="0.35">
      <c r="B73" s="46" t="s">
        <v>712</v>
      </c>
      <c r="C73" s="128">
        <v>1300</v>
      </c>
      <c r="D73" s="128"/>
      <c r="F73" s="295"/>
    </row>
    <row r="74" spans="2:7" s="137" customFormat="1" hidden="1" x14ac:dyDescent="0.35">
      <c r="B74" s="46" t="s">
        <v>713</v>
      </c>
      <c r="C74" s="128">
        <v>1500</v>
      </c>
      <c r="D74" s="128"/>
      <c r="F74" s="295"/>
    </row>
    <row r="75" spans="2:7" s="137" customFormat="1" hidden="1" x14ac:dyDescent="0.35">
      <c r="B75" s="46" t="s">
        <v>714</v>
      </c>
      <c r="C75" s="128">
        <v>200</v>
      </c>
      <c r="D75" s="128"/>
      <c r="F75" s="295"/>
    </row>
    <row r="76" spans="2:7" s="137" customFormat="1" hidden="1" x14ac:dyDescent="0.35">
      <c r="B76" s="46" t="s">
        <v>715</v>
      </c>
      <c r="C76" s="128">
        <v>100</v>
      </c>
      <c r="D76" s="128"/>
      <c r="F76" s="295"/>
    </row>
    <row r="77" spans="2:7" hidden="1" x14ac:dyDescent="0.35">
      <c r="B77" s="46" t="s">
        <v>100</v>
      </c>
      <c r="C77" s="296">
        <v>110</v>
      </c>
      <c r="D77" s="42"/>
      <c r="F77" s="126"/>
    </row>
    <row r="78" spans="2:7" hidden="1" x14ac:dyDescent="0.35">
      <c r="B78" s="24" t="s">
        <v>716</v>
      </c>
      <c r="C78" s="296">
        <v>75</v>
      </c>
      <c r="D78" s="42"/>
      <c r="F78" s="126"/>
    </row>
    <row r="79" spans="2:7" hidden="1" x14ac:dyDescent="0.35">
      <c r="B79" s="24" t="s">
        <v>181</v>
      </c>
      <c r="C79" s="30">
        <v>600</v>
      </c>
      <c r="D79" s="29"/>
    </row>
    <row r="80" spans="2:7" hidden="1" x14ac:dyDescent="0.35">
      <c r="B80" s="46" t="s">
        <v>182</v>
      </c>
      <c r="C80" s="30">
        <v>600</v>
      </c>
      <c r="D80" s="29"/>
    </row>
    <row r="81" spans="2:6" s="137" customFormat="1" hidden="1" x14ac:dyDescent="0.35">
      <c r="B81" s="24" t="s">
        <v>70</v>
      </c>
      <c r="C81" s="38">
        <v>3000</v>
      </c>
      <c r="D81" s="165"/>
      <c r="F81" s="295"/>
    </row>
    <row r="82" spans="2:6" s="29" customFormat="1" ht="13" hidden="1" x14ac:dyDescent="0.3">
      <c r="C82" s="37"/>
    </row>
    <row r="83" spans="2:6" s="137" customFormat="1" hidden="1" x14ac:dyDescent="0.35">
      <c r="B83" s="24"/>
      <c r="C83" s="148"/>
      <c r="D83" s="165"/>
      <c r="F83" s="295"/>
    </row>
    <row r="84" spans="2:6" s="137" customFormat="1" hidden="1" x14ac:dyDescent="0.35">
      <c r="B84" s="24"/>
      <c r="C84" s="38"/>
      <c r="D84" s="165"/>
      <c r="F84" s="295"/>
    </row>
    <row r="85" spans="2:6" hidden="1" x14ac:dyDescent="0.35">
      <c r="B85" s="24"/>
      <c r="C85" s="31"/>
      <c r="D85" s="29"/>
    </row>
    <row r="86" spans="2:6" ht="15.5" hidden="1" x14ac:dyDescent="0.35">
      <c r="B86" s="27" t="s">
        <v>140</v>
      </c>
      <c r="C86" s="168" t="s">
        <v>660</v>
      </c>
      <c r="D86" s="169"/>
    </row>
    <row r="87" spans="2:6" hidden="1" x14ac:dyDescent="0.35">
      <c r="B87" s="138" t="s">
        <v>2077</v>
      </c>
      <c r="C87" s="125">
        <f>C48</f>
        <v>0</v>
      </c>
      <c r="D87" s="53"/>
    </row>
    <row r="88" spans="2:6" hidden="1" x14ac:dyDescent="0.35">
      <c r="B88" s="24" t="s">
        <v>19</v>
      </c>
      <c r="C88" s="125">
        <f>C49</f>
        <v>0</v>
      </c>
      <c r="D88" s="53"/>
    </row>
    <row r="89" spans="2:6" hidden="1" x14ac:dyDescent="0.35">
      <c r="B89" s="24" t="s">
        <v>20</v>
      </c>
      <c r="C89" s="125">
        <f>C51</f>
        <v>18537.7752</v>
      </c>
      <c r="D89" s="53"/>
    </row>
    <row r="90" spans="2:6" hidden="1" x14ac:dyDescent="0.35">
      <c r="B90" s="24" t="s">
        <v>21</v>
      </c>
      <c r="C90" s="125">
        <f>C52</f>
        <v>18537.7752</v>
      </c>
      <c r="D90" s="53"/>
    </row>
    <row r="91" spans="2:6" hidden="1" x14ac:dyDescent="0.35">
      <c r="B91" s="24"/>
      <c r="C91" s="125"/>
      <c r="D91" s="297"/>
    </row>
    <row r="92" spans="2:6" hidden="1" x14ac:dyDescent="0.35">
      <c r="B92" s="24"/>
      <c r="C92" s="125"/>
      <c r="D92" s="297"/>
    </row>
    <row r="93" spans="2:6" hidden="1" x14ac:dyDescent="0.35">
      <c r="B93" s="24" t="s">
        <v>102</v>
      </c>
      <c r="C93" s="30" t="e">
        <f>C10*C12*C13*C34</f>
        <v>#DIV/0!</v>
      </c>
      <c r="D93" s="29"/>
    </row>
    <row r="94" spans="2:6" s="29" customFormat="1" ht="13" hidden="1" x14ac:dyDescent="0.3">
      <c r="B94" s="24" t="s">
        <v>2076</v>
      </c>
      <c r="C94" s="148" t="e">
        <f>C90/C93</f>
        <v>#DIV/0!</v>
      </c>
    </row>
    <row r="95" spans="2:6" hidden="1" x14ac:dyDescent="0.35">
      <c r="B95" s="24"/>
      <c r="C95" s="31"/>
      <c r="D95" s="29"/>
    </row>
    <row r="96" spans="2:6" hidden="1" x14ac:dyDescent="0.35">
      <c r="B96" s="24"/>
      <c r="C96" s="31"/>
      <c r="D96" s="29"/>
    </row>
    <row r="97" spans="2:4" hidden="1" x14ac:dyDescent="0.35">
      <c r="B97" s="48" t="s">
        <v>154</v>
      </c>
      <c r="C97" s="31"/>
      <c r="D97" s="29"/>
    </row>
    <row r="98" spans="2:4" hidden="1" x14ac:dyDescent="0.35">
      <c r="B98" s="24" t="s">
        <v>28</v>
      </c>
      <c r="C98" s="31">
        <f>C14</f>
        <v>0</v>
      </c>
      <c r="D98" s="29"/>
    </row>
    <row r="99" spans="2:4" hidden="1" x14ac:dyDescent="0.35">
      <c r="B99" s="24" t="s">
        <v>30</v>
      </c>
      <c r="C99" s="31">
        <f>(C98*0.4%)*1.57*'Emission factors'!C5</f>
        <v>0</v>
      </c>
      <c r="D99" s="29" t="s">
        <v>1530</v>
      </c>
    </row>
    <row r="100" spans="2:4" hidden="1" x14ac:dyDescent="0.35">
      <c r="B100" s="24" t="s">
        <v>29</v>
      </c>
      <c r="C100" s="31">
        <f>C98*0.24*0.011*1.57*'Emission factors'!C5</f>
        <v>0</v>
      </c>
      <c r="D100" s="29" t="s">
        <v>1531</v>
      </c>
    </row>
    <row r="101" spans="2:4" hidden="1" x14ac:dyDescent="0.35">
      <c r="B101" s="24" t="s">
        <v>31</v>
      </c>
      <c r="C101" s="31">
        <f>C100+C99</f>
        <v>0</v>
      </c>
      <c r="D101" s="29" t="s">
        <v>183</v>
      </c>
    </row>
    <row r="102" spans="2:4" hidden="1" x14ac:dyDescent="0.35">
      <c r="B102" s="24" t="s">
        <v>781</v>
      </c>
      <c r="C102" s="31">
        <f>C101-C104</f>
        <v>0</v>
      </c>
      <c r="D102" s="29"/>
    </row>
    <row r="103" spans="2:4" hidden="1" x14ac:dyDescent="0.35">
      <c r="B103" s="24"/>
      <c r="C103" s="31"/>
      <c r="D103" s="29"/>
    </row>
    <row r="104" spans="2:4" hidden="1" x14ac:dyDescent="0.35">
      <c r="B104" s="27" t="s">
        <v>782</v>
      </c>
      <c r="C104" s="31">
        <f>C101*C16*C18*C20</f>
        <v>0</v>
      </c>
      <c r="D104" s="29" t="s">
        <v>201</v>
      </c>
    </row>
    <row r="105" spans="2:4" hidden="1" x14ac:dyDescent="0.35">
      <c r="B105" s="24"/>
      <c r="C105" s="31"/>
      <c r="D105" s="29"/>
    </row>
    <row r="106" spans="2:4" hidden="1" x14ac:dyDescent="0.35">
      <c r="B106" s="24" t="s">
        <v>86</v>
      </c>
      <c r="C106" s="30">
        <f>C26*C32/100*C28</f>
        <v>15000</v>
      </c>
      <c r="D106" s="29" t="s">
        <v>205</v>
      </c>
    </row>
    <row r="107" spans="2:4" hidden="1" x14ac:dyDescent="0.35">
      <c r="B107" s="24" t="s">
        <v>42</v>
      </c>
      <c r="C107" s="30">
        <f>20.7*C106/1000</f>
        <v>310.5</v>
      </c>
      <c r="D107" s="29" t="s">
        <v>1528</v>
      </c>
    </row>
    <row r="108" spans="2:4" hidden="1" x14ac:dyDescent="0.35">
      <c r="B108" s="24" t="s">
        <v>206</v>
      </c>
      <c r="C108" s="30">
        <f>C107/1000*'Emission factors'!C4</f>
        <v>8.6939999999999991</v>
      </c>
      <c r="D108" s="29" t="s">
        <v>1529</v>
      </c>
    </row>
    <row r="109" spans="2:4" hidden="1" x14ac:dyDescent="0.35">
      <c r="B109" s="24"/>
      <c r="C109" s="30"/>
      <c r="D109" s="29"/>
    </row>
    <row r="110" spans="2:4" hidden="1" x14ac:dyDescent="0.35">
      <c r="B110" s="29" t="s">
        <v>1374</v>
      </c>
      <c r="C110" s="298">
        <f>((C26*C28*C30*(C32/100))/5.5*1.03)*(0.2534+(0.1226*'Baseline farm'!R206)+(0.0776*'Baseline farm'!R207))</f>
        <v>30896.292000000001</v>
      </c>
      <c r="D110" s="299" t="s">
        <v>1375</v>
      </c>
    </row>
    <row r="111" spans="2:4" hidden="1" x14ac:dyDescent="0.35">
      <c r="B111" s="299"/>
      <c r="C111" s="300"/>
      <c r="D111" s="299"/>
    </row>
    <row r="112" spans="2:4" hidden="1" x14ac:dyDescent="0.35">
      <c r="B112" s="299"/>
      <c r="C112" s="300"/>
      <c r="D112" s="299"/>
    </row>
    <row r="113" spans="2:6" hidden="1" x14ac:dyDescent="0.35">
      <c r="B113" s="29" t="s">
        <v>1373</v>
      </c>
      <c r="C113" s="31">
        <f>'Baseline farm'!R210</f>
        <v>0</v>
      </c>
      <c r="D113" s="29" t="s">
        <v>202</v>
      </c>
    </row>
    <row r="114" spans="2:6" hidden="1" x14ac:dyDescent="0.35">
      <c r="B114" s="24" t="s">
        <v>194</v>
      </c>
      <c r="C114" s="42">
        <f>C101</f>
        <v>0</v>
      </c>
      <c r="D114" s="29" t="s">
        <v>203</v>
      </c>
      <c r="F114" s="126"/>
    </row>
    <row r="115" spans="2:6" hidden="1" x14ac:dyDescent="0.35">
      <c r="B115" s="24" t="s">
        <v>1111</v>
      </c>
      <c r="C115" s="38" t="e">
        <f>C114*1000/C113</f>
        <v>#DIV/0!</v>
      </c>
      <c r="D115" s="38"/>
      <c r="F115" s="126"/>
    </row>
    <row r="116" spans="2:6" hidden="1" x14ac:dyDescent="0.35">
      <c r="B116" s="24"/>
      <c r="C116" s="38"/>
      <c r="D116" s="164"/>
      <c r="F116" s="126"/>
    </row>
    <row r="117" spans="2:6" hidden="1" x14ac:dyDescent="0.35">
      <c r="B117" s="24"/>
      <c r="C117" s="38"/>
      <c r="D117" s="164"/>
      <c r="F117" s="126"/>
    </row>
    <row r="118" spans="2:6" hidden="1" x14ac:dyDescent="0.35">
      <c r="B118" s="24" t="s">
        <v>1110</v>
      </c>
      <c r="C118" s="42">
        <f>C113+C110</f>
        <v>30896.292000000001</v>
      </c>
      <c r="D118" s="132" t="s">
        <v>204</v>
      </c>
      <c r="F118" s="126"/>
    </row>
    <row r="119" spans="2:6" hidden="1" x14ac:dyDescent="0.35">
      <c r="B119" s="24" t="s">
        <v>195</v>
      </c>
      <c r="C119" s="31">
        <f>C101-C104</f>
        <v>0</v>
      </c>
      <c r="D119" s="29" t="s">
        <v>785</v>
      </c>
    </row>
    <row r="120" spans="2:6" hidden="1" x14ac:dyDescent="0.35">
      <c r="B120" s="24" t="s">
        <v>1108</v>
      </c>
      <c r="C120" s="38">
        <f>C119*1000/C118</f>
        <v>0</v>
      </c>
      <c r="D120" s="29"/>
    </row>
    <row r="121" spans="2:6" hidden="1" x14ac:dyDescent="0.35">
      <c r="B121" s="24"/>
      <c r="C121" s="38"/>
      <c r="D121" s="164"/>
      <c r="F121" s="126"/>
    </row>
    <row r="122" spans="2:6" hidden="1" x14ac:dyDescent="0.35">
      <c r="B122" s="24" t="s">
        <v>783</v>
      </c>
      <c r="C122" s="38" t="e">
        <f>C115-C120</f>
        <v>#DIV/0!</v>
      </c>
      <c r="D122" s="38"/>
      <c r="F122" s="126"/>
    </row>
    <row r="123" spans="2:6" hidden="1" x14ac:dyDescent="0.35">
      <c r="B123" s="24"/>
      <c r="C123" s="24"/>
      <c r="D123" s="42"/>
      <c r="F123" s="126"/>
    </row>
    <row r="124" spans="2:6" s="29" customFormat="1" hidden="1" x14ac:dyDescent="0.35">
      <c r="B124" s="12"/>
      <c r="C124" s="13"/>
      <c r="D124"/>
    </row>
    <row r="125" spans="2:6" s="29" customFormat="1" ht="13" hidden="1" x14ac:dyDescent="0.3">
      <c r="B125" s="24"/>
      <c r="C125" s="16"/>
      <c r="D125" s="159"/>
    </row>
    <row r="126" spans="2:6" s="29" customFormat="1" ht="13" hidden="1" x14ac:dyDescent="0.3">
      <c r="C126" s="14"/>
      <c r="D126" s="51"/>
    </row>
    <row r="127" spans="2:6" s="29" customFormat="1" ht="13" hidden="1" x14ac:dyDescent="0.3">
      <c r="C127" s="49"/>
      <c r="D127" s="159"/>
    </row>
    <row r="128" spans="2:6" s="29" customFormat="1" ht="13" hidden="1" x14ac:dyDescent="0.3">
      <c r="C128" s="49"/>
    </row>
    <row r="129" spans="2:6" s="29" customFormat="1" ht="13" hidden="1" x14ac:dyDescent="0.3">
      <c r="C129" s="37"/>
    </row>
    <row r="130" spans="2:6" s="29" customFormat="1" ht="13" hidden="1" x14ac:dyDescent="0.3">
      <c r="B130" s="46"/>
      <c r="C130" s="52"/>
    </row>
    <row r="131" spans="2:6" s="29" customFormat="1" ht="13" hidden="1" x14ac:dyDescent="0.3">
      <c r="B131" s="46"/>
      <c r="C131" s="53"/>
    </row>
    <row r="132" spans="2:6" hidden="1" x14ac:dyDescent="0.35">
      <c r="B132" s="24"/>
      <c r="C132" s="24"/>
      <c r="D132" s="164"/>
      <c r="F132" s="126"/>
    </row>
    <row r="133" spans="2:6" hidden="1" x14ac:dyDescent="0.35">
      <c r="B133" s="29"/>
      <c r="C133" s="24"/>
      <c r="D133" s="38"/>
      <c r="F133" s="126"/>
    </row>
    <row r="134" spans="2:6" s="432" customFormat="1" x14ac:dyDescent="0.35">
      <c r="B134" s="142"/>
      <c r="C134" s="138"/>
      <c r="D134" s="564"/>
      <c r="F134" s="718"/>
    </row>
    <row r="135" spans="2:6" s="432" customFormat="1" x14ac:dyDescent="0.35">
      <c r="B135" s="142"/>
      <c r="C135" s="519"/>
      <c r="D135" s="578"/>
      <c r="F135" s="718"/>
    </row>
    <row r="136" spans="2:6" s="432" customFormat="1" x14ac:dyDescent="0.35">
      <c r="B136" s="142"/>
      <c r="C136" s="579"/>
      <c r="D136" s="562"/>
      <c r="F136" s="718"/>
    </row>
    <row r="137" spans="2:6" s="432" customFormat="1" x14ac:dyDescent="0.35">
      <c r="B137" s="142"/>
      <c r="C137" s="519"/>
      <c r="D137" s="562"/>
      <c r="F137" s="718"/>
    </row>
    <row r="138" spans="2:6" s="432" customFormat="1" x14ac:dyDescent="0.35">
      <c r="B138" s="142"/>
      <c r="C138" s="138"/>
      <c r="D138" s="566"/>
      <c r="F138" s="718"/>
    </row>
    <row r="139" spans="2:6" s="432" customFormat="1" x14ac:dyDescent="0.35">
      <c r="B139" s="142"/>
      <c r="C139" s="138"/>
      <c r="D139" s="567"/>
      <c r="F139" s="718"/>
    </row>
    <row r="140" spans="2:6" s="432" customFormat="1" x14ac:dyDescent="0.35">
      <c r="B140" s="579"/>
      <c r="C140" s="138"/>
      <c r="D140" s="568"/>
      <c r="F140" s="718"/>
    </row>
    <row r="141" spans="2:6" s="432" customFormat="1" x14ac:dyDescent="0.35">
      <c r="B141" s="579"/>
      <c r="C141" s="519"/>
      <c r="D141" s="569"/>
      <c r="F141" s="718"/>
    </row>
    <row r="142" spans="2:6" s="432" customFormat="1" x14ac:dyDescent="0.35">
      <c r="B142" s="579"/>
      <c r="C142" s="579"/>
      <c r="D142" s="569"/>
      <c r="F142" s="718"/>
    </row>
    <row r="143" spans="2:6" s="432" customFormat="1" x14ac:dyDescent="0.35">
      <c r="B143" s="579"/>
      <c r="C143" s="424"/>
      <c r="D143" s="579"/>
      <c r="F143" s="718"/>
    </row>
    <row r="144" spans="2:6" s="432" customFormat="1" x14ac:dyDescent="0.35">
      <c r="B144" s="579"/>
      <c r="C144" s="580"/>
      <c r="D144" s="424"/>
      <c r="F144" s="718"/>
    </row>
    <row r="145" spans="2:13" s="432" customFormat="1" x14ac:dyDescent="0.35">
      <c r="B145" s="579"/>
      <c r="C145" s="580"/>
      <c r="D145" s="581"/>
      <c r="F145" s="582"/>
    </row>
    <row r="146" spans="2:13" s="432" customFormat="1" x14ac:dyDescent="0.35">
      <c r="B146" s="579"/>
      <c r="C146" s="583"/>
      <c r="D146" s="138"/>
      <c r="F146" s="718"/>
      <c r="K146" s="488"/>
      <c r="L146" s="488"/>
      <c r="M146" s="488"/>
    </row>
    <row r="147" spans="2:13" s="432" customFormat="1" x14ac:dyDescent="0.35">
      <c r="B147" s="138"/>
      <c r="C147" s="519"/>
      <c r="D147" s="571"/>
      <c r="F147" s="718"/>
      <c r="K147" s="488"/>
      <c r="L147" s="488"/>
      <c r="M147" s="488"/>
    </row>
    <row r="148" spans="2:13" s="432" customFormat="1" x14ac:dyDescent="0.35">
      <c r="B148" s="138"/>
      <c r="C148" s="138"/>
      <c r="D148" s="487"/>
      <c r="F148" s="718"/>
      <c r="K148" s="488"/>
      <c r="L148" s="488"/>
      <c r="M148" s="488"/>
    </row>
    <row r="149" spans="2:13" s="432" customFormat="1" x14ac:dyDescent="0.35">
      <c r="B149" s="138"/>
      <c r="C149" s="138"/>
      <c r="D149" s="562"/>
      <c r="F149" s="718"/>
      <c r="K149" s="488"/>
      <c r="L149" s="488"/>
      <c r="M149" s="488"/>
    </row>
    <row r="150" spans="2:13" s="432" customFormat="1" x14ac:dyDescent="0.35">
      <c r="B150" s="138"/>
      <c r="C150" s="138"/>
      <c r="D150" s="562"/>
      <c r="F150" s="718"/>
      <c r="K150" s="488"/>
      <c r="L150" s="488"/>
      <c r="M150" s="488"/>
    </row>
    <row r="151" spans="2:13" s="432" customFormat="1" x14ac:dyDescent="0.35">
      <c r="B151" s="138"/>
      <c r="C151" s="138"/>
      <c r="D151" s="562"/>
      <c r="F151" s="718"/>
      <c r="K151" s="488"/>
      <c r="L151" s="488"/>
      <c r="M151" s="488"/>
    </row>
    <row r="152" spans="2:13" s="432" customFormat="1" x14ac:dyDescent="0.35">
      <c r="B152" s="138"/>
      <c r="C152" s="138"/>
      <c r="D152" s="562"/>
      <c r="F152" s="718"/>
    </row>
    <row r="153" spans="2:13" s="432" customFormat="1" x14ac:dyDescent="0.35">
      <c r="B153" s="138"/>
      <c r="C153" s="138"/>
      <c r="D153" s="562"/>
      <c r="F153" s="718"/>
    </row>
    <row r="154" spans="2:13" s="432" customFormat="1" x14ac:dyDescent="0.35">
      <c r="B154" s="138"/>
      <c r="C154" s="138"/>
      <c r="D154" s="572"/>
      <c r="F154" s="718"/>
    </row>
    <row r="155" spans="2:13" s="432" customFormat="1" x14ac:dyDescent="0.35">
      <c r="B155" s="138"/>
      <c r="C155" s="138"/>
      <c r="D155" s="572"/>
      <c r="F155" s="718"/>
    </row>
    <row r="156" spans="2:13" s="432" customFormat="1" x14ac:dyDescent="0.35">
      <c r="B156" s="138"/>
      <c r="C156" s="138"/>
      <c r="D156" s="562"/>
      <c r="F156" s="718"/>
    </row>
    <row r="157" spans="2:13" s="432" customFormat="1" x14ac:dyDescent="0.35">
      <c r="B157" s="138"/>
      <c r="C157" s="138"/>
      <c r="D157" s="563"/>
      <c r="F157" s="718"/>
    </row>
    <row r="158" spans="2:13" s="432" customFormat="1" x14ac:dyDescent="0.35">
      <c r="B158" s="138"/>
      <c r="C158" s="138"/>
      <c r="D158" s="562"/>
      <c r="F158" s="718"/>
    </row>
    <row r="159" spans="2:13" s="432" customFormat="1" x14ac:dyDescent="0.35">
      <c r="B159" s="138"/>
      <c r="C159" s="573"/>
      <c r="D159" s="559"/>
      <c r="F159" s="718"/>
    </row>
    <row r="160" spans="2:13" s="432" customFormat="1" x14ac:dyDescent="0.35">
      <c r="B160" s="138"/>
      <c r="C160" s="138"/>
      <c r="D160" s="562"/>
      <c r="F160" s="718"/>
    </row>
    <row r="161" spans="2:6" s="432" customFormat="1" x14ac:dyDescent="0.35">
      <c r="B161" s="138"/>
      <c r="C161" s="138"/>
      <c r="D161" s="563"/>
      <c r="F161" s="718"/>
    </row>
    <row r="162" spans="2:6" s="432" customFormat="1" x14ac:dyDescent="0.35">
      <c r="B162" s="138"/>
      <c r="C162" s="138"/>
      <c r="D162" s="562"/>
      <c r="F162" s="718"/>
    </row>
    <row r="163" spans="2:6" s="432" customFormat="1" x14ac:dyDescent="0.35">
      <c r="B163" s="138"/>
      <c r="C163" s="138"/>
      <c r="D163" s="559"/>
      <c r="F163" s="718"/>
    </row>
    <row r="164" spans="2:6" s="432" customFormat="1" x14ac:dyDescent="0.35">
      <c r="B164" s="138"/>
      <c r="C164" s="138"/>
      <c r="D164" s="562"/>
      <c r="F164" s="718"/>
    </row>
    <row r="165" spans="2:6" s="432" customFormat="1" x14ac:dyDescent="0.35">
      <c r="B165" s="138"/>
      <c r="C165" s="138"/>
      <c r="D165" s="563"/>
      <c r="F165" s="718"/>
    </row>
    <row r="166" spans="2:6" s="432" customFormat="1" x14ac:dyDescent="0.35">
      <c r="B166" s="138"/>
      <c r="C166" s="138"/>
      <c r="D166" s="487"/>
      <c r="F166" s="718"/>
    </row>
    <row r="167" spans="2:6" s="432" customFormat="1" x14ac:dyDescent="0.35">
      <c r="B167" s="138"/>
      <c r="C167" s="138"/>
      <c r="D167" s="562"/>
      <c r="F167" s="718"/>
    </row>
    <row r="168" spans="2:6" s="432" customFormat="1" x14ac:dyDescent="0.35">
      <c r="B168" s="138"/>
      <c r="C168" s="138"/>
      <c r="D168" s="563"/>
      <c r="F168" s="718"/>
    </row>
    <row r="169" spans="2:6" s="432" customFormat="1" x14ac:dyDescent="0.35">
      <c r="B169" s="138"/>
      <c r="C169" s="138"/>
      <c r="D169" s="562"/>
      <c r="F169" s="718"/>
    </row>
    <row r="170" spans="2:6" s="432" customFormat="1" x14ac:dyDescent="0.35">
      <c r="B170" s="138"/>
      <c r="C170" s="138"/>
      <c r="D170" s="559"/>
      <c r="F170" s="718"/>
    </row>
    <row r="171" spans="2:6" s="432" customFormat="1" x14ac:dyDescent="0.35">
      <c r="B171" s="138"/>
      <c r="C171" s="138"/>
      <c r="D171" s="562"/>
      <c r="F171" s="718"/>
    </row>
    <row r="172" spans="2:6" s="432" customFormat="1" x14ac:dyDescent="0.35">
      <c r="B172" s="138"/>
      <c r="C172" s="138"/>
      <c r="D172" s="563"/>
      <c r="F172" s="718"/>
    </row>
    <row r="173" spans="2:6" s="432" customFormat="1" x14ac:dyDescent="0.35">
      <c r="B173" s="136"/>
      <c r="C173" s="138"/>
      <c r="D173" s="562"/>
      <c r="F173" s="718"/>
    </row>
    <row r="174" spans="2:6" s="432" customFormat="1" x14ac:dyDescent="0.35">
      <c r="B174" s="136"/>
      <c r="C174" s="138"/>
      <c r="D174" s="564"/>
      <c r="F174" s="718"/>
    </row>
    <row r="175" spans="2:6" s="432" customFormat="1" x14ac:dyDescent="0.35">
      <c r="B175" s="136"/>
      <c r="C175" s="519"/>
      <c r="D175" s="584"/>
      <c r="F175" s="718"/>
    </row>
    <row r="176" spans="2:6" s="432" customFormat="1" x14ac:dyDescent="0.35">
      <c r="B176" s="136"/>
      <c r="C176" s="136"/>
      <c r="D176" s="562"/>
      <c r="F176" s="718"/>
    </row>
    <row r="177" spans="2:6" s="432" customFormat="1" x14ac:dyDescent="0.35">
      <c r="B177" s="136"/>
      <c r="C177" s="519"/>
      <c r="D177" s="562"/>
      <c r="F177" s="718"/>
    </row>
    <row r="178" spans="2:6" s="432" customFormat="1" x14ac:dyDescent="0.35">
      <c r="B178" s="136"/>
      <c r="C178" s="138"/>
      <c r="D178" s="559"/>
      <c r="F178" s="718"/>
    </row>
    <row r="179" spans="2:6" s="432" customFormat="1" x14ac:dyDescent="0.35">
      <c r="B179" s="136"/>
      <c r="C179" s="138"/>
      <c r="D179" s="559"/>
      <c r="F179" s="718"/>
    </row>
    <row r="180" spans="2:6" s="432" customFormat="1" x14ac:dyDescent="0.35">
      <c r="B180" s="136"/>
      <c r="C180" s="138"/>
      <c r="D180" s="568"/>
      <c r="F180" s="718"/>
    </row>
    <row r="181" spans="2:6" s="432" customFormat="1" x14ac:dyDescent="0.35">
      <c r="B181" s="136"/>
      <c r="C181" s="519"/>
      <c r="D181" s="136"/>
    </row>
    <row r="182" spans="2:6" s="432" customFormat="1" x14ac:dyDescent="0.35">
      <c r="B182" s="136"/>
      <c r="C182" s="136"/>
      <c r="D182" s="585"/>
    </row>
    <row r="183" spans="2:6" s="432" customFormat="1" x14ac:dyDescent="0.35">
      <c r="C183" s="519"/>
    </row>
    <row r="184" spans="2:6" s="432" customFormat="1" x14ac:dyDescent="0.35">
      <c r="C184" s="138"/>
    </row>
    <row r="185" spans="2:6" s="432" customFormat="1" x14ac:dyDescent="0.35">
      <c r="C185" s="138"/>
    </row>
    <row r="186" spans="2:6" s="432" customFormat="1" x14ac:dyDescent="0.35"/>
    <row r="187" spans="2:6" s="432" customFormat="1" x14ac:dyDescent="0.35"/>
    <row r="188" spans="2:6" s="432" customFormat="1" x14ac:dyDescent="0.35"/>
    <row r="189" spans="2:6" s="432" customFormat="1" x14ac:dyDescent="0.35"/>
    <row r="190" spans="2:6" s="432" customFormat="1" x14ac:dyDescent="0.35"/>
    <row r="191" spans="2:6" s="432" customFormat="1" x14ac:dyDescent="0.35"/>
    <row r="192" spans="2:6" s="432" customFormat="1" x14ac:dyDescent="0.35"/>
    <row r="193" s="432" customFormat="1" x14ac:dyDescent="0.35"/>
    <row r="194" s="432" customFormat="1" x14ac:dyDescent="0.35"/>
    <row r="195" s="432" customFormat="1" x14ac:dyDescent="0.35"/>
    <row r="196" s="432" customFormat="1" x14ac:dyDescent="0.35"/>
    <row r="197" s="432" customFormat="1" x14ac:dyDescent="0.35"/>
    <row r="198" s="432" customFormat="1" x14ac:dyDescent="0.35"/>
    <row r="199" s="432" customFormat="1" x14ac:dyDescent="0.35"/>
    <row r="200" s="432" customFormat="1" x14ac:dyDescent="0.35"/>
    <row r="201" s="432" customFormat="1" x14ac:dyDescent="0.35"/>
    <row r="202" s="432" customFormat="1" x14ac:dyDescent="0.35"/>
    <row r="203" s="432" customFormat="1" x14ac:dyDescent="0.35"/>
    <row r="204" s="432" customFormat="1" x14ac:dyDescent="0.35"/>
    <row r="205" s="432" customFormat="1" x14ac:dyDescent="0.35"/>
    <row r="206" s="432" customFormat="1" x14ac:dyDescent="0.35"/>
    <row r="207" s="432" customFormat="1" x14ac:dyDescent="0.35"/>
    <row r="208" s="432" customFormat="1" x14ac:dyDescent="0.35"/>
    <row r="209" s="432" customFormat="1" x14ac:dyDescent="0.35"/>
    <row r="210" s="432" customFormat="1" x14ac:dyDescent="0.35"/>
    <row r="211" s="432" customFormat="1" x14ac:dyDescent="0.35"/>
    <row r="212" s="432" customFormat="1" x14ac:dyDescent="0.35"/>
    <row r="213" s="432" customFormat="1" x14ac:dyDescent="0.35"/>
    <row r="214" s="432" customFormat="1" x14ac:dyDescent="0.35"/>
    <row r="215" s="432" customFormat="1" x14ac:dyDescent="0.35"/>
    <row r="216" s="432" customFormat="1" x14ac:dyDescent="0.35"/>
    <row r="217" s="432" customFormat="1" x14ac:dyDescent="0.35"/>
    <row r="218" s="432" customFormat="1" x14ac:dyDescent="0.35"/>
    <row r="219" s="432" customFormat="1" x14ac:dyDescent="0.35"/>
    <row r="220" s="432" customFormat="1" x14ac:dyDescent="0.35"/>
    <row r="221" s="432" customFormat="1" x14ac:dyDescent="0.35"/>
    <row r="222" s="432" customFormat="1" x14ac:dyDescent="0.35"/>
    <row r="223" s="432" customFormat="1" x14ac:dyDescent="0.35"/>
    <row r="224" s="432" customFormat="1" x14ac:dyDescent="0.35"/>
    <row r="225" s="432" customFormat="1" x14ac:dyDescent="0.35"/>
    <row r="226" s="432" customFormat="1" x14ac:dyDescent="0.35"/>
    <row r="227" s="432" customFormat="1" x14ac:dyDescent="0.35"/>
    <row r="228" s="432" customFormat="1" x14ac:dyDescent="0.35"/>
    <row r="229" s="432" customFormat="1" x14ac:dyDescent="0.35"/>
    <row r="230" s="432" customFormat="1" x14ac:dyDescent="0.35"/>
    <row r="231" s="432" customFormat="1" x14ac:dyDescent="0.35"/>
    <row r="232" s="432" customFormat="1" x14ac:dyDescent="0.35"/>
    <row r="233" s="432" customFormat="1" x14ac:dyDescent="0.35"/>
    <row r="234" s="432" customFormat="1" x14ac:dyDescent="0.35"/>
    <row r="235" s="432" customFormat="1" x14ac:dyDescent="0.35"/>
    <row r="236" s="432" customFormat="1" x14ac:dyDescent="0.35"/>
    <row r="237" s="432" customFormat="1" x14ac:dyDescent="0.35"/>
    <row r="238" s="432" customFormat="1" x14ac:dyDescent="0.35"/>
    <row r="239" s="432" customFormat="1" x14ac:dyDescent="0.35"/>
    <row r="240" s="432" customFormat="1" x14ac:dyDescent="0.35"/>
    <row r="241" s="432" customFormat="1" x14ac:dyDescent="0.35"/>
    <row r="242" s="432" customFormat="1" x14ac:dyDescent="0.35"/>
    <row r="243" s="432" customFormat="1" x14ac:dyDescent="0.35"/>
    <row r="244" s="432" customFormat="1" x14ac:dyDescent="0.35"/>
    <row r="245" s="432" customFormat="1" x14ac:dyDescent="0.35"/>
    <row r="246" s="432" customFormat="1" x14ac:dyDescent="0.35"/>
    <row r="247" s="432" customFormat="1" x14ac:dyDescent="0.35"/>
    <row r="248" s="432" customFormat="1" x14ac:dyDescent="0.35"/>
    <row r="249" s="432" customFormat="1" x14ac:dyDescent="0.35"/>
    <row r="250" s="432" customFormat="1" x14ac:dyDescent="0.35"/>
    <row r="251" s="432" customFormat="1" x14ac:dyDescent="0.35"/>
    <row r="252" s="432" customFormat="1" x14ac:dyDescent="0.35"/>
    <row r="253" s="432" customFormat="1" x14ac:dyDescent="0.35"/>
    <row r="254" s="432" customFormat="1" x14ac:dyDescent="0.35"/>
    <row r="255" s="432" customFormat="1" x14ac:dyDescent="0.35"/>
    <row r="256" s="432" customFormat="1" x14ac:dyDescent="0.35"/>
    <row r="257" s="432" customFormat="1" x14ac:dyDescent="0.35"/>
    <row r="258" s="432" customFormat="1" x14ac:dyDescent="0.35"/>
    <row r="259" s="432" customFormat="1" x14ac:dyDescent="0.35"/>
    <row r="260" s="432" customFormat="1" x14ac:dyDescent="0.35"/>
    <row r="261" s="432" customFormat="1" x14ac:dyDescent="0.35"/>
    <row r="262" s="432" customFormat="1" x14ac:dyDescent="0.35"/>
    <row r="263" s="432" customFormat="1" x14ac:dyDescent="0.35"/>
    <row r="264" s="432" customFormat="1" x14ac:dyDescent="0.35"/>
    <row r="265" s="432" customFormat="1" x14ac:dyDescent="0.35"/>
    <row r="266" s="432" customFormat="1" x14ac:dyDescent="0.35"/>
    <row r="267" s="432" customFormat="1" x14ac:dyDescent="0.35"/>
    <row r="268" s="432" customFormat="1" x14ac:dyDescent="0.35"/>
    <row r="269" s="432" customFormat="1" x14ac:dyDescent="0.35"/>
    <row r="270" s="432" customFormat="1" x14ac:dyDescent="0.35"/>
    <row r="271" s="432" customFormat="1" x14ac:dyDescent="0.35"/>
    <row r="272" s="432" customFormat="1" x14ac:dyDescent="0.35"/>
    <row r="273" s="432" customFormat="1" x14ac:dyDescent="0.35"/>
    <row r="274" s="432" customFormat="1" x14ac:dyDescent="0.35"/>
    <row r="275" s="432" customFormat="1" x14ac:dyDescent="0.35"/>
    <row r="276" s="432" customFormat="1" x14ac:dyDescent="0.35"/>
    <row r="277" s="432" customFormat="1" x14ac:dyDescent="0.35"/>
    <row r="278" s="432" customFormat="1" x14ac:dyDescent="0.35"/>
    <row r="279" s="432" customFormat="1" x14ac:dyDescent="0.35"/>
    <row r="280" s="432" customFormat="1" x14ac:dyDescent="0.35"/>
    <row r="281" s="432" customFormat="1" x14ac:dyDescent="0.35"/>
    <row r="282" s="432" customFormat="1" x14ac:dyDescent="0.35"/>
    <row r="283" s="432" customFormat="1" x14ac:dyDescent="0.35"/>
    <row r="284" s="432" customFormat="1" x14ac:dyDescent="0.35"/>
    <row r="285" s="432" customFormat="1" x14ac:dyDescent="0.35"/>
    <row r="286" s="432" customFormat="1" x14ac:dyDescent="0.35"/>
    <row r="287" s="432" customFormat="1" x14ac:dyDescent="0.35"/>
    <row r="288" s="432" customFormat="1" x14ac:dyDescent="0.35"/>
    <row r="289" s="432" customFormat="1" x14ac:dyDescent="0.35"/>
    <row r="290" s="432" customFormat="1" x14ac:dyDescent="0.35"/>
    <row r="291" s="432" customFormat="1" x14ac:dyDescent="0.35"/>
    <row r="292" s="432" customFormat="1" x14ac:dyDescent="0.35"/>
    <row r="293" s="432" customFormat="1" x14ac:dyDescent="0.35"/>
    <row r="294" s="432" customFormat="1" x14ac:dyDescent="0.35"/>
    <row r="295" s="432" customFormat="1" x14ac:dyDescent="0.35"/>
    <row r="296" s="432" customFormat="1" x14ac:dyDescent="0.35"/>
    <row r="297" s="432" customFormat="1" x14ac:dyDescent="0.35"/>
    <row r="298" s="432" customFormat="1" x14ac:dyDescent="0.35"/>
    <row r="299" s="432" customFormat="1" x14ac:dyDescent="0.35"/>
    <row r="300" s="432" customFormat="1" x14ac:dyDescent="0.35"/>
    <row r="301" s="432" customFormat="1" x14ac:dyDescent="0.35"/>
    <row r="302" s="432" customFormat="1" x14ac:dyDescent="0.35"/>
    <row r="303" s="432" customFormat="1" x14ac:dyDescent="0.35"/>
    <row r="304" s="432" customFormat="1" x14ac:dyDescent="0.35"/>
    <row r="305" s="432" customFormat="1" x14ac:dyDescent="0.35"/>
    <row r="306" s="432" customFormat="1" x14ac:dyDescent="0.35"/>
    <row r="307" s="432" customFormat="1" x14ac:dyDescent="0.35"/>
    <row r="308" s="432" customFormat="1" x14ac:dyDescent="0.35"/>
    <row r="309" s="432" customFormat="1" x14ac:dyDescent="0.35"/>
    <row r="310" s="432" customFormat="1" x14ac:dyDescent="0.35"/>
    <row r="311" s="432" customFormat="1" x14ac:dyDescent="0.35"/>
    <row r="312" s="432" customFormat="1" x14ac:dyDescent="0.35"/>
    <row r="313" s="432" customFormat="1" x14ac:dyDescent="0.35"/>
    <row r="314" s="432" customFormat="1" x14ac:dyDescent="0.35"/>
    <row r="315" s="432" customFormat="1" x14ac:dyDescent="0.35"/>
    <row r="316" s="432" customFormat="1" x14ac:dyDescent="0.35"/>
    <row r="317" s="432" customFormat="1" x14ac:dyDescent="0.35"/>
    <row r="318" s="432" customFormat="1" x14ac:dyDescent="0.35"/>
    <row r="319" s="432" customFormat="1" x14ac:dyDescent="0.35"/>
    <row r="320" s="432" customFormat="1" x14ac:dyDescent="0.35"/>
    <row r="321" s="432" customFormat="1" x14ac:dyDescent="0.35"/>
    <row r="322" s="432" customFormat="1" x14ac:dyDescent="0.35"/>
    <row r="323" s="432" customFormat="1" x14ac:dyDescent="0.35"/>
    <row r="324" s="432" customFormat="1" x14ac:dyDescent="0.35"/>
    <row r="325" s="432" customFormat="1" x14ac:dyDescent="0.35"/>
    <row r="326" s="432" customFormat="1" x14ac:dyDescent="0.35"/>
    <row r="327" s="432" customFormat="1" x14ac:dyDescent="0.35"/>
    <row r="328" s="432" customFormat="1" x14ac:dyDescent="0.35"/>
    <row r="329" s="432" customFormat="1" x14ac:dyDescent="0.35"/>
    <row r="330" s="432" customFormat="1" x14ac:dyDescent="0.35"/>
    <row r="331" s="432" customFormat="1" x14ac:dyDescent="0.35"/>
    <row r="332" s="432" customFormat="1" x14ac:dyDescent="0.35"/>
    <row r="333" s="432" customFormat="1" x14ac:dyDescent="0.35"/>
    <row r="334" s="432" customFormat="1" x14ac:dyDescent="0.35"/>
    <row r="335" s="432" customFormat="1" x14ac:dyDescent="0.35"/>
    <row r="336" s="432" customFormat="1" x14ac:dyDescent="0.35"/>
    <row r="337" s="432" customFormat="1" x14ac:dyDescent="0.35"/>
    <row r="338" s="432" customFormat="1" x14ac:dyDescent="0.35"/>
    <row r="339" s="432" customFormat="1" x14ac:dyDescent="0.35"/>
    <row r="340" s="432" customFormat="1" x14ac:dyDescent="0.35"/>
    <row r="341" s="432" customFormat="1" x14ac:dyDescent="0.35"/>
    <row r="342" s="432" customFormat="1" x14ac:dyDescent="0.35"/>
    <row r="343" s="432" customFormat="1" x14ac:dyDescent="0.35"/>
    <row r="344" s="432" customFormat="1" x14ac:dyDescent="0.35"/>
    <row r="345" s="432" customFormat="1" x14ac:dyDescent="0.35"/>
    <row r="346" s="432" customFormat="1" x14ac:dyDescent="0.35"/>
    <row r="347" s="432" customFormat="1" x14ac:dyDescent="0.35"/>
    <row r="348" s="432" customFormat="1" x14ac:dyDescent="0.35"/>
    <row r="349" s="432" customFormat="1" x14ac:dyDescent="0.35"/>
    <row r="350" s="432" customFormat="1" x14ac:dyDescent="0.35"/>
    <row r="351" s="432" customFormat="1" x14ac:dyDescent="0.35"/>
    <row r="352" s="432" customFormat="1" x14ac:dyDescent="0.35"/>
    <row r="353" s="432" customFormat="1" x14ac:dyDescent="0.35"/>
    <row r="354" s="432" customFormat="1" x14ac:dyDescent="0.35"/>
    <row r="355" s="432" customFormat="1" x14ac:dyDescent="0.35"/>
    <row r="356" s="432" customFormat="1" x14ac:dyDescent="0.35"/>
    <row r="357" s="432" customFormat="1" x14ac:dyDescent="0.35"/>
    <row r="358" s="432" customFormat="1" x14ac:dyDescent="0.35"/>
    <row r="359" s="432" customFormat="1" x14ac:dyDescent="0.35"/>
    <row r="360" s="432" customFormat="1" x14ac:dyDescent="0.35"/>
    <row r="361" s="432" customFormat="1" x14ac:dyDescent="0.35"/>
    <row r="362" s="432" customFormat="1" x14ac:dyDescent="0.35"/>
    <row r="363" s="432" customFormat="1" x14ac:dyDescent="0.35"/>
    <row r="364" s="432" customFormat="1" x14ac:dyDescent="0.35"/>
    <row r="365" s="432" customFormat="1" x14ac:dyDescent="0.35"/>
    <row r="366" s="432" customFormat="1" x14ac:dyDescent="0.35"/>
    <row r="367" s="432" customFormat="1" x14ac:dyDescent="0.35"/>
    <row r="368" s="432" customFormat="1" x14ac:dyDescent="0.35"/>
    <row r="369" s="432" customFormat="1" x14ac:dyDescent="0.35"/>
    <row r="370" s="432" customFormat="1" x14ac:dyDescent="0.35"/>
    <row r="371" s="432" customFormat="1" x14ac:dyDescent="0.35"/>
    <row r="372" s="432" customFormat="1" x14ac:dyDescent="0.35"/>
    <row r="373" s="432" customFormat="1" x14ac:dyDescent="0.35"/>
    <row r="374" s="432" customFormat="1" x14ac:dyDescent="0.35"/>
    <row r="375" s="432" customFormat="1" x14ac:dyDescent="0.35"/>
    <row r="376" s="432" customFormat="1" x14ac:dyDescent="0.35"/>
    <row r="377" s="432" customFormat="1" x14ac:dyDescent="0.35"/>
    <row r="378" s="432" customFormat="1" x14ac:dyDescent="0.35"/>
    <row r="379" s="432" customFormat="1" x14ac:dyDescent="0.35"/>
    <row r="380" s="432" customFormat="1" x14ac:dyDescent="0.35"/>
    <row r="381" s="432" customFormat="1" x14ac:dyDescent="0.35"/>
    <row r="382" s="432" customFormat="1" x14ac:dyDescent="0.35"/>
    <row r="383" s="432" customFormat="1" x14ac:dyDescent="0.35"/>
    <row r="384" s="432" customFormat="1" x14ac:dyDescent="0.35"/>
    <row r="385" s="432" customFormat="1" x14ac:dyDescent="0.35"/>
    <row r="386" s="432" customFormat="1" x14ac:dyDescent="0.35"/>
    <row r="387" s="432" customFormat="1" x14ac:dyDescent="0.35"/>
    <row r="388" s="432" customFormat="1" x14ac:dyDescent="0.35"/>
    <row r="389" s="432" customFormat="1" x14ac:dyDescent="0.35"/>
    <row r="390" s="432" customFormat="1" x14ac:dyDescent="0.35"/>
    <row r="391" s="432" customFormat="1" x14ac:dyDescent="0.35"/>
    <row r="392" s="432" customFormat="1" x14ac:dyDescent="0.35"/>
    <row r="393" s="432" customFormat="1" x14ac:dyDescent="0.35"/>
    <row r="394" s="432" customFormat="1" x14ac:dyDescent="0.35"/>
    <row r="395" s="432" customFormat="1" x14ac:dyDescent="0.35"/>
    <row r="396" s="432" customFormat="1" x14ac:dyDescent="0.35"/>
    <row r="397" s="432" customFormat="1" x14ac:dyDescent="0.35"/>
    <row r="398" s="432" customFormat="1" x14ac:dyDescent="0.35"/>
    <row r="399" s="432" customFormat="1" x14ac:dyDescent="0.35"/>
    <row r="400" s="432" customFormat="1" x14ac:dyDescent="0.35"/>
    <row r="401" s="432" customFormat="1" x14ac:dyDescent="0.35"/>
    <row r="402" s="432" customFormat="1" x14ac:dyDescent="0.35"/>
    <row r="403" s="432" customFormat="1" x14ac:dyDescent="0.35"/>
    <row r="404" s="432" customFormat="1" x14ac:dyDescent="0.35"/>
    <row r="405" s="432" customFormat="1" x14ac:dyDescent="0.35"/>
    <row r="406" s="432" customFormat="1" x14ac:dyDescent="0.35"/>
    <row r="407" s="432" customFormat="1" x14ac:dyDescent="0.35"/>
    <row r="408" s="432" customFormat="1" x14ac:dyDescent="0.35"/>
    <row r="409" s="432" customFormat="1" x14ac:dyDescent="0.35"/>
    <row r="410" s="432" customFormat="1" x14ac:dyDescent="0.35"/>
    <row r="411" s="432" customFormat="1" x14ac:dyDescent="0.35"/>
    <row r="412" s="432" customFormat="1" x14ac:dyDescent="0.35"/>
    <row r="413" s="432" customFormat="1" x14ac:dyDescent="0.35"/>
    <row r="414" s="432" customFormat="1" x14ac:dyDescent="0.35"/>
    <row r="415" s="432" customFormat="1" x14ac:dyDescent="0.35"/>
    <row r="416" s="432" customFormat="1" x14ac:dyDescent="0.35"/>
    <row r="417" s="432" customFormat="1" x14ac:dyDescent="0.35"/>
    <row r="418" s="432" customFormat="1" x14ac:dyDescent="0.35"/>
    <row r="419" s="432" customFormat="1" x14ac:dyDescent="0.35"/>
    <row r="420" s="432" customFormat="1" x14ac:dyDescent="0.35"/>
    <row r="421" s="432" customFormat="1" x14ac:dyDescent="0.35"/>
    <row r="422" s="432" customFormat="1" x14ac:dyDescent="0.35"/>
    <row r="423" s="432" customFormat="1" x14ac:dyDescent="0.35"/>
    <row r="424" s="432" customFormat="1" x14ac:dyDescent="0.35"/>
    <row r="425" s="432" customFormat="1" x14ac:dyDescent="0.35"/>
    <row r="426" s="432" customFormat="1" x14ac:dyDescent="0.35"/>
    <row r="427" s="432" customFormat="1" x14ac:dyDescent="0.35"/>
    <row r="428" s="432" customFormat="1" x14ac:dyDescent="0.35"/>
    <row r="429" s="432" customFormat="1" x14ac:dyDescent="0.35"/>
    <row r="430" s="432" customFormat="1" x14ac:dyDescent="0.35"/>
    <row r="431" s="432" customFormat="1" x14ac:dyDescent="0.35"/>
    <row r="432" s="432" customFormat="1" x14ac:dyDescent="0.35"/>
    <row r="433" s="432" customFormat="1" x14ac:dyDescent="0.35"/>
    <row r="434" s="432" customFormat="1" x14ac:dyDescent="0.35"/>
    <row r="435" s="432" customFormat="1" x14ac:dyDescent="0.35"/>
    <row r="436" s="432" customFormat="1" x14ac:dyDescent="0.35"/>
    <row r="437" s="432" customFormat="1" x14ac:dyDescent="0.35"/>
    <row r="438" s="432" customFormat="1" x14ac:dyDescent="0.35"/>
    <row r="439" s="432" customFormat="1" x14ac:dyDescent="0.35"/>
    <row r="440" s="432" customFormat="1" x14ac:dyDescent="0.35"/>
    <row r="441" s="432" customFormat="1" x14ac:dyDescent="0.35"/>
    <row r="442" s="432" customFormat="1" x14ac:dyDescent="0.35"/>
    <row r="443" s="432" customFormat="1" x14ac:dyDescent="0.35"/>
    <row r="444" s="432" customFormat="1" x14ac:dyDescent="0.35"/>
    <row r="445" s="432" customFormat="1" x14ac:dyDescent="0.35"/>
    <row r="446" s="432" customFormat="1" x14ac:dyDescent="0.35"/>
    <row r="447" s="432" customFormat="1" x14ac:dyDescent="0.35"/>
    <row r="448" s="432" customFormat="1" x14ac:dyDescent="0.35"/>
    <row r="449" s="432" customFormat="1" x14ac:dyDescent="0.35"/>
    <row r="450" s="432" customFormat="1" x14ac:dyDescent="0.35"/>
    <row r="451" s="432" customFormat="1" x14ac:dyDescent="0.35"/>
    <row r="452" s="432" customFormat="1" x14ac:dyDescent="0.35"/>
    <row r="453" s="432" customFormat="1" x14ac:dyDescent="0.35"/>
    <row r="454" s="432" customFormat="1" x14ac:dyDescent="0.35"/>
    <row r="455" s="432" customFormat="1" x14ac:dyDescent="0.35"/>
    <row r="456" s="432" customFormat="1" x14ac:dyDescent="0.35"/>
    <row r="457" s="432" customFormat="1" x14ac:dyDescent="0.35"/>
    <row r="458" s="432" customFormat="1" x14ac:dyDescent="0.35"/>
    <row r="459" s="432" customFormat="1" x14ac:dyDescent="0.35"/>
    <row r="460" s="432" customFormat="1" x14ac:dyDescent="0.35"/>
    <row r="461" s="432" customFormat="1" x14ac:dyDescent="0.35"/>
    <row r="462" s="432" customFormat="1" x14ac:dyDescent="0.35"/>
    <row r="463" s="432" customFormat="1" x14ac:dyDescent="0.35"/>
    <row r="464" s="432" customFormat="1" x14ac:dyDescent="0.35"/>
    <row r="465" s="432" customFormat="1" x14ac:dyDescent="0.35"/>
    <row r="466" s="432" customFormat="1" x14ac:dyDescent="0.35"/>
    <row r="467" s="432" customFormat="1" x14ac:dyDescent="0.35"/>
    <row r="468" s="432" customFormat="1" x14ac:dyDescent="0.35"/>
    <row r="469" s="432" customFormat="1" x14ac:dyDescent="0.35"/>
    <row r="470" s="432" customFormat="1" x14ac:dyDescent="0.35"/>
    <row r="471" s="432" customFormat="1" x14ac:dyDescent="0.35"/>
  </sheetData>
  <sheetProtection algorithmName="SHA-512" hashValue="IuUiLs4W6GaWku4zj/pn0ffWP5TSn92jIHjf0/YXMnGtt04OGj+fV/sNh8Dz20xq2KprTAHUUzu6RcXlD5yCxA==" saltValue="K63/dJTR619YgK+SsSrCIw=="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705" r:id="rId4" name="Spinner 1">
              <controlPr defaultSize="0" autoPict="0">
                <anchor moveWithCells="1" sizeWithCells="1">
                  <from>
                    <xdr:col>2</xdr:col>
                    <xdr:colOff>1276350</xdr:colOff>
                    <xdr:row>17</xdr:row>
                    <xdr:rowOff>31750</xdr:rowOff>
                  </from>
                  <to>
                    <xdr:col>2</xdr:col>
                    <xdr:colOff>1619250</xdr:colOff>
                    <xdr:row>17</xdr:row>
                    <xdr:rowOff>209550</xdr:rowOff>
                  </to>
                </anchor>
              </controlPr>
            </control>
          </mc:Choice>
        </mc:AlternateContent>
        <mc:AlternateContent xmlns:mc="http://schemas.openxmlformats.org/markup-compatibility/2006">
          <mc:Choice Requires="x14">
            <control shapeId="72706" r:id="rId5" name="Spinner 2">
              <controlPr defaultSize="0" autoPict="0">
                <anchor moveWithCells="1" sizeWithCells="1">
                  <from>
                    <xdr:col>2</xdr:col>
                    <xdr:colOff>1276350</xdr:colOff>
                    <xdr:row>15</xdr:row>
                    <xdr:rowOff>31750</xdr:rowOff>
                  </from>
                  <to>
                    <xdr:col>2</xdr:col>
                    <xdr:colOff>1619250</xdr:colOff>
                    <xdr:row>15</xdr:row>
                    <xdr:rowOff>209550</xdr:rowOff>
                  </to>
                </anchor>
              </controlPr>
            </control>
          </mc:Choice>
        </mc:AlternateContent>
        <mc:AlternateContent xmlns:mc="http://schemas.openxmlformats.org/markup-compatibility/2006">
          <mc:Choice Requires="x14">
            <control shapeId="72707" r:id="rId6" name="Spinner 3">
              <controlPr defaultSize="0" autoPict="0">
                <anchor moveWithCells="1" sizeWithCells="1">
                  <from>
                    <xdr:col>2</xdr:col>
                    <xdr:colOff>1276350</xdr:colOff>
                    <xdr:row>19</xdr:row>
                    <xdr:rowOff>31750</xdr:rowOff>
                  </from>
                  <to>
                    <xdr:col>2</xdr:col>
                    <xdr:colOff>1619250</xdr:colOff>
                    <xdr:row>19</xdr:row>
                    <xdr:rowOff>209550</xdr:rowOff>
                  </to>
                </anchor>
              </controlPr>
            </control>
          </mc:Choice>
        </mc:AlternateContent>
        <mc:AlternateContent xmlns:mc="http://schemas.openxmlformats.org/markup-compatibility/2006">
          <mc:Choice Requires="x14">
            <control shapeId="72708" r:id="rId7" name="Spinner 4">
              <controlPr defaultSize="0" autoPict="0">
                <anchor moveWithCells="1" sizeWithCells="1">
                  <from>
                    <xdr:col>2</xdr:col>
                    <xdr:colOff>1276350</xdr:colOff>
                    <xdr:row>21</xdr:row>
                    <xdr:rowOff>31750</xdr:rowOff>
                  </from>
                  <to>
                    <xdr:col>2</xdr:col>
                    <xdr:colOff>1619250</xdr:colOff>
                    <xdr:row>21</xdr:row>
                    <xdr:rowOff>209550</xdr:rowOff>
                  </to>
                </anchor>
              </controlPr>
            </control>
          </mc:Choice>
        </mc:AlternateContent>
        <mc:AlternateContent xmlns:mc="http://schemas.openxmlformats.org/markup-compatibility/2006">
          <mc:Choice Requires="x14">
            <control shapeId="72709" r:id="rId8" name="Spinner 5">
              <controlPr defaultSize="0" autoPict="0">
                <anchor moveWithCells="1" sizeWithCells="1">
                  <from>
                    <xdr:col>2</xdr:col>
                    <xdr:colOff>1276350</xdr:colOff>
                    <xdr:row>23</xdr:row>
                    <xdr:rowOff>31750</xdr:rowOff>
                  </from>
                  <to>
                    <xdr:col>2</xdr:col>
                    <xdr:colOff>1619250</xdr:colOff>
                    <xdr:row>23</xdr:row>
                    <xdr:rowOff>209550</xdr:rowOff>
                  </to>
                </anchor>
              </controlPr>
            </control>
          </mc:Choice>
        </mc:AlternateContent>
        <mc:AlternateContent xmlns:mc="http://schemas.openxmlformats.org/markup-compatibility/2006">
          <mc:Choice Requires="x14">
            <control shapeId="72710" r:id="rId9" name="Spinner 6">
              <controlPr defaultSize="0" autoPict="0">
                <anchor moveWithCells="1" sizeWithCells="1">
                  <from>
                    <xdr:col>2</xdr:col>
                    <xdr:colOff>1276350</xdr:colOff>
                    <xdr:row>25</xdr:row>
                    <xdr:rowOff>31750</xdr:rowOff>
                  </from>
                  <to>
                    <xdr:col>2</xdr:col>
                    <xdr:colOff>1619250</xdr:colOff>
                    <xdr:row>25</xdr:row>
                    <xdr:rowOff>209550</xdr:rowOff>
                  </to>
                </anchor>
              </controlPr>
            </control>
          </mc:Choice>
        </mc:AlternateContent>
        <mc:AlternateContent xmlns:mc="http://schemas.openxmlformats.org/markup-compatibility/2006">
          <mc:Choice Requires="x14">
            <control shapeId="72711" r:id="rId10" name="Spinner 7">
              <controlPr defaultSize="0" autoPict="0">
                <anchor moveWithCells="1" sizeWithCells="1">
                  <from>
                    <xdr:col>2</xdr:col>
                    <xdr:colOff>1276350</xdr:colOff>
                    <xdr:row>27</xdr:row>
                    <xdr:rowOff>31750</xdr:rowOff>
                  </from>
                  <to>
                    <xdr:col>2</xdr:col>
                    <xdr:colOff>1619250</xdr:colOff>
                    <xdr:row>27</xdr:row>
                    <xdr:rowOff>209550</xdr:rowOff>
                  </to>
                </anchor>
              </controlPr>
            </control>
          </mc:Choice>
        </mc:AlternateContent>
        <mc:AlternateContent xmlns:mc="http://schemas.openxmlformats.org/markup-compatibility/2006">
          <mc:Choice Requires="x14">
            <control shapeId="72712" r:id="rId11" name="Spinner 8">
              <controlPr defaultSize="0" autoPict="0">
                <anchor moveWithCells="1" sizeWithCells="1">
                  <from>
                    <xdr:col>2</xdr:col>
                    <xdr:colOff>1276350</xdr:colOff>
                    <xdr:row>31</xdr:row>
                    <xdr:rowOff>19050</xdr:rowOff>
                  </from>
                  <to>
                    <xdr:col>2</xdr:col>
                    <xdr:colOff>1619250</xdr:colOff>
                    <xdr:row>31</xdr:row>
                    <xdr:rowOff>209550</xdr:rowOff>
                  </to>
                </anchor>
              </controlPr>
            </control>
          </mc:Choice>
        </mc:AlternateContent>
        <mc:AlternateContent xmlns:mc="http://schemas.openxmlformats.org/markup-compatibility/2006">
          <mc:Choice Requires="x14">
            <control shapeId="72713" r:id="rId12" name="Spinner 9">
              <controlPr defaultSize="0" autoPict="0">
                <anchor moveWithCells="1" sizeWithCells="1">
                  <from>
                    <xdr:col>2</xdr:col>
                    <xdr:colOff>1276350</xdr:colOff>
                    <xdr:row>37</xdr:row>
                    <xdr:rowOff>38100</xdr:rowOff>
                  </from>
                  <to>
                    <xdr:col>2</xdr:col>
                    <xdr:colOff>1619250</xdr:colOff>
                    <xdr:row>37</xdr:row>
                    <xdr:rowOff>222250</xdr:rowOff>
                  </to>
                </anchor>
              </controlPr>
            </control>
          </mc:Choice>
        </mc:AlternateContent>
        <mc:AlternateContent xmlns:mc="http://schemas.openxmlformats.org/markup-compatibility/2006">
          <mc:Choice Requires="x14">
            <control shapeId="72714" r:id="rId13" name="Spinner 10">
              <controlPr defaultSize="0" autoPict="0">
                <anchor moveWithCells="1" sizeWithCells="1">
                  <from>
                    <xdr:col>2</xdr:col>
                    <xdr:colOff>1276350</xdr:colOff>
                    <xdr:row>29</xdr:row>
                    <xdr:rowOff>31750</xdr:rowOff>
                  </from>
                  <to>
                    <xdr:col>2</xdr:col>
                    <xdr:colOff>1619250</xdr:colOff>
                    <xdr:row>29</xdr:row>
                    <xdr:rowOff>209550</xdr:rowOff>
                  </to>
                </anchor>
              </controlPr>
            </control>
          </mc:Choice>
        </mc:AlternateContent>
        <mc:AlternateContent xmlns:mc="http://schemas.openxmlformats.org/markup-compatibility/2006">
          <mc:Choice Requires="x14">
            <control shapeId="72715" r:id="rId14" name="Spinner 11">
              <controlPr defaultSize="0" autoPict="0">
                <anchor moveWithCells="1" sizeWithCells="1">
                  <from>
                    <xdr:col>2</xdr:col>
                    <xdr:colOff>1022350</xdr:colOff>
                    <xdr:row>35</xdr:row>
                    <xdr:rowOff>0</xdr:rowOff>
                  </from>
                  <to>
                    <xdr:col>2</xdr:col>
                    <xdr:colOff>1365250</xdr:colOff>
                    <xdr:row>35</xdr:row>
                    <xdr:rowOff>0</xdr:rowOff>
                  </to>
                </anchor>
              </controlPr>
            </control>
          </mc:Choice>
        </mc:AlternateContent>
        <mc:AlternateContent xmlns:mc="http://schemas.openxmlformats.org/markup-compatibility/2006">
          <mc:Choice Requires="x14">
            <control shapeId="72716" r:id="rId15" name="Spinner 12">
              <controlPr defaultSize="0" autoPict="0">
                <anchor moveWithCells="1" sizeWithCells="1">
                  <from>
                    <xdr:col>2</xdr:col>
                    <xdr:colOff>1276350</xdr:colOff>
                    <xdr:row>35</xdr:row>
                    <xdr:rowOff>57150</xdr:rowOff>
                  </from>
                  <to>
                    <xdr:col>2</xdr:col>
                    <xdr:colOff>1619250</xdr:colOff>
                    <xdr:row>35</xdr:row>
                    <xdr:rowOff>247650</xdr:rowOff>
                  </to>
                </anchor>
              </controlPr>
            </control>
          </mc:Choice>
        </mc:AlternateContent>
        <mc:AlternateContent xmlns:mc="http://schemas.openxmlformats.org/markup-compatibility/2006">
          <mc:Choice Requires="x14">
            <control shapeId="72717" r:id="rId16" name="Spinner 13">
              <controlPr defaultSize="0" autoPict="0">
                <anchor moveWithCells="1" sizeWithCells="1">
                  <from>
                    <xdr:col>2</xdr:col>
                    <xdr:colOff>1270000</xdr:colOff>
                    <xdr:row>33</xdr:row>
                    <xdr:rowOff>19050</xdr:rowOff>
                  </from>
                  <to>
                    <xdr:col>2</xdr:col>
                    <xdr:colOff>1612900</xdr:colOff>
                    <xdr:row>33</xdr:row>
                    <xdr:rowOff>222250</xdr:rowOff>
                  </to>
                </anchor>
              </controlPr>
            </control>
          </mc:Choice>
        </mc:AlternateContent>
        <mc:AlternateContent xmlns:mc="http://schemas.openxmlformats.org/markup-compatibility/2006">
          <mc:Choice Requires="x14">
            <control shapeId="72718" r:id="rId17" name="Spinner 14">
              <controlPr defaultSize="0" autoPict="0">
                <anchor moveWithCells="1" sizeWithCells="1">
                  <from>
                    <xdr:col>2</xdr:col>
                    <xdr:colOff>1200150</xdr:colOff>
                    <xdr:row>16</xdr:row>
                    <xdr:rowOff>0</xdr:rowOff>
                  </from>
                  <to>
                    <xdr:col>3</xdr:col>
                    <xdr:colOff>12700</xdr:colOff>
                    <xdr:row>16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BC785"/>
  <sheetViews>
    <sheetView zoomScaleNormal="100" workbookViewId="0"/>
  </sheetViews>
  <sheetFormatPr defaultColWidth="16.7265625" defaultRowHeight="13" x14ac:dyDescent="0.3"/>
  <cols>
    <col min="1" max="1" width="3.26953125" style="29" customWidth="1"/>
    <col min="2" max="2" width="82.7265625" style="29" customWidth="1"/>
    <col min="3" max="3" width="25.54296875" style="29" customWidth="1"/>
    <col min="4" max="4" width="46" style="29" customWidth="1"/>
    <col min="5" max="16384" width="16.7265625" style="29"/>
  </cols>
  <sheetData>
    <row r="1" spans="1:55" x14ac:dyDescent="0.3">
      <c r="A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row>
    <row r="2" spans="1:55" x14ac:dyDescent="0.3">
      <c r="A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row>
    <row r="3" spans="1:55" x14ac:dyDescent="0.3">
      <c r="A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row>
    <row r="4" spans="1:55" x14ac:dyDescent="0.3">
      <c r="A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row>
    <row r="5" spans="1:55" x14ac:dyDescent="0.3">
      <c r="A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row>
    <row r="6" spans="1:55" ht="13.15" customHeight="1" x14ac:dyDescent="0.3">
      <c r="A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row>
    <row r="7" spans="1:55" ht="13.15" customHeight="1" x14ac:dyDescent="0.3">
      <c r="A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row>
    <row r="8" spans="1:55" ht="13.15" customHeight="1" x14ac:dyDescent="0.3">
      <c r="A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row>
    <row r="9" spans="1:55" ht="20.149999999999999" customHeight="1" x14ac:dyDescent="0.35">
      <c r="A9" s="142"/>
      <c r="B9" s="511" t="s">
        <v>946</v>
      </c>
      <c r="C9" s="510"/>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row>
    <row r="10" spans="1:55" ht="20.149999999999999" customHeight="1" x14ac:dyDescent="0.35">
      <c r="A10" s="142"/>
      <c r="B10" s="171" t="s">
        <v>698</v>
      </c>
      <c r="C10" s="140">
        <f>'Baseline farm'!D19</f>
        <v>0</v>
      </c>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row>
    <row r="11" spans="1:55" ht="20.149999999999999" customHeight="1" x14ac:dyDescent="0.35">
      <c r="A11" s="142"/>
      <c r="B11" s="171" t="s">
        <v>427</v>
      </c>
      <c r="C11" s="140">
        <f>'Baseline farm'!D21</f>
        <v>0</v>
      </c>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row>
    <row r="12" spans="1:55" ht="20.149999999999999" hidden="1" customHeight="1" x14ac:dyDescent="0.35">
      <c r="A12" s="142"/>
      <c r="B12" s="171" t="s">
        <v>15</v>
      </c>
      <c r="C12" s="8">
        <v>0</v>
      </c>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row>
    <row r="13" spans="1:55" ht="20.149999999999999" customHeight="1" x14ac:dyDescent="0.35">
      <c r="A13" s="142"/>
      <c r="B13" s="171" t="s">
        <v>458</v>
      </c>
      <c r="C13" s="8" t="e">
        <f>'Baseline farm'!H35</f>
        <v>#DIV/0!</v>
      </c>
      <c r="D13" s="147">
        <f>C10+C11</f>
        <v>0</v>
      </c>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row>
    <row r="14" spans="1:55" ht="20.149999999999999" customHeight="1" x14ac:dyDescent="0.35">
      <c r="A14" s="142"/>
      <c r="B14" s="171" t="s">
        <v>721</v>
      </c>
      <c r="C14" s="7">
        <f>'Baseline farm'!D35</f>
        <v>0</v>
      </c>
      <c r="D14" s="147"/>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row>
    <row r="15" spans="1:55" ht="20.149999999999999" customHeight="1" x14ac:dyDescent="0.35">
      <c r="A15" s="142"/>
      <c r="B15" s="268" t="s">
        <v>468</v>
      </c>
      <c r="C15" s="278" t="e">
        <f>'Baseline farm'!F44</f>
        <v>#DIV/0!</v>
      </c>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row>
    <row r="16" spans="1:55" ht="20.149999999999999" customHeight="1" x14ac:dyDescent="0.35">
      <c r="A16" s="142"/>
      <c r="B16" s="269" t="s">
        <v>469</v>
      </c>
      <c r="C16" s="279" t="e">
        <f>'Baseline farm'!H44</f>
        <v>#DIV/0!</v>
      </c>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row>
    <row r="17" spans="1:55" ht="20.149999999999999" customHeight="1" x14ac:dyDescent="0.35">
      <c r="A17" s="142"/>
      <c r="B17" s="512" t="s">
        <v>947</v>
      </c>
      <c r="C17" s="280"/>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row>
    <row r="18" spans="1:55" ht="20.149999999999999" customHeight="1" x14ac:dyDescent="0.35">
      <c r="A18" s="142"/>
      <c r="B18" s="270" t="s">
        <v>83</v>
      </c>
      <c r="C18" s="670">
        <f>C60/1</f>
        <v>85</v>
      </c>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row>
    <row r="19" spans="1:55" ht="5.15" customHeight="1" x14ac:dyDescent="0.35">
      <c r="A19" s="142"/>
      <c r="B19" s="270"/>
      <c r="C19" s="311"/>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row>
    <row r="20" spans="1:55" ht="20.149999999999999" customHeight="1" x14ac:dyDescent="0.35">
      <c r="A20" s="142"/>
      <c r="B20" s="270" t="s">
        <v>99</v>
      </c>
      <c r="C20" s="670">
        <f>C61/1</f>
        <v>180</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row>
    <row r="21" spans="1:55" ht="5.15" customHeight="1" x14ac:dyDescent="0.35">
      <c r="A21" s="142"/>
      <c r="B21" s="270"/>
      <c r="C21" s="311"/>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row>
    <row r="22" spans="1:55" ht="20.149999999999999" customHeight="1" x14ac:dyDescent="0.35">
      <c r="A22" s="142"/>
      <c r="B22" s="270" t="s">
        <v>84</v>
      </c>
      <c r="C22" s="670">
        <f>C62/1</f>
        <v>30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row>
    <row r="23" spans="1:55" ht="5.15" customHeight="1" x14ac:dyDescent="0.35">
      <c r="A23" s="142"/>
      <c r="B23" s="270"/>
      <c r="C23" s="311"/>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row>
    <row r="24" spans="1:55" ht="20.149999999999999" customHeight="1" x14ac:dyDescent="0.35">
      <c r="A24" s="142"/>
      <c r="B24" s="172" t="s">
        <v>953</v>
      </c>
      <c r="C24" s="659">
        <f>C63/10</f>
        <v>5</v>
      </c>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row>
    <row r="25" spans="1:55" ht="5.15" customHeight="1" x14ac:dyDescent="0.35">
      <c r="A25" s="142"/>
      <c r="B25" s="172"/>
      <c r="C25" s="310"/>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row>
    <row r="26" spans="1:55" ht="20.149999999999999" customHeight="1" x14ac:dyDescent="0.35">
      <c r="A26" s="142"/>
      <c r="B26" s="172" t="s">
        <v>117</v>
      </c>
      <c r="C26" s="669">
        <f>C64/1000</f>
        <v>0.6</v>
      </c>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row>
    <row r="27" spans="1:55" ht="5.15" customHeight="1" x14ac:dyDescent="0.35">
      <c r="A27" s="142"/>
      <c r="B27" s="172"/>
      <c r="C27" s="310"/>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row>
    <row r="28" spans="1:55" ht="20.149999999999999" customHeight="1" x14ac:dyDescent="0.35">
      <c r="A28" s="142"/>
      <c r="B28" s="172" t="s">
        <v>70</v>
      </c>
      <c r="C28" s="659">
        <f>C65/100</f>
        <v>30</v>
      </c>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row>
    <row r="29" spans="1:55" ht="5.15" customHeight="1" x14ac:dyDescent="0.35">
      <c r="A29" s="142"/>
      <c r="B29" s="274"/>
      <c r="C29" s="276"/>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row>
    <row r="30" spans="1:55" ht="20.149999999999999" customHeight="1" x14ac:dyDescent="0.35">
      <c r="A30" s="142"/>
      <c r="B30" s="513" t="s">
        <v>948</v>
      </c>
      <c r="C30" s="514"/>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row>
    <row r="31" spans="1:55" ht="20.149999999999999" customHeight="1" x14ac:dyDescent="0.35">
      <c r="A31" s="142"/>
      <c r="B31" s="174" t="s">
        <v>16</v>
      </c>
      <c r="C31" s="406">
        <v>0</v>
      </c>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row>
    <row r="32" spans="1:55" ht="20.149999999999999" customHeight="1" x14ac:dyDescent="0.35">
      <c r="A32" s="142"/>
      <c r="B32" s="175" t="s">
        <v>949</v>
      </c>
      <c r="C32" s="1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row>
    <row r="33" spans="1:55" s="18" customFormat="1" ht="20.149999999999999" customHeight="1" x14ac:dyDescent="0.35">
      <c r="A33" s="17"/>
      <c r="B33" s="409" t="s">
        <v>82</v>
      </c>
      <c r="C33" s="414">
        <v>0</v>
      </c>
      <c r="I33" s="17"/>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row>
    <row r="34" spans="1:55" s="18" customFormat="1" ht="20.149999999999999" customHeight="1" x14ac:dyDescent="0.35">
      <c r="A34" s="17"/>
      <c r="B34" s="409" t="s">
        <v>456</v>
      </c>
      <c r="C34" s="414">
        <v>0</v>
      </c>
      <c r="I34" s="17"/>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row>
    <row r="35" spans="1:55" s="18" customFormat="1" ht="20.149999999999999" customHeight="1" x14ac:dyDescent="0.35">
      <c r="A35" s="17"/>
      <c r="B35" s="409" t="s">
        <v>457</v>
      </c>
      <c r="C35" s="410" t="e">
        <f>C140</f>
        <v>#DIV/0!</v>
      </c>
      <c r="I35" s="17"/>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row>
    <row r="36" spans="1:55" s="18" customFormat="1" ht="20.149999999999999" customHeight="1" x14ac:dyDescent="0.35">
      <c r="A36" s="17"/>
      <c r="B36" s="409" t="s">
        <v>197</v>
      </c>
      <c r="C36" s="410">
        <v>0</v>
      </c>
      <c r="I36" s="17"/>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row>
    <row r="37" spans="1:55" s="18" customFormat="1" ht="20.149999999999999" customHeight="1" x14ac:dyDescent="0.35">
      <c r="A37" s="17"/>
      <c r="B37" s="409" t="s">
        <v>198</v>
      </c>
      <c r="C37" s="410" t="e">
        <f>SUM(C33:C36)</f>
        <v>#DIV/0!</v>
      </c>
      <c r="I37" s="17"/>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row>
    <row r="38" spans="1:55" ht="20.149999999999999" customHeight="1" x14ac:dyDescent="0.35">
      <c r="A38" s="142"/>
      <c r="B38" s="411" t="s">
        <v>944</v>
      </c>
      <c r="C38" s="412" t="e">
        <f>IF(C37&gt;0,C37*C28,0)</f>
        <v>#DIV/0!</v>
      </c>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row>
    <row r="39" spans="1:55" ht="20.149999999999999" customHeight="1" x14ac:dyDescent="0.35">
      <c r="A39" s="142"/>
      <c r="B39" s="411" t="s">
        <v>945</v>
      </c>
      <c r="C39" s="415">
        <f>(C24*C10)</f>
        <v>0</v>
      </c>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row>
    <row r="40" spans="1:55" ht="20.149999999999999" customHeight="1" x14ac:dyDescent="0.35">
      <c r="A40" s="142"/>
      <c r="B40" s="411" t="s">
        <v>18</v>
      </c>
      <c r="C40" s="413" t="e">
        <f>IF(C38&gt;1,C38-C39,C39*-1)</f>
        <v>#DIV/0!</v>
      </c>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row>
    <row r="41" spans="1:55" ht="20.149999999999999" customHeight="1" x14ac:dyDescent="0.35">
      <c r="A41" s="142"/>
      <c r="B41" s="411" t="s">
        <v>88</v>
      </c>
      <c r="C41" s="412">
        <f>C31*C26</f>
        <v>0</v>
      </c>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row>
    <row r="42" spans="1:55" ht="20.149999999999999" customHeight="1" x14ac:dyDescent="0.35">
      <c r="A42" s="142"/>
      <c r="B42" s="411" t="s">
        <v>17</v>
      </c>
      <c r="C42" s="412" t="e">
        <f>IF(C38&gt;1,C38-C39+C41,C41-C39)</f>
        <v>#DIV/0!</v>
      </c>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row>
    <row r="43" spans="1:55" ht="20.149999999999999" customHeight="1" x14ac:dyDescent="0.35">
      <c r="A43" s="142"/>
      <c r="B43" s="1703" t="s">
        <v>950</v>
      </c>
      <c r="C43" s="1704" t="e">
        <f>C42/C75</f>
        <v>#DIV/0!</v>
      </c>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row>
    <row r="44" spans="1:55" s="142" customFormat="1" x14ac:dyDescent="0.3"/>
    <row r="45" spans="1:55" s="142" customFormat="1" x14ac:dyDescent="0.3"/>
    <row r="46" spans="1:55" s="142" customFormat="1" x14ac:dyDescent="0.3">
      <c r="B46" s="138"/>
      <c r="C46" s="518"/>
    </row>
    <row r="47" spans="1:55" s="142" customFormat="1" x14ac:dyDescent="0.3">
      <c r="B47" s="138"/>
      <c r="C47" s="518"/>
    </row>
    <row r="48" spans="1:55" s="142" customFormat="1" x14ac:dyDescent="0.3">
      <c r="B48" s="138"/>
      <c r="C48" s="518"/>
    </row>
    <row r="49" spans="2:4" s="142" customFormat="1" x14ac:dyDescent="0.3">
      <c r="B49" s="138"/>
      <c r="C49" s="518"/>
    </row>
    <row r="50" spans="2:4" s="142" customFormat="1" x14ac:dyDescent="0.3">
      <c r="B50" s="138"/>
      <c r="C50" s="518"/>
    </row>
    <row r="51" spans="2:4" s="142" customFormat="1" x14ac:dyDescent="0.3">
      <c r="B51" s="138"/>
      <c r="C51" s="518"/>
    </row>
    <row r="52" spans="2:4" s="142" customFormat="1" x14ac:dyDescent="0.3">
      <c r="B52" s="138"/>
      <c r="C52" s="518"/>
    </row>
    <row r="53" spans="2:4" s="142" customFormat="1" x14ac:dyDescent="0.3">
      <c r="B53" s="138"/>
      <c r="C53" s="518"/>
    </row>
    <row r="54" spans="2:4" s="142" customFormat="1" x14ac:dyDescent="0.3">
      <c r="B54" s="138"/>
      <c r="C54" s="518"/>
    </row>
    <row r="55" spans="2:4" s="142" customFormat="1" x14ac:dyDescent="0.3">
      <c r="B55" s="138"/>
      <c r="C55" s="518"/>
    </row>
    <row r="56" spans="2:4" s="142" customFormat="1" x14ac:dyDescent="0.3">
      <c r="B56" s="138"/>
      <c r="C56" s="518"/>
    </row>
    <row r="57" spans="2:4" s="142" customFormat="1" x14ac:dyDescent="0.3">
      <c r="B57" s="138"/>
      <c r="C57" s="518"/>
      <c r="D57" s="620"/>
    </row>
    <row r="58" spans="2:4" hidden="1" x14ac:dyDescent="0.3">
      <c r="B58" s="24"/>
      <c r="C58" s="28"/>
    </row>
    <row r="59" spans="2:4" hidden="1" x14ac:dyDescent="0.3">
      <c r="B59" s="27" t="s">
        <v>150</v>
      </c>
      <c r="C59" s="28"/>
    </row>
    <row r="60" spans="2:4" hidden="1" x14ac:dyDescent="0.3">
      <c r="B60" s="24" t="s">
        <v>709</v>
      </c>
      <c r="C60" s="28">
        <v>85</v>
      </c>
    </row>
    <row r="61" spans="2:4" hidden="1" x14ac:dyDescent="0.3">
      <c r="B61" s="24" t="s">
        <v>710</v>
      </c>
      <c r="C61" s="28">
        <v>180</v>
      </c>
    </row>
    <row r="62" spans="2:4" hidden="1" x14ac:dyDescent="0.3">
      <c r="B62" s="24" t="s">
        <v>711</v>
      </c>
      <c r="C62" s="28">
        <v>30</v>
      </c>
    </row>
    <row r="63" spans="2:4" hidden="1" x14ac:dyDescent="0.3">
      <c r="B63" s="24" t="s">
        <v>85</v>
      </c>
      <c r="C63" s="28">
        <v>50</v>
      </c>
    </row>
    <row r="64" spans="2:4" hidden="1" x14ac:dyDescent="0.3">
      <c r="B64" s="24" t="s">
        <v>81</v>
      </c>
      <c r="C64" s="378">
        <v>600</v>
      </c>
    </row>
    <row r="65" spans="2:4" hidden="1" x14ac:dyDescent="0.3">
      <c r="B65" s="24" t="s">
        <v>70</v>
      </c>
      <c r="C65" s="28">
        <v>3000</v>
      </c>
    </row>
    <row r="66" spans="2:4" hidden="1" x14ac:dyDescent="0.3">
      <c r="B66" s="24"/>
      <c r="C66" s="28"/>
    </row>
    <row r="67" spans="2:4" hidden="1" x14ac:dyDescent="0.3">
      <c r="B67" s="24"/>
      <c r="C67" s="28"/>
    </row>
    <row r="68" spans="2:4" ht="15.5" hidden="1" x14ac:dyDescent="0.35">
      <c r="B68" s="27" t="s">
        <v>140</v>
      </c>
      <c r="C68" s="166" t="s">
        <v>660</v>
      </c>
      <c r="D68" s="167"/>
    </row>
    <row r="69" spans="2:4" hidden="1" x14ac:dyDescent="0.3">
      <c r="B69" s="138" t="s">
        <v>2077</v>
      </c>
      <c r="C69" s="125" t="e">
        <f>C37*C28</f>
        <v>#DIV/0!</v>
      </c>
      <c r="D69" s="53"/>
    </row>
    <row r="70" spans="2:4" hidden="1" x14ac:dyDescent="0.3">
      <c r="B70" s="24" t="s">
        <v>19</v>
      </c>
      <c r="C70" s="125">
        <f>(C24*C10)</f>
        <v>0</v>
      </c>
      <c r="D70" s="53"/>
    </row>
    <row r="71" spans="2:4" hidden="1" x14ac:dyDescent="0.3">
      <c r="B71" s="24" t="s">
        <v>20</v>
      </c>
      <c r="C71" s="125">
        <f>C41</f>
        <v>0</v>
      </c>
      <c r="D71" s="53"/>
    </row>
    <row r="72" spans="2:4" hidden="1" x14ac:dyDescent="0.3">
      <c r="B72" s="24" t="s">
        <v>21</v>
      </c>
      <c r="C72" s="125" t="e">
        <f>C42</f>
        <v>#DIV/0!</v>
      </c>
      <c r="D72" s="53"/>
    </row>
    <row r="73" spans="2:4" hidden="1" x14ac:dyDescent="0.3">
      <c r="B73" s="24"/>
      <c r="C73" s="125"/>
      <c r="D73" s="53"/>
    </row>
    <row r="74" spans="2:4" hidden="1" x14ac:dyDescent="0.3">
      <c r="B74" s="24"/>
      <c r="C74" s="125"/>
      <c r="D74" s="53"/>
    </row>
    <row r="75" spans="2:4" hidden="1" x14ac:dyDescent="0.3">
      <c r="B75" s="24" t="s">
        <v>102</v>
      </c>
      <c r="C75" s="30" t="e">
        <f>C10*C13*C14*C26</f>
        <v>#DIV/0!</v>
      </c>
      <c r="D75" s="37"/>
    </row>
    <row r="76" spans="2:4" hidden="1" x14ac:dyDescent="0.3">
      <c r="B76" s="24" t="s">
        <v>2076</v>
      </c>
      <c r="C76" s="148" t="e">
        <f>C72/C75</f>
        <v>#DIV/0!</v>
      </c>
      <c r="D76" s="37"/>
    </row>
    <row r="77" spans="2:4" hidden="1" x14ac:dyDescent="0.3">
      <c r="B77" s="24"/>
      <c r="C77" s="30"/>
      <c r="D77" s="37"/>
    </row>
    <row r="78" spans="2:4" hidden="1" x14ac:dyDescent="0.3">
      <c r="B78" s="24"/>
      <c r="C78" s="28"/>
      <c r="D78" s="149"/>
    </row>
    <row r="79" spans="2:4" hidden="1" x14ac:dyDescent="0.3">
      <c r="B79" s="51"/>
      <c r="C79" s="127"/>
    </row>
    <row r="80" spans="2:4" hidden="1" x14ac:dyDescent="0.3">
      <c r="B80" s="51"/>
    </row>
    <row r="81" spans="2:3" hidden="1" x14ac:dyDescent="0.3">
      <c r="B81" s="48"/>
      <c r="C81" s="37"/>
    </row>
    <row r="82" spans="2:3" hidden="1" x14ac:dyDescent="0.3">
      <c r="B82" s="27" t="s">
        <v>87</v>
      </c>
      <c r="C82" s="37"/>
    </row>
    <row r="83" spans="2:3" ht="15.5" hidden="1" x14ac:dyDescent="0.3">
      <c r="B83" s="24" t="s">
        <v>1</v>
      </c>
      <c r="C83" s="39" t="s">
        <v>151</v>
      </c>
    </row>
    <row r="84" spans="2:3" hidden="1" x14ac:dyDescent="0.3">
      <c r="B84" s="24" t="s">
        <v>1</v>
      </c>
      <c r="C84" s="40" t="e">
        <f>(1.185+(0.00454*$C$11)-(0.0000026*($C$11)^2)+((0.315*$C$12)))^2*1.1+C88</f>
        <v>#DIV/0!</v>
      </c>
    </row>
    <row r="85" spans="2:3" hidden="1" x14ac:dyDescent="0.3">
      <c r="B85" s="24"/>
      <c r="C85" s="38"/>
    </row>
    <row r="86" spans="2:3" ht="15" hidden="1" x14ac:dyDescent="0.4">
      <c r="B86" s="24" t="s">
        <v>2</v>
      </c>
      <c r="C86" s="39" t="s">
        <v>152</v>
      </c>
    </row>
    <row r="87" spans="2:3" hidden="1" x14ac:dyDescent="0.3">
      <c r="B87" s="41" t="s">
        <v>1370</v>
      </c>
      <c r="C87" s="38"/>
    </row>
    <row r="88" spans="2:3" hidden="1" x14ac:dyDescent="0.3">
      <c r="B88" s="24"/>
      <c r="C88" s="42" t="e">
        <f>((C13*1.03*C14/365)*3.054)/0.6/((0.00795*C15)-0.0014)/18.4</f>
        <v>#DIV/0!</v>
      </c>
    </row>
    <row r="89" spans="2:3" hidden="1" x14ac:dyDescent="0.3">
      <c r="B89" s="24"/>
      <c r="C89" s="38"/>
    </row>
    <row r="90" spans="2:3" hidden="1" x14ac:dyDescent="0.3">
      <c r="B90" s="24" t="s">
        <v>4</v>
      </c>
      <c r="C90" s="39" t="s">
        <v>5</v>
      </c>
    </row>
    <row r="91" spans="2:3" hidden="1" x14ac:dyDescent="0.3">
      <c r="B91" s="24"/>
      <c r="C91" s="38"/>
    </row>
    <row r="92" spans="2:3" hidden="1" x14ac:dyDescent="0.3">
      <c r="B92" s="24"/>
      <c r="C92" s="42" t="e">
        <f>(C84*18.4)</f>
        <v>#DIV/0!</v>
      </c>
    </row>
    <row r="93" spans="2:3" hidden="1" x14ac:dyDescent="0.3">
      <c r="B93" s="24"/>
      <c r="C93" s="38"/>
    </row>
    <row r="94" spans="2:3" hidden="1" x14ac:dyDescent="0.3">
      <c r="B94" s="24" t="s">
        <v>6</v>
      </c>
      <c r="C94" s="39" t="s">
        <v>7</v>
      </c>
    </row>
    <row r="95" spans="2:3" hidden="1" x14ac:dyDescent="0.3">
      <c r="B95" s="24"/>
      <c r="C95" s="40" t="e">
        <f>C84/(1.185+(0.00454*C11)-(0.0000026*(C11)^2)+(0.315*0))^2</f>
        <v>#DIV/0!</v>
      </c>
    </row>
    <row r="96" spans="2:3" hidden="1" x14ac:dyDescent="0.3">
      <c r="B96" s="24"/>
      <c r="C96" s="38"/>
    </row>
    <row r="97" spans="2:7" hidden="1" x14ac:dyDescent="0.3">
      <c r="B97" s="24" t="s">
        <v>8</v>
      </c>
      <c r="C97" s="39" t="s">
        <v>9</v>
      </c>
    </row>
    <row r="98" spans="2:7" hidden="1" x14ac:dyDescent="0.3">
      <c r="B98" s="24" t="s">
        <v>153</v>
      </c>
      <c r="C98" s="38"/>
    </row>
    <row r="99" spans="2:7" hidden="1" x14ac:dyDescent="0.3">
      <c r="B99" s="24"/>
      <c r="C99" s="42" t="e">
        <f>1.3+(0.112*C15)+C95*(2.37-(0.05*C15))</f>
        <v>#DIV/0!</v>
      </c>
    </row>
    <row r="100" spans="2:7" hidden="1" x14ac:dyDescent="0.3">
      <c r="B100" s="24"/>
      <c r="C100" s="38"/>
    </row>
    <row r="101" spans="2:7" hidden="1" x14ac:dyDescent="0.3">
      <c r="B101" s="24" t="s">
        <v>10</v>
      </c>
      <c r="C101" s="39" t="s">
        <v>1527</v>
      </c>
    </row>
    <row r="102" spans="2:7" hidden="1" x14ac:dyDescent="0.3">
      <c r="B102" s="24"/>
      <c r="C102" s="132"/>
    </row>
    <row r="103" spans="2:7" hidden="1" x14ac:dyDescent="0.3">
      <c r="B103" s="27" t="s">
        <v>11</v>
      </c>
      <c r="C103" s="43" t="e">
        <f>20.7*C84/1000</f>
        <v>#DIV/0!</v>
      </c>
    </row>
    <row r="104" spans="2:7" hidden="1" x14ac:dyDescent="0.3">
      <c r="B104" s="27"/>
      <c r="C104" s="43"/>
    </row>
    <row r="105" spans="2:7" hidden="1" x14ac:dyDescent="0.3">
      <c r="B105" s="27"/>
      <c r="C105" s="43"/>
    </row>
    <row r="106" spans="2:7" hidden="1" x14ac:dyDescent="0.3">
      <c r="B106" s="27"/>
      <c r="C106" s="43"/>
      <c r="F106" s="24"/>
      <c r="G106" s="128"/>
    </row>
    <row r="107" spans="2:7" hidden="1" x14ac:dyDescent="0.3">
      <c r="B107" s="27" t="s">
        <v>171</v>
      </c>
      <c r="C107" s="128"/>
      <c r="F107" s="24"/>
      <c r="G107" s="128"/>
    </row>
    <row r="108" spans="2:7" hidden="1" x14ac:dyDescent="0.3">
      <c r="B108" s="24" t="s">
        <v>43</v>
      </c>
      <c r="C108" s="150" t="s">
        <v>172</v>
      </c>
      <c r="F108" s="46"/>
      <c r="G108" s="128"/>
    </row>
    <row r="109" spans="2:7" hidden="1" x14ac:dyDescent="0.3">
      <c r="B109" s="24"/>
      <c r="C109" s="128" t="e">
        <f>C84*C16/100</f>
        <v>#DIV/0!</v>
      </c>
      <c r="F109" s="46"/>
      <c r="G109" s="128"/>
    </row>
    <row r="110" spans="2:7" hidden="1" x14ac:dyDescent="0.3">
      <c r="B110" s="24"/>
      <c r="C110" s="128"/>
      <c r="F110" s="46"/>
      <c r="G110" s="128"/>
    </row>
    <row r="111" spans="2:7" hidden="1" x14ac:dyDescent="0.3">
      <c r="B111" s="24" t="s">
        <v>173</v>
      </c>
      <c r="C111" s="151" t="s">
        <v>174</v>
      </c>
      <c r="F111" s="46"/>
      <c r="G111" s="128"/>
    </row>
    <row r="112" spans="2:7" hidden="1" x14ac:dyDescent="0.3">
      <c r="B112" s="46"/>
      <c r="C112" s="128" t="e">
        <f>((0.3*(C109*(1-((C15+10)/100))))+(0.105*(C115*C84*0.008))+((0.0152*C84)))/6.25*1000</f>
        <v>#DIV/0!</v>
      </c>
      <c r="F112" s="46"/>
      <c r="G112" s="128"/>
    </row>
    <row r="113" spans="2:7" hidden="1" x14ac:dyDescent="0.3">
      <c r="B113" s="46"/>
      <c r="C113" s="128"/>
      <c r="F113" s="46"/>
      <c r="G113" s="128"/>
    </row>
    <row r="114" spans="2:7" hidden="1" x14ac:dyDescent="0.3">
      <c r="B114" s="46" t="s">
        <v>44</v>
      </c>
      <c r="C114" s="152" t="s">
        <v>176</v>
      </c>
      <c r="F114" s="46"/>
      <c r="G114" s="128"/>
    </row>
    <row r="115" spans="2:7" hidden="1" x14ac:dyDescent="0.3">
      <c r="B115" s="46"/>
      <c r="C115" s="128" t="e">
        <f>(0.1604*C15)-1.037</f>
        <v>#DIV/0!</v>
      </c>
      <c r="F115" s="46"/>
      <c r="G115" s="128"/>
    </row>
    <row r="116" spans="2:7" hidden="1" x14ac:dyDescent="0.3">
      <c r="B116" s="46"/>
      <c r="C116" s="128"/>
      <c r="F116" s="46"/>
      <c r="G116" s="128"/>
    </row>
    <row r="117" spans="2:7" hidden="1" x14ac:dyDescent="0.3">
      <c r="B117" s="46" t="s">
        <v>45</v>
      </c>
      <c r="C117" s="153" t="s">
        <v>1371</v>
      </c>
      <c r="F117" s="46"/>
      <c r="G117" s="128"/>
    </row>
    <row r="118" spans="2:7" hidden="1" x14ac:dyDescent="0.3">
      <c r="C118" s="128" t="e">
        <f>((0.032*C13*1.03/6.38)+((0.212-0.008*(C95-2)-((0.14-0.008*(C95-2))/(1+EXP(-6*(C120-0.4)))))*(C12*0.92))/6.25*1000)</f>
        <v>#DIV/0!</v>
      </c>
    </row>
    <row r="119" spans="2:7" hidden="1" x14ac:dyDescent="0.3">
      <c r="B119" s="46"/>
      <c r="C119" s="128"/>
    </row>
    <row r="120" spans="2:7" hidden="1" x14ac:dyDescent="0.3">
      <c r="B120" s="46" t="s">
        <v>46</v>
      </c>
      <c r="C120" s="128">
        <f>C11/590</f>
        <v>0</v>
      </c>
    </row>
    <row r="121" spans="2:7" hidden="1" x14ac:dyDescent="0.3">
      <c r="C121" s="128"/>
    </row>
    <row r="122" spans="2:7" hidden="1" x14ac:dyDescent="0.3">
      <c r="B122" s="46"/>
      <c r="C122" s="128"/>
    </row>
    <row r="123" spans="2:7" hidden="1" x14ac:dyDescent="0.3">
      <c r="B123" s="46" t="s">
        <v>48</v>
      </c>
      <c r="C123" s="153" t="s">
        <v>47</v>
      </c>
    </row>
    <row r="124" spans="2:7" s="133" customFormat="1" hidden="1" x14ac:dyDescent="0.3">
      <c r="B124" s="29"/>
      <c r="C124" s="154" t="e">
        <f>(C109/6.25*1000)-C118-C112-((1.1*10^-4*C11^0.75)/6.25*1000)</f>
        <v>#DIV/0!</v>
      </c>
      <c r="D124" s="29"/>
      <c r="F124" s="155"/>
      <c r="G124" s="155"/>
    </row>
    <row r="125" spans="2:7" s="133" customFormat="1" hidden="1" x14ac:dyDescent="0.3">
      <c r="B125" s="46"/>
      <c r="C125" s="128"/>
      <c r="D125" s="29"/>
    </row>
    <row r="126" spans="2:7" s="133" customFormat="1" hidden="1" x14ac:dyDescent="0.3">
      <c r="B126" s="46"/>
      <c r="C126" s="29"/>
    </row>
    <row r="127" spans="2:7" hidden="1" x14ac:dyDescent="0.3">
      <c r="B127" s="135" t="s">
        <v>133</v>
      </c>
      <c r="C127" s="128"/>
      <c r="D127" s="133"/>
    </row>
    <row r="128" spans="2:7" hidden="1" x14ac:dyDescent="0.3">
      <c r="B128" s="46" t="s">
        <v>775</v>
      </c>
      <c r="C128" s="156" t="e">
        <f>C124*C10*365*10^-9</f>
        <v>#DIV/0!</v>
      </c>
      <c r="D128" s="133" t="s">
        <v>175</v>
      </c>
    </row>
    <row r="129" spans="2:9" hidden="1" x14ac:dyDescent="0.3">
      <c r="B129" s="24" t="s">
        <v>778</v>
      </c>
      <c r="C129" s="40" t="e">
        <f>C128*C18/100*0.4/100*1.57*'Emission factors'!C5*1000</f>
        <v>#DIV/0!</v>
      </c>
      <c r="D129" s="29" t="s">
        <v>1532</v>
      </c>
      <c r="E129" s="51"/>
    </row>
    <row r="130" spans="2:9" hidden="1" x14ac:dyDescent="0.3">
      <c r="B130" s="24" t="s">
        <v>777</v>
      </c>
      <c r="C130" s="40" t="e">
        <f>C129*(100-C22)%</f>
        <v>#DIV/0!</v>
      </c>
      <c r="D130" s="29" t="s">
        <v>769</v>
      </c>
      <c r="E130" s="51"/>
    </row>
    <row r="131" spans="2:9" hidden="1" x14ac:dyDescent="0.3">
      <c r="B131" s="24" t="s">
        <v>771</v>
      </c>
      <c r="C131" s="40" t="e">
        <f>C129-C130</f>
        <v>#DIV/0!</v>
      </c>
      <c r="D131" s="29" t="s">
        <v>1982</v>
      </c>
      <c r="E131" s="51"/>
    </row>
    <row r="132" spans="2:9" hidden="1" x14ac:dyDescent="0.3">
      <c r="B132" s="24" t="s">
        <v>770</v>
      </c>
      <c r="C132" s="43" t="e">
        <f>C131/365*C20</f>
        <v>#DIV/0!</v>
      </c>
      <c r="E132" s="51"/>
    </row>
    <row r="133" spans="2:9" hidden="1" x14ac:dyDescent="0.3">
      <c r="B133" s="24"/>
      <c r="C133" s="40"/>
    </row>
    <row r="134" spans="2:9" hidden="1" x14ac:dyDescent="0.3">
      <c r="B134" s="134" t="s">
        <v>132</v>
      </c>
      <c r="C134" s="40"/>
      <c r="D134" s="51"/>
    </row>
    <row r="135" spans="2:9" hidden="1" x14ac:dyDescent="0.3">
      <c r="B135" s="133" t="s">
        <v>211</v>
      </c>
      <c r="C135" s="157" t="e">
        <f>C128*C18/100*0.24*0.011*1.57*'Emission factors'!C5*1000</f>
        <v>#DIV/0!</v>
      </c>
      <c r="D135" s="29" t="s">
        <v>1533</v>
      </c>
    </row>
    <row r="136" spans="2:9" hidden="1" x14ac:dyDescent="0.3">
      <c r="B136" s="133" t="s">
        <v>779</v>
      </c>
      <c r="C136" s="157" t="e">
        <f>C135*(100-C22)%</f>
        <v>#DIV/0!</v>
      </c>
      <c r="D136" s="29" t="s">
        <v>773</v>
      </c>
    </row>
    <row r="137" spans="2:9" hidden="1" x14ac:dyDescent="0.3">
      <c r="B137" s="133" t="s">
        <v>772</v>
      </c>
      <c r="C137" s="157" t="e">
        <f>C135-C136</f>
        <v>#DIV/0!</v>
      </c>
      <c r="D137" s="29" t="s">
        <v>1983</v>
      </c>
    </row>
    <row r="138" spans="2:9" hidden="1" x14ac:dyDescent="0.3">
      <c r="B138" s="29" t="s">
        <v>774</v>
      </c>
      <c r="C138" s="158" t="e">
        <f>C137/365*C20</f>
        <v>#DIV/0!</v>
      </c>
    </row>
    <row r="139" spans="2:9" hidden="1" x14ac:dyDescent="0.3">
      <c r="C139" s="155"/>
    </row>
    <row r="140" spans="2:9" hidden="1" x14ac:dyDescent="0.3">
      <c r="B140" s="48" t="s">
        <v>776</v>
      </c>
      <c r="C140" s="158" t="e">
        <f>C138+C132</f>
        <v>#DIV/0!</v>
      </c>
    </row>
    <row r="141" spans="2:9" hidden="1" x14ac:dyDescent="0.3">
      <c r="B141" s="24"/>
      <c r="C141" s="31"/>
      <c r="E141" s="149"/>
      <c r="I141" s="159"/>
    </row>
    <row r="142" spans="2:9" hidden="1" x14ac:dyDescent="0.3">
      <c r="B142" s="24" t="s">
        <v>208</v>
      </c>
      <c r="C142" s="31" t="e">
        <f>C129+C135</f>
        <v>#DIV/0!</v>
      </c>
      <c r="D142" s="29" t="s">
        <v>178</v>
      </c>
    </row>
    <row r="143" spans="2:9" hidden="1" x14ac:dyDescent="0.3">
      <c r="B143" s="24" t="s">
        <v>209</v>
      </c>
      <c r="C143" s="31" t="e">
        <f>C130+C136</f>
        <v>#DIV/0!</v>
      </c>
      <c r="D143" s="160" t="s">
        <v>974</v>
      </c>
    </row>
    <row r="144" spans="2:9" hidden="1" x14ac:dyDescent="0.3">
      <c r="B144" s="29" t="s">
        <v>210</v>
      </c>
      <c r="C144" s="49" t="e">
        <f>C142-C143</f>
        <v>#DIV/0!</v>
      </c>
      <c r="D144" s="161" t="s">
        <v>780</v>
      </c>
    </row>
    <row r="145" spans="2:13" hidden="1" x14ac:dyDescent="0.3">
      <c r="B145" s="27" t="s">
        <v>134</v>
      </c>
      <c r="C145" s="162" t="e">
        <f>C144/C142</f>
        <v>#DIV/0!</v>
      </c>
      <c r="D145" s="163" t="s">
        <v>177</v>
      </c>
    </row>
    <row r="146" spans="2:13" hidden="1" x14ac:dyDescent="0.3">
      <c r="B146" s="24"/>
      <c r="C146" s="31"/>
      <c r="D146" s="37"/>
    </row>
    <row r="147" spans="2:13" s="142" customFormat="1" ht="13.5" hidden="1" x14ac:dyDescent="0.35">
      <c r="B147" s="138"/>
      <c r="C147" s="561"/>
      <c r="D147" s="562"/>
      <c r="F147" s="560"/>
    </row>
    <row r="148" spans="2:13" s="142" customFormat="1" ht="13.5" hidden="1" x14ac:dyDescent="0.35">
      <c r="B148" s="138"/>
      <c r="C148" s="487"/>
      <c r="D148" s="563"/>
      <c r="F148" s="560"/>
    </row>
    <row r="149" spans="2:13" s="142" customFormat="1" hidden="1" x14ac:dyDescent="0.3">
      <c r="B149" s="138"/>
      <c r="C149" s="487"/>
      <c r="D149" s="562"/>
      <c r="F149" s="560"/>
    </row>
    <row r="150" spans="2:13" s="142" customFormat="1" x14ac:dyDescent="0.3">
      <c r="B150" s="138"/>
      <c r="C150" s="487"/>
      <c r="D150" s="564"/>
      <c r="F150" s="560"/>
    </row>
    <row r="151" spans="2:13" s="142" customFormat="1" x14ac:dyDescent="0.3">
      <c r="B151" s="138"/>
      <c r="C151" s="487"/>
      <c r="D151" s="565"/>
      <c r="F151" s="560"/>
    </row>
    <row r="152" spans="2:13" s="142" customFormat="1" x14ac:dyDescent="0.3">
      <c r="B152" s="138"/>
      <c r="C152" s="559"/>
      <c r="D152" s="562"/>
      <c r="F152" s="560"/>
    </row>
    <row r="153" spans="2:13" s="142" customFormat="1" x14ac:dyDescent="0.3">
      <c r="B153" s="138"/>
      <c r="C153" s="562"/>
      <c r="D153" s="562"/>
      <c r="F153" s="560"/>
    </row>
    <row r="154" spans="2:13" s="142" customFormat="1" ht="13.5" x14ac:dyDescent="0.35">
      <c r="B154" s="138"/>
      <c r="C154" s="563"/>
      <c r="D154" s="566"/>
      <c r="F154" s="560"/>
    </row>
    <row r="155" spans="2:13" s="142" customFormat="1" x14ac:dyDescent="0.3">
      <c r="B155" s="138"/>
      <c r="C155" s="562"/>
      <c r="D155" s="567"/>
      <c r="F155" s="560"/>
    </row>
    <row r="156" spans="2:13" s="142" customFormat="1" x14ac:dyDescent="0.3">
      <c r="B156" s="138"/>
      <c r="C156" s="559"/>
      <c r="D156" s="568"/>
      <c r="F156" s="560"/>
    </row>
    <row r="157" spans="2:13" s="142" customFormat="1" x14ac:dyDescent="0.3">
      <c r="B157" s="138"/>
      <c r="C157" s="562"/>
      <c r="D157" s="569"/>
      <c r="F157" s="560"/>
    </row>
    <row r="158" spans="2:13" s="142" customFormat="1" ht="13.5" x14ac:dyDescent="0.35">
      <c r="B158" s="138"/>
      <c r="C158" s="563"/>
      <c r="D158" s="569"/>
      <c r="F158" s="560"/>
    </row>
    <row r="159" spans="2:13" s="142" customFormat="1" x14ac:dyDescent="0.3">
      <c r="B159" s="138"/>
      <c r="C159" s="487"/>
      <c r="D159" s="520"/>
      <c r="F159" s="570"/>
    </row>
    <row r="160" spans="2:13" s="142" customFormat="1" x14ac:dyDescent="0.3">
      <c r="B160" s="138"/>
      <c r="C160" s="562"/>
      <c r="F160" s="560"/>
      <c r="K160" s="488"/>
      <c r="L160" s="488"/>
      <c r="M160" s="488"/>
    </row>
    <row r="161" spans="1:13" s="142" customFormat="1" ht="13.5" x14ac:dyDescent="0.35">
      <c r="B161" s="138"/>
      <c r="C161" s="563"/>
      <c r="D161" s="560"/>
      <c r="F161" s="560"/>
      <c r="K161" s="488"/>
      <c r="L161" s="488"/>
      <c r="M161" s="488"/>
    </row>
    <row r="162" spans="1:13" s="142" customFormat="1" x14ac:dyDescent="0.3">
      <c r="B162" s="138"/>
      <c r="C162" s="562"/>
      <c r="D162" s="138"/>
      <c r="F162" s="560"/>
      <c r="K162" s="488"/>
      <c r="L162" s="488"/>
      <c r="M162" s="488"/>
    </row>
    <row r="163" spans="1:13" s="142" customFormat="1" ht="13.5" x14ac:dyDescent="0.35">
      <c r="B163" s="138"/>
      <c r="C163" s="559"/>
      <c r="D163" s="571"/>
      <c r="F163" s="560"/>
      <c r="K163" s="488"/>
      <c r="L163" s="488"/>
      <c r="M163" s="488"/>
    </row>
    <row r="164" spans="1:13" s="142" customFormat="1" x14ac:dyDescent="0.3">
      <c r="B164" s="138"/>
      <c r="C164" s="562"/>
      <c r="D164" s="487"/>
      <c r="F164" s="560"/>
      <c r="K164" s="488"/>
      <c r="L164" s="488"/>
      <c r="M164" s="488"/>
    </row>
    <row r="165" spans="1:13" s="142" customFormat="1" ht="13.5" x14ac:dyDescent="0.35">
      <c r="B165" s="138"/>
      <c r="C165" s="563"/>
      <c r="D165" s="562"/>
      <c r="F165" s="560"/>
      <c r="K165" s="488"/>
      <c r="L165" s="488"/>
      <c r="M165" s="488"/>
    </row>
    <row r="166" spans="1:13" s="142" customFormat="1" x14ac:dyDescent="0.3">
      <c r="B166" s="138"/>
      <c r="C166" s="562"/>
      <c r="D166" s="562"/>
      <c r="F166" s="560"/>
    </row>
    <row r="167" spans="1:13" s="142" customFormat="1" x14ac:dyDescent="0.3">
      <c r="B167" s="519"/>
      <c r="C167" s="564"/>
      <c r="D167" s="562"/>
      <c r="F167" s="560"/>
    </row>
    <row r="168" spans="1:13" s="142" customFormat="1" x14ac:dyDescent="0.3">
      <c r="B168" s="520"/>
      <c r="C168" s="565"/>
      <c r="D168" s="562"/>
      <c r="F168" s="560"/>
    </row>
    <row r="169" spans="1:13" s="142" customFormat="1" x14ac:dyDescent="0.3">
      <c r="B169" s="519"/>
      <c r="C169" s="562"/>
      <c r="D169" s="562"/>
      <c r="F169" s="560"/>
    </row>
    <row r="170" spans="1:13" s="142" customFormat="1" x14ac:dyDescent="0.3">
      <c r="B170" s="138"/>
      <c r="C170" s="562"/>
      <c r="D170" s="572"/>
      <c r="F170" s="560"/>
    </row>
    <row r="171" spans="1:13" s="142" customFormat="1" x14ac:dyDescent="0.3">
      <c r="B171" s="138"/>
      <c r="C171" s="566"/>
      <c r="D171" s="572"/>
      <c r="F171" s="560"/>
    </row>
    <row r="172" spans="1:13" s="142" customFormat="1" x14ac:dyDescent="0.3">
      <c r="B172" s="138"/>
      <c r="C172" s="567"/>
      <c r="D172" s="562"/>
      <c r="F172" s="560"/>
    </row>
    <row r="173" spans="1:13" s="142" customFormat="1" ht="13.5" x14ac:dyDescent="0.35">
      <c r="B173" s="519"/>
      <c r="C173" s="568"/>
      <c r="D173" s="563"/>
      <c r="F173" s="560"/>
    </row>
    <row r="174" spans="1:13" s="142" customFormat="1" x14ac:dyDescent="0.3">
      <c r="A174" s="520"/>
      <c r="B174" s="138"/>
      <c r="C174" s="138"/>
      <c r="D174" s="562"/>
      <c r="F174" s="560"/>
    </row>
    <row r="175" spans="1:13" s="142" customFormat="1" x14ac:dyDescent="0.3">
      <c r="A175" s="520"/>
      <c r="B175" s="138"/>
      <c r="C175" s="138"/>
      <c r="D175" s="559"/>
      <c r="F175" s="560"/>
    </row>
    <row r="176" spans="1:13" s="142" customFormat="1" x14ac:dyDescent="0.3">
      <c r="A176" s="520"/>
      <c r="B176" s="138"/>
      <c r="C176" s="138"/>
      <c r="D176" s="562"/>
      <c r="F176" s="560"/>
    </row>
    <row r="177" spans="1:6" s="142" customFormat="1" ht="13.5" x14ac:dyDescent="0.35">
      <c r="A177" s="520"/>
      <c r="B177" s="138"/>
      <c r="C177" s="138"/>
      <c r="D177" s="563"/>
      <c r="F177" s="560"/>
    </row>
    <row r="178" spans="1:6" s="142" customFormat="1" x14ac:dyDescent="0.3">
      <c r="A178" s="520"/>
      <c r="B178" s="138"/>
      <c r="C178" s="138"/>
      <c r="D178" s="562"/>
      <c r="F178" s="560"/>
    </row>
    <row r="179" spans="1:6" s="142" customFormat="1" x14ac:dyDescent="0.3">
      <c r="A179" s="520"/>
      <c r="B179" s="138"/>
      <c r="C179" s="138"/>
      <c r="D179" s="559"/>
      <c r="F179" s="560"/>
    </row>
    <row r="180" spans="1:6" s="142" customFormat="1" x14ac:dyDescent="0.3">
      <c r="A180" s="520"/>
      <c r="B180" s="138"/>
      <c r="C180" s="138"/>
      <c r="D180" s="562"/>
      <c r="F180" s="560"/>
    </row>
    <row r="181" spans="1:6" s="142" customFormat="1" ht="13.5" x14ac:dyDescent="0.35">
      <c r="A181" s="520"/>
      <c r="B181" s="138"/>
      <c r="C181" s="573"/>
      <c r="D181" s="563"/>
      <c r="F181" s="560"/>
    </row>
    <row r="182" spans="1:6" s="142" customFormat="1" x14ac:dyDescent="0.3">
      <c r="A182" s="520"/>
      <c r="B182" s="138"/>
      <c r="C182" s="138"/>
      <c r="D182" s="487"/>
      <c r="F182" s="560"/>
    </row>
    <row r="183" spans="1:6" s="142" customFormat="1" x14ac:dyDescent="0.3">
      <c r="A183" s="520"/>
      <c r="B183" s="138"/>
      <c r="C183" s="138"/>
      <c r="D183" s="562"/>
      <c r="F183" s="560"/>
    </row>
    <row r="184" spans="1:6" s="142" customFormat="1" ht="13.5" x14ac:dyDescent="0.35">
      <c r="A184" s="520"/>
      <c r="B184" s="138"/>
      <c r="C184" s="138"/>
      <c r="D184" s="563"/>
      <c r="F184" s="560"/>
    </row>
    <row r="185" spans="1:6" s="142" customFormat="1" x14ac:dyDescent="0.3">
      <c r="A185" s="520"/>
      <c r="B185" s="138"/>
      <c r="C185" s="138"/>
      <c r="D185" s="562"/>
      <c r="F185" s="560"/>
    </row>
    <row r="186" spans="1:6" s="142" customFormat="1" x14ac:dyDescent="0.3">
      <c r="A186" s="520"/>
      <c r="B186" s="138"/>
      <c r="C186" s="138"/>
      <c r="D186" s="559"/>
      <c r="F186" s="560"/>
    </row>
    <row r="187" spans="1:6" s="142" customFormat="1" x14ac:dyDescent="0.3">
      <c r="A187" s="520"/>
      <c r="B187" s="138"/>
      <c r="C187" s="138"/>
      <c r="D187" s="562"/>
      <c r="F187" s="560"/>
    </row>
    <row r="188" spans="1:6" s="142" customFormat="1" ht="13.5" x14ac:dyDescent="0.35">
      <c r="A188" s="520"/>
      <c r="B188" s="138"/>
      <c r="C188" s="138"/>
      <c r="D188" s="563"/>
      <c r="F188" s="560"/>
    </row>
    <row r="189" spans="1:6" s="142" customFormat="1" x14ac:dyDescent="0.3">
      <c r="A189" s="520"/>
      <c r="B189" s="138"/>
      <c r="C189" s="138"/>
      <c r="D189" s="562"/>
      <c r="F189" s="560"/>
    </row>
    <row r="190" spans="1:6" s="142" customFormat="1" x14ac:dyDescent="0.3">
      <c r="A190" s="520"/>
      <c r="B190" s="138"/>
      <c r="C190" s="138"/>
      <c r="D190" s="564"/>
      <c r="F190" s="560"/>
    </row>
    <row r="191" spans="1:6" s="142" customFormat="1" x14ac:dyDescent="0.3">
      <c r="A191" s="520"/>
      <c r="B191" s="138"/>
      <c r="C191" s="138"/>
      <c r="D191" s="565"/>
      <c r="F191" s="560"/>
    </row>
    <row r="192" spans="1:6" s="142" customFormat="1" x14ac:dyDescent="0.3">
      <c r="A192" s="520"/>
      <c r="B192" s="138"/>
      <c r="C192" s="138"/>
      <c r="D192" s="562"/>
      <c r="F192" s="560"/>
    </row>
    <row r="193" spans="1:6" s="142" customFormat="1" x14ac:dyDescent="0.3">
      <c r="A193" s="520"/>
      <c r="B193" s="138"/>
      <c r="C193" s="138"/>
      <c r="D193" s="562"/>
      <c r="F193" s="560"/>
    </row>
    <row r="194" spans="1:6" s="142" customFormat="1" x14ac:dyDescent="0.3">
      <c r="A194" s="520"/>
      <c r="B194" s="138"/>
      <c r="C194" s="138"/>
      <c r="D194" s="559"/>
      <c r="F194" s="560"/>
    </row>
    <row r="195" spans="1:6" s="142" customFormat="1" x14ac:dyDescent="0.3">
      <c r="A195" s="520"/>
      <c r="B195" s="520"/>
      <c r="C195" s="138"/>
      <c r="D195" s="559"/>
    </row>
    <row r="196" spans="1:6" s="142" customFormat="1" x14ac:dyDescent="0.3">
      <c r="A196" s="520"/>
      <c r="B196" s="520"/>
      <c r="C196" s="138"/>
      <c r="D196" s="568"/>
    </row>
    <row r="197" spans="1:6" s="142" customFormat="1" x14ac:dyDescent="0.3">
      <c r="A197" s="520"/>
      <c r="B197" s="520"/>
      <c r="C197" s="519"/>
      <c r="D197" s="520"/>
    </row>
    <row r="198" spans="1:6" s="142" customFormat="1" x14ac:dyDescent="0.3">
      <c r="A198" s="520"/>
      <c r="B198" s="520"/>
      <c r="C198" s="520"/>
      <c r="D198" s="574"/>
    </row>
    <row r="199" spans="1:6" s="142" customFormat="1" x14ac:dyDescent="0.3">
      <c r="A199" s="520"/>
      <c r="B199" s="520"/>
      <c r="C199" s="519"/>
    </row>
    <row r="200" spans="1:6" s="142" customFormat="1" x14ac:dyDescent="0.3">
      <c r="A200" s="520"/>
      <c r="B200" s="520"/>
      <c r="C200" s="138"/>
    </row>
    <row r="201" spans="1:6" s="142" customFormat="1" x14ac:dyDescent="0.3">
      <c r="A201" s="520"/>
      <c r="B201" s="520"/>
      <c r="C201" s="138"/>
    </row>
    <row r="202" spans="1:6" s="142" customFormat="1" x14ac:dyDescent="0.3">
      <c r="A202" s="520"/>
      <c r="B202" s="520"/>
      <c r="C202" s="138"/>
    </row>
    <row r="203" spans="1:6" s="142" customFormat="1" x14ac:dyDescent="0.3">
      <c r="A203" s="520"/>
      <c r="B203" s="520"/>
      <c r="C203" s="519"/>
    </row>
    <row r="204" spans="1:6" s="142" customFormat="1" x14ac:dyDescent="0.3">
      <c r="A204" s="520"/>
      <c r="B204" s="520"/>
      <c r="C204" s="520"/>
    </row>
    <row r="205" spans="1:6" s="142" customFormat="1" x14ac:dyDescent="0.3">
      <c r="A205" s="520"/>
      <c r="C205" s="519"/>
    </row>
    <row r="206" spans="1:6" s="142" customFormat="1" x14ac:dyDescent="0.3">
      <c r="A206" s="520"/>
      <c r="C206" s="138"/>
    </row>
    <row r="207" spans="1:6" s="142" customFormat="1" x14ac:dyDescent="0.3">
      <c r="A207" s="520"/>
      <c r="C207" s="138"/>
    </row>
    <row r="208" spans="1:6" s="142" customFormat="1" x14ac:dyDescent="0.3">
      <c r="A208" s="520"/>
    </row>
    <row r="209" spans="1:1" s="142" customFormat="1" x14ac:dyDescent="0.3">
      <c r="A209" s="520"/>
    </row>
    <row r="210" spans="1:1" s="142" customFormat="1" x14ac:dyDescent="0.3">
      <c r="A210" s="520"/>
    </row>
    <row r="211" spans="1:1" s="142" customFormat="1" x14ac:dyDescent="0.3">
      <c r="A211" s="520"/>
    </row>
    <row r="212" spans="1:1" s="142" customFormat="1" x14ac:dyDescent="0.3">
      <c r="A212" s="520"/>
    </row>
    <row r="213" spans="1:1" s="142" customFormat="1" x14ac:dyDescent="0.3">
      <c r="A213" s="520"/>
    </row>
    <row r="214" spans="1:1" s="142" customFormat="1" x14ac:dyDescent="0.3">
      <c r="A214" s="520"/>
    </row>
    <row r="215" spans="1:1" s="142" customFormat="1" x14ac:dyDescent="0.3">
      <c r="A215" s="520"/>
    </row>
    <row r="216" spans="1:1" s="142" customFormat="1" x14ac:dyDescent="0.3">
      <c r="A216" s="520"/>
    </row>
    <row r="217" spans="1:1" s="142" customFormat="1" x14ac:dyDescent="0.3">
      <c r="A217" s="520"/>
    </row>
    <row r="218" spans="1:1" s="142" customFormat="1" x14ac:dyDescent="0.3">
      <c r="A218" s="520"/>
    </row>
    <row r="219" spans="1:1" s="142" customFormat="1" x14ac:dyDescent="0.3">
      <c r="A219" s="520"/>
    </row>
    <row r="220" spans="1:1" s="142" customFormat="1" x14ac:dyDescent="0.3">
      <c r="A220" s="520"/>
    </row>
    <row r="221" spans="1:1" s="142" customFormat="1" x14ac:dyDescent="0.3">
      <c r="A221" s="520"/>
    </row>
    <row r="222" spans="1:1" s="142" customFormat="1" x14ac:dyDescent="0.3">
      <c r="A222" s="520"/>
    </row>
    <row r="223" spans="1:1" s="142" customFormat="1" x14ac:dyDescent="0.3">
      <c r="A223" s="520"/>
    </row>
    <row r="224" spans="1:1" s="142" customFormat="1" x14ac:dyDescent="0.3">
      <c r="A224" s="520"/>
    </row>
    <row r="225" spans="1:1" s="142" customFormat="1" x14ac:dyDescent="0.3">
      <c r="A225" s="520"/>
    </row>
    <row r="226" spans="1:1" s="142" customFormat="1" x14ac:dyDescent="0.3">
      <c r="A226" s="520"/>
    </row>
    <row r="227" spans="1:1" s="142" customFormat="1" x14ac:dyDescent="0.3">
      <c r="A227" s="520"/>
    </row>
    <row r="228" spans="1:1" s="142" customFormat="1" x14ac:dyDescent="0.3">
      <c r="A228" s="520"/>
    </row>
    <row r="229" spans="1:1" s="142" customFormat="1" x14ac:dyDescent="0.3">
      <c r="A229" s="520"/>
    </row>
    <row r="230" spans="1:1" s="142" customFormat="1" x14ac:dyDescent="0.3">
      <c r="A230" s="520"/>
    </row>
    <row r="231" spans="1:1" s="142" customFormat="1" x14ac:dyDescent="0.3">
      <c r="A231" s="520"/>
    </row>
    <row r="232" spans="1:1" s="142" customFormat="1" x14ac:dyDescent="0.3">
      <c r="A232" s="520"/>
    </row>
    <row r="233" spans="1:1" s="142" customFormat="1" x14ac:dyDescent="0.3">
      <c r="A233" s="520"/>
    </row>
    <row r="234" spans="1:1" s="142" customFormat="1" x14ac:dyDescent="0.3"/>
    <row r="235" spans="1:1" s="142" customFormat="1" x14ac:dyDescent="0.3"/>
    <row r="236" spans="1:1" s="142" customFormat="1" x14ac:dyDescent="0.3"/>
    <row r="237" spans="1:1" s="142" customFormat="1" x14ac:dyDescent="0.3"/>
    <row r="238" spans="1:1" s="142" customFormat="1" x14ac:dyDescent="0.3"/>
    <row r="239" spans="1:1" s="142" customFormat="1" x14ac:dyDescent="0.3"/>
    <row r="240" spans="1:1" s="142" customFormat="1" x14ac:dyDescent="0.3"/>
    <row r="241" s="142" customFormat="1" x14ac:dyDescent="0.3"/>
    <row r="242" s="142" customFormat="1" x14ac:dyDescent="0.3"/>
    <row r="243" s="142" customFormat="1" x14ac:dyDescent="0.3"/>
    <row r="244" s="142" customFormat="1" x14ac:dyDescent="0.3"/>
    <row r="245" s="142" customFormat="1" x14ac:dyDescent="0.3"/>
    <row r="246" s="142" customFormat="1" x14ac:dyDescent="0.3"/>
    <row r="247" s="142" customFormat="1" x14ac:dyDescent="0.3"/>
    <row r="248" s="142" customFormat="1" x14ac:dyDescent="0.3"/>
    <row r="249" s="142" customFormat="1" x14ac:dyDescent="0.3"/>
    <row r="250" s="142" customFormat="1" x14ac:dyDescent="0.3"/>
    <row r="251" s="142" customFormat="1" x14ac:dyDescent="0.3"/>
    <row r="252" s="142" customFormat="1" x14ac:dyDescent="0.3"/>
    <row r="253" s="142" customFormat="1" x14ac:dyDescent="0.3"/>
    <row r="254" s="142" customFormat="1" x14ac:dyDescent="0.3"/>
    <row r="255" s="142" customFormat="1" x14ac:dyDescent="0.3"/>
    <row r="256" s="142" customFormat="1" x14ac:dyDescent="0.3"/>
    <row r="257" s="142" customFormat="1" x14ac:dyDescent="0.3"/>
    <row r="258" s="142" customFormat="1" x14ac:dyDescent="0.3"/>
    <row r="259" s="142" customFormat="1" x14ac:dyDescent="0.3"/>
    <row r="260" s="142" customFormat="1" x14ac:dyDescent="0.3"/>
    <row r="261" s="142" customFormat="1" x14ac:dyDescent="0.3"/>
    <row r="262" s="142" customFormat="1" x14ac:dyDescent="0.3"/>
    <row r="263" s="142" customFormat="1" x14ac:dyDescent="0.3"/>
    <row r="264" s="142" customFormat="1" x14ac:dyDescent="0.3"/>
    <row r="265" s="142" customFormat="1" x14ac:dyDescent="0.3"/>
    <row r="266" s="142" customFormat="1" x14ac:dyDescent="0.3"/>
    <row r="267" s="142" customFormat="1" x14ac:dyDescent="0.3"/>
    <row r="268" s="142" customFormat="1" x14ac:dyDescent="0.3"/>
    <row r="269" s="142" customFormat="1" x14ac:dyDescent="0.3"/>
    <row r="270" s="142" customFormat="1" x14ac:dyDescent="0.3"/>
    <row r="271" s="142" customFormat="1" x14ac:dyDescent="0.3"/>
    <row r="272" s="142" customFormat="1" x14ac:dyDescent="0.3"/>
    <row r="273" s="142" customFormat="1" x14ac:dyDescent="0.3"/>
    <row r="274" s="142" customFormat="1" x14ac:dyDescent="0.3"/>
    <row r="275" s="142" customFormat="1" x14ac:dyDescent="0.3"/>
    <row r="276" s="142" customFormat="1" x14ac:dyDescent="0.3"/>
    <row r="277" s="142" customFormat="1" x14ac:dyDescent="0.3"/>
    <row r="278" s="142" customFormat="1" x14ac:dyDescent="0.3"/>
    <row r="279" s="142" customFormat="1" x14ac:dyDescent="0.3"/>
    <row r="280" s="142" customFormat="1" x14ac:dyDescent="0.3"/>
    <row r="281" s="142" customFormat="1" x14ac:dyDescent="0.3"/>
    <row r="282" s="142" customFormat="1" x14ac:dyDescent="0.3"/>
    <row r="283" s="142" customFormat="1" x14ac:dyDescent="0.3"/>
    <row r="284" s="142" customFormat="1" x14ac:dyDescent="0.3"/>
    <row r="285" s="142" customFormat="1" x14ac:dyDescent="0.3"/>
    <row r="286" s="142" customFormat="1" x14ac:dyDescent="0.3"/>
    <row r="287" s="142" customFormat="1" x14ac:dyDescent="0.3"/>
    <row r="288" s="142" customFormat="1" x14ac:dyDescent="0.3"/>
    <row r="289" s="142" customFormat="1" x14ac:dyDescent="0.3"/>
    <row r="290" s="142" customFormat="1" x14ac:dyDescent="0.3"/>
    <row r="291" s="142" customFormat="1" x14ac:dyDescent="0.3"/>
    <row r="292" s="142" customFormat="1" x14ac:dyDescent="0.3"/>
    <row r="293" s="142" customFormat="1" x14ac:dyDescent="0.3"/>
    <row r="294" s="142" customFormat="1" x14ac:dyDescent="0.3"/>
    <row r="295" s="142" customFormat="1" x14ac:dyDescent="0.3"/>
    <row r="296" s="142" customFormat="1" x14ac:dyDescent="0.3"/>
    <row r="297" s="142" customFormat="1" x14ac:dyDescent="0.3"/>
    <row r="298" s="142" customFormat="1" x14ac:dyDescent="0.3"/>
    <row r="299" s="142" customFormat="1" x14ac:dyDescent="0.3"/>
    <row r="300" s="142" customFormat="1" x14ac:dyDescent="0.3"/>
    <row r="301" s="142" customFormat="1" x14ac:dyDescent="0.3"/>
    <row r="302" s="142" customFormat="1" x14ac:dyDescent="0.3"/>
    <row r="303" s="142" customFormat="1" x14ac:dyDescent="0.3"/>
    <row r="304" s="142" customFormat="1" x14ac:dyDescent="0.3"/>
    <row r="305" s="142" customFormat="1" x14ac:dyDescent="0.3"/>
    <row r="306" s="142" customFormat="1" x14ac:dyDescent="0.3"/>
    <row r="307" s="142" customFormat="1" x14ac:dyDescent="0.3"/>
    <row r="308" s="142" customFormat="1" x14ac:dyDescent="0.3"/>
    <row r="309" s="142" customFormat="1" x14ac:dyDescent="0.3"/>
    <row r="310" s="142" customFormat="1" x14ac:dyDescent="0.3"/>
    <row r="311" s="142" customFormat="1" x14ac:dyDescent="0.3"/>
    <row r="312" s="142" customFormat="1" x14ac:dyDescent="0.3"/>
    <row r="313" s="142" customFormat="1" x14ac:dyDescent="0.3"/>
    <row r="314" s="142" customFormat="1" x14ac:dyDescent="0.3"/>
    <row r="315" s="142" customFormat="1" x14ac:dyDescent="0.3"/>
    <row r="316" s="142" customFormat="1" x14ac:dyDescent="0.3"/>
    <row r="317" s="142" customFormat="1" x14ac:dyDescent="0.3"/>
    <row r="318" s="142" customFormat="1" x14ac:dyDescent="0.3"/>
    <row r="319" s="142" customFormat="1" x14ac:dyDescent="0.3"/>
    <row r="320" s="142" customFormat="1" x14ac:dyDescent="0.3"/>
    <row r="321" s="142" customFormat="1" x14ac:dyDescent="0.3"/>
    <row r="322" s="142" customFormat="1" x14ac:dyDescent="0.3"/>
    <row r="323" s="142" customFormat="1" x14ac:dyDescent="0.3"/>
    <row r="324" s="142" customFormat="1" x14ac:dyDescent="0.3"/>
    <row r="325" s="142" customFormat="1" x14ac:dyDescent="0.3"/>
    <row r="326" s="142" customFormat="1" x14ac:dyDescent="0.3"/>
    <row r="327" s="142" customFormat="1" x14ac:dyDescent="0.3"/>
    <row r="328" s="142" customFormat="1" x14ac:dyDescent="0.3"/>
    <row r="329" s="142" customFormat="1" x14ac:dyDescent="0.3"/>
    <row r="330" s="142" customFormat="1" x14ac:dyDescent="0.3"/>
    <row r="331" s="142" customFormat="1" x14ac:dyDescent="0.3"/>
    <row r="332" s="142" customFormat="1" x14ac:dyDescent="0.3"/>
    <row r="333" s="142" customFormat="1" x14ac:dyDescent="0.3"/>
    <row r="334" s="142" customFormat="1" x14ac:dyDescent="0.3"/>
    <row r="335" s="142" customFormat="1" x14ac:dyDescent="0.3"/>
    <row r="336" s="142" customFormat="1" x14ac:dyDescent="0.3"/>
    <row r="337" s="142" customFormat="1" x14ac:dyDescent="0.3"/>
    <row r="338" s="142" customFormat="1" x14ac:dyDescent="0.3"/>
    <row r="339" s="142" customFormat="1" x14ac:dyDescent="0.3"/>
    <row r="340" s="142" customFormat="1" x14ac:dyDescent="0.3"/>
    <row r="341" s="142" customFormat="1" x14ac:dyDescent="0.3"/>
    <row r="342" s="142" customFormat="1" x14ac:dyDescent="0.3"/>
    <row r="343" s="142" customFormat="1" x14ac:dyDescent="0.3"/>
    <row r="344" s="142" customFormat="1" x14ac:dyDescent="0.3"/>
    <row r="345" s="142" customFormat="1" x14ac:dyDescent="0.3"/>
    <row r="346" s="142" customFormat="1" x14ac:dyDescent="0.3"/>
    <row r="347" s="142" customFormat="1" x14ac:dyDescent="0.3"/>
    <row r="348" s="142" customFormat="1" x14ac:dyDescent="0.3"/>
    <row r="349" s="142" customFormat="1" x14ac:dyDescent="0.3"/>
    <row r="350" s="142" customFormat="1" x14ac:dyDescent="0.3"/>
    <row r="351" s="142" customFormat="1" x14ac:dyDescent="0.3"/>
    <row r="352" s="142" customFormat="1" x14ac:dyDescent="0.3"/>
    <row r="353" s="142" customFormat="1" x14ac:dyDescent="0.3"/>
    <row r="354" s="142" customFormat="1" x14ac:dyDescent="0.3"/>
    <row r="355" s="142" customFormat="1" x14ac:dyDescent="0.3"/>
    <row r="356" s="142" customFormat="1" x14ac:dyDescent="0.3"/>
    <row r="357" s="142" customFormat="1" x14ac:dyDescent="0.3"/>
    <row r="358" s="142" customFormat="1" x14ac:dyDescent="0.3"/>
    <row r="359" s="142" customFormat="1" x14ac:dyDescent="0.3"/>
    <row r="360" s="142" customFormat="1" x14ac:dyDescent="0.3"/>
    <row r="361" s="142" customFormat="1" x14ac:dyDescent="0.3"/>
    <row r="362" s="142" customFormat="1" x14ac:dyDescent="0.3"/>
    <row r="363" s="142" customFormat="1" x14ac:dyDescent="0.3"/>
    <row r="364" s="142" customFormat="1" x14ac:dyDescent="0.3"/>
    <row r="365" s="142" customFormat="1" x14ac:dyDescent="0.3"/>
    <row r="366" s="142" customFormat="1" x14ac:dyDescent="0.3"/>
    <row r="367" s="142" customFormat="1" x14ac:dyDescent="0.3"/>
    <row r="368" s="142" customFormat="1" x14ac:dyDescent="0.3"/>
    <row r="369" s="142" customFormat="1" x14ac:dyDescent="0.3"/>
    <row r="370" s="142" customFormat="1" x14ac:dyDescent="0.3"/>
    <row r="371" s="142" customFormat="1" x14ac:dyDescent="0.3"/>
    <row r="372" s="142" customFormat="1" x14ac:dyDescent="0.3"/>
    <row r="373" s="142" customFormat="1" x14ac:dyDescent="0.3"/>
    <row r="374" s="142" customFormat="1" x14ac:dyDescent="0.3"/>
    <row r="375" s="142" customFormat="1" x14ac:dyDescent="0.3"/>
    <row r="376" s="142" customFormat="1" x14ac:dyDescent="0.3"/>
    <row r="377" s="142" customFormat="1" x14ac:dyDescent="0.3"/>
    <row r="378" s="142" customFormat="1" x14ac:dyDescent="0.3"/>
    <row r="379" s="142" customFormat="1" x14ac:dyDescent="0.3"/>
    <row r="380" s="142" customFormat="1" x14ac:dyDescent="0.3"/>
    <row r="381" s="142" customFormat="1" x14ac:dyDescent="0.3"/>
    <row r="382" s="142" customFormat="1" x14ac:dyDescent="0.3"/>
    <row r="383" s="142" customFormat="1" x14ac:dyDescent="0.3"/>
    <row r="384" s="142" customFormat="1" x14ac:dyDescent="0.3"/>
    <row r="385" s="142" customFormat="1" x14ac:dyDescent="0.3"/>
    <row r="386" s="142" customFormat="1" x14ac:dyDescent="0.3"/>
    <row r="387" s="142" customFormat="1" x14ac:dyDescent="0.3"/>
    <row r="388" s="142" customFormat="1" x14ac:dyDescent="0.3"/>
    <row r="389" s="142" customFormat="1" x14ac:dyDescent="0.3"/>
    <row r="390" s="142" customFormat="1" x14ac:dyDescent="0.3"/>
    <row r="391" s="142" customFormat="1" x14ac:dyDescent="0.3"/>
    <row r="392" s="142" customFormat="1" x14ac:dyDescent="0.3"/>
    <row r="393" s="142" customFormat="1" x14ac:dyDescent="0.3"/>
    <row r="394" s="142" customFormat="1" x14ac:dyDescent="0.3"/>
    <row r="395" s="142" customFormat="1" x14ac:dyDescent="0.3"/>
    <row r="396" s="142" customFormat="1" x14ac:dyDescent="0.3"/>
    <row r="397" s="142" customFormat="1" x14ac:dyDescent="0.3"/>
    <row r="398" s="142" customFormat="1" x14ac:dyDescent="0.3"/>
    <row r="399" s="142" customFormat="1" x14ac:dyDescent="0.3"/>
    <row r="400" s="142" customFormat="1" x14ac:dyDescent="0.3"/>
    <row r="401" s="142" customFormat="1" x14ac:dyDescent="0.3"/>
    <row r="402" s="142" customFormat="1" x14ac:dyDescent="0.3"/>
    <row r="403" s="142" customFormat="1" x14ac:dyDescent="0.3"/>
    <row r="404" s="142" customFormat="1" x14ac:dyDescent="0.3"/>
    <row r="405" s="142" customFormat="1" x14ac:dyDescent="0.3"/>
    <row r="406" s="142" customFormat="1" x14ac:dyDescent="0.3"/>
    <row r="407" s="142" customFormat="1" x14ac:dyDescent="0.3"/>
    <row r="408" s="142" customFormat="1" x14ac:dyDescent="0.3"/>
    <row r="409" s="142" customFormat="1" x14ac:dyDescent="0.3"/>
    <row r="410" s="142" customFormat="1" x14ac:dyDescent="0.3"/>
    <row r="411" s="142" customFormat="1" x14ac:dyDescent="0.3"/>
    <row r="412" s="142" customFormat="1" x14ac:dyDescent="0.3"/>
    <row r="413" s="142" customFormat="1" x14ac:dyDescent="0.3"/>
    <row r="414" s="142" customFormat="1" x14ac:dyDescent="0.3"/>
    <row r="415" s="142" customFormat="1" x14ac:dyDescent="0.3"/>
    <row r="416" s="142" customFormat="1" x14ac:dyDescent="0.3"/>
    <row r="417" s="142" customFormat="1" x14ac:dyDescent="0.3"/>
    <row r="418" s="142" customFormat="1" x14ac:dyDescent="0.3"/>
    <row r="419" s="142" customFormat="1" x14ac:dyDescent="0.3"/>
    <row r="420" s="142" customFormat="1" x14ac:dyDescent="0.3"/>
    <row r="421" s="142" customFormat="1" x14ac:dyDescent="0.3"/>
    <row r="422" s="142" customFormat="1" x14ac:dyDescent="0.3"/>
    <row r="423" s="142" customFormat="1" x14ac:dyDescent="0.3"/>
    <row r="424" s="142" customFormat="1" x14ac:dyDescent="0.3"/>
    <row r="425" s="142" customFormat="1" x14ac:dyDescent="0.3"/>
    <row r="426" s="142" customFormat="1" x14ac:dyDescent="0.3"/>
    <row r="427" s="142" customFormat="1" x14ac:dyDescent="0.3"/>
    <row r="428" s="142" customFormat="1" x14ac:dyDescent="0.3"/>
    <row r="429" s="142" customFormat="1" x14ac:dyDescent="0.3"/>
    <row r="430" s="142" customFormat="1" x14ac:dyDescent="0.3"/>
    <row r="431" s="142" customFormat="1" x14ac:dyDescent="0.3"/>
    <row r="432" s="142" customFormat="1" x14ac:dyDescent="0.3"/>
    <row r="433" s="142" customFormat="1" x14ac:dyDescent="0.3"/>
    <row r="434" s="142" customFormat="1" x14ac:dyDescent="0.3"/>
    <row r="435" s="142" customFormat="1" x14ac:dyDescent="0.3"/>
    <row r="436" s="142" customFormat="1" x14ac:dyDescent="0.3"/>
    <row r="437" s="142" customFormat="1" x14ac:dyDescent="0.3"/>
    <row r="438" s="142" customFormat="1" x14ac:dyDescent="0.3"/>
    <row r="439" s="142" customFormat="1" x14ac:dyDescent="0.3"/>
    <row r="440" s="142" customFormat="1" x14ac:dyDescent="0.3"/>
    <row r="441" s="142" customFormat="1" x14ac:dyDescent="0.3"/>
    <row r="442" s="142" customFormat="1" x14ac:dyDescent="0.3"/>
    <row r="443" s="142" customFormat="1" x14ac:dyDescent="0.3"/>
    <row r="444" s="142" customFormat="1" x14ac:dyDescent="0.3"/>
    <row r="445" s="142" customFormat="1" x14ac:dyDescent="0.3"/>
    <row r="446" s="142" customFormat="1" x14ac:dyDescent="0.3"/>
    <row r="447" s="142" customFormat="1" x14ac:dyDescent="0.3"/>
    <row r="448" s="142" customFormat="1" x14ac:dyDescent="0.3"/>
    <row r="449" s="142" customFormat="1" x14ac:dyDescent="0.3"/>
    <row r="450" s="142" customFormat="1" x14ac:dyDescent="0.3"/>
    <row r="451" s="142" customFormat="1" x14ac:dyDescent="0.3"/>
    <row r="452" s="142" customFormat="1" x14ac:dyDescent="0.3"/>
    <row r="453" s="142" customFormat="1" x14ac:dyDescent="0.3"/>
    <row r="454" s="142" customFormat="1" x14ac:dyDescent="0.3"/>
    <row r="455" s="142" customFormat="1" x14ac:dyDescent="0.3"/>
    <row r="456" s="142" customFormat="1" x14ac:dyDescent="0.3"/>
    <row r="457" s="142" customFormat="1" x14ac:dyDescent="0.3"/>
    <row r="458" s="142" customFormat="1" x14ac:dyDescent="0.3"/>
    <row r="459" s="142" customFormat="1" x14ac:dyDescent="0.3"/>
    <row r="460" s="142" customFormat="1" x14ac:dyDescent="0.3"/>
    <row r="461" s="142" customFormat="1" x14ac:dyDescent="0.3"/>
    <row r="462" s="142" customFormat="1" x14ac:dyDescent="0.3"/>
    <row r="463" s="142" customFormat="1" x14ac:dyDescent="0.3"/>
    <row r="464" s="142" customFormat="1" x14ac:dyDescent="0.3"/>
    <row r="465" s="142" customFormat="1" x14ac:dyDescent="0.3"/>
    <row r="466" s="142" customFormat="1" x14ac:dyDescent="0.3"/>
    <row r="467" s="142" customFormat="1" x14ac:dyDescent="0.3"/>
    <row r="468" s="142" customFormat="1" x14ac:dyDescent="0.3"/>
    <row r="469" s="142" customFormat="1" x14ac:dyDescent="0.3"/>
    <row r="470" s="142" customFormat="1" x14ac:dyDescent="0.3"/>
    <row r="471" s="142" customFormat="1" x14ac:dyDescent="0.3"/>
    <row r="472" s="142" customFormat="1" x14ac:dyDescent="0.3"/>
    <row r="473" s="142" customFormat="1" x14ac:dyDescent="0.3"/>
    <row r="474" s="142" customFormat="1" x14ac:dyDescent="0.3"/>
    <row r="475" s="142" customFormat="1" x14ac:dyDescent="0.3"/>
    <row r="476" s="142" customFormat="1" x14ac:dyDescent="0.3"/>
    <row r="477" s="142" customFormat="1" x14ac:dyDescent="0.3"/>
    <row r="478" s="142" customFormat="1" x14ac:dyDescent="0.3"/>
    <row r="479" s="142" customFormat="1" x14ac:dyDescent="0.3"/>
    <row r="480" s="142" customFormat="1" x14ac:dyDescent="0.3"/>
    <row r="481" s="142" customFormat="1" x14ac:dyDescent="0.3"/>
    <row r="482" s="142" customFormat="1" x14ac:dyDescent="0.3"/>
    <row r="483" s="142" customFormat="1" x14ac:dyDescent="0.3"/>
    <row r="484" s="142" customFormat="1" x14ac:dyDescent="0.3"/>
    <row r="485" s="142" customFormat="1" x14ac:dyDescent="0.3"/>
    <row r="486" s="142" customFormat="1" x14ac:dyDescent="0.3"/>
    <row r="487" s="142" customFormat="1" x14ac:dyDescent="0.3"/>
    <row r="488" s="142" customFormat="1" x14ac:dyDescent="0.3"/>
    <row r="489" s="142" customFormat="1" x14ac:dyDescent="0.3"/>
    <row r="490" s="142" customFormat="1" x14ac:dyDescent="0.3"/>
    <row r="491" s="142" customFormat="1" x14ac:dyDescent="0.3"/>
    <row r="492" s="142" customFormat="1" x14ac:dyDescent="0.3"/>
    <row r="493" s="142" customFormat="1" x14ac:dyDescent="0.3"/>
    <row r="494" s="142" customFormat="1" x14ac:dyDescent="0.3"/>
    <row r="495" s="142" customFormat="1" x14ac:dyDescent="0.3"/>
    <row r="496" s="142" customFormat="1" x14ac:dyDescent="0.3"/>
    <row r="497" s="142" customFormat="1" x14ac:dyDescent="0.3"/>
    <row r="498" s="142" customFormat="1" x14ac:dyDescent="0.3"/>
    <row r="499" s="142" customFormat="1" x14ac:dyDescent="0.3"/>
    <row r="500" s="142" customFormat="1" x14ac:dyDescent="0.3"/>
    <row r="501" s="142" customFormat="1" x14ac:dyDescent="0.3"/>
    <row r="502" s="142" customFormat="1" x14ac:dyDescent="0.3"/>
    <row r="503" s="142" customFormat="1" x14ac:dyDescent="0.3"/>
    <row r="504" s="142" customFormat="1" x14ac:dyDescent="0.3"/>
    <row r="505" s="142" customFormat="1" x14ac:dyDescent="0.3"/>
    <row r="506" s="142" customFormat="1" x14ac:dyDescent="0.3"/>
    <row r="507" s="142" customFormat="1" x14ac:dyDescent="0.3"/>
    <row r="508" s="142" customFormat="1" x14ac:dyDescent="0.3"/>
    <row r="509" s="142" customFormat="1" x14ac:dyDescent="0.3"/>
    <row r="510" s="142" customFormat="1" x14ac:dyDescent="0.3"/>
    <row r="511" s="142" customFormat="1" x14ac:dyDescent="0.3"/>
    <row r="512" s="142" customFormat="1" x14ac:dyDescent="0.3"/>
    <row r="513" s="142" customFormat="1" x14ac:dyDescent="0.3"/>
    <row r="514" s="142" customFormat="1" x14ac:dyDescent="0.3"/>
    <row r="515" s="142" customFormat="1" x14ac:dyDescent="0.3"/>
    <row r="516" s="142" customFormat="1" x14ac:dyDescent="0.3"/>
    <row r="517" s="142" customFormat="1" x14ac:dyDescent="0.3"/>
    <row r="518" s="142" customFormat="1" x14ac:dyDescent="0.3"/>
    <row r="519" s="142" customFormat="1" x14ac:dyDescent="0.3"/>
    <row r="520" s="142" customFormat="1" x14ac:dyDescent="0.3"/>
    <row r="521" s="142" customFormat="1" x14ac:dyDescent="0.3"/>
    <row r="522" s="142" customFormat="1" x14ac:dyDescent="0.3"/>
    <row r="523" s="142" customFormat="1" x14ac:dyDescent="0.3"/>
    <row r="524" s="142" customFormat="1" x14ac:dyDescent="0.3"/>
    <row r="525" s="142" customFormat="1" x14ac:dyDescent="0.3"/>
    <row r="526" s="142" customFormat="1" x14ac:dyDescent="0.3"/>
    <row r="527" s="142" customFormat="1" x14ac:dyDescent="0.3"/>
    <row r="528" s="142" customFormat="1" x14ac:dyDescent="0.3"/>
    <row r="529" s="142" customFormat="1" x14ac:dyDescent="0.3"/>
    <row r="530" s="142" customFormat="1" x14ac:dyDescent="0.3"/>
    <row r="531" s="142" customFormat="1" x14ac:dyDescent="0.3"/>
    <row r="532" s="142" customFormat="1" x14ac:dyDescent="0.3"/>
    <row r="533" s="142" customFormat="1" x14ac:dyDescent="0.3"/>
    <row r="534" s="142" customFormat="1" x14ac:dyDescent="0.3"/>
    <row r="535" s="142" customFormat="1" x14ac:dyDescent="0.3"/>
    <row r="536" s="142" customFormat="1" x14ac:dyDescent="0.3"/>
    <row r="537" s="142" customFormat="1" x14ac:dyDescent="0.3"/>
    <row r="538" s="142" customFormat="1" x14ac:dyDescent="0.3"/>
    <row r="539" s="142" customFormat="1" x14ac:dyDescent="0.3"/>
    <row r="540" s="142" customFormat="1" x14ac:dyDescent="0.3"/>
    <row r="541" s="142" customFormat="1" x14ac:dyDescent="0.3"/>
    <row r="542" s="142" customFormat="1" x14ac:dyDescent="0.3"/>
    <row r="543" s="142" customFormat="1" x14ac:dyDescent="0.3"/>
    <row r="544" s="142" customFormat="1" x14ac:dyDescent="0.3"/>
    <row r="545" s="142" customFormat="1" x14ac:dyDescent="0.3"/>
    <row r="546" s="142" customFormat="1" x14ac:dyDescent="0.3"/>
    <row r="547" s="142" customFormat="1" x14ac:dyDescent="0.3"/>
    <row r="548" s="142" customFormat="1" x14ac:dyDescent="0.3"/>
    <row r="549" s="142" customFormat="1" x14ac:dyDescent="0.3"/>
    <row r="550" s="142" customFormat="1" x14ac:dyDescent="0.3"/>
    <row r="551" s="142" customFormat="1" x14ac:dyDescent="0.3"/>
    <row r="552" s="142" customFormat="1" x14ac:dyDescent="0.3"/>
    <row r="553" s="142" customFormat="1" x14ac:dyDescent="0.3"/>
    <row r="554" s="142" customFormat="1" x14ac:dyDescent="0.3"/>
    <row r="555" s="142" customFormat="1" x14ac:dyDescent="0.3"/>
    <row r="556" s="142" customFormat="1" x14ac:dyDescent="0.3"/>
    <row r="557" s="142" customFormat="1" x14ac:dyDescent="0.3"/>
    <row r="558" s="142" customFormat="1" x14ac:dyDescent="0.3"/>
    <row r="559" s="142" customFormat="1" x14ac:dyDescent="0.3"/>
    <row r="560" s="142" customFormat="1" x14ac:dyDescent="0.3"/>
    <row r="561" s="142" customFormat="1" x14ac:dyDescent="0.3"/>
    <row r="562" s="142" customFormat="1" x14ac:dyDescent="0.3"/>
    <row r="563" s="142" customFormat="1" x14ac:dyDescent="0.3"/>
    <row r="564" s="142" customFormat="1" x14ac:dyDescent="0.3"/>
    <row r="565" s="142" customFormat="1" x14ac:dyDescent="0.3"/>
    <row r="566" s="142" customFormat="1" x14ac:dyDescent="0.3"/>
    <row r="567" s="142" customFormat="1" x14ac:dyDescent="0.3"/>
    <row r="568" s="142" customFormat="1" x14ac:dyDescent="0.3"/>
    <row r="569" s="142" customFormat="1" x14ac:dyDescent="0.3"/>
    <row r="570" s="142" customFormat="1" x14ac:dyDescent="0.3"/>
    <row r="571" s="142" customFormat="1" x14ac:dyDescent="0.3"/>
    <row r="572" s="142" customFormat="1" x14ac:dyDescent="0.3"/>
    <row r="573" s="142" customFormat="1" x14ac:dyDescent="0.3"/>
    <row r="574" s="142" customFormat="1" x14ac:dyDescent="0.3"/>
    <row r="575" s="142" customFormat="1" x14ac:dyDescent="0.3"/>
    <row r="576" s="142" customFormat="1" x14ac:dyDescent="0.3"/>
    <row r="577" s="142" customFormat="1" x14ac:dyDescent="0.3"/>
    <row r="578" s="142" customFormat="1" x14ac:dyDescent="0.3"/>
    <row r="579" s="142" customFormat="1" x14ac:dyDescent="0.3"/>
    <row r="580" s="142" customFormat="1" x14ac:dyDescent="0.3"/>
    <row r="581" s="142" customFormat="1" x14ac:dyDescent="0.3"/>
    <row r="582" s="142" customFormat="1" x14ac:dyDescent="0.3"/>
    <row r="583" s="142" customFormat="1" x14ac:dyDescent="0.3"/>
    <row r="584" s="142" customFormat="1" x14ac:dyDescent="0.3"/>
    <row r="585" s="142" customFormat="1" x14ac:dyDescent="0.3"/>
    <row r="586" s="142" customFormat="1" x14ac:dyDescent="0.3"/>
    <row r="587" s="142" customFormat="1" x14ac:dyDescent="0.3"/>
    <row r="588" s="142" customFormat="1" x14ac:dyDescent="0.3"/>
    <row r="589" s="142" customFormat="1" x14ac:dyDescent="0.3"/>
    <row r="590" s="142" customFormat="1" x14ac:dyDescent="0.3"/>
    <row r="591" s="142" customFormat="1" x14ac:dyDescent="0.3"/>
    <row r="592" s="142" customFormat="1" x14ac:dyDescent="0.3"/>
    <row r="593" s="142" customFormat="1" x14ac:dyDescent="0.3"/>
    <row r="594" s="142" customFormat="1" x14ac:dyDescent="0.3"/>
    <row r="595" s="142" customFormat="1" x14ac:dyDescent="0.3"/>
    <row r="596" s="142" customFormat="1" x14ac:dyDescent="0.3"/>
    <row r="597" s="142" customFormat="1" x14ac:dyDescent="0.3"/>
    <row r="598" s="142" customFormat="1" x14ac:dyDescent="0.3"/>
    <row r="599" s="142" customFormat="1" x14ac:dyDescent="0.3"/>
    <row r="600" s="142" customFormat="1" x14ac:dyDescent="0.3"/>
    <row r="601" s="142" customFormat="1" x14ac:dyDescent="0.3"/>
    <row r="602" s="142" customFormat="1" x14ac:dyDescent="0.3"/>
    <row r="603" s="142" customFormat="1" x14ac:dyDescent="0.3"/>
    <row r="604" s="142" customFormat="1" x14ac:dyDescent="0.3"/>
    <row r="605" s="142" customFormat="1" x14ac:dyDescent="0.3"/>
    <row r="606" s="142" customFormat="1" x14ac:dyDescent="0.3"/>
    <row r="607" s="142" customFormat="1" x14ac:dyDescent="0.3"/>
    <row r="608" s="142" customFormat="1" x14ac:dyDescent="0.3"/>
    <row r="609" s="142" customFormat="1" x14ac:dyDescent="0.3"/>
    <row r="610" s="142" customFormat="1" x14ac:dyDescent="0.3"/>
    <row r="611" s="142" customFormat="1" x14ac:dyDescent="0.3"/>
    <row r="612" s="142" customFormat="1" x14ac:dyDescent="0.3"/>
    <row r="613" s="142" customFormat="1" x14ac:dyDescent="0.3"/>
    <row r="614" s="142" customFormat="1" x14ac:dyDescent="0.3"/>
    <row r="615" s="142" customFormat="1" x14ac:dyDescent="0.3"/>
    <row r="616" s="142" customFormat="1" x14ac:dyDescent="0.3"/>
    <row r="617" s="142" customFormat="1" x14ac:dyDescent="0.3"/>
    <row r="618" s="142" customFormat="1" x14ac:dyDescent="0.3"/>
    <row r="619" s="142" customFormat="1" x14ac:dyDescent="0.3"/>
    <row r="620" s="142" customFormat="1" x14ac:dyDescent="0.3"/>
    <row r="621" s="142" customFormat="1" x14ac:dyDescent="0.3"/>
    <row r="622" s="142" customFormat="1" x14ac:dyDescent="0.3"/>
    <row r="623" s="142" customFormat="1" x14ac:dyDescent="0.3"/>
    <row r="624" s="142" customFormat="1" x14ac:dyDescent="0.3"/>
    <row r="625" s="142" customFormat="1" x14ac:dyDescent="0.3"/>
    <row r="626" s="142" customFormat="1" x14ac:dyDescent="0.3"/>
    <row r="627" s="142" customFormat="1" x14ac:dyDescent="0.3"/>
    <row r="628" s="142" customFormat="1" x14ac:dyDescent="0.3"/>
    <row r="629" s="142" customFormat="1" x14ac:dyDescent="0.3"/>
    <row r="630" s="142" customFormat="1" x14ac:dyDescent="0.3"/>
    <row r="631" s="142" customFormat="1" x14ac:dyDescent="0.3"/>
    <row r="632" s="142" customFormat="1" x14ac:dyDescent="0.3"/>
    <row r="633" s="142" customFormat="1" x14ac:dyDescent="0.3"/>
    <row r="634" s="142" customFormat="1" x14ac:dyDescent="0.3"/>
    <row r="635" s="142" customFormat="1" x14ac:dyDescent="0.3"/>
    <row r="636" s="142" customFormat="1" x14ac:dyDescent="0.3"/>
    <row r="637" s="142" customFormat="1" x14ac:dyDescent="0.3"/>
    <row r="638" s="142" customFormat="1" x14ac:dyDescent="0.3"/>
    <row r="639" s="142" customFormat="1" x14ac:dyDescent="0.3"/>
    <row r="640" s="142" customFormat="1" x14ac:dyDescent="0.3"/>
    <row r="641" s="142" customFormat="1" x14ac:dyDescent="0.3"/>
    <row r="642" s="142" customFormat="1" x14ac:dyDescent="0.3"/>
    <row r="643" s="142" customFormat="1" x14ac:dyDescent="0.3"/>
    <row r="644" s="142" customFormat="1" x14ac:dyDescent="0.3"/>
    <row r="645" s="142" customFormat="1" x14ac:dyDescent="0.3"/>
    <row r="646" s="142" customFormat="1" x14ac:dyDescent="0.3"/>
    <row r="647" s="142" customFormat="1" x14ac:dyDescent="0.3"/>
    <row r="648" s="142" customFormat="1" x14ac:dyDescent="0.3"/>
    <row r="649" s="142" customFormat="1" x14ac:dyDescent="0.3"/>
    <row r="650" s="142" customFormat="1" x14ac:dyDescent="0.3"/>
    <row r="651" s="142" customFormat="1" x14ac:dyDescent="0.3"/>
    <row r="652" s="142" customFormat="1" x14ac:dyDescent="0.3"/>
    <row r="653" s="142" customFormat="1" x14ac:dyDescent="0.3"/>
    <row r="654" s="142" customFormat="1" x14ac:dyDescent="0.3"/>
    <row r="655" s="142" customFormat="1" x14ac:dyDescent="0.3"/>
    <row r="656" s="142" customFormat="1" x14ac:dyDescent="0.3"/>
    <row r="657" s="142" customFormat="1" x14ac:dyDescent="0.3"/>
    <row r="658" s="142" customFormat="1" x14ac:dyDescent="0.3"/>
    <row r="659" s="142" customFormat="1" x14ac:dyDescent="0.3"/>
    <row r="660" s="142" customFormat="1" x14ac:dyDescent="0.3"/>
    <row r="661" s="142" customFormat="1" x14ac:dyDescent="0.3"/>
    <row r="662" s="142" customFormat="1" x14ac:dyDescent="0.3"/>
    <row r="663" s="142" customFormat="1" x14ac:dyDescent="0.3"/>
    <row r="664" s="142" customFormat="1" x14ac:dyDescent="0.3"/>
    <row r="665" s="142" customFormat="1" x14ac:dyDescent="0.3"/>
    <row r="666" s="142" customFormat="1" x14ac:dyDescent="0.3"/>
    <row r="667" s="142" customFormat="1" x14ac:dyDescent="0.3"/>
    <row r="668" s="142" customFormat="1" x14ac:dyDescent="0.3"/>
    <row r="669" s="142" customFormat="1" x14ac:dyDescent="0.3"/>
    <row r="670" s="142" customFormat="1" x14ac:dyDescent="0.3"/>
    <row r="671" s="142" customFormat="1" x14ac:dyDescent="0.3"/>
    <row r="672" s="142" customFormat="1" x14ac:dyDescent="0.3"/>
    <row r="673" s="142" customFormat="1" x14ac:dyDescent="0.3"/>
    <row r="674" s="142" customFormat="1" x14ac:dyDescent="0.3"/>
    <row r="675" s="142" customFormat="1" x14ac:dyDescent="0.3"/>
    <row r="676" s="142" customFormat="1" x14ac:dyDescent="0.3"/>
    <row r="677" s="142" customFormat="1" x14ac:dyDescent="0.3"/>
    <row r="678" s="142" customFormat="1" x14ac:dyDescent="0.3"/>
    <row r="679" s="142" customFormat="1" x14ac:dyDescent="0.3"/>
    <row r="680" s="142" customFormat="1" x14ac:dyDescent="0.3"/>
    <row r="681" s="142" customFormat="1" x14ac:dyDescent="0.3"/>
    <row r="682" s="142" customFormat="1" x14ac:dyDescent="0.3"/>
    <row r="683" s="142" customFormat="1" x14ac:dyDescent="0.3"/>
    <row r="684" s="142" customFormat="1" x14ac:dyDescent="0.3"/>
    <row r="685" s="142" customFormat="1" x14ac:dyDescent="0.3"/>
    <row r="686" s="142" customFormat="1" x14ac:dyDescent="0.3"/>
    <row r="687" s="142" customFormat="1" x14ac:dyDescent="0.3"/>
    <row r="688" s="142" customFormat="1" x14ac:dyDescent="0.3"/>
    <row r="689" s="142" customFormat="1" x14ac:dyDescent="0.3"/>
    <row r="690" s="142" customFormat="1" x14ac:dyDescent="0.3"/>
    <row r="691" s="142" customFormat="1" x14ac:dyDescent="0.3"/>
    <row r="692" s="142" customFormat="1" x14ac:dyDescent="0.3"/>
    <row r="693" s="142" customFormat="1" x14ac:dyDescent="0.3"/>
    <row r="694" s="142" customFormat="1" x14ac:dyDescent="0.3"/>
    <row r="695" s="142" customFormat="1" x14ac:dyDescent="0.3"/>
    <row r="696" s="142" customFormat="1" x14ac:dyDescent="0.3"/>
    <row r="697" s="142" customFormat="1" x14ac:dyDescent="0.3"/>
    <row r="698" s="142" customFormat="1" x14ac:dyDescent="0.3"/>
    <row r="699" s="142" customFormat="1" x14ac:dyDescent="0.3"/>
    <row r="700" s="142" customFormat="1" x14ac:dyDescent="0.3"/>
    <row r="701" s="142" customFormat="1" x14ac:dyDescent="0.3"/>
    <row r="702" s="142" customFormat="1" x14ac:dyDescent="0.3"/>
    <row r="703" s="142" customFormat="1" x14ac:dyDescent="0.3"/>
    <row r="704" s="142" customFormat="1" x14ac:dyDescent="0.3"/>
    <row r="705" s="142" customFormat="1" x14ac:dyDescent="0.3"/>
    <row r="706" s="142" customFormat="1" x14ac:dyDescent="0.3"/>
    <row r="707" s="142" customFormat="1" x14ac:dyDescent="0.3"/>
    <row r="708" s="142" customFormat="1" x14ac:dyDescent="0.3"/>
    <row r="709" s="142" customFormat="1" x14ac:dyDescent="0.3"/>
    <row r="710" s="142" customFormat="1" x14ac:dyDescent="0.3"/>
    <row r="711" s="142" customFormat="1" x14ac:dyDescent="0.3"/>
    <row r="712" s="142" customFormat="1" x14ac:dyDescent="0.3"/>
    <row r="713" s="142" customFormat="1" x14ac:dyDescent="0.3"/>
    <row r="714" s="142" customFormat="1" x14ac:dyDescent="0.3"/>
    <row r="715" s="142" customFormat="1" x14ac:dyDescent="0.3"/>
    <row r="716" s="142" customFormat="1" x14ac:dyDescent="0.3"/>
    <row r="717" s="142" customFormat="1" x14ac:dyDescent="0.3"/>
    <row r="718" s="142" customFormat="1" x14ac:dyDescent="0.3"/>
    <row r="719" s="142" customFormat="1" x14ac:dyDescent="0.3"/>
    <row r="720" s="142" customFormat="1" x14ac:dyDescent="0.3"/>
    <row r="721" s="142" customFormat="1" x14ac:dyDescent="0.3"/>
    <row r="722" s="142" customFormat="1" x14ac:dyDescent="0.3"/>
    <row r="723" s="142" customFormat="1" x14ac:dyDescent="0.3"/>
    <row r="724" s="142" customFormat="1" x14ac:dyDescent="0.3"/>
    <row r="725" s="142" customFormat="1" x14ac:dyDescent="0.3"/>
    <row r="726" s="142" customFormat="1" x14ac:dyDescent="0.3"/>
    <row r="727" s="142" customFormat="1" x14ac:dyDescent="0.3"/>
    <row r="728" s="142" customFormat="1" x14ac:dyDescent="0.3"/>
    <row r="729" s="142" customFormat="1" x14ac:dyDescent="0.3"/>
    <row r="730" s="142" customFormat="1" x14ac:dyDescent="0.3"/>
    <row r="731" s="142" customFormat="1" x14ac:dyDescent="0.3"/>
    <row r="732" s="142" customFormat="1" x14ac:dyDescent="0.3"/>
    <row r="733" s="142" customFormat="1" x14ac:dyDescent="0.3"/>
    <row r="734" s="142" customFormat="1" x14ac:dyDescent="0.3"/>
    <row r="735" s="142" customFormat="1" x14ac:dyDescent="0.3"/>
    <row r="736" s="142" customFormat="1" x14ac:dyDescent="0.3"/>
    <row r="737" s="142" customFormat="1" x14ac:dyDescent="0.3"/>
    <row r="738" s="142" customFormat="1" x14ac:dyDescent="0.3"/>
    <row r="739" s="142" customFormat="1" x14ac:dyDescent="0.3"/>
    <row r="740" s="142" customFormat="1" x14ac:dyDescent="0.3"/>
    <row r="741" s="142" customFormat="1" x14ac:dyDescent="0.3"/>
    <row r="742" s="142" customFormat="1" x14ac:dyDescent="0.3"/>
    <row r="743" s="142" customFormat="1" x14ac:dyDescent="0.3"/>
    <row r="744" s="142" customFormat="1" x14ac:dyDescent="0.3"/>
    <row r="745" s="142" customFormat="1" x14ac:dyDescent="0.3"/>
    <row r="746" s="142" customFormat="1" x14ac:dyDescent="0.3"/>
    <row r="747" s="142" customFormat="1" x14ac:dyDescent="0.3"/>
    <row r="748" s="142" customFormat="1" x14ac:dyDescent="0.3"/>
    <row r="749" s="142" customFormat="1" x14ac:dyDescent="0.3"/>
    <row r="750" s="142" customFormat="1" x14ac:dyDescent="0.3"/>
    <row r="751" s="142" customFormat="1" x14ac:dyDescent="0.3"/>
    <row r="752" s="142" customFormat="1" x14ac:dyDescent="0.3"/>
    <row r="753" s="142" customFormat="1" x14ac:dyDescent="0.3"/>
    <row r="754" s="142" customFormat="1" x14ac:dyDescent="0.3"/>
    <row r="755" s="142" customFormat="1" x14ac:dyDescent="0.3"/>
    <row r="756" s="142" customFormat="1" x14ac:dyDescent="0.3"/>
    <row r="757" s="142" customFormat="1" x14ac:dyDescent="0.3"/>
    <row r="758" s="142" customFormat="1" x14ac:dyDescent="0.3"/>
    <row r="759" s="142" customFormat="1" x14ac:dyDescent="0.3"/>
    <row r="760" s="142" customFormat="1" x14ac:dyDescent="0.3"/>
    <row r="761" s="142" customFormat="1" x14ac:dyDescent="0.3"/>
    <row r="762" s="142" customFormat="1" x14ac:dyDescent="0.3"/>
    <row r="763" s="142" customFormat="1" x14ac:dyDescent="0.3"/>
    <row r="764" s="142" customFormat="1" x14ac:dyDescent="0.3"/>
    <row r="765" s="142" customFormat="1" x14ac:dyDescent="0.3"/>
    <row r="766" s="142" customFormat="1" x14ac:dyDescent="0.3"/>
    <row r="767" s="142" customFormat="1" x14ac:dyDescent="0.3"/>
    <row r="768" s="142" customFormat="1" x14ac:dyDescent="0.3"/>
    <row r="769" s="142" customFormat="1" x14ac:dyDescent="0.3"/>
    <row r="770" s="142" customFormat="1" x14ac:dyDescent="0.3"/>
    <row r="771" s="142" customFormat="1" x14ac:dyDescent="0.3"/>
    <row r="772" s="142" customFormat="1" x14ac:dyDescent="0.3"/>
    <row r="773" s="142" customFormat="1" x14ac:dyDescent="0.3"/>
    <row r="774" s="142" customFormat="1" x14ac:dyDescent="0.3"/>
    <row r="775" s="142" customFormat="1" x14ac:dyDescent="0.3"/>
    <row r="776" s="142" customFormat="1" x14ac:dyDescent="0.3"/>
    <row r="777" s="142" customFormat="1" x14ac:dyDescent="0.3"/>
    <row r="778" s="142" customFormat="1" x14ac:dyDescent="0.3"/>
    <row r="779" s="142" customFormat="1" x14ac:dyDescent="0.3"/>
    <row r="780" s="142" customFormat="1" x14ac:dyDescent="0.3"/>
    <row r="781" s="142" customFormat="1" x14ac:dyDescent="0.3"/>
    <row r="782" s="142" customFormat="1" x14ac:dyDescent="0.3"/>
    <row r="783" s="142" customFormat="1" x14ac:dyDescent="0.3"/>
    <row r="784" s="142" customFormat="1" x14ac:dyDescent="0.3"/>
    <row r="785" s="142" customFormat="1" x14ac:dyDescent="0.3"/>
  </sheetData>
  <sheetProtection algorithmName="SHA-512" hashValue="eYT/85aNHSGHWIowqQw30zm0XOHy4VzMFJyQJFV/GxZhEWWqa7MH6JMkrk0/LPwAUPGwwcwe13Zj32A/TfTmNQ==" saltValue="FTmAP7+PzTa9JBcO+Hmfig=="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18" r:id="rId4" name="Spinner 50">
              <controlPr defaultSize="0" autoPict="0">
                <anchor moveWithCells="1" sizeWithCells="1">
                  <from>
                    <xdr:col>2</xdr:col>
                    <xdr:colOff>1200150</xdr:colOff>
                    <xdr:row>17</xdr:row>
                    <xdr:rowOff>38100</xdr:rowOff>
                  </from>
                  <to>
                    <xdr:col>2</xdr:col>
                    <xdr:colOff>1543050</xdr:colOff>
                    <xdr:row>17</xdr:row>
                    <xdr:rowOff>241300</xdr:rowOff>
                  </to>
                </anchor>
              </controlPr>
            </control>
          </mc:Choice>
        </mc:AlternateContent>
        <mc:AlternateContent xmlns:mc="http://schemas.openxmlformats.org/markup-compatibility/2006">
          <mc:Choice Requires="x14">
            <control shapeId="7219" r:id="rId5" name="Spinner 51">
              <controlPr defaultSize="0" autoPict="0">
                <anchor moveWithCells="1" sizeWithCells="1">
                  <from>
                    <xdr:col>2</xdr:col>
                    <xdr:colOff>1200150</xdr:colOff>
                    <xdr:row>19</xdr:row>
                    <xdr:rowOff>31750</xdr:rowOff>
                  </from>
                  <to>
                    <xdr:col>2</xdr:col>
                    <xdr:colOff>1543050</xdr:colOff>
                    <xdr:row>19</xdr:row>
                    <xdr:rowOff>228600</xdr:rowOff>
                  </to>
                </anchor>
              </controlPr>
            </control>
          </mc:Choice>
        </mc:AlternateContent>
        <mc:AlternateContent xmlns:mc="http://schemas.openxmlformats.org/markup-compatibility/2006">
          <mc:Choice Requires="x14">
            <control shapeId="7220" r:id="rId6" name="Spinner 52">
              <controlPr defaultSize="0" autoPict="0">
                <anchor moveWithCells="1" sizeWithCells="1">
                  <from>
                    <xdr:col>2</xdr:col>
                    <xdr:colOff>1200150</xdr:colOff>
                    <xdr:row>21</xdr:row>
                    <xdr:rowOff>31750</xdr:rowOff>
                  </from>
                  <to>
                    <xdr:col>2</xdr:col>
                    <xdr:colOff>1543050</xdr:colOff>
                    <xdr:row>21</xdr:row>
                    <xdr:rowOff>228600</xdr:rowOff>
                  </to>
                </anchor>
              </controlPr>
            </control>
          </mc:Choice>
        </mc:AlternateContent>
        <mc:AlternateContent xmlns:mc="http://schemas.openxmlformats.org/markup-compatibility/2006">
          <mc:Choice Requires="x14">
            <control shapeId="7222" r:id="rId7" name="Spinner 54">
              <controlPr defaultSize="0" autoPict="0">
                <anchor moveWithCells="1" sizeWithCells="1">
                  <from>
                    <xdr:col>2</xdr:col>
                    <xdr:colOff>1200150</xdr:colOff>
                    <xdr:row>23</xdr:row>
                    <xdr:rowOff>38100</xdr:rowOff>
                  </from>
                  <to>
                    <xdr:col>2</xdr:col>
                    <xdr:colOff>1543050</xdr:colOff>
                    <xdr:row>24</xdr:row>
                    <xdr:rowOff>12700</xdr:rowOff>
                  </to>
                </anchor>
              </controlPr>
            </control>
          </mc:Choice>
        </mc:AlternateContent>
        <mc:AlternateContent xmlns:mc="http://schemas.openxmlformats.org/markup-compatibility/2006">
          <mc:Choice Requires="x14">
            <control shapeId="7223" r:id="rId8" name="Spinner 55">
              <controlPr defaultSize="0" autoPict="0">
                <anchor moveWithCells="1" sizeWithCells="1">
                  <from>
                    <xdr:col>2</xdr:col>
                    <xdr:colOff>1200150</xdr:colOff>
                    <xdr:row>27</xdr:row>
                    <xdr:rowOff>50800</xdr:rowOff>
                  </from>
                  <to>
                    <xdr:col>2</xdr:col>
                    <xdr:colOff>1543050</xdr:colOff>
                    <xdr:row>27</xdr:row>
                    <xdr:rowOff>247650</xdr:rowOff>
                  </to>
                </anchor>
              </controlPr>
            </control>
          </mc:Choice>
        </mc:AlternateContent>
        <mc:AlternateContent xmlns:mc="http://schemas.openxmlformats.org/markup-compatibility/2006">
          <mc:Choice Requires="x14">
            <control shapeId="7238" r:id="rId9" name="Spinner 70">
              <controlPr defaultSize="0" autoPict="0">
                <anchor moveWithCells="1" sizeWithCells="1">
                  <from>
                    <xdr:col>2</xdr:col>
                    <xdr:colOff>1200150</xdr:colOff>
                    <xdr:row>25</xdr:row>
                    <xdr:rowOff>38100</xdr:rowOff>
                  </from>
                  <to>
                    <xdr:col>2</xdr:col>
                    <xdr:colOff>1543050</xdr:colOff>
                    <xdr:row>25</xdr:row>
                    <xdr:rowOff>241300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AN77"/>
  <sheetViews>
    <sheetView workbookViewId="0"/>
  </sheetViews>
  <sheetFormatPr defaultRowHeight="14" x14ac:dyDescent="0.3"/>
  <cols>
    <col min="1" max="1" width="32.26953125" style="468" customWidth="1"/>
    <col min="2" max="4" width="8.81640625" style="468"/>
    <col min="5" max="5" width="12.54296875" style="468" bestFit="1" customWidth="1"/>
    <col min="6" max="6" width="11.54296875" style="468" customWidth="1"/>
    <col min="7" max="7" width="8.81640625" style="468" customWidth="1"/>
    <col min="8" max="11" width="8.81640625" style="468"/>
    <col min="12" max="12" width="8.81640625" style="468" customWidth="1"/>
    <col min="13" max="13" width="11.26953125" style="468" customWidth="1"/>
    <col min="14" max="14" width="18.26953125" style="468" customWidth="1"/>
    <col min="15" max="15" width="22.7265625" style="468" bestFit="1" customWidth="1"/>
    <col min="16" max="16" width="23.1796875" style="468" bestFit="1" customWidth="1"/>
    <col min="17" max="17" width="19.54296875" style="468" customWidth="1"/>
    <col min="18" max="22" width="8.81640625" style="468"/>
    <col min="23" max="23" width="18.26953125" style="468" customWidth="1"/>
    <col min="24" max="24" width="22.7265625" style="468" bestFit="1" customWidth="1"/>
    <col min="25" max="25" width="23.1796875" style="468" bestFit="1" customWidth="1"/>
    <col min="26" max="26" width="15.7265625" style="468" bestFit="1" customWidth="1"/>
    <col min="27" max="40" width="8.81640625" style="468"/>
    <col min="41" max="250" width="8.81640625" style="387"/>
    <col min="251" max="251" width="32.26953125" style="387" customWidth="1"/>
    <col min="252" max="257" width="8.81640625" style="387"/>
    <col min="258" max="258" width="12.54296875" style="387" bestFit="1" customWidth="1"/>
    <col min="259" max="259" width="11.54296875" style="387" customWidth="1"/>
    <col min="260" max="260" width="8.81640625" style="387" customWidth="1"/>
    <col min="261" max="506" width="8.81640625" style="387"/>
    <col min="507" max="507" width="32.26953125" style="387" customWidth="1"/>
    <col min="508" max="513" width="8.81640625" style="387"/>
    <col min="514" max="514" width="12.54296875" style="387" bestFit="1" customWidth="1"/>
    <col min="515" max="515" width="11.54296875" style="387" customWidth="1"/>
    <col min="516" max="516" width="8.81640625" style="387" customWidth="1"/>
    <col min="517" max="762" width="8.81640625" style="387"/>
    <col min="763" max="763" width="32.26953125" style="387" customWidth="1"/>
    <col min="764" max="769" width="8.81640625" style="387"/>
    <col min="770" max="770" width="12.54296875" style="387" bestFit="1" customWidth="1"/>
    <col min="771" max="771" width="11.54296875" style="387" customWidth="1"/>
    <col min="772" max="772" width="8.81640625" style="387" customWidth="1"/>
    <col min="773" max="1018" width="8.81640625" style="387"/>
    <col min="1019" max="1019" width="32.26953125" style="387" customWidth="1"/>
    <col min="1020" max="1025" width="8.81640625" style="387"/>
    <col min="1026" max="1026" width="12.54296875" style="387" bestFit="1" customWidth="1"/>
    <col min="1027" max="1027" width="11.54296875" style="387" customWidth="1"/>
    <col min="1028" max="1028" width="8.81640625" style="387" customWidth="1"/>
    <col min="1029" max="1274" width="8.81640625" style="387"/>
    <col min="1275" max="1275" width="32.26953125" style="387" customWidth="1"/>
    <col min="1276" max="1281" width="8.81640625" style="387"/>
    <col min="1282" max="1282" width="12.54296875" style="387" bestFit="1" customWidth="1"/>
    <col min="1283" max="1283" width="11.54296875" style="387" customWidth="1"/>
    <col min="1284" max="1284" width="8.81640625" style="387" customWidth="1"/>
    <col min="1285" max="1530" width="8.81640625" style="387"/>
    <col min="1531" max="1531" width="32.26953125" style="387" customWidth="1"/>
    <col min="1532" max="1537" width="8.81640625" style="387"/>
    <col min="1538" max="1538" width="12.54296875" style="387" bestFit="1" customWidth="1"/>
    <col min="1539" max="1539" width="11.54296875" style="387" customWidth="1"/>
    <col min="1540" max="1540" width="8.81640625" style="387" customWidth="1"/>
    <col min="1541" max="1786" width="8.81640625" style="387"/>
    <col min="1787" max="1787" width="32.26953125" style="387" customWidth="1"/>
    <col min="1788" max="1793" width="8.81640625" style="387"/>
    <col min="1794" max="1794" width="12.54296875" style="387" bestFit="1" customWidth="1"/>
    <col min="1795" max="1795" width="11.54296875" style="387" customWidth="1"/>
    <col min="1796" max="1796" width="8.81640625" style="387" customWidth="1"/>
    <col min="1797" max="2042" width="8.81640625" style="387"/>
    <col min="2043" max="2043" width="32.26953125" style="387" customWidth="1"/>
    <col min="2044" max="2049" width="8.81640625" style="387"/>
    <col min="2050" max="2050" width="12.54296875" style="387" bestFit="1" customWidth="1"/>
    <col min="2051" max="2051" width="11.54296875" style="387" customWidth="1"/>
    <col min="2052" max="2052" width="8.81640625" style="387" customWidth="1"/>
    <col min="2053" max="2298" width="8.81640625" style="387"/>
    <col min="2299" max="2299" width="32.26953125" style="387" customWidth="1"/>
    <col min="2300" max="2305" width="8.81640625" style="387"/>
    <col min="2306" max="2306" width="12.54296875" style="387" bestFit="1" customWidth="1"/>
    <col min="2307" max="2307" width="11.54296875" style="387" customWidth="1"/>
    <col min="2308" max="2308" width="8.81640625" style="387" customWidth="1"/>
    <col min="2309" max="2554" width="8.81640625" style="387"/>
    <col min="2555" max="2555" width="32.26953125" style="387" customWidth="1"/>
    <col min="2556" max="2561" width="8.81640625" style="387"/>
    <col min="2562" max="2562" width="12.54296875" style="387" bestFit="1" customWidth="1"/>
    <col min="2563" max="2563" width="11.54296875" style="387" customWidth="1"/>
    <col min="2564" max="2564" width="8.81640625" style="387" customWidth="1"/>
    <col min="2565" max="2810" width="8.81640625" style="387"/>
    <col min="2811" max="2811" width="32.26953125" style="387" customWidth="1"/>
    <col min="2812" max="2817" width="8.81640625" style="387"/>
    <col min="2818" max="2818" width="12.54296875" style="387" bestFit="1" customWidth="1"/>
    <col min="2819" max="2819" width="11.54296875" style="387" customWidth="1"/>
    <col min="2820" max="2820" width="8.81640625" style="387" customWidth="1"/>
    <col min="2821" max="3066" width="8.81640625" style="387"/>
    <col min="3067" max="3067" width="32.26953125" style="387" customWidth="1"/>
    <col min="3068" max="3073" width="8.81640625" style="387"/>
    <col min="3074" max="3074" width="12.54296875" style="387" bestFit="1" customWidth="1"/>
    <col min="3075" max="3075" width="11.54296875" style="387" customWidth="1"/>
    <col min="3076" max="3076" width="8.81640625" style="387" customWidth="1"/>
    <col min="3077" max="3322" width="8.81640625" style="387"/>
    <col min="3323" max="3323" width="32.26953125" style="387" customWidth="1"/>
    <col min="3324" max="3329" width="8.81640625" style="387"/>
    <col min="3330" max="3330" width="12.54296875" style="387" bestFit="1" customWidth="1"/>
    <col min="3331" max="3331" width="11.54296875" style="387" customWidth="1"/>
    <col min="3332" max="3332" width="8.81640625" style="387" customWidth="1"/>
    <col min="3333" max="3578" width="8.81640625" style="387"/>
    <col min="3579" max="3579" width="32.26953125" style="387" customWidth="1"/>
    <col min="3580" max="3585" width="8.81640625" style="387"/>
    <col min="3586" max="3586" width="12.54296875" style="387" bestFit="1" customWidth="1"/>
    <col min="3587" max="3587" width="11.54296875" style="387" customWidth="1"/>
    <col min="3588" max="3588" width="8.81640625" style="387" customWidth="1"/>
    <col min="3589" max="3834" width="8.81640625" style="387"/>
    <col min="3835" max="3835" width="32.26953125" style="387" customWidth="1"/>
    <col min="3836" max="3841" width="8.81640625" style="387"/>
    <col min="3842" max="3842" width="12.54296875" style="387" bestFit="1" customWidth="1"/>
    <col min="3843" max="3843" width="11.54296875" style="387" customWidth="1"/>
    <col min="3844" max="3844" width="8.81640625" style="387" customWidth="1"/>
    <col min="3845" max="4090" width="8.81640625" style="387"/>
    <col min="4091" max="4091" width="32.26953125" style="387" customWidth="1"/>
    <col min="4092" max="4097" width="8.81640625" style="387"/>
    <col min="4098" max="4098" width="12.54296875" style="387" bestFit="1" customWidth="1"/>
    <col min="4099" max="4099" width="11.54296875" style="387" customWidth="1"/>
    <col min="4100" max="4100" width="8.81640625" style="387" customWidth="1"/>
    <col min="4101" max="4346" width="8.81640625" style="387"/>
    <col min="4347" max="4347" width="32.26953125" style="387" customWidth="1"/>
    <col min="4348" max="4353" width="8.81640625" style="387"/>
    <col min="4354" max="4354" width="12.54296875" style="387" bestFit="1" customWidth="1"/>
    <col min="4355" max="4355" width="11.54296875" style="387" customWidth="1"/>
    <col min="4356" max="4356" width="8.81640625" style="387" customWidth="1"/>
    <col min="4357" max="4602" width="8.81640625" style="387"/>
    <col min="4603" max="4603" width="32.26953125" style="387" customWidth="1"/>
    <col min="4604" max="4609" width="8.81640625" style="387"/>
    <col min="4610" max="4610" width="12.54296875" style="387" bestFit="1" customWidth="1"/>
    <col min="4611" max="4611" width="11.54296875" style="387" customWidth="1"/>
    <col min="4612" max="4612" width="8.81640625" style="387" customWidth="1"/>
    <col min="4613" max="4858" width="8.81640625" style="387"/>
    <col min="4859" max="4859" width="32.26953125" style="387" customWidth="1"/>
    <col min="4860" max="4865" width="8.81640625" style="387"/>
    <col min="4866" max="4866" width="12.54296875" style="387" bestFit="1" customWidth="1"/>
    <col min="4867" max="4867" width="11.54296875" style="387" customWidth="1"/>
    <col min="4868" max="4868" width="8.81640625" style="387" customWidth="1"/>
    <col min="4869" max="5114" width="8.81640625" style="387"/>
    <col min="5115" max="5115" width="32.26953125" style="387" customWidth="1"/>
    <col min="5116" max="5121" width="8.81640625" style="387"/>
    <col min="5122" max="5122" width="12.54296875" style="387" bestFit="1" customWidth="1"/>
    <col min="5123" max="5123" width="11.54296875" style="387" customWidth="1"/>
    <col min="5124" max="5124" width="8.81640625" style="387" customWidth="1"/>
    <col min="5125" max="5370" width="8.81640625" style="387"/>
    <col min="5371" max="5371" width="32.26953125" style="387" customWidth="1"/>
    <col min="5372" max="5377" width="8.81640625" style="387"/>
    <col min="5378" max="5378" width="12.54296875" style="387" bestFit="1" customWidth="1"/>
    <col min="5379" max="5379" width="11.54296875" style="387" customWidth="1"/>
    <col min="5380" max="5380" width="8.81640625" style="387" customWidth="1"/>
    <col min="5381" max="5626" width="8.81640625" style="387"/>
    <col min="5627" max="5627" width="32.26953125" style="387" customWidth="1"/>
    <col min="5628" max="5633" width="8.81640625" style="387"/>
    <col min="5634" max="5634" width="12.54296875" style="387" bestFit="1" customWidth="1"/>
    <col min="5635" max="5635" width="11.54296875" style="387" customWidth="1"/>
    <col min="5636" max="5636" width="8.81640625" style="387" customWidth="1"/>
    <col min="5637" max="5882" width="8.81640625" style="387"/>
    <col min="5883" max="5883" width="32.26953125" style="387" customWidth="1"/>
    <col min="5884" max="5889" width="8.81640625" style="387"/>
    <col min="5890" max="5890" width="12.54296875" style="387" bestFit="1" customWidth="1"/>
    <col min="5891" max="5891" width="11.54296875" style="387" customWidth="1"/>
    <col min="5892" max="5892" width="8.81640625" style="387" customWidth="1"/>
    <col min="5893" max="6138" width="8.81640625" style="387"/>
    <col min="6139" max="6139" width="32.26953125" style="387" customWidth="1"/>
    <col min="6140" max="6145" width="8.81640625" style="387"/>
    <col min="6146" max="6146" width="12.54296875" style="387" bestFit="1" customWidth="1"/>
    <col min="6147" max="6147" width="11.54296875" style="387" customWidth="1"/>
    <col min="6148" max="6148" width="8.81640625" style="387" customWidth="1"/>
    <col min="6149" max="6394" width="8.81640625" style="387"/>
    <col min="6395" max="6395" width="32.26953125" style="387" customWidth="1"/>
    <col min="6396" max="6401" width="8.81640625" style="387"/>
    <col min="6402" max="6402" width="12.54296875" style="387" bestFit="1" customWidth="1"/>
    <col min="6403" max="6403" width="11.54296875" style="387" customWidth="1"/>
    <col min="6404" max="6404" width="8.81640625" style="387" customWidth="1"/>
    <col min="6405" max="6650" width="8.81640625" style="387"/>
    <col min="6651" max="6651" width="32.26953125" style="387" customWidth="1"/>
    <col min="6652" max="6657" width="8.81640625" style="387"/>
    <col min="6658" max="6658" width="12.54296875" style="387" bestFit="1" customWidth="1"/>
    <col min="6659" max="6659" width="11.54296875" style="387" customWidth="1"/>
    <col min="6660" max="6660" width="8.81640625" style="387" customWidth="1"/>
    <col min="6661" max="6906" width="8.81640625" style="387"/>
    <col min="6907" max="6907" width="32.26953125" style="387" customWidth="1"/>
    <col min="6908" max="6913" width="8.81640625" style="387"/>
    <col min="6914" max="6914" width="12.54296875" style="387" bestFit="1" customWidth="1"/>
    <col min="6915" max="6915" width="11.54296875" style="387" customWidth="1"/>
    <col min="6916" max="6916" width="8.81640625" style="387" customWidth="1"/>
    <col min="6917" max="7162" width="8.81640625" style="387"/>
    <col min="7163" max="7163" width="32.26953125" style="387" customWidth="1"/>
    <col min="7164" max="7169" width="8.81640625" style="387"/>
    <col min="7170" max="7170" width="12.54296875" style="387" bestFit="1" customWidth="1"/>
    <col min="7171" max="7171" width="11.54296875" style="387" customWidth="1"/>
    <col min="7172" max="7172" width="8.81640625" style="387" customWidth="1"/>
    <col min="7173" max="7418" width="8.81640625" style="387"/>
    <col min="7419" max="7419" width="32.26953125" style="387" customWidth="1"/>
    <col min="7420" max="7425" width="8.81640625" style="387"/>
    <col min="7426" max="7426" width="12.54296875" style="387" bestFit="1" customWidth="1"/>
    <col min="7427" max="7427" width="11.54296875" style="387" customWidth="1"/>
    <col min="7428" max="7428" width="8.81640625" style="387" customWidth="1"/>
    <col min="7429" max="7674" width="8.81640625" style="387"/>
    <col min="7675" max="7675" width="32.26953125" style="387" customWidth="1"/>
    <col min="7676" max="7681" width="8.81640625" style="387"/>
    <col min="7682" max="7682" width="12.54296875" style="387" bestFit="1" customWidth="1"/>
    <col min="7683" max="7683" width="11.54296875" style="387" customWidth="1"/>
    <col min="7684" max="7684" width="8.81640625" style="387" customWidth="1"/>
    <col min="7685" max="7930" width="8.81640625" style="387"/>
    <col min="7931" max="7931" width="32.26953125" style="387" customWidth="1"/>
    <col min="7932" max="7937" width="8.81640625" style="387"/>
    <col min="7938" max="7938" width="12.54296875" style="387" bestFit="1" customWidth="1"/>
    <col min="7939" max="7939" width="11.54296875" style="387" customWidth="1"/>
    <col min="7940" max="7940" width="8.81640625" style="387" customWidth="1"/>
    <col min="7941" max="8186" width="8.81640625" style="387"/>
    <col min="8187" max="8187" width="32.26953125" style="387" customWidth="1"/>
    <col min="8188" max="8193" width="8.81640625" style="387"/>
    <col min="8194" max="8194" width="12.54296875" style="387" bestFit="1" customWidth="1"/>
    <col min="8195" max="8195" width="11.54296875" style="387" customWidth="1"/>
    <col min="8196" max="8196" width="8.81640625" style="387" customWidth="1"/>
    <col min="8197" max="8442" width="8.81640625" style="387"/>
    <col min="8443" max="8443" width="32.26953125" style="387" customWidth="1"/>
    <col min="8444" max="8449" width="8.81640625" style="387"/>
    <col min="8450" max="8450" width="12.54296875" style="387" bestFit="1" customWidth="1"/>
    <col min="8451" max="8451" width="11.54296875" style="387" customWidth="1"/>
    <col min="8452" max="8452" width="8.81640625" style="387" customWidth="1"/>
    <col min="8453" max="8698" width="8.81640625" style="387"/>
    <col min="8699" max="8699" width="32.26953125" style="387" customWidth="1"/>
    <col min="8700" max="8705" width="8.81640625" style="387"/>
    <col min="8706" max="8706" width="12.54296875" style="387" bestFit="1" customWidth="1"/>
    <col min="8707" max="8707" width="11.54296875" style="387" customWidth="1"/>
    <col min="8708" max="8708" width="8.81640625" style="387" customWidth="1"/>
    <col min="8709" max="8954" width="8.81640625" style="387"/>
    <col min="8955" max="8955" width="32.26953125" style="387" customWidth="1"/>
    <col min="8956" max="8961" width="8.81640625" style="387"/>
    <col min="8962" max="8962" width="12.54296875" style="387" bestFit="1" customWidth="1"/>
    <col min="8963" max="8963" width="11.54296875" style="387" customWidth="1"/>
    <col min="8964" max="8964" width="8.81640625" style="387" customWidth="1"/>
    <col min="8965" max="9210" width="8.81640625" style="387"/>
    <col min="9211" max="9211" width="32.26953125" style="387" customWidth="1"/>
    <col min="9212" max="9217" width="8.81640625" style="387"/>
    <col min="9218" max="9218" width="12.54296875" style="387" bestFit="1" customWidth="1"/>
    <col min="9219" max="9219" width="11.54296875" style="387" customWidth="1"/>
    <col min="9220" max="9220" width="8.81640625" style="387" customWidth="1"/>
    <col min="9221" max="9466" width="8.81640625" style="387"/>
    <col min="9467" max="9467" width="32.26953125" style="387" customWidth="1"/>
    <col min="9468" max="9473" width="8.81640625" style="387"/>
    <col min="9474" max="9474" width="12.54296875" style="387" bestFit="1" customWidth="1"/>
    <col min="9475" max="9475" width="11.54296875" style="387" customWidth="1"/>
    <col min="9476" max="9476" width="8.81640625" style="387" customWidth="1"/>
    <col min="9477" max="9722" width="8.81640625" style="387"/>
    <col min="9723" max="9723" width="32.26953125" style="387" customWidth="1"/>
    <col min="9724" max="9729" width="8.81640625" style="387"/>
    <col min="9730" max="9730" width="12.54296875" style="387" bestFit="1" customWidth="1"/>
    <col min="9731" max="9731" width="11.54296875" style="387" customWidth="1"/>
    <col min="9732" max="9732" width="8.81640625" style="387" customWidth="1"/>
    <col min="9733" max="9978" width="8.81640625" style="387"/>
    <col min="9979" max="9979" width="32.26953125" style="387" customWidth="1"/>
    <col min="9980" max="9985" width="8.81640625" style="387"/>
    <col min="9986" max="9986" width="12.54296875" style="387" bestFit="1" customWidth="1"/>
    <col min="9987" max="9987" width="11.54296875" style="387" customWidth="1"/>
    <col min="9988" max="9988" width="8.81640625" style="387" customWidth="1"/>
    <col min="9989" max="10234" width="8.81640625" style="387"/>
    <col min="10235" max="10235" width="32.26953125" style="387" customWidth="1"/>
    <col min="10236" max="10241" width="8.81640625" style="387"/>
    <col min="10242" max="10242" width="12.54296875" style="387" bestFit="1" customWidth="1"/>
    <col min="10243" max="10243" width="11.54296875" style="387" customWidth="1"/>
    <col min="10244" max="10244" width="8.81640625" style="387" customWidth="1"/>
    <col min="10245" max="10490" width="8.81640625" style="387"/>
    <col min="10491" max="10491" width="32.26953125" style="387" customWidth="1"/>
    <col min="10492" max="10497" width="8.81640625" style="387"/>
    <col min="10498" max="10498" width="12.54296875" style="387" bestFit="1" customWidth="1"/>
    <col min="10499" max="10499" width="11.54296875" style="387" customWidth="1"/>
    <col min="10500" max="10500" width="8.81640625" style="387" customWidth="1"/>
    <col min="10501" max="10746" width="8.81640625" style="387"/>
    <col min="10747" max="10747" width="32.26953125" style="387" customWidth="1"/>
    <col min="10748" max="10753" width="8.81640625" style="387"/>
    <col min="10754" max="10754" width="12.54296875" style="387" bestFit="1" customWidth="1"/>
    <col min="10755" max="10755" width="11.54296875" style="387" customWidth="1"/>
    <col min="10756" max="10756" width="8.81640625" style="387" customWidth="1"/>
    <col min="10757" max="11002" width="8.81640625" style="387"/>
    <col min="11003" max="11003" width="32.26953125" style="387" customWidth="1"/>
    <col min="11004" max="11009" width="8.81640625" style="387"/>
    <col min="11010" max="11010" width="12.54296875" style="387" bestFit="1" customWidth="1"/>
    <col min="11011" max="11011" width="11.54296875" style="387" customWidth="1"/>
    <col min="11012" max="11012" width="8.81640625" style="387" customWidth="1"/>
    <col min="11013" max="11258" width="8.81640625" style="387"/>
    <col min="11259" max="11259" width="32.26953125" style="387" customWidth="1"/>
    <col min="11260" max="11265" width="8.81640625" style="387"/>
    <col min="11266" max="11266" width="12.54296875" style="387" bestFit="1" customWidth="1"/>
    <col min="11267" max="11267" width="11.54296875" style="387" customWidth="1"/>
    <col min="11268" max="11268" width="8.81640625" style="387" customWidth="1"/>
    <col min="11269" max="11514" width="8.81640625" style="387"/>
    <col min="11515" max="11515" width="32.26953125" style="387" customWidth="1"/>
    <col min="11516" max="11521" width="8.81640625" style="387"/>
    <col min="11522" max="11522" width="12.54296875" style="387" bestFit="1" customWidth="1"/>
    <col min="11523" max="11523" width="11.54296875" style="387" customWidth="1"/>
    <col min="11524" max="11524" width="8.81640625" style="387" customWidth="1"/>
    <col min="11525" max="11770" width="8.81640625" style="387"/>
    <col min="11771" max="11771" width="32.26953125" style="387" customWidth="1"/>
    <col min="11772" max="11777" width="8.81640625" style="387"/>
    <col min="11778" max="11778" width="12.54296875" style="387" bestFit="1" customWidth="1"/>
    <col min="11779" max="11779" width="11.54296875" style="387" customWidth="1"/>
    <col min="11780" max="11780" width="8.81640625" style="387" customWidth="1"/>
    <col min="11781" max="12026" width="8.81640625" style="387"/>
    <col min="12027" max="12027" width="32.26953125" style="387" customWidth="1"/>
    <col min="12028" max="12033" width="8.81640625" style="387"/>
    <col min="12034" max="12034" width="12.54296875" style="387" bestFit="1" customWidth="1"/>
    <col min="12035" max="12035" width="11.54296875" style="387" customWidth="1"/>
    <col min="12036" max="12036" width="8.81640625" style="387" customWidth="1"/>
    <col min="12037" max="12282" width="8.81640625" style="387"/>
    <col min="12283" max="12283" width="32.26953125" style="387" customWidth="1"/>
    <col min="12284" max="12289" width="8.81640625" style="387"/>
    <col min="12290" max="12290" width="12.54296875" style="387" bestFit="1" customWidth="1"/>
    <col min="12291" max="12291" width="11.54296875" style="387" customWidth="1"/>
    <col min="12292" max="12292" width="8.81640625" style="387" customWidth="1"/>
    <col min="12293" max="12538" width="8.81640625" style="387"/>
    <col min="12539" max="12539" width="32.26953125" style="387" customWidth="1"/>
    <col min="12540" max="12545" width="8.81640625" style="387"/>
    <col min="12546" max="12546" width="12.54296875" style="387" bestFit="1" customWidth="1"/>
    <col min="12547" max="12547" width="11.54296875" style="387" customWidth="1"/>
    <col min="12548" max="12548" width="8.81640625" style="387" customWidth="1"/>
    <col min="12549" max="12794" width="8.81640625" style="387"/>
    <col min="12795" max="12795" width="32.26953125" style="387" customWidth="1"/>
    <col min="12796" max="12801" width="8.81640625" style="387"/>
    <col min="12802" max="12802" width="12.54296875" style="387" bestFit="1" customWidth="1"/>
    <col min="12803" max="12803" width="11.54296875" style="387" customWidth="1"/>
    <col min="12804" max="12804" width="8.81640625" style="387" customWidth="1"/>
    <col min="12805" max="13050" width="8.81640625" style="387"/>
    <col min="13051" max="13051" width="32.26953125" style="387" customWidth="1"/>
    <col min="13052" max="13057" width="8.81640625" style="387"/>
    <col min="13058" max="13058" width="12.54296875" style="387" bestFit="1" customWidth="1"/>
    <col min="13059" max="13059" width="11.54296875" style="387" customWidth="1"/>
    <col min="13060" max="13060" width="8.81640625" style="387" customWidth="1"/>
    <col min="13061" max="13306" width="8.81640625" style="387"/>
    <col min="13307" max="13307" width="32.26953125" style="387" customWidth="1"/>
    <col min="13308" max="13313" width="8.81640625" style="387"/>
    <col min="13314" max="13314" width="12.54296875" style="387" bestFit="1" customWidth="1"/>
    <col min="13315" max="13315" width="11.54296875" style="387" customWidth="1"/>
    <col min="13316" max="13316" width="8.81640625" style="387" customWidth="1"/>
    <col min="13317" max="13562" width="8.81640625" style="387"/>
    <col min="13563" max="13563" width="32.26953125" style="387" customWidth="1"/>
    <col min="13564" max="13569" width="8.81640625" style="387"/>
    <col min="13570" max="13570" width="12.54296875" style="387" bestFit="1" customWidth="1"/>
    <col min="13571" max="13571" width="11.54296875" style="387" customWidth="1"/>
    <col min="13572" max="13572" width="8.81640625" style="387" customWidth="1"/>
    <col min="13573" max="13818" width="8.81640625" style="387"/>
    <col min="13819" max="13819" width="32.26953125" style="387" customWidth="1"/>
    <col min="13820" max="13825" width="8.81640625" style="387"/>
    <col min="13826" max="13826" width="12.54296875" style="387" bestFit="1" customWidth="1"/>
    <col min="13827" max="13827" width="11.54296875" style="387" customWidth="1"/>
    <col min="13828" max="13828" width="8.81640625" style="387" customWidth="1"/>
    <col min="13829" max="14074" width="8.81640625" style="387"/>
    <col min="14075" max="14075" width="32.26953125" style="387" customWidth="1"/>
    <col min="14076" max="14081" width="8.81640625" style="387"/>
    <col min="14082" max="14082" width="12.54296875" style="387" bestFit="1" customWidth="1"/>
    <col min="14083" max="14083" width="11.54296875" style="387" customWidth="1"/>
    <col min="14084" max="14084" width="8.81640625" style="387" customWidth="1"/>
    <col min="14085" max="14330" width="8.81640625" style="387"/>
    <col min="14331" max="14331" width="32.26953125" style="387" customWidth="1"/>
    <col min="14332" max="14337" width="8.81640625" style="387"/>
    <col min="14338" max="14338" width="12.54296875" style="387" bestFit="1" customWidth="1"/>
    <col min="14339" max="14339" width="11.54296875" style="387" customWidth="1"/>
    <col min="14340" max="14340" width="8.81640625" style="387" customWidth="1"/>
    <col min="14341" max="14586" width="8.81640625" style="387"/>
    <col min="14587" max="14587" width="32.26953125" style="387" customWidth="1"/>
    <col min="14588" max="14593" width="8.81640625" style="387"/>
    <col min="14594" max="14594" width="12.54296875" style="387" bestFit="1" customWidth="1"/>
    <col min="14595" max="14595" width="11.54296875" style="387" customWidth="1"/>
    <col min="14596" max="14596" width="8.81640625" style="387" customWidth="1"/>
    <col min="14597" max="14842" width="8.81640625" style="387"/>
    <col min="14843" max="14843" width="32.26953125" style="387" customWidth="1"/>
    <col min="14844" max="14849" width="8.81640625" style="387"/>
    <col min="14850" max="14850" width="12.54296875" style="387" bestFit="1" customWidth="1"/>
    <col min="14851" max="14851" width="11.54296875" style="387" customWidth="1"/>
    <col min="14852" max="14852" width="8.81640625" style="387" customWidth="1"/>
    <col min="14853" max="15098" width="8.81640625" style="387"/>
    <col min="15099" max="15099" width="32.26953125" style="387" customWidth="1"/>
    <col min="15100" max="15105" width="8.81640625" style="387"/>
    <col min="15106" max="15106" width="12.54296875" style="387" bestFit="1" customWidth="1"/>
    <col min="15107" max="15107" width="11.54296875" style="387" customWidth="1"/>
    <col min="15108" max="15108" width="8.81640625" style="387" customWidth="1"/>
    <col min="15109" max="15354" width="8.81640625" style="387"/>
    <col min="15355" max="15355" width="32.26953125" style="387" customWidth="1"/>
    <col min="15356" max="15361" width="8.81640625" style="387"/>
    <col min="15362" max="15362" width="12.54296875" style="387" bestFit="1" customWidth="1"/>
    <col min="15363" max="15363" width="11.54296875" style="387" customWidth="1"/>
    <col min="15364" max="15364" width="8.81640625" style="387" customWidth="1"/>
    <col min="15365" max="15610" width="8.81640625" style="387"/>
    <col min="15611" max="15611" width="32.26953125" style="387" customWidth="1"/>
    <col min="15612" max="15617" width="8.81640625" style="387"/>
    <col min="15618" max="15618" width="12.54296875" style="387" bestFit="1" customWidth="1"/>
    <col min="15619" max="15619" width="11.54296875" style="387" customWidth="1"/>
    <col min="15620" max="15620" width="8.81640625" style="387" customWidth="1"/>
    <col min="15621" max="15866" width="8.81640625" style="387"/>
    <col min="15867" max="15867" width="32.26953125" style="387" customWidth="1"/>
    <col min="15868" max="15873" width="8.81640625" style="387"/>
    <col min="15874" max="15874" width="12.54296875" style="387" bestFit="1" customWidth="1"/>
    <col min="15875" max="15875" width="11.54296875" style="387" customWidth="1"/>
    <col min="15876" max="15876" width="8.81640625" style="387" customWidth="1"/>
    <col min="15877" max="16122" width="8.81640625" style="387"/>
    <col min="16123" max="16123" width="32.26953125" style="387" customWidth="1"/>
    <col min="16124" max="16129" width="8.81640625" style="387"/>
    <col min="16130" max="16130" width="12.54296875" style="387" bestFit="1" customWidth="1"/>
    <col min="16131" max="16131" width="11.54296875" style="387" customWidth="1"/>
    <col min="16132" max="16132" width="8.81640625" style="387" customWidth="1"/>
    <col min="16133" max="16384" width="8.81640625" style="387"/>
  </cols>
  <sheetData>
    <row r="1" spans="1:40" s="1182" customFormat="1" x14ac:dyDescent="0.3">
      <c r="A1" s="1730"/>
      <c r="B1" s="894"/>
      <c r="C1" s="894"/>
      <c r="D1" s="894"/>
      <c r="E1" s="894"/>
      <c r="F1" s="894"/>
      <c r="G1" s="894"/>
      <c r="H1" s="894"/>
      <c r="I1" s="894"/>
      <c r="J1" s="894"/>
      <c r="K1" s="894"/>
      <c r="L1" s="894"/>
      <c r="M1" s="894"/>
      <c r="N1" s="894"/>
      <c r="O1" s="894"/>
      <c r="P1" s="894"/>
      <c r="Q1" s="894"/>
      <c r="R1" s="894"/>
      <c r="S1" s="894"/>
      <c r="T1" s="894"/>
      <c r="U1" s="894"/>
      <c r="V1" s="894"/>
      <c r="W1" s="894"/>
      <c r="X1" s="894"/>
      <c r="Y1" s="894"/>
      <c r="Z1" s="894"/>
      <c r="AA1" s="894"/>
      <c r="AB1" s="894"/>
      <c r="AC1" s="894"/>
      <c r="AD1" s="894"/>
      <c r="AE1" s="894"/>
      <c r="AF1" s="894"/>
      <c r="AG1" s="894"/>
      <c r="AH1" s="894"/>
      <c r="AI1" s="894"/>
      <c r="AJ1" s="894"/>
      <c r="AK1" s="894"/>
      <c r="AL1" s="894"/>
      <c r="AM1" s="894"/>
      <c r="AN1" s="894"/>
    </row>
    <row r="2" spans="1:40" ht="30" customHeight="1" x14ac:dyDescent="0.3">
      <c r="A2" s="2659" t="s">
        <v>1089</v>
      </c>
      <c r="B2" s="2659"/>
      <c r="C2" s="2659"/>
      <c r="D2" s="2659"/>
      <c r="E2" s="773"/>
      <c r="Q2" s="2660" t="s">
        <v>1200</v>
      </c>
      <c r="R2" s="2660"/>
      <c r="S2" s="2660"/>
      <c r="T2" s="2660"/>
      <c r="U2" s="2660"/>
    </row>
    <row r="3" spans="1:40" ht="17.5" customHeight="1" x14ac:dyDescent="0.35">
      <c r="A3" s="431"/>
      <c r="B3" s="431"/>
      <c r="C3" s="431"/>
      <c r="D3" s="431"/>
      <c r="L3" s="745" t="s">
        <v>1100</v>
      </c>
      <c r="Q3" s="789"/>
      <c r="R3" s="789"/>
      <c r="S3" s="789"/>
    </row>
    <row r="4" spans="1:40" ht="13.9" customHeight="1" x14ac:dyDescent="0.35">
      <c r="A4" s="745" t="s">
        <v>1205</v>
      </c>
      <c r="B4" s="431"/>
      <c r="C4" s="431"/>
      <c r="D4" s="431"/>
      <c r="Q4" s="2660" t="s">
        <v>2125</v>
      </c>
      <c r="R4" s="2660"/>
      <c r="S4" s="2660"/>
      <c r="T4" s="2660"/>
      <c r="U4" s="2660"/>
    </row>
    <row r="5" spans="1:40" ht="14.15" customHeight="1" x14ac:dyDescent="0.3">
      <c r="L5" s="468" t="s">
        <v>1104</v>
      </c>
      <c r="Q5" s="2660"/>
      <c r="R5" s="2660"/>
      <c r="S5" s="2660"/>
      <c r="T5" s="2660"/>
      <c r="U5" s="2660"/>
    </row>
    <row r="6" spans="1:40" ht="14.5" customHeight="1" x14ac:dyDescent="0.35">
      <c r="A6" s="788" t="s">
        <v>2167</v>
      </c>
      <c r="L6" s="468" t="s">
        <v>1105</v>
      </c>
      <c r="N6" s="746"/>
      <c r="O6" s="746"/>
      <c r="Q6" s="2660"/>
      <c r="R6" s="2660"/>
      <c r="S6" s="2660"/>
      <c r="T6" s="2660"/>
      <c r="U6" s="2660"/>
    </row>
    <row r="7" spans="1:40" ht="14.5" customHeight="1" x14ac:dyDescent="0.35">
      <c r="A7" s="431"/>
      <c r="N7" s="746"/>
      <c r="O7" s="746"/>
      <c r="T7" s="773"/>
    </row>
    <row r="8" spans="1:40" ht="14.5" customHeight="1" x14ac:dyDescent="0.35">
      <c r="A8" s="790"/>
      <c r="B8" s="2651" t="s">
        <v>1033</v>
      </c>
      <c r="C8" s="2652"/>
      <c r="D8" s="2653"/>
      <c r="E8" s="2657" t="s">
        <v>1034</v>
      </c>
      <c r="F8" s="2652"/>
      <c r="G8" s="2653"/>
      <c r="H8" s="2657" t="s">
        <v>1035</v>
      </c>
      <c r="I8" s="2652"/>
      <c r="J8" s="2653"/>
      <c r="L8" s="468" t="s">
        <v>1101</v>
      </c>
      <c r="N8" s="746"/>
      <c r="O8" s="746"/>
    </row>
    <row r="9" spans="1:40" ht="14.5" customHeight="1" x14ac:dyDescent="0.35">
      <c r="A9" s="791"/>
      <c r="B9" s="2654"/>
      <c r="C9" s="2655"/>
      <c r="D9" s="2656"/>
      <c r="E9" s="2658"/>
      <c r="F9" s="2655"/>
      <c r="G9" s="2656"/>
      <c r="H9" s="2658"/>
      <c r="I9" s="2655"/>
      <c r="J9" s="2656"/>
      <c r="N9" s="746"/>
      <c r="O9" s="746"/>
    </row>
    <row r="10" spans="1:40" ht="19" x14ac:dyDescent="0.45">
      <c r="A10" s="743" t="s">
        <v>1038</v>
      </c>
      <c r="B10" s="1349" t="s">
        <v>1036</v>
      </c>
      <c r="C10" s="2649" t="s">
        <v>1037</v>
      </c>
      <c r="D10" s="2650"/>
      <c r="E10" s="1351" t="s">
        <v>1036</v>
      </c>
      <c r="F10" s="2649" t="s">
        <v>1037</v>
      </c>
      <c r="G10" s="2650"/>
      <c r="H10" s="1351" t="s">
        <v>1036</v>
      </c>
      <c r="I10" s="2649" t="s">
        <v>1037</v>
      </c>
      <c r="J10" s="2650"/>
      <c r="L10" s="468" t="s">
        <v>1106</v>
      </c>
      <c r="N10" s="746"/>
      <c r="O10" s="746"/>
      <c r="R10" s="2"/>
    </row>
    <row r="11" spans="1:40" x14ac:dyDescent="0.3">
      <c r="A11" s="744" t="s">
        <v>1039</v>
      </c>
      <c r="B11" s="1345">
        <v>88.7</v>
      </c>
      <c r="C11" s="1345">
        <v>81.2</v>
      </c>
      <c r="D11" s="1346">
        <v>97</v>
      </c>
      <c r="E11" s="1341">
        <v>79.520573566084792</v>
      </c>
      <c r="F11" s="1341">
        <v>55.599750623441395</v>
      </c>
      <c r="G11" s="1341">
        <v>87.278678304239406</v>
      </c>
      <c r="H11" s="1345">
        <v>10.8</v>
      </c>
      <c r="I11" s="1345">
        <v>6.3</v>
      </c>
      <c r="J11" s="1342">
        <v>19</v>
      </c>
      <c r="O11" s="746"/>
      <c r="Q11" s="1730"/>
    </row>
    <row r="12" spans="1:40" x14ac:dyDescent="0.3">
      <c r="A12" s="744" t="s">
        <v>1040</v>
      </c>
      <c r="B12" s="1347">
        <v>28.2</v>
      </c>
      <c r="C12" s="1347">
        <v>13.9</v>
      </c>
      <c r="D12" s="1347">
        <v>60.6</v>
      </c>
      <c r="E12" s="1343">
        <v>69.822942643391528</v>
      </c>
      <c r="F12" s="1343">
        <v>53.660224438902752</v>
      </c>
      <c r="G12" s="1343">
        <v>90.511221945137152</v>
      </c>
      <c r="H12" s="1347">
        <v>21.6</v>
      </c>
      <c r="I12" s="1347">
        <v>9.8000000000000007</v>
      </c>
      <c r="J12" s="1344">
        <v>28.8</v>
      </c>
      <c r="L12" s="740" t="s">
        <v>1102</v>
      </c>
      <c r="M12" s="740"/>
      <c r="N12" s="749">
        <v>12.6</v>
      </c>
      <c r="O12" s="792" t="s">
        <v>1198</v>
      </c>
      <c r="Q12" s="1730"/>
    </row>
    <row r="13" spans="1:40" x14ac:dyDescent="0.3">
      <c r="A13" s="744" t="s">
        <v>1041</v>
      </c>
      <c r="B13" s="1348">
        <v>90.5</v>
      </c>
      <c r="C13" s="1348">
        <v>87.4</v>
      </c>
      <c r="D13" s="1348">
        <v>93.5</v>
      </c>
      <c r="E13" s="1344">
        <v>78.227556109725683</v>
      </c>
      <c r="F13" s="1344">
        <v>63.357855361596009</v>
      </c>
      <c r="G13" s="1344">
        <v>99</v>
      </c>
      <c r="H13" s="1348">
        <v>37.5</v>
      </c>
      <c r="I13" s="1348">
        <v>27.4</v>
      </c>
      <c r="J13" s="1344">
        <v>42.1</v>
      </c>
      <c r="L13" s="740"/>
      <c r="M13" s="740"/>
      <c r="N13" s="741"/>
      <c r="O13" s="741"/>
    </row>
    <row r="14" spans="1:40" x14ac:dyDescent="0.3">
      <c r="A14" s="744" t="s">
        <v>1042</v>
      </c>
      <c r="B14" s="1348">
        <v>10</v>
      </c>
      <c r="C14" s="1348">
        <v>8</v>
      </c>
      <c r="D14" s="1348">
        <v>15.5</v>
      </c>
      <c r="E14" s="1344">
        <v>82.106608478802983</v>
      </c>
      <c r="F14" s="1344">
        <v>56.892768079800504</v>
      </c>
      <c r="G14" s="1344">
        <v>91.804239401496261</v>
      </c>
      <c r="H14" s="1348">
        <v>9.8000000000000007</v>
      </c>
      <c r="I14" s="1348">
        <v>6.5</v>
      </c>
      <c r="J14" s="1344">
        <v>15.3</v>
      </c>
      <c r="L14" s="740" t="s">
        <v>1103</v>
      </c>
      <c r="M14" s="740"/>
      <c r="N14" s="742">
        <f>IF(N12="","",IF(N12=0,"",(N12+1.037)/0.1604))</f>
        <v>85.018703241895267</v>
      </c>
      <c r="O14" s="741" t="s">
        <v>222</v>
      </c>
    </row>
    <row r="15" spans="1:40" ht="14.5" x14ac:dyDescent="0.3">
      <c r="A15" s="744" t="s">
        <v>1043</v>
      </c>
      <c r="B15" s="1348">
        <v>14.3</v>
      </c>
      <c r="C15" s="1348">
        <v>10.6</v>
      </c>
      <c r="D15" s="1348">
        <v>17.3</v>
      </c>
      <c r="E15" s="1344">
        <v>83.399625935162106</v>
      </c>
      <c r="F15" s="1344">
        <v>62.064837905236914</v>
      </c>
      <c r="G15" s="1344">
        <v>93.743765586034911</v>
      </c>
      <c r="H15" s="1348">
        <v>8.6</v>
      </c>
      <c r="I15" s="1348">
        <v>6</v>
      </c>
      <c r="J15" s="1344">
        <v>11.9</v>
      </c>
      <c r="N15" s="746"/>
      <c r="O15" s="793"/>
    </row>
    <row r="16" spans="1:40" x14ac:dyDescent="0.3">
      <c r="A16" s="744" t="s">
        <v>1044</v>
      </c>
      <c r="B16" s="1348">
        <v>89.8</v>
      </c>
      <c r="C16" s="1348">
        <v>87.5</v>
      </c>
      <c r="D16" s="1348">
        <v>95.3</v>
      </c>
      <c r="E16" s="1344">
        <v>71.762468827930164</v>
      </c>
      <c r="F16" s="1344">
        <v>62.064837905236914</v>
      </c>
      <c r="G16" s="1344">
        <v>82.106608478802983</v>
      </c>
      <c r="H16" s="1348">
        <v>43.5</v>
      </c>
      <c r="I16" s="1348">
        <v>39.5</v>
      </c>
      <c r="J16" s="1344">
        <v>48</v>
      </c>
      <c r="N16" s="746"/>
      <c r="O16" s="746"/>
    </row>
    <row r="17" spans="1:18" x14ac:dyDescent="0.3">
      <c r="A17" s="744" t="s">
        <v>1045</v>
      </c>
      <c r="B17" s="1348">
        <v>55.1</v>
      </c>
      <c r="C17" s="1348">
        <v>19.600000000000001</v>
      </c>
      <c r="D17" s="1348">
        <v>93.9</v>
      </c>
      <c r="E17" s="1344">
        <v>40.730049875311721</v>
      </c>
      <c r="F17" s="1344">
        <v>14.869700748129674</v>
      </c>
      <c r="G17" s="1344">
        <v>78.227556109725683</v>
      </c>
      <c r="H17" s="1348">
        <v>12.1</v>
      </c>
      <c r="I17" s="1348">
        <v>5.4</v>
      </c>
      <c r="J17" s="1344">
        <v>17.2</v>
      </c>
      <c r="N17" s="746"/>
      <c r="O17" s="746"/>
    </row>
    <row r="18" spans="1:18" ht="17.5" x14ac:dyDescent="0.35">
      <c r="A18" s="744" t="s">
        <v>1046</v>
      </c>
      <c r="B18" s="1348">
        <v>91.6</v>
      </c>
      <c r="C18" s="1348">
        <v>86.1</v>
      </c>
      <c r="D18" s="1348">
        <v>95.5</v>
      </c>
      <c r="E18" s="1344">
        <v>81.460099750623442</v>
      </c>
      <c r="F18" s="1344">
        <v>72.408977556109718</v>
      </c>
      <c r="G18" s="1344">
        <v>96.32980049875313</v>
      </c>
      <c r="H18" s="1348">
        <v>32</v>
      </c>
      <c r="I18" s="1348">
        <v>21.3</v>
      </c>
      <c r="J18" s="1344">
        <v>43.2</v>
      </c>
      <c r="L18" s="745" t="s">
        <v>1163</v>
      </c>
    </row>
    <row r="19" spans="1:18" x14ac:dyDescent="0.3">
      <c r="A19" s="744" t="s">
        <v>1047</v>
      </c>
      <c r="B19" s="1348">
        <v>84.2</v>
      </c>
      <c r="C19" s="1348">
        <v>60.3</v>
      </c>
      <c r="D19" s="1348">
        <v>96.4</v>
      </c>
      <c r="E19" s="1344">
        <v>89.218204488778056</v>
      </c>
      <c r="F19" s="1344">
        <v>79.520573566084792</v>
      </c>
      <c r="G19" s="1344">
        <v>96.32980049875313</v>
      </c>
      <c r="H19" s="1348">
        <v>10</v>
      </c>
      <c r="I19" s="1348">
        <v>7.3</v>
      </c>
      <c r="J19" s="1344">
        <v>21.9</v>
      </c>
    </row>
    <row r="20" spans="1:18" x14ac:dyDescent="0.3">
      <c r="A20" s="744" t="s">
        <v>1048</v>
      </c>
      <c r="B20" s="1348"/>
      <c r="C20" s="1348"/>
      <c r="D20" s="1348"/>
      <c r="E20" s="1344">
        <v>66.599999999999994</v>
      </c>
      <c r="F20" s="1348"/>
      <c r="G20" s="1348"/>
      <c r="H20" s="1348">
        <v>4</v>
      </c>
      <c r="I20" s="1348">
        <v>3</v>
      </c>
      <c r="J20" s="1344">
        <v>5</v>
      </c>
      <c r="L20" s="468" t="s">
        <v>1466</v>
      </c>
    </row>
    <row r="21" spans="1:18" x14ac:dyDescent="0.3">
      <c r="A21" s="744" t="s">
        <v>1049</v>
      </c>
      <c r="B21" s="1348">
        <v>91.1</v>
      </c>
      <c r="C21" s="1348">
        <v>80</v>
      </c>
      <c r="D21" s="1348">
        <v>93.3</v>
      </c>
      <c r="E21" s="1344">
        <v>66.590399002493768</v>
      </c>
      <c r="F21" s="1344">
        <v>38.144014962593516</v>
      </c>
      <c r="G21" s="1344">
        <v>91.804239401496261</v>
      </c>
      <c r="H21" s="1348">
        <v>9</v>
      </c>
      <c r="I21" s="1348">
        <v>4</v>
      </c>
      <c r="J21" s="1344">
        <v>15.4</v>
      </c>
      <c r="L21" s="468" t="s">
        <v>1467</v>
      </c>
    </row>
    <row r="22" spans="1:18" x14ac:dyDescent="0.3">
      <c r="A22" s="744" t="s">
        <v>1050</v>
      </c>
      <c r="B22" s="1348">
        <v>90.4</v>
      </c>
      <c r="C22" s="1348">
        <v>89.9</v>
      </c>
      <c r="D22" s="1348">
        <v>90.8</v>
      </c>
      <c r="E22" s="1344">
        <v>89.864713216957611</v>
      </c>
      <c r="F22" s="1344">
        <v>60.125311720698257</v>
      </c>
      <c r="G22" s="1344">
        <v>97.622817955112211</v>
      </c>
      <c r="H22" s="1348">
        <v>15.5</v>
      </c>
      <c r="I22" s="1348">
        <v>12.9</v>
      </c>
      <c r="J22" s="1344">
        <v>19.600000000000001</v>
      </c>
    </row>
    <row r="23" spans="1:18" x14ac:dyDescent="0.3">
      <c r="A23" s="744" t="s">
        <v>1051</v>
      </c>
      <c r="B23" s="1348">
        <v>89.6</v>
      </c>
      <c r="C23" s="1348">
        <v>86.2</v>
      </c>
      <c r="D23" s="1348">
        <v>94.4</v>
      </c>
      <c r="E23" s="1344">
        <v>85.985660847880297</v>
      </c>
      <c r="F23" s="1344">
        <v>80.813591022443887</v>
      </c>
      <c r="G23" s="1344">
        <v>93.097256857855356</v>
      </c>
      <c r="H23" s="1348">
        <v>10.6</v>
      </c>
      <c r="I23" s="1348">
        <v>9.6</v>
      </c>
      <c r="J23" s="1344">
        <v>13.2</v>
      </c>
      <c r="L23" s="468" t="s">
        <v>1202</v>
      </c>
    </row>
    <row r="24" spans="1:18" x14ac:dyDescent="0.3">
      <c r="A24" s="744" t="s">
        <v>1052</v>
      </c>
      <c r="B24" s="1348">
        <v>85.4</v>
      </c>
      <c r="C24" s="1348">
        <v>11.9</v>
      </c>
      <c r="D24" s="1348">
        <v>93.7</v>
      </c>
      <c r="E24" s="1344">
        <v>96.32980049875313</v>
      </c>
      <c r="F24" s="1344">
        <v>85.985660847880297</v>
      </c>
      <c r="G24" s="1344">
        <v>99</v>
      </c>
      <c r="H24" s="1348">
        <v>43.5</v>
      </c>
      <c r="I24" s="1348">
        <v>29.3</v>
      </c>
      <c r="J24" s="1344">
        <v>53.7</v>
      </c>
    </row>
    <row r="25" spans="1:18" x14ac:dyDescent="0.3">
      <c r="A25" s="744" t="s">
        <v>1053</v>
      </c>
      <c r="B25" s="1348">
        <v>90.8</v>
      </c>
      <c r="C25" s="1348">
        <v>86.4</v>
      </c>
      <c r="D25" s="1348">
        <v>92</v>
      </c>
      <c r="E25" s="1344">
        <v>64.004364089775564</v>
      </c>
      <c r="F25" s="1344">
        <v>54.306733167082292</v>
      </c>
      <c r="G25" s="1344">
        <v>90.511221945137152</v>
      </c>
      <c r="H25" s="1348">
        <v>34.1</v>
      </c>
      <c r="I25" s="1348">
        <v>20.399999999999999</v>
      </c>
      <c r="J25" s="1344">
        <v>39.1</v>
      </c>
      <c r="L25" s="468" t="s">
        <v>1206</v>
      </c>
      <c r="R25" s="773"/>
    </row>
    <row r="26" spans="1:18" x14ac:dyDescent="0.3">
      <c r="A26" s="744" t="s">
        <v>1054</v>
      </c>
      <c r="B26" s="1348">
        <v>27.3</v>
      </c>
      <c r="C26" s="1348">
        <v>16.600000000000001</v>
      </c>
      <c r="D26" s="1348">
        <v>30.2</v>
      </c>
      <c r="E26" s="1344">
        <v>49.781172069825438</v>
      </c>
      <c r="F26" s="1344">
        <v>26.506857855361595</v>
      </c>
      <c r="G26" s="1344">
        <v>60.125311720698257</v>
      </c>
      <c r="H26" s="1348">
        <v>19.399999999999999</v>
      </c>
      <c r="I26" s="1348">
        <v>5</v>
      </c>
      <c r="J26" s="1344">
        <v>22.6</v>
      </c>
      <c r="L26" s="468" t="s">
        <v>1201</v>
      </c>
    </row>
    <row r="27" spans="1:18" x14ac:dyDescent="0.3">
      <c r="A27" s="744" t="s">
        <v>1055</v>
      </c>
      <c r="B27" s="1348">
        <v>89.4</v>
      </c>
      <c r="C27" s="1348">
        <v>80.3</v>
      </c>
      <c r="D27" s="1348">
        <v>96.9</v>
      </c>
      <c r="E27" s="1344">
        <v>84.046134663341647</v>
      </c>
      <c r="F27" s="1344">
        <v>74.995012468827937</v>
      </c>
      <c r="G27" s="1344">
        <v>87.278678304239406</v>
      </c>
      <c r="H27" s="1348">
        <v>11.4</v>
      </c>
      <c r="I27" s="1348">
        <v>6.6</v>
      </c>
      <c r="J27" s="1344">
        <v>18.8</v>
      </c>
    </row>
    <row r="28" spans="1:18" x14ac:dyDescent="0.3">
      <c r="A28" s="744" t="s">
        <v>1056</v>
      </c>
      <c r="B28" s="1348">
        <v>29.1</v>
      </c>
      <c r="C28" s="1348">
        <v>8.5</v>
      </c>
      <c r="D28" s="1348">
        <v>87.7</v>
      </c>
      <c r="E28" s="1344">
        <v>86.632169576059852</v>
      </c>
      <c r="F28" s="1344">
        <v>69.176433915211973</v>
      </c>
      <c r="G28" s="1344">
        <v>93.743765586034911</v>
      </c>
      <c r="H28" s="1348">
        <v>15.9</v>
      </c>
      <c r="I28" s="1348">
        <v>7.2</v>
      </c>
      <c r="J28" s="1344">
        <v>29.6</v>
      </c>
    </row>
    <row r="29" spans="1:18" x14ac:dyDescent="0.3">
      <c r="A29" s="744" t="s">
        <v>1057</v>
      </c>
      <c r="B29" s="1348">
        <v>23.7</v>
      </c>
      <c r="C29" s="1348">
        <v>4.7</v>
      </c>
      <c r="D29" s="1348">
        <v>87.4</v>
      </c>
      <c r="E29" s="1344">
        <v>89.864713216957611</v>
      </c>
      <c r="F29" s="1344">
        <v>75.641521197007478</v>
      </c>
      <c r="G29" s="1344">
        <v>95.683291770573575</v>
      </c>
      <c r="H29" s="1348">
        <v>14.8</v>
      </c>
      <c r="I29" s="1348">
        <v>4.5999999999999996</v>
      </c>
      <c r="J29" s="1344">
        <v>26.7</v>
      </c>
      <c r="L29" s="782" t="s">
        <v>1178</v>
      </c>
    </row>
    <row r="30" spans="1:18" x14ac:dyDescent="0.3">
      <c r="A30" s="744" t="s">
        <v>1058</v>
      </c>
      <c r="B30" s="1348">
        <v>89.4</v>
      </c>
      <c r="C30" s="1348">
        <v>80.2</v>
      </c>
      <c r="D30" s="1348">
        <v>92.9</v>
      </c>
      <c r="E30" s="1344">
        <v>84.692643391521187</v>
      </c>
      <c r="F30" s="1344">
        <v>67.883416458852864</v>
      </c>
      <c r="G30" s="1344">
        <v>91.157730673316706</v>
      </c>
      <c r="H30" s="1348">
        <v>12.9</v>
      </c>
      <c r="I30" s="1348">
        <v>7.4</v>
      </c>
      <c r="J30" s="1344">
        <v>22.7</v>
      </c>
      <c r="L30" s="777"/>
      <c r="M30" s="778"/>
      <c r="N30" s="775" t="s">
        <v>1174</v>
      </c>
      <c r="O30" s="775" t="s">
        <v>1164</v>
      </c>
      <c r="P30" s="775" t="s">
        <v>1165</v>
      </c>
      <c r="Q30" s="775" t="s">
        <v>1166</v>
      </c>
    </row>
    <row r="31" spans="1:18" x14ac:dyDescent="0.3">
      <c r="A31" s="744" t="s">
        <v>1059</v>
      </c>
      <c r="B31" s="1348">
        <v>34</v>
      </c>
      <c r="C31" s="1348">
        <v>15.1</v>
      </c>
      <c r="D31" s="1348">
        <v>89.6</v>
      </c>
      <c r="E31" s="1344">
        <v>77.581047381546142</v>
      </c>
      <c r="F31" s="1344">
        <v>70.469451371571083</v>
      </c>
      <c r="G31" s="1344">
        <v>85.339152119700742</v>
      </c>
      <c r="H31" s="1348">
        <v>17.899999999999999</v>
      </c>
      <c r="I31" s="1348">
        <v>8.4</v>
      </c>
      <c r="J31" s="1344">
        <v>29.8</v>
      </c>
      <c r="L31" s="779" t="s">
        <v>1167</v>
      </c>
      <c r="M31" s="780"/>
      <c r="N31" s="774" t="s">
        <v>1175</v>
      </c>
      <c r="O31" s="775">
        <v>2</v>
      </c>
      <c r="P31" s="775">
        <v>80</v>
      </c>
      <c r="Q31" s="775">
        <v>13</v>
      </c>
    </row>
    <row r="32" spans="1:18" x14ac:dyDescent="0.3">
      <c r="A32" s="744" t="s">
        <v>1060</v>
      </c>
      <c r="B32" s="1348">
        <v>7.5</v>
      </c>
      <c r="C32" s="1348">
        <v>2.1</v>
      </c>
      <c r="D32" s="1348">
        <v>27.4</v>
      </c>
      <c r="E32" s="1344">
        <v>87.925187032418961</v>
      </c>
      <c r="F32" s="1344">
        <v>79.520573566084792</v>
      </c>
      <c r="G32" s="1344">
        <v>91.157730673316706</v>
      </c>
      <c r="H32" s="1348">
        <v>30.1</v>
      </c>
      <c r="I32" s="1348">
        <v>18.600000000000001</v>
      </c>
      <c r="J32" s="1344">
        <v>40.299999999999997</v>
      </c>
      <c r="L32" s="779" t="s">
        <v>1168</v>
      </c>
      <c r="M32" s="780"/>
      <c r="N32" s="774" t="s">
        <v>1176</v>
      </c>
      <c r="O32" s="775">
        <v>1</v>
      </c>
      <c r="P32" s="775">
        <v>85</v>
      </c>
      <c r="Q32" s="775">
        <v>32</v>
      </c>
    </row>
    <row r="33" spans="1:17" ht="14.5" x14ac:dyDescent="0.35">
      <c r="A33" s="790"/>
      <c r="B33" s="2651" t="s">
        <v>1033</v>
      </c>
      <c r="C33" s="2652"/>
      <c r="D33" s="2653"/>
      <c r="E33" s="2657" t="s">
        <v>1034</v>
      </c>
      <c r="F33" s="2652"/>
      <c r="G33" s="2653"/>
      <c r="H33" s="2657" t="s">
        <v>1035</v>
      </c>
      <c r="I33" s="2652"/>
      <c r="J33" s="2653"/>
      <c r="L33" s="779" t="s">
        <v>1169</v>
      </c>
      <c r="M33" s="780"/>
      <c r="N33" s="774" t="s">
        <v>1177</v>
      </c>
      <c r="O33" s="775"/>
      <c r="P33" s="775"/>
      <c r="Q33" s="775"/>
    </row>
    <row r="34" spans="1:17" ht="14.5" x14ac:dyDescent="0.35">
      <c r="A34" s="791"/>
      <c r="B34" s="2654"/>
      <c r="C34" s="2655"/>
      <c r="D34" s="2656"/>
      <c r="E34" s="2658"/>
      <c r="F34" s="2655"/>
      <c r="G34" s="2656"/>
      <c r="H34" s="2658"/>
      <c r="I34" s="2655"/>
      <c r="J34" s="2656"/>
      <c r="L34" s="779" t="s">
        <v>1170</v>
      </c>
      <c r="M34" s="780"/>
      <c r="N34" s="774"/>
      <c r="O34" s="775"/>
      <c r="P34" s="775"/>
      <c r="Q34" s="775"/>
    </row>
    <row r="35" spans="1:17" x14ac:dyDescent="0.3">
      <c r="A35" s="743" t="s">
        <v>1061</v>
      </c>
      <c r="B35" s="1350" t="s">
        <v>1036</v>
      </c>
      <c r="C35" s="2649" t="s">
        <v>1037</v>
      </c>
      <c r="D35" s="2650"/>
      <c r="E35" s="1351" t="s">
        <v>1036</v>
      </c>
      <c r="F35" s="2649" t="s">
        <v>1037</v>
      </c>
      <c r="G35" s="2650"/>
      <c r="H35" s="1351" t="s">
        <v>1036</v>
      </c>
      <c r="I35" s="2649" t="s">
        <v>1037</v>
      </c>
      <c r="J35" s="2650"/>
      <c r="L35" s="779" t="s">
        <v>1171</v>
      </c>
      <c r="M35" s="780"/>
      <c r="N35" s="774"/>
      <c r="O35" s="775"/>
      <c r="P35" s="775"/>
      <c r="Q35" s="775"/>
    </row>
    <row r="36" spans="1:17" x14ac:dyDescent="0.3">
      <c r="A36" s="744" t="s">
        <v>1062</v>
      </c>
      <c r="B36" s="1348">
        <v>39</v>
      </c>
      <c r="C36" s="1348">
        <v>20.9</v>
      </c>
      <c r="D36" s="1344">
        <v>64.3</v>
      </c>
      <c r="E36" s="1348">
        <v>58.832294264339147</v>
      </c>
      <c r="F36" s="1348">
        <v>35.557980049875312</v>
      </c>
      <c r="G36" s="1348">
        <v>74.348503740648383</v>
      </c>
      <c r="H36" s="1348">
        <v>10.7</v>
      </c>
      <c r="I36" s="1348">
        <v>5.5</v>
      </c>
      <c r="J36" s="1344">
        <v>22.9</v>
      </c>
      <c r="L36" s="779" t="s">
        <v>1172</v>
      </c>
      <c r="M36" s="780"/>
      <c r="N36" s="774"/>
      <c r="O36" s="775"/>
      <c r="P36" s="775"/>
      <c r="Q36" s="775"/>
    </row>
    <row r="37" spans="1:17" x14ac:dyDescent="0.3">
      <c r="A37" s="744" t="s">
        <v>1063</v>
      </c>
      <c r="B37" s="1348">
        <v>87</v>
      </c>
      <c r="C37" s="1348">
        <v>66.099999999999994</v>
      </c>
      <c r="D37" s="1344">
        <v>93.7</v>
      </c>
      <c r="E37" s="1348">
        <v>56.892768079800504</v>
      </c>
      <c r="F37" s="1348">
        <v>27.153366583541146</v>
      </c>
      <c r="G37" s="1348">
        <v>72.408977556109718</v>
      </c>
      <c r="H37" s="1348">
        <v>8.1999999999999993</v>
      </c>
      <c r="I37" s="1348">
        <v>1.2</v>
      </c>
      <c r="J37" s="1344">
        <v>14.6</v>
      </c>
      <c r="L37" s="779" t="s">
        <v>1173</v>
      </c>
      <c r="M37" s="780"/>
      <c r="N37" s="774"/>
      <c r="O37" s="776">
        <f>SUM(O31:O36)</f>
        <v>3</v>
      </c>
      <c r="P37" s="776">
        <f>SUMPRODUCT(O31:O36,P31:P36)/O37</f>
        <v>81.666666666666671</v>
      </c>
      <c r="Q37" s="776">
        <f>SUMPRODUCT(O31:O36,Q31:Q36)/O37</f>
        <v>19.333333333333332</v>
      </c>
    </row>
    <row r="38" spans="1:17" x14ac:dyDescent="0.3">
      <c r="A38" s="744" t="s">
        <v>1064</v>
      </c>
      <c r="B38" s="1348">
        <v>89.3</v>
      </c>
      <c r="C38" s="1348">
        <v>73.400000000000006</v>
      </c>
      <c r="D38" s="1344">
        <v>93.6</v>
      </c>
      <c r="E38" s="1348">
        <v>42.023067331670823</v>
      </c>
      <c r="F38" s="1348">
        <v>14.223192019950126</v>
      </c>
      <c r="G38" s="1348">
        <v>54.95324189526184</v>
      </c>
      <c r="H38" s="1348">
        <v>2.8</v>
      </c>
      <c r="I38" s="1348">
        <v>0.2</v>
      </c>
      <c r="J38" s="1344">
        <v>28.8</v>
      </c>
    </row>
    <row r="39" spans="1:17" x14ac:dyDescent="0.3">
      <c r="A39" s="744" t="s">
        <v>1065</v>
      </c>
      <c r="B39" s="1348">
        <v>41.9</v>
      </c>
      <c r="C39" s="1348">
        <v>20.9</v>
      </c>
      <c r="D39" s="1344">
        <v>79.5</v>
      </c>
      <c r="E39" s="1348">
        <v>62.064837905236914</v>
      </c>
      <c r="F39" s="1348">
        <v>52.367206982543642</v>
      </c>
      <c r="G39" s="1348">
        <v>68.529925187032418</v>
      </c>
      <c r="H39" s="1348">
        <v>19.3</v>
      </c>
      <c r="I39" s="1348">
        <v>12.4</v>
      </c>
      <c r="J39" s="1344">
        <v>27.2</v>
      </c>
      <c r="L39" s="782" t="s">
        <v>1199</v>
      </c>
    </row>
    <row r="40" spans="1:17" x14ac:dyDescent="0.3">
      <c r="A40" s="744" t="s">
        <v>1066</v>
      </c>
      <c r="B40" s="1348">
        <v>86.6</v>
      </c>
      <c r="C40" s="1348">
        <v>61.3</v>
      </c>
      <c r="D40" s="1344">
        <v>93.2</v>
      </c>
      <c r="E40" s="1348">
        <v>57.539276807980059</v>
      </c>
      <c r="F40" s="1348">
        <v>40.083541147132166</v>
      </c>
      <c r="G40" s="1348">
        <v>72.408977556109718</v>
      </c>
      <c r="H40" s="1348">
        <v>17.600000000000001</v>
      </c>
      <c r="I40" s="1348">
        <v>6.3</v>
      </c>
      <c r="J40" s="1344">
        <v>26.1</v>
      </c>
      <c r="L40" s="777"/>
      <c r="M40" s="778"/>
      <c r="N40" s="775" t="s">
        <v>1174</v>
      </c>
      <c r="O40" s="775" t="s">
        <v>1164</v>
      </c>
      <c r="P40" s="775" t="s">
        <v>1165</v>
      </c>
      <c r="Q40" s="775" t="s">
        <v>1166</v>
      </c>
    </row>
    <row r="41" spans="1:17" ht="14.5" x14ac:dyDescent="0.35">
      <c r="A41" s="744" t="s">
        <v>1067</v>
      </c>
      <c r="B41" s="1348">
        <v>43.2</v>
      </c>
      <c r="C41" s="1348">
        <v>17.100000000000001</v>
      </c>
      <c r="D41" s="1344">
        <v>89.3</v>
      </c>
      <c r="E41" s="1348">
        <v>60.125311720698257</v>
      </c>
      <c r="F41" s="1348">
        <v>31.032418952618457</v>
      </c>
      <c r="G41" s="1348">
        <v>77.581047381546142</v>
      </c>
      <c r="H41" s="1348">
        <v>13.2</v>
      </c>
      <c r="I41" s="1348">
        <v>5.0999999999999996</v>
      </c>
      <c r="J41" s="1344">
        <v>26.6</v>
      </c>
      <c r="L41" s="779" t="s">
        <v>1167</v>
      </c>
      <c r="M41" s="781"/>
      <c r="N41" s="794"/>
      <c r="O41" s="795"/>
      <c r="P41" s="795"/>
      <c r="Q41" s="795"/>
    </row>
    <row r="42" spans="1:17" ht="14.5" x14ac:dyDescent="0.35">
      <c r="A42" s="744" t="s">
        <v>1068</v>
      </c>
      <c r="B42" s="1348">
        <v>86.3</v>
      </c>
      <c r="C42" s="1348">
        <v>51.9</v>
      </c>
      <c r="D42" s="1344">
        <v>94</v>
      </c>
      <c r="E42" s="1348">
        <v>51.720698254364088</v>
      </c>
      <c r="F42" s="1348">
        <v>31.678927680798004</v>
      </c>
      <c r="G42" s="1348">
        <v>67.883416458852864</v>
      </c>
      <c r="H42" s="1348">
        <v>8</v>
      </c>
      <c r="I42" s="1348">
        <v>0.7</v>
      </c>
      <c r="J42" s="1344">
        <v>17.7</v>
      </c>
      <c r="L42" s="779" t="s">
        <v>1168</v>
      </c>
      <c r="M42" s="781"/>
      <c r="N42" s="794"/>
      <c r="O42" s="795"/>
      <c r="P42" s="795"/>
      <c r="Q42" s="795"/>
    </row>
    <row r="43" spans="1:17" ht="14.5" x14ac:dyDescent="0.35">
      <c r="A43" s="744" t="s">
        <v>1069</v>
      </c>
      <c r="B43" s="1348">
        <v>42.1</v>
      </c>
      <c r="C43" s="1348">
        <v>13.7</v>
      </c>
      <c r="D43" s="1344">
        <v>68.3</v>
      </c>
      <c r="E43" s="1348">
        <v>60.771820448877811</v>
      </c>
      <c r="F43" s="1348">
        <v>38.144014962593516</v>
      </c>
      <c r="G43" s="1348">
        <v>73.701995012468828</v>
      </c>
      <c r="H43" s="1348">
        <v>16</v>
      </c>
      <c r="I43" s="1348">
        <v>7.3</v>
      </c>
      <c r="J43" s="1344">
        <v>28.6</v>
      </c>
      <c r="L43" s="779" t="s">
        <v>1169</v>
      </c>
      <c r="M43" s="781"/>
      <c r="N43" s="794"/>
      <c r="O43" s="795"/>
      <c r="P43" s="795"/>
      <c r="Q43" s="795"/>
    </row>
    <row r="44" spans="1:17" ht="14.5" x14ac:dyDescent="0.35">
      <c r="A44" s="744" t="s">
        <v>1070</v>
      </c>
      <c r="B44" s="1348">
        <v>86.4</v>
      </c>
      <c r="C44" s="1348">
        <v>45.2</v>
      </c>
      <c r="D44" s="1344">
        <v>95.9</v>
      </c>
      <c r="E44" s="1348">
        <v>56.892768079800504</v>
      </c>
      <c r="F44" s="1348">
        <v>33.618453865336654</v>
      </c>
      <c r="G44" s="1348">
        <v>73.701995012468828</v>
      </c>
      <c r="H44" s="1348">
        <v>14.5</v>
      </c>
      <c r="I44" s="1348">
        <v>4.0999999999999996</v>
      </c>
      <c r="J44" s="1344">
        <v>25.4</v>
      </c>
      <c r="L44" s="779" t="s">
        <v>1170</v>
      </c>
      <c r="M44" s="781"/>
      <c r="N44" s="794"/>
      <c r="O44" s="795"/>
      <c r="P44" s="795"/>
      <c r="Q44" s="795"/>
    </row>
    <row r="45" spans="1:17" ht="14.5" x14ac:dyDescent="0.35">
      <c r="A45" s="744" t="s">
        <v>1071</v>
      </c>
      <c r="B45" s="1348">
        <v>49.5</v>
      </c>
      <c r="C45" s="1348">
        <v>15.8</v>
      </c>
      <c r="D45" s="1344">
        <v>87.7</v>
      </c>
      <c r="E45" s="1348">
        <v>60.771820448877811</v>
      </c>
      <c r="F45" s="1348">
        <v>31.032418952618457</v>
      </c>
      <c r="G45" s="1348">
        <v>70.469451371571083</v>
      </c>
      <c r="H45" s="1348">
        <v>20</v>
      </c>
      <c r="I45" s="1348">
        <v>5.3</v>
      </c>
      <c r="J45" s="1344">
        <v>32.1</v>
      </c>
      <c r="L45" s="779" t="s">
        <v>1171</v>
      </c>
      <c r="M45" s="781"/>
      <c r="N45" s="794"/>
      <c r="O45" s="795"/>
      <c r="P45" s="795"/>
      <c r="Q45" s="795"/>
    </row>
    <row r="46" spans="1:17" ht="14.5" x14ac:dyDescent="0.35">
      <c r="A46" s="744" t="s">
        <v>1072</v>
      </c>
      <c r="B46" s="1348">
        <v>87.8</v>
      </c>
      <c r="C46" s="1348">
        <v>36</v>
      </c>
      <c r="D46" s="1344">
        <v>96.1</v>
      </c>
      <c r="E46" s="1348">
        <v>60.125311720698257</v>
      </c>
      <c r="F46" s="1348">
        <v>34.264962593516209</v>
      </c>
      <c r="G46" s="1348">
        <v>73.055486284289287</v>
      </c>
      <c r="H46" s="1348">
        <v>18.899999999999999</v>
      </c>
      <c r="I46" s="1348">
        <v>5.7</v>
      </c>
      <c r="J46" s="1344">
        <v>29.7</v>
      </c>
      <c r="L46" s="779" t="s">
        <v>1172</v>
      </c>
      <c r="M46" s="781"/>
      <c r="N46" s="794"/>
      <c r="O46" s="795"/>
      <c r="P46" s="795"/>
      <c r="Q46" s="795"/>
    </row>
    <row r="47" spans="1:17" ht="14.5" x14ac:dyDescent="0.35">
      <c r="A47" s="744" t="s">
        <v>1073</v>
      </c>
      <c r="B47" s="1348">
        <v>86.1</v>
      </c>
      <c r="C47" s="1348">
        <v>68.2</v>
      </c>
      <c r="D47" s="1344">
        <v>93.4</v>
      </c>
      <c r="E47" s="1348">
        <v>36.850997506234414</v>
      </c>
      <c r="F47" s="1348">
        <v>27.799875311720697</v>
      </c>
      <c r="G47" s="1348">
        <v>43.962593516209481</v>
      </c>
      <c r="H47" s="1348">
        <v>8.9</v>
      </c>
      <c r="I47" s="1348">
        <v>5.9</v>
      </c>
      <c r="J47" s="1344">
        <v>14.1</v>
      </c>
      <c r="L47" s="779" t="s">
        <v>1191</v>
      </c>
      <c r="M47" s="781"/>
      <c r="N47" s="783"/>
      <c r="O47" s="784">
        <f>SUM(O41:O46)</f>
        <v>0</v>
      </c>
      <c r="P47" s="784">
        <f>IF(ISERROR(SUMPRODUCT(O41:O46,P41:P46)/O47),0,(SUMPRODUCT(O41:O46,P41:P46)/O47))</f>
        <v>0</v>
      </c>
      <c r="Q47" s="784">
        <f>IF(ISERROR(SUMPRODUCT(O41:O46,Q41:Q46)/O47),0,(SUMPRODUCT(O41:O46,Q41:Q46)/O47))</f>
        <v>0</v>
      </c>
    </row>
    <row r="48" spans="1:17" x14ac:dyDescent="0.3">
      <c r="A48" s="744" t="s">
        <v>1074</v>
      </c>
      <c r="B48" s="1348">
        <v>30.9</v>
      </c>
      <c r="C48" s="1348">
        <v>9.1999999999999993</v>
      </c>
      <c r="D48" s="1344">
        <v>84.5</v>
      </c>
      <c r="E48" s="1348">
        <v>68.529925187032418</v>
      </c>
      <c r="F48" s="1348">
        <v>32.325436408977559</v>
      </c>
      <c r="G48" s="1348">
        <v>84.046134663341647</v>
      </c>
      <c r="H48" s="1348">
        <v>7.7</v>
      </c>
      <c r="I48" s="1348">
        <v>3.4</v>
      </c>
      <c r="J48" s="1344">
        <v>17.100000000000001</v>
      </c>
    </row>
    <row r="49" spans="1:17" x14ac:dyDescent="0.3">
      <c r="A49" s="744" t="s">
        <v>1075</v>
      </c>
      <c r="B49" s="1348">
        <v>40.9</v>
      </c>
      <c r="C49" s="1348">
        <v>18.100000000000001</v>
      </c>
      <c r="D49" s="1344">
        <v>82.2</v>
      </c>
      <c r="E49" s="1348">
        <v>56.246259351620942</v>
      </c>
      <c r="F49" s="1348">
        <v>38.144014962593516</v>
      </c>
      <c r="G49" s="1348">
        <v>72.408977556109718</v>
      </c>
      <c r="H49" s="1348">
        <v>9.8000000000000007</v>
      </c>
      <c r="I49" s="1348">
        <v>3.8</v>
      </c>
      <c r="J49" s="1344">
        <v>19.399999999999999</v>
      </c>
      <c r="L49" s="777"/>
      <c r="M49" s="778"/>
      <c r="N49" s="775" t="s">
        <v>1174</v>
      </c>
      <c r="O49" s="775" t="s">
        <v>1164</v>
      </c>
      <c r="P49" s="775" t="s">
        <v>1165</v>
      </c>
      <c r="Q49" s="775" t="s">
        <v>1166</v>
      </c>
    </row>
    <row r="50" spans="1:17" x14ac:dyDescent="0.3">
      <c r="A50" s="744" t="s">
        <v>1076</v>
      </c>
      <c r="B50" s="1348">
        <v>88.9</v>
      </c>
      <c r="C50" s="1348">
        <v>40.200000000000003</v>
      </c>
      <c r="D50" s="1344">
        <v>96.4</v>
      </c>
      <c r="E50" s="1348">
        <v>54.306733167082292</v>
      </c>
      <c r="F50" s="1348">
        <v>29.092892768079796</v>
      </c>
      <c r="G50" s="1348">
        <v>73.055486284289287</v>
      </c>
      <c r="H50" s="1348">
        <v>6.9</v>
      </c>
      <c r="I50" s="1348">
        <v>1.1000000000000001</v>
      </c>
      <c r="J50" s="1344">
        <v>16.3</v>
      </c>
      <c r="L50" s="779" t="s">
        <v>1179</v>
      </c>
      <c r="M50" s="780"/>
      <c r="N50" s="794"/>
      <c r="O50" s="795"/>
      <c r="P50" s="795"/>
      <c r="Q50" s="795"/>
    </row>
    <row r="51" spans="1:17" ht="14.5" x14ac:dyDescent="0.35">
      <c r="A51" s="744" t="s">
        <v>1077</v>
      </c>
      <c r="B51" s="1348">
        <v>89.4</v>
      </c>
      <c r="C51" s="1348">
        <v>80.2</v>
      </c>
      <c r="D51" s="1344">
        <v>93.8</v>
      </c>
      <c r="E51" s="1348">
        <v>40.083541147132166</v>
      </c>
      <c r="F51" s="1348">
        <v>27.799875311720697</v>
      </c>
      <c r="G51" s="1348">
        <v>64.650872817955118</v>
      </c>
      <c r="H51" s="1348">
        <v>2.8</v>
      </c>
      <c r="I51" s="1348">
        <v>0.1</v>
      </c>
      <c r="J51" s="1344">
        <v>11.9</v>
      </c>
      <c r="L51" s="779" t="s">
        <v>1180</v>
      </c>
      <c r="M51" s="781"/>
      <c r="N51" s="794"/>
      <c r="O51" s="795"/>
      <c r="P51" s="795"/>
      <c r="Q51" s="795"/>
    </row>
    <row r="52" spans="1:17" ht="14.5" x14ac:dyDescent="0.35">
      <c r="A52" s="744" t="s">
        <v>834</v>
      </c>
      <c r="B52" s="1348">
        <v>43.1</v>
      </c>
      <c r="C52" s="1348">
        <v>10.9</v>
      </c>
      <c r="D52" s="1344">
        <v>87.6</v>
      </c>
      <c r="E52" s="1348">
        <v>60.771820448877811</v>
      </c>
      <c r="F52" s="1348">
        <v>14.223192019950126</v>
      </c>
      <c r="G52" s="1348">
        <v>76.288029925187033</v>
      </c>
      <c r="H52" s="1348">
        <v>14.1</v>
      </c>
      <c r="I52" s="1348">
        <v>3.2</v>
      </c>
      <c r="J52" s="1344">
        <v>27.3</v>
      </c>
      <c r="L52" s="779" t="s">
        <v>1181</v>
      </c>
      <c r="M52" s="781"/>
      <c r="N52" s="794"/>
      <c r="O52" s="795"/>
      <c r="P52" s="795"/>
      <c r="Q52" s="795"/>
    </row>
    <row r="53" spans="1:17" ht="14.5" x14ac:dyDescent="0.35">
      <c r="A53" s="744" t="s">
        <v>831</v>
      </c>
      <c r="B53" s="1348">
        <v>86.2</v>
      </c>
      <c r="C53" s="1348">
        <v>48.6</v>
      </c>
      <c r="D53" s="1344">
        <v>95.5</v>
      </c>
      <c r="E53" s="1348">
        <v>54.306733167082292</v>
      </c>
      <c r="F53" s="1348">
        <v>34.264962593516209</v>
      </c>
      <c r="G53" s="1348">
        <v>72.408977556109718</v>
      </c>
      <c r="H53" s="1348">
        <v>10.8</v>
      </c>
      <c r="I53" s="1348">
        <v>1.7</v>
      </c>
      <c r="J53" s="1344">
        <v>30</v>
      </c>
      <c r="L53" s="779" t="s">
        <v>1182</v>
      </c>
      <c r="M53" s="781"/>
      <c r="N53" s="794"/>
      <c r="O53" s="795"/>
      <c r="P53" s="795"/>
      <c r="Q53" s="795"/>
    </row>
    <row r="54" spans="1:17" ht="14.5" x14ac:dyDescent="0.35">
      <c r="A54" s="744" t="s">
        <v>1078</v>
      </c>
      <c r="B54" s="1348">
        <v>42.9</v>
      </c>
      <c r="C54" s="1348">
        <v>23.7</v>
      </c>
      <c r="D54" s="1344">
        <v>81.900000000000006</v>
      </c>
      <c r="E54" s="1348">
        <v>64.004364089775564</v>
      </c>
      <c r="F54" s="1348">
        <v>53.01371571072319</v>
      </c>
      <c r="G54" s="1348">
        <v>72.408977556109718</v>
      </c>
      <c r="H54" s="1348">
        <v>17.600000000000001</v>
      </c>
      <c r="I54" s="1348">
        <v>8</v>
      </c>
      <c r="J54" s="1344">
        <v>23.4</v>
      </c>
      <c r="L54" s="779" t="s">
        <v>1183</v>
      </c>
      <c r="M54" s="781"/>
      <c r="N54" s="794"/>
      <c r="O54" s="795"/>
      <c r="P54" s="795"/>
      <c r="Q54" s="795"/>
    </row>
    <row r="55" spans="1:17" ht="14.5" customHeight="1" x14ac:dyDescent="0.35">
      <c r="A55" s="744" t="s">
        <v>1079</v>
      </c>
      <c r="B55" s="1348">
        <v>85.6</v>
      </c>
      <c r="C55" s="1348">
        <v>67.8</v>
      </c>
      <c r="D55" s="1344">
        <v>93.5</v>
      </c>
      <c r="E55" s="1348">
        <v>62.064837905236914</v>
      </c>
      <c r="F55" s="1348">
        <v>45.255610972568576</v>
      </c>
      <c r="G55" s="1348">
        <v>75.641521197007478</v>
      </c>
      <c r="H55" s="1348">
        <v>16.2</v>
      </c>
      <c r="I55" s="1348">
        <v>5.3</v>
      </c>
      <c r="J55" s="1344">
        <v>23.3</v>
      </c>
      <c r="L55" s="779" t="s">
        <v>1184</v>
      </c>
      <c r="M55" s="781"/>
      <c r="N55" s="794"/>
      <c r="O55" s="795"/>
      <c r="P55" s="795"/>
      <c r="Q55" s="795"/>
    </row>
    <row r="56" spans="1:17" ht="14.5" x14ac:dyDescent="0.35">
      <c r="A56" s="744" t="s">
        <v>1080</v>
      </c>
      <c r="B56" s="1348">
        <v>85.2</v>
      </c>
      <c r="C56" s="1348">
        <v>52.2</v>
      </c>
      <c r="D56" s="1344">
        <v>93.5</v>
      </c>
      <c r="E56" s="1348">
        <v>43.316084788029926</v>
      </c>
      <c r="F56" s="1348">
        <v>34.264962593516209</v>
      </c>
      <c r="G56" s="1348">
        <v>57.539276807980059</v>
      </c>
      <c r="H56" s="1348">
        <v>4</v>
      </c>
      <c r="I56" s="1348">
        <v>1.9</v>
      </c>
      <c r="J56" s="1344">
        <v>5</v>
      </c>
      <c r="L56" s="779" t="s">
        <v>1191</v>
      </c>
      <c r="M56" s="781"/>
      <c r="N56" s="783"/>
      <c r="O56" s="784">
        <f>SUM(O50:O55)</f>
        <v>0</v>
      </c>
      <c r="P56" s="784">
        <f>IF(ISERROR(SUMPRODUCT(O50:O55,P50:P55)/O56),0,(SUMPRODUCT(O50:O55,P50:P55)/O56))</f>
        <v>0</v>
      </c>
      <c r="Q56" s="784">
        <f>IF(ISERROR(SUMPRODUCT(O50:O55,Q50:Q55)/O56),0,(SUMPRODUCT(O50:O55,Q50:Q55)/O56))</f>
        <v>0</v>
      </c>
    </row>
    <row r="57" spans="1:17" x14ac:dyDescent="0.3">
      <c r="A57" s="744" t="s">
        <v>1081</v>
      </c>
      <c r="B57" s="1348">
        <v>37.1</v>
      </c>
      <c r="C57" s="1348">
        <v>20.6</v>
      </c>
      <c r="D57" s="1344">
        <v>59.9</v>
      </c>
      <c r="E57" s="1348">
        <v>61.418329177057359</v>
      </c>
      <c r="F57" s="1348">
        <v>33.618453865336654</v>
      </c>
      <c r="G57" s="1348">
        <v>67.883416458852864</v>
      </c>
      <c r="H57" s="1348">
        <v>18.8</v>
      </c>
      <c r="I57" s="1348">
        <v>12.6</v>
      </c>
      <c r="J57" s="1344">
        <v>26.9</v>
      </c>
    </row>
    <row r="58" spans="1:17" x14ac:dyDescent="0.3">
      <c r="A58" s="744" t="s">
        <v>1082</v>
      </c>
      <c r="B58" s="1348">
        <v>86.8</v>
      </c>
      <c r="C58" s="1348">
        <v>71.7</v>
      </c>
      <c r="D58" s="1344">
        <v>93.9</v>
      </c>
      <c r="E58" s="1348">
        <v>56.892768079800504</v>
      </c>
      <c r="F58" s="1348">
        <v>42.023067331670823</v>
      </c>
      <c r="G58" s="1348">
        <v>68.529925187032418</v>
      </c>
      <c r="H58" s="1348">
        <v>17.2</v>
      </c>
      <c r="I58" s="1348">
        <v>7.7</v>
      </c>
      <c r="J58" s="1344">
        <v>25.7</v>
      </c>
      <c r="L58" s="777"/>
      <c r="M58" s="778"/>
      <c r="N58" s="775" t="s">
        <v>1174</v>
      </c>
      <c r="O58" s="775" t="s">
        <v>1164</v>
      </c>
      <c r="P58" s="775" t="s">
        <v>1165</v>
      </c>
      <c r="Q58" s="775" t="s">
        <v>1166</v>
      </c>
    </row>
    <row r="59" spans="1:17" x14ac:dyDescent="0.3">
      <c r="A59" s="744" t="s">
        <v>1083</v>
      </c>
      <c r="B59" s="1348">
        <v>42.9</v>
      </c>
      <c r="C59" s="1348">
        <v>20.100000000000001</v>
      </c>
      <c r="D59" s="1344">
        <v>71</v>
      </c>
      <c r="E59" s="1348">
        <v>58.832294264339147</v>
      </c>
      <c r="F59" s="1348">
        <v>45.902119700748131</v>
      </c>
      <c r="G59" s="1348">
        <v>72.408977556109718</v>
      </c>
      <c r="H59" s="1348">
        <v>10.8</v>
      </c>
      <c r="I59" s="1348">
        <v>4</v>
      </c>
      <c r="J59" s="1344">
        <v>24</v>
      </c>
      <c r="L59" s="779" t="s">
        <v>1185</v>
      </c>
      <c r="M59" s="780"/>
      <c r="N59" s="794"/>
      <c r="O59" s="795"/>
      <c r="P59" s="795"/>
      <c r="Q59" s="795"/>
    </row>
    <row r="60" spans="1:17" x14ac:dyDescent="0.3">
      <c r="A60" s="744" t="s">
        <v>1084</v>
      </c>
      <c r="B60" s="1348">
        <v>86.6</v>
      </c>
      <c r="C60" s="1348">
        <v>54.3</v>
      </c>
      <c r="D60" s="1344">
        <v>93.9</v>
      </c>
      <c r="E60" s="1348">
        <v>55.599750623441395</v>
      </c>
      <c r="F60" s="1348">
        <v>31.032418952618457</v>
      </c>
      <c r="G60" s="1348">
        <v>69.176433915211973</v>
      </c>
      <c r="H60" s="1348">
        <v>7.3</v>
      </c>
      <c r="I60" s="1348">
        <v>1.3</v>
      </c>
      <c r="J60" s="1344">
        <v>16.2</v>
      </c>
      <c r="L60" s="779" t="s">
        <v>1186</v>
      </c>
      <c r="M60" s="780"/>
      <c r="N60" s="794"/>
      <c r="O60" s="795"/>
      <c r="P60" s="795"/>
      <c r="Q60" s="795"/>
    </row>
    <row r="61" spans="1:17" x14ac:dyDescent="0.3">
      <c r="A61" s="744" t="s">
        <v>1085</v>
      </c>
      <c r="B61" s="1348">
        <v>89.8</v>
      </c>
      <c r="C61" s="1348">
        <v>62.7</v>
      </c>
      <c r="D61" s="1344">
        <v>95.7</v>
      </c>
      <c r="E61" s="1348">
        <v>40.083541147132166</v>
      </c>
      <c r="F61" s="1348">
        <v>26.506857855361595</v>
      </c>
      <c r="G61" s="1348">
        <v>58.185785536159592</v>
      </c>
      <c r="H61" s="1348">
        <v>2.8</v>
      </c>
      <c r="I61" s="1348">
        <v>0.7</v>
      </c>
      <c r="J61" s="1344">
        <v>6.7</v>
      </c>
      <c r="L61" s="779" t="s">
        <v>1187</v>
      </c>
      <c r="M61" s="780"/>
      <c r="N61" s="794"/>
      <c r="O61" s="795"/>
      <c r="P61" s="795"/>
      <c r="Q61" s="795"/>
    </row>
    <row r="62" spans="1:17" x14ac:dyDescent="0.3">
      <c r="A62" s="744" t="s">
        <v>1086</v>
      </c>
      <c r="B62" s="1348">
        <v>44.9</v>
      </c>
      <c r="C62" s="1348">
        <v>27.5</v>
      </c>
      <c r="D62" s="1344">
        <v>69.099999999999994</v>
      </c>
      <c r="E62" s="1348">
        <v>56.892768079800504</v>
      </c>
      <c r="F62" s="1348">
        <v>29.739401496259347</v>
      </c>
      <c r="G62" s="1348">
        <v>69.176433915211973</v>
      </c>
      <c r="H62" s="1348">
        <v>10</v>
      </c>
      <c r="I62" s="1348">
        <v>6.5</v>
      </c>
      <c r="J62" s="1344">
        <v>16</v>
      </c>
      <c r="L62" s="779" t="s">
        <v>1188</v>
      </c>
      <c r="M62" s="780"/>
      <c r="N62" s="794"/>
      <c r="O62" s="795"/>
      <c r="P62" s="795"/>
      <c r="Q62" s="795"/>
    </row>
    <row r="63" spans="1:17" x14ac:dyDescent="0.3">
      <c r="A63" s="744" t="s">
        <v>1087</v>
      </c>
      <c r="B63" s="1348">
        <v>87.9</v>
      </c>
      <c r="C63" s="1348">
        <v>46.8</v>
      </c>
      <c r="D63" s="1344">
        <v>95.1</v>
      </c>
      <c r="E63" s="1348">
        <v>56.246259351620942</v>
      </c>
      <c r="F63" s="1348">
        <v>31.678927680798004</v>
      </c>
      <c r="G63" s="1348">
        <v>71.115960099750623</v>
      </c>
      <c r="H63" s="1348">
        <v>8.1999999999999993</v>
      </c>
      <c r="I63" s="1348">
        <v>0.1</v>
      </c>
      <c r="J63" s="1344">
        <v>17.399999999999999</v>
      </c>
      <c r="L63" s="779" t="s">
        <v>1189</v>
      </c>
      <c r="M63" s="780"/>
      <c r="N63" s="794"/>
      <c r="O63" s="795"/>
      <c r="P63" s="795"/>
      <c r="Q63" s="795"/>
    </row>
    <row r="64" spans="1:17" x14ac:dyDescent="0.3">
      <c r="L64" s="779" t="s">
        <v>1190</v>
      </c>
      <c r="M64" s="780"/>
      <c r="N64" s="794"/>
      <c r="O64" s="795"/>
      <c r="P64" s="795"/>
      <c r="Q64" s="795"/>
    </row>
    <row r="65" spans="1:17" ht="14.5" x14ac:dyDescent="0.35">
      <c r="A65" s="468" t="s">
        <v>1088</v>
      </c>
      <c r="L65" s="779" t="s">
        <v>1191</v>
      </c>
      <c r="M65" s="781"/>
      <c r="N65" s="783"/>
      <c r="O65" s="784">
        <f>SUM(O59:O64)</f>
        <v>0</v>
      </c>
      <c r="P65" s="784">
        <f>IF(ISERROR(SUMPRODUCT(O59:O64,P59:P64)/O65),0,(SUMPRODUCT(O59:O64,P59:P64)/O65))</f>
        <v>0</v>
      </c>
      <c r="Q65" s="784">
        <f>IF(ISERROR(SUMPRODUCT(O59:O64,Q59:Q64)/O65),0,(SUMPRODUCT(O59:O64,Q59:Q64)/O65))</f>
        <v>0</v>
      </c>
    </row>
    <row r="67" spans="1:17" x14ac:dyDescent="0.3">
      <c r="L67" s="777"/>
      <c r="M67" s="778"/>
      <c r="N67" s="775" t="s">
        <v>1174</v>
      </c>
      <c r="O67" s="775" t="s">
        <v>1164</v>
      </c>
      <c r="P67" s="775" t="s">
        <v>1165</v>
      </c>
      <c r="Q67" s="775" t="s">
        <v>1166</v>
      </c>
    </row>
    <row r="68" spans="1:17" x14ac:dyDescent="0.3">
      <c r="L68" s="779" t="s">
        <v>1192</v>
      </c>
      <c r="M68" s="780"/>
      <c r="N68" s="794"/>
      <c r="O68" s="795"/>
      <c r="P68" s="795"/>
      <c r="Q68" s="795"/>
    </row>
    <row r="69" spans="1:17" x14ac:dyDescent="0.3">
      <c r="L69" s="779" t="s">
        <v>1193</v>
      </c>
      <c r="M69" s="780"/>
      <c r="N69" s="794"/>
      <c r="O69" s="795"/>
      <c r="P69" s="795"/>
      <c r="Q69" s="795"/>
    </row>
    <row r="70" spans="1:17" x14ac:dyDescent="0.3">
      <c r="L70" s="779" t="s">
        <v>1194</v>
      </c>
      <c r="M70" s="780"/>
      <c r="N70" s="794"/>
      <c r="O70" s="795"/>
      <c r="P70" s="795"/>
      <c r="Q70" s="795"/>
    </row>
    <row r="71" spans="1:17" x14ac:dyDescent="0.3">
      <c r="L71" s="779" t="s">
        <v>1195</v>
      </c>
      <c r="M71" s="780"/>
      <c r="N71" s="794"/>
      <c r="O71" s="795"/>
      <c r="P71" s="795"/>
      <c r="Q71" s="795"/>
    </row>
    <row r="72" spans="1:17" x14ac:dyDescent="0.3">
      <c r="L72" s="779" t="s">
        <v>1196</v>
      </c>
      <c r="M72" s="780"/>
      <c r="N72" s="794"/>
      <c r="O72" s="795"/>
      <c r="P72" s="795"/>
      <c r="Q72" s="795"/>
    </row>
    <row r="73" spans="1:17" x14ac:dyDescent="0.3">
      <c r="L73" s="779" t="s">
        <v>1197</v>
      </c>
      <c r="M73" s="780"/>
      <c r="N73" s="794"/>
      <c r="O73" s="795"/>
      <c r="P73" s="795"/>
      <c r="Q73" s="795"/>
    </row>
    <row r="74" spans="1:17" x14ac:dyDescent="0.3">
      <c r="L74" s="779" t="s">
        <v>1191</v>
      </c>
      <c r="M74" s="780"/>
      <c r="N74" s="783"/>
      <c r="O74" s="784">
        <f>SUM(O68:O73)</f>
        <v>0</v>
      </c>
      <c r="P74" s="784">
        <f>IF(ISERROR(SUMPRODUCT(O68:O73,P68:P73)/O74),0,(SUMPRODUCT(O68:O73,P68:P73)/O74))</f>
        <v>0</v>
      </c>
      <c r="Q74" s="784">
        <f>IF(ISERROR(SUMPRODUCT(O68:O73,Q68:Q73)/O74),0,(SUMPRODUCT(O68:O73,Q68:Q73)/O74))</f>
        <v>0</v>
      </c>
    </row>
    <row r="75" spans="1:17" ht="14.5" x14ac:dyDescent="0.35">
      <c r="A75" s="919"/>
      <c r="B75" s="919"/>
      <c r="C75" s="919"/>
      <c r="D75" s="919"/>
      <c r="E75" s="919"/>
      <c r="F75" s="919"/>
      <c r="G75" s="919"/>
      <c r="H75" s="919"/>
      <c r="I75" s="919"/>
      <c r="J75" s="919"/>
    </row>
    <row r="76" spans="1:17" ht="14.5" x14ac:dyDescent="0.35">
      <c r="A76" s="919"/>
      <c r="B76" s="919"/>
      <c r="C76" s="919"/>
      <c r="D76" s="919"/>
      <c r="E76" s="919"/>
      <c r="F76" s="919"/>
      <c r="G76" s="919"/>
      <c r="H76" s="919"/>
      <c r="I76" s="919"/>
      <c r="J76" s="919"/>
    </row>
    <row r="77" spans="1:17" ht="14.5" x14ac:dyDescent="0.35">
      <c r="A77" s="919"/>
      <c r="B77" s="919"/>
      <c r="C77" s="919"/>
      <c r="D77" s="919"/>
      <c r="E77" s="919"/>
      <c r="F77" s="919"/>
      <c r="G77" s="919"/>
      <c r="H77" s="919"/>
      <c r="I77" s="919"/>
      <c r="J77" s="919"/>
    </row>
  </sheetData>
  <sheetProtection algorithmName="SHA-512" hashValue="3qLhA07UteKV/70gTBxlpw61JU4PzCu+z8w+QqTOSlYzCRQ0r6rrfMxPVL+J8wDfm3rpDxv+GuMTGIzTWvs5Cw==" saltValue="kkqC1UAPSgDgsJlFfFG5GQ==" spinCount="100000" sheet="1" objects="1" scenarios="1"/>
  <mergeCells count="15">
    <mergeCell ref="A2:D2"/>
    <mergeCell ref="Q2:U2"/>
    <mergeCell ref="C10:D10"/>
    <mergeCell ref="F10:G10"/>
    <mergeCell ref="I10:J10"/>
    <mergeCell ref="Q4:U6"/>
    <mergeCell ref="C35:D35"/>
    <mergeCell ref="F35:G35"/>
    <mergeCell ref="I35:J35"/>
    <mergeCell ref="B8:D9"/>
    <mergeCell ref="E8:G9"/>
    <mergeCell ref="H8:J9"/>
    <mergeCell ref="B33:D34"/>
    <mergeCell ref="E33:G34"/>
    <mergeCell ref="H33:J34"/>
  </mergeCells>
  <hyperlinks>
    <hyperlink ref="A2:D2" location="'Baseline farm'!A28" display="Click here to return to baseline farm " xr:uid="{00000000-0004-0000-1500-000001000000}"/>
    <hyperlink ref="Q2:U2" location="'Baseline farm'!A28" display="Click here to return to the baseline farm" xr:uid="{00000000-0004-0000-1500-000002000000}"/>
    <hyperlink ref="Q4:U6" location="'Strategy farm'!A1" display="Click here to return to the Strategy farm" xr:uid="{8B711C37-C377-4465-8FF9-D51688F1342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0F1E-C188-4016-B4FC-230CA3E414B4}">
  <sheetPr codeName="Sheet16"/>
  <dimension ref="A1:D5"/>
  <sheetViews>
    <sheetView workbookViewId="0">
      <selection activeCell="C5" sqref="C5"/>
    </sheetView>
  </sheetViews>
  <sheetFormatPr defaultRowHeight="14.5" x14ac:dyDescent="0.35"/>
  <sheetData>
    <row r="1" spans="1:4" ht="17.5" x14ac:dyDescent="0.35">
      <c r="A1" s="1411" t="s">
        <v>1470</v>
      </c>
      <c r="B1" s="1408"/>
      <c r="C1" s="1408"/>
      <c r="D1" s="1408"/>
    </row>
    <row r="3" spans="1:4" x14ac:dyDescent="0.35">
      <c r="A3" s="1408"/>
      <c r="B3" s="1412" t="s">
        <v>1471</v>
      </c>
      <c r="C3" s="1413" t="s">
        <v>1472</v>
      </c>
      <c r="D3" s="1414"/>
    </row>
    <row r="4" spans="1:4" x14ac:dyDescent="0.35">
      <c r="A4" s="1408"/>
      <c r="B4" s="1410" t="s">
        <v>610</v>
      </c>
      <c r="C4" s="1410">
        <v>28</v>
      </c>
      <c r="D4" s="1410"/>
    </row>
    <row r="5" spans="1:4" x14ac:dyDescent="0.35">
      <c r="A5" s="1408"/>
      <c r="B5" s="1415" t="s">
        <v>611</v>
      </c>
      <c r="C5" s="1415">
        <v>265</v>
      </c>
      <c r="D5" s="141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Q54"/>
  <sheetViews>
    <sheetView workbookViewId="0">
      <selection activeCell="D2" sqref="D2:H2"/>
    </sheetView>
  </sheetViews>
  <sheetFormatPr defaultColWidth="8.81640625" defaultRowHeight="14.5" x14ac:dyDescent="0.35"/>
  <cols>
    <col min="1" max="1" width="3.7265625" style="431" customWidth="1"/>
    <col min="2" max="2" width="13.26953125" style="431" customWidth="1"/>
    <col min="3" max="3" width="27.453125" style="431" customWidth="1"/>
    <col min="4" max="11" width="8.81640625" style="431"/>
    <col min="12" max="12" width="22.26953125" style="431" customWidth="1"/>
    <col min="13" max="16384" width="8.81640625" style="431"/>
  </cols>
  <sheetData>
    <row r="1" spans="1:17" x14ac:dyDescent="0.35">
      <c r="A1" s="617"/>
    </row>
    <row r="2" spans="1:17" ht="23.5" x14ac:dyDescent="0.55000000000000004">
      <c r="B2" s="750" t="s">
        <v>1115</v>
      </c>
      <c r="D2" s="2671" t="s">
        <v>1157</v>
      </c>
      <c r="E2" s="2672"/>
      <c r="F2" s="2672"/>
      <c r="G2" s="2672"/>
      <c r="H2" s="2673"/>
    </row>
    <row r="4" spans="1:17" x14ac:dyDescent="0.35">
      <c r="B4" s="431" t="s">
        <v>1145</v>
      </c>
      <c r="D4"/>
      <c r="K4" s="676" t="s">
        <v>1146</v>
      </c>
    </row>
    <row r="5" spans="1:17" ht="45.65" customHeight="1" x14ac:dyDescent="0.35">
      <c r="B5" s="2674" t="s">
        <v>1156</v>
      </c>
      <c r="C5" s="2674"/>
      <c r="D5" s="2674"/>
      <c r="E5" s="2674"/>
      <c r="F5" s="2674"/>
      <c r="G5" s="2674"/>
      <c r="H5" s="2674"/>
      <c r="I5" s="2674"/>
      <c r="K5" s="2661" t="s">
        <v>1144</v>
      </c>
      <c r="L5" s="2661" t="s">
        <v>1116</v>
      </c>
      <c r="M5" s="2663" t="s">
        <v>1211</v>
      </c>
      <c r="N5" s="2664"/>
      <c r="O5" s="2664"/>
      <c r="P5" s="2665"/>
      <c r="Q5" s="2661" t="s">
        <v>1210</v>
      </c>
    </row>
    <row r="6" spans="1:17" ht="13.15" customHeight="1" x14ac:dyDescent="0.35">
      <c r="K6" s="2662"/>
      <c r="L6" s="2662"/>
      <c r="M6" s="827" t="s">
        <v>1117</v>
      </c>
      <c r="N6" s="827" t="s">
        <v>1118</v>
      </c>
      <c r="O6" s="827" t="s">
        <v>1119</v>
      </c>
      <c r="P6" s="827" t="s">
        <v>1120</v>
      </c>
      <c r="Q6" s="2662"/>
    </row>
    <row r="7" spans="1:17" ht="14.5" customHeight="1" x14ac:dyDescent="0.35">
      <c r="B7" s="2518" t="s">
        <v>2170</v>
      </c>
      <c r="C7" s="2518"/>
      <c r="D7" s="2518"/>
      <c r="E7" s="2518"/>
      <c r="F7" s="2518"/>
      <c r="G7" s="2518"/>
      <c r="H7" s="2518"/>
      <c r="I7" s="2518"/>
      <c r="K7" s="755" t="s">
        <v>1117</v>
      </c>
      <c r="L7" s="761" t="s">
        <v>1122</v>
      </c>
      <c r="M7" s="828">
        <v>46</v>
      </c>
      <c r="N7" s="828">
        <v>0</v>
      </c>
      <c r="O7" s="828">
        <v>0</v>
      </c>
      <c r="P7" s="829">
        <v>0</v>
      </c>
      <c r="Q7" s="796">
        <v>15</v>
      </c>
    </row>
    <row r="8" spans="1:17" x14ac:dyDescent="0.35">
      <c r="B8" s="2518"/>
      <c r="C8" s="2518"/>
      <c r="D8" s="2518"/>
      <c r="E8" s="2518"/>
      <c r="F8" s="2518"/>
      <c r="G8" s="2518"/>
      <c r="H8" s="2518"/>
      <c r="I8" s="2518"/>
      <c r="K8" s="797" t="s">
        <v>1118</v>
      </c>
      <c r="L8" s="763" t="s">
        <v>1139</v>
      </c>
      <c r="M8" s="830">
        <v>0</v>
      </c>
      <c r="N8" s="830">
        <v>8.8000000000000007</v>
      </c>
      <c r="O8" s="830">
        <v>0</v>
      </c>
      <c r="P8" s="831">
        <v>11</v>
      </c>
      <c r="Q8" s="798">
        <v>2</v>
      </c>
    </row>
    <row r="9" spans="1:17" x14ac:dyDescent="0.35">
      <c r="K9" s="797" t="s">
        <v>1147</v>
      </c>
      <c r="L9" s="799" t="s">
        <v>1149</v>
      </c>
      <c r="M9" s="832">
        <v>20</v>
      </c>
      <c r="N9" s="832">
        <v>0</v>
      </c>
      <c r="O9" s="832">
        <v>16</v>
      </c>
      <c r="P9" s="832">
        <v>10</v>
      </c>
      <c r="Q9" s="798">
        <v>4</v>
      </c>
    </row>
    <row r="10" spans="1:17" x14ac:dyDescent="0.35">
      <c r="B10" s="2661" t="s">
        <v>1144</v>
      </c>
      <c r="C10" s="2661" t="s">
        <v>1116</v>
      </c>
      <c r="D10" s="2663" t="s">
        <v>1211</v>
      </c>
      <c r="E10" s="2664"/>
      <c r="F10" s="2664"/>
      <c r="G10" s="2665"/>
      <c r="H10" s="2661" t="s">
        <v>1210</v>
      </c>
      <c r="K10" s="800"/>
      <c r="L10" s="763" t="s">
        <v>1209</v>
      </c>
      <c r="M10" s="833">
        <f>SUMPRODUCT(M7:M9,$Q$7:$Q$9)/100</f>
        <v>7.7</v>
      </c>
      <c r="N10" s="833">
        <f>SUMPRODUCT(N7:N9,$Q$7:$Q$9)/100</f>
        <v>0.17600000000000002</v>
      </c>
      <c r="O10" s="833">
        <f>SUMPRODUCT(O7:O9,$Q$7:$Q$9)/100</f>
        <v>0.64</v>
      </c>
      <c r="P10" s="833">
        <f>SUMPRODUCT(P7:P9,$Q$7:$Q$9)/100</f>
        <v>0.62</v>
      </c>
      <c r="Q10" s="801">
        <f>SUM(Q7:Q9)</f>
        <v>21</v>
      </c>
    </row>
    <row r="11" spans="1:17" x14ac:dyDescent="0.35">
      <c r="B11" s="2662"/>
      <c r="C11" s="2662"/>
      <c r="D11" s="827" t="s">
        <v>1117</v>
      </c>
      <c r="E11" s="827" t="s">
        <v>1118</v>
      </c>
      <c r="F11" s="827" t="s">
        <v>1119</v>
      </c>
      <c r="G11" s="827" t="s">
        <v>1120</v>
      </c>
      <c r="H11" s="2662"/>
    </row>
    <row r="12" spans="1:17" ht="14.5" customHeight="1" x14ac:dyDescent="0.35">
      <c r="B12" s="755" t="s">
        <v>1117</v>
      </c>
      <c r="C12" s="761" t="s">
        <v>1122</v>
      </c>
      <c r="D12" s="816">
        <v>46</v>
      </c>
      <c r="E12" s="816">
        <v>0</v>
      </c>
      <c r="F12" s="816">
        <v>0</v>
      </c>
      <c r="G12" s="817">
        <v>0</v>
      </c>
      <c r="H12" s="757"/>
      <c r="K12" s="2518" t="s">
        <v>2169</v>
      </c>
      <c r="L12" s="2518"/>
      <c r="M12" s="2518"/>
      <c r="N12" s="2518"/>
      <c r="O12" s="2518"/>
      <c r="P12" s="2518"/>
      <c r="Q12" s="2518"/>
    </row>
    <row r="13" spans="1:17" x14ac:dyDescent="0.35">
      <c r="B13" s="755" t="s">
        <v>1155</v>
      </c>
      <c r="C13" s="762" t="s">
        <v>1153</v>
      </c>
      <c r="D13" s="818">
        <v>18</v>
      </c>
      <c r="E13" s="818">
        <v>20</v>
      </c>
      <c r="F13" s="818">
        <v>0</v>
      </c>
      <c r="G13" s="819">
        <v>1.6</v>
      </c>
      <c r="H13" s="757"/>
      <c r="K13" s="2518"/>
      <c r="L13" s="2518"/>
      <c r="M13" s="2518"/>
      <c r="N13" s="2518"/>
      <c r="O13" s="2518"/>
      <c r="P13" s="2518"/>
      <c r="Q13" s="2518"/>
    </row>
    <row r="14" spans="1:17" x14ac:dyDescent="0.35">
      <c r="B14" s="754"/>
      <c r="C14" s="761" t="s">
        <v>1154</v>
      </c>
      <c r="D14" s="816">
        <v>10</v>
      </c>
      <c r="E14" s="816">
        <v>21.4</v>
      </c>
      <c r="F14" s="816">
        <v>0</v>
      </c>
      <c r="G14" s="817">
        <v>1.5</v>
      </c>
      <c r="H14" s="758"/>
      <c r="K14" s="2518"/>
      <c r="L14" s="2518"/>
      <c r="M14" s="2518"/>
      <c r="N14" s="2518"/>
      <c r="O14" s="2518"/>
      <c r="P14" s="2518"/>
      <c r="Q14" s="2518"/>
    </row>
    <row r="15" spans="1:17" x14ac:dyDescent="0.35">
      <c r="B15" s="764" t="s">
        <v>1118</v>
      </c>
      <c r="C15" s="762" t="s">
        <v>1151</v>
      </c>
      <c r="D15" s="818">
        <v>0</v>
      </c>
      <c r="E15" s="818">
        <v>9</v>
      </c>
      <c r="F15" s="818">
        <v>0</v>
      </c>
      <c r="G15" s="819">
        <v>11</v>
      </c>
      <c r="H15" s="757"/>
      <c r="K15" s="2518"/>
      <c r="L15" s="2518"/>
      <c r="M15" s="2518"/>
      <c r="N15" s="2518"/>
      <c r="O15" s="2518"/>
      <c r="P15" s="2518"/>
      <c r="Q15" s="2518"/>
    </row>
    <row r="16" spans="1:17" x14ac:dyDescent="0.35">
      <c r="B16" s="756"/>
      <c r="C16" s="761" t="s">
        <v>1140</v>
      </c>
      <c r="D16" s="816">
        <v>0</v>
      </c>
      <c r="E16" s="816">
        <v>16.2</v>
      </c>
      <c r="F16" s="816">
        <v>0</v>
      </c>
      <c r="G16" s="817">
        <v>4.0999999999999996</v>
      </c>
      <c r="H16" s="758"/>
      <c r="K16" s="1734"/>
      <c r="L16" s="1734"/>
      <c r="M16" s="1734"/>
      <c r="N16" s="1734"/>
      <c r="O16" s="1734"/>
      <c r="P16" s="1734"/>
      <c r="Q16" s="1734"/>
    </row>
    <row r="17" spans="2:17" x14ac:dyDescent="0.35">
      <c r="B17" s="756"/>
      <c r="C17" s="761" t="s">
        <v>1152</v>
      </c>
      <c r="D17" s="816">
        <v>0</v>
      </c>
      <c r="E17" s="816">
        <v>20</v>
      </c>
      <c r="F17" s="816">
        <v>0</v>
      </c>
      <c r="G17" s="817">
        <v>0.8</v>
      </c>
      <c r="H17" s="758"/>
      <c r="K17" s="1734"/>
      <c r="L17" s="1734"/>
      <c r="M17" s="1734"/>
      <c r="N17" s="1734"/>
      <c r="O17" s="1734"/>
      <c r="P17" s="1734"/>
      <c r="Q17" s="1734"/>
    </row>
    <row r="18" spans="2:17" ht="17" x14ac:dyDescent="0.4">
      <c r="B18" s="756"/>
      <c r="C18" s="761" t="s">
        <v>1124</v>
      </c>
      <c r="D18" s="816">
        <v>0</v>
      </c>
      <c r="E18" s="816">
        <v>18</v>
      </c>
      <c r="F18" s="816">
        <v>0</v>
      </c>
      <c r="G18" s="817">
        <v>9.6999999999999993</v>
      </c>
      <c r="H18" s="758"/>
      <c r="K18" s="771"/>
      <c r="L18" s="768"/>
    </row>
    <row r="19" spans="2:17" x14ac:dyDescent="0.35">
      <c r="B19" s="756"/>
      <c r="C19" s="761" t="s">
        <v>1137</v>
      </c>
      <c r="D19" s="820">
        <v>0</v>
      </c>
      <c r="E19" s="820">
        <v>14</v>
      </c>
      <c r="F19" s="820">
        <v>0</v>
      </c>
      <c r="G19" s="821">
        <v>0</v>
      </c>
      <c r="H19" s="758"/>
    </row>
    <row r="20" spans="2:17" x14ac:dyDescent="0.35">
      <c r="B20" s="756"/>
      <c r="C20" s="761" t="s">
        <v>1133</v>
      </c>
      <c r="D20" s="816">
        <v>0</v>
      </c>
      <c r="E20" s="816">
        <v>20</v>
      </c>
      <c r="F20" s="816">
        <v>0</v>
      </c>
      <c r="G20" s="817">
        <v>1.5</v>
      </c>
      <c r="H20" s="758"/>
    </row>
    <row r="21" spans="2:17" x14ac:dyDescent="0.35">
      <c r="B21" s="764" t="s">
        <v>1119</v>
      </c>
      <c r="C21" s="762" t="s">
        <v>1150</v>
      </c>
      <c r="D21" s="818">
        <v>0</v>
      </c>
      <c r="E21" s="818">
        <v>0</v>
      </c>
      <c r="F21" s="818">
        <v>50</v>
      </c>
      <c r="G21" s="819">
        <v>0</v>
      </c>
      <c r="H21" s="757"/>
    </row>
    <row r="22" spans="2:17" x14ac:dyDescent="0.35">
      <c r="B22" s="756"/>
      <c r="C22" s="761" t="s">
        <v>1123</v>
      </c>
      <c r="D22" s="816">
        <v>0</v>
      </c>
      <c r="E22" s="816">
        <v>0</v>
      </c>
      <c r="F22" s="816">
        <v>50</v>
      </c>
      <c r="G22" s="817">
        <v>0</v>
      </c>
      <c r="H22" s="758"/>
    </row>
    <row r="23" spans="2:17" x14ac:dyDescent="0.35">
      <c r="B23" s="764" t="s">
        <v>1141</v>
      </c>
      <c r="C23" s="762" t="s">
        <v>1126</v>
      </c>
      <c r="D23" s="818">
        <v>0</v>
      </c>
      <c r="E23" s="818">
        <v>8.9</v>
      </c>
      <c r="F23" s="818">
        <v>17.5</v>
      </c>
      <c r="G23" s="819">
        <v>11</v>
      </c>
      <c r="H23" s="757"/>
    </row>
    <row r="24" spans="2:17" x14ac:dyDescent="0.35">
      <c r="B24" s="756"/>
      <c r="C24" s="761" t="s">
        <v>1127</v>
      </c>
      <c r="D24" s="816">
        <v>0</v>
      </c>
      <c r="E24" s="816">
        <v>9.8000000000000007</v>
      </c>
      <c r="F24" s="816">
        <v>14.5</v>
      </c>
      <c r="G24" s="817">
        <v>12.2</v>
      </c>
      <c r="H24" s="758"/>
    </row>
    <row r="25" spans="2:17" x14ac:dyDescent="0.35">
      <c r="B25" s="764" t="s">
        <v>1142</v>
      </c>
      <c r="C25" s="762" t="s">
        <v>1121</v>
      </c>
      <c r="D25" s="818">
        <v>0</v>
      </c>
      <c r="E25" s="818">
        <v>14.3</v>
      </c>
      <c r="F25" s="818">
        <v>0</v>
      </c>
      <c r="G25" s="819">
        <v>17.100000000000001</v>
      </c>
      <c r="H25" s="757"/>
    </row>
    <row r="26" spans="2:17" x14ac:dyDescent="0.35">
      <c r="B26" s="756"/>
      <c r="C26" s="761" t="s">
        <v>1134</v>
      </c>
      <c r="D26" s="816">
        <v>0</v>
      </c>
      <c r="E26" s="816">
        <v>18</v>
      </c>
      <c r="F26" s="816">
        <v>0</v>
      </c>
      <c r="G26" s="817">
        <v>10</v>
      </c>
      <c r="H26" s="758"/>
    </row>
    <row r="27" spans="2:17" x14ac:dyDescent="0.35">
      <c r="B27" s="756"/>
      <c r="C27" s="761" t="s">
        <v>1135</v>
      </c>
      <c r="D27" s="816">
        <v>0</v>
      </c>
      <c r="E27" s="816">
        <v>16</v>
      </c>
      <c r="F27" s="816">
        <v>0</v>
      </c>
      <c r="G27" s="817">
        <v>20</v>
      </c>
      <c r="H27" s="758"/>
    </row>
    <row r="28" spans="2:17" x14ac:dyDescent="0.35">
      <c r="B28" s="756"/>
      <c r="C28" s="761" t="s">
        <v>1136</v>
      </c>
      <c r="D28" s="816">
        <v>0</v>
      </c>
      <c r="E28" s="816">
        <v>13</v>
      </c>
      <c r="F28" s="816">
        <v>0</v>
      </c>
      <c r="G28" s="817">
        <v>7</v>
      </c>
      <c r="H28" s="758"/>
    </row>
    <row r="29" spans="2:17" x14ac:dyDescent="0.35">
      <c r="B29" s="764" t="s">
        <v>1143</v>
      </c>
      <c r="C29" s="762" t="s">
        <v>1128</v>
      </c>
      <c r="D29" s="818">
        <v>0</v>
      </c>
      <c r="E29" s="818">
        <v>4.4000000000000004</v>
      </c>
      <c r="F29" s="818">
        <v>25</v>
      </c>
      <c r="G29" s="819">
        <v>5.5</v>
      </c>
      <c r="H29" s="757"/>
    </row>
    <row r="30" spans="2:17" x14ac:dyDescent="0.35">
      <c r="B30" s="756"/>
      <c r="C30" s="761" t="s">
        <v>1129</v>
      </c>
      <c r="D30" s="816">
        <v>0</v>
      </c>
      <c r="E30" s="816">
        <v>5.9</v>
      </c>
      <c r="F30" s="816">
        <v>16.600000000000001</v>
      </c>
      <c r="G30" s="817">
        <v>7.3</v>
      </c>
      <c r="H30" s="758"/>
    </row>
    <row r="31" spans="2:17" x14ac:dyDescent="0.35">
      <c r="B31" s="756"/>
      <c r="C31" s="761" t="s">
        <v>1130</v>
      </c>
      <c r="D31" s="816">
        <v>0</v>
      </c>
      <c r="E31" s="816">
        <v>6.6</v>
      </c>
      <c r="F31" s="816">
        <v>12.7</v>
      </c>
      <c r="G31" s="817">
        <v>8.1999999999999993</v>
      </c>
      <c r="H31" s="758"/>
    </row>
    <row r="32" spans="2:17" x14ac:dyDescent="0.35">
      <c r="B32" s="756"/>
      <c r="C32" s="761" t="s">
        <v>1131</v>
      </c>
      <c r="D32" s="816">
        <v>0</v>
      </c>
      <c r="E32" s="816">
        <v>7</v>
      </c>
      <c r="F32" s="816">
        <v>10</v>
      </c>
      <c r="G32" s="817">
        <v>8.8000000000000007</v>
      </c>
      <c r="H32" s="758"/>
    </row>
    <row r="33" spans="2:8" x14ac:dyDescent="0.35">
      <c r="B33" s="756"/>
      <c r="C33" s="761" t="s">
        <v>1132</v>
      </c>
      <c r="D33" s="816">
        <v>0</v>
      </c>
      <c r="E33" s="816">
        <v>7.3</v>
      </c>
      <c r="F33" s="816">
        <v>8.3000000000000007</v>
      </c>
      <c r="G33" s="817">
        <v>9.1999999999999993</v>
      </c>
      <c r="H33" s="758"/>
    </row>
    <row r="34" spans="2:8" ht="14.5" customHeight="1" x14ac:dyDescent="0.35">
      <c r="B34" s="2666" t="s">
        <v>1207</v>
      </c>
      <c r="C34" s="762" t="s">
        <v>1138</v>
      </c>
      <c r="D34" s="822">
        <v>3.5</v>
      </c>
      <c r="E34" s="822">
        <v>2.4</v>
      </c>
      <c r="F34" s="822">
        <v>1.6</v>
      </c>
      <c r="G34" s="823">
        <v>1</v>
      </c>
      <c r="H34" s="757"/>
    </row>
    <row r="35" spans="2:8" x14ac:dyDescent="0.35">
      <c r="B35" s="2667"/>
      <c r="C35" s="761" t="s">
        <v>1125</v>
      </c>
      <c r="D35" s="816">
        <v>24</v>
      </c>
      <c r="E35" s="816">
        <v>4</v>
      </c>
      <c r="F35" s="816">
        <v>13</v>
      </c>
      <c r="G35" s="817">
        <v>5</v>
      </c>
      <c r="H35" s="758"/>
    </row>
    <row r="36" spans="2:8" x14ac:dyDescent="0.35">
      <c r="B36" s="2668"/>
      <c r="C36" s="767" t="s">
        <v>1208</v>
      </c>
      <c r="D36" s="824">
        <v>2.6</v>
      </c>
      <c r="E36" s="825">
        <v>1.8</v>
      </c>
      <c r="F36" s="825">
        <v>1</v>
      </c>
      <c r="G36" s="826">
        <v>0.6</v>
      </c>
      <c r="H36" s="766"/>
    </row>
    <row r="37" spans="2:8" x14ac:dyDescent="0.35">
      <c r="B37" s="764" t="s">
        <v>1148</v>
      </c>
      <c r="C37" s="751"/>
      <c r="D37" s="752"/>
      <c r="E37" s="752"/>
      <c r="F37" s="752"/>
      <c r="G37" s="752"/>
      <c r="H37" s="758"/>
    </row>
    <row r="38" spans="2:8" ht="14.5" customHeight="1" x14ac:dyDescent="0.35">
      <c r="B38" s="2675" t="s">
        <v>2168</v>
      </c>
      <c r="C38" s="2517"/>
      <c r="D38" s="752"/>
      <c r="E38" s="752"/>
      <c r="F38" s="752"/>
      <c r="G38" s="752"/>
      <c r="H38" s="758"/>
    </row>
    <row r="39" spans="2:8" x14ac:dyDescent="0.35">
      <c r="B39" s="2675"/>
      <c r="C39" s="2517"/>
      <c r="D39" s="752"/>
      <c r="E39" s="752"/>
      <c r="F39" s="752"/>
      <c r="G39" s="752"/>
      <c r="H39" s="758"/>
    </row>
    <row r="40" spans="2:8" x14ac:dyDescent="0.35">
      <c r="B40" s="2675"/>
      <c r="C40" s="2517"/>
      <c r="D40" s="752"/>
      <c r="E40" s="752"/>
      <c r="F40" s="752"/>
      <c r="G40" s="752"/>
      <c r="H40" s="758"/>
    </row>
    <row r="41" spans="2:8" x14ac:dyDescent="0.35">
      <c r="B41" s="2675"/>
      <c r="C41" s="2517"/>
      <c r="D41" s="752"/>
      <c r="E41" s="752"/>
      <c r="F41" s="752"/>
      <c r="G41" s="752"/>
      <c r="H41" s="758"/>
    </row>
    <row r="42" spans="2:8" x14ac:dyDescent="0.35">
      <c r="B42" s="2675"/>
      <c r="C42" s="2517"/>
      <c r="D42" s="752"/>
      <c r="E42" s="752"/>
      <c r="F42" s="752"/>
      <c r="G42" s="752"/>
      <c r="H42" s="758"/>
    </row>
    <row r="43" spans="2:8" x14ac:dyDescent="0.35">
      <c r="B43" s="2675"/>
      <c r="C43" s="2517"/>
      <c r="D43" s="752"/>
      <c r="E43" s="752"/>
      <c r="F43" s="752"/>
      <c r="G43" s="752"/>
      <c r="H43" s="758"/>
    </row>
    <row r="44" spans="2:8" x14ac:dyDescent="0.35">
      <c r="B44" s="2675"/>
      <c r="C44" s="2517"/>
      <c r="D44" s="752"/>
      <c r="E44" s="752"/>
      <c r="F44" s="752"/>
      <c r="G44" s="752"/>
      <c r="H44" s="758"/>
    </row>
    <row r="45" spans="2:8" x14ac:dyDescent="0.35">
      <c r="B45" s="2675"/>
      <c r="C45" s="2517"/>
      <c r="D45" s="752"/>
      <c r="E45" s="752"/>
      <c r="F45" s="752"/>
      <c r="G45" s="752"/>
      <c r="H45" s="758"/>
    </row>
    <row r="46" spans="2:8" x14ac:dyDescent="0.35">
      <c r="B46" s="2675"/>
      <c r="C46" s="2517"/>
      <c r="D46" s="752"/>
      <c r="E46" s="752"/>
      <c r="F46" s="752"/>
      <c r="G46" s="752"/>
      <c r="H46" s="758"/>
    </row>
    <row r="47" spans="2:8" s="919" customFormat="1" x14ac:dyDescent="0.35">
      <c r="B47" s="2676"/>
      <c r="C47" s="2517"/>
      <c r="D47" s="752"/>
      <c r="E47" s="752"/>
      <c r="F47" s="752"/>
      <c r="G47" s="752"/>
      <c r="H47" s="758"/>
    </row>
    <row r="48" spans="2:8" x14ac:dyDescent="0.35">
      <c r="B48" s="2669" t="s">
        <v>838</v>
      </c>
      <c r="C48" s="2670"/>
      <c r="D48" s="812">
        <v>0</v>
      </c>
      <c r="E48" s="812">
        <v>0</v>
      </c>
      <c r="F48" s="812">
        <v>0</v>
      </c>
      <c r="G48" s="815">
        <v>0</v>
      </c>
      <c r="H48" s="759"/>
    </row>
    <row r="49" spans="2:8" x14ac:dyDescent="0.35">
      <c r="B49" s="809"/>
      <c r="C49" s="811"/>
      <c r="D49" s="813" t="s">
        <v>1117</v>
      </c>
      <c r="E49" s="813" t="s">
        <v>1118</v>
      </c>
      <c r="F49" s="813" t="s">
        <v>1119</v>
      </c>
      <c r="G49" s="813" t="s">
        <v>1120</v>
      </c>
      <c r="H49" s="759"/>
    </row>
    <row r="50" spans="2:8" x14ac:dyDescent="0.35">
      <c r="B50" s="760"/>
      <c r="C50" s="753" t="s">
        <v>1209</v>
      </c>
      <c r="D50" s="814">
        <f>SUMPRODUCT(D12:D48,$H$12:$H$48)/100</f>
        <v>0</v>
      </c>
      <c r="E50" s="814">
        <f>SUMPRODUCT(E12:E48,$H$12:$H$48)/100</f>
        <v>0</v>
      </c>
      <c r="F50" s="814">
        <f>SUMPRODUCT(F12:F48,$H$12:$H$48)/100</f>
        <v>0</v>
      </c>
      <c r="G50" s="814">
        <f>SUMPRODUCT(G12:G48,$H$12:$H$48)/100</f>
        <v>0</v>
      </c>
      <c r="H50" s="837">
        <f>SUM(H12:H48)</f>
        <v>0</v>
      </c>
    </row>
    <row r="52" spans="2:8" x14ac:dyDescent="0.35">
      <c r="B52" s="2518" t="s">
        <v>2171</v>
      </c>
      <c r="C52" s="2518"/>
      <c r="D52" s="2518"/>
      <c r="E52" s="2518"/>
      <c r="F52" s="2518"/>
      <c r="G52" s="2518"/>
      <c r="H52" s="2518"/>
    </row>
    <row r="53" spans="2:8" x14ac:dyDescent="0.35">
      <c r="B53" s="2518"/>
      <c r="C53" s="2518"/>
      <c r="D53" s="2518"/>
      <c r="E53" s="2518"/>
      <c r="F53" s="2518"/>
      <c r="G53" s="2518"/>
      <c r="H53" s="2518"/>
    </row>
    <row r="54" spans="2:8" x14ac:dyDescent="0.35">
      <c r="B54" s="2518"/>
      <c r="C54" s="2518"/>
      <c r="D54" s="2518"/>
      <c r="E54" s="2518"/>
      <c r="F54" s="2518"/>
      <c r="G54" s="2518"/>
      <c r="H54" s="2518"/>
    </row>
  </sheetData>
  <sheetProtection algorithmName="SHA-512" hashValue="UWZ4Po9Cn3g8eLisH9z98S3A3ZnBTpvYO57ax7Kf9+PuE1ro4SVs6R2Wp0Dc+KCgB/JmWzi2V3PTJTyL3NqsCg==" saltValue="slbSG4m4LSJhYZMyLUVLBQ==" spinCount="100000" sheet="1" objects="1" scenarios="1"/>
  <mergeCells count="16">
    <mergeCell ref="D2:H2"/>
    <mergeCell ref="B5:I5"/>
    <mergeCell ref="B38:B47"/>
    <mergeCell ref="K12:Q15"/>
    <mergeCell ref="B7:I8"/>
    <mergeCell ref="B52:H54"/>
    <mergeCell ref="Q5:Q6"/>
    <mergeCell ref="H10:H11"/>
    <mergeCell ref="D10:G10"/>
    <mergeCell ref="M5:P5"/>
    <mergeCell ref="L5:L6"/>
    <mergeCell ref="K5:K6"/>
    <mergeCell ref="B10:B11"/>
    <mergeCell ref="C10:C11"/>
    <mergeCell ref="B34:B36"/>
    <mergeCell ref="B48:C48"/>
  </mergeCells>
  <hyperlinks>
    <hyperlink ref="D2:G2" location="'Baseline farm'!B40" display="Click here to return to the baseline farm " xr:uid="{00000000-0004-0000-1600-000000000000}"/>
    <hyperlink ref="D2:H2" location="'Baseline farm'!B47" display="Click here to return to the baseline farm " xr:uid="{1104D787-E656-4053-884D-19301E18E99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ER1908"/>
  <sheetViews>
    <sheetView zoomScale="85" zoomScaleNormal="85" workbookViewId="0"/>
  </sheetViews>
  <sheetFormatPr defaultColWidth="9.1796875" defaultRowHeight="14.5" x14ac:dyDescent="0.35"/>
  <cols>
    <col min="1" max="1" width="3.26953125" style="17" customWidth="1"/>
    <col min="2" max="3" width="42.6328125" style="17" customWidth="1"/>
    <col min="4" max="11" width="24.6328125" style="17" customWidth="1"/>
    <col min="12" max="12" width="27.6328125" style="17" customWidth="1"/>
    <col min="13" max="13" width="14" style="17" customWidth="1"/>
    <col min="14" max="14" width="14.26953125" style="17" bestFit="1" customWidth="1"/>
    <col min="15" max="15" width="17.7265625" style="17" customWidth="1"/>
    <col min="16" max="16" width="19.1796875" style="17" customWidth="1"/>
    <col min="17" max="17" width="12.81640625" style="17" customWidth="1"/>
    <col min="18" max="18" width="11.7265625" style="17" bestFit="1" customWidth="1"/>
    <col min="19" max="19" width="41.26953125" style="17" bestFit="1" customWidth="1"/>
    <col min="20" max="20" width="32.1796875" style="17" bestFit="1" customWidth="1"/>
    <col min="21" max="21" width="13.26953125" style="17" customWidth="1"/>
    <col min="22" max="22" width="13.453125" style="17" bestFit="1" customWidth="1"/>
    <col min="23" max="23" width="9.1796875" style="17"/>
    <col min="24" max="24" width="10.7265625" style="17" customWidth="1"/>
    <col min="25" max="25" width="9.1796875" style="17"/>
    <col min="26" max="26" width="22.453125" style="17" bestFit="1" customWidth="1"/>
    <col min="27" max="28" width="9.1796875" style="17"/>
    <col min="29" max="29" width="10.1796875" style="17" bestFit="1" customWidth="1"/>
    <col min="30" max="30" width="12.26953125" style="17" customWidth="1"/>
    <col min="31" max="31" width="9.1796875" style="17"/>
    <col min="32" max="32" width="11.1796875" style="17" customWidth="1"/>
    <col min="33" max="33" width="13.7265625" style="17" bestFit="1" customWidth="1"/>
    <col min="34" max="34" width="20.453125" style="17" bestFit="1" customWidth="1"/>
    <col min="35" max="35" width="22.453125" style="17" customWidth="1"/>
    <col min="36" max="36" width="14.26953125" style="17" customWidth="1"/>
    <col min="37" max="37" width="9.1796875" style="17"/>
    <col min="38" max="38" width="14.453125" style="17" customWidth="1"/>
    <col min="39" max="39" width="9.1796875" style="17"/>
    <col min="40" max="40" width="18.1796875" style="17" bestFit="1" customWidth="1"/>
    <col min="41" max="41" width="9.1796875" style="17"/>
    <col min="42" max="42" width="12" style="17" customWidth="1"/>
    <col min="43" max="43" width="13.81640625" style="17" customWidth="1"/>
    <col min="44" max="44" width="18.1796875" style="17" customWidth="1"/>
    <col min="45" max="45" width="9.1796875" style="17"/>
    <col min="46" max="46" width="26.7265625" style="17" customWidth="1"/>
    <col min="47" max="47" width="9.1796875" style="17"/>
    <col min="48" max="48" width="37.7265625" style="17" bestFit="1" customWidth="1"/>
    <col min="49" max="49" width="9.1796875" style="17"/>
    <col min="50" max="50" width="37.7265625" style="17" bestFit="1" customWidth="1"/>
    <col min="51" max="52" width="9.1796875" style="17"/>
    <col min="53" max="53" width="10.54296875" style="17" customWidth="1"/>
    <col min="54" max="57" width="10.54296875" style="17" bestFit="1" customWidth="1"/>
    <col min="58" max="16384" width="9.1796875" style="17"/>
  </cols>
  <sheetData>
    <row r="1" spans="1:15" ht="20.5" x14ac:dyDescent="0.45">
      <c r="A1" s="785"/>
      <c r="J1" s="697"/>
    </row>
    <row r="2" spans="1:15" ht="15" customHeight="1" x14ac:dyDescent="0.35">
      <c r="B2" s="2555" t="s">
        <v>1463</v>
      </c>
      <c r="C2" s="2555"/>
      <c r="D2" s="2555"/>
      <c r="E2" s="2555"/>
      <c r="F2" s="2555"/>
      <c r="G2" s="2555"/>
      <c r="H2" s="2555"/>
      <c r="I2" s="334"/>
    </row>
    <row r="3" spans="1:15" ht="15" customHeight="1" x14ac:dyDescent="0.35">
      <c r="B3" s="2555"/>
      <c r="C3" s="2555"/>
      <c r="D3" s="2555"/>
      <c r="E3" s="2555"/>
      <c r="F3" s="2555"/>
      <c r="G3" s="2555"/>
      <c r="H3" s="2555"/>
      <c r="I3" s="334"/>
    </row>
    <row r="4" spans="1:15" ht="15" customHeight="1" x14ac:dyDescent="0.35">
      <c r="B4" s="2555"/>
      <c r="C4" s="2555"/>
      <c r="D4" s="2555"/>
      <c r="E4" s="2555"/>
      <c r="F4" s="2555"/>
      <c r="G4" s="2555"/>
      <c r="H4" s="2555"/>
      <c r="I4" s="334"/>
    </row>
    <row r="5" spans="1:15" ht="15" customHeight="1" x14ac:dyDescent="0.35">
      <c r="B5" s="2555"/>
      <c r="C5" s="2555"/>
      <c r="D5" s="2555"/>
      <c r="E5" s="2555"/>
      <c r="F5" s="2555"/>
      <c r="G5" s="2555"/>
      <c r="H5" s="2555"/>
      <c r="I5" s="334"/>
    </row>
    <row r="6" spans="1:15" x14ac:dyDescent="0.35">
      <c r="F6" s="431"/>
      <c r="G6" s="431"/>
      <c r="H6" s="431"/>
      <c r="I6" s="431"/>
    </row>
    <row r="7" spans="1:15" ht="17.5" x14ac:dyDescent="0.35">
      <c r="B7" s="54" t="s">
        <v>934</v>
      </c>
      <c r="C7" s="55"/>
      <c r="E7" s="242"/>
      <c r="F7" s="431"/>
      <c r="G7" s="431"/>
      <c r="H7" s="431"/>
      <c r="I7" s="431"/>
    </row>
    <row r="8" spans="1:15" s="432" customFormat="1" ht="17.5" x14ac:dyDescent="0.35">
      <c r="B8" s="54" t="s">
        <v>2062</v>
      </c>
      <c r="C8" s="55"/>
      <c r="E8" s="242"/>
      <c r="F8" s="431"/>
      <c r="G8" s="431"/>
      <c r="H8" s="431"/>
      <c r="I8" s="431"/>
    </row>
    <row r="9" spans="1:15" s="879" customFormat="1" ht="17.5" x14ac:dyDescent="0.35">
      <c r="B9" s="54"/>
      <c r="C9" s="880"/>
      <c r="E9" s="242"/>
      <c r="F9" s="919"/>
      <c r="G9" s="919"/>
      <c r="H9" s="919"/>
      <c r="I9" s="919"/>
    </row>
    <row r="10" spans="1:15" ht="17.5" x14ac:dyDescent="0.35">
      <c r="B10" s="461" t="s">
        <v>2005</v>
      </c>
      <c r="C10" s="420"/>
      <c r="D10" s="420"/>
      <c r="E10" s="452"/>
      <c r="F10" s="420"/>
      <c r="G10" s="462"/>
      <c r="H10" s="420"/>
      <c r="I10" s="420"/>
      <c r="J10" s="420"/>
      <c r="K10" s="1505"/>
    </row>
    <row r="11" spans="1:15" s="432" customFormat="1" ht="17.5" x14ac:dyDescent="0.35">
      <c r="B11" s="463"/>
      <c r="C11" s="464" t="s">
        <v>969</v>
      </c>
      <c r="D11" s="2540"/>
      <c r="E11" s="2540"/>
      <c r="F11" s="2540"/>
      <c r="G11" s="460" t="s">
        <v>820</v>
      </c>
      <c r="H11" s="1738"/>
      <c r="I11" s="419"/>
      <c r="J11" s="419"/>
      <c r="K11" s="842"/>
    </row>
    <row r="12" spans="1:15" s="432" customFormat="1" ht="17.5" x14ac:dyDescent="0.35">
      <c r="B12" s="463"/>
      <c r="C12" s="419"/>
      <c r="D12" s="419"/>
      <c r="E12" s="453"/>
      <c r="F12" s="419"/>
      <c r="G12" s="710"/>
      <c r="H12" s="419"/>
      <c r="I12" s="419"/>
      <c r="J12" s="419"/>
      <c r="K12" s="842"/>
    </row>
    <row r="13" spans="1:15" s="432" customFormat="1" ht="17.5" x14ac:dyDescent="0.35">
      <c r="B13" s="463"/>
      <c r="C13" s="464" t="s">
        <v>821</v>
      </c>
      <c r="D13" s="2558"/>
      <c r="E13" s="2558"/>
      <c r="F13" s="2558"/>
      <c r="G13" s="460" t="s">
        <v>911</v>
      </c>
      <c r="H13" s="472"/>
      <c r="I13" s="447"/>
      <c r="J13" s="447"/>
      <c r="K13" s="842"/>
    </row>
    <row r="14" spans="1:15" s="432" customFormat="1" ht="17.5" x14ac:dyDescent="0.35">
      <c r="B14" s="463"/>
      <c r="C14" s="419"/>
      <c r="D14" s="419"/>
      <c r="E14" s="453"/>
      <c r="F14" s="419"/>
      <c r="G14" s="447"/>
      <c r="H14" s="447"/>
      <c r="I14" s="447"/>
      <c r="J14" s="447"/>
      <c r="K14" s="1506"/>
    </row>
    <row r="15" spans="1:15" ht="15.5" x14ac:dyDescent="0.35">
      <c r="B15" s="465"/>
      <c r="C15" s="375" t="s">
        <v>822</v>
      </c>
      <c r="D15" s="1738"/>
      <c r="E15" s="444"/>
      <c r="F15" s="2532" t="s">
        <v>2079</v>
      </c>
      <c r="G15" s="2532"/>
      <c r="H15" s="2530"/>
      <c r="I15" s="2530"/>
      <c r="J15" s="447"/>
      <c r="K15" s="1507"/>
    </row>
    <row r="16" spans="1:15" ht="17.5" x14ac:dyDescent="0.35">
      <c r="B16" s="466"/>
      <c r="C16" s="418"/>
      <c r="D16" s="418"/>
      <c r="E16" s="418"/>
      <c r="F16" s="418"/>
      <c r="G16" s="418"/>
      <c r="H16" s="418"/>
      <c r="I16" s="1497"/>
      <c r="J16" s="419"/>
      <c r="K16" s="842"/>
      <c r="N16" s="879"/>
      <c r="O16" s="879"/>
    </row>
    <row r="17" spans="2:15" ht="17.5" x14ac:dyDescent="0.35">
      <c r="B17" s="641" t="s">
        <v>1998</v>
      </c>
      <c r="C17" s="435"/>
      <c r="D17" s="442" t="s">
        <v>212</v>
      </c>
      <c r="E17" s="442" t="s">
        <v>1955</v>
      </c>
      <c r="F17" s="442" t="s">
        <v>1956</v>
      </c>
      <c r="G17" s="442" t="s">
        <v>1007</v>
      </c>
      <c r="H17" s="442" t="s">
        <v>1987</v>
      </c>
      <c r="I17" s="442" t="s">
        <v>1988</v>
      </c>
      <c r="J17" s="442" t="s">
        <v>1997</v>
      </c>
      <c r="K17" s="1653" t="s">
        <v>2069</v>
      </c>
      <c r="N17" s="879"/>
      <c r="O17" s="879"/>
    </row>
    <row r="18" spans="2:15" s="879" customFormat="1" ht="17.5" x14ac:dyDescent="0.35">
      <c r="B18" s="1222"/>
      <c r="C18" s="1091"/>
      <c r="D18" s="1198"/>
      <c r="E18" s="1198"/>
      <c r="F18" s="1198"/>
      <c r="G18" s="1198"/>
      <c r="H18" s="1198"/>
      <c r="I18" s="1198"/>
      <c r="J18" s="1198"/>
      <c r="K18" s="1561"/>
    </row>
    <row r="19" spans="2:15" ht="15.5" x14ac:dyDescent="0.35">
      <c r="B19" s="1240"/>
      <c r="C19" s="1221" t="s">
        <v>217</v>
      </c>
      <c r="D19" s="1736"/>
      <c r="E19" s="1736"/>
      <c r="F19" s="1736"/>
      <c r="G19" s="1736"/>
      <c r="H19" s="1736"/>
      <c r="I19" s="1736"/>
      <c r="J19" s="1186"/>
      <c r="K19" s="1561" t="s">
        <v>218</v>
      </c>
      <c r="N19" s="879"/>
      <c r="O19" s="879"/>
    </row>
    <row r="20" spans="2:15" ht="15.5" x14ac:dyDescent="0.35">
      <c r="B20" s="1217"/>
      <c r="C20" s="1221"/>
      <c r="D20" s="637"/>
      <c r="E20" s="637"/>
      <c r="F20" s="637"/>
      <c r="G20" s="637"/>
      <c r="H20" s="1186"/>
      <c r="I20" s="1186"/>
      <c r="J20" s="1186"/>
      <c r="K20" s="1561"/>
      <c r="N20" s="879"/>
      <c r="O20" s="879"/>
    </row>
    <row r="21" spans="2:15" ht="15.5" x14ac:dyDescent="0.35">
      <c r="B21" s="1217"/>
      <c r="C21" s="1221" t="s">
        <v>219</v>
      </c>
      <c r="D21" s="1736"/>
      <c r="E21" s="1736"/>
      <c r="F21" s="1736"/>
      <c r="G21" s="1736"/>
      <c r="H21" s="1736"/>
      <c r="I21" s="1736"/>
      <c r="J21" s="1186"/>
      <c r="K21" s="1561" t="s">
        <v>220</v>
      </c>
      <c r="N21" s="879"/>
      <c r="O21" s="879"/>
    </row>
    <row r="22" spans="2:15" ht="17" x14ac:dyDescent="0.4">
      <c r="B22" s="1217"/>
      <c r="C22" s="1221"/>
      <c r="D22" s="637"/>
      <c r="E22" s="637"/>
      <c r="F22" s="637"/>
      <c r="G22" s="637"/>
      <c r="H22" s="1186"/>
      <c r="I22" s="1186"/>
      <c r="J22" s="1186"/>
      <c r="K22" s="1561"/>
      <c r="L22" s="737"/>
      <c r="N22" s="737"/>
      <c r="O22" s="879"/>
    </row>
    <row r="23" spans="2:15" ht="15.5" x14ac:dyDescent="0.35">
      <c r="B23" s="1217"/>
      <c r="C23" s="1221" t="s">
        <v>802</v>
      </c>
      <c r="D23" s="637"/>
      <c r="E23" s="1736"/>
      <c r="F23" s="1736"/>
      <c r="G23" s="1186"/>
      <c r="H23" s="1736"/>
      <c r="I23" s="1736"/>
      <c r="J23" s="1186"/>
      <c r="K23" s="1561" t="s">
        <v>221</v>
      </c>
      <c r="L23" s="736"/>
    </row>
    <row r="24" spans="2:15" s="879" customFormat="1" ht="15.5" x14ac:dyDescent="0.35">
      <c r="B24" s="1217"/>
      <c r="C24" s="1221"/>
      <c r="D24" s="637"/>
      <c r="E24" s="637"/>
      <c r="F24" s="637"/>
      <c r="G24" s="637"/>
      <c r="H24" s="1215"/>
      <c r="I24" s="1215"/>
      <c r="J24" s="1215"/>
      <c r="K24" s="1561"/>
      <c r="L24" s="736"/>
    </row>
    <row r="25" spans="2:15" s="879" customFormat="1" ht="15.5" x14ac:dyDescent="0.35">
      <c r="B25" s="1217"/>
      <c r="C25" s="1221" t="s">
        <v>1929</v>
      </c>
      <c r="D25" s="1719"/>
      <c r="E25" s="1738"/>
      <c r="F25" s="1738"/>
      <c r="G25" s="1738"/>
      <c r="H25" s="1738"/>
      <c r="I25" s="1738"/>
      <c r="J25" s="1738"/>
      <c r="K25" s="1561" t="s">
        <v>218</v>
      </c>
      <c r="L25" s="736"/>
    </row>
    <row r="26" spans="2:15" s="879" customFormat="1" ht="15.5" x14ac:dyDescent="0.35">
      <c r="B26" s="1217"/>
      <c r="C26" s="1221"/>
      <c r="D26" s="1215"/>
      <c r="E26" s="1529"/>
      <c r="F26" s="1529"/>
      <c r="G26" s="1529"/>
      <c r="H26" s="1555"/>
      <c r="I26" s="1555"/>
      <c r="J26" s="1615"/>
      <c r="K26" s="1561"/>
      <c r="L26" s="736"/>
    </row>
    <row r="27" spans="2:15" s="879" customFormat="1" ht="15.5" x14ac:dyDescent="0.35">
      <c r="B27" s="1217"/>
      <c r="C27" s="1221" t="s">
        <v>1928</v>
      </c>
      <c r="D27" s="1719"/>
      <c r="E27" s="1738"/>
      <c r="F27" s="1738"/>
      <c r="G27" s="1738"/>
      <c r="H27" s="1738"/>
      <c r="I27" s="1738"/>
      <c r="J27" s="1738"/>
      <c r="K27" s="1561" t="s">
        <v>220</v>
      </c>
      <c r="L27" s="736"/>
    </row>
    <row r="28" spans="2:15" s="879" customFormat="1" ht="15.5" x14ac:dyDescent="0.35">
      <c r="B28" s="1217"/>
      <c r="C28" s="1091"/>
      <c r="D28" s="1091"/>
      <c r="E28" s="1091"/>
      <c r="F28" s="1091"/>
      <c r="G28" s="1091"/>
      <c r="H28" s="1091"/>
      <c r="I28" s="1091"/>
      <c r="J28" s="1091"/>
      <c r="K28" s="1561"/>
      <c r="L28" s="736"/>
    </row>
    <row r="29" spans="2:15" ht="15.5" x14ac:dyDescent="0.35">
      <c r="B29" s="628"/>
      <c r="C29" s="325"/>
      <c r="D29" s="629"/>
      <c r="E29" s="631"/>
      <c r="F29" s="631"/>
      <c r="G29" s="630"/>
      <c r="H29" s="631"/>
      <c r="I29" s="631"/>
      <c r="J29" s="1605">
        <f>SUMPRODUCT(D25:J25,D27:J27)/1000</f>
        <v>0</v>
      </c>
      <c r="K29" s="1604" t="s">
        <v>1989</v>
      </c>
    </row>
    <row r="30" spans="2:15" ht="17.5" x14ac:dyDescent="0.35">
      <c r="B30" s="1643" t="s">
        <v>737</v>
      </c>
      <c r="C30" s="452"/>
      <c r="D30" s="452"/>
      <c r="E30" s="452"/>
      <c r="F30" s="452"/>
      <c r="G30" s="452"/>
      <c r="H30" s="452"/>
      <c r="I30" s="1498"/>
      <c r="J30" s="1498"/>
      <c r="K30" s="1505"/>
    </row>
    <row r="31" spans="2:15" s="432" customFormat="1" ht="15.5" x14ac:dyDescent="0.35">
      <c r="B31" s="684"/>
      <c r="C31" s="434" t="s">
        <v>991</v>
      </c>
      <c r="D31" s="2536"/>
      <c r="E31" s="2536"/>
      <c r="F31" s="2557" t="s">
        <v>1158</v>
      </c>
      <c r="G31" s="2557"/>
      <c r="H31" s="1720"/>
      <c r="I31" s="1596" t="str">
        <f>IF(V217="1","litres of milk per herd per annum","kg milksolids per herd per annum")</f>
        <v>kg milksolids per herd per annum</v>
      </c>
      <c r="J31" s="1612"/>
      <c r="K31" s="842"/>
    </row>
    <row r="32" spans="2:15" ht="18.5" x14ac:dyDescent="0.4">
      <c r="B32" s="683"/>
      <c r="C32" s="322"/>
      <c r="D32" s="401"/>
      <c r="E32" s="395"/>
      <c r="F32" s="395"/>
      <c r="G32" s="396"/>
      <c r="H32" s="397"/>
      <c r="I32" s="1499"/>
      <c r="J32" s="1499"/>
      <c r="K32" s="842"/>
      <c r="L32" s="786"/>
    </row>
    <row r="33" spans="2:34" ht="15.5" x14ac:dyDescent="0.35">
      <c r="B33" s="683"/>
      <c r="C33" s="322" t="s">
        <v>1220</v>
      </c>
      <c r="D33" s="1737"/>
      <c r="E33" s="395" t="s">
        <v>222</v>
      </c>
      <c r="F33" s="2553" t="s">
        <v>1221</v>
      </c>
      <c r="G33" s="2553"/>
      <c r="H33" s="507"/>
      <c r="I33" s="1490" t="s">
        <v>222</v>
      </c>
      <c r="J33" s="1612"/>
      <c r="K33" s="842"/>
      <c r="AA33" s="55"/>
      <c r="AB33" s="55"/>
      <c r="AC33" s="55"/>
      <c r="AD33" s="55"/>
      <c r="AE33" s="55"/>
      <c r="AF33" s="55"/>
      <c r="AG33" s="55"/>
      <c r="AH33" s="55"/>
    </row>
    <row r="34" spans="2:34" ht="15.5" x14ac:dyDescent="0.35">
      <c r="B34" s="399"/>
      <c r="C34" s="322"/>
      <c r="D34" s="401"/>
      <c r="E34" s="396"/>
      <c r="F34" s="398"/>
      <c r="G34" s="398"/>
      <c r="H34" s="396"/>
      <c r="I34" s="1499"/>
      <c r="J34" s="1499"/>
      <c r="K34" s="842"/>
      <c r="AA34" s="55"/>
      <c r="AB34" s="55"/>
      <c r="AC34" s="55"/>
      <c r="AD34" s="55"/>
      <c r="AE34" s="55"/>
      <c r="AF34" s="55"/>
      <c r="AG34" s="55"/>
      <c r="AH34" s="55"/>
    </row>
    <row r="35" spans="2:34" ht="15.5" x14ac:dyDescent="0.35">
      <c r="B35" s="399"/>
      <c r="C35" s="322" t="s">
        <v>476</v>
      </c>
      <c r="D35" s="400"/>
      <c r="E35" s="396" t="s">
        <v>1161</v>
      </c>
      <c r="F35" s="2554" t="s">
        <v>746</v>
      </c>
      <c r="G35" s="2554"/>
      <c r="H35" s="1606" t="e">
        <f>ROUND(R212,1)</f>
        <v>#DIV/0!</v>
      </c>
      <c r="I35" s="1596" t="s">
        <v>743</v>
      </c>
      <c r="J35" s="1612"/>
      <c r="K35" s="842"/>
      <c r="M35" s="424"/>
      <c r="AA35" s="55"/>
      <c r="AB35" s="55"/>
      <c r="AC35" s="55"/>
      <c r="AD35" s="55"/>
      <c r="AE35" s="55"/>
      <c r="AF35" s="55"/>
      <c r="AG35" s="55"/>
      <c r="AH35" s="55"/>
    </row>
    <row r="36" spans="2:34" s="879" customFormat="1" ht="15.5" x14ac:dyDescent="0.35">
      <c r="B36" s="1187"/>
      <c r="C36" s="1091"/>
      <c r="D36" s="1091"/>
      <c r="E36" s="1184"/>
      <c r="F36" s="1184"/>
      <c r="G36" s="1184"/>
      <c r="H36" s="1606"/>
      <c r="I36" s="1716"/>
      <c r="J36" s="1716"/>
      <c r="K36" s="842"/>
      <c r="M36" s="892"/>
      <c r="AA36" s="880"/>
      <c r="AB36" s="880"/>
      <c r="AC36" s="880"/>
      <c r="AD36" s="880"/>
      <c r="AE36" s="880"/>
      <c r="AF36" s="880"/>
      <c r="AG36" s="880"/>
      <c r="AH36" s="880"/>
    </row>
    <row r="37" spans="2:34" ht="17.5" x14ac:dyDescent="0.35">
      <c r="B37" s="1644" t="s">
        <v>1011</v>
      </c>
      <c r="C37" s="324"/>
      <c r="D37" s="2556" t="s">
        <v>806</v>
      </c>
      <c r="E37" s="2556"/>
      <c r="F37" s="2551" t="s">
        <v>856</v>
      </c>
      <c r="G37" s="2551"/>
      <c r="H37" s="2551" t="s">
        <v>857</v>
      </c>
      <c r="I37" s="2551"/>
      <c r="J37" s="1614"/>
      <c r="K37" s="1505"/>
    </row>
    <row r="38" spans="2:34" ht="15.5" x14ac:dyDescent="0.35">
      <c r="B38" s="430"/>
      <c r="C38" s="434" t="s">
        <v>807</v>
      </c>
      <c r="D38" s="2537"/>
      <c r="E38" s="2537"/>
      <c r="F38" s="2537"/>
      <c r="G38" s="2537"/>
      <c r="H38" s="2537"/>
      <c r="I38" s="2537"/>
      <c r="J38" s="1716"/>
      <c r="K38" s="1508"/>
    </row>
    <row r="39" spans="2:34" ht="15.65" customHeight="1" x14ac:dyDescent="0.35">
      <c r="B39" s="632" t="s">
        <v>967</v>
      </c>
      <c r="C39" s="434" t="s">
        <v>808</v>
      </c>
      <c r="D39" s="2537"/>
      <c r="E39" s="2537"/>
      <c r="F39" s="2537"/>
      <c r="G39" s="2537"/>
      <c r="H39" s="2537"/>
      <c r="I39" s="2537"/>
      <c r="J39" s="1716"/>
      <c r="K39" s="842"/>
    </row>
    <row r="40" spans="2:34" ht="16.5" customHeight="1" x14ac:dyDescent="0.35">
      <c r="B40" s="632" t="s">
        <v>968</v>
      </c>
      <c r="C40" s="434" t="s">
        <v>809</v>
      </c>
      <c r="D40" s="2537"/>
      <c r="E40" s="2537"/>
      <c r="F40" s="2537"/>
      <c r="G40" s="2537"/>
      <c r="H40" s="2537"/>
      <c r="I40" s="2537"/>
      <c r="J40" s="1716"/>
      <c r="K40" s="842"/>
    </row>
    <row r="41" spans="2:34" ht="15.5" x14ac:dyDescent="0.35">
      <c r="B41" s="443" t="e">
        <f>R216 &amp;" kg DM/cow.day"</f>
        <v>#DIV/0!</v>
      </c>
      <c r="C41" s="434" t="s">
        <v>810</v>
      </c>
      <c r="D41" s="2537"/>
      <c r="E41" s="2537"/>
      <c r="F41" s="2537"/>
      <c r="G41" s="2537"/>
      <c r="H41" s="2537"/>
      <c r="I41" s="2537"/>
      <c r="J41" s="1716"/>
      <c r="K41" s="842"/>
    </row>
    <row r="42" spans="2:34" ht="15.65" customHeight="1" x14ac:dyDescent="0.35">
      <c r="B42" s="504"/>
      <c r="C42" s="434" t="s">
        <v>811</v>
      </c>
      <c r="D42" s="2552"/>
      <c r="E42" s="2552"/>
      <c r="F42" s="2552"/>
      <c r="G42" s="2552"/>
      <c r="H42" s="2552"/>
      <c r="I42" s="2552"/>
      <c r="J42" s="1716"/>
      <c r="K42" s="842"/>
      <c r="L42" s="1724"/>
    </row>
    <row r="43" spans="2:34" ht="15.65" customHeight="1" x14ac:dyDescent="0.35">
      <c r="B43" s="2549" t="s">
        <v>1203</v>
      </c>
      <c r="C43" s="434" t="s">
        <v>812</v>
      </c>
      <c r="D43" s="2552"/>
      <c r="E43" s="2552"/>
      <c r="F43" s="2552"/>
      <c r="G43" s="2552"/>
      <c r="H43" s="2552"/>
      <c r="I43" s="2552"/>
      <c r="J43" s="1716"/>
      <c r="K43" s="842"/>
      <c r="L43" s="1724"/>
    </row>
    <row r="44" spans="2:34" ht="15.65" customHeight="1" x14ac:dyDescent="0.35">
      <c r="B44" s="2550"/>
      <c r="C44" s="1220" t="s">
        <v>815</v>
      </c>
      <c r="D44" s="2533">
        <f>SUM(D38:E43)</f>
        <v>0</v>
      </c>
      <c r="E44" s="2533"/>
      <c r="F44" s="2533" t="e">
        <f>R214</f>
        <v>#DIV/0!</v>
      </c>
      <c r="G44" s="2533"/>
      <c r="H44" s="2533" t="e">
        <f>R215</f>
        <v>#DIV/0!</v>
      </c>
      <c r="I44" s="2533"/>
      <c r="J44" s="453"/>
      <c r="K44" s="842"/>
    </row>
    <row r="45" spans="2:34" s="879" customFormat="1" ht="15.65" customHeight="1" x14ac:dyDescent="0.35">
      <c r="B45" s="1194"/>
      <c r="C45" s="1220"/>
      <c r="D45" s="1717"/>
      <c r="E45" s="1717"/>
      <c r="F45" s="1717"/>
      <c r="G45" s="1717"/>
      <c r="H45" s="1717"/>
      <c r="I45" s="1717"/>
      <c r="J45" s="453"/>
      <c r="K45" s="842"/>
    </row>
    <row r="46" spans="2:34" ht="15.5" x14ac:dyDescent="0.35">
      <c r="B46" s="1217" t="s">
        <v>1012</v>
      </c>
      <c r="C46" s="1221"/>
      <c r="D46" s="1737"/>
      <c r="E46" s="772" t="s">
        <v>222</v>
      </c>
      <c r="F46" s="635"/>
      <c r="G46" s="635"/>
      <c r="H46" s="635"/>
      <c r="I46" s="1499"/>
      <c r="J46" s="1499"/>
      <c r="K46" s="842"/>
      <c r="L46" s="765"/>
    </row>
    <row r="47" spans="2:34" ht="15.5" x14ac:dyDescent="0.35">
      <c r="B47" s="1217" t="s">
        <v>1013</v>
      </c>
      <c r="C47" s="1221"/>
      <c r="D47" s="1737"/>
      <c r="E47" s="772" t="s">
        <v>222</v>
      </c>
      <c r="F47" s="639"/>
      <c r="G47" s="639"/>
      <c r="H47" s="639"/>
      <c r="I47" s="1499"/>
      <c r="J47" s="1499"/>
      <c r="K47" s="842"/>
    </row>
    <row r="48" spans="2:34" ht="17" x14ac:dyDescent="0.4">
      <c r="B48" s="628"/>
      <c r="C48" s="633"/>
      <c r="D48" s="636"/>
      <c r="E48" s="636"/>
      <c r="F48" s="636"/>
      <c r="G48" s="636"/>
      <c r="H48" s="636"/>
      <c r="I48" s="1499"/>
      <c r="J48" s="1499"/>
      <c r="K48" s="842"/>
      <c r="M48" s="737"/>
    </row>
    <row r="49" spans="2:34" ht="15.65" customHeight="1" x14ac:dyDescent="0.35">
      <c r="B49" s="1645" t="s">
        <v>828</v>
      </c>
      <c r="C49" s="2539"/>
      <c r="D49" s="2539"/>
      <c r="E49" s="433"/>
      <c r="F49" s="437"/>
      <c r="G49" s="2539"/>
      <c r="H49" s="2539"/>
      <c r="I49" s="2539"/>
      <c r="J49" s="1613"/>
      <c r="K49" s="1509"/>
      <c r="L49" s="787"/>
      <c r="M49" s="56"/>
      <c r="AA49" s="55"/>
      <c r="AB49" s="55"/>
      <c r="AC49" s="55"/>
      <c r="AD49" s="55"/>
      <c r="AE49" s="55"/>
      <c r="AF49" s="55"/>
      <c r="AG49" s="55"/>
      <c r="AH49" s="55"/>
    </row>
    <row r="50" spans="2:34" s="432" customFormat="1" ht="15.65" customHeight="1" x14ac:dyDescent="0.35">
      <c r="B50" s="693"/>
      <c r="C50" s="434" t="s">
        <v>829</v>
      </c>
      <c r="D50" s="694"/>
      <c r="E50" s="2540"/>
      <c r="F50" s="2540"/>
      <c r="G50" s="694"/>
      <c r="H50" s="1244"/>
      <c r="I50" s="2544" t="s">
        <v>1114</v>
      </c>
      <c r="J50" s="2545"/>
      <c r="K50" s="1510"/>
      <c r="M50" s="440"/>
      <c r="AA50" s="55"/>
      <c r="AB50" s="55"/>
      <c r="AC50" s="55"/>
      <c r="AD50" s="55"/>
      <c r="AE50" s="55"/>
      <c r="AF50" s="55"/>
      <c r="AG50" s="55"/>
      <c r="AH50" s="55"/>
    </row>
    <row r="51" spans="2:34" s="432" customFormat="1" ht="15.65" customHeight="1" x14ac:dyDescent="0.35">
      <c r="B51" s="693"/>
      <c r="C51" s="694"/>
      <c r="D51" s="694"/>
      <c r="E51" s="695"/>
      <c r="F51" s="696"/>
      <c r="G51" s="694"/>
      <c r="H51" s="1244"/>
      <c r="I51" s="2546"/>
      <c r="J51" s="2547"/>
      <c r="K51" s="1510"/>
      <c r="M51" s="440"/>
      <c r="AA51" s="55"/>
      <c r="AB51" s="55"/>
      <c r="AC51" s="55"/>
      <c r="AD51" s="55"/>
      <c r="AE51" s="55"/>
      <c r="AF51" s="55"/>
      <c r="AG51" s="55"/>
      <c r="AH51" s="55"/>
    </row>
    <row r="52" spans="2:34" s="432" customFormat="1" ht="15.65" customHeight="1" x14ac:dyDescent="0.35">
      <c r="B52" s="693"/>
      <c r="C52" s="445" t="s">
        <v>2003</v>
      </c>
      <c r="D52" s="694"/>
      <c r="E52" s="695"/>
      <c r="F52" s="696"/>
      <c r="G52" s="738" t="s">
        <v>1093</v>
      </c>
      <c r="H52" s="738"/>
      <c r="I52" s="1244"/>
      <c r="J52" s="1244"/>
      <c r="K52" s="1510"/>
      <c r="M52" s="440"/>
      <c r="AA52" s="55"/>
      <c r="AB52" s="55"/>
      <c r="AC52" s="55"/>
      <c r="AD52" s="55"/>
      <c r="AE52" s="55"/>
      <c r="AF52" s="55"/>
      <c r="AG52" s="55"/>
      <c r="AH52" s="55"/>
    </row>
    <row r="53" spans="2:34" ht="15.5" x14ac:dyDescent="0.35">
      <c r="B53" s="441" t="s">
        <v>2128</v>
      </c>
      <c r="C53" s="1739"/>
      <c r="D53" s="434" t="s">
        <v>224</v>
      </c>
      <c r="E53" s="2548" t="s">
        <v>1094</v>
      </c>
      <c r="F53" s="2548"/>
      <c r="G53" s="1740"/>
      <c r="H53" s="692" t="str">
        <f>IF($V$205="1","kg per ha per annum","t per annum")</f>
        <v>t per annum</v>
      </c>
      <c r="I53" s="1500"/>
      <c r="J53" s="1500"/>
      <c r="K53" s="1510"/>
      <c r="M53" s="56"/>
      <c r="AA53" s="55"/>
      <c r="AB53" s="55"/>
      <c r="AC53" s="55"/>
      <c r="AD53" s="55"/>
      <c r="AE53" s="55"/>
      <c r="AF53" s="55"/>
      <c r="AG53" s="55"/>
      <c r="AH53" s="55"/>
    </row>
    <row r="54" spans="2:34" ht="15.5" x14ac:dyDescent="0.35">
      <c r="B54" s="441" t="s">
        <v>2129</v>
      </c>
      <c r="C54" s="1739"/>
      <c r="D54" s="434" t="s">
        <v>224</v>
      </c>
      <c r="E54" s="2548" t="s">
        <v>1113</v>
      </c>
      <c r="F54" s="2548"/>
      <c r="G54" s="1465"/>
      <c r="H54" s="434" t="str">
        <f>H53</f>
        <v>t per annum</v>
      </c>
      <c r="I54" s="1500"/>
      <c r="J54" s="1500"/>
      <c r="K54" s="1510"/>
      <c r="L54" s="879"/>
      <c r="M54" s="56"/>
      <c r="AA54" s="55"/>
      <c r="AB54" s="55"/>
      <c r="AC54" s="55"/>
      <c r="AD54" s="55"/>
      <c r="AE54" s="55"/>
      <c r="AF54" s="55"/>
      <c r="AG54" s="55"/>
      <c r="AH54" s="55"/>
    </row>
    <row r="55" spans="2:34" s="879" customFormat="1" ht="15.5" x14ac:dyDescent="0.35">
      <c r="B55" s="1195"/>
      <c r="C55" s="1091"/>
      <c r="D55" s="1091"/>
      <c r="E55" s="2548" t="s">
        <v>1507</v>
      </c>
      <c r="F55" s="2548"/>
      <c r="G55" s="1735"/>
      <c r="H55" s="1091" t="s">
        <v>222</v>
      </c>
      <c r="I55" s="1500"/>
      <c r="J55" s="1500"/>
      <c r="K55" s="1510"/>
      <c r="M55" s="440"/>
      <c r="AA55" s="880"/>
      <c r="AB55" s="880"/>
      <c r="AC55" s="880"/>
      <c r="AD55" s="880"/>
      <c r="AE55" s="880"/>
      <c r="AF55" s="880"/>
      <c r="AG55" s="880"/>
      <c r="AH55" s="880"/>
    </row>
    <row r="56" spans="2:34" ht="15.5" x14ac:dyDescent="0.35">
      <c r="B56" s="438"/>
      <c r="C56" s="434"/>
      <c r="D56" s="434"/>
      <c r="E56" s="434"/>
      <c r="F56" s="434"/>
      <c r="G56" s="434"/>
      <c r="H56" s="434"/>
      <c r="I56" s="1499"/>
      <c r="J56" s="1499"/>
      <c r="K56" s="1510"/>
      <c r="M56" s="56"/>
      <c r="AA56" s="55"/>
      <c r="AB56" s="55"/>
      <c r="AC56" s="55"/>
      <c r="AD56" s="55"/>
      <c r="AE56" s="55"/>
      <c r="AF56" s="55"/>
      <c r="AG56" s="55"/>
      <c r="AH56" s="55"/>
    </row>
    <row r="57" spans="2:34" s="432" customFormat="1" ht="15.5" x14ac:dyDescent="0.35">
      <c r="B57" s="438"/>
      <c r="C57" s="1340" t="s">
        <v>2002</v>
      </c>
      <c r="D57" s="1091"/>
      <c r="E57" s="1091"/>
      <c r="F57" s="377"/>
      <c r="G57" s="448" t="s">
        <v>1096</v>
      </c>
      <c r="H57" s="448" t="s">
        <v>1097</v>
      </c>
      <c r="I57" s="448" t="s">
        <v>1098</v>
      </c>
      <c r="J57" s="1637" t="s">
        <v>1539</v>
      </c>
      <c r="K57" s="1510"/>
      <c r="M57" s="440"/>
      <c r="AA57" s="55"/>
      <c r="AB57" s="55"/>
      <c r="AC57" s="55"/>
      <c r="AD57" s="55"/>
      <c r="AE57" s="55"/>
      <c r="AF57" s="55"/>
      <c r="AG57" s="55"/>
      <c r="AH57" s="55"/>
    </row>
    <row r="58" spans="2:34" ht="15.5" x14ac:dyDescent="0.35">
      <c r="B58" s="438" t="s">
        <v>2126</v>
      </c>
      <c r="C58" s="1738"/>
      <c r="D58" s="1091" t="s">
        <v>224</v>
      </c>
      <c r="E58" s="2543" t="s">
        <v>2007</v>
      </c>
      <c r="F58" s="2543"/>
      <c r="G58" s="1718"/>
      <c r="H58" s="1718"/>
      <c r="I58" s="1718"/>
      <c r="J58" s="1718"/>
      <c r="K58" s="1631" t="str">
        <f>H53</f>
        <v>t per annum</v>
      </c>
      <c r="M58" s="56"/>
      <c r="AA58" s="55"/>
      <c r="AB58" s="55"/>
      <c r="AC58" s="55"/>
      <c r="AD58" s="55"/>
      <c r="AE58" s="55"/>
      <c r="AF58" s="55"/>
      <c r="AG58" s="55"/>
      <c r="AH58" s="55"/>
    </row>
    <row r="59" spans="2:34" ht="15.5" x14ac:dyDescent="0.35">
      <c r="B59" s="438" t="s">
        <v>2127</v>
      </c>
      <c r="C59" s="1738"/>
      <c r="D59" s="1091" t="s">
        <v>224</v>
      </c>
      <c r="E59" s="2543" t="s">
        <v>2008</v>
      </c>
      <c r="F59" s="2543"/>
      <c r="G59" s="1718"/>
      <c r="H59" s="1718"/>
      <c r="I59" s="1718"/>
      <c r="J59" s="1718"/>
      <c r="K59" s="1631" t="str">
        <f>H53</f>
        <v>t per annum</v>
      </c>
      <c r="M59" s="56"/>
      <c r="AA59" s="55"/>
      <c r="AB59" s="55"/>
      <c r="AC59" s="55"/>
      <c r="AD59" s="55"/>
      <c r="AE59" s="55"/>
      <c r="AF59" s="55"/>
      <c r="AG59" s="55"/>
      <c r="AH59" s="55"/>
    </row>
    <row r="60" spans="2:34" s="432" customFormat="1" ht="15.5" x14ac:dyDescent="0.35">
      <c r="B60" s="481"/>
      <c r="C60" s="480"/>
      <c r="D60" s="447"/>
      <c r="E60" s="447"/>
      <c r="F60" s="447"/>
      <c r="G60" s="447"/>
      <c r="H60" s="447"/>
      <c r="I60" s="447"/>
      <c r="J60" s="447"/>
      <c r="K60" s="842"/>
      <c r="M60" s="440"/>
      <c r="AA60" s="55"/>
      <c r="AB60" s="55"/>
      <c r="AC60" s="55"/>
      <c r="AD60" s="55"/>
      <c r="AE60" s="55"/>
      <c r="AF60" s="55"/>
      <c r="AG60" s="55"/>
      <c r="AH60" s="55"/>
    </row>
    <row r="61" spans="2:34" s="432" customFormat="1" ht="17.5" x14ac:dyDescent="0.35">
      <c r="B61" s="1646" t="s">
        <v>855</v>
      </c>
      <c r="C61" s="451"/>
      <c r="D61" s="483"/>
      <c r="E61" s="483"/>
      <c r="F61" s="483"/>
      <c r="G61" s="483"/>
      <c r="H61" s="483"/>
      <c r="I61" s="483"/>
      <c r="J61" s="483"/>
      <c r="K61" s="1505"/>
      <c r="M61" s="440"/>
      <c r="AA61" s="55"/>
      <c r="AB61" s="55"/>
      <c r="AC61" s="55"/>
      <c r="AD61" s="55"/>
      <c r="AE61" s="55"/>
      <c r="AF61" s="55"/>
      <c r="AG61" s="55"/>
      <c r="AH61" s="55"/>
    </row>
    <row r="62" spans="2:34" s="432" customFormat="1" ht="15.5" x14ac:dyDescent="0.35">
      <c r="B62" s="441" t="s">
        <v>795</v>
      </c>
      <c r="C62" s="482"/>
      <c r="D62" s="748" t="s">
        <v>599</v>
      </c>
      <c r="E62" s="2535" t="s">
        <v>929</v>
      </c>
      <c r="F62" s="2535"/>
      <c r="G62" s="2536"/>
      <c r="H62" s="2536"/>
      <c r="I62" s="1491"/>
      <c r="J62" s="1615"/>
      <c r="K62" s="842"/>
      <c r="M62" s="440"/>
      <c r="AA62" s="55"/>
      <c r="AB62" s="55"/>
      <c r="AC62" s="55"/>
      <c r="AD62" s="55"/>
      <c r="AE62" s="55"/>
      <c r="AF62" s="55"/>
      <c r="AG62" s="55"/>
      <c r="AH62" s="55"/>
    </row>
    <row r="63" spans="2:34" s="432" customFormat="1" ht="15.5" x14ac:dyDescent="0.35">
      <c r="B63" s="1195" t="s">
        <v>801</v>
      </c>
      <c r="C63" s="482"/>
      <c r="D63" s="1624" t="s">
        <v>1159</v>
      </c>
      <c r="E63" s="2535" t="s">
        <v>2130</v>
      </c>
      <c r="F63" s="2535"/>
      <c r="G63" s="2530"/>
      <c r="H63" s="2530"/>
      <c r="I63" s="1094" t="s">
        <v>222</v>
      </c>
      <c r="J63" s="1094"/>
      <c r="K63" s="842"/>
      <c r="M63" s="440"/>
      <c r="AA63" s="55"/>
      <c r="AB63" s="55"/>
      <c r="AC63" s="55"/>
      <c r="AD63" s="55"/>
      <c r="AE63" s="55"/>
      <c r="AF63" s="55"/>
      <c r="AG63" s="55"/>
      <c r="AH63" s="55"/>
    </row>
    <row r="64" spans="2:34" s="879" customFormat="1" ht="15.5" x14ac:dyDescent="0.35">
      <c r="B64" s="1214"/>
      <c r="C64" s="1521"/>
      <c r="D64" s="1641"/>
      <c r="E64" s="1632"/>
      <c r="F64" s="1632"/>
      <c r="G64" s="1521"/>
      <c r="H64" s="1523"/>
      <c r="I64" s="1523"/>
      <c r="J64" s="1094"/>
      <c r="K64" s="842"/>
      <c r="M64" s="440"/>
      <c r="AA64" s="880"/>
      <c r="AB64" s="880"/>
      <c r="AC64" s="880"/>
      <c r="AD64" s="880"/>
      <c r="AE64" s="880"/>
      <c r="AF64" s="880"/>
      <c r="AG64" s="880"/>
      <c r="AH64" s="880"/>
    </row>
    <row r="65" spans="2:34" s="432" customFormat="1" ht="17.5" x14ac:dyDescent="0.35">
      <c r="B65" s="1222" t="s">
        <v>827</v>
      </c>
      <c r="C65" s="419"/>
      <c r="D65" s="1091"/>
      <c r="E65" s="1091"/>
      <c r="F65" s="1091"/>
      <c r="G65" s="434"/>
      <c r="H65" s="434"/>
      <c r="I65" s="1094"/>
      <c r="J65" s="326"/>
      <c r="K65" s="1505"/>
    </row>
    <row r="66" spans="2:34" s="432" customFormat="1" ht="15.5" x14ac:dyDescent="0.35">
      <c r="B66" s="421" t="s">
        <v>1092</v>
      </c>
      <c r="C66" s="1715"/>
      <c r="D66" s="444" t="s">
        <v>1160</v>
      </c>
      <c r="E66" s="2538" t="s">
        <v>823</v>
      </c>
      <c r="F66" s="2538"/>
      <c r="G66" s="2534"/>
      <c r="H66" s="2534"/>
      <c r="I66" s="1197" t="s">
        <v>1160</v>
      </c>
      <c r="J66" s="1197"/>
      <c r="K66" s="842"/>
    </row>
    <row r="67" spans="2:34" s="432" customFormat="1" ht="15.5" x14ac:dyDescent="0.35">
      <c r="B67" s="421"/>
      <c r="C67" s="1379"/>
      <c r="D67" s="434"/>
      <c r="E67" s="434"/>
      <c r="F67" s="434"/>
      <c r="G67" s="434"/>
      <c r="H67" s="434"/>
      <c r="I67" s="1094"/>
      <c r="J67" s="1094"/>
      <c r="K67" s="842"/>
    </row>
    <row r="68" spans="2:34" s="432" customFormat="1" ht="15.5" x14ac:dyDescent="0.35">
      <c r="B68" s="421" t="s">
        <v>824</v>
      </c>
      <c r="C68" s="1715"/>
      <c r="D68" s="444" t="s">
        <v>1160</v>
      </c>
      <c r="E68" s="2535" t="s">
        <v>825</v>
      </c>
      <c r="F68" s="2535"/>
      <c r="G68" s="2534"/>
      <c r="H68" s="2534"/>
      <c r="I68" s="1197" t="s">
        <v>1160</v>
      </c>
      <c r="J68" s="1197"/>
      <c r="K68" s="842"/>
    </row>
    <row r="69" spans="2:34" s="432" customFormat="1" ht="15.5" x14ac:dyDescent="0.35">
      <c r="B69" s="421"/>
      <c r="C69" s="1379"/>
      <c r="D69" s="434"/>
      <c r="E69" s="434"/>
      <c r="F69" s="434"/>
      <c r="G69" s="434"/>
      <c r="H69" s="434"/>
      <c r="I69" s="1094"/>
      <c r="J69" s="1094"/>
      <c r="K69" s="842"/>
    </row>
    <row r="70" spans="2:34" s="432" customFormat="1" ht="15.5" x14ac:dyDescent="0.35">
      <c r="B70" s="455" t="s">
        <v>826</v>
      </c>
      <c r="C70" s="1715"/>
      <c r="D70" s="444" t="s">
        <v>1160</v>
      </c>
      <c r="E70" s="434" t="s">
        <v>940</v>
      </c>
      <c r="F70" s="434"/>
      <c r="G70" s="2534"/>
      <c r="H70" s="2534"/>
      <c r="I70" s="1197" t="s">
        <v>1160</v>
      </c>
      <c r="J70" s="1197"/>
      <c r="K70" s="842"/>
    </row>
    <row r="71" spans="2:34" s="432" customFormat="1" ht="15.5" x14ac:dyDescent="0.35">
      <c r="B71" s="422"/>
      <c r="C71" s="418"/>
      <c r="D71" s="325"/>
      <c r="E71" s="325"/>
      <c r="F71" s="325"/>
      <c r="G71" s="325"/>
      <c r="H71" s="325"/>
      <c r="I71" s="1501"/>
      <c r="J71" s="1094"/>
      <c r="K71" s="842"/>
    </row>
    <row r="72" spans="2:34" s="432" customFormat="1" ht="17.5" x14ac:dyDescent="0.35">
      <c r="B72" s="461" t="s">
        <v>796</v>
      </c>
      <c r="C72" s="377"/>
      <c r="D72" s="377"/>
      <c r="E72" s="326"/>
      <c r="F72" s="376"/>
      <c r="G72" s="327"/>
      <c r="H72" s="324"/>
      <c r="I72" s="326"/>
      <c r="J72" s="326"/>
      <c r="K72" s="1505"/>
    </row>
    <row r="73" spans="2:34" s="432" customFormat="1" ht="15.5" x14ac:dyDescent="0.35">
      <c r="B73" s="438" t="s">
        <v>1008</v>
      </c>
      <c r="C73" s="2540"/>
      <c r="D73" s="2540"/>
      <c r="E73" s="329"/>
      <c r="F73" s="2535" t="str">
        <f>IF(V212=3,"Amount of carbon sequestered using other tools","")</f>
        <v/>
      </c>
      <c r="G73" s="2535"/>
      <c r="H73" s="1564"/>
      <c r="I73" s="1714" t="str">
        <f>IF(V212=3,"t CO2e/ha.annum","")</f>
        <v/>
      </c>
      <c r="J73" s="1611"/>
      <c r="K73" s="842"/>
    </row>
    <row r="74" spans="2:34" s="879" customFormat="1" ht="15.5" x14ac:dyDescent="0.35">
      <c r="B74" s="1193"/>
      <c r="C74" s="1094"/>
      <c r="D74" s="1563"/>
      <c r="E74" s="1094"/>
      <c r="F74" s="1563"/>
      <c r="G74" s="1563"/>
      <c r="H74" s="1563"/>
      <c r="I74" s="1563"/>
      <c r="J74" s="1611"/>
      <c r="K74" s="842"/>
    </row>
    <row r="75" spans="2:34" s="879" customFormat="1" ht="15.5" x14ac:dyDescent="0.35">
      <c r="B75" s="1193" t="s">
        <v>1949</v>
      </c>
      <c r="C75" s="2542"/>
      <c r="D75" s="2542"/>
      <c r="E75" s="1094"/>
      <c r="F75" s="1563"/>
      <c r="G75" s="1563"/>
      <c r="H75" s="1563"/>
      <c r="I75" s="1563"/>
      <c r="J75" s="1611"/>
      <c r="K75" s="842"/>
    </row>
    <row r="76" spans="2:34" s="432" customFormat="1" ht="15.5" x14ac:dyDescent="0.35">
      <c r="B76" s="421"/>
      <c r="C76" s="419"/>
      <c r="D76" s="322"/>
      <c r="E76" s="329"/>
      <c r="F76" s="330"/>
      <c r="G76" s="330"/>
      <c r="H76" s="1563"/>
      <c r="I76" s="1563"/>
      <c r="J76" s="1611"/>
      <c r="K76" s="842"/>
    </row>
    <row r="77" spans="2:34" s="879" customFormat="1" ht="15.5" x14ac:dyDescent="0.35">
      <c r="B77" s="456" t="s">
        <v>555</v>
      </c>
      <c r="C77" s="2541"/>
      <c r="D77" s="2541"/>
      <c r="E77" s="1095"/>
      <c r="F77" s="1095"/>
      <c r="G77" s="1095"/>
      <c r="H77" s="1091"/>
      <c r="I77" s="1094"/>
      <c r="J77" s="1094"/>
      <c r="K77" s="842"/>
    </row>
    <row r="78" spans="2:34" s="879" customFormat="1" ht="15.5" x14ac:dyDescent="0.35">
      <c r="B78" s="883"/>
      <c r="C78" s="419"/>
      <c r="D78" s="1091"/>
      <c r="E78" s="1094"/>
      <c r="F78" s="1095"/>
      <c r="G78" s="1095"/>
      <c r="H78" s="1091"/>
      <c r="I78" s="1094"/>
      <c r="J78" s="1094"/>
      <c r="K78" s="842"/>
    </row>
    <row r="79" spans="2:34" s="432" customFormat="1" ht="15.5" x14ac:dyDescent="0.35">
      <c r="B79" s="1195" t="s">
        <v>1567</v>
      </c>
      <c r="C79" s="2541"/>
      <c r="D79" s="2541"/>
      <c r="E79" s="1479"/>
      <c r="F79" s="1479" t="s">
        <v>1568</v>
      </c>
      <c r="G79" s="898"/>
      <c r="H79" s="1231" t="s">
        <v>2124</v>
      </c>
      <c r="I79" s="1731"/>
      <c r="J79" s="1094"/>
      <c r="K79" s="842"/>
      <c r="M79" s="440"/>
      <c r="AA79" s="55"/>
      <c r="AB79" s="55"/>
      <c r="AC79" s="55"/>
      <c r="AD79" s="55"/>
      <c r="AE79" s="55"/>
      <c r="AF79" s="55"/>
      <c r="AG79" s="55"/>
      <c r="AH79" s="55"/>
    </row>
    <row r="80" spans="2:34" s="432" customFormat="1" ht="15.5" x14ac:dyDescent="0.35">
      <c r="B80" s="328"/>
      <c r="C80" s="417"/>
      <c r="D80" s="322"/>
      <c r="E80" s="376"/>
      <c r="F80" s="329"/>
      <c r="G80" s="330"/>
      <c r="H80" s="322"/>
      <c r="I80" s="1094"/>
      <c r="J80" s="1094"/>
      <c r="K80" s="842"/>
      <c r="M80" s="440"/>
      <c r="AA80" s="55"/>
      <c r="AB80" s="55"/>
      <c r="AC80" s="55"/>
      <c r="AD80" s="55"/>
      <c r="AE80" s="55"/>
      <c r="AF80" s="55"/>
      <c r="AG80" s="55"/>
      <c r="AH80" s="55"/>
    </row>
    <row r="81" spans="1:34" ht="17.5" x14ac:dyDescent="0.35">
      <c r="A81" s="55"/>
      <c r="B81" s="641" t="s">
        <v>861</v>
      </c>
      <c r="C81" s="452"/>
      <c r="D81" s="452"/>
      <c r="E81" s="452"/>
      <c r="F81" s="452"/>
      <c r="G81" s="452"/>
      <c r="H81" s="452"/>
      <c r="I81" s="452"/>
      <c r="J81" s="452"/>
      <c r="K81" s="1511"/>
      <c r="N81" s="56"/>
    </row>
    <row r="82" spans="1:34" s="432" customFormat="1" ht="15.5" x14ac:dyDescent="0.35">
      <c r="A82" s="55"/>
      <c r="B82" s="439"/>
      <c r="C82" s="2572" t="s">
        <v>863</v>
      </c>
      <c r="D82" s="2572"/>
      <c r="E82" s="2572"/>
      <c r="F82" s="2530" t="s">
        <v>865</v>
      </c>
      <c r="G82" s="2530"/>
      <c r="H82" s="834" t="s">
        <v>1222</v>
      </c>
      <c r="I82" s="1502" t="e">
        <f>D248</f>
        <v>#DIV/0!</v>
      </c>
      <c r="J82" s="1638" t="s">
        <v>2009</v>
      </c>
      <c r="K82" s="841"/>
      <c r="N82" s="440"/>
    </row>
    <row r="83" spans="1:34" s="432" customFormat="1" ht="15.65" customHeight="1" x14ac:dyDescent="0.35">
      <c r="A83" s="55"/>
      <c r="B83" s="2571" t="s">
        <v>909</v>
      </c>
      <c r="C83" s="453"/>
      <c r="D83" s="453"/>
      <c r="E83" s="453"/>
      <c r="F83" s="453"/>
      <c r="G83" s="453"/>
      <c r="H83" s="453"/>
      <c r="I83" s="453"/>
      <c r="J83" s="453"/>
      <c r="K83" s="841"/>
      <c r="N83" s="440"/>
    </row>
    <row r="84" spans="1:34" s="432" customFormat="1" ht="15.5" x14ac:dyDescent="0.35">
      <c r="A84" s="55"/>
      <c r="B84" s="2571"/>
      <c r="C84" s="445" t="s">
        <v>1235</v>
      </c>
      <c r="D84" s="445" t="s">
        <v>1236</v>
      </c>
      <c r="E84" s="445" t="s">
        <v>1237</v>
      </c>
      <c r="F84" s="445" t="s">
        <v>226</v>
      </c>
      <c r="G84" s="445" t="s">
        <v>227</v>
      </c>
      <c r="H84" s="445"/>
      <c r="I84" s="1198"/>
      <c r="J84" s="1198"/>
      <c r="K84" s="841"/>
      <c r="N84" s="440"/>
    </row>
    <row r="85" spans="1:34" s="432" customFormat="1" ht="15.5" x14ac:dyDescent="0.35">
      <c r="A85" s="55"/>
      <c r="B85" s="438" t="s">
        <v>451</v>
      </c>
      <c r="C85" s="1202" t="e">
        <f>AJ230</f>
        <v>#N/A</v>
      </c>
      <c r="D85" s="1202" t="e">
        <f>AK230</f>
        <v>#N/A</v>
      </c>
      <c r="E85" s="1202" t="e">
        <f>AL230</f>
        <v>#N/A</v>
      </c>
      <c r="F85" s="470" t="e">
        <f>AN230</f>
        <v>#N/A</v>
      </c>
      <c r="G85" s="1202" t="e">
        <f>AI230</f>
        <v>#N/A</v>
      </c>
      <c r="H85" s="470"/>
      <c r="I85" s="1202"/>
      <c r="J85" s="1202"/>
      <c r="K85" s="841"/>
      <c r="N85" s="440"/>
    </row>
    <row r="86" spans="1:34" s="432" customFormat="1" ht="15.65" customHeight="1" x14ac:dyDescent="0.35">
      <c r="A86" s="55"/>
      <c r="B86" s="438" t="s">
        <v>862</v>
      </c>
      <c r="C86" s="470">
        <f>IF($G$82=1,0,AJ233)</f>
        <v>0</v>
      </c>
      <c r="D86" s="470">
        <f>IF($G$82=1,0,AK233)</f>
        <v>0</v>
      </c>
      <c r="E86" s="470">
        <f>IF($G$82=1,0,AL233)</f>
        <v>0</v>
      </c>
      <c r="F86" s="470">
        <f>IF($G$82=1,0,AN233)</f>
        <v>0</v>
      </c>
      <c r="G86" s="470">
        <f>IF($G$82=1,0,AI233)</f>
        <v>100</v>
      </c>
      <c r="H86" s="470"/>
      <c r="I86" s="1202"/>
      <c r="J86" s="1202"/>
      <c r="K86" s="841"/>
      <c r="N86" s="440"/>
    </row>
    <row r="87" spans="1:34" s="432" customFormat="1" ht="15.65" customHeight="1" x14ac:dyDescent="0.35">
      <c r="A87" s="55"/>
      <c r="B87" s="2573" t="s">
        <v>2063</v>
      </c>
      <c r="C87" s="2574"/>
      <c r="D87" s="2574"/>
      <c r="E87" s="2574"/>
      <c r="F87" s="2574"/>
      <c r="G87" s="2574"/>
      <c r="H87" s="2574"/>
      <c r="I87" s="2574"/>
      <c r="J87" s="1616"/>
      <c r="K87" s="841"/>
      <c r="N87" s="440"/>
    </row>
    <row r="88" spans="1:34" s="432" customFormat="1" ht="15.65" customHeight="1" x14ac:dyDescent="0.35">
      <c r="A88" s="55"/>
      <c r="B88" s="2573"/>
      <c r="C88" s="2574"/>
      <c r="D88" s="2574"/>
      <c r="E88" s="2574"/>
      <c r="F88" s="2574"/>
      <c r="G88" s="2574"/>
      <c r="H88" s="2574"/>
      <c r="I88" s="2574"/>
      <c r="J88" s="1616"/>
      <c r="K88" s="841"/>
      <c r="N88" s="440"/>
    </row>
    <row r="89" spans="1:34" s="432" customFormat="1" ht="15.65" customHeight="1" x14ac:dyDescent="0.35">
      <c r="A89" s="55"/>
      <c r="B89" s="2573"/>
      <c r="C89" s="2574"/>
      <c r="D89" s="2574"/>
      <c r="E89" s="2574"/>
      <c r="F89" s="2574"/>
      <c r="G89" s="2574"/>
      <c r="H89" s="2574"/>
      <c r="I89" s="2574"/>
      <c r="J89" s="1616"/>
      <c r="K89" s="841"/>
      <c r="N89" s="440"/>
    </row>
    <row r="90" spans="1:34" s="432" customFormat="1" ht="15.65" customHeight="1" x14ac:dyDescent="0.35">
      <c r="A90" s="55"/>
      <c r="B90" s="465"/>
      <c r="C90" s="453"/>
      <c r="D90" s="453"/>
      <c r="E90" s="453"/>
      <c r="F90" s="453"/>
      <c r="G90" s="453"/>
      <c r="H90" s="453"/>
      <c r="I90" s="453"/>
      <c r="J90" s="453"/>
      <c r="K90" s="841"/>
      <c r="N90" s="440"/>
    </row>
    <row r="91" spans="1:34" s="432" customFormat="1" ht="15.5" x14ac:dyDescent="0.35">
      <c r="A91" s="55"/>
      <c r="B91" s="439" t="s">
        <v>451</v>
      </c>
      <c r="C91" s="419"/>
      <c r="D91" s="419"/>
      <c r="E91" s="419"/>
      <c r="F91" s="419"/>
      <c r="G91" s="460" t="s">
        <v>870</v>
      </c>
      <c r="H91" s="460" t="s">
        <v>871</v>
      </c>
      <c r="I91" s="419"/>
      <c r="J91" s="419"/>
      <c r="K91" s="841"/>
      <c r="N91" s="440"/>
    </row>
    <row r="92" spans="1:34" s="55" customFormat="1" ht="15.5" x14ac:dyDescent="0.35">
      <c r="A92" s="17"/>
      <c r="B92" s="421" t="s">
        <v>1223</v>
      </c>
      <c r="C92" s="419"/>
      <c r="D92" s="419"/>
      <c r="E92" s="419"/>
      <c r="F92" s="458"/>
      <c r="G92" s="1738"/>
      <c r="H92" s="1738"/>
      <c r="I92" s="419"/>
      <c r="J92" s="419"/>
      <c r="K92" s="842"/>
      <c r="L92" s="17"/>
      <c r="M92" s="17"/>
      <c r="N92" s="17"/>
      <c r="O92" s="17"/>
      <c r="P92" s="17"/>
      <c r="Q92" s="17"/>
      <c r="R92" s="17"/>
      <c r="S92" s="17"/>
      <c r="T92" s="17"/>
      <c r="U92" s="17"/>
      <c r="V92" s="17"/>
      <c r="W92" s="17"/>
      <c r="X92" s="17"/>
      <c r="Y92" s="17"/>
      <c r="Z92" s="17"/>
      <c r="AA92" s="17"/>
      <c r="AB92" s="17"/>
      <c r="AC92" s="17"/>
      <c r="AD92" s="17"/>
      <c r="AE92" s="17"/>
      <c r="AF92" s="17"/>
      <c r="AG92" s="17"/>
      <c r="AH92" s="17"/>
    </row>
    <row r="93" spans="1:34" s="55" customFormat="1" ht="15.5" x14ac:dyDescent="0.35">
      <c r="A93" s="432"/>
      <c r="B93" s="421"/>
      <c r="C93" s="376"/>
      <c r="D93" s="376"/>
      <c r="E93" s="376"/>
      <c r="F93" s="376"/>
      <c r="G93" s="376"/>
      <c r="H93" s="376"/>
      <c r="I93" s="419"/>
      <c r="J93" s="419"/>
      <c r="K93" s="84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row>
    <row r="94" spans="1:34" s="55" customFormat="1" ht="15.5" x14ac:dyDescent="0.35">
      <c r="A94" s="432"/>
      <c r="B94" s="455" t="s">
        <v>1240</v>
      </c>
      <c r="C94" s="419"/>
      <c r="D94" s="419"/>
      <c r="E94" s="419"/>
      <c r="F94" s="419"/>
      <c r="G94" s="849"/>
      <c r="H94" s="454" t="s">
        <v>222</v>
      </c>
      <c r="I94" s="419"/>
      <c r="J94" s="419"/>
      <c r="K94" s="842"/>
      <c r="L94" s="432"/>
      <c r="M94" s="432"/>
      <c r="N94" s="432"/>
      <c r="O94" s="432"/>
      <c r="P94" s="432"/>
      <c r="Q94" s="432"/>
      <c r="R94" s="432"/>
      <c r="S94" s="432"/>
      <c r="T94" s="432"/>
      <c r="U94" s="432"/>
      <c r="V94" s="432"/>
      <c r="W94" s="432"/>
      <c r="X94" s="432"/>
      <c r="Y94" s="432"/>
      <c r="Z94" s="432"/>
      <c r="AA94" s="432"/>
      <c r="AB94" s="432"/>
      <c r="AC94" s="432"/>
      <c r="AD94" s="432"/>
      <c r="AE94" s="432"/>
      <c r="AF94" s="432"/>
      <c r="AG94" s="432"/>
      <c r="AH94" s="432"/>
    </row>
    <row r="95" spans="1:34" s="55" customFormat="1" ht="15.5" x14ac:dyDescent="0.35">
      <c r="A95" s="432"/>
      <c r="B95" s="421" t="s">
        <v>1540</v>
      </c>
      <c r="C95" s="436"/>
      <c r="D95" s="436"/>
      <c r="E95" s="436"/>
      <c r="F95" s="376"/>
      <c r="G95" s="1738"/>
      <c r="H95" s="748" t="s">
        <v>222</v>
      </c>
      <c r="I95" s="1491"/>
      <c r="J95" s="1615"/>
      <c r="K95" s="842"/>
      <c r="L95" s="432"/>
      <c r="M95" s="432"/>
      <c r="N95" s="432"/>
      <c r="O95" s="432"/>
      <c r="P95" s="432"/>
      <c r="Q95" s="432"/>
      <c r="R95" s="432"/>
      <c r="S95" s="432"/>
      <c r="T95" s="432"/>
      <c r="U95" s="432"/>
      <c r="V95" s="432"/>
      <c r="W95" s="432"/>
      <c r="X95" s="432"/>
      <c r="Y95" s="432"/>
      <c r="Z95" s="432"/>
      <c r="AA95" s="432"/>
      <c r="AB95" s="432"/>
      <c r="AC95" s="432"/>
      <c r="AD95" s="432"/>
      <c r="AE95" s="432"/>
      <c r="AF95" s="432"/>
      <c r="AG95" s="432"/>
      <c r="AH95" s="432"/>
    </row>
    <row r="96" spans="1:34" s="55" customFormat="1" ht="15.5" x14ac:dyDescent="0.35">
      <c r="A96" s="432"/>
      <c r="B96" s="438" t="s">
        <v>1239</v>
      </c>
      <c r="C96" s="436"/>
      <c r="D96" s="436"/>
      <c r="E96" s="436"/>
      <c r="F96" s="376"/>
      <c r="G96" s="1478">
        <f>(100-(G94+G95))</f>
        <v>100</v>
      </c>
      <c r="H96" s="838" t="s">
        <v>222</v>
      </c>
      <c r="I96" s="1491"/>
      <c r="J96" s="1615"/>
      <c r="K96" s="842"/>
      <c r="L96" s="432"/>
      <c r="M96" s="432"/>
      <c r="N96" s="432"/>
      <c r="O96" s="432"/>
      <c r="P96" s="432"/>
      <c r="Q96" s="432"/>
      <c r="R96" s="432"/>
      <c r="S96" s="432"/>
      <c r="T96" s="432"/>
      <c r="U96" s="432"/>
      <c r="V96" s="432"/>
      <c r="W96" s="432"/>
      <c r="X96" s="432"/>
      <c r="Y96" s="432"/>
      <c r="Z96" s="432"/>
      <c r="AA96" s="432"/>
      <c r="AB96" s="432"/>
      <c r="AC96" s="432"/>
      <c r="AD96" s="432"/>
      <c r="AE96" s="432"/>
      <c r="AF96" s="432"/>
      <c r="AG96" s="432"/>
      <c r="AH96" s="432"/>
    </row>
    <row r="97" spans="1:34" s="55" customFormat="1" ht="15.5" x14ac:dyDescent="0.35">
      <c r="A97" s="432"/>
      <c r="B97" s="421"/>
      <c r="C97" s="376"/>
      <c r="D97" s="376"/>
      <c r="E97" s="376"/>
      <c r="F97" s="376"/>
      <c r="G97" s="376"/>
      <c r="H97" s="376"/>
      <c r="I97" s="419"/>
      <c r="J97" s="419"/>
      <c r="K97" s="842"/>
      <c r="L97" s="432"/>
      <c r="M97" s="432"/>
      <c r="N97" s="432"/>
      <c r="O97" s="432"/>
      <c r="P97" s="432"/>
      <c r="Q97" s="432"/>
      <c r="R97" s="432"/>
      <c r="S97" s="432"/>
      <c r="T97" s="432"/>
      <c r="U97" s="432"/>
      <c r="V97" s="432"/>
      <c r="W97" s="432"/>
      <c r="X97" s="432"/>
      <c r="Y97" s="432"/>
      <c r="Z97" s="432"/>
      <c r="AA97" s="432"/>
      <c r="AB97" s="432"/>
      <c r="AC97" s="432"/>
      <c r="AD97" s="432"/>
      <c r="AE97" s="432"/>
      <c r="AF97" s="432"/>
      <c r="AG97" s="432"/>
      <c r="AH97" s="432"/>
    </row>
    <row r="98" spans="1:34" s="55" customFormat="1" ht="15.5" x14ac:dyDescent="0.35">
      <c r="A98" s="432"/>
      <c r="B98" s="438" t="s">
        <v>1541</v>
      </c>
      <c r="C98" s="436"/>
      <c r="D98" s="436"/>
      <c r="E98" s="436"/>
      <c r="F98" s="376"/>
      <c r="G98" s="1738"/>
      <c r="H98" s="436"/>
      <c r="I98" s="1491"/>
      <c r="J98" s="1615"/>
      <c r="K98" s="842"/>
      <c r="L98" s="432"/>
      <c r="M98" s="432"/>
      <c r="N98" s="432"/>
      <c r="O98" s="432"/>
      <c r="P98" s="432"/>
      <c r="Q98" s="432"/>
      <c r="R98" s="432"/>
      <c r="S98" s="432"/>
      <c r="T98" s="432"/>
      <c r="U98" s="432"/>
      <c r="V98" s="432"/>
      <c r="W98" s="432"/>
      <c r="X98" s="432"/>
      <c r="Y98" s="432"/>
      <c r="Z98" s="432"/>
      <c r="AA98" s="432"/>
      <c r="AB98" s="432"/>
      <c r="AC98" s="432"/>
      <c r="AD98" s="432"/>
      <c r="AE98" s="432"/>
      <c r="AF98" s="432"/>
      <c r="AG98" s="432"/>
      <c r="AH98" s="432"/>
    </row>
    <row r="99" spans="1:34" s="55" customFormat="1" ht="15.5" x14ac:dyDescent="0.35">
      <c r="A99" s="432"/>
      <c r="B99" s="438"/>
      <c r="C99" s="839"/>
      <c r="D99" s="839"/>
      <c r="E99" s="839"/>
      <c r="F99" s="839"/>
      <c r="G99" s="460" t="s">
        <v>870</v>
      </c>
      <c r="H99" s="460" t="s">
        <v>871</v>
      </c>
      <c r="I99" s="1491"/>
      <c r="J99" s="1615"/>
      <c r="K99" s="842"/>
      <c r="L99" s="432"/>
      <c r="M99" s="432"/>
      <c r="N99" s="432"/>
      <c r="O99" s="432"/>
      <c r="P99" s="432"/>
      <c r="Q99" s="432"/>
      <c r="R99" s="432"/>
      <c r="S99" s="432"/>
      <c r="T99" s="432"/>
      <c r="U99" s="432"/>
      <c r="V99" s="432"/>
      <c r="W99" s="432"/>
      <c r="X99" s="432"/>
      <c r="Y99" s="432"/>
      <c r="Z99" s="432"/>
      <c r="AA99" s="432"/>
      <c r="AB99" s="432"/>
      <c r="AC99" s="432"/>
      <c r="AD99" s="432"/>
      <c r="AE99" s="432"/>
      <c r="AF99" s="432"/>
      <c r="AG99" s="432"/>
      <c r="AH99" s="432"/>
    </row>
    <row r="100" spans="1:34" s="55" customFormat="1" ht="15.5" x14ac:dyDescent="0.35">
      <c r="A100" s="432"/>
      <c r="B100" s="438" t="s">
        <v>1224</v>
      </c>
      <c r="C100" s="839"/>
      <c r="D100" s="839"/>
      <c r="E100" s="839"/>
      <c r="F100" s="839"/>
      <c r="G100" s="1738"/>
      <c r="H100" s="1738"/>
      <c r="I100" s="1491"/>
      <c r="J100" s="1615"/>
      <c r="K100" s="842"/>
      <c r="L100" s="432"/>
      <c r="M100" s="432"/>
      <c r="N100" s="432"/>
      <c r="O100" s="432"/>
      <c r="P100" s="432"/>
      <c r="Q100" s="432"/>
      <c r="R100" s="432"/>
      <c r="S100" s="432"/>
      <c r="T100" s="432"/>
      <c r="U100" s="432"/>
      <c r="V100" s="432"/>
      <c r="W100" s="432"/>
      <c r="X100" s="432"/>
      <c r="Y100" s="432"/>
      <c r="Z100" s="432"/>
      <c r="AA100" s="432"/>
      <c r="AB100" s="432"/>
      <c r="AC100" s="432"/>
      <c r="AD100" s="432"/>
      <c r="AE100" s="432"/>
      <c r="AF100" s="432"/>
      <c r="AG100" s="432"/>
      <c r="AH100" s="432"/>
    </row>
    <row r="101" spans="1:34" s="55" customFormat="1" ht="15.5" x14ac:dyDescent="0.35">
      <c r="A101" s="432"/>
      <c r="B101" s="438"/>
      <c r="C101" s="839"/>
      <c r="D101" s="839"/>
      <c r="E101" s="839"/>
      <c r="F101" s="839"/>
      <c r="G101" s="839"/>
      <c r="H101" s="839"/>
      <c r="I101" s="1491"/>
      <c r="J101" s="1615"/>
      <c r="K101" s="842"/>
      <c r="L101" s="432"/>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row>
    <row r="102" spans="1:34" s="55" customFormat="1" ht="15.5" x14ac:dyDescent="0.35">
      <c r="A102" s="432"/>
      <c r="B102" s="438" t="s">
        <v>1212</v>
      </c>
      <c r="C102" s="839"/>
      <c r="D102" s="839"/>
      <c r="E102" s="376"/>
      <c r="F102" s="2540"/>
      <c r="G102" s="2540"/>
      <c r="H102" s="1198" t="s">
        <v>899</v>
      </c>
      <c r="I102" s="1503" t="e">
        <f>AP230</f>
        <v>#N/A</v>
      </c>
      <c r="J102" s="1633" t="s">
        <v>222</v>
      </c>
      <c r="K102" s="1506"/>
      <c r="L102" s="432"/>
      <c r="M102" s="432"/>
      <c r="N102" s="432"/>
      <c r="O102" s="432"/>
      <c r="P102" s="432"/>
      <c r="Q102" s="432"/>
      <c r="R102" s="432"/>
      <c r="S102" s="432"/>
      <c r="T102" s="432"/>
      <c r="U102" s="432"/>
      <c r="V102" s="432"/>
      <c r="W102" s="432"/>
      <c r="X102" s="432"/>
      <c r="Y102" s="432"/>
      <c r="Z102" s="432"/>
      <c r="AA102" s="432"/>
      <c r="AB102" s="432"/>
      <c r="AC102" s="432"/>
      <c r="AD102" s="432"/>
      <c r="AE102" s="432"/>
      <c r="AF102" s="432"/>
      <c r="AG102" s="432"/>
      <c r="AH102" s="432"/>
    </row>
    <row r="103" spans="1:34" s="55" customFormat="1" ht="15.5" x14ac:dyDescent="0.35">
      <c r="A103" s="17"/>
      <c r="B103" s="439"/>
      <c r="C103" s="839"/>
      <c r="D103" s="839"/>
      <c r="E103" s="839"/>
      <c r="F103" s="839"/>
      <c r="G103" s="839"/>
      <c r="H103" s="1615"/>
      <c r="I103" s="1503"/>
      <c r="J103" s="1503"/>
      <c r="K103" s="842"/>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row>
    <row r="104" spans="1:34" ht="15.5" x14ac:dyDescent="0.35">
      <c r="B104" s="439" t="s">
        <v>876</v>
      </c>
      <c r="C104" s="839"/>
      <c r="D104" s="839"/>
      <c r="E104" s="839"/>
      <c r="F104" s="839"/>
      <c r="G104" s="460" t="s">
        <v>870</v>
      </c>
      <c r="H104" s="460" t="s">
        <v>871</v>
      </c>
      <c r="I104" s="1503"/>
      <c r="J104" s="1503"/>
      <c r="K104" s="842"/>
    </row>
    <row r="105" spans="1:34" ht="15.5" x14ac:dyDescent="0.35">
      <c r="B105" s="438" t="s">
        <v>989</v>
      </c>
      <c r="C105" s="839"/>
      <c r="D105" s="839"/>
      <c r="E105" s="839"/>
      <c r="F105" s="839"/>
      <c r="G105" s="1710"/>
      <c r="H105" s="1710"/>
      <c r="I105" s="1503"/>
      <c r="J105" s="1503"/>
      <c r="K105" s="842"/>
    </row>
    <row r="106" spans="1:34" x14ac:dyDescent="0.35">
      <c r="B106" s="459"/>
      <c r="C106" s="457"/>
      <c r="D106" s="457"/>
      <c r="E106" s="457"/>
      <c r="F106" s="457"/>
      <c r="G106" s="457"/>
      <c r="H106" s="1635"/>
      <c r="I106" s="1504"/>
      <c r="J106" s="1504"/>
      <c r="K106" s="842"/>
    </row>
    <row r="107" spans="1:34" ht="15.5" x14ac:dyDescent="0.35">
      <c r="B107" s="1193" t="s">
        <v>872</v>
      </c>
      <c r="C107" s="457"/>
      <c r="D107" s="457"/>
      <c r="E107" s="453"/>
      <c r="F107" s="2530"/>
      <c r="G107" s="2530"/>
      <c r="H107" s="1198" t="s">
        <v>899</v>
      </c>
      <c r="I107" s="1502">
        <f>AP233</f>
        <v>1</v>
      </c>
      <c r="J107" s="1638" t="s">
        <v>222</v>
      </c>
      <c r="K107" s="842"/>
    </row>
    <row r="108" spans="1:34" s="879" customFormat="1" ht="15.5" x14ac:dyDescent="0.35">
      <c r="B108" s="1230"/>
      <c r="C108" s="1721"/>
      <c r="D108" s="1721"/>
      <c r="E108" s="1630"/>
      <c r="F108" s="1630"/>
      <c r="G108" s="1630"/>
      <c r="H108" s="1722"/>
      <c r="I108" s="1723"/>
      <c r="J108" s="1634"/>
      <c r="K108" s="1629"/>
    </row>
    <row r="109" spans="1:34" x14ac:dyDescent="0.35">
      <c r="F109" s="919"/>
      <c r="G109" s="919"/>
      <c r="J109" s="136"/>
    </row>
    <row r="110" spans="1:34" ht="15.5" x14ac:dyDescent="0.35">
      <c r="B110" s="315" t="s">
        <v>637</v>
      </c>
    </row>
    <row r="111" spans="1:34" ht="25.15" customHeight="1" x14ac:dyDescent="0.35">
      <c r="B111" s="2569"/>
      <c r="C111" s="2570"/>
      <c r="D111" s="2561" t="str">
        <f t="shared" ref="D111:I111" si="0">D17</f>
        <v>Milking Cows</v>
      </c>
      <c r="E111" s="2561" t="str">
        <f t="shared" si="0"/>
        <v>Heifers &gt;1 yr age</v>
      </c>
      <c r="F111" s="2561" t="str">
        <f t="shared" si="0"/>
        <v>Heifers &lt;1 yr age</v>
      </c>
      <c r="G111" s="2561" t="str">
        <f t="shared" si="0"/>
        <v>Mature bulls</v>
      </c>
      <c r="H111" s="2561" t="str">
        <f t="shared" si="0"/>
        <v xml:space="preserve">Other stock &lt; 1 yr age </v>
      </c>
      <c r="I111" s="2563" t="str">
        <f t="shared" si="0"/>
        <v>Other stock &gt; 1 yr age</v>
      </c>
      <c r="J111" s="2561" t="s">
        <v>425</v>
      </c>
      <c r="K111" s="2563" t="s">
        <v>965</v>
      </c>
      <c r="L111" s="2559" t="s">
        <v>2072</v>
      </c>
      <c r="M111" s="919"/>
    </row>
    <row r="112" spans="1:34" s="432" customFormat="1" ht="25.15" customHeight="1" x14ac:dyDescent="0.35">
      <c r="B112" s="843"/>
      <c r="C112" s="626"/>
      <c r="D112" s="2562"/>
      <c r="E112" s="2562"/>
      <c r="F112" s="2562"/>
      <c r="G112" s="2562"/>
      <c r="H112" s="2565"/>
      <c r="I112" s="2564"/>
      <c r="J112" s="2562"/>
      <c r="K112" s="2564"/>
      <c r="L112" s="2560"/>
      <c r="M112" s="919"/>
    </row>
    <row r="113" spans="1:26" ht="15.5" x14ac:dyDescent="0.35">
      <c r="B113" s="844" t="s">
        <v>1966</v>
      </c>
      <c r="C113" s="625" t="s">
        <v>420</v>
      </c>
      <c r="D113" s="1377" t="e">
        <f>D236*'Emission factors'!$C$4*10^3</f>
        <v>#DIV/0!</v>
      </c>
      <c r="E113" s="1377">
        <f>E236*'Emission factors'!$C$4*10^3</f>
        <v>0</v>
      </c>
      <c r="F113" s="1377">
        <f>(F236+I236)*'Emission factors'!$C$4*10^3</f>
        <v>0</v>
      </c>
      <c r="G113" s="1377">
        <f>G236*'Emission factors'!$C$4*10^3</f>
        <v>0</v>
      </c>
      <c r="H113" s="1377">
        <f>(H236+J236)*'Emission factors'!$C$4*10^3</f>
        <v>0</v>
      </c>
      <c r="I113" s="1377">
        <f>(K236)*'Emission factors'!$C$4*10^3</f>
        <v>0</v>
      </c>
      <c r="J113" s="1377"/>
      <c r="K113" s="1375" t="e">
        <f>SUM(D113:I113)</f>
        <v>#DIV/0!</v>
      </c>
      <c r="L113" s="846" t="e">
        <f t="shared" ref="L113:L127" si="1">K113/$K$129</f>
        <v>#DIV/0!</v>
      </c>
      <c r="M113" s="490"/>
      <c r="N113" s="927"/>
      <c r="T113" s="56"/>
      <c r="U113" s="56"/>
      <c r="V113" s="55"/>
      <c r="W113" s="55"/>
      <c r="X113" s="55"/>
      <c r="Y113" s="55"/>
      <c r="Z113" s="55"/>
    </row>
    <row r="114" spans="1:26" ht="15.5" x14ac:dyDescent="0.35">
      <c r="B114" s="845"/>
      <c r="C114" s="57" t="s">
        <v>861</v>
      </c>
      <c r="D114" s="1352" t="e">
        <f>D261*'Emission factors'!$C$4*10^3</f>
        <v>#DIV/0!</v>
      </c>
      <c r="E114" s="1377">
        <f>E261*'Emission factors'!$C$4*10^3</f>
        <v>0</v>
      </c>
      <c r="F114" s="1352">
        <f>(F261+I261)*'Emission factors'!$C$4*10^3</f>
        <v>0</v>
      </c>
      <c r="G114" s="1377">
        <f>G261*'Emission factors'!$C$4*10^3</f>
        <v>0</v>
      </c>
      <c r="H114" s="1352">
        <f>(H261+J261)*'Emission factors'!$C$4*10^3</f>
        <v>0</v>
      </c>
      <c r="I114" s="1377">
        <f>(K261)*'Emission factors'!$C$4*10^3</f>
        <v>0</v>
      </c>
      <c r="J114" s="1352"/>
      <c r="K114" s="1375" t="e">
        <f>SUM(D114:I114)</f>
        <v>#DIV/0!</v>
      </c>
      <c r="L114" s="846" t="e">
        <f t="shared" si="1"/>
        <v>#DIV/0!</v>
      </c>
      <c r="M114" s="490"/>
      <c r="N114" s="927"/>
      <c r="T114" s="56"/>
      <c r="U114" s="56"/>
      <c r="V114" s="55"/>
      <c r="W114" s="55"/>
      <c r="X114" s="55"/>
      <c r="Y114" s="55"/>
      <c r="Z114" s="55"/>
    </row>
    <row r="115" spans="1:26" ht="15.5" x14ac:dyDescent="0.35">
      <c r="A115" s="55"/>
      <c r="B115" s="844" t="s">
        <v>1967</v>
      </c>
      <c r="C115" s="57" t="s">
        <v>1330</v>
      </c>
      <c r="D115" s="1352" t="e">
        <f>D444*'Emission factors'!$C$5*10^3</f>
        <v>#DIV/0!</v>
      </c>
      <c r="E115" s="1377" t="e">
        <f>E444*'Emission factors'!$C$5*10^3</f>
        <v>#N/A</v>
      </c>
      <c r="F115" s="1352" t="e">
        <f>(F444+I444)*'Emission factors'!$C$5*10^3</f>
        <v>#N/A</v>
      </c>
      <c r="G115" s="1377" t="e">
        <f>G444*'Emission factors'!$C$5*10^3</f>
        <v>#N/A</v>
      </c>
      <c r="H115" s="1352" t="e">
        <f>(H444+J444)*'Emission factors'!$C$5*10^3</f>
        <v>#N/A</v>
      </c>
      <c r="I115" s="1377" t="e">
        <f>(K444)*'Emission factors'!$C$5*10^3</f>
        <v>#N/A</v>
      </c>
      <c r="J115" s="1352"/>
      <c r="K115" s="1375" t="e">
        <f>SUM(D115:I115)</f>
        <v>#DIV/0!</v>
      </c>
      <c r="L115" s="846" t="e">
        <f t="shared" si="1"/>
        <v>#DIV/0!</v>
      </c>
      <c r="M115" s="490"/>
      <c r="N115" s="927"/>
      <c r="O115" s="316"/>
    </row>
    <row r="116" spans="1:26" ht="15.5" x14ac:dyDescent="0.35">
      <c r="A116" s="55"/>
      <c r="B116" s="845"/>
      <c r="C116" s="57" t="s">
        <v>1332</v>
      </c>
      <c r="D116" s="1352" t="e">
        <f>(D323+D399)*'Emission factors'!$C$5*10^3</f>
        <v>#DIV/0!</v>
      </c>
      <c r="E116" s="1352" t="e">
        <f>(E323+E399)*'Emission factors'!$C$5*10^3</f>
        <v>#N/A</v>
      </c>
      <c r="F116" s="1377" t="e">
        <f>((F323+I323)+(F399+I399))*'Emission factors'!$C$5*10^3</f>
        <v>#N/A</v>
      </c>
      <c r="G116" s="1377" t="e">
        <f>(G323+G399)*'Emission factors'!$C$5*10^3</f>
        <v>#N/A</v>
      </c>
      <c r="H116" s="1377" t="e">
        <f>((H323+J323)+(H399+J399))*'Emission factors'!$C$5*10^3</f>
        <v>#N/A</v>
      </c>
      <c r="I116" s="1377" t="e">
        <f>((K323+K399))*'Emission factors'!$C$5*10^3</f>
        <v>#N/A</v>
      </c>
      <c r="J116" s="1352"/>
      <c r="K116" s="1375" t="e">
        <f>SUM(D116:I116)</f>
        <v>#DIV/0!</v>
      </c>
      <c r="L116" s="846" t="e">
        <f t="shared" si="1"/>
        <v>#DIV/0!</v>
      </c>
      <c r="M116" s="490"/>
      <c r="N116" s="927"/>
      <c r="O116" s="316"/>
      <c r="P116" s="56"/>
      <c r="Q116" s="56"/>
      <c r="R116" s="56"/>
      <c r="S116" s="56"/>
    </row>
    <row r="117" spans="1:26" ht="15.5" x14ac:dyDescent="0.35">
      <c r="A117" s="55"/>
      <c r="B117" s="845"/>
      <c r="C117" s="57" t="s">
        <v>1263</v>
      </c>
      <c r="D117" s="1352" t="e">
        <f>(D338+D347+D481+D515)*'Emission factors'!$C$5*10^3</f>
        <v>#DIV/0!</v>
      </c>
      <c r="E117" s="1352" t="e">
        <f>(E338+E347+E481+E515)*'Emission factors'!$C$5*10^3</f>
        <v>#N/A</v>
      </c>
      <c r="F117" s="1377" t="e">
        <f>(F338+F347+F481+F515+I338+I347+I481+I515)*'Emission factors'!$C$5*10^3</f>
        <v>#N/A</v>
      </c>
      <c r="G117" s="1377" t="e">
        <f>(G338+G347+G481+G515)*'Emission factors'!$C$5*10^3</f>
        <v>#N/A</v>
      </c>
      <c r="H117" s="1377" t="e">
        <f>(H338+H347+H481+H515+J338+J347+J481+J515)*'Emission factors'!$C$5*10^3</f>
        <v>#N/A</v>
      </c>
      <c r="I117" s="1377" t="e">
        <f>(K338+K347+K481+K515)*'Emission factors'!$C$5*10^3</f>
        <v>#N/A</v>
      </c>
      <c r="J117" s="1352"/>
      <c r="K117" s="1375" t="e">
        <f>SUM(D117:I117)</f>
        <v>#DIV/0!</v>
      </c>
      <c r="L117" s="846" t="e">
        <f t="shared" si="1"/>
        <v>#DIV/0!</v>
      </c>
      <c r="M117" s="490"/>
      <c r="N117" s="927"/>
      <c r="O117" s="316"/>
    </row>
    <row r="118" spans="1:26" ht="15.5" x14ac:dyDescent="0.35">
      <c r="A118" s="55"/>
      <c r="B118" s="845"/>
      <c r="C118" s="57" t="s">
        <v>424</v>
      </c>
      <c r="D118" s="1353"/>
      <c r="E118" s="1352"/>
      <c r="F118" s="1366"/>
      <c r="G118" s="1366"/>
      <c r="H118" s="1366"/>
      <c r="I118" s="1284"/>
      <c r="J118" s="1352">
        <f>C377</f>
        <v>0</v>
      </c>
      <c r="K118" s="1375">
        <f>J118</f>
        <v>0</v>
      </c>
      <c r="L118" s="846" t="e">
        <f t="shared" si="1"/>
        <v>#DIV/0!</v>
      </c>
      <c r="M118" s="490"/>
      <c r="N118" s="927"/>
    </row>
    <row r="119" spans="1:26" ht="15.5" x14ac:dyDescent="0.35">
      <c r="A119" s="55"/>
      <c r="B119" s="845"/>
      <c r="C119" s="57" t="s">
        <v>422</v>
      </c>
      <c r="D119" s="1353"/>
      <c r="E119" s="1352"/>
      <c r="F119" s="1352"/>
      <c r="G119" s="1365"/>
      <c r="H119" s="1352"/>
      <c r="I119" s="1284"/>
      <c r="J119" s="1352">
        <f>(SUM(D476:D477)+SUM(D510:D511))*'Emission factors'!$C$5*10^3</f>
        <v>0</v>
      </c>
      <c r="K119" s="1375">
        <f>J119</f>
        <v>0</v>
      </c>
      <c r="L119" s="846" t="e">
        <f t="shared" si="1"/>
        <v>#DIV/0!</v>
      </c>
      <c r="M119" s="490"/>
      <c r="N119" s="927"/>
    </row>
    <row r="120" spans="1:26" ht="15.5" x14ac:dyDescent="0.35">
      <c r="A120" s="55"/>
      <c r="B120" s="844" t="s">
        <v>800</v>
      </c>
      <c r="C120" s="994" t="s">
        <v>1488</v>
      </c>
      <c r="D120" s="1363"/>
      <c r="E120" s="1363"/>
      <c r="F120" s="1363"/>
      <c r="G120" s="1365"/>
      <c r="H120" s="1363"/>
      <c r="I120" s="1284"/>
      <c r="J120" s="1352"/>
      <c r="K120" s="1375">
        <f>J538</f>
        <v>0</v>
      </c>
      <c r="L120" s="846" t="e">
        <f t="shared" si="1"/>
        <v>#DIV/0!</v>
      </c>
      <c r="M120" s="490"/>
      <c r="N120" s="927"/>
    </row>
    <row r="121" spans="1:26" s="879" customFormat="1" ht="15.5" x14ac:dyDescent="0.35">
      <c r="A121" s="880"/>
      <c r="B121" s="844"/>
      <c r="C121" s="994" t="s">
        <v>1489</v>
      </c>
      <c r="D121" s="1363"/>
      <c r="E121" s="1363"/>
      <c r="F121" s="1363"/>
      <c r="G121" s="1365"/>
      <c r="H121" s="1363"/>
      <c r="I121" s="1284"/>
      <c r="J121" s="1377"/>
      <c r="K121" s="1375">
        <f>J542</f>
        <v>0</v>
      </c>
      <c r="L121" s="846" t="e">
        <f t="shared" si="1"/>
        <v>#DIV/0!</v>
      </c>
      <c r="M121" s="490"/>
      <c r="N121" s="927"/>
    </row>
    <row r="122" spans="1:26" ht="15.5" x14ac:dyDescent="0.35">
      <c r="A122" s="55"/>
      <c r="B122" s="844"/>
      <c r="C122" s="57" t="s">
        <v>1486</v>
      </c>
      <c r="D122" s="1353"/>
      <c r="E122" s="1352"/>
      <c r="F122" s="1352"/>
      <c r="G122" s="1365"/>
      <c r="H122" s="1352"/>
      <c r="I122" s="1284"/>
      <c r="J122" s="1352"/>
      <c r="K122" s="1375">
        <f>H530</f>
        <v>0</v>
      </c>
      <c r="L122" s="846" t="e">
        <f t="shared" si="1"/>
        <v>#DIV/0!</v>
      </c>
      <c r="M122" s="490"/>
      <c r="N122" s="927"/>
    </row>
    <row r="123" spans="1:26" s="879" customFormat="1" ht="15.5" x14ac:dyDescent="0.35">
      <c r="A123" s="880"/>
      <c r="B123" s="844"/>
      <c r="C123" s="994" t="s">
        <v>1487</v>
      </c>
      <c r="D123" s="1353"/>
      <c r="E123" s="1377"/>
      <c r="F123" s="1377"/>
      <c r="G123" s="1365"/>
      <c r="H123" s="1377"/>
      <c r="I123" s="1284"/>
      <c r="J123" s="1377"/>
      <c r="K123" s="1375">
        <f>J530</f>
        <v>0</v>
      </c>
      <c r="L123" s="846" t="e">
        <f t="shared" si="1"/>
        <v>#DIV/0!</v>
      </c>
      <c r="M123" s="490"/>
      <c r="N123" s="927"/>
    </row>
    <row r="124" spans="1:26" s="879" customFormat="1" ht="15.5" x14ac:dyDescent="0.35">
      <c r="A124" s="880"/>
      <c r="B124" s="844"/>
      <c r="C124" s="994" t="s">
        <v>1999</v>
      </c>
      <c r="D124" s="1353"/>
      <c r="E124" s="1377"/>
      <c r="F124" s="1377"/>
      <c r="G124" s="1365"/>
      <c r="H124" s="1377"/>
      <c r="I124" s="1284"/>
      <c r="J124" s="1377"/>
      <c r="K124" s="1375">
        <f>C573+C580</f>
        <v>0</v>
      </c>
      <c r="L124" s="846" t="e">
        <f t="shared" si="1"/>
        <v>#DIV/0!</v>
      </c>
      <c r="M124" s="490"/>
      <c r="N124" s="927"/>
    </row>
    <row r="125" spans="1:26" s="432" customFormat="1" ht="15.5" x14ac:dyDescent="0.35">
      <c r="A125" s="55"/>
      <c r="B125" s="844" t="s">
        <v>1968</v>
      </c>
      <c r="C125" s="57" t="s">
        <v>845</v>
      </c>
      <c r="D125" s="1353"/>
      <c r="E125" s="1352"/>
      <c r="F125" s="1352"/>
      <c r="G125" s="1365"/>
      <c r="H125" s="1352"/>
      <c r="I125" s="1284"/>
      <c r="J125" s="1352"/>
      <c r="K125" s="1375">
        <f>E557</f>
        <v>0</v>
      </c>
      <c r="L125" s="846" t="e">
        <f t="shared" si="1"/>
        <v>#DIV/0!</v>
      </c>
      <c r="M125" s="490"/>
      <c r="N125" s="927"/>
    </row>
    <row r="126" spans="1:26" s="432" customFormat="1" ht="15.5" x14ac:dyDescent="0.35">
      <c r="A126" s="55"/>
      <c r="B126" s="844"/>
      <c r="C126" s="57" t="s">
        <v>846</v>
      </c>
      <c r="D126" s="1353"/>
      <c r="E126" s="1352"/>
      <c r="F126" s="1352"/>
      <c r="G126" s="1365"/>
      <c r="H126" s="1352"/>
      <c r="I126" s="1284"/>
      <c r="J126" s="1352"/>
      <c r="K126" s="1375">
        <f>SUM(E553:E556)</f>
        <v>0</v>
      </c>
      <c r="L126" s="846" t="e">
        <f t="shared" si="1"/>
        <v>#DIV/0!</v>
      </c>
      <c r="M126" s="490"/>
      <c r="N126" s="927"/>
    </row>
    <row r="127" spans="1:26" s="432" customFormat="1" ht="15.5" x14ac:dyDescent="0.35">
      <c r="A127" s="55"/>
      <c r="B127" s="844"/>
      <c r="C127" s="57" t="s">
        <v>828</v>
      </c>
      <c r="D127" s="1353"/>
      <c r="E127" s="1352"/>
      <c r="F127" s="1352"/>
      <c r="G127" s="1352"/>
      <c r="H127" s="1352"/>
      <c r="I127" s="1284"/>
      <c r="J127" s="1352"/>
      <c r="K127" s="1375">
        <f>E566</f>
        <v>0</v>
      </c>
      <c r="L127" s="846" t="e">
        <f t="shared" si="1"/>
        <v>#DIV/0!</v>
      </c>
      <c r="M127" s="490"/>
      <c r="N127" s="927"/>
    </row>
    <row r="128" spans="1:26" s="879" customFormat="1" ht="15.5" x14ac:dyDescent="0.35">
      <c r="A128" s="880"/>
      <c r="B128" s="844"/>
      <c r="C128" s="994"/>
      <c r="D128" s="1353"/>
      <c r="E128" s="1377"/>
      <c r="F128" s="1377"/>
      <c r="G128" s="1377"/>
      <c r="H128" s="1377"/>
      <c r="I128" s="1284"/>
      <c r="J128" s="1377"/>
      <c r="K128" s="1375"/>
      <c r="L128" s="846"/>
      <c r="M128" s="490"/>
      <c r="N128" s="927"/>
    </row>
    <row r="129" spans="1:14" s="879" customFormat="1" ht="18" x14ac:dyDescent="0.45">
      <c r="A129" s="880"/>
      <c r="B129" s="844" t="s">
        <v>1937</v>
      </c>
      <c r="C129" s="57"/>
      <c r="D129" s="1282" t="e">
        <f t="shared" ref="D129:G129" si="2">SUM(D113:D127)</f>
        <v>#DIV/0!</v>
      </c>
      <c r="E129" s="1282" t="e">
        <f>SUM(E113:E127)</f>
        <v>#N/A</v>
      </c>
      <c r="F129" s="1282" t="e">
        <f t="shared" si="2"/>
        <v>#N/A</v>
      </c>
      <c r="G129" s="1282" t="e">
        <f t="shared" si="2"/>
        <v>#N/A</v>
      </c>
      <c r="H129" s="1282" t="e">
        <f>SUM(H113:H127)</f>
        <v>#N/A</v>
      </c>
      <c r="I129" s="1282" t="e">
        <f>SUM(I113:I127)</f>
        <v>#N/A</v>
      </c>
      <c r="J129" s="1282">
        <f>SUM(J113:J127)</f>
        <v>0</v>
      </c>
      <c r="K129" s="1376" t="e">
        <f>SUM(K113:K127)</f>
        <v>#DIV/0!</v>
      </c>
      <c r="L129" s="847" t="s">
        <v>1225</v>
      </c>
      <c r="M129" s="490"/>
      <c r="N129" s="927"/>
    </row>
    <row r="130" spans="1:14" s="879" customFormat="1" ht="15.5" x14ac:dyDescent="0.35">
      <c r="A130" s="880"/>
      <c r="B130" s="844" t="s">
        <v>1948</v>
      </c>
      <c r="C130" s="57"/>
      <c r="D130" s="1284" t="e">
        <f t="shared" ref="D130:J130" si="3">D129/SUM($K$113:$K$127)</f>
        <v>#DIV/0!</v>
      </c>
      <c r="E130" s="1284" t="e">
        <f t="shared" si="3"/>
        <v>#N/A</v>
      </c>
      <c r="F130" s="1284" t="e">
        <f t="shared" si="3"/>
        <v>#N/A</v>
      </c>
      <c r="G130" s="1284" t="e">
        <f t="shared" si="3"/>
        <v>#N/A</v>
      </c>
      <c r="H130" s="1284" t="e">
        <f t="shared" si="3"/>
        <v>#N/A</v>
      </c>
      <c r="I130" s="1284" t="e">
        <f t="shared" si="3"/>
        <v>#N/A</v>
      </c>
      <c r="J130" s="1284" t="e">
        <f t="shared" si="3"/>
        <v>#DIV/0!</v>
      </c>
      <c r="K130" s="1520"/>
      <c r="L130" s="848"/>
      <c r="M130" s="490"/>
      <c r="N130" s="927"/>
    </row>
    <row r="131" spans="1:14" s="879" customFormat="1" ht="15.5" x14ac:dyDescent="0.35">
      <c r="A131" s="880"/>
      <c r="B131" s="844"/>
      <c r="C131" s="994"/>
      <c r="D131" s="1284"/>
      <c r="E131" s="1284"/>
      <c r="F131" s="1284"/>
      <c r="G131" s="1284"/>
      <c r="H131" s="1284"/>
      <c r="I131" s="1284"/>
      <c r="J131" s="1284"/>
      <c r="K131" s="1520"/>
      <c r="L131" s="848"/>
      <c r="M131" s="927"/>
      <c r="N131" s="927"/>
    </row>
    <row r="132" spans="1:14" ht="18" x14ac:dyDescent="0.45">
      <c r="B132" s="844" t="s">
        <v>1936</v>
      </c>
      <c r="C132" s="994" t="s">
        <v>1027</v>
      </c>
      <c r="D132" s="1353"/>
      <c r="E132" s="1352"/>
      <c r="F132" s="1352"/>
      <c r="G132" s="1352"/>
      <c r="H132" s="1377"/>
      <c r="I132" s="1352"/>
      <c r="J132" s="1352"/>
      <c r="K132" s="1375">
        <f>IF(C73="",0,IF(V212=1,0,IF(V212=3,H73*G79*-1,F591*-1)))</f>
        <v>0</v>
      </c>
      <c r="L132" s="847" t="s">
        <v>1225</v>
      </c>
      <c r="N132" s="927"/>
    </row>
    <row r="133" spans="1:14" s="879" customFormat="1" ht="15.5" x14ac:dyDescent="0.35">
      <c r="A133" s="880"/>
      <c r="B133" s="844"/>
      <c r="C133" s="994"/>
      <c r="D133" s="1284"/>
      <c r="E133" s="1284"/>
      <c r="F133" s="1284"/>
      <c r="G133" s="1284"/>
      <c r="H133" s="1284"/>
      <c r="I133" s="1284"/>
      <c r="J133" s="1284"/>
      <c r="K133" s="1212"/>
      <c r="L133" s="848"/>
      <c r="M133" s="927"/>
      <c r="N133" s="927"/>
    </row>
    <row r="134" spans="1:14" ht="18" x14ac:dyDescent="0.45">
      <c r="B134" s="844" t="s">
        <v>1940</v>
      </c>
      <c r="C134" s="994"/>
      <c r="D134" s="1284"/>
      <c r="E134" s="1284"/>
      <c r="F134" s="1284"/>
      <c r="G134" s="1284"/>
      <c r="H134" s="1284"/>
      <c r="I134" s="1284"/>
      <c r="J134" s="1284"/>
      <c r="K134" s="1487" t="e">
        <f>K129+K132</f>
        <v>#DIV/0!</v>
      </c>
      <c r="L134" s="847" t="s">
        <v>1225</v>
      </c>
      <c r="M134" s="1699"/>
    </row>
    <row r="135" spans="1:14" s="879" customFormat="1" ht="15.5" x14ac:dyDescent="0.35">
      <c r="B135" s="844"/>
      <c r="C135" s="994"/>
      <c r="D135" s="1284"/>
      <c r="E135" s="1284"/>
      <c r="F135" s="1284"/>
      <c r="G135" s="1284"/>
      <c r="H135" s="1284"/>
      <c r="I135" s="1284"/>
      <c r="J135" s="1284"/>
      <c r="K135" s="1212"/>
      <c r="L135" s="848"/>
    </row>
    <row r="136" spans="1:14" s="879" customFormat="1" ht="18" x14ac:dyDescent="0.45">
      <c r="B136" s="1540" t="e">
        <f>_xlfn.CONCAT("GHG emissions intensity after ",ROUND($Q$269*100,0),"% of net emissions are allocated to milk production based on energy allocation")</f>
        <v>#DIV/0!</v>
      </c>
      <c r="C136" s="1236"/>
      <c r="D136" s="1236"/>
      <c r="E136" s="1236"/>
      <c r="F136" s="1236"/>
      <c r="G136" s="1236"/>
      <c r="H136" s="1236"/>
      <c r="I136" s="1236"/>
      <c r="J136" s="1370"/>
      <c r="K136" s="1090" t="e">
        <f>S266</f>
        <v>#DIV/0!</v>
      </c>
      <c r="L136" s="847" t="s">
        <v>1226</v>
      </c>
    </row>
    <row r="137" spans="1:14" s="879" customFormat="1" ht="18" x14ac:dyDescent="0.45">
      <c r="B137" s="1540" t="e">
        <f>_xlfn.CONCAT("GHG emissions intensity after ",ROUND($Q$269*100,0),"% of net emissions are allocated to milk production based on energy allocation")</f>
        <v>#DIV/0!</v>
      </c>
      <c r="C137" s="1544"/>
      <c r="D137" s="1544"/>
      <c r="E137" s="1544"/>
      <c r="F137" s="1544"/>
      <c r="G137" s="1544"/>
      <c r="H137" s="1544"/>
      <c r="I137" s="1544"/>
      <c r="J137" s="1370"/>
      <c r="K137" s="1089" t="e">
        <f>S267</f>
        <v>#DIV/0!</v>
      </c>
      <c r="L137" s="847" t="s">
        <v>1227</v>
      </c>
    </row>
    <row r="138" spans="1:14" s="879" customFormat="1" ht="18" x14ac:dyDescent="0.45">
      <c r="B138" s="1540" t="e">
        <f>_xlfn.CONCAT("GHG emissions intensity after ",ROUND($Q$270*100,0),"% of net emissions are allocated to meat production based on energy allocation")</f>
        <v>#N/A</v>
      </c>
      <c r="C138" s="1544"/>
      <c r="D138" s="1544"/>
      <c r="E138" s="1544"/>
      <c r="F138" s="1544"/>
      <c r="G138" s="1544"/>
      <c r="H138" s="1544"/>
      <c r="I138" s="1544"/>
      <c r="J138" s="1370"/>
      <c r="K138" s="1090" t="e">
        <f>S268</f>
        <v>#N/A</v>
      </c>
      <c r="L138" s="847" t="s">
        <v>1995</v>
      </c>
    </row>
    <row r="139" spans="1:14" s="879" customFormat="1" ht="15.5" x14ac:dyDescent="0.35">
      <c r="B139" s="1534"/>
      <c r="C139" s="1541"/>
      <c r="D139" s="1541"/>
      <c r="E139" s="1541"/>
      <c r="F139" s="1541"/>
      <c r="G139" s="1541"/>
      <c r="H139" s="1541"/>
      <c r="I139" s="1541"/>
      <c r="J139" s="1538"/>
      <c r="K139" s="1701"/>
      <c r="L139" s="1536"/>
    </row>
    <row r="140" spans="1:14" s="432" customFormat="1" x14ac:dyDescent="0.35">
      <c r="B140" s="879"/>
      <c r="C140" s="879"/>
      <c r="D140" s="879"/>
      <c r="E140" s="879"/>
      <c r="F140" s="879"/>
      <c r="G140" s="879"/>
      <c r="H140" s="879"/>
      <c r="I140" s="879"/>
      <c r="J140" s="879"/>
      <c r="K140" s="879"/>
    </row>
    <row r="142" spans="1:14" x14ac:dyDescent="0.35">
      <c r="B142" s="432"/>
      <c r="C142" s="432"/>
      <c r="D142" s="432"/>
      <c r="E142" s="432"/>
      <c r="F142" s="432"/>
      <c r="G142" s="432"/>
      <c r="H142" s="432"/>
    </row>
    <row r="143" spans="1:14" ht="18" x14ac:dyDescent="0.4">
      <c r="B143" s="1607" t="s">
        <v>2122</v>
      </c>
      <c r="C143" s="318"/>
      <c r="D143" s="319"/>
      <c r="E143" s="319"/>
      <c r="F143" s="319"/>
      <c r="G143" s="319"/>
      <c r="H143" s="319"/>
      <c r="I143" s="432"/>
      <c r="J143" s="432"/>
      <c r="K143" s="432"/>
    </row>
    <row r="144" spans="1:14" ht="18" x14ac:dyDescent="0.4">
      <c r="B144" s="1608"/>
      <c r="C144" s="318"/>
      <c r="D144" s="319"/>
      <c r="E144" s="319"/>
      <c r="F144" s="319"/>
      <c r="G144" s="319"/>
      <c r="H144" s="319"/>
      <c r="I144" s="319"/>
      <c r="J144" s="934"/>
    </row>
    <row r="145" spans="2:10" ht="21" x14ac:dyDescent="0.55000000000000004">
      <c r="B145" s="1608" t="s">
        <v>2121</v>
      </c>
      <c r="C145" s="318"/>
      <c r="D145" s="319"/>
      <c r="E145" s="319"/>
      <c r="F145" s="319"/>
      <c r="G145" s="319"/>
      <c r="H145" s="319"/>
      <c r="I145" s="319"/>
      <c r="J145" s="936"/>
    </row>
    <row r="146" spans="2:10" ht="15.5" x14ac:dyDescent="0.35">
      <c r="B146" s="318"/>
      <c r="C146" s="318"/>
      <c r="D146" s="319"/>
      <c r="E146" s="319"/>
      <c r="F146" s="319"/>
      <c r="G146" s="319"/>
      <c r="H146" s="319"/>
      <c r="I146" s="319"/>
      <c r="J146" s="935"/>
    </row>
    <row r="147" spans="2:10" ht="15.5" x14ac:dyDescent="0.35">
      <c r="B147" s="318"/>
      <c r="C147" s="318"/>
      <c r="D147" s="319"/>
      <c r="E147" s="319"/>
      <c r="F147" s="319"/>
      <c r="G147" s="319"/>
      <c r="H147" s="319"/>
      <c r="I147" s="319"/>
    </row>
    <row r="148" spans="2:10" ht="15.5" x14ac:dyDescent="0.35">
      <c r="B148" s="318"/>
      <c r="C148" s="318"/>
      <c r="D148" s="319"/>
      <c r="E148" s="319"/>
      <c r="F148" s="319"/>
      <c r="G148" s="319"/>
      <c r="H148" s="319"/>
      <c r="I148" s="319"/>
    </row>
    <row r="149" spans="2:10" ht="15.5" x14ac:dyDescent="0.35">
      <c r="B149" s="318"/>
      <c r="C149" s="318"/>
      <c r="D149" s="319"/>
      <c r="E149" s="319"/>
      <c r="F149" s="319"/>
      <c r="G149" s="319"/>
      <c r="H149" s="319"/>
      <c r="I149" s="319"/>
    </row>
    <row r="150" spans="2:10" ht="15.5" x14ac:dyDescent="0.35">
      <c r="B150" s="318"/>
      <c r="C150" s="318"/>
      <c r="D150" s="319"/>
      <c r="E150" s="319"/>
      <c r="F150" s="319"/>
      <c r="G150" s="319"/>
      <c r="H150" s="319"/>
      <c r="I150" s="319"/>
    </row>
    <row r="151" spans="2:10" ht="15.5" x14ac:dyDescent="0.35">
      <c r="B151" s="318"/>
      <c r="C151" s="318"/>
      <c r="D151" s="319"/>
      <c r="E151" s="319"/>
      <c r="F151" s="319"/>
      <c r="G151" s="319"/>
      <c r="H151" s="319"/>
      <c r="I151" s="319"/>
    </row>
    <row r="152" spans="2:10" ht="15.5" x14ac:dyDescent="0.35">
      <c r="B152" s="318"/>
      <c r="C152" s="318"/>
      <c r="D152" s="319"/>
      <c r="E152" s="319"/>
      <c r="F152" s="319"/>
      <c r="G152" s="319"/>
      <c r="H152" s="319"/>
      <c r="I152" s="319"/>
    </row>
    <row r="153" spans="2:10" ht="15.5" x14ac:dyDescent="0.35">
      <c r="B153" s="318"/>
      <c r="C153" s="318"/>
      <c r="D153" s="319"/>
      <c r="E153" s="319"/>
      <c r="F153" s="319"/>
      <c r="G153" s="319"/>
      <c r="H153" s="319"/>
      <c r="I153" s="319"/>
    </row>
    <row r="154" spans="2:10" ht="15.5" x14ac:dyDescent="0.35">
      <c r="B154" s="318"/>
      <c r="C154" s="318"/>
      <c r="D154" s="319"/>
      <c r="E154" s="319"/>
      <c r="F154" s="319"/>
      <c r="G154" s="319"/>
      <c r="H154" s="319"/>
      <c r="I154" s="319"/>
    </row>
    <row r="155" spans="2:10" ht="15.5" x14ac:dyDescent="0.35">
      <c r="B155" s="318"/>
      <c r="C155" s="318"/>
      <c r="D155" s="319"/>
      <c r="E155" s="319"/>
      <c r="F155" s="319"/>
      <c r="G155" s="319"/>
      <c r="H155" s="319"/>
      <c r="I155" s="319"/>
    </row>
    <row r="156" spans="2:10" ht="15.5" x14ac:dyDescent="0.35">
      <c r="B156" s="318"/>
      <c r="C156" s="318"/>
      <c r="D156" s="319"/>
      <c r="E156" s="319"/>
      <c r="F156" s="319"/>
      <c r="G156" s="319"/>
      <c r="H156" s="319"/>
      <c r="I156" s="319"/>
    </row>
    <row r="157" spans="2:10" ht="15.5" x14ac:dyDescent="0.35">
      <c r="B157" s="318"/>
      <c r="C157" s="318"/>
      <c r="D157" s="319"/>
      <c r="E157" s="319"/>
      <c r="F157" s="319"/>
      <c r="G157" s="319"/>
      <c r="H157" s="319"/>
      <c r="I157" s="319"/>
    </row>
    <row r="158" spans="2:10" ht="15.5" x14ac:dyDescent="0.35">
      <c r="B158" s="318"/>
      <c r="C158" s="318"/>
      <c r="D158" s="319"/>
      <c r="E158" s="319"/>
      <c r="F158" s="319"/>
      <c r="G158" s="319"/>
      <c r="H158" s="319"/>
      <c r="I158" s="319"/>
    </row>
    <row r="159" spans="2:10" ht="15.5" x14ac:dyDescent="0.35">
      <c r="B159" s="318"/>
      <c r="C159" s="318"/>
      <c r="D159" s="319"/>
      <c r="E159" s="319"/>
      <c r="F159" s="319"/>
      <c r="G159" s="319"/>
      <c r="H159" s="319"/>
      <c r="I159" s="319"/>
    </row>
    <row r="160" spans="2:10" ht="15.5" x14ac:dyDescent="0.35">
      <c r="B160" s="318"/>
      <c r="C160" s="318"/>
      <c r="D160" s="319"/>
      <c r="E160" s="319"/>
      <c r="F160" s="319"/>
      <c r="G160" s="319"/>
      <c r="H160" s="319"/>
      <c r="I160" s="319"/>
    </row>
    <row r="161" spans="2:9" ht="15.5" x14ac:dyDescent="0.35">
      <c r="B161" s="318"/>
      <c r="C161" s="318"/>
      <c r="D161" s="319"/>
      <c r="E161" s="319"/>
      <c r="F161" s="319"/>
      <c r="G161" s="319"/>
      <c r="H161" s="319"/>
      <c r="I161" s="319"/>
    </row>
    <row r="162" spans="2:9" ht="15.5" x14ac:dyDescent="0.35">
      <c r="B162" s="318"/>
      <c r="C162" s="318"/>
      <c r="D162" s="319"/>
      <c r="E162" s="319"/>
      <c r="F162" s="319"/>
      <c r="G162" s="319"/>
      <c r="H162" s="319"/>
      <c r="I162" s="319"/>
    </row>
    <row r="163" spans="2:9" ht="15.5" x14ac:dyDescent="0.35">
      <c r="B163" s="318"/>
      <c r="C163" s="318"/>
      <c r="D163" s="319"/>
      <c r="E163" s="319"/>
      <c r="F163" s="319"/>
      <c r="G163" s="319"/>
      <c r="H163" s="319"/>
      <c r="I163" s="319"/>
    </row>
    <row r="164" spans="2:9" ht="15.5" x14ac:dyDescent="0.35">
      <c r="B164" s="318"/>
      <c r="C164" s="318"/>
      <c r="D164" s="319"/>
      <c r="E164" s="319"/>
      <c r="F164" s="319"/>
      <c r="G164" s="319"/>
      <c r="H164" s="319"/>
      <c r="I164" s="319"/>
    </row>
    <row r="165" spans="2:9" ht="15.5" x14ac:dyDescent="0.35">
      <c r="B165" s="318"/>
      <c r="C165" s="318"/>
      <c r="D165" s="320"/>
      <c r="E165" s="320"/>
      <c r="F165" s="320"/>
      <c r="G165" s="320"/>
      <c r="H165" s="320"/>
      <c r="I165" s="319"/>
    </row>
    <row r="166" spans="2:9" ht="15.5" x14ac:dyDescent="0.35">
      <c r="I166" s="320"/>
    </row>
    <row r="182" spans="2:10" s="879" customFormat="1" x14ac:dyDescent="0.35"/>
    <row r="183" spans="2:10" s="879" customFormat="1" x14ac:dyDescent="0.35"/>
    <row r="184" spans="2:10" s="879" customFormat="1" x14ac:dyDescent="0.35"/>
    <row r="185" spans="2:10" s="879" customFormat="1" x14ac:dyDescent="0.35"/>
    <row r="186" spans="2:10" s="879" customFormat="1" x14ac:dyDescent="0.35"/>
    <row r="187" spans="2:10" s="879" customFormat="1" x14ac:dyDescent="0.35"/>
    <row r="188" spans="2:10" s="892" customFormat="1" ht="14" x14ac:dyDescent="0.3"/>
    <row r="189" spans="2:10" s="892" customFormat="1" ht="14" x14ac:dyDescent="0.3"/>
    <row r="190" spans="2:10" s="892" customFormat="1" ht="14" x14ac:dyDescent="0.3">
      <c r="B190" s="1755" t="s">
        <v>1969</v>
      </c>
    </row>
    <row r="191" spans="2:10" s="892" customFormat="1" ht="14" x14ac:dyDescent="0.3"/>
    <row r="192" spans="2:10" s="892" customFormat="1" ht="14" x14ac:dyDescent="0.3">
      <c r="B192" s="1201"/>
      <c r="C192" s="1201" t="s">
        <v>260</v>
      </c>
      <c r="D192" s="1201" t="s">
        <v>912</v>
      </c>
      <c r="E192" s="1201" t="s">
        <v>913</v>
      </c>
      <c r="F192" s="1201" t="s">
        <v>866</v>
      </c>
      <c r="G192" s="1201" t="s">
        <v>914</v>
      </c>
      <c r="H192" s="1201" t="s">
        <v>867</v>
      </c>
      <c r="I192" s="1201" t="s">
        <v>868</v>
      </c>
      <c r="J192" s="1201" t="s">
        <v>915</v>
      </c>
    </row>
    <row r="193" spans="2:58" s="892" customFormat="1" ht="14" x14ac:dyDescent="0.3">
      <c r="B193" s="2209">
        <v>1</v>
      </c>
      <c r="C193" s="2210" t="s">
        <v>912</v>
      </c>
      <c r="D193" s="892" t="s">
        <v>1908</v>
      </c>
      <c r="E193" s="892" t="s">
        <v>1904</v>
      </c>
      <c r="F193" s="892" t="s">
        <v>1548</v>
      </c>
      <c r="G193" s="892" t="s">
        <v>1550</v>
      </c>
      <c r="H193" s="892" t="s">
        <v>1552</v>
      </c>
      <c r="I193" s="892" t="s">
        <v>1551</v>
      </c>
    </row>
    <row r="194" spans="2:58" s="892" customFormat="1" ht="15" customHeight="1" x14ac:dyDescent="0.3">
      <c r="B194" s="2209">
        <v>2</v>
      </c>
      <c r="C194" s="2210" t="s">
        <v>917</v>
      </c>
      <c r="D194" s="892" t="s">
        <v>1909</v>
      </c>
      <c r="E194" s="892" t="s">
        <v>1905</v>
      </c>
      <c r="F194" s="892" t="s">
        <v>1906</v>
      </c>
      <c r="G194" s="892" t="s">
        <v>1543</v>
      </c>
      <c r="H194" s="892" t="s">
        <v>1907</v>
      </c>
    </row>
    <row r="195" spans="2:58" s="892" customFormat="1" ht="14" x14ac:dyDescent="0.3">
      <c r="B195" s="2209">
        <v>3</v>
      </c>
      <c r="C195" s="2210" t="s">
        <v>866</v>
      </c>
      <c r="D195" s="892" t="s">
        <v>1910</v>
      </c>
      <c r="E195" s="892" t="s">
        <v>1911</v>
      </c>
      <c r="F195" s="892" t="s">
        <v>1544</v>
      </c>
    </row>
    <row r="196" spans="2:58" s="892" customFormat="1" ht="14" x14ac:dyDescent="0.3">
      <c r="B196" s="2209">
        <v>4</v>
      </c>
      <c r="C196" s="2210" t="s">
        <v>914</v>
      </c>
      <c r="D196" s="892" t="s">
        <v>1555</v>
      </c>
      <c r="F196" s="892" t="s">
        <v>1549</v>
      </c>
    </row>
    <row r="197" spans="2:58" s="892" customFormat="1" ht="14" x14ac:dyDescent="0.3">
      <c r="B197" s="2209">
        <v>5</v>
      </c>
      <c r="C197" s="2210" t="s">
        <v>918</v>
      </c>
      <c r="D197" s="892" t="s">
        <v>1557</v>
      </c>
    </row>
    <row r="198" spans="2:58" s="892" customFormat="1" ht="14" x14ac:dyDescent="0.3">
      <c r="B198" s="1201">
        <v>6</v>
      </c>
      <c r="C198" s="2211" t="s">
        <v>919</v>
      </c>
      <c r="D198" s="892" t="s">
        <v>1556</v>
      </c>
    </row>
    <row r="199" spans="2:58" s="892" customFormat="1" ht="14" x14ac:dyDescent="0.3">
      <c r="B199" s="2209">
        <v>7</v>
      </c>
      <c r="C199" s="2210" t="s">
        <v>920</v>
      </c>
      <c r="D199" s="1201"/>
      <c r="E199" s="1201"/>
      <c r="F199" s="1201"/>
      <c r="G199" s="1201"/>
      <c r="H199" s="1201"/>
      <c r="I199" s="1201"/>
      <c r="J199" s="1201"/>
    </row>
    <row r="200" spans="2:58" s="892" customFormat="1" ht="14" x14ac:dyDescent="0.3">
      <c r="B200" s="2212"/>
      <c r="C200" s="1201"/>
      <c r="D200" s="1201"/>
      <c r="E200" s="1201"/>
      <c r="F200" s="1201"/>
      <c r="G200" s="1201"/>
      <c r="H200" s="1201"/>
      <c r="I200" s="1201"/>
      <c r="K200" s="1750" t="s">
        <v>1970</v>
      </c>
    </row>
    <row r="201" spans="2:58" s="892" customFormat="1" ht="14" x14ac:dyDescent="0.3">
      <c r="B201" s="1201"/>
      <c r="C201" s="1201"/>
      <c r="D201" s="1201"/>
      <c r="E201" s="1201"/>
      <c r="F201" s="1201"/>
      <c r="G201" s="1201"/>
      <c r="H201" s="1201"/>
      <c r="I201" s="1201"/>
      <c r="J201" s="2032">
        <v>1</v>
      </c>
      <c r="K201" s="2213" t="s">
        <v>1972</v>
      </c>
      <c r="AI201" s="892" t="s">
        <v>890</v>
      </c>
      <c r="AR201" s="894" t="s">
        <v>451</v>
      </c>
      <c r="AV201" s="892" t="s">
        <v>876</v>
      </c>
    </row>
    <row r="202" spans="2:58" s="892" customFormat="1" ht="14" x14ac:dyDescent="0.3">
      <c r="B202" s="1201" t="s">
        <v>921</v>
      </c>
      <c r="C202" s="2209">
        <f>D15</f>
        <v>0</v>
      </c>
      <c r="D202" s="1201" t="s">
        <v>922</v>
      </c>
      <c r="E202" s="1201">
        <f>C75</f>
        <v>0</v>
      </c>
      <c r="F202" s="1201"/>
      <c r="G202" s="1201" t="s">
        <v>2049</v>
      </c>
      <c r="H202" s="1201" t="s">
        <v>2068</v>
      </c>
      <c r="I202" s="1201"/>
      <c r="J202" s="1750">
        <v>2</v>
      </c>
      <c r="K202" s="2213" t="s">
        <v>912</v>
      </c>
      <c r="P202" s="892" t="s">
        <v>738</v>
      </c>
      <c r="T202" s="892" t="s">
        <v>818</v>
      </c>
      <c r="U202" s="892" t="s">
        <v>936</v>
      </c>
      <c r="W202" s="892" t="s">
        <v>848</v>
      </c>
      <c r="AC202" s="892" t="s">
        <v>861</v>
      </c>
      <c r="AD202" s="892">
        <v>1</v>
      </c>
      <c r="AE202" s="892" t="s">
        <v>865</v>
      </c>
      <c r="AI202" s="892" t="s">
        <v>878</v>
      </c>
      <c r="AJ202" s="892">
        <f>G92</f>
        <v>0</v>
      </c>
      <c r="AM202" s="892" t="s">
        <v>876</v>
      </c>
      <c r="AR202" s="894" t="s">
        <v>885</v>
      </c>
      <c r="AT202" s="893">
        <f>1-((AJ202/24*AJ203/365)+(AJ207/24*AJ208/365))</f>
        <v>1</v>
      </c>
      <c r="AV202" s="892" t="s">
        <v>885</v>
      </c>
      <c r="AW202" s="893">
        <f>1-(AO203/24*AO204/365)</f>
        <v>1</v>
      </c>
      <c r="AZ202" s="892" t="s">
        <v>898</v>
      </c>
    </row>
    <row r="203" spans="2:58" s="892" customFormat="1" ht="14" x14ac:dyDescent="0.3">
      <c r="H203" s="892" t="s">
        <v>2069</v>
      </c>
      <c r="J203" s="1750">
        <v>3</v>
      </c>
      <c r="K203" s="892" t="s">
        <v>2080</v>
      </c>
      <c r="U203" s="892" t="s">
        <v>935</v>
      </c>
      <c r="W203" s="892" t="s">
        <v>849</v>
      </c>
      <c r="X203" s="1751" t="e">
        <f>L113</f>
        <v>#DIV/0!</v>
      </c>
      <c r="AD203" s="892">
        <v>2</v>
      </c>
      <c r="AE203" s="892" t="s">
        <v>864</v>
      </c>
      <c r="AI203" s="892" t="s">
        <v>879</v>
      </c>
      <c r="AJ203" s="467">
        <f>H92</f>
        <v>0</v>
      </c>
      <c r="AM203" s="892" t="s">
        <v>884</v>
      </c>
      <c r="AO203" s="892">
        <f>G105</f>
        <v>0</v>
      </c>
      <c r="AR203" s="892" t="s">
        <v>1246</v>
      </c>
      <c r="AT203" s="891">
        <f>(AJ202/24)*(AJ203/365)*(AJ204/100)</f>
        <v>0</v>
      </c>
      <c r="AV203" s="892" t="s">
        <v>1248</v>
      </c>
      <c r="AW203" s="891">
        <f>IF(AN216=1,((AO203/24)*(AO204/365)),0)</f>
        <v>0</v>
      </c>
      <c r="AZ203" s="894"/>
      <c r="BA203" s="894" t="s">
        <v>225</v>
      </c>
      <c r="BB203" s="894" t="s">
        <v>1249</v>
      </c>
      <c r="BC203" s="894" t="s">
        <v>1250</v>
      </c>
      <c r="BD203" s="894" t="s">
        <v>229</v>
      </c>
      <c r="BE203" s="894" t="s">
        <v>897</v>
      </c>
    </row>
    <row r="204" spans="2:58" s="892" customFormat="1" ht="14" x14ac:dyDescent="0.3">
      <c r="B204" s="1755"/>
      <c r="G204" s="892" t="s">
        <v>228</v>
      </c>
      <c r="H204" s="892">
        <f>IF(K17=H202,1,2)</f>
        <v>2</v>
      </c>
      <c r="J204" s="1750">
        <v>4</v>
      </c>
      <c r="K204" s="2213" t="s">
        <v>2081</v>
      </c>
      <c r="P204" s="892" t="s">
        <v>739</v>
      </c>
      <c r="R204" s="1752">
        <f>IF(V217="1",H31,0)</f>
        <v>0</v>
      </c>
      <c r="W204" s="892" t="s">
        <v>850</v>
      </c>
      <c r="X204" s="1751" t="e">
        <f>L114</f>
        <v>#DIV/0!</v>
      </c>
      <c r="AD204" s="892" t="s">
        <v>228</v>
      </c>
      <c r="AE204" s="1753">
        <f>IF(F82="",1,IF(F82=AE202,1,2))</f>
        <v>1</v>
      </c>
      <c r="AI204" s="892" t="s">
        <v>1245</v>
      </c>
      <c r="AJ204" s="892">
        <f>G94</f>
        <v>0</v>
      </c>
      <c r="AM204" s="892" t="s">
        <v>871</v>
      </c>
      <c r="AO204" s="892">
        <f>H105</f>
        <v>0</v>
      </c>
      <c r="AR204" s="894" t="s">
        <v>886</v>
      </c>
      <c r="AT204" s="893">
        <f>(AJ202/24*AJ203/365*AJ205/100)*IF(AB209=2,0.8,1)</f>
        <v>0</v>
      </c>
      <c r="AV204" s="892" t="s">
        <v>1252</v>
      </c>
      <c r="AW204" s="893">
        <f>IF(AN216=2,AO203/24*AO204/365*IF(AE204=2,0.8,1),0)</f>
        <v>0</v>
      </c>
      <c r="AY204" s="892">
        <v>1</v>
      </c>
      <c r="AZ204" s="2213" t="s">
        <v>912</v>
      </c>
      <c r="BA204" s="894">
        <v>74</v>
      </c>
      <c r="BB204" s="894">
        <v>0.5</v>
      </c>
      <c r="BC204" s="894">
        <v>17</v>
      </c>
      <c r="BD204" s="894">
        <v>2</v>
      </c>
      <c r="BE204" s="894">
        <v>1</v>
      </c>
    </row>
    <row r="205" spans="2:58" s="892" customFormat="1" ht="14" x14ac:dyDescent="0.3">
      <c r="H205" s="892" t="str">
        <f>IF(H204=1,H202,H203)</f>
        <v xml:space="preserve">Calves sold post-weaning </v>
      </c>
      <c r="J205" s="892">
        <v>5</v>
      </c>
      <c r="K205" s="2214" t="s">
        <v>2082</v>
      </c>
      <c r="P205" s="892" t="s">
        <v>740</v>
      </c>
      <c r="R205" s="1752">
        <f>IF(V217="2",H31,0)</f>
        <v>0</v>
      </c>
      <c r="T205" s="892" t="s">
        <v>228</v>
      </c>
      <c r="U205" s="892">
        <f>E50</f>
        <v>0</v>
      </c>
      <c r="V205" s="1753" t="str">
        <f>IF(U205="kg of element per ha per annum","1","2")</f>
        <v>2</v>
      </c>
      <c r="W205" s="892" t="s">
        <v>851</v>
      </c>
      <c r="X205" s="1751" t="e">
        <f>L115+L116</f>
        <v>#DIV/0!</v>
      </c>
      <c r="AI205" s="892" t="s">
        <v>1244</v>
      </c>
      <c r="AJ205" s="892">
        <f>G95</f>
        <v>0</v>
      </c>
      <c r="AR205" s="1201" t="s">
        <v>1214</v>
      </c>
      <c r="AT205" s="893">
        <f>(AJ202/24*AJ203/365*AJ205/100)*IF(AB209=1,0,0.2)</f>
        <v>0</v>
      </c>
      <c r="AV205" s="1201" t="s">
        <v>1213</v>
      </c>
      <c r="AW205" s="893">
        <f>IF(AN216=2,AO203/24*AO204/365)*IF(AB209=2,0.2,0)</f>
        <v>0</v>
      </c>
      <c r="AY205" s="892">
        <v>2</v>
      </c>
      <c r="AZ205" s="2213" t="s">
        <v>917</v>
      </c>
      <c r="BA205" s="894">
        <v>75</v>
      </c>
      <c r="BB205" s="894">
        <v>0.5</v>
      </c>
      <c r="BC205" s="894">
        <v>18</v>
      </c>
      <c r="BD205" s="894">
        <v>2</v>
      </c>
      <c r="BE205" s="894">
        <v>1</v>
      </c>
    </row>
    <row r="206" spans="2:58" s="892" customFormat="1" ht="14" x14ac:dyDescent="0.3">
      <c r="J206" s="1750">
        <v>6</v>
      </c>
      <c r="K206" s="2213" t="s">
        <v>913</v>
      </c>
      <c r="P206" s="892" t="s">
        <v>741</v>
      </c>
      <c r="R206" s="1754">
        <f>(IF(D33="",4,D33))</f>
        <v>4</v>
      </c>
      <c r="W206" s="892" t="s">
        <v>852</v>
      </c>
      <c r="X206" s="1751" t="e">
        <f>L118</f>
        <v>#DIV/0!</v>
      </c>
      <c r="AI206" s="892" t="s">
        <v>881</v>
      </c>
      <c r="AJ206" s="892">
        <f>G96</f>
        <v>100</v>
      </c>
      <c r="AR206" s="894" t="s">
        <v>887</v>
      </c>
      <c r="AT206" s="893">
        <f>IF(AB209=1,(AJ202/24*AJ203/365*AJ206/100),(AJ202/24*AJ203/365*AJ206/100)*0.8)</f>
        <v>0</v>
      </c>
      <c r="AV206" s="892" t="s">
        <v>895</v>
      </c>
      <c r="AW206" s="893">
        <f>IF(AN216=3,(AO203/24*AO204/365)*IF(AB209=2,0.8,1),0)</f>
        <v>0</v>
      </c>
      <c r="AY206" s="892">
        <v>3</v>
      </c>
      <c r="AZ206" s="2213" t="s">
        <v>866</v>
      </c>
      <c r="BA206" s="894">
        <v>70</v>
      </c>
      <c r="BB206" s="894">
        <v>0.1</v>
      </c>
      <c r="BC206" s="894">
        <v>15</v>
      </c>
      <c r="BD206" s="894">
        <v>2</v>
      </c>
      <c r="BE206" s="894">
        <v>1</v>
      </c>
    </row>
    <row r="207" spans="2:58" s="892" customFormat="1" ht="14" x14ac:dyDescent="0.3">
      <c r="J207" s="2032">
        <v>7</v>
      </c>
      <c r="K207" s="892" t="s">
        <v>2083</v>
      </c>
      <c r="P207" s="892" t="s">
        <v>742</v>
      </c>
      <c r="R207" s="892">
        <f>IF(H33="",3.3,H33)</f>
        <v>3.3</v>
      </c>
      <c r="W207" s="892" t="s">
        <v>853</v>
      </c>
      <c r="X207" s="1751" t="e">
        <f>L117</f>
        <v>#DIV/0!</v>
      </c>
      <c r="Z207" s="892" t="s">
        <v>873</v>
      </c>
      <c r="AA207" s="892">
        <v>1</v>
      </c>
      <c r="AB207" s="892" t="s">
        <v>874</v>
      </c>
      <c r="AI207" s="892" t="s">
        <v>882</v>
      </c>
      <c r="AJ207" s="892">
        <f>G100</f>
        <v>0</v>
      </c>
      <c r="AR207" s="894" t="s">
        <v>901</v>
      </c>
      <c r="AT207" s="893">
        <f>IF(AB209=1,0,(AJ202/24*AJ203/365*AJ206/100)*0.2)</f>
        <v>0</v>
      </c>
      <c r="AV207" s="892" t="s">
        <v>896</v>
      </c>
      <c r="AW207" s="893">
        <f>IF(AN216=3,(AO203/24*AO204/365*IF(AB209=2,0.2,0)),0)</f>
        <v>0</v>
      </c>
      <c r="AY207" s="1201">
        <v>4</v>
      </c>
      <c r="AZ207" s="2213" t="s">
        <v>914</v>
      </c>
      <c r="BA207" s="894">
        <v>77</v>
      </c>
      <c r="BB207" s="894">
        <v>0.5</v>
      </c>
      <c r="BC207" s="894">
        <v>24</v>
      </c>
      <c r="BD207" s="894">
        <v>2</v>
      </c>
      <c r="BE207" s="894">
        <v>1</v>
      </c>
      <c r="BF207" s="1201"/>
    </row>
    <row r="208" spans="2:58" s="892" customFormat="1" ht="14" x14ac:dyDescent="0.3">
      <c r="J208" s="892">
        <v>8</v>
      </c>
      <c r="K208" s="892" t="s">
        <v>2084</v>
      </c>
      <c r="P208" s="892" t="s">
        <v>926</v>
      </c>
      <c r="R208" s="1752">
        <f>IF(R204=0,R205,(R204*(R206+R207)/100))</f>
        <v>0</v>
      </c>
      <c r="T208" s="892" t="s">
        <v>932</v>
      </c>
      <c r="U208" s="892" t="s">
        <v>1032</v>
      </c>
      <c r="W208" s="892" t="s">
        <v>854</v>
      </c>
      <c r="X208" s="1751" t="e">
        <f>L119</f>
        <v>#DIV/0!</v>
      </c>
      <c r="AA208" s="892">
        <v>2</v>
      </c>
      <c r="AB208" s="892" t="s">
        <v>875</v>
      </c>
      <c r="AI208" s="892" t="s">
        <v>883</v>
      </c>
      <c r="AJ208" s="892">
        <f>H100</f>
        <v>0</v>
      </c>
      <c r="AR208" s="892" t="s">
        <v>1247</v>
      </c>
      <c r="AT208" s="893">
        <f>IF(AI216=1,(AJ207/24*AJ208/365),0)</f>
        <v>0</v>
      </c>
      <c r="AV208" s="892" t="s">
        <v>1253</v>
      </c>
      <c r="AW208" s="893">
        <f>IF(AN216=4,AO203/24*AO204/365,0)</f>
        <v>0</v>
      </c>
      <c r="AY208" s="1201">
        <v>5</v>
      </c>
      <c r="AZ208" s="2213" t="s">
        <v>918</v>
      </c>
      <c r="BA208" s="894">
        <v>74</v>
      </c>
      <c r="BB208" s="894">
        <v>0.5</v>
      </c>
      <c r="BC208" s="894">
        <v>17</v>
      </c>
      <c r="BD208" s="894">
        <v>2</v>
      </c>
      <c r="BE208" s="894">
        <v>1</v>
      </c>
      <c r="BF208" s="1201"/>
    </row>
    <row r="209" spans="2:16372" s="892" customFormat="1" ht="14" x14ac:dyDescent="0.3">
      <c r="J209" s="892">
        <v>9</v>
      </c>
      <c r="K209" s="1750" t="s">
        <v>914</v>
      </c>
      <c r="P209" s="892" t="s">
        <v>744</v>
      </c>
      <c r="R209" s="1752">
        <f>IF(R204=0,(R205/((R206+R207)/100)),R204)</f>
        <v>0</v>
      </c>
      <c r="U209" s="892" t="s">
        <v>933</v>
      </c>
      <c r="W209" s="892" t="s">
        <v>855</v>
      </c>
      <c r="X209" s="1751" t="e">
        <f>L120+L122</f>
        <v>#DIV/0!</v>
      </c>
      <c r="AA209" s="892" t="s">
        <v>228</v>
      </c>
      <c r="AB209" s="1753">
        <f>IF(G98="",1,IF(G98=AB207,1,2))</f>
        <v>1</v>
      </c>
      <c r="AR209" s="892" t="s">
        <v>893</v>
      </c>
      <c r="AT209" s="893">
        <f>IF(AI216=2,(AJ207/24*AJ208/365),0)*IF(AB209=2,0.8,1)</f>
        <v>0</v>
      </c>
      <c r="AV209" s="892" t="s">
        <v>889</v>
      </c>
      <c r="AW209" s="893">
        <f>AW205+AW207+AW208</f>
        <v>0</v>
      </c>
      <c r="AY209" s="1201">
        <v>6</v>
      </c>
      <c r="AZ209" s="2214" t="s">
        <v>919</v>
      </c>
      <c r="BA209" s="894">
        <v>75</v>
      </c>
      <c r="BB209" s="894">
        <v>0.5</v>
      </c>
      <c r="BC209" s="894">
        <v>18</v>
      </c>
      <c r="BD209" s="894">
        <v>2</v>
      </c>
      <c r="BE209" s="894">
        <v>1</v>
      </c>
      <c r="BF209" s="1201"/>
    </row>
    <row r="210" spans="2:16372" s="892" customFormat="1" ht="14" x14ac:dyDescent="0.3">
      <c r="J210" s="892">
        <v>10</v>
      </c>
      <c r="K210" s="892" t="s">
        <v>2085</v>
      </c>
      <c r="P210" s="892" t="s">
        <v>1464</v>
      </c>
      <c r="R210" s="1752">
        <f>(R209*1.03)*(0.2534+0.1226*R206+0.0776*R207)</f>
        <v>0</v>
      </c>
      <c r="U210" s="2531" t="s">
        <v>1950</v>
      </c>
      <c r="V210" s="2531"/>
      <c r="W210" s="892" t="s">
        <v>844</v>
      </c>
      <c r="X210" s="1751" t="e">
        <f>SUM(L125:L127)</f>
        <v>#DIV/0!</v>
      </c>
      <c r="AI210" s="892" t="s">
        <v>891</v>
      </c>
      <c r="AL210" s="892" t="s">
        <v>892</v>
      </c>
      <c r="AR210" s="1201" t="s">
        <v>1215</v>
      </c>
      <c r="AT210" s="893">
        <f>IF(AI216=2,(AJ207/24*AJ208/365)*IF(AB209=2,0.2,0),0)</f>
        <v>0</v>
      </c>
      <c r="AV210" s="892" t="s">
        <v>1248</v>
      </c>
      <c r="AW210" s="893">
        <f>AW203</f>
        <v>0</v>
      </c>
      <c r="AY210" s="1201">
        <v>7</v>
      </c>
      <c r="AZ210" s="2213" t="s">
        <v>920</v>
      </c>
      <c r="BA210" s="894">
        <v>80</v>
      </c>
      <c r="BB210" s="894">
        <v>0.5</v>
      </c>
      <c r="BC210" s="894">
        <v>50</v>
      </c>
      <c r="BD210" s="894">
        <v>2</v>
      </c>
      <c r="BE210" s="894">
        <v>2</v>
      </c>
      <c r="BF210" s="1201"/>
    </row>
    <row r="211" spans="2:16372" s="892" customFormat="1" ht="14" x14ac:dyDescent="0.3">
      <c r="J211" s="892">
        <v>11</v>
      </c>
      <c r="K211" s="892" t="s">
        <v>2086</v>
      </c>
      <c r="P211" s="892" t="s">
        <v>745</v>
      </c>
      <c r="R211" s="1754" t="e">
        <f>ROUND((R210/D19/D35),1)</f>
        <v>#DIV/0!</v>
      </c>
      <c r="AR211" s="1201" t="s">
        <v>1216</v>
      </c>
      <c r="AT211" s="893">
        <f>IF(AI216=3,(AJ207/24*AJ208/365*IF(AB209=2,0.8,1)),0)</f>
        <v>0</v>
      </c>
      <c r="AV211" s="1201" t="s">
        <v>900</v>
      </c>
      <c r="AW211" s="893">
        <f>AW206</f>
        <v>0</v>
      </c>
      <c r="AY211" s="1201" t="s">
        <v>228</v>
      </c>
      <c r="AZ211" s="1201" t="e">
        <f>VLOOKUP($D$15,$AZ$204:$BE$210,1,FALSE)</f>
        <v>#N/A</v>
      </c>
      <c r="BA211" s="1201" t="e">
        <f>VLOOKUP($D$15,$AZ$204:$BE$210,2,FALSE)</f>
        <v>#N/A</v>
      </c>
      <c r="BB211" s="1201" t="e">
        <f>VLOOKUP($D$15,$AZ$204:$BE$210,3,FALSE)</f>
        <v>#N/A</v>
      </c>
      <c r="BC211" s="1201" t="e">
        <f>VLOOKUP($D$15,$AZ$204:$BE$210,4,FALSE)</f>
        <v>#N/A</v>
      </c>
      <c r="BD211" s="1201" t="e">
        <f>VLOOKUP($D$15,$AZ$204:$BE$210,5,FALSE)</f>
        <v>#N/A</v>
      </c>
      <c r="BE211" s="1201" t="e">
        <f>VLOOKUP($D$15,$AZ$204:$BE$210,6,FALSE)</f>
        <v>#N/A</v>
      </c>
      <c r="BF211" s="1201"/>
    </row>
    <row r="212" spans="2:16372" s="892" customFormat="1" ht="14" x14ac:dyDescent="0.3">
      <c r="J212" s="892">
        <v>12</v>
      </c>
      <c r="K212" s="892" t="s">
        <v>867</v>
      </c>
      <c r="P212" s="892" t="s">
        <v>743</v>
      </c>
      <c r="R212" s="1754" t="e">
        <f>(R209/D19/D35)</f>
        <v>#DIV/0!</v>
      </c>
      <c r="S212" s="2215"/>
      <c r="T212" s="892" t="s">
        <v>228</v>
      </c>
      <c r="U212" s="892">
        <f>C73</f>
        <v>0</v>
      </c>
      <c r="V212" s="1753">
        <f>IF(C73="",0,IF(C73=U208,1,IF(C73=U209,2,3)))</f>
        <v>0</v>
      </c>
      <c r="AH212" s="892">
        <v>1</v>
      </c>
      <c r="AI212" s="892" t="s">
        <v>1242</v>
      </c>
      <c r="AL212" s="892" t="s">
        <v>877</v>
      </c>
      <c r="AM212" s="892">
        <v>1</v>
      </c>
      <c r="AN212" s="892" t="s">
        <v>1242</v>
      </c>
      <c r="AR212" s="1201" t="s">
        <v>894</v>
      </c>
      <c r="AT212" s="893">
        <f>(IF(AI216=3,(AJ207/24*AJ208/365*IF(AB209=2,0.2,0)),0))</f>
        <v>0</v>
      </c>
      <c r="AV212" s="1201" t="s">
        <v>1251</v>
      </c>
      <c r="AW212" s="893">
        <f>AW204</f>
        <v>0</v>
      </c>
    </row>
    <row r="213" spans="2:16372" s="892" customFormat="1" ht="14" x14ac:dyDescent="0.3">
      <c r="J213" s="892">
        <v>13</v>
      </c>
      <c r="K213" s="892" t="s">
        <v>2090</v>
      </c>
      <c r="P213" s="1201" t="s">
        <v>1979</v>
      </c>
      <c r="Q213" s="1201"/>
      <c r="R213" s="1271" t="e">
        <f>(R212*((R206+R207)/100))</f>
        <v>#DIV/0!</v>
      </c>
      <c r="AH213" s="892">
        <v>2</v>
      </c>
      <c r="AI213" s="892" t="s">
        <v>930</v>
      </c>
      <c r="AM213" s="892">
        <v>2</v>
      </c>
      <c r="AN213" s="892" t="s">
        <v>930</v>
      </c>
      <c r="AR213" s="1201" t="s">
        <v>888</v>
      </c>
      <c r="AT213" s="893">
        <f>(IF(AI216=4,(AJ207/24*AJ208/365),0))</f>
        <v>0</v>
      </c>
      <c r="AY213" s="892" t="s">
        <v>905</v>
      </c>
      <c r="BA213" s="469" t="e">
        <f>BA211*AT216</f>
        <v>#N/A</v>
      </c>
      <c r="BB213" s="469" t="e">
        <f>BB211*AT217</f>
        <v>#N/A</v>
      </c>
      <c r="BC213" s="469" t="e">
        <f>BC211*AT215</f>
        <v>#N/A</v>
      </c>
      <c r="BD213" s="469" t="e">
        <f>BD211*AT214</f>
        <v>#N/A</v>
      </c>
      <c r="BE213" s="469" t="e">
        <f>BE211*AT202</f>
        <v>#N/A</v>
      </c>
    </row>
    <row r="214" spans="2:16372" s="892" customFormat="1" ht="14" x14ac:dyDescent="0.3">
      <c r="J214" s="892">
        <v>14</v>
      </c>
      <c r="K214" s="894" t="s">
        <v>868</v>
      </c>
      <c r="P214" s="892" t="s">
        <v>813</v>
      </c>
      <c r="R214" s="1754" t="e">
        <f>((D38*F38)+(D39*F39)+(D40*F40)+(D41*F41)+(D42*F42)+(D43*F43))/D44</f>
        <v>#DIV/0!</v>
      </c>
      <c r="S214" s="1754"/>
      <c r="T214" s="892" t="s">
        <v>738</v>
      </c>
      <c r="U214" s="892" t="s">
        <v>992</v>
      </c>
      <c r="AH214" s="892">
        <v>3</v>
      </c>
      <c r="AI214" s="892" t="s">
        <v>1243</v>
      </c>
      <c r="AM214" s="892">
        <v>3</v>
      </c>
      <c r="AN214" s="892" t="s">
        <v>1243</v>
      </c>
      <c r="AR214" s="1201" t="s">
        <v>889</v>
      </c>
      <c r="AT214" s="893">
        <f>AT205+AT210+AT213+AT207+AT212</f>
        <v>0</v>
      </c>
      <c r="AY214" s="892" t="s">
        <v>899</v>
      </c>
      <c r="BA214" s="469"/>
      <c r="BB214" s="469"/>
      <c r="BC214" s="469"/>
      <c r="BD214" s="469"/>
      <c r="BE214" s="469" t="e">
        <f>SUM(BA213:BE213)</f>
        <v>#N/A</v>
      </c>
    </row>
    <row r="215" spans="2:16372" s="892" customFormat="1" ht="14" x14ac:dyDescent="0.3">
      <c r="J215" s="892">
        <v>15</v>
      </c>
      <c r="K215" s="894" t="s">
        <v>2087</v>
      </c>
      <c r="P215" s="892" t="s">
        <v>814</v>
      </c>
      <c r="R215" s="1754" t="e">
        <f>((D38*H38)+(D39*H39)+(D40*H40)+(D41*H41)+(D42*H42)+(D43*H43))/D44</f>
        <v>#DIV/0!</v>
      </c>
      <c r="U215" s="892" t="s">
        <v>993</v>
      </c>
      <c r="AH215" s="892">
        <v>4</v>
      </c>
      <c r="AI215" s="892" t="s">
        <v>1241</v>
      </c>
      <c r="AM215" s="892">
        <v>4</v>
      </c>
      <c r="AN215" s="892" t="s">
        <v>1241</v>
      </c>
      <c r="AR215" s="1201" t="s">
        <v>1248</v>
      </c>
      <c r="AT215" s="893">
        <f>AT203+AT208</f>
        <v>0</v>
      </c>
    </row>
    <row r="216" spans="2:16372" s="892" customFormat="1" ht="14" x14ac:dyDescent="0.3">
      <c r="J216" s="892">
        <v>16</v>
      </c>
      <c r="K216" s="894" t="s">
        <v>2088</v>
      </c>
      <c r="P216" s="892" t="s">
        <v>1217</v>
      </c>
      <c r="R216" s="1754" t="e">
        <f>ROUND((1.185+(0.00454*D21)-(0.0000026*(D21)^2)+((0.315*0)))^2*1.1+((R212*D35/365)*3.054/0.6/(0.00795*R214-0.0014)/18.4),1)</f>
        <v>#DIV/0!</v>
      </c>
      <c r="S216" s="1754"/>
      <c r="AH216" s="892" t="s">
        <v>228</v>
      </c>
      <c r="AI216" s="892">
        <f>IF(F102=AI212,1,IF(F102=AI213,2,IF(F102=AI214,3,4)))</f>
        <v>4</v>
      </c>
      <c r="AM216" s="892" t="s">
        <v>228</v>
      </c>
      <c r="AN216" s="892">
        <f>IF(F107=AN212,1,IF(F107=AN213,2,IF(F107=AN214,3,4)))</f>
        <v>4</v>
      </c>
      <c r="AR216" s="1201" t="s">
        <v>900</v>
      </c>
      <c r="AT216" s="893">
        <f>AT206+AT211</f>
        <v>0</v>
      </c>
      <c r="AY216" s="892" t="s">
        <v>906</v>
      </c>
      <c r="BA216" s="892" t="e">
        <f>BA211*AW211</f>
        <v>#N/A</v>
      </c>
      <c r="BB216" s="892" t="e">
        <f>BB211*AW212</f>
        <v>#N/A</v>
      </c>
      <c r="BC216" s="892" t="e">
        <f>BC211*AW210</f>
        <v>#N/A</v>
      </c>
      <c r="BD216" s="892" t="e">
        <f>BD211*AW209</f>
        <v>#N/A</v>
      </c>
      <c r="BE216" s="892" t="e">
        <f>BE211*AW202</f>
        <v>#N/A</v>
      </c>
    </row>
    <row r="217" spans="2:16372" s="892" customFormat="1" ht="14" x14ac:dyDescent="0.3">
      <c r="J217" s="892">
        <v>17</v>
      </c>
      <c r="K217" s="894" t="s">
        <v>2089</v>
      </c>
      <c r="T217" s="892" t="s">
        <v>228</v>
      </c>
      <c r="U217" s="892">
        <f>D31</f>
        <v>0</v>
      </c>
      <c r="V217" s="1753" t="str">
        <f>IF(D31=U214,"1","2")</f>
        <v>2</v>
      </c>
      <c r="AR217" s="1201" t="s">
        <v>1251</v>
      </c>
      <c r="AT217" s="893">
        <f>AT204+AT209</f>
        <v>0</v>
      </c>
      <c r="AY217" s="892" t="s">
        <v>899</v>
      </c>
      <c r="BE217" s="469" t="e">
        <f>SUM(BA216:BE216)</f>
        <v>#N/A</v>
      </c>
    </row>
    <row r="218" spans="2:16372" s="892" customFormat="1" ht="14" x14ac:dyDescent="0.3">
      <c r="J218" s="2033" t="s">
        <v>228</v>
      </c>
      <c r="K218" s="894">
        <f>H15</f>
        <v>0</v>
      </c>
      <c r="P218" s="892" t="s">
        <v>1913</v>
      </c>
      <c r="R218" s="1752" t="e">
        <f>K134*1000</f>
        <v>#DIV/0!</v>
      </c>
    </row>
    <row r="219" spans="2:16372" s="892" customFormat="1" ht="14" x14ac:dyDescent="0.3">
      <c r="P219" s="892" t="s">
        <v>927</v>
      </c>
      <c r="R219" s="469" t="e">
        <f>R218/R210</f>
        <v>#DIV/0!</v>
      </c>
      <c r="AI219" s="581" t="s">
        <v>227</v>
      </c>
      <c r="AJ219" s="581" t="s">
        <v>225</v>
      </c>
      <c r="AK219" s="1753" t="s">
        <v>1238</v>
      </c>
      <c r="AL219" s="1753" t="s">
        <v>1237</v>
      </c>
      <c r="AM219" s="1753"/>
      <c r="AN219" s="1753" t="s">
        <v>226</v>
      </c>
      <c r="AO219" s="1753"/>
      <c r="AP219" s="1753" t="s">
        <v>899</v>
      </c>
      <c r="AW219" s="892" t="s">
        <v>1943</v>
      </c>
      <c r="AX219" s="892" t="s">
        <v>1942</v>
      </c>
      <c r="AY219" s="892" t="s">
        <v>1944</v>
      </c>
      <c r="AZ219" s="892" t="s">
        <v>1945</v>
      </c>
    </row>
    <row r="220" spans="2:16372" s="892" customFormat="1" ht="14" x14ac:dyDescent="0.3">
      <c r="B220" s="1756" t="s">
        <v>0</v>
      </c>
      <c r="C220" s="1756" t="s">
        <v>216</v>
      </c>
      <c r="D220" s="1757" t="str">
        <f>D17</f>
        <v>Milking Cows</v>
      </c>
      <c r="E220" s="1757" t="str">
        <f>E17</f>
        <v>Heifers &gt;1 yr age</v>
      </c>
      <c r="F220" s="1757" t="str">
        <f>F17</f>
        <v>Heifers &lt;1 yr age</v>
      </c>
      <c r="G220" s="1757" t="str">
        <f>G17</f>
        <v>Mature bulls</v>
      </c>
      <c r="H220" s="1757" t="str">
        <f>H17</f>
        <v xml:space="preserve">Other stock &lt; 1 yr age </v>
      </c>
      <c r="I220" s="1757" t="s">
        <v>1228</v>
      </c>
      <c r="J220" s="1757" t="s">
        <v>1229</v>
      </c>
      <c r="K220" s="1757" t="s">
        <v>1946</v>
      </c>
      <c r="L220" s="1757" t="s">
        <v>215</v>
      </c>
      <c r="M220" s="2216" t="s">
        <v>230</v>
      </c>
      <c r="P220" s="892" t="s">
        <v>928</v>
      </c>
      <c r="R220" s="1754" t="e">
        <f>R218/R208</f>
        <v>#DIV/0!</v>
      </c>
      <c r="AG220" s="892">
        <v>1</v>
      </c>
      <c r="AH220" s="2213" t="s">
        <v>912</v>
      </c>
      <c r="AI220" s="581">
        <v>84.29</v>
      </c>
      <c r="AJ220" s="581">
        <v>11.6</v>
      </c>
      <c r="AK220" s="581">
        <v>1.1000000000000001</v>
      </c>
      <c r="AL220" s="581">
        <v>0.55000000000000004</v>
      </c>
      <c r="AM220" s="581"/>
      <c r="AN220" s="581">
        <v>2.46</v>
      </c>
      <c r="AO220" s="581"/>
      <c r="AP220" s="1762">
        <v>9.5751000000000008</v>
      </c>
      <c r="AQ220" s="2217" t="s">
        <v>1457</v>
      </c>
      <c r="AV220" s="892" t="s">
        <v>807</v>
      </c>
      <c r="AW220" s="892">
        <v>1</v>
      </c>
      <c r="AX220" s="892">
        <v>84.29</v>
      </c>
      <c r="AY220" s="892">
        <f>AW220*AX220</f>
        <v>84.29</v>
      </c>
      <c r="AZ220" s="2038">
        <f>AY220/$AY$225</f>
        <v>8.8030412215016049E-2</v>
      </c>
    </row>
    <row r="221" spans="2:16372" s="892" customFormat="1" ht="14" x14ac:dyDescent="0.3">
      <c r="B221" s="2218"/>
      <c r="C221" s="2218"/>
      <c r="D221" s="2218"/>
      <c r="E221" s="2218"/>
      <c r="F221" s="2218"/>
      <c r="G221" s="2218"/>
      <c r="H221" s="2218"/>
      <c r="I221" s="2218"/>
      <c r="J221" s="2218"/>
      <c r="K221" s="2218"/>
      <c r="L221" s="2218"/>
      <c r="M221" s="2219"/>
      <c r="AG221" s="892">
        <v>2</v>
      </c>
      <c r="AH221" s="2213" t="s">
        <v>917</v>
      </c>
      <c r="AI221" s="1762">
        <v>79.25</v>
      </c>
      <c r="AJ221" s="1762">
        <v>12.04</v>
      </c>
      <c r="AK221" s="1762">
        <v>2.42</v>
      </c>
      <c r="AL221" s="1762">
        <v>1.21</v>
      </c>
      <c r="AM221" s="469"/>
      <c r="AN221" s="1762">
        <v>5.08</v>
      </c>
      <c r="AO221" s="1762"/>
      <c r="AP221" s="1762">
        <v>10.154</v>
      </c>
      <c r="AQ221" s="2217"/>
      <c r="AV221" s="892" t="s">
        <v>225</v>
      </c>
      <c r="AW221" s="892">
        <v>74</v>
      </c>
      <c r="AX221" s="892">
        <v>11.6</v>
      </c>
      <c r="AY221" s="892">
        <f>AW221*AX221</f>
        <v>858.4</v>
      </c>
      <c r="AZ221" s="2038">
        <f>AY221/$AY$225</f>
        <v>0.89649194264289678</v>
      </c>
    </row>
    <row r="222" spans="2:16372" s="892" customFormat="1" ht="14" x14ac:dyDescent="0.3">
      <c r="B222" s="1763" t="s">
        <v>231</v>
      </c>
      <c r="C222" s="2218"/>
      <c r="D222" s="1763" t="s">
        <v>816</v>
      </c>
      <c r="E222" s="1763"/>
      <c r="F222" s="1763"/>
      <c r="G222" s="1763"/>
      <c r="H222" s="2218"/>
      <c r="I222" s="2218"/>
      <c r="J222" s="2218"/>
      <c r="K222" s="2218"/>
      <c r="L222" s="2218"/>
      <c r="M222" s="2220" t="s">
        <v>1231</v>
      </c>
      <c r="N222" s="1201"/>
      <c r="O222" s="1201"/>
      <c r="P222" s="1201" t="s">
        <v>1933</v>
      </c>
      <c r="Q222" s="1201"/>
      <c r="R222" s="1767">
        <f>R210</f>
        <v>0</v>
      </c>
      <c r="S222" s="1201"/>
      <c r="T222" s="1201"/>
      <c r="U222" s="1201"/>
      <c r="V222" s="1201"/>
      <c r="W222" s="1201"/>
      <c r="X222" s="1201"/>
      <c r="Y222" s="1201"/>
      <c r="Z222" s="1201"/>
      <c r="AA222" s="1201"/>
      <c r="AB222" s="1201"/>
      <c r="AC222" s="1201"/>
      <c r="AD222" s="1201"/>
      <c r="AE222" s="1201"/>
      <c r="AF222" s="1201"/>
      <c r="AG222" s="892">
        <v>3</v>
      </c>
      <c r="AH222" s="2213" t="s">
        <v>866</v>
      </c>
      <c r="AI222" s="581">
        <v>85.19</v>
      </c>
      <c r="AJ222" s="581">
        <v>7.98</v>
      </c>
      <c r="AK222" s="581">
        <v>3.41</v>
      </c>
      <c r="AL222" s="581">
        <v>1.43</v>
      </c>
      <c r="AM222" s="581"/>
      <c r="AN222" s="581">
        <v>1.99</v>
      </c>
      <c r="AO222" s="581"/>
      <c r="AP222" s="1762">
        <v>6.6956100000000003</v>
      </c>
      <c r="AQ222" s="1271"/>
      <c r="AR222" s="1201"/>
      <c r="AS222" s="1201"/>
      <c r="AT222" s="1201"/>
      <c r="AU222" s="1201"/>
      <c r="AV222" s="1201" t="s">
        <v>1249</v>
      </c>
      <c r="AW222" s="1201">
        <v>0.5</v>
      </c>
      <c r="AX222" s="1201">
        <v>1.1000000000000001</v>
      </c>
      <c r="AY222" s="892">
        <f>AW222*AX222</f>
        <v>0.55000000000000004</v>
      </c>
      <c r="AZ222" s="2038">
        <f>AY222/$AY$225</f>
        <v>5.7440653361322605E-4</v>
      </c>
      <c r="BA222" s="1201"/>
      <c r="BB222" s="1201"/>
      <c r="BC222" s="1201"/>
      <c r="BD222" s="1201"/>
      <c r="BE222" s="1201"/>
      <c r="BF222" s="1201"/>
      <c r="BG222" s="1201"/>
      <c r="BH222" s="1201"/>
      <c r="BI222" s="1201"/>
      <c r="BJ222" s="1201"/>
      <c r="BK222" s="1201"/>
      <c r="BL222" s="1201"/>
      <c r="BM222" s="1201"/>
      <c r="BN222" s="1201"/>
      <c r="BO222" s="1201"/>
      <c r="BP222" s="1201"/>
      <c r="BQ222" s="1201"/>
      <c r="BR222" s="1201"/>
      <c r="BS222" s="1201"/>
      <c r="BT222" s="1201"/>
      <c r="BU222" s="1201"/>
      <c r="BV222" s="1201"/>
      <c r="BW222" s="1201"/>
      <c r="BX222" s="1201"/>
      <c r="BY222" s="1201"/>
      <c r="BZ222" s="1201"/>
      <c r="CA222" s="1201"/>
      <c r="CB222" s="1201"/>
      <c r="CC222" s="1201"/>
      <c r="CD222" s="1201"/>
      <c r="CE222" s="1201"/>
      <c r="CF222" s="1201"/>
      <c r="CG222" s="1201"/>
      <c r="CH222" s="1201"/>
      <c r="CI222" s="1201"/>
      <c r="CJ222" s="1201"/>
      <c r="CK222" s="1201"/>
      <c r="CL222" s="1201"/>
      <c r="CM222" s="1201"/>
      <c r="CN222" s="1201"/>
      <c r="CO222" s="1201"/>
      <c r="CP222" s="1201"/>
      <c r="CQ222" s="1201"/>
      <c r="CR222" s="1201"/>
      <c r="CS222" s="1201"/>
      <c r="CT222" s="1201"/>
      <c r="CU222" s="1201"/>
      <c r="CV222" s="1201"/>
      <c r="CW222" s="1201"/>
      <c r="CX222" s="1201"/>
      <c r="CY222" s="1201"/>
      <c r="CZ222" s="1201"/>
      <c r="DA222" s="1201"/>
      <c r="DB222" s="1201"/>
      <c r="DC222" s="1201"/>
      <c r="DD222" s="1201"/>
      <c r="DE222" s="1201"/>
      <c r="DF222" s="1201"/>
      <c r="DG222" s="1201"/>
      <c r="DH222" s="1201"/>
      <c r="DI222" s="1201"/>
      <c r="DJ222" s="1201"/>
      <c r="DK222" s="1201"/>
      <c r="DL222" s="1201"/>
      <c r="DM222" s="1201"/>
      <c r="DN222" s="1201"/>
      <c r="DO222" s="1201"/>
      <c r="DP222" s="1201"/>
      <c r="DQ222" s="1201"/>
      <c r="DR222" s="1201"/>
      <c r="DS222" s="1201"/>
      <c r="DT222" s="1201"/>
      <c r="DU222" s="1201"/>
      <c r="DV222" s="1201"/>
      <c r="DW222" s="1201"/>
      <c r="DX222" s="1201"/>
      <c r="DY222" s="1201"/>
      <c r="DZ222" s="1201"/>
      <c r="EA222" s="1201"/>
      <c r="EB222" s="1201"/>
      <c r="EC222" s="1201"/>
      <c r="ED222" s="1201"/>
      <c r="EE222" s="1201"/>
      <c r="EF222" s="1201"/>
      <c r="EG222" s="1201"/>
      <c r="EH222" s="1201"/>
      <c r="EI222" s="1201"/>
      <c r="EJ222" s="1201"/>
      <c r="EK222" s="1201"/>
      <c r="EL222" s="1201"/>
      <c r="EM222" s="1201"/>
      <c r="EN222" s="1201"/>
      <c r="EO222" s="1201"/>
      <c r="EP222" s="1201"/>
      <c r="EQ222" s="1201"/>
      <c r="ER222" s="1201"/>
      <c r="ES222" s="1201"/>
      <c r="ET222" s="1201"/>
      <c r="EU222" s="1201"/>
      <c r="EV222" s="1201"/>
      <c r="EW222" s="1201"/>
      <c r="EX222" s="1201"/>
      <c r="EY222" s="1201"/>
      <c r="EZ222" s="1201"/>
      <c r="FA222" s="1201"/>
      <c r="FB222" s="1201"/>
      <c r="FC222" s="1201"/>
      <c r="FD222" s="1201"/>
      <c r="FE222" s="1201"/>
      <c r="FF222" s="1201"/>
      <c r="FG222" s="1201"/>
      <c r="FH222" s="1201"/>
      <c r="FI222" s="1201"/>
      <c r="FJ222" s="1201"/>
      <c r="FK222" s="1201"/>
      <c r="FL222" s="1201"/>
      <c r="FM222" s="1201"/>
      <c r="FN222" s="1201"/>
      <c r="FO222" s="1201"/>
      <c r="FP222" s="1201"/>
      <c r="FQ222" s="1201"/>
      <c r="FR222" s="1201"/>
      <c r="FS222" s="1201"/>
      <c r="FT222" s="1201"/>
      <c r="FU222" s="1201"/>
      <c r="FV222" s="1201"/>
      <c r="FW222" s="1201"/>
      <c r="FX222" s="1201"/>
      <c r="FY222" s="1201"/>
      <c r="FZ222" s="1201"/>
      <c r="GA222" s="1201"/>
      <c r="GB222" s="1201"/>
      <c r="GC222" s="1201"/>
      <c r="GD222" s="1201"/>
      <c r="GE222" s="1201"/>
      <c r="GF222" s="1201"/>
      <c r="GG222" s="1201"/>
      <c r="GH222" s="1201"/>
      <c r="GI222" s="1201"/>
      <c r="GJ222" s="1201"/>
      <c r="GK222" s="1201"/>
      <c r="GL222" s="1201"/>
      <c r="GM222" s="1201"/>
      <c r="GN222" s="1201"/>
      <c r="GO222" s="1201"/>
      <c r="GP222" s="1201"/>
      <c r="GQ222" s="1201"/>
      <c r="GR222" s="1201"/>
      <c r="GS222" s="1201"/>
      <c r="GT222" s="1201"/>
      <c r="GU222" s="1201"/>
      <c r="GV222" s="1201"/>
      <c r="GW222" s="1201"/>
      <c r="GX222" s="1201"/>
      <c r="GY222" s="1201"/>
      <c r="GZ222" s="1201"/>
      <c r="HA222" s="1201"/>
      <c r="HB222" s="1201"/>
      <c r="HC222" s="1201"/>
      <c r="HD222" s="1201"/>
      <c r="HE222" s="1201"/>
      <c r="HF222" s="1201"/>
      <c r="HG222" s="1201"/>
      <c r="HH222" s="1201"/>
      <c r="HI222" s="1201"/>
      <c r="HJ222" s="1201"/>
      <c r="HK222" s="1201"/>
      <c r="HL222" s="1201"/>
      <c r="HM222" s="1201"/>
      <c r="HN222" s="1201"/>
      <c r="HO222" s="1201"/>
      <c r="HP222" s="1201"/>
      <c r="HQ222" s="1201"/>
      <c r="HR222" s="1201"/>
      <c r="HS222" s="1201"/>
      <c r="HT222" s="1201"/>
      <c r="HU222" s="1201"/>
      <c r="HV222" s="1201"/>
      <c r="HW222" s="1201"/>
      <c r="HX222" s="1201"/>
      <c r="HY222" s="1201"/>
      <c r="HZ222" s="1201"/>
      <c r="IA222" s="1201"/>
      <c r="IB222" s="1201"/>
      <c r="IC222" s="1201"/>
      <c r="ID222" s="1201"/>
      <c r="IE222" s="1201"/>
      <c r="IF222" s="1201"/>
      <c r="IG222" s="1201"/>
      <c r="IH222" s="1201"/>
      <c r="II222" s="1201"/>
      <c r="IJ222" s="1201"/>
      <c r="IK222" s="1201"/>
      <c r="IL222" s="1201"/>
      <c r="IM222" s="1201"/>
      <c r="IN222" s="1201"/>
      <c r="IO222" s="1201"/>
      <c r="IP222" s="1201"/>
      <c r="IQ222" s="1201"/>
      <c r="IR222" s="1201"/>
      <c r="IS222" s="1201"/>
      <c r="IT222" s="1201"/>
      <c r="IU222" s="1201"/>
      <c r="IV222" s="1201"/>
      <c r="IW222" s="1201"/>
      <c r="IX222" s="1201"/>
      <c r="IY222" s="1201"/>
      <c r="IZ222" s="1201"/>
      <c r="JA222" s="1201"/>
      <c r="JB222" s="1201"/>
      <c r="JC222" s="1201"/>
      <c r="JD222" s="1201"/>
      <c r="JE222" s="1201"/>
      <c r="JF222" s="1201"/>
      <c r="JG222" s="1201"/>
      <c r="JH222" s="1201"/>
      <c r="JI222" s="1201"/>
      <c r="JJ222" s="1201"/>
      <c r="JK222" s="1201"/>
      <c r="JL222" s="1201"/>
      <c r="JM222" s="1201"/>
      <c r="JN222" s="1201"/>
      <c r="JO222" s="1201"/>
      <c r="JP222" s="1201"/>
      <c r="JQ222" s="1201"/>
      <c r="JR222" s="1201"/>
      <c r="JS222" s="1201"/>
      <c r="JT222" s="1201"/>
      <c r="JU222" s="1201"/>
      <c r="JV222" s="1201"/>
      <c r="JW222" s="1201"/>
      <c r="JX222" s="1201"/>
      <c r="JY222" s="1201"/>
      <c r="JZ222" s="1201"/>
      <c r="KA222" s="1201"/>
      <c r="KB222" s="1201"/>
      <c r="KC222" s="1201"/>
      <c r="KD222" s="1201"/>
      <c r="KE222" s="1201"/>
      <c r="KF222" s="1201"/>
      <c r="KG222" s="1201"/>
      <c r="KH222" s="1201"/>
      <c r="KI222" s="1201"/>
      <c r="KJ222" s="1201"/>
      <c r="KK222" s="1201"/>
      <c r="KL222" s="1201"/>
      <c r="KM222" s="1201"/>
      <c r="KN222" s="1201"/>
      <c r="KO222" s="1201"/>
      <c r="KP222" s="1201"/>
      <c r="KQ222" s="1201"/>
      <c r="KR222" s="1201"/>
      <c r="KS222" s="1201"/>
      <c r="KT222" s="1201"/>
      <c r="KU222" s="1201"/>
      <c r="KV222" s="1201"/>
      <c r="KW222" s="1201"/>
      <c r="KX222" s="1201"/>
      <c r="KY222" s="1201"/>
      <c r="KZ222" s="1201"/>
      <c r="LA222" s="1201"/>
      <c r="LB222" s="1201"/>
      <c r="LC222" s="1201"/>
      <c r="LD222" s="1201"/>
      <c r="LE222" s="1201"/>
      <c r="LF222" s="1201"/>
      <c r="LG222" s="1201"/>
      <c r="LH222" s="1201"/>
      <c r="LI222" s="1201"/>
      <c r="LJ222" s="1201"/>
      <c r="LK222" s="1201"/>
      <c r="LL222" s="1201"/>
      <c r="LM222" s="1201"/>
      <c r="LN222" s="1201"/>
      <c r="LO222" s="1201"/>
      <c r="LP222" s="1201"/>
      <c r="LQ222" s="1201"/>
      <c r="LR222" s="1201"/>
      <c r="LS222" s="1201"/>
      <c r="LT222" s="1201"/>
      <c r="LU222" s="1201"/>
      <c r="LV222" s="1201"/>
      <c r="LW222" s="1201"/>
      <c r="LX222" s="1201"/>
      <c r="LY222" s="1201"/>
      <c r="LZ222" s="1201"/>
      <c r="MA222" s="1201"/>
      <c r="MB222" s="1201"/>
      <c r="MC222" s="1201"/>
      <c r="MD222" s="1201"/>
      <c r="ME222" s="1201"/>
      <c r="MF222" s="1201"/>
      <c r="MG222" s="1201"/>
      <c r="MH222" s="1201"/>
      <c r="MI222" s="1201"/>
      <c r="MJ222" s="1201"/>
      <c r="MK222" s="1201"/>
      <c r="ML222" s="1201"/>
      <c r="MM222" s="1201"/>
      <c r="MN222" s="1201"/>
      <c r="MO222" s="1201"/>
      <c r="MP222" s="1201"/>
      <c r="MQ222" s="1201"/>
      <c r="MR222" s="1201"/>
      <c r="MS222" s="1201"/>
      <c r="MT222" s="1201"/>
      <c r="MU222" s="1201"/>
      <c r="MV222" s="1201"/>
      <c r="MW222" s="1201"/>
      <c r="MX222" s="1201"/>
      <c r="MY222" s="1201"/>
      <c r="MZ222" s="1201"/>
      <c r="NA222" s="1201"/>
      <c r="NB222" s="1201"/>
      <c r="NC222" s="1201"/>
      <c r="ND222" s="1201"/>
      <c r="NE222" s="1201"/>
      <c r="NF222" s="1201"/>
      <c r="NG222" s="1201"/>
      <c r="NH222" s="1201"/>
      <c r="NI222" s="1201"/>
      <c r="NJ222" s="1201"/>
      <c r="NK222" s="1201"/>
      <c r="NL222" s="1201"/>
      <c r="NM222" s="1201"/>
      <c r="NN222" s="1201"/>
      <c r="NO222" s="1201"/>
      <c r="NP222" s="1201"/>
      <c r="NQ222" s="1201"/>
      <c r="NR222" s="1201"/>
      <c r="NS222" s="1201"/>
      <c r="NT222" s="1201"/>
      <c r="NU222" s="1201"/>
      <c r="NV222" s="1201"/>
      <c r="NW222" s="1201"/>
      <c r="NX222" s="1201"/>
      <c r="NY222" s="1201"/>
      <c r="NZ222" s="1201"/>
      <c r="OA222" s="1201"/>
      <c r="OB222" s="1201"/>
      <c r="OC222" s="1201"/>
      <c r="OD222" s="1201"/>
      <c r="OE222" s="1201"/>
      <c r="OF222" s="1201"/>
      <c r="OG222" s="1201"/>
      <c r="OH222" s="1201"/>
      <c r="OI222" s="1201"/>
      <c r="OJ222" s="1201"/>
      <c r="OK222" s="1201"/>
      <c r="OL222" s="1201"/>
      <c r="OM222" s="1201"/>
      <c r="ON222" s="1201"/>
      <c r="OO222" s="1201"/>
      <c r="OP222" s="1201"/>
      <c r="OQ222" s="1201"/>
      <c r="OR222" s="1201"/>
      <c r="OS222" s="1201"/>
      <c r="OT222" s="1201"/>
      <c r="OU222" s="1201"/>
      <c r="OV222" s="1201"/>
      <c r="OW222" s="1201"/>
      <c r="OX222" s="1201"/>
      <c r="OY222" s="1201"/>
      <c r="OZ222" s="1201"/>
      <c r="PA222" s="1201"/>
      <c r="PB222" s="1201"/>
      <c r="PC222" s="1201"/>
      <c r="PD222" s="1201"/>
      <c r="PE222" s="1201"/>
      <c r="PF222" s="1201"/>
      <c r="PG222" s="1201"/>
      <c r="PH222" s="1201"/>
      <c r="PI222" s="1201"/>
      <c r="PJ222" s="1201"/>
      <c r="PK222" s="1201"/>
      <c r="PL222" s="1201"/>
      <c r="PM222" s="1201"/>
      <c r="PN222" s="1201"/>
      <c r="PO222" s="1201"/>
      <c r="PP222" s="1201"/>
      <c r="PQ222" s="1201"/>
      <c r="PR222" s="1201"/>
      <c r="PS222" s="1201"/>
      <c r="PT222" s="1201"/>
      <c r="PU222" s="1201"/>
      <c r="PV222" s="1201"/>
      <c r="PW222" s="1201"/>
      <c r="PX222" s="1201"/>
      <c r="PY222" s="1201"/>
      <c r="PZ222" s="1201"/>
      <c r="QA222" s="1201"/>
      <c r="QB222" s="1201"/>
      <c r="QC222" s="1201"/>
      <c r="QD222" s="1201"/>
      <c r="QE222" s="1201"/>
      <c r="QF222" s="1201"/>
      <c r="QG222" s="1201"/>
      <c r="QH222" s="1201"/>
      <c r="QI222" s="1201"/>
      <c r="QJ222" s="1201"/>
      <c r="QK222" s="1201"/>
      <c r="QL222" s="1201"/>
      <c r="QM222" s="1201"/>
      <c r="QN222" s="1201"/>
      <c r="QO222" s="1201"/>
      <c r="QP222" s="1201"/>
      <c r="QQ222" s="1201"/>
      <c r="QR222" s="1201"/>
      <c r="QS222" s="1201"/>
      <c r="QT222" s="1201"/>
      <c r="QU222" s="1201"/>
      <c r="QV222" s="1201"/>
      <c r="QW222" s="1201"/>
      <c r="QX222" s="1201"/>
      <c r="QY222" s="1201"/>
      <c r="QZ222" s="1201"/>
      <c r="RA222" s="1201"/>
      <c r="RB222" s="1201"/>
      <c r="RC222" s="1201"/>
      <c r="RD222" s="1201"/>
      <c r="RE222" s="1201"/>
      <c r="RF222" s="1201"/>
      <c r="RG222" s="1201"/>
      <c r="RH222" s="1201"/>
      <c r="RI222" s="1201"/>
      <c r="RJ222" s="1201"/>
      <c r="RK222" s="1201"/>
      <c r="RL222" s="1201"/>
      <c r="RM222" s="1201"/>
      <c r="RN222" s="1201"/>
      <c r="RO222" s="1201"/>
      <c r="RP222" s="1201"/>
      <c r="RQ222" s="1201"/>
      <c r="RR222" s="1201"/>
      <c r="RS222" s="1201"/>
      <c r="RT222" s="1201"/>
      <c r="RU222" s="1201"/>
      <c r="RV222" s="1201"/>
      <c r="RW222" s="1201"/>
      <c r="RX222" s="1201"/>
      <c r="RY222" s="1201"/>
      <c r="RZ222" s="1201"/>
      <c r="SA222" s="1201"/>
      <c r="SB222" s="1201"/>
      <c r="SC222" s="1201"/>
      <c r="SD222" s="1201"/>
      <c r="SE222" s="1201"/>
      <c r="SF222" s="1201"/>
      <c r="SG222" s="1201"/>
      <c r="SH222" s="1201"/>
      <c r="SI222" s="1201"/>
      <c r="SJ222" s="1201"/>
      <c r="SK222" s="1201"/>
      <c r="SL222" s="1201"/>
      <c r="SM222" s="1201"/>
      <c r="SN222" s="1201"/>
      <c r="SO222" s="1201"/>
      <c r="SP222" s="1201"/>
      <c r="SQ222" s="1201"/>
      <c r="SR222" s="1201"/>
      <c r="SS222" s="1201"/>
      <c r="ST222" s="1201"/>
      <c r="SU222" s="1201"/>
      <c r="SV222" s="1201"/>
      <c r="SW222" s="1201"/>
      <c r="SX222" s="1201"/>
      <c r="SY222" s="1201"/>
      <c r="SZ222" s="1201"/>
      <c r="TA222" s="1201"/>
      <c r="TB222" s="1201"/>
      <c r="TC222" s="1201"/>
      <c r="TD222" s="1201"/>
      <c r="TE222" s="1201"/>
      <c r="TF222" s="1201"/>
      <c r="TG222" s="1201"/>
      <c r="TH222" s="1201"/>
      <c r="TI222" s="1201"/>
      <c r="TJ222" s="1201"/>
      <c r="TK222" s="1201"/>
      <c r="TL222" s="1201"/>
      <c r="TM222" s="1201"/>
      <c r="TN222" s="1201"/>
      <c r="TO222" s="1201"/>
      <c r="TP222" s="1201"/>
      <c r="TQ222" s="1201"/>
      <c r="TR222" s="1201"/>
      <c r="TS222" s="1201"/>
      <c r="TT222" s="1201"/>
      <c r="TU222" s="1201"/>
      <c r="TV222" s="1201"/>
      <c r="TW222" s="1201"/>
      <c r="TX222" s="1201"/>
      <c r="TY222" s="1201"/>
      <c r="TZ222" s="1201"/>
      <c r="UA222" s="1201"/>
      <c r="UB222" s="1201"/>
      <c r="UC222" s="1201"/>
      <c r="UD222" s="1201"/>
      <c r="UE222" s="1201"/>
      <c r="UF222" s="1201"/>
      <c r="UG222" s="1201"/>
      <c r="UH222" s="1201"/>
      <c r="UI222" s="1201"/>
      <c r="UJ222" s="1201"/>
      <c r="UK222" s="1201"/>
      <c r="UL222" s="1201"/>
      <c r="UM222" s="1201"/>
      <c r="UN222" s="1201"/>
      <c r="UO222" s="1201"/>
      <c r="UP222" s="1201"/>
      <c r="UQ222" s="1201"/>
      <c r="UR222" s="1201"/>
      <c r="US222" s="1201"/>
      <c r="UT222" s="1201"/>
      <c r="UU222" s="1201"/>
      <c r="UV222" s="1201"/>
      <c r="UW222" s="1201"/>
      <c r="UX222" s="1201"/>
      <c r="UY222" s="1201"/>
      <c r="UZ222" s="1201"/>
      <c r="VA222" s="1201"/>
      <c r="VB222" s="1201"/>
      <c r="VC222" s="1201"/>
      <c r="VD222" s="1201"/>
      <c r="VE222" s="1201"/>
      <c r="VF222" s="1201"/>
      <c r="VG222" s="1201"/>
      <c r="VH222" s="1201"/>
      <c r="VI222" s="1201"/>
      <c r="VJ222" s="1201"/>
      <c r="VK222" s="1201"/>
      <c r="VL222" s="1201"/>
      <c r="VM222" s="1201"/>
      <c r="VN222" s="1201"/>
      <c r="VO222" s="1201"/>
      <c r="VP222" s="1201"/>
      <c r="VQ222" s="1201"/>
      <c r="VR222" s="1201"/>
      <c r="VS222" s="1201"/>
      <c r="VT222" s="1201"/>
      <c r="VU222" s="1201"/>
      <c r="VV222" s="1201"/>
      <c r="VW222" s="1201"/>
      <c r="VX222" s="1201"/>
      <c r="VY222" s="1201"/>
      <c r="VZ222" s="1201"/>
      <c r="WA222" s="1201"/>
      <c r="WB222" s="1201"/>
      <c r="WC222" s="1201"/>
      <c r="WD222" s="1201"/>
      <c r="WE222" s="1201"/>
      <c r="WF222" s="1201"/>
      <c r="WG222" s="1201"/>
      <c r="WH222" s="1201"/>
      <c r="WI222" s="1201"/>
      <c r="WJ222" s="1201"/>
      <c r="WK222" s="1201"/>
      <c r="WL222" s="1201"/>
      <c r="WM222" s="1201"/>
      <c r="WN222" s="1201"/>
      <c r="WO222" s="1201"/>
      <c r="WP222" s="1201"/>
      <c r="WQ222" s="1201"/>
      <c r="WR222" s="1201"/>
      <c r="WS222" s="1201"/>
      <c r="WT222" s="1201"/>
      <c r="WU222" s="1201"/>
      <c r="WV222" s="1201"/>
      <c r="WW222" s="1201"/>
      <c r="WX222" s="1201"/>
      <c r="WY222" s="1201"/>
      <c r="WZ222" s="1201"/>
      <c r="XA222" s="1201"/>
      <c r="XB222" s="1201"/>
      <c r="XC222" s="1201"/>
      <c r="XD222" s="1201"/>
      <c r="XE222" s="1201"/>
      <c r="XF222" s="1201"/>
      <c r="XG222" s="1201"/>
      <c r="XH222" s="1201"/>
      <c r="XI222" s="1201"/>
      <c r="XJ222" s="1201"/>
      <c r="XK222" s="1201"/>
      <c r="XL222" s="1201"/>
      <c r="XM222" s="1201"/>
      <c r="XN222" s="1201"/>
      <c r="XO222" s="1201"/>
      <c r="XP222" s="1201"/>
      <c r="XQ222" s="1201"/>
      <c r="XR222" s="1201"/>
      <c r="XS222" s="1201"/>
      <c r="XT222" s="1201"/>
      <c r="XU222" s="1201"/>
      <c r="XV222" s="1201"/>
      <c r="XW222" s="1201"/>
      <c r="XX222" s="1201"/>
      <c r="XY222" s="1201"/>
      <c r="XZ222" s="1201"/>
      <c r="YA222" s="1201"/>
      <c r="YB222" s="1201"/>
      <c r="YC222" s="1201"/>
      <c r="YD222" s="1201"/>
      <c r="YE222" s="1201"/>
      <c r="YF222" s="1201"/>
      <c r="YG222" s="1201"/>
      <c r="YH222" s="1201"/>
      <c r="YI222" s="1201"/>
      <c r="YJ222" s="1201"/>
      <c r="YK222" s="1201"/>
      <c r="YL222" s="1201"/>
      <c r="YM222" s="1201"/>
      <c r="YN222" s="1201"/>
      <c r="YO222" s="1201"/>
      <c r="YP222" s="1201"/>
      <c r="YQ222" s="1201"/>
      <c r="YR222" s="1201"/>
      <c r="YS222" s="1201"/>
      <c r="YT222" s="1201"/>
      <c r="YU222" s="1201"/>
      <c r="YV222" s="1201"/>
      <c r="YW222" s="1201"/>
      <c r="YX222" s="1201"/>
      <c r="YY222" s="1201"/>
      <c r="YZ222" s="1201"/>
      <c r="ZA222" s="1201"/>
      <c r="ZB222" s="1201"/>
      <c r="ZC222" s="1201"/>
      <c r="ZD222" s="1201"/>
      <c r="ZE222" s="1201"/>
      <c r="ZF222" s="1201"/>
      <c r="ZG222" s="1201"/>
      <c r="ZH222" s="1201"/>
      <c r="ZI222" s="1201"/>
      <c r="ZJ222" s="1201"/>
      <c r="ZK222" s="1201"/>
      <c r="ZL222" s="1201"/>
      <c r="ZM222" s="1201"/>
      <c r="ZN222" s="1201"/>
      <c r="ZO222" s="1201"/>
      <c r="ZP222" s="1201"/>
      <c r="ZQ222" s="1201"/>
      <c r="ZR222" s="1201"/>
      <c r="ZS222" s="1201"/>
      <c r="ZT222" s="1201"/>
      <c r="ZU222" s="1201"/>
      <c r="ZV222" s="1201"/>
      <c r="ZW222" s="1201"/>
      <c r="ZX222" s="1201"/>
      <c r="ZY222" s="1201"/>
      <c r="ZZ222" s="1201"/>
      <c r="AAA222" s="1201"/>
      <c r="AAB222" s="1201"/>
      <c r="AAC222" s="1201"/>
      <c r="AAD222" s="1201"/>
      <c r="AAE222" s="1201"/>
      <c r="AAF222" s="1201"/>
      <c r="AAG222" s="1201"/>
      <c r="AAH222" s="1201"/>
      <c r="AAI222" s="1201"/>
      <c r="AAJ222" s="1201"/>
      <c r="AAK222" s="1201"/>
      <c r="AAL222" s="1201"/>
      <c r="AAM222" s="1201"/>
      <c r="AAN222" s="1201"/>
      <c r="AAO222" s="1201"/>
      <c r="AAP222" s="1201"/>
      <c r="AAQ222" s="1201"/>
      <c r="AAR222" s="1201"/>
      <c r="AAS222" s="1201"/>
      <c r="AAT222" s="1201"/>
      <c r="AAU222" s="1201"/>
      <c r="AAV222" s="1201"/>
      <c r="AAW222" s="1201"/>
      <c r="AAX222" s="1201"/>
      <c r="AAY222" s="1201"/>
      <c r="AAZ222" s="1201"/>
      <c r="ABA222" s="1201"/>
      <c r="ABB222" s="1201"/>
      <c r="ABC222" s="1201"/>
      <c r="ABD222" s="1201"/>
      <c r="ABE222" s="1201"/>
      <c r="ABF222" s="1201"/>
      <c r="ABG222" s="1201"/>
      <c r="ABH222" s="1201"/>
      <c r="ABI222" s="1201"/>
      <c r="ABJ222" s="1201"/>
      <c r="ABK222" s="1201"/>
      <c r="ABL222" s="1201"/>
      <c r="ABM222" s="1201"/>
      <c r="ABN222" s="1201"/>
      <c r="ABO222" s="1201"/>
      <c r="ABP222" s="1201"/>
      <c r="ABQ222" s="1201"/>
      <c r="ABR222" s="1201"/>
      <c r="ABS222" s="1201"/>
      <c r="ABT222" s="1201"/>
      <c r="ABU222" s="1201"/>
      <c r="ABV222" s="1201"/>
      <c r="ABW222" s="1201"/>
      <c r="ABX222" s="1201"/>
      <c r="ABY222" s="1201"/>
      <c r="ABZ222" s="1201"/>
      <c r="ACA222" s="1201"/>
      <c r="ACB222" s="1201"/>
      <c r="ACC222" s="1201"/>
      <c r="ACD222" s="1201"/>
      <c r="ACE222" s="1201"/>
      <c r="ACF222" s="1201"/>
      <c r="ACG222" s="1201"/>
      <c r="ACH222" s="1201"/>
      <c r="ACI222" s="1201"/>
      <c r="ACJ222" s="1201"/>
      <c r="ACK222" s="1201"/>
      <c r="ACL222" s="1201"/>
      <c r="ACM222" s="1201"/>
      <c r="ACN222" s="1201"/>
      <c r="ACO222" s="1201"/>
      <c r="ACP222" s="1201"/>
      <c r="ACQ222" s="1201"/>
      <c r="ACR222" s="1201"/>
      <c r="ACS222" s="1201"/>
      <c r="ACT222" s="1201"/>
      <c r="ACU222" s="1201"/>
      <c r="ACV222" s="1201"/>
      <c r="ACW222" s="1201"/>
      <c r="ACX222" s="1201"/>
      <c r="ACY222" s="1201"/>
      <c r="ACZ222" s="1201"/>
      <c r="ADA222" s="1201"/>
      <c r="ADB222" s="1201"/>
      <c r="ADC222" s="1201"/>
      <c r="ADD222" s="1201"/>
      <c r="ADE222" s="1201"/>
      <c r="ADF222" s="1201"/>
      <c r="ADG222" s="1201"/>
      <c r="ADH222" s="1201"/>
      <c r="ADI222" s="1201"/>
      <c r="ADJ222" s="1201"/>
      <c r="ADK222" s="1201"/>
      <c r="ADL222" s="1201"/>
      <c r="ADM222" s="1201"/>
      <c r="ADN222" s="1201"/>
      <c r="ADO222" s="1201"/>
      <c r="ADP222" s="1201"/>
      <c r="ADQ222" s="1201"/>
      <c r="ADR222" s="1201"/>
      <c r="ADS222" s="1201"/>
      <c r="ADT222" s="1201"/>
      <c r="ADU222" s="1201"/>
      <c r="ADV222" s="1201"/>
      <c r="ADW222" s="1201"/>
      <c r="ADX222" s="1201"/>
      <c r="ADY222" s="1201"/>
      <c r="ADZ222" s="1201"/>
      <c r="AEA222" s="1201"/>
      <c r="AEB222" s="1201"/>
      <c r="AEC222" s="1201"/>
      <c r="AED222" s="1201"/>
      <c r="AEE222" s="1201"/>
      <c r="AEF222" s="1201"/>
      <c r="AEG222" s="1201"/>
      <c r="AEH222" s="1201"/>
      <c r="AEI222" s="1201"/>
      <c r="AEJ222" s="1201"/>
      <c r="AEK222" s="1201"/>
      <c r="AEL222" s="1201"/>
      <c r="AEM222" s="1201"/>
      <c r="AEN222" s="1201"/>
      <c r="AEO222" s="1201"/>
      <c r="AEP222" s="1201"/>
      <c r="AEQ222" s="1201"/>
      <c r="AER222" s="1201"/>
      <c r="AES222" s="1201"/>
      <c r="AET222" s="1201"/>
      <c r="AEU222" s="1201"/>
      <c r="AEV222" s="1201"/>
      <c r="AEW222" s="1201"/>
      <c r="AEX222" s="1201"/>
      <c r="AEY222" s="1201"/>
      <c r="AEZ222" s="1201"/>
      <c r="AFA222" s="1201"/>
      <c r="AFB222" s="1201"/>
      <c r="AFC222" s="1201"/>
      <c r="AFD222" s="1201"/>
      <c r="AFE222" s="1201"/>
      <c r="AFF222" s="1201"/>
      <c r="AFG222" s="1201"/>
      <c r="AFH222" s="1201"/>
      <c r="AFI222" s="1201"/>
      <c r="AFJ222" s="1201"/>
      <c r="AFK222" s="1201"/>
      <c r="AFL222" s="1201"/>
      <c r="AFM222" s="1201"/>
      <c r="AFN222" s="1201"/>
      <c r="AFO222" s="1201"/>
      <c r="AFP222" s="1201"/>
      <c r="AFQ222" s="1201"/>
      <c r="AFR222" s="1201"/>
      <c r="AFS222" s="1201"/>
      <c r="AFT222" s="1201"/>
      <c r="AFU222" s="1201"/>
      <c r="AFV222" s="1201"/>
      <c r="AFW222" s="1201"/>
      <c r="AFX222" s="1201"/>
      <c r="AFY222" s="1201"/>
      <c r="AFZ222" s="1201"/>
      <c r="AGA222" s="1201"/>
      <c r="AGB222" s="1201"/>
      <c r="AGC222" s="1201"/>
      <c r="AGD222" s="1201"/>
      <c r="AGE222" s="1201"/>
      <c r="AGF222" s="1201"/>
      <c r="AGG222" s="1201"/>
      <c r="AGH222" s="1201"/>
      <c r="AGI222" s="1201"/>
      <c r="AGJ222" s="1201"/>
      <c r="AGK222" s="1201"/>
      <c r="AGL222" s="1201"/>
      <c r="AGM222" s="1201"/>
      <c r="AGN222" s="1201"/>
      <c r="AGO222" s="1201"/>
      <c r="AGP222" s="1201"/>
      <c r="AGQ222" s="1201"/>
      <c r="AGR222" s="1201"/>
      <c r="AGS222" s="1201"/>
      <c r="AGT222" s="1201"/>
      <c r="AGU222" s="1201"/>
      <c r="AGV222" s="1201"/>
      <c r="AGW222" s="1201"/>
      <c r="AGX222" s="1201"/>
      <c r="AGY222" s="1201"/>
      <c r="AGZ222" s="1201"/>
      <c r="AHA222" s="1201"/>
      <c r="AHB222" s="1201"/>
      <c r="AHC222" s="1201"/>
      <c r="AHD222" s="1201"/>
      <c r="AHE222" s="1201"/>
      <c r="AHF222" s="1201"/>
      <c r="AHG222" s="1201"/>
      <c r="AHH222" s="1201"/>
      <c r="AHI222" s="1201"/>
      <c r="AHJ222" s="1201"/>
      <c r="AHK222" s="1201"/>
      <c r="AHL222" s="1201"/>
      <c r="AHM222" s="1201"/>
      <c r="AHN222" s="1201"/>
      <c r="AHO222" s="1201"/>
      <c r="AHP222" s="1201"/>
      <c r="AHQ222" s="1201"/>
      <c r="AHR222" s="1201"/>
      <c r="AHS222" s="1201"/>
      <c r="AHT222" s="1201"/>
      <c r="AHU222" s="1201"/>
      <c r="AHV222" s="1201"/>
      <c r="AHW222" s="1201"/>
      <c r="AHX222" s="1201"/>
      <c r="AHY222" s="1201"/>
      <c r="AHZ222" s="1201"/>
      <c r="AIA222" s="1201"/>
      <c r="AIB222" s="1201"/>
      <c r="AIC222" s="1201"/>
      <c r="AID222" s="1201"/>
      <c r="AIE222" s="1201"/>
      <c r="AIF222" s="1201"/>
      <c r="AIG222" s="1201"/>
      <c r="AIH222" s="1201"/>
      <c r="AII222" s="1201"/>
      <c r="AIJ222" s="1201"/>
      <c r="AIK222" s="1201"/>
      <c r="AIL222" s="1201"/>
      <c r="AIM222" s="1201"/>
      <c r="AIN222" s="1201"/>
      <c r="AIO222" s="1201"/>
      <c r="AIP222" s="1201"/>
      <c r="AIQ222" s="1201"/>
      <c r="AIR222" s="1201"/>
      <c r="AIS222" s="1201"/>
      <c r="AIT222" s="1201"/>
      <c r="AIU222" s="1201"/>
      <c r="AIV222" s="1201"/>
      <c r="AIW222" s="1201"/>
      <c r="AIX222" s="1201"/>
      <c r="AIY222" s="1201"/>
      <c r="AIZ222" s="1201"/>
      <c r="AJA222" s="1201"/>
      <c r="AJB222" s="1201"/>
      <c r="AJC222" s="1201"/>
      <c r="AJD222" s="1201"/>
      <c r="AJE222" s="1201"/>
      <c r="AJF222" s="1201"/>
      <c r="AJG222" s="1201"/>
      <c r="AJH222" s="1201"/>
      <c r="AJI222" s="1201"/>
      <c r="AJJ222" s="1201"/>
      <c r="AJK222" s="1201"/>
      <c r="AJL222" s="1201"/>
      <c r="AJM222" s="1201"/>
      <c r="AJN222" s="1201"/>
      <c r="AJO222" s="1201"/>
      <c r="AJP222" s="1201"/>
      <c r="AJQ222" s="1201"/>
      <c r="AJR222" s="1201"/>
      <c r="AJS222" s="1201"/>
      <c r="AJT222" s="1201"/>
      <c r="AJU222" s="1201"/>
      <c r="AJV222" s="1201"/>
      <c r="AJW222" s="1201"/>
      <c r="AJX222" s="1201"/>
      <c r="AJY222" s="1201"/>
      <c r="AJZ222" s="1201"/>
      <c r="AKA222" s="1201"/>
      <c r="AKB222" s="1201"/>
      <c r="AKC222" s="1201"/>
      <c r="AKD222" s="1201"/>
      <c r="AKE222" s="1201"/>
      <c r="AKF222" s="1201"/>
      <c r="AKG222" s="1201"/>
      <c r="AKH222" s="1201"/>
      <c r="AKI222" s="1201"/>
      <c r="AKJ222" s="1201"/>
      <c r="AKK222" s="1201"/>
      <c r="AKL222" s="1201"/>
      <c r="AKM222" s="1201"/>
      <c r="AKN222" s="1201"/>
      <c r="AKO222" s="1201"/>
      <c r="AKP222" s="1201"/>
      <c r="AKQ222" s="1201"/>
      <c r="AKR222" s="1201"/>
      <c r="AKS222" s="1201"/>
      <c r="AKT222" s="1201"/>
      <c r="AKU222" s="1201"/>
      <c r="AKV222" s="1201"/>
      <c r="AKW222" s="1201"/>
      <c r="AKX222" s="1201"/>
      <c r="AKY222" s="1201"/>
      <c r="AKZ222" s="1201"/>
      <c r="ALA222" s="1201"/>
      <c r="ALB222" s="1201"/>
      <c r="ALC222" s="1201"/>
      <c r="ALD222" s="1201"/>
      <c r="ALE222" s="1201"/>
      <c r="ALF222" s="1201"/>
      <c r="ALG222" s="1201"/>
      <c r="ALH222" s="1201"/>
      <c r="ALI222" s="1201"/>
      <c r="ALJ222" s="1201"/>
      <c r="ALK222" s="1201"/>
      <c r="ALL222" s="1201"/>
      <c r="ALM222" s="1201"/>
      <c r="ALN222" s="1201"/>
      <c r="ALO222" s="1201"/>
      <c r="ALP222" s="1201"/>
      <c r="ALQ222" s="1201"/>
      <c r="ALR222" s="1201"/>
      <c r="ALS222" s="1201"/>
      <c r="ALT222" s="1201"/>
      <c r="ALU222" s="1201"/>
      <c r="ALV222" s="1201"/>
      <c r="ALW222" s="1201"/>
      <c r="ALX222" s="1201"/>
      <c r="ALY222" s="1201"/>
      <c r="ALZ222" s="1201"/>
      <c r="AMA222" s="1201"/>
      <c r="AMB222" s="1201"/>
      <c r="AMC222" s="1201"/>
      <c r="AMD222" s="1201"/>
      <c r="AME222" s="1201"/>
      <c r="AMF222" s="1201"/>
      <c r="AMG222" s="1201"/>
      <c r="AMH222" s="1201"/>
      <c r="AMI222" s="1201"/>
      <c r="AMJ222" s="1201"/>
      <c r="AMK222" s="1201"/>
      <c r="AML222" s="1201"/>
      <c r="AMM222" s="1201"/>
      <c r="AMN222" s="1201"/>
      <c r="AMO222" s="1201"/>
      <c r="AMP222" s="1201"/>
      <c r="AMQ222" s="1201"/>
      <c r="AMR222" s="1201"/>
      <c r="AMS222" s="1201"/>
      <c r="AMT222" s="1201"/>
      <c r="AMU222" s="1201"/>
      <c r="AMV222" s="1201"/>
      <c r="AMW222" s="1201"/>
      <c r="AMX222" s="1201"/>
      <c r="AMY222" s="1201"/>
      <c r="AMZ222" s="1201"/>
      <c r="ANA222" s="1201"/>
      <c r="ANB222" s="1201"/>
      <c r="ANC222" s="1201"/>
      <c r="AND222" s="1201"/>
      <c r="ANE222" s="1201"/>
      <c r="ANF222" s="1201"/>
      <c r="ANG222" s="1201"/>
      <c r="ANH222" s="1201"/>
      <c r="ANI222" s="1201"/>
      <c r="ANJ222" s="1201"/>
      <c r="ANK222" s="1201"/>
      <c r="ANL222" s="1201"/>
      <c r="ANM222" s="1201"/>
      <c r="ANN222" s="1201"/>
      <c r="ANO222" s="1201"/>
      <c r="ANP222" s="1201"/>
      <c r="ANQ222" s="1201"/>
      <c r="ANR222" s="1201"/>
      <c r="ANS222" s="1201"/>
      <c r="ANT222" s="1201"/>
      <c r="ANU222" s="1201"/>
      <c r="ANV222" s="1201"/>
      <c r="ANW222" s="1201"/>
      <c r="ANX222" s="1201"/>
      <c r="ANY222" s="1201"/>
      <c r="ANZ222" s="1201"/>
      <c r="AOA222" s="1201"/>
      <c r="AOB222" s="1201"/>
      <c r="AOC222" s="1201"/>
      <c r="AOD222" s="1201"/>
      <c r="AOE222" s="1201"/>
      <c r="AOF222" s="1201"/>
      <c r="AOG222" s="1201"/>
      <c r="AOH222" s="1201"/>
      <c r="AOI222" s="1201"/>
      <c r="AOJ222" s="1201"/>
      <c r="AOK222" s="1201"/>
      <c r="AOL222" s="1201"/>
      <c r="AOM222" s="1201"/>
      <c r="AON222" s="1201"/>
      <c r="AOO222" s="1201"/>
      <c r="AOP222" s="1201"/>
      <c r="AOQ222" s="1201"/>
      <c r="AOR222" s="1201"/>
      <c r="AOS222" s="1201"/>
      <c r="AOT222" s="1201"/>
      <c r="AOU222" s="1201"/>
      <c r="AOV222" s="1201"/>
      <c r="AOW222" s="1201"/>
      <c r="AOX222" s="1201"/>
      <c r="AOY222" s="1201"/>
      <c r="AOZ222" s="1201"/>
      <c r="APA222" s="1201"/>
      <c r="APB222" s="1201"/>
      <c r="APC222" s="1201"/>
      <c r="APD222" s="1201"/>
      <c r="APE222" s="1201"/>
      <c r="APF222" s="1201"/>
      <c r="APG222" s="1201"/>
      <c r="APH222" s="1201"/>
      <c r="API222" s="1201"/>
      <c r="APJ222" s="1201"/>
      <c r="APK222" s="1201"/>
      <c r="APL222" s="1201"/>
      <c r="APM222" s="1201"/>
      <c r="APN222" s="1201"/>
      <c r="APO222" s="1201"/>
      <c r="APP222" s="1201"/>
      <c r="APQ222" s="1201"/>
      <c r="APR222" s="1201"/>
      <c r="APS222" s="1201"/>
      <c r="APT222" s="1201"/>
      <c r="APU222" s="1201"/>
      <c r="APV222" s="1201"/>
      <c r="APW222" s="1201"/>
      <c r="APX222" s="1201"/>
      <c r="APY222" s="1201"/>
      <c r="APZ222" s="1201"/>
      <c r="AQA222" s="1201"/>
      <c r="AQB222" s="1201"/>
      <c r="AQC222" s="1201"/>
      <c r="AQD222" s="1201"/>
      <c r="AQE222" s="1201"/>
      <c r="AQF222" s="1201"/>
      <c r="AQG222" s="1201"/>
      <c r="AQH222" s="1201"/>
      <c r="AQI222" s="1201"/>
      <c r="AQJ222" s="1201"/>
      <c r="AQK222" s="1201"/>
      <c r="AQL222" s="1201"/>
      <c r="AQM222" s="1201"/>
      <c r="AQN222" s="1201"/>
      <c r="AQO222" s="1201"/>
      <c r="AQP222" s="1201"/>
      <c r="AQQ222" s="1201"/>
      <c r="AQR222" s="1201"/>
      <c r="AQS222" s="1201"/>
      <c r="AQT222" s="1201"/>
      <c r="AQU222" s="1201"/>
      <c r="AQV222" s="1201"/>
      <c r="AQW222" s="1201"/>
      <c r="AQX222" s="1201"/>
      <c r="AQY222" s="1201"/>
      <c r="AQZ222" s="1201"/>
      <c r="ARA222" s="1201"/>
      <c r="ARB222" s="1201"/>
      <c r="ARC222" s="1201"/>
      <c r="ARD222" s="1201"/>
      <c r="ARE222" s="1201"/>
      <c r="ARF222" s="1201"/>
      <c r="ARG222" s="1201"/>
      <c r="ARH222" s="1201"/>
      <c r="ARI222" s="1201"/>
      <c r="ARJ222" s="1201"/>
      <c r="ARK222" s="1201"/>
      <c r="ARL222" s="1201"/>
      <c r="ARM222" s="1201"/>
      <c r="ARN222" s="1201"/>
      <c r="ARO222" s="1201"/>
      <c r="ARP222" s="1201"/>
      <c r="ARQ222" s="1201"/>
      <c r="ARR222" s="1201"/>
      <c r="ARS222" s="1201"/>
      <c r="ART222" s="1201"/>
      <c r="ARU222" s="1201"/>
      <c r="ARV222" s="1201"/>
      <c r="ARW222" s="1201"/>
      <c r="ARX222" s="1201"/>
      <c r="ARY222" s="1201"/>
      <c r="ARZ222" s="1201"/>
      <c r="ASA222" s="1201"/>
      <c r="ASB222" s="1201"/>
      <c r="ASC222" s="1201"/>
      <c r="ASD222" s="1201"/>
      <c r="ASE222" s="1201"/>
      <c r="ASF222" s="1201"/>
      <c r="ASG222" s="1201"/>
      <c r="ASH222" s="1201"/>
      <c r="ASI222" s="1201"/>
      <c r="ASJ222" s="1201"/>
      <c r="ASK222" s="1201"/>
      <c r="ASL222" s="1201"/>
      <c r="ASM222" s="1201"/>
      <c r="ASN222" s="1201"/>
      <c r="ASO222" s="1201"/>
      <c r="ASP222" s="1201"/>
      <c r="ASQ222" s="1201"/>
      <c r="ASR222" s="1201"/>
      <c r="ASS222" s="1201"/>
      <c r="AST222" s="1201"/>
      <c r="ASU222" s="1201"/>
      <c r="ASV222" s="1201"/>
      <c r="ASW222" s="1201"/>
      <c r="ASX222" s="1201"/>
      <c r="ASY222" s="1201"/>
      <c r="ASZ222" s="1201"/>
      <c r="ATA222" s="1201"/>
      <c r="ATB222" s="1201"/>
      <c r="ATC222" s="1201"/>
      <c r="ATD222" s="1201"/>
      <c r="ATE222" s="1201"/>
      <c r="ATF222" s="1201"/>
      <c r="ATG222" s="1201"/>
      <c r="ATH222" s="1201"/>
      <c r="ATI222" s="1201"/>
      <c r="ATJ222" s="1201"/>
      <c r="ATK222" s="1201"/>
      <c r="ATL222" s="1201"/>
      <c r="ATM222" s="1201"/>
      <c r="ATN222" s="1201"/>
      <c r="ATO222" s="1201"/>
      <c r="ATP222" s="1201"/>
      <c r="ATQ222" s="1201"/>
      <c r="ATR222" s="1201"/>
      <c r="ATS222" s="1201"/>
      <c r="ATT222" s="1201"/>
      <c r="ATU222" s="1201"/>
      <c r="ATV222" s="1201"/>
      <c r="ATW222" s="1201"/>
      <c r="ATX222" s="1201"/>
      <c r="ATY222" s="1201"/>
      <c r="ATZ222" s="1201"/>
      <c r="AUA222" s="1201"/>
      <c r="AUB222" s="1201"/>
      <c r="AUC222" s="1201"/>
      <c r="AUD222" s="1201"/>
      <c r="AUE222" s="1201"/>
      <c r="AUF222" s="1201"/>
      <c r="AUG222" s="1201"/>
      <c r="AUH222" s="1201"/>
      <c r="AUI222" s="1201"/>
      <c r="AUJ222" s="1201"/>
      <c r="AUK222" s="1201"/>
      <c r="AUL222" s="1201"/>
      <c r="AUM222" s="1201"/>
      <c r="AUN222" s="1201"/>
      <c r="AUO222" s="1201"/>
      <c r="AUP222" s="1201"/>
      <c r="AUQ222" s="1201"/>
      <c r="AUR222" s="1201"/>
      <c r="AUS222" s="1201"/>
      <c r="AUT222" s="1201"/>
      <c r="AUU222" s="1201"/>
      <c r="AUV222" s="1201"/>
      <c r="AUW222" s="1201"/>
      <c r="AUX222" s="1201"/>
      <c r="AUY222" s="1201"/>
      <c r="AUZ222" s="1201"/>
      <c r="AVA222" s="1201"/>
      <c r="AVB222" s="1201"/>
      <c r="AVC222" s="1201"/>
      <c r="AVD222" s="1201"/>
      <c r="AVE222" s="1201"/>
      <c r="AVF222" s="1201"/>
      <c r="AVG222" s="1201"/>
      <c r="AVH222" s="1201"/>
      <c r="AVI222" s="1201"/>
      <c r="AVJ222" s="1201"/>
      <c r="AVK222" s="1201"/>
      <c r="AVL222" s="1201"/>
      <c r="AVM222" s="1201"/>
      <c r="AVN222" s="1201"/>
      <c r="AVO222" s="1201"/>
      <c r="AVP222" s="1201"/>
      <c r="AVQ222" s="1201"/>
      <c r="AVR222" s="1201"/>
      <c r="AVS222" s="1201"/>
      <c r="AVT222" s="1201"/>
      <c r="AVU222" s="1201"/>
      <c r="AVV222" s="1201"/>
      <c r="AVW222" s="1201"/>
      <c r="AVX222" s="1201"/>
      <c r="AVY222" s="1201"/>
      <c r="AVZ222" s="1201"/>
      <c r="AWA222" s="1201"/>
      <c r="AWB222" s="1201"/>
      <c r="AWC222" s="1201"/>
      <c r="AWD222" s="1201"/>
      <c r="AWE222" s="1201"/>
      <c r="AWF222" s="1201"/>
      <c r="AWG222" s="1201"/>
      <c r="AWH222" s="1201"/>
      <c r="AWI222" s="1201"/>
      <c r="AWJ222" s="1201"/>
      <c r="AWK222" s="1201"/>
      <c r="AWL222" s="1201"/>
      <c r="AWM222" s="1201"/>
      <c r="AWN222" s="1201"/>
      <c r="AWO222" s="1201"/>
      <c r="AWP222" s="1201"/>
      <c r="AWQ222" s="1201"/>
      <c r="AWR222" s="1201"/>
      <c r="AWS222" s="1201"/>
      <c r="AWT222" s="1201"/>
      <c r="AWU222" s="1201"/>
      <c r="AWV222" s="1201"/>
      <c r="AWW222" s="1201"/>
      <c r="AWX222" s="1201"/>
      <c r="AWY222" s="1201"/>
      <c r="AWZ222" s="1201"/>
      <c r="AXA222" s="1201"/>
      <c r="AXB222" s="1201"/>
      <c r="AXC222" s="1201"/>
      <c r="AXD222" s="1201"/>
      <c r="AXE222" s="1201"/>
      <c r="AXF222" s="1201"/>
      <c r="AXG222" s="1201"/>
      <c r="AXH222" s="1201"/>
      <c r="AXI222" s="1201"/>
      <c r="AXJ222" s="1201"/>
      <c r="AXK222" s="1201"/>
      <c r="AXL222" s="1201"/>
      <c r="AXM222" s="1201"/>
      <c r="AXN222" s="1201"/>
      <c r="AXO222" s="1201"/>
      <c r="AXP222" s="1201"/>
      <c r="AXQ222" s="1201"/>
      <c r="AXR222" s="1201"/>
      <c r="AXS222" s="1201"/>
      <c r="AXT222" s="1201"/>
      <c r="AXU222" s="1201"/>
      <c r="AXV222" s="1201"/>
      <c r="AXW222" s="1201"/>
      <c r="AXX222" s="1201"/>
      <c r="AXY222" s="1201"/>
      <c r="AXZ222" s="1201"/>
      <c r="AYA222" s="1201"/>
      <c r="AYB222" s="1201"/>
      <c r="AYC222" s="1201"/>
      <c r="AYD222" s="1201"/>
      <c r="AYE222" s="1201"/>
      <c r="AYF222" s="1201"/>
      <c r="AYG222" s="1201"/>
      <c r="AYH222" s="1201"/>
      <c r="AYI222" s="1201"/>
      <c r="AYJ222" s="1201"/>
      <c r="AYK222" s="1201"/>
      <c r="AYL222" s="1201"/>
      <c r="AYM222" s="1201"/>
      <c r="AYN222" s="1201"/>
      <c r="AYO222" s="1201"/>
      <c r="AYP222" s="1201"/>
      <c r="AYQ222" s="1201"/>
      <c r="AYR222" s="1201"/>
      <c r="AYS222" s="1201"/>
      <c r="AYT222" s="1201"/>
      <c r="AYU222" s="1201"/>
      <c r="AYV222" s="1201"/>
      <c r="AYW222" s="1201"/>
      <c r="AYX222" s="1201"/>
      <c r="AYY222" s="1201"/>
      <c r="AYZ222" s="1201"/>
      <c r="AZA222" s="1201"/>
      <c r="AZB222" s="1201"/>
      <c r="AZC222" s="1201"/>
      <c r="AZD222" s="1201"/>
      <c r="AZE222" s="1201"/>
      <c r="AZF222" s="1201"/>
      <c r="AZG222" s="1201"/>
      <c r="AZH222" s="1201"/>
      <c r="AZI222" s="1201"/>
      <c r="AZJ222" s="1201"/>
      <c r="AZK222" s="1201"/>
      <c r="AZL222" s="1201"/>
      <c r="AZM222" s="1201"/>
      <c r="AZN222" s="1201"/>
      <c r="AZO222" s="1201"/>
      <c r="AZP222" s="1201"/>
      <c r="AZQ222" s="1201"/>
      <c r="AZR222" s="1201"/>
      <c r="AZS222" s="1201"/>
      <c r="AZT222" s="1201"/>
      <c r="AZU222" s="1201"/>
      <c r="AZV222" s="1201"/>
      <c r="AZW222" s="1201"/>
      <c r="AZX222" s="1201"/>
      <c r="AZY222" s="1201"/>
      <c r="AZZ222" s="1201"/>
      <c r="BAA222" s="1201"/>
      <c r="BAB222" s="1201"/>
      <c r="BAC222" s="1201"/>
      <c r="BAD222" s="1201"/>
      <c r="BAE222" s="1201"/>
      <c r="BAF222" s="1201"/>
      <c r="BAG222" s="1201"/>
      <c r="BAH222" s="1201"/>
      <c r="BAI222" s="1201"/>
      <c r="BAJ222" s="1201"/>
      <c r="BAK222" s="1201"/>
      <c r="BAL222" s="1201"/>
      <c r="BAM222" s="1201"/>
      <c r="BAN222" s="1201"/>
      <c r="BAO222" s="1201"/>
      <c r="BAP222" s="1201"/>
      <c r="BAQ222" s="1201"/>
      <c r="BAR222" s="1201"/>
      <c r="BAS222" s="1201"/>
      <c r="BAT222" s="1201"/>
      <c r="BAU222" s="1201"/>
      <c r="BAV222" s="1201"/>
      <c r="BAW222" s="1201"/>
      <c r="BAX222" s="1201"/>
      <c r="BAY222" s="1201"/>
      <c r="BAZ222" s="1201"/>
      <c r="BBA222" s="1201"/>
      <c r="BBB222" s="1201"/>
      <c r="BBC222" s="1201"/>
      <c r="BBD222" s="1201"/>
      <c r="BBE222" s="1201"/>
      <c r="BBF222" s="1201"/>
      <c r="BBG222" s="1201"/>
      <c r="BBH222" s="1201"/>
      <c r="BBI222" s="1201"/>
      <c r="BBJ222" s="1201"/>
      <c r="BBK222" s="1201"/>
      <c r="BBL222" s="1201"/>
      <c r="BBM222" s="1201"/>
      <c r="BBN222" s="1201"/>
      <c r="BBO222" s="1201"/>
      <c r="BBP222" s="1201"/>
      <c r="BBQ222" s="1201"/>
      <c r="BBR222" s="1201"/>
      <c r="BBS222" s="1201"/>
      <c r="BBT222" s="1201"/>
      <c r="BBU222" s="1201"/>
      <c r="BBV222" s="1201"/>
      <c r="BBW222" s="1201"/>
      <c r="BBX222" s="1201"/>
      <c r="BBY222" s="1201"/>
      <c r="BBZ222" s="1201"/>
      <c r="BCA222" s="1201"/>
      <c r="BCB222" s="1201"/>
      <c r="BCC222" s="1201"/>
      <c r="BCD222" s="1201"/>
      <c r="BCE222" s="1201"/>
      <c r="BCF222" s="1201"/>
      <c r="BCG222" s="1201"/>
      <c r="BCH222" s="1201"/>
      <c r="BCI222" s="1201"/>
      <c r="BCJ222" s="1201"/>
      <c r="BCK222" s="1201"/>
      <c r="BCL222" s="1201"/>
      <c r="BCM222" s="1201"/>
      <c r="BCN222" s="1201"/>
      <c r="BCO222" s="1201"/>
      <c r="BCP222" s="1201"/>
      <c r="BCQ222" s="1201"/>
      <c r="BCR222" s="1201"/>
      <c r="BCS222" s="1201"/>
      <c r="BCT222" s="1201"/>
      <c r="BCU222" s="1201"/>
      <c r="BCV222" s="1201"/>
      <c r="BCW222" s="1201"/>
      <c r="BCX222" s="1201"/>
      <c r="BCY222" s="1201"/>
      <c r="BCZ222" s="1201"/>
      <c r="BDA222" s="1201"/>
      <c r="BDB222" s="1201"/>
      <c r="BDC222" s="1201"/>
      <c r="BDD222" s="1201"/>
      <c r="BDE222" s="1201"/>
      <c r="BDF222" s="1201"/>
      <c r="BDG222" s="1201"/>
      <c r="BDH222" s="1201"/>
      <c r="BDI222" s="1201"/>
      <c r="BDJ222" s="1201"/>
      <c r="BDK222" s="1201"/>
      <c r="BDL222" s="1201"/>
      <c r="BDM222" s="1201"/>
      <c r="BDN222" s="1201"/>
      <c r="BDO222" s="1201"/>
      <c r="BDP222" s="1201"/>
      <c r="BDQ222" s="1201"/>
      <c r="BDR222" s="1201"/>
      <c r="BDS222" s="1201"/>
      <c r="BDT222" s="1201"/>
      <c r="BDU222" s="1201"/>
      <c r="BDV222" s="1201"/>
      <c r="BDW222" s="1201"/>
      <c r="BDX222" s="1201"/>
      <c r="BDY222" s="1201"/>
      <c r="BDZ222" s="1201"/>
      <c r="BEA222" s="1201"/>
      <c r="BEB222" s="1201"/>
      <c r="BEC222" s="1201"/>
      <c r="BED222" s="1201"/>
      <c r="BEE222" s="1201"/>
      <c r="BEF222" s="1201"/>
      <c r="BEG222" s="1201"/>
      <c r="BEH222" s="1201"/>
      <c r="BEI222" s="1201"/>
      <c r="BEJ222" s="1201"/>
      <c r="BEK222" s="1201"/>
      <c r="BEL222" s="1201"/>
      <c r="BEM222" s="1201"/>
      <c r="BEN222" s="1201"/>
      <c r="BEO222" s="1201"/>
      <c r="BEP222" s="1201"/>
      <c r="BEQ222" s="1201"/>
      <c r="BER222" s="1201"/>
      <c r="BES222" s="1201"/>
      <c r="BET222" s="1201"/>
      <c r="BEU222" s="1201"/>
      <c r="BEV222" s="1201"/>
      <c r="BEW222" s="1201"/>
      <c r="BEX222" s="1201"/>
      <c r="BEY222" s="1201"/>
      <c r="BEZ222" s="1201"/>
      <c r="BFA222" s="1201"/>
      <c r="BFB222" s="1201"/>
      <c r="BFC222" s="1201"/>
      <c r="BFD222" s="1201"/>
      <c r="BFE222" s="1201"/>
      <c r="BFF222" s="1201"/>
      <c r="BFG222" s="1201"/>
      <c r="BFH222" s="1201"/>
      <c r="BFI222" s="1201"/>
      <c r="BFJ222" s="1201"/>
      <c r="BFK222" s="1201"/>
      <c r="BFL222" s="1201"/>
      <c r="BFM222" s="1201"/>
      <c r="BFN222" s="1201"/>
      <c r="BFO222" s="1201"/>
      <c r="BFP222" s="1201"/>
      <c r="BFQ222" s="1201"/>
      <c r="BFR222" s="1201"/>
      <c r="BFS222" s="1201"/>
      <c r="BFT222" s="1201"/>
      <c r="BFU222" s="1201"/>
      <c r="BFV222" s="1201"/>
      <c r="BFW222" s="1201"/>
      <c r="BFX222" s="1201"/>
      <c r="BFY222" s="1201"/>
      <c r="BFZ222" s="1201"/>
      <c r="BGA222" s="1201"/>
      <c r="BGB222" s="1201"/>
      <c r="BGC222" s="1201"/>
      <c r="BGD222" s="1201"/>
      <c r="BGE222" s="1201"/>
      <c r="BGF222" s="1201"/>
      <c r="BGG222" s="1201"/>
      <c r="BGH222" s="1201"/>
      <c r="BGI222" s="1201"/>
      <c r="BGJ222" s="1201"/>
      <c r="BGK222" s="1201"/>
      <c r="BGL222" s="1201"/>
      <c r="BGM222" s="1201"/>
      <c r="BGN222" s="1201"/>
      <c r="BGO222" s="1201"/>
      <c r="BGP222" s="1201"/>
      <c r="BGQ222" s="1201"/>
      <c r="BGR222" s="1201"/>
      <c r="BGS222" s="1201"/>
      <c r="BGT222" s="1201"/>
      <c r="BGU222" s="1201"/>
      <c r="BGV222" s="1201"/>
      <c r="BGW222" s="1201"/>
      <c r="BGX222" s="1201"/>
      <c r="BGY222" s="1201"/>
      <c r="BGZ222" s="1201"/>
      <c r="BHA222" s="1201"/>
      <c r="BHB222" s="1201"/>
      <c r="BHC222" s="1201"/>
      <c r="BHD222" s="1201"/>
      <c r="BHE222" s="1201"/>
      <c r="BHF222" s="1201"/>
      <c r="BHG222" s="1201"/>
      <c r="BHH222" s="1201"/>
      <c r="BHI222" s="1201"/>
      <c r="BHJ222" s="1201"/>
      <c r="BHK222" s="1201"/>
      <c r="BHL222" s="1201"/>
      <c r="BHM222" s="1201"/>
      <c r="BHN222" s="1201"/>
      <c r="BHO222" s="1201"/>
      <c r="BHP222" s="1201"/>
      <c r="BHQ222" s="1201"/>
      <c r="BHR222" s="1201"/>
      <c r="BHS222" s="1201"/>
      <c r="BHT222" s="1201"/>
      <c r="BHU222" s="1201"/>
      <c r="BHV222" s="1201"/>
      <c r="BHW222" s="1201"/>
      <c r="BHX222" s="1201"/>
      <c r="BHY222" s="1201"/>
      <c r="BHZ222" s="1201"/>
      <c r="BIA222" s="1201"/>
      <c r="BIB222" s="1201"/>
      <c r="BIC222" s="1201"/>
      <c r="BID222" s="1201"/>
      <c r="BIE222" s="1201"/>
      <c r="BIF222" s="1201"/>
      <c r="BIG222" s="1201"/>
      <c r="BIH222" s="1201"/>
      <c r="BII222" s="1201"/>
      <c r="BIJ222" s="1201"/>
      <c r="BIK222" s="1201"/>
      <c r="BIL222" s="1201"/>
      <c r="BIM222" s="1201"/>
      <c r="BIN222" s="1201"/>
      <c r="BIO222" s="1201"/>
      <c r="BIP222" s="1201"/>
      <c r="BIQ222" s="1201"/>
      <c r="BIR222" s="1201"/>
      <c r="BIS222" s="1201"/>
      <c r="BIT222" s="1201"/>
      <c r="BIU222" s="1201"/>
      <c r="BIV222" s="1201"/>
      <c r="BIW222" s="1201"/>
      <c r="BIX222" s="1201"/>
      <c r="BIY222" s="1201"/>
      <c r="BIZ222" s="1201"/>
      <c r="BJA222" s="1201"/>
      <c r="BJB222" s="1201"/>
      <c r="BJC222" s="1201"/>
      <c r="BJD222" s="1201"/>
      <c r="BJE222" s="1201"/>
      <c r="BJF222" s="1201"/>
      <c r="BJG222" s="1201"/>
      <c r="BJH222" s="1201"/>
      <c r="BJI222" s="1201"/>
      <c r="BJJ222" s="1201"/>
      <c r="BJK222" s="1201"/>
      <c r="BJL222" s="1201"/>
      <c r="BJM222" s="1201"/>
      <c r="BJN222" s="1201"/>
      <c r="BJO222" s="1201"/>
      <c r="BJP222" s="1201"/>
      <c r="BJQ222" s="1201"/>
      <c r="BJR222" s="1201"/>
      <c r="BJS222" s="1201"/>
      <c r="BJT222" s="1201"/>
      <c r="BJU222" s="1201"/>
      <c r="BJV222" s="1201"/>
      <c r="BJW222" s="1201"/>
      <c r="BJX222" s="1201"/>
      <c r="BJY222" s="1201"/>
      <c r="BJZ222" s="1201"/>
      <c r="BKA222" s="1201"/>
      <c r="BKB222" s="1201"/>
      <c r="BKC222" s="1201"/>
      <c r="BKD222" s="1201"/>
      <c r="BKE222" s="1201"/>
      <c r="BKF222" s="1201"/>
      <c r="BKG222" s="1201"/>
      <c r="BKH222" s="1201"/>
      <c r="BKI222" s="1201"/>
      <c r="BKJ222" s="1201"/>
      <c r="BKK222" s="1201"/>
      <c r="BKL222" s="1201"/>
      <c r="BKM222" s="1201"/>
      <c r="BKN222" s="1201"/>
      <c r="BKO222" s="1201"/>
      <c r="BKP222" s="1201"/>
      <c r="BKQ222" s="1201"/>
      <c r="BKR222" s="1201"/>
      <c r="BKS222" s="1201"/>
      <c r="BKT222" s="1201"/>
      <c r="BKU222" s="1201"/>
      <c r="BKV222" s="1201"/>
      <c r="BKW222" s="1201"/>
      <c r="BKX222" s="1201"/>
      <c r="BKY222" s="1201"/>
      <c r="BKZ222" s="1201"/>
      <c r="BLA222" s="1201"/>
      <c r="BLB222" s="1201"/>
      <c r="BLC222" s="1201"/>
      <c r="BLD222" s="1201"/>
      <c r="BLE222" s="1201"/>
      <c r="BLF222" s="1201"/>
      <c r="BLG222" s="1201"/>
      <c r="BLH222" s="1201"/>
      <c r="BLI222" s="1201"/>
      <c r="BLJ222" s="1201"/>
      <c r="BLK222" s="1201"/>
      <c r="BLL222" s="1201"/>
      <c r="BLM222" s="1201"/>
      <c r="BLN222" s="1201"/>
      <c r="BLO222" s="1201"/>
      <c r="BLP222" s="1201"/>
      <c r="BLQ222" s="1201"/>
      <c r="BLR222" s="1201"/>
      <c r="BLS222" s="1201"/>
      <c r="BLT222" s="1201"/>
      <c r="BLU222" s="1201"/>
      <c r="BLV222" s="1201"/>
      <c r="BLW222" s="1201"/>
      <c r="BLX222" s="1201"/>
      <c r="BLY222" s="1201"/>
      <c r="BLZ222" s="1201"/>
      <c r="BMA222" s="1201"/>
      <c r="BMB222" s="1201"/>
      <c r="BMC222" s="1201"/>
      <c r="BMD222" s="1201"/>
      <c r="BME222" s="1201"/>
      <c r="BMF222" s="1201"/>
      <c r="BMG222" s="1201"/>
      <c r="BMH222" s="1201"/>
      <c r="BMI222" s="1201"/>
      <c r="BMJ222" s="1201"/>
      <c r="BMK222" s="1201"/>
      <c r="BML222" s="1201"/>
      <c r="BMM222" s="1201"/>
      <c r="BMN222" s="1201"/>
      <c r="BMO222" s="1201"/>
      <c r="BMP222" s="1201"/>
      <c r="BMQ222" s="1201"/>
      <c r="BMR222" s="1201"/>
      <c r="BMS222" s="1201"/>
      <c r="BMT222" s="1201"/>
      <c r="BMU222" s="1201"/>
      <c r="BMV222" s="1201"/>
      <c r="BMW222" s="1201"/>
      <c r="BMX222" s="1201"/>
      <c r="BMY222" s="1201"/>
      <c r="BMZ222" s="1201"/>
      <c r="BNA222" s="1201"/>
      <c r="BNB222" s="1201"/>
      <c r="BNC222" s="1201"/>
      <c r="BND222" s="1201"/>
      <c r="BNE222" s="1201"/>
      <c r="BNF222" s="1201"/>
      <c r="BNG222" s="1201"/>
      <c r="BNH222" s="1201"/>
      <c r="BNI222" s="1201"/>
      <c r="BNJ222" s="1201"/>
      <c r="BNK222" s="1201"/>
      <c r="BNL222" s="1201"/>
      <c r="BNM222" s="1201"/>
      <c r="BNN222" s="1201"/>
      <c r="BNO222" s="1201"/>
      <c r="BNP222" s="1201"/>
      <c r="BNQ222" s="1201"/>
      <c r="BNR222" s="1201"/>
      <c r="BNS222" s="1201"/>
      <c r="BNT222" s="1201"/>
      <c r="BNU222" s="1201"/>
      <c r="BNV222" s="1201"/>
      <c r="BNW222" s="1201"/>
      <c r="BNX222" s="1201"/>
      <c r="BNY222" s="1201"/>
      <c r="BNZ222" s="1201"/>
      <c r="BOA222" s="1201"/>
      <c r="BOB222" s="1201"/>
      <c r="BOC222" s="1201"/>
      <c r="BOD222" s="1201"/>
      <c r="BOE222" s="1201"/>
      <c r="BOF222" s="1201"/>
      <c r="BOG222" s="1201"/>
      <c r="BOH222" s="1201"/>
      <c r="BOI222" s="1201"/>
      <c r="BOJ222" s="1201"/>
      <c r="BOK222" s="1201"/>
      <c r="BOL222" s="1201"/>
      <c r="BOM222" s="1201"/>
      <c r="BON222" s="1201"/>
      <c r="BOO222" s="1201"/>
      <c r="BOP222" s="1201"/>
      <c r="BOQ222" s="1201"/>
      <c r="BOR222" s="1201"/>
      <c r="BOS222" s="1201"/>
      <c r="BOT222" s="1201"/>
      <c r="BOU222" s="1201"/>
      <c r="BOV222" s="1201"/>
      <c r="BOW222" s="1201"/>
      <c r="BOX222" s="1201"/>
      <c r="BOY222" s="1201"/>
      <c r="BOZ222" s="1201"/>
      <c r="BPA222" s="1201"/>
      <c r="BPB222" s="1201"/>
      <c r="BPC222" s="1201"/>
      <c r="BPD222" s="1201"/>
      <c r="BPE222" s="1201"/>
      <c r="BPF222" s="1201"/>
      <c r="BPG222" s="1201"/>
      <c r="BPH222" s="1201"/>
      <c r="BPI222" s="1201"/>
      <c r="BPJ222" s="1201"/>
      <c r="BPK222" s="1201"/>
      <c r="BPL222" s="1201"/>
      <c r="BPM222" s="1201"/>
      <c r="BPN222" s="1201"/>
      <c r="BPO222" s="1201"/>
      <c r="BPP222" s="1201"/>
      <c r="BPQ222" s="1201"/>
      <c r="BPR222" s="1201"/>
      <c r="BPS222" s="1201"/>
      <c r="BPT222" s="1201"/>
      <c r="BPU222" s="1201"/>
      <c r="BPV222" s="1201"/>
      <c r="BPW222" s="1201"/>
      <c r="BPX222" s="1201"/>
      <c r="BPY222" s="1201"/>
      <c r="BPZ222" s="1201"/>
      <c r="BQA222" s="1201"/>
      <c r="BQB222" s="1201"/>
      <c r="BQC222" s="1201"/>
      <c r="BQD222" s="1201"/>
      <c r="BQE222" s="1201"/>
      <c r="BQF222" s="1201"/>
      <c r="BQG222" s="1201"/>
      <c r="BQH222" s="1201"/>
      <c r="BQI222" s="1201"/>
      <c r="BQJ222" s="1201"/>
      <c r="BQK222" s="1201"/>
      <c r="BQL222" s="1201"/>
      <c r="BQM222" s="1201"/>
      <c r="BQN222" s="1201"/>
      <c r="BQO222" s="1201"/>
      <c r="BQP222" s="1201"/>
      <c r="BQQ222" s="1201"/>
      <c r="BQR222" s="1201"/>
      <c r="BQS222" s="1201"/>
      <c r="BQT222" s="1201"/>
      <c r="BQU222" s="1201"/>
      <c r="BQV222" s="1201"/>
      <c r="BQW222" s="1201"/>
      <c r="BQX222" s="1201"/>
      <c r="BQY222" s="1201"/>
      <c r="BQZ222" s="1201"/>
      <c r="BRA222" s="1201"/>
      <c r="BRB222" s="1201"/>
      <c r="BRC222" s="1201"/>
      <c r="BRD222" s="1201"/>
      <c r="BRE222" s="1201"/>
      <c r="BRF222" s="1201"/>
      <c r="BRG222" s="1201"/>
      <c r="BRH222" s="1201"/>
      <c r="BRI222" s="1201"/>
      <c r="BRJ222" s="1201"/>
      <c r="BRK222" s="1201"/>
      <c r="BRL222" s="1201"/>
      <c r="BRM222" s="1201"/>
      <c r="BRN222" s="1201"/>
      <c r="BRO222" s="1201"/>
      <c r="BRP222" s="1201"/>
      <c r="BRQ222" s="1201"/>
      <c r="BRR222" s="1201"/>
      <c r="BRS222" s="1201"/>
      <c r="BRT222" s="1201"/>
      <c r="BRU222" s="1201"/>
      <c r="BRV222" s="1201"/>
      <c r="BRW222" s="1201"/>
      <c r="BRX222" s="1201"/>
      <c r="BRY222" s="1201"/>
      <c r="BRZ222" s="1201"/>
      <c r="BSA222" s="1201"/>
      <c r="BSB222" s="1201"/>
      <c r="BSC222" s="1201"/>
      <c r="BSD222" s="1201"/>
      <c r="BSE222" s="1201"/>
      <c r="BSF222" s="1201"/>
      <c r="BSG222" s="1201"/>
      <c r="BSH222" s="1201"/>
      <c r="BSI222" s="1201"/>
      <c r="BSJ222" s="1201"/>
      <c r="BSK222" s="1201"/>
      <c r="BSL222" s="1201"/>
      <c r="BSM222" s="1201"/>
      <c r="BSN222" s="1201"/>
      <c r="BSO222" s="1201"/>
      <c r="BSP222" s="1201"/>
      <c r="BSQ222" s="1201"/>
      <c r="BSR222" s="1201"/>
      <c r="BSS222" s="1201"/>
      <c r="BST222" s="1201"/>
      <c r="BSU222" s="1201"/>
      <c r="BSV222" s="1201"/>
      <c r="BSW222" s="1201"/>
      <c r="BSX222" s="1201"/>
      <c r="BSY222" s="1201"/>
      <c r="BSZ222" s="1201"/>
      <c r="BTA222" s="1201"/>
      <c r="BTB222" s="1201"/>
      <c r="BTC222" s="1201"/>
      <c r="BTD222" s="1201"/>
      <c r="BTE222" s="1201"/>
      <c r="BTF222" s="1201"/>
      <c r="BTG222" s="1201"/>
      <c r="BTH222" s="1201"/>
      <c r="BTI222" s="1201"/>
      <c r="BTJ222" s="1201"/>
      <c r="BTK222" s="1201"/>
      <c r="BTL222" s="1201"/>
      <c r="BTM222" s="1201"/>
      <c r="BTN222" s="1201"/>
      <c r="BTO222" s="1201"/>
      <c r="BTP222" s="1201"/>
      <c r="BTQ222" s="1201"/>
      <c r="BTR222" s="1201"/>
      <c r="BTS222" s="1201"/>
      <c r="BTT222" s="1201"/>
      <c r="BTU222" s="1201"/>
      <c r="BTV222" s="1201"/>
      <c r="BTW222" s="1201"/>
      <c r="BTX222" s="1201"/>
      <c r="BTY222" s="1201"/>
      <c r="BTZ222" s="1201"/>
      <c r="BUA222" s="1201"/>
      <c r="BUB222" s="1201"/>
      <c r="BUC222" s="1201"/>
      <c r="BUD222" s="1201"/>
      <c r="BUE222" s="1201"/>
      <c r="BUF222" s="1201"/>
      <c r="BUG222" s="1201"/>
      <c r="BUH222" s="1201"/>
      <c r="BUI222" s="1201"/>
      <c r="BUJ222" s="1201"/>
      <c r="BUK222" s="1201"/>
      <c r="BUL222" s="1201"/>
      <c r="BUM222" s="1201"/>
      <c r="BUN222" s="1201"/>
      <c r="BUO222" s="1201"/>
      <c r="BUP222" s="1201"/>
      <c r="BUQ222" s="1201"/>
      <c r="BUR222" s="1201"/>
      <c r="BUS222" s="1201"/>
      <c r="BUT222" s="1201"/>
      <c r="BUU222" s="1201"/>
      <c r="BUV222" s="1201"/>
      <c r="BUW222" s="1201"/>
      <c r="BUX222" s="1201"/>
      <c r="BUY222" s="1201"/>
      <c r="BUZ222" s="1201"/>
      <c r="BVA222" s="1201"/>
      <c r="BVB222" s="1201"/>
      <c r="BVC222" s="1201"/>
      <c r="BVD222" s="1201"/>
      <c r="BVE222" s="1201"/>
      <c r="BVF222" s="1201"/>
      <c r="BVG222" s="1201"/>
      <c r="BVH222" s="1201"/>
      <c r="BVI222" s="1201"/>
      <c r="BVJ222" s="1201"/>
      <c r="BVK222" s="1201"/>
      <c r="BVL222" s="1201"/>
      <c r="BVM222" s="1201"/>
      <c r="BVN222" s="1201"/>
      <c r="BVO222" s="1201"/>
      <c r="BVP222" s="1201"/>
      <c r="BVQ222" s="1201"/>
      <c r="BVR222" s="1201"/>
      <c r="BVS222" s="1201"/>
      <c r="BVT222" s="1201"/>
      <c r="BVU222" s="1201"/>
      <c r="BVV222" s="1201"/>
      <c r="BVW222" s="1201"/>
      <c r="BVX222" s="1201"/>
      <c r="BVY222" s="1201"/>
      <c r="BVZ222" s="1201"/>
      <c r="BWA222" s="1201"/>
      <c r="BWB222" s="1201"/>
      <c r="BWC222" s="1201"/>
      <c r="BWD222" s="1201"/>
      <c r="BWE222" s="1201"/>
      <c r="BWF222" s="1201"/>
      <c r="BWG222" s="1201"/>
      <c r="BWH222" s="1201"/>
      <c r="BWI222" s="1201"/>
      <c r="BWJ222" s="1201"/>
      <c r="BWK222" s="1201"/>
      <c r="BWL222" s="1201"/>
      <c r="BWM222" s="1201"/>
      <c r="BWN222" s="1201"/>
      <c r="BWO222" s="1201"/>
      <c r="BWP222" s="1201"/>
      <c r="BWQ222" s="1201"/>
      <c r="BWR222" s="1201"/>
      <c r="BWS222" s="1201"/>
      <c r="BWT222" s="1201"/>
      <c r="BWU222" s="1201"/>
      <c r="BWV222" s="1201"/>
      <c r="BWW222" s="1201"/>
      <c r="BWX222" s="1201"/>
      <c r="BWY222" s="1201"/>
      <c r="BWZ222" s="1201"/>
      <c r="BXA222" s="1201"/>
      <c r="BXB222" s="1201"/>
      <c r="BXC222" s="1201"/>
      <c r="BXD222" s="1201"/>
      <c r="BXE222" s="1201"/>
      <c r="BXF222" s="1201"/>
      <c r="BXG222" s="1201"/>
      <c r="BXH222" s="1201"/>
      <c r="BXI222" s="1201"/>
      <c r="BXJ222" s="1201"/>
      <c r="BXK222" s="1201"/>
      <c r="BXL222" s="1201"/>
      <c r="BXM222" s="1201"/>
      <c r="BXN222" s="1201"/>
      <c r="BXO222" s="1201"/>
      <c r="BXP222" s="1201"/>
      <c r="BXQ222" s="1201"/>
      <c r="BXR222" s="1201"/>
      <c r="BXS222" s="1201"/>
      <c r="BXT222" s="1201"/>
      <c r="BXU222" s="1201"/>
      <c r="BXV222" s="1201"/>
      <c r="BXW222" s="1201"/>
      <c r="BXX222" s="1201"/>
      <c r="BXY222" s="1201"/>
      <c r="BXZ222" s="1201"/>
      <c r="BYA222" s="1201"/>
      <c r="BYB222" s="1201"/>
      <c r="BYC222" s="1201"/>
      <c r="BYD222" s="1201"/>
      <c r="BYE222" s="1201"/>
      <c r="BYF222" s="1201"/>
      <c r="BYG222" s="1201"/>
      <c r="BYH222" s="1201"/>
      <c r="BYI222" s="1201"/>
      <c r="BYJ222" s="1201"/>
      <c r="BYK222" s="1201"/>
      <c r="BYL222" s="1201"/>
      <c r="BYM222" s="1201"/>
      <c r="BYN222" s="1201"/>
      <c r="BYO222" s="1201"/>
      <c r="BYP222" s="1201"/>
      <c r="BYQ222" s="1201"/>
      <c r="BYR222" s="1201"/>
      <c r="BYS222" s="1201"/>
      <c r="BYT222" s="1201"/>
      <c r="BYU222" s="1201"/>
      <c r="BYV222" s="1201"/>
      <c r="BYW222" s="1201"/>
      <c r="BYX222" s="1201"/>
      <c r="BYY222" s="1201"/>
      <c r="BYZ222" s="1201"/>
      <c r="BZA222" s="1201"/>
      <c r="BZB222" s="1201"/>
      <c r="BZC222" s="1201"/>
      <c r="BZD222" s="1201"/>
      <c r="BZE222" s="1201"/>
      <c r="BZF222" s="1201"/>
      <c r="BZG222" s="1201"/>
      <c r="BZH222" s="1201"/>
      <c r="BZI222" s="1201"/>
      <c r="BZJ222" s="1201"/>
      <c r="BZK222" s="1201"/>
      <c r="BZL222" s="1201"/>
      <c r="BZM222" s="1201"/>
      <c r="BZN222" s="1201"/>
      <c r="BZO222" s="1201"/>
      <c r="BZP222" s="1201"/>
      <c r="BZQ222" s="1201"/>
      <c r="BZR222" s="1201"/>
      <c r="BZS222" s="1201"/>
      <c r="BZT222" s="1201"/>
      <c r="BZU222" s="1201"/>
      <c r="BZV222" s="1201"/>
      <c r="BZW222" s="1201"/>
      <c r="BZX222" s="1201"/>
      <c r="BZY222" s="1201"/>
      <c r="BZZ222" s="1201"/>
      <c r="CAA222" s="1201"/>
      <c r="CAB222" s="1201"/>
      <c r="CAC222" s="1201"/>
      <c r="CAD222" s="1201"/>
      <c r="CAE222" s="1201"/>
      <c r="CAF222" s="1201"/>
      <c r="CAG222" s="1201"/>
      <c r="CAH222" s="1201"/>
      <c r="CAI222" s="1201"/>
      <c r="CAJ222" s="1201"/>
      <c r="CAK222" s="1201"/>
      <c r="CAL222" s="1201"/>
      <c r="CAM222" s="1201"/>
      <c r="CAN222" s="1201"/>
      <c r="CAO222" s="1201"/>
      <c r="CAP222" s="1201"/>
      <c r="CAQ222" s="1201"/>
      <c r="CAR222" s="1201"/>
      <c r="CAS222" s="1201"/>
      <c r="CAT222" s="1201"/>
      <c r="CAU222" s="1201"/>
      <c r="CAV222" s="1201"/>
      <c r="CAW222" s="1201"/>
      <c r="CAX222" s="1201"/>
      <c r="CAY222" s="1201"/>
      <c r="CAZ222" s="1201"/>
      <c r="CBA222" s="1201"/>
      <c r="CBB222" s="1201"/>
      <c r="CBC222" s="1201"/>
      <c r="CBD222" s="1201"/>
      <c r="CBE222" s="1201"/>
      <c r="CBF222" s="1201"/>
      <c r="CBG222" s="1201"/>
      <c r="CBH222" s="1201"/>
      <c r="CBI222" s="1201"/>
      <c r="CBJ222" s="1201"/>
      <c r="CBK222" s="1201"/>
      <c r="CBL222" s="1201"/>
      <c r="CBM222" s="1201"/>
      <c r="CBN222" s="1201"/>
      <c r="CBO222" s="1201"/>
      <c r="CBP222" s="1201"/>
      <c r="CBQ222" s="1201"/>
      <c r="CBR222" s="1201"/>
      <c r="CBS222" s="1201"/>
      <c r="CBT222" s="1201"/>
      <c r="CBU222" s="1201"/>
      <c r="CBV222" s="1201"/>
      <c r="CBW222" s="1201"/>
      <c r="CBX222" s="1201"/>
      <c r="CBY222" s="1201"/>
      <c r="CBZ222" s="1201"/>
      <c r="CCA222" s="1201"/>
      <c r="CCB222" s="1201"/>
      <c r="CCC222" s="1201"/>
      <c r="CCD222" s="1201"/>
      <c r="CCE222" s="1201"/>
      <c r="CCF222" s="1201"/>
      <c r="CCG222" s="1201"/>
      <c r="CCH222" s="1201"/>
      <c r="CCI222" s="1201"/>
      <c r="CCJ222" s="1201"/>
      <c r="CCK222" s="1201"/>
      <c r="CCL222" s="1201"/>
      <c r="CCM222" s="1201"/>
      <c r="CCN222" s="1201"/>
      <c r="CCO222" s="1201"/>
      <c r="CCP222" s="1201"/>
      <c r="CCQ222" s="1201"/>
      <c r="CCR222" s="1201"/>
      <c r="CCS222" s="1201"/>
      <c r="CCT222" s="1201"/>
      <c r="CCU222" s="1201"/>
      <c r="CCV222" s="1201"/>
      <c r="CCW222" s="1201"/>
      <c r="CCX222" s="1201"/>
      <c r="CCY222" s="1201"/>
      <c r="CCZ222" s="1201"/>
      <c r="CDA222" s="1201"/>
      <c r="CDB222" s="1201"/>
      <c r="CDC222" s="1201"/>
      <c r="CDD222" s="1201"/>
      <c r="CDE222" s="1201"/>
      <c r="CDF222" s="1201"/>
      <c r="CDG222" s="1201"/>
      <c r="CDH222" s="1201"/>
      <c r="CDI222" s="1201"/>
      <c r="CDJ222" s="1201"/>
      <c r="CDK222" s="1201"/>
      <c r="CDL222" s="1201"/>
      <c r="CDM222" s="1201"/>
      <c r="CDN222" s="1201"/>
      <c r="CDO222" s="1201"/>
      <c r="CDP222" s="1201"/>
      <c r="CDQ222" s="1201"/>
      <c r="CDR222" s="1201"/>
      <c r="CDS222" s="1201"/>
      <c r="CDT222" s="1201"/>
      <c r="CDU222" s="1201"/>
      <c r="CDV222" s="1201"/>
      <c r="CDW222" s="1201"/>
      <c r="CDX222" s="1201"/>
      <c r="CDY222" s="1201"/>
      <c r="CDZ222" s="1201"/>
      <c r="CEA222" s="1201"/>
      <c r="CEB222" s="1201"/>
      <c r="CEC222" s="1201"/>
      <c r="CED222" s="1201"/>
      <c r="CEE222" s="1201"/>
      <c r="CEF222" s="1201"/>
      <c r="CEG222" s="1201"/>
      <c r="CEH222" s="1201"/>
      <c r="CEI222" s="1201"/>
      <c r="CEJ222" s="1201"/>
      <c r="CEK222" s="1201"/>
      <c r="CEL222" s="1201"/>
      <c r="CEM222" s="1201"/>
      <c r="CEN222" s="1201"/>
      <c r="CEO222" s="1201"/>
      <c r="CEP222" s="1201"/>
      <c r="CEQ222" s="1201"/>
      <c r="CER222" s="1201"/>
      <c r="CES222" s="1201"/>
      <c r="CET222" s="1201"/>
      <c r="CEU222" s="1201"/>
      <c r="CEV222" s="1201"/>
      <c r="CEW222" s="1201"/>
      <c r="CEX222" s="1201"/>
      <c r="CEY222" s="1201"/>
      <c r="CEZ222" s="1201"/>
      <c r="CFA222" s="1201"/>
      <c r="CFB222" s="1201"/>
      <c r="CFC222" s="1201"/>
      <c r="CFD222" s="1201"/>
      <c r="CFE222" s="1201"/>
      <c r="CFF222" s="1201"/>
      <c r="CFG222" s="1201"/>
      <c r="CFH222" s="1201"/>
      <c r="CFI222" s="1201"/>
      <c r="CFJ222" s="1201"/>
      <c r="CFK222" s="1201"/>
      <c r="CFL222" s="1201"/>
      <c r="CFM222" s="1201"/>
      <c r="CFN222" s="1201"/>
      <c r="CFO222" s="1201"/>
      <c r="CFP222" s="1201"/>
      <c r="CFQ222" s="1201"/>
      <c r="CFR222" s="1201"/>
      <c r="CFS222" s="1201"/>
      <c r="CFT222" s="1201"/>
      <c r="CFU222" s="1201"/>
      <c r="CFV222" s="1201"/>
      <c r="CFW222" s="1201"/>
      <c r="CFX222" s="1201"/>
      <c r="CFY222" s="1201"/>
      <c r="CFZ222" s="1201"/>
      <c r="CGA222" s="1201"/>
      <c r="CGB222" s="1201"/>
      <c r="CGC222" s="1201"/>
      <c r="CGD222" s="1201"/>
      <c r="CGE222" s="1201"/>
      <c r="CGF222" s="1201"/>
      <c r="CGG222" s="1201"/>
      <c r="CGH222" s="1201"/>
      <c r="CGI222" s="1201"/>
      <c r="CGJ222" s="1201"/>
      <c r="CGK222" s="1201"/>
      <c r="CGL222" s="1201"/>
      <c r="CGM222" s="1201"/>
      <c r="CGN222" s="1201"/>
      <c r="CGO222" s="1201"/>
      <c r="CGP222" s="1201"/>
      <c r="CGQ222" s="1201"/>
      <c r="CGR222" s="1201"/>
      <c r="CGS222" s="1201"/>
      <c r="CGT222" s="1201"/>
      <c r="CGU222" s="1201"/>
      <c r="CGV222" s="1201"/>
      <c r="CGW222" s="1201"/>
      <c r="CGX222" s="1201"/>
      <c r="CGY222" s="1201"/>
      <c r="CGZ222" s="1201"/>
      <c r="CHA222" s="1201"/>
      <c r="CHB222" s="1201"/>
      <c r="CHC222" s="1201"/>
      <c r="CHD222" s="1201"/>
      <c r="CHE222" s="1201"/>
      <c r="CHF222" s="1201"/>
      <c r="CHG222" s="1201"/>
      <c r="CHH222" s="1201"/>
      <c r="CHI222" s="1201"/>
      <c r="CHJ222" s="1201"/>
      <c r="CHK222" s="1201"/>
      <c r="CHL222" s="1201"/>
      <c r="CHM222" s="1201"/>
      <c r="CHN222" s="1201"/>
      <c r="CHO222" s="1201"/>
      <c r="CHP222" s="1201"/>
      <c r="CHQ222" s="1201"/>
      <c r="CHR222" s="1201"/>
      <c r="CHS222" s="1201"/>
      <c r="CHT222" s="1201"/>
      <c r="CHU222" s="1201"/>
      <c r="CHV222" s="1201"/>
      <c r="CHW222" s="1201"/>
      <c r="CHX222" s="1201"/>
      <c r="CHY222" s="1201"/>
      <c r="CHZ222" s="1201"/>
      <c r="CIA222" s="1201"/>
      <c r="CIB222" s="1201"/>
      <c r="CIC222" s="1201"/>
      <c r="CID222" s="1201"/>
      <c r="CIE222" s="1201"/>
      <c r="CIF222" s="1201"/>
      <c r="CIG222" s="1201"/>
      <c r="CIH222" s="1201"/>
      <c r="CII222" s="1201"/>
      <c r="CIJ222" s="1201"/>
      <c r="CIK222" s="1201"/>
      <c r="CIL222" s="1201"/>
      <c r="CIM222" s="1201"/>
      <c r="CIN222" s="1201"/>
      <c r="CIO222" s="1201"/>
      <c r="CIP222" s="1201"/>
      <c r="CIQ222" s="1201"/>
      <c r="CIR222" s="1201"/>
      <c r="CIS222" s="1201"/>
      <c r="CIT222" s="1201"/>
      <c r="CIU222" s="1201"/>
      <c r="CIV222" s="1201"/>
      <c r="CIW222" s="1201"/>
      <c r="CIX222" s="1201"/>
      <c r="CIY222" s="1201"/>
      <c r="CIZ222" s="1201"/>
      <c r="CJA222" s="1201"/>
      <c r="CJB222" s="1201"/>
      <c r="CJC222" s="1201"/>
      <c r="CJD222" s="1201"/>
      <c r="CJE222" s="1201"/>
      <c r="CJF222" s="1201"/>
      <c r="CJG222" s="1201"/>
      <c r="CJH222" s="1201"/>
      <c r="CJI222" s="1201"/>
      <c r="CJJ222" s="1201"/>
      <c r="CJK222" s="1201"/>
      <c r="CJL222" s="1201"/>
      <c r="CJM222" s="1201"/>
      <c r="CJN222" s="1201"/>
      <c r="CJO222" s="1201"/>
      <c r="CJP222" s="1201"/>
      <c r="CJQ222" s="1201"/>
      <c r="CJR222" s="1201"/>
      <c r="CJS222" s="1201"/>
      <c r="CJT222" s="1201"/>
      <c r="CJU222" s="1201"/>
      <c r="CJV222" s="1201"/>
      <c r="CJW222" s="1201"/>
      <c r="CJX222" s="1201"/>
      <c r="CJY222" s="1201"/>
      <c r="CJZ222" s="1201"/>
      <c r="CKA222" s="1201"/>
      <c r="CKB222" s="1201"/>
      <c r="CKC222" s="1201"/>
      <c r="CKD222" s="1201"/>
      <c r="CKE222" s="1201"/>
      <c r="CKF222" s="1201"/>
      <c r="CKG222" s="1201"/>
      <c r="CKH222" s="1201"/>
      <c r="CKI222" s="1201"/>
      <c r="CKJ222" s="1201"/>
      <c r="CKK222" s="1201"/>
      <c r="CKL222" s="1201"/>
      <c r="CKM222" s="1201"/>
      <c r="CKN222" s="1201"/>
      <c r="CKO222" s="1201"/>
      <c r="CKP222" s="1201"/>
      <c r="CKQ222" s="1201"/>
      <c r="CKR222" s="1201"/>
      <c r="CKS222" s="1201"/>
      <c r="CKT222" s="1201"/>
      <c r="CKU222" s="1201"/>
      <c r="CKV222" s="1201"/>
      <c r="CKW222" s="1201"/>
      <c r="CKX222" s="1201"/>
      <c r="CKY222" s="1201"/>
      <c r="CKZ222" s="1201"/>
      <c r="CLA222" s="1201"/>
      <c r="CLB222" s="1201"/>
      <c r="CLC222" s="1201"/>
      <c r="CLD222" s="1201"/>
      <c r="CLE222" s="1201"/>
      <c r="CLF222" s="1201"/>
      <c r="CLG222" s="1201"/>
      <c r="CLH222" s="1201"/>
      <c r="CLI222" s="1201"/>
      <c r="CLJ222" s="1201"/>
      <c r="CLK222" s="1201"/>
      <c r="CLL222" s="1201"/>
      <c r="CLM222" s="1201"/>
      <c r="CLN222" s="1201"/>
      <c r="CLO222" s="1201"/>
      <c r="CLP222" s="1201"/>
      <c r="CLQ222" s="1201"/>
      <c r="CLR222" s="1201"/>
      <c r="CLS222" s="1201"/>
      <c r="CLT222" s="1201"/>
      <c r="CLU222" s="1201"/>
      <c r="CLV222" s="1201"/>
      <c r="CLW222" s="1201"/>
      <c r="CLX222" s="1201"/>
      <c r="CLY222" s="1201"/>
      <c r="CLZ222" s="1201"/>
      <c r="CMA222" s="1201"/>
      <c r="CMB222" s="1201"/>
      <c r="CMC222" s="1201"/>
      <c r="CMD222" s="1201"/>
      <c r="CME222" s="1201"/>
      <c r="CMF222" s="1201"/>
      <c r="CMG222" s="1201"/>
      <c r="CMH222" s="1201"/>
      <c r="CMI222" s="1201"/>
      <c r="CMJ222" s="1201"/>
      <c r="CMK222" s="1201"/>
      <c r="CML222" s="1201"/>
      <c r="CMM222" s="1201"/>
      <c r="CMN222" s="1201"/>
      <c r="CMO222" s="1201"/>
      <c r="CMP222" s="1201"/>
      <c r="CMQ222" s="1201"/>
      <c r="CMR222" s="1201"/>
      <c r="CMS222" s="1201"/>
      <c r="CMT222" s="1201"/>
      <c r="CMU222" s="1201"/>
      <c r="CMV222" s="1201"/>
      <c r="CMW222" s="1201"/>
      <c r="CMX222" s="1201"/>
      <c r="CMY222" s="1201"/>
      <c r="CMZ222" s="1201"/>
      <c r="CNA222" s="1201"/>
      <c r="CNB222" s="1201"/>
      <c r="CNC222" s="1201"/>
      <c r="CND222" s="1201"/>
      <c r="CNE222" s="1201"/>
      <c r="CNF222" s="1201"/>
      <c r="CNG222" s="1201"/>
      <c r="CNH222" s="1201"/>
      <c r="CNI222" s="1201"/>
      <c r="CNJ222" s="1201"/>
      <c r="CNK222" s="1201"/>
      <c r="CNL222" s="1201"/>
      <c r="CNM222" s="1201"/>
      <c r="CNN222" s="1201"/>
      <c r="CNO222" s="1201"/>
      <c r="CNP222" s="1201"/>
      <c r="CNQ222" s="1201"/>
      <c r="CNR222" s="1201"/>
      <c r="CNS222" s="1201"/>
      <c r="CNT222" s="1201"/>
      <c r="CNU222" s="1201"/>
      <c r="CNV222" s="1201"/>
      <c r="CNW222" s="1201"/>
      <c r="CNX222" s="1201"/>
      <c r="CNY222" s="1201"/>
      <c r="CNZ222" s="1201"/>
      <c r="COA222" s="1201"/>
      <c r="COB222" s="1201"/>
      <c r="COC222" s="1201"/>
      <c r="COD222" s="1201"/>
      <c r="COE222" s="1201"/>
      <c r="COF222" s="1201"/>
      <c r="COG222" s="1201"/>
      <c r="COH222" s="1201"/>
      <c r="COI222" s="1201"/>
      <c r="COJ222" s="1201"/>
      <c r="COK222" s="1201"/>
      <c r="COL222" s="1201"/>
      <c r="COM222" s="1201"/>
      <c r="CON222" s="1201"/>
      <c r="COO222" s="1201"/>
      <c r="COP222" s="1201"/>
      <c r="COQ222" s="1201"/>
      <c r="COR222" s="1201"/>
      <c r="COS222" s="1201"/>
      <c r="COT222" s="1201"/>
      <c r="COU222" s="1201"/>
      <c r="COV222" s="1201"/>
      <c r="COW222" s="1201"/>
      <c r="COX222" s="1201"/>
      <c r="COY222" s="1201"/>
      <c r="COZ222" s="1201"/>
      <c r="CPA222" s="1201"/>
      <c r="CPB222" s="1201"/>
      <c r="CPC222" s="1201"/>
      <c r="CPD222" s="1201"/>
      <c r="CPE222" s="1201"/>
      <c r="CPF222" s="1201"/>
      <c r="CPG222" s="1201"/>
      <c r="CPH222" s="1201"/>
      <c r="CPI222" s="1201"/>
      <c r="CPJ222" s="1201"/>
      <c r="CPK222" s="1201"/>
      <c r="CPL222" s="1201"/>
      <c r="CPM222" s="1201"/>
      <c r="CPN222" s="1201"/>
      <c r="CPO222" s="1201"/>
      <c r="CPP222" s="1201"/>
      <c r="CPQ222" s="1201"/>
      <c r="CPR222" s="1201"/>
      <c r="CPS222" s="1201"/>
      <c r="CPT222" s="1201"/>
      <c r="CPU222" s="1201"/>
      <c r="CPV222" s="1201"/>
      <c r="CPW222" s="1201"/>
      <c r="CPX222" s="1201"/>
      <c r="CPY222" s="1201"/>
      <c r="CPZ222" s="1201"/>
      <c r="CQA222" s="1201"/>
      <c r="CQB222" s="1201"/>
      <c r="CQC222" s="1201"/>
      <c r="CQD222" s="1201"/>
      <c r="CQE222" s="1201"/>
      <c r="CQF222" s="1201"/>
      <c r="CQG222" s="1201"/>
      <c r="CQH222" s="1201"/>
      <c r="CQI222" s="1201"/>
      <c r="CQJ222" s="1201"/>
      <c r="CQK222" s="1201"/>
      <c r="CQL222" s="1201"/>
      <c r="CQM222" s="1201"/>
      <c r="CQN222" s="1201"/>
      <c r="CQO222" s="1201"/>
      <c r="CQP222" s="1201"/>
      <c r="CQQ222" s="1201"/>
      <c r="CQR222" s="1201"/>
      <c r="CQS222" s="1201"/>
      <c r="CQT222" s="1201"/>
      <c r="CQU222" s="1201"/>
      <c r="CQV222" s="1201"/>
      <c r="CQW222" s="1201"/>
      <c r="CQX222" s="1201"/>
      <c r="CQY222" s="1201"/>
      <c r="CQZ222" s="1201"/>
      <c r="CRA222" s="1201"/>
      <c r="CRB222" s="1201"/>
      <c r="CRC222" s="1201"/>
      <c r="CRD222" s="1201"/>
      <c r="CRE222" s="1201"/>
      <c r="CRF222" s="1201"/>
      <c r="CRG222" s="1201"/>
      <c r="CRH222" s="1201"/>
      <c r="CRI222" s="1201"/>
      <c r="CRJ222" s="1201"/>
      <c r="CRK222" s="1201"/>
      <c r="CRL222" s="1201"/>
      <c r="CRM222" s="1201"/>
      <c r="CRN222" s="1201"/>
      <c r="CRO222" s="1201"/>
      <c r="CRP222" s="1201"/>
      <c r="CRQ222" s="1201"/>
      <c r="CRR222" s="1201"/>
      <c r="CRS222" s="1201"/>
      <c r="CRT222" s="1201"/>
      <c r="CRU222" s="1201"/>
      <c r="CRV222" s="1201"/>
      <c r="CRW222" s="1201"/>
      <c r="CRX222" s="1201"/>
      <c r="CRY222" s="1201"/>
      <c r="CRZ222" s="1201"/>
      <c r="CSA222" s="1201"/>
      <c r="CSB222" s="1201"/>
      <c r="CSC222" s="1201"/>
      <c r="CSD222" s="1201"/>
      <c r="CSE222" s="1201"/>
      <c r="CSF222" s="1201"/>
      <c r="CSG222" s="1201"/>
      <c r="CSH222" s="1201"/>
      <c r="CSI222" s="1201"/>
      <c r="CSJ222" s="1201"/>
      <c r="CSK222" s="1201"/>
      <c r="CSL222" s="1201"/>
      <c r="CSM222" s="1201"/>
      <c r="CSN222" s="1201"/>
      <c r="CSO222" s="1201"/>
      <c r="CSP222" s="1201"/>
      <c r="CSQ222" s="1201"/>
      <c r="CSR222" s="1201"/>
      <c r="CSS222" s="1201"/>
      <c r="CST222" s="1201"/>
      <c r="CSU222" s="1201"/>
      <c r="CSV222" s="1201"/>
      <c r="CSW222" s="1201"/>
      <c r="CSX222" s="1201"/>
      <c r="CSY222" s="1201"/>
      <c r="CSZ222" s="1201"/>
      <c r="CTA222" s="1201"/>
      <c r="CTB222" s="1201"/>
      <c r="CTC222" s="1201"/>
      <c r="CTD222" s="1201"/>
      <c r="CTE222" s="1201"/>
      <c r="CTF222" s="1201"/>
      <c r="CTG222" s="1201"/>
      <c r="CTH222" s="1201"/>
      <c r="CTI222" s="1201"/>
      <c r="CTJ222" s="1201"/>
      <c r="CTK222" s="1201"/>
      <c r="CTL222" s="1201"/>
      <c r="CTM222" s="1201"/>
      <c r="CTN222" s="1201"/>
      <c r="CTO222" s="1201"/>
      <c r="CTP222" s="1201"/>
      <c r="CTQ222" s="1201"/>
      <c r="CTR222" s="1201"/>
      <c r="CTS222" s="1201"/>
      <c r="CTT222" s="1201"/>
      <c r="CTU222" s="1201"/>
      <c r="CTV222" s="1201"/>
      <c r="CTW222" s="1201"/>
      <c r="CTX222" s="1201"/>
      <c r="CTY222" s="1201"/>
      <c r="CTZ222" s="1201"/>
      <c r="CUA222" s="1201"/>
      <c r="CUB222" s="1201"/>
      <c r="CUC222" s="1201"/>
      <c r="CUD222" s="1201"/>
      <c r="CUE222" s="1201"/>
      <c r="CUF222" s="1201"/>
      <c r="CUG222" s="1201"/>
      <c r="CUH222" s="1201"/>
      <c r="CUI222" s="1201"/>
      <c r="CUJ222" s="1201"/>
      <c r="CUK222" s="1201"/>
      <c r="CUL222" s="1201"/>
      <c r="CUM222" s="1201"/>
      <c r="CUN222" s="1201"/>
      <c r="CUO222" s="1201"/>
      <c r="CUP222" s="1201"/>
      <c r="CUQ222" s="1201"/>
      <c r="CUR222" s="1201"/>
      <c r="CUS222" s="1201"/>
      <c r="CUT222" s="1201"/>
      <c r="CUU222" s="1201"/>
      <c r="CUV222" s="1201"/>
      <c r="CUW222" s="1201"/>
      <c r="CUX222" s="1201"/>
      <c r="CUY222" s="1201"/>
      <c r="CUZ222" s="1201"/>
      <c r="CVA222" s="1201"/>
      <c r="CVB222" s="1201"/>
      <c r="CVC222" s="1201"/>
      <c r="CVD222" s="1201"/>
      <c r="CVE222" s="1201"/>
      <c r="CVF222" s="1201"/>
      <c r="CVG222" s="1201"/>
      <c r="CVH222" s="1201"/>
      <c r="CVI222" s="1201"/>
      <c r="CVJ222" s="1201"/>
      <c r="CVK222" s="1201"/>
      <c r="CVL222" s="1201"/>
      <c r="CVM222" s="1201"/>
      <c r="CVN222" s="1201"/>
      <c r="CVO222" s="1201"/>
      <c r="CVP222" s="1201"/>
      <c r="CVQ222" s="1201"/>
      <c r="CVR222" s="1201"/>
      <c r="CVS222" s="1201"/>
      <c r="CVT222" s="1201"/>
      <c r="CVU222" s="1201"/>
      <c r="CVV222" s="1201"/>
      <c r="CVW222" s="1201"/>
      <c r="CVX222" s="1201"/>
      <c r="CVY222" s="1201"/>
      <c r="CVZ222" s="1201"/>
      <c r="CWA222" s="1201"/>
      <c r="CWB222" s="1201"/>
      <c r="CWC222" s="1201"/>
      <c r="CWD222" s="1201"/>
      <c r="CWE222" s="1201"/>
      <c r="CWF222" s="1201"/>
      <c r="CWG222" s="1201"/>
      <c r="CWH222" s="1201"/>
      <c r="CWI222" s="1201"/>
      <c r="CWJ222" s="1201"/>
      <c r="CWK222" s="1201"/>
      <c r="CWL222" s="1201"/>
      <c r="CWM222" s="1201"/>
      <c r="CWN222" s="1201"/>
      <c r="CWO222" s="1201"/>
      <c r="CWP222" s="1201"/>
      <c r="CWQ222" s="1201"/>
      <c r="CWR222" s="1201"/>
      <c r="CWS222" s="1201"/>
      <c r="CWT222" s="1201"/>
      <c r="CWU222" s="1201"/>
      <c r="CWV222" s="1201"/>
      <c r="CWW222" s="1201"/>
      <c r="CWX222" s="1201"/>
      <c r="CWY222" s="1201"/>
      <c r="CWZ222" s="1201"/>
      <c r="CXA222" s="1201"/>
      <c r="CXB222" s="1201"/>
      <c r="CXC222" s="1201"/>
      <c r="CXD222" s="1201"/>
      <c r="CXE222" s="1201"/>
      <c r="CXF222" s="1201"/>
      <c r="CXG222" s="1201"/>
      <c r="CXH222" s="1201"/>
      <c r="CXI222" s="1201"/>
      <c r="CXJ222" s="1201"/>
      <c r="CXK222" s="1201"/>
      <c r="CXL222" s="1201"/>
      <c r="CXM222" s="1201"/>
      <c r="CXN222" s="1201"/>
      <c r="CXO222" s="1201"/>
      <c r="CXP222" s="1201"/>
      <c r="CXQ222" s="1201"/>
      <c r="CXR222" s="1201"/>
      <c r="CXS222" s="1201"/>
      <c r="CXT222" s="1201"/>
      <c r="CXU222" s="1201"/>
      <c r="CXV222" s="1201"/>
      <c r="CXW222" s="1201"/>
      <c r="CXX222" s="1201"/>
      <c r="CXY222" s="1201"/>
      <c r="CXZ222" s="1201"/>
      <c r="CYA222" s="1201"/>
      <c r="CYB222" s="1201"/>
      <c r="CYC222" s="1201"/>
      <c r="CYD222" s="1201"/>
      <c r="CYE222" s="1201"/>
      <c r="CYF222" s="1201"/>
      <c r="CYG222" s="1201"/>
      <c r="CYH222" s="1201"/>
      <c r="CYI222" s="1201"/>
      <c r="CYJ222" s="1201"/>
      <c r="CYK222" s="1201"/>
      <c r="CYL222" s="1201"/>
      <c r="CYM222" s="1201"/>
      <c r="CYN222" s="1201"/>
      <c r="CYO222" s="1201"/>
      <c r="CYP222" s="1201"/>
      <c r="CYQ222" s="1201"/>
      <c r="CYR222" s="1201"/>
      <c r="CYS222" s="1201"/>
      <c r="CYT222" s="1201"/>
      <c r="CYU222" s="1201"/>
      <c r="CYV222" s="1201"/>
      <c r="CYW222" s="1201"/>
      <c r="CYX222" s="1201"/>
      <c r="CYY222" s="1201"/>
      <c r="CYZ222" s="1201"/>
      <c r="CZA222" s="1201"/>
      <c r="CZB222" s="1201"/>
      <c r="CZC222" s="1201"/>
      <c r="CZD222" s="1201"/>
      <c r="CZE222" s="1201"/>
      <c r="CZF222" s="1201"/>
      <c r="CZG222" s="1201"/>
      <c r="CZH222" s="1201"/>
      <c r="CZI222" s="1201"/>
      <c r="CZJ222" s="1201"/>
      <c r="CZK222" s="1201"/>
      <c r="CZL222" s="1201"/>
      <c r="CZM222" s="1201"/>
      <c r="CZN222" s="1201"/>
      <c r="CZO222" s="1201"/>
      <c r="CZP222" s="1201"/>
      <c r="CZQ222" s="1201"/>
      <c r="CZR222" s="1201"/>
      <c r="CZS222" s="1201"/>
      <c r="CZT222" s="1201"/>
      <c r="CZU222" s="1201"/>
      <c r="CZV222" s="1201"/>
      <c r="CZW222" s="1201"/>
      <c r="CZX222" s="1201"/>
      <c r="CZY222" s="1201"/>
      <c r="CZZ222" s="1201"/>
      <c r="DAA222" s="1201"/>
      <c r="DAB222" s="1201"/>
      <c r="DAC222" s="1201"/>
      <c r="DAD222" s="1201"/>
      <c r="DAE222" s="1201"/>
      <c r="DAF222" s="1201"/>
      <c r="DAG222" s="1201"/>
      <c r="DAH222" s="1201"/>
      <c r="DAI222" s="1201"/>
      <c r="DAJ222" s="1201"/>
      <c r="DAK222" s="1201"/>
      <c r="DAL222" s="1201"/>
      <c r="DAM222" s="1201"/>
      <c r="DAN222" s="1201"/>
      <c r="DAO222" s="1201"/>
      <c r="DAP222" s="1201"/>
      <c r="DAQ222" s="1201"/>
      <c r="DAR222" s="1201"/>
      <c r="DAS222" s="1201"/>
      <c r="DAT222" s="1201"/>
      <c r="DAU222" s="1201"/>
      <c r="DAV222" s="1201"/>
      <c r="DAW222" s="1201"/>
      <c r="DAX222" s="1201"/>
      <c r="DAY222" s="1201"/>
      <c r="DAZ222" s="1201"/>
      <c r="DBA222" s="1201"/>
      <c r="DBB222" s="1201"/>
      <c r="DBC222" s="1201"/>
      <c r="DBD222" s="1201"/>
      <c r="DBE222" s="1201"/>
      <c r="DBF222" s="1201"/>
      <c r="DBG222" s="1201"/>
      <c r="DBH222" s="1201"/>
      <c r="DBI222" s="1201"/>
      <c r="DBJ222" s="1201"/>
      <c r="DBK222" s="1201"/>
      <c r="DBL222" s="1201"/>
      <c r="DBM222" s="1201"/>
      <c r="DBN222" s="1201"/>
      <c r="DBO222" s="1201"/>
      <c r="DBP222" s="1201"/>
      <c r="DBQ222" s="1201"/>
      <c r="DBR222" s="1201"/>
      <c r="DBS222" s="1201"/>
      <c r="DBT222" s="1201"/>
      <c r="DBU222" s="1201"/>
      <c r="DBV222" s="1201"/>
      <c r="DBW222" s="1201"/>
      <c r="DBX222" s="1201"/>
      <c r="DBY222" s="1201"/>
      <c r="DBZ222" s="1201"/>
      <c r="DCA222" s="1201"/>
      <c r="DCB222" s="1201"/>
      <c r="DCC222" s="1201"/>
      <c r="DCD222" s="1201"/>
      <c r="DCE222" s="1201"/>
      <c r="DCF222" s="1201"/>
      <c r="DCG222" s="1201"/>
      <c r="DCH222" s="1201"/>
      <c r="DCI222" s="1201"/>
      <c r="DCJ222" s="1201"/>
      <c r="DCK222" s="1201"/>
      <c r="DCL222" s="1201"/>
      <c r="DCM222" s="1201"/>
      <c r="DCN222" s="1201"/>
      <c r="DCO222" s="1201"/>
      <c r="DCP222" s="1201"/>
      <c r="DCQ222" s="1201"/>
      <c r="DCR222" s="1201"/>
      <c r="DCS222" s="1201"/>
      <c r="DCT222" s="1201"/>
      <c r="DCU222" s="1201"/>
      <c r="DCV222" s="1201"/>
      <c r="DCW222" s="1201"/>
      <c r="DCX222" s="1201"/>
      <c r="DCY222" s="1201"/>
      <c r="DCZ222" s="1201"/>
      <c r="DDA222" s="1201"/>
      <c r="DDB222" s="1201"/>
      <c r="DDC222" s="1201"/>
      <c r="DDD222" s="1201"/>
      <c r="DDE222" s="1201"/>
      <c r="DDF222" s="1201"/>
      <c r="DDG222" s="1201"/>
      <c r="DDH222" s="1201"/>
      <c r="DDI222" s="1201"/>
      <c r="DDJ222" s="1201"/>
      <c r="DDK222" s="1201"/>
      <c r="DDL222" s="1201"/>
      <c r="DDM222" s="1201"/>
      <c r="DDN222" s="1201"/>
      <c r="DDO222" s="1201"/>
      <c r="DDP222" s="1201"/>
      <c r="DDQ222" s="1201"/>
      <c r="DDR222" s="1201"/>
      <c r="DDS222" s="1201"/>
      <c r="DDT222" s="1201"/>
      <c r="DDU222" s="1201"/>
      <c r="DDV222" s="1201"/>
      <c r="DDW222" s="1201"/>
      <c r="DDX222" s="1201"/>
      <c r="DDY222" s="1201"/>
      <c r="DDZ222" s="1201"/>
      <c r="DEA222" s="1201"/>
      <c r="DEB222" s="1201"/>
      <c r="DEC222" s="1201"/>
      <c r="DED222" s="1201"/>
      <c r="DEE222" s="1201"/>
      <c r="DEF222" s="1201"/>
      <c r="DEG222" s="1201"/>
      <c r="DEH222" s="1201"/>
      <c r="DEI222" s="1201"/>
      <c r="DEJ222" s="1201"/>
      <c r="DEK222" s="1201"/>
      <c r="DEL222" s="1201"/>
      <c r="DEM222" s="1201"/>
      <c r="DEN222" s="1201"/>
      <c r="DEO222" s="1201"/>
      <c r="DEP222" s="1201"/>
      <c r="DEQ222" s="1201"/>
      <c r="DER222" s="1201"/>
      <c r="DES222" s="1201"/>
      <c r="DET222" s="1201"/>
      <c r="DEU222" s="1201"/>
      <c r="DEV222" s="1201"/>
      <c r="DEW222" s="1201"/>
      <c r="DEX222" s="1201"/>
      <c r="DEY222" s="1201"/>
      <c r="DEZ222" s="1201"/>
      <c r="DFA222" s="1201"/>
      <c r="DFB222" s="1201"/>
      <c r="DFC222" s="1201"/>
      <c r="DFD222" s="1201"/>
      <c r="DFE222" s="1201"/>
      <c r="DFF222" s="1201"/>
      <c r="DFG222" s="1201"/>
      <c r="DFH222" s="1201"/>
      <c r="DFI222" s="1201"/>
      <c r="DFJ222" s="1201"/>
      <c r="DFK222" s="1201"/>
      <c r="DFL222" s="1201"/>
      <c r="DFM222" s="1201"/>
      <c r="DFN222" s="1201"/>
      <c r="DFO222" s="1201"/>
      <c r="DFP222" s="1201"/>
      <c r="DFQ222" s="1201"/>
      <c r="DFR222" s="1201"/>
      <c r="DFS222" s="1201"/>
      <c r="DFT222" s="1201"/>
      <c r="DFU222" s="1201"/>
      <c r="DFV222" s="1201"/>
      <c r="DFW222" s="1201"/>
      <c r="DFX222" s="1201"/>
      <c r="DFY222" s="1201"/>
      <c r="DFZ222" s="1201"/>
      <c r="DGA222" s="1201"/>
      <c r="DGB222" s="1201"/>
      <c r="DGC222" s="1201"/>
      <c r="DGD222" s="1201"/>
      <c r="DGE222" s="1201"/>
      <c r="DGF222" s="1201"/>
      <c r="DGG222" s="1201"/>
      <c r="DGH222" s="1201"/>
      <c r="DGI222" s="1201"/>
      <c r="DGJ222" s="1201"/>
      <c r="DGK222" s="1201"/>
      <c r="DGL222" s="1201"/>
      <c r="DGM222" s="1201"/>
      <c r="DGN222" s="1201"/>
      <c r="DGO222" s="1201"/>
      <c r="DGP222" s="1201"/>
      <c r="DGQ222" s="1201"/>
      <c r="DGR222" s="1201"/>
      <c r="DGS222" s="1201"/>
      <c r="DGT222" s="1201"/>
      <c r="DGU222" s="1201"/>
      <c r="DGV222" s="1201"/>
      <c r="DGW222" s="1201"/>
      <c r="DGX222" s="1201"/>
      <c r="DGY222" s="1201"/>
      <c r="DGZ222" s="1201"/>
      <c r="DHA222" s="1201"/>
      <c r="DHB222" s="1201"/>
      <c r="DHC222" s="1201"/>
      <c r="DHD222" s="1201"/>
      <c r="DHE222" s="1201"/>
      <c r="DHF222" s="1201"/>
      <c r="DHG222" s="1201"/>
      <c r="DHH222" s="1201"/>
      <c r="DHI222" s="1201"/>
      <c r="DHJ222" s="1201"/>
      <c r="DHK222" s="1201"/>
      <c r="DHL222" s="1201"/>
      <c r="DHM222" s="1201"/>
      <c r="DHN222" s="1201"/>
      <c r="DHO222" s="1201"/>
      <c r="DHP222" s="1201"/>
      <c r="DHQ222" s="1201"/>
      <c r="DHR222" s="1201"/>
      <c r="DHS222" s="1201"/>
      <c r="DHT222" s="1201"/>
      <c r="DHU222" s="1201"/>
      <c r="DHV222" s="1201"/>
      <c r="DHW222" s="1201"/>
      <c r="DHX222" s="1201"/>
      <c r="DHY222" s="1201"/>
      <c r="DHZ222" s="1201"/>
      <c r="DIA222" s="1201"/>
      <c r="DIB222" s="1201"/>
      <c r="DIC222" s="1201"/>
      <c r="DID222" s="1201"/>
      <c r="DIE222" s="1201"/>
      <c r="DIF222" s="1201"/>
      <c r="DIG222" s="1201"/>
      <c r="DIH222" s="1201"/>
      <c r="DII222" s="1201"/>
      <c r="DIJ222" s="1201"/>
      <c r="DIK222" s="1201"/>
      <c r="DIL222" s="1201"/>
      <c r="DIM222" s="1201"/>
      <c r="DIN222" s="1201"/>
      <c r="DIO222" s="1201"/>
      <c r="DIP222" s="1201"/>
      <c r="DIQ222" s="1201"/>
      <c r="DIR222" s="1201"/>
      <c r="DIS222" s="1201"/>
      <c r="DIT222" s="1201"/>
      <c r="DIU222" s="1201"/>
      <c r="DIV222" s="1201"/>
      <c r="DIW222" s="1201"/>
      <c r="DIX222" s="1201"/>
      <c r="DIY222" s="1201"/>
      <c r="DIZ222" s="1201"/>
      <c r="DJA222" s="1201"/>
      <c r="DJB222" s="1201"/>
      <c r="DJC222" s="1201"/>
      <c r="DJD222" s="1201"/>
      <c r="DJE222" s="1201"/>
      <c r="DJF222" s="1201"/>
      <c r="DJG222" s="1201"/>
      <c r="DJH222" s="1201"/>
      <c r="DJI222" s="1201"/>
      <c r="DJJ222" s="1201"/>
      <c r="DJK222" s="1201"/>
      <c r="DJL222" s="1201"/>
      <c r="DJM222" s="1201"/>
      <c r="DJN222" s="1201"/>
      <c r="DJO222" s="1201"/>
      <c r="DJP222" s="1201"/>
      <c r="DJQ222" s="1201"/>
      <c r="DJR222" s="1201"/>
      <c r="DJS222" s="1201"/>
      <c r="DJT222" s="1201"/>
      <c r="DJU222" s="1201"/>
      <c r="DJV222" s="1201"/>
      <c r="DJW222" s="1201"/>
      <c r="DJX222" s="1201"/>
      <c r="DJY222" s="1201"/>
      <c r="DJZ222" s="1201"/>
      <c r="DKA222" s="1201"/>
      <c r="DKB222" s="1201"/>
      <c r="DKC222" s="1201"/>
      <c r="DKD222" s="1201"/>
      <c r="DKE222" s="1201"/>
      <c r="DKF222" s="1201"/>
      <c r="DKG222" s="1201"/>
      <c r="DKH222" s="1201"/>
      <c r="DKI222" s="1201"/>
      <c r="DKJ222" s="1201"/>
      <c r="DKK222" s="1201"/>
      <c r="DKL222" s="1201"/>
      <c r="DKM222" s="1201"/>
      <c r="DKN222" s="1201"/>
      <c r="DKO222" s="1201"/>
      <c r="DKP222" s="1201"/>
      <c r="DKQ222" s="1201"/>
      <c r="DKR222" s="1201"/>
      <c r="DKS222" s="1201"/>
      <c r="DKT222" s="1201"/>
      <c r="DKU222" s="1201"/>
      <c r="DKV222" s="1201"/>
      <c r="DKW222" s="1201"/>
      <c r="DKX222" s="1201"/>
      <c r="DKY222" s="1201"/>
      <c r="DKZ222" s="1201"/>
      <c r="DLA222" s="1201"/>
      <c r="DLB222" s="1201"/>
      <c r="DLC222" s="1201"/>
      <c r="DLD222" s="1201"/>
      <c r="DLE222" s="1201"/>
      <c r="DLF222" s="1201"/>
      <c r="DLG222" s="1201"/>
      <c r="DLH222" s="1201"/>
      <c r="DLI222" s="1201"/>
      <c r="DLJ222" s="1201"/>
      <c r="DLK222" s="1201"/>
      <c r="DLL222" s="1201"/>
      <c r="DLM222" s="1201"/>
      <c r="DLN222" s="1201"/>
      <c r="DLO222" s="1201"/>
      <c r="DLP222" s="1201"/>
      <c r="DLQ222" s="1201"/>
      <c r="DLR222" s="1201"/>
      <c r="DLS222" s="1201"/>
      <c r="DLT222" s="1201"/>
      <c r="DLU222" s="1201"/>
      <c r="DLV222" s="1201"/>
      <c r="DLW222" s="1201"/>
      <c r="DLX222" s="1201"/>
      <c r="DLY222" s="1201"/>
      <c r="DLZ222" s="1201"/>
      <c r="DMA222" s="1201"/>
      <c r="DMB222" s="1201"/>
      <c r="DMC222" s="1201"/>
      <c r="DMD222" s="1201"/>
      <c r="DME222" s="1201"/>
      <c r="DMF222" s="1201"/>
      <c r="DMG222" s="1201"/>
      <c r="DMH222" s="1201"/>
      <c r="DMI222" s="1201"/>
      <c r="DMJ222" s="1201"/>
      <c r="DMK222" s="1201"/>
      <c r="DML222" s="1201"/>
      <c r="DMM222" s="1201"/>
      <c r="DMN222" s="1201"/>
      <c r="DMO222" s="1201"/>
      <c r="DMP222" s="1201"/>
      <c r="DMQ222" s="1201"/>
      <c r="DMR222" s="1201"/>
      <c r="DMS222" s="1201"/>
      <c r="DMT222" s="1201"/>
      <c r="DMU222" s="1201"/>
      <c r="DMV222" s="1201"/>
      <c r="DMW222" s="1201"/>
      <c r="DMX222" s="1201"/>
      <c r="DMY222" s="1201"/>
      <c r="DMZ222" s="1201"/>
      <c r="DNA222" s="1201"/>
      <c r="DNB222" s="1201"/>
      <c r="DNC222" s="1201"/>
      <c r="DND222" s="1201"/>
      <c r="DNE222" s="1201"/>
      <c r="DNF222" s="1201"/>
      <c r="DNG222" s="1201"/>
      <c r="DNH222" s="1201"/>
      <c r="DNI222" s="1201"/>
      <c r="DNJ222" s="1201"/>
      <c r="DNK222" s="1201"/>
      <c r="DNL222" s="1201"/>
      <c r="DNM222" s="1201"/>
      <c r="DNN222" s="1201"/>
      <c r="DNO222" s="1201"/>
      <c r="DNP222" s="1201"/>
      <c r="DNQ222" s="1201"/>
      <c r="DNR222" s="1201"/>
      <c r="DNS222" s="1201"/>
      <c r="DNT222" s="1201"/>
      <c r="DNU222" s="1201"/>
      <c r="DNV222" s="1201"/>
      <c r="DNW222" s="1201"/>
      <c r="DNX222" s="1201"/>
      <c r="DNY222" s="1201"/>
      <c r="DNZ222" s="1201"/>
      <c r="DOA222" s="1201"/>
      <c r="DOB222" s="1201"/>
      <c r="DOC222" s="1201"/>
      <c r="DOD222" s="1201"/>
      <c r="DOE222" s="1201"/>
      <c r="DOF222" s="1201"/>
      <c r="DOG222" s="1201"/>
      <c r="DOH222" s="1201"/>
      <c r="DOI222" s="1201"/>
      <c r="DOJ222" s="1201"/>
      <c r="DOK222" s="1201"/>
      <c r="DOL222" s="1201"/>
      <c r="DOM222" s="1201"/>
      <c r="DON222" s="1201"/>
      <c r="DOO222" s="1201"/>
      <c r="DOP222" s="1201"/>
      <c r="DOQ222" s="1201"/>
      <c r="DOR222" s="1201"/>
      <c r="DOS222" s="1201"/>
      <c r="DOT222" s="1201"/>
      <c r="DOU222" s="1201"/>
      <c r="DOV222" s="1201"/>
      <c r="DOW222" s="1201"/>
      <c r="DOX222" s="1201"/>
      <c r="DOY222" s="1201"/>
      <c r="DOZ222" s="1201"/>
      <c r="DPA222" s="1201"/>
      <c r="DPB222" s="1201"/>
      <c r="DPC222" s="1201"/>
      <c r="DPD222" s="1201"/>
      <c r="DPE222" s="1201"/>
      <c r="DPF222" s="1201"/>
      <c r="DPG222" s="1201"/>
      <c r="DPH222" s="1201"/>
      <c r="DPI222" s="1201"/>
      <c r="DPJ222" s="1201"/>
      <c r="DPK222" s="1201"/>
      <c r="DPL222" s="1201"/>
      <c r="DPM222" s="1201"/>
      <c r="DPN222" s="1201"/>
      <c r="DPO222" s="1201"/>
      <c r="DPP222" s="1201"/>
      <c r="DPQ222" s="1201"/>
      <c r="DPR222" s="1201"/>
      <c r="DPS222" s="1201"/>
      <c r="DPT222" s="1201"/>
      <c r="DPU222" s="1201"/>
      <c r="DPV222" s="1201"/>
      <c r="DPW222" s="1201"/>
      <c r="DPX222" s="1201"/>
      <c r="DPY222" s="1201"/>
      <c r="DPZ222" s="1201"/>
      <c r="DQA222" s="1201"/>
      <c r="DQB222" s="1201"/>
      <c r="DQC222" s="1201"/>
      <c r="DQD222" s="1201"/>
      <c r="DQE222" s="1201"/>
      <c r="DQF222" s="1201"/>
      <c r="DQG222" s="1201"/>
      <c r="DQH222" s="1201"/>
      <c r="DQI222" s="1201"/>
      <c r="DQJ222" s="1201"/>
      <c r="DQK222" s="1201"/>
      <c r="DQL222" s="1201"/>
      <c r="DQM222" s="1201"/>
      <c r="DQN222" s="1201"/>
      <c r="DQO222" s="1201"/>
      <c r="DQP222" s="1201"/>
      <c r="DQQ222" s="1201"/>
      <c r="DQR222" s="1201"/>
      <c r="DQS222" s="1201"/>
      <c r="DQT222" s="1201"/>
      <c r="DQU222" s="1201"/>
      <c r="DQV222" s="1201"/>
      <c r="DQW222" s="1201"/>
      <c r="DQX222" s="1201"/>
      <c r="DQY222" s="1201"/>
      <c r="DQZ222" s="1201"/>
      <c r="DRA222" s="1201"/>
      <c r="DRB222" s="1201"/>
      <c r="DRC222" s="1201"/>
      <c r="DRD222" s="1201"/>
      <c r="DRE222" s="1201"/>
      <c r="DRF222" s="1201"/>
      <c r="DRG222" s="1201"/>
      <c r="DRH222" s="1201"/>
      <c r="DRI222" s="1201"/>
      <c r="DRJ222" s="1201"/>
      <c r="DRK222" s="1201"/>
      <c r="DRL222" s="1201"/>
      <c r="DRM222" s="1201"/>
      <c r="DRN222" s="1201"/>
      <c r="DRO222" s="1201"/>
      <c r="DRP222" s="1201"/>
      <c r="DRQ222" s="1201"/>
      <c r="DRR222" s="1201"/>
      <c r="DRS222" s="1201"/>
      <c r="DRT222" s="1201"/>
      <c r="DRU222" s="1201"/>
      <c r="DRV222" s="1201"/>
      <c r="DRW222" s="1201"/>
      <c r="DRX222" s="1201"/>
      <c r="DRY222" s="1201"/>
      <c r="DRZ222" s="1201"/>
      <c r="DSA222" s="1201"/>
      <c r="DSB222" s="1201"/>
      <c r="DSC222" s="1201"/>
      <c r="DSD222" s="1201"/>
      <c r="DSE222" s="1201"/>
      <c r="DSF222" s="1201"/>
      <c r="DSG222" s="1201"/>
      <c r="DSH222" s="1201"/>
      <c r="DSI222" s="1201"/>
      <c r="DSJ222" s="1201"/>
      <c r="DSK222" s="1201"/>
      <c r="DSL222" s="1201"/>
      <c r="DSM222" s="1201"/>
      <c r="DSN222" s="1201"/>
      <c r="DSO222" s="1201"/>
      <c r="DSP222" s="1201"/>
      <c r="DSQ222" s="1201"/>
      <c r="DSR222" s="1201"/>
      <c r="DSS222" s="1201"/>
      <c r="DST222" s="1201"/>
      <c r="DSU222" s="1201"/>
      <c r="DSV222" s="1201"/>
      <c r="DSW222" s="1201"/>
      <c r="DSX222" s="1201"/>
      <c r="DSY222" s="1201"/>
      <c r="DSZ222" s="1201"/>
      <c r="DTA222" s="1201"/>
      <c r="DTB222" s="1201"/>
      <c r="DTC222" s="1201"/>
      <c r="DTD222" s="1201"/>
      <c r="DTE222" s="1201"/>
      <c r="DTF222" s="1201"/>
      <c r="DTG222" s="1201"/>
      <c r="DTH222" s="1201"/>
      <c r="DTI222" s="1201"/>
      <c r="DTJ222" s="1201"/>
      <c r="DTK222" s="1201"/>
      <c r="DTL222" s="1201"/>
      <c r="DTM222" s="1201"/>
      <c r="DTN222" s="1201"/>
      <c r="DTO222" s="1201"/>
      <c r="DTP222" s="1201"/>
      <c r="DTQ222" s="1201"/>
      <c r="DTR222" s="1201"/>
      <c r="DTS222" s="1201"/>
      <c r="DTT222" s="1201"/>
      <c r="DTU222" s="1201"/>
      <c r="DTV222" s="1201"/>
      <c r="DTW222" s="1201"/>
      <c r="DTX222" s="1201"/>
      <c r="DTY222" s="1201"/>
      <c r="DTZ222" s="1201"/>
      <c r="DUA222" s="1201"/>
      <c r="DUB222" s="1201"/>
      <c r="DUC222" s="1201"/>
      <c r="DUD222" s="1201"/>
      <c r="DUE222" s="1201"/>
      <c r="DUF222" s="1201"/>
      <c r="DUG222" s="1201"/>
      <c r="DUH222" s="1201"/>
      <c r="DUI222" s="1201"/>
      <c r="DUJ222" s="1201"/>
      <c r="DUK222" s="1201"/>
      <c r="DUL222" s="1201"/>
      <c r="DUM222" s="1201"/>
      <c r="DUN222" s="1201"/>
      <c r="DUO222" s="1201"/>
      <c r="DUP222" s="1201"/>
      <c r="DUQ222" s="1201"/>
      <c r="DUR222" s="1201"/>
      <c r="DUS222" s="1201"/>
      <c r="DUT222" s="1201"/>
      <c r="DUU222" s="1201"/>
      <c r="DUV222" s="1201"/>
      <c r="DUW222" s="1201"/>
      <c r="DUX222" s="1201"/>
      <c r="DUY222" s="1201"/>
      <c r="DUZ222" s="1201"/>
      <c r="DVA222" s="1201"/>
      <c r="DVB222" s="1201"/>
      <c r="DVC222" s="1201"/>
      <c r="DVD222" s="1201"/>
      <c r="DVE222" s="1201"/>
      <c r="DVF222" s="1201"/>
      <c r="DVG222" s="1201"/>
      <c r="DVH222" s="1201"/>
      <c r="DVI222" s="1201"/>
      <c r="DVJ222" s="1201"/>
      <c r="DVK222" s="1201"/>
      <c r="DVL222" s="1201"/>
      <c r="DVM222" s="1201"/>
      <c r="DVN222" s="1201"/>
      <c r="DVO222" s="1201"/>
      <c r="DVP222" s="1201"/>
      <c r="DVQ222" s="1201"/>
      <c r="DVR222" s="1201"/>
      <c r="DVS222" s="1201"/>
      <c r="DVT222" s="1201"/>
      <c r="DVU222" s="1201"/>
      <c r="DVV222" s="1201"/>
      <c r="DVW222" s="1201"/>
      <c r="DVX222" s="1201"/>
      <c r="DVY222" s="1201"/>
      <c r="DVZ222" s="1201"/>
      <c r="DWA222" s="1201"/>
      <c r="DWB222" s="1201"/>
      <c r="DWC222" s="1201"/>
      <c r="DWD222" s="1201"/>
      <c r="DWE222" s="1201"/>
      <c r="DWF222" s="1201"/>
      <c r="DWG222" s="1201"/>
      <c r="DWH222" s="1201"/>
      <c r="DWI222" s="1201"/>
      <c r="DWJ222" s="1201"/>
      <c r="DWK222" s="1201"/>
      <c r="DWL222" s="1201"/>
      <c r="DWM222" s="1201"/>
      <c r="DWN222" s="1201"/>
      <c r="DWO222" s="1201"/>
      <c r="DWP222" s="1201"/>
      <c r="DWQ222" s="1201"/>
      <c r="DWR222" s="1201"/>
      <c r="DWS222" s="1201"/>
      <c r="DWT222" s="1201"/>
      <c r="DWU222" s="1201"/>
      <c r="DWV222" s="1201"/>
      <c r="DWW222" s="1201"/>
      <c r="DWX222" s="1201"/>
      <c r="DWY222" s="1201"/>
      <c r="DWZ222" s="1201"/>
      <c r="DXA222" s="1201"/>
      <c r="DXB222" s="1201"/>
      <c r="DXC222" s="1201"/>
      <c r="DXD222" s="1201"/>
      <c r="DXE222" s="1201"/>
      <c r="DXF222" s="1201"/>
      <c r="DXG222" s="1201"/>
      <c r="DXH222" s="1201"/>
      <c r="DXI222" s="1201"/>
      <c r="DXJ222" s="1201"/>
      <c r="DXK222" s="1201"/>
      <c r="DXL222" s="1201"/>
      <c r="DXM222" s="1201"/>
      <c r="DXN222" s="1201"/>
      <c r="DXO222" s="1201"/>
      <c r="DXP222" s="1201"/>
      <c r="DXQ222" s="1201"/>
      <c r="DXR222" s="1201"/>
      <c r="DXS222" s="1201"/>
      <c r="DXT222" s="1201"/>
      <c r="DXU222" s="1201"/>
      <c r="DXV222" s="1201"/>
      <c r="DXW222" s="1201"/>
      <c r="DXX222" s="1201"/>
      <c r="DXY222" s="1201"/>
      <c r="DXZ222" s="1201"/>
      <c r="DYA222" s="1201"/>
      <c r="DYB222" s="1201"/>
      <c r="DYC222" s="1201"/>
      <c r="DYD222" s="1201"/>
      <c r="DYE222" s="1201"/>
      <c r="DYF222" s="1201"/>
      <c r="DYG222" s="1201"/>
      <c r="DYH222" s="1201"/>
      <c r="DYI222" s="1201"/>
      <c r="DYJ222" s="1201"/>
      <c r="DYK222" s="1201"/>
      <c r="DYL222" s="1201"/>
      <c r="DYM222" s="1201"/>
      <c r="DYN222" s="1201"/>
      <c r="DYO222" s="1201"/>
      <c r="DYP222" s="1201"/>
      <c r="DYQ222" s="1201"/>
      <c r="DYR222" s="1201"/>
      <c r="DYS222" s="1201"/>
      <c r="DYT222" s="1201"/>
      <c r="DYU222" s="1201"/>
      <c r="DYV222" s="1201"/>
      <c r="DYW222" s="1201"/>
      <c r="DYX222" s="1201"/>
      <c r="DYY222" s="1201"/>
      <c r="DYZ222" s="1201"/>
      <c r="DZA222" s="1201"/>
      <c r="DZB222" s="1201"/>
      <c r="DZC222" s="1201"/>
      <c r="DZD222" s="1201"/>
      <c r="DZE222" s="1201"/>
      <c r="DZF222" s="1201"/>
      <c r="DZG222" s="1201"/>
      <c r="DZH222" s="1201"/>
      <c r="DZI222" s="1201"/>
      <c r="DZJ222" s="1201"/>
      <c r="DZK222" s="1201"/>
      <c r="DZL222" s="1201"/>
      <c r="DZM222" s="1201"/>
      <c r="DZN222" s="1201"/>
      <c r="DZO222" s="1201"/>
      <c r="DZP222" s="1201"/>
      <c r="DZQ222" s="1201"/>
      <c r="DZR222" s="1201"/>
      <c r="DZS222" s="1201"/>
      <c r="DZT222" s="1201"/>
      <c r="DZU222" s="1201"/>
      <c r="DZV222" s="1201"/>
      <c r="DZW222" s="1201"/>
      <c r="DZX222" s="1201"/>
      <c r="DZY222" s="1201"/>
      <c r="DZZ222" s="1201"/>
      <c r="EAA222" s="1201"/>
      <c r="EAB222" s="1201"/>
      <c r="EAC222" s="1201"/>
      <c r="EAD222" s="1201"/>
      <c r="EAE222" s="1201"/>
      <c r="EAF222" s="1201"/>
      <c r="EAG222" s="1201"/>
      <c r="EAH222" s="1201"/>
      <c r="EAI222" s="1201"/>
      <c r="EAJ222" s="1201"/>
      <c r="EAK222" s="1201"/>
      <c r="EAL222" s="1201"/>
      <c r="EAM222" s="1201"/>
      <c r="EAN222" s="1201"/>
      <c r="EAO222" s="1201"/>
      <c r="EAP222" s="1201"/>
      <c r="EAQ222" s="1201"/>
      <c r="EAR222" s="1201"/>
      <c r="EAS222" s="1201"/>
      <c r="EAT222" s="1201"/>
      <c r="EAU222" s="1201"/>
      <c r="EAV222" s="1201"/>
      <c r="EAW222" s="1201"/>
      <c r="EAX222" s="1201"/>
      <c r="EAY222" s="1201"/>
      <c r="EAZ222" s="1201"/>
      <c r="EBA222" s="1201"/>
      <c r="EBB222" s="1201"/>
      <c r="EBC222" s="1201"/>
      <c r="EBD222" s="1201"/>
      <c r="EBE222" s="1201"/>
      <c r="EBF222" s="1201"/>
      <c r="EBG222" s="1201"/>
      <c r="EBH222" s="1201"/>
      <c r="EBI222" s="1201"/>
      <c r="EBJ222" s="1201"/>
      <c r="EBK222" s="1201"/>
      <c r="EBL222" s="1201"/>
      <c r="EBM222" s="1201"/>
      <c r="EBN222" s="1201"/>
      <c r="EBO222" s="1201"/>
      <c r="EBP222" s="1201"/>
      <c r="EBQ222" s="1201"/>
      <c r="EBR222" s="1201"/>
      <c r="EBS222" s="1201"/>
      <c r="EBT222" s="1201"/>
      <c r="EBU222" s="1201"/>
      <c r="EBV222" s="1201"/>
      <c r="EBW222" s="1201"/>
      <c r="EBX222" s="1201"/>
      <c r="EBY222" s="1201"/>
      <c r="EBZ222" s="1201"/>
      <c r="ECA222" s="1201"/>
      <c r="ECB222" s="1201"/>
      <c r="ECC222" s="1201"/>
      <c r="ECD222" s="1201"/>
      <c r="ECE222" s="1201"/>
      <c r="ECF222" s="1201"/>
      <c r="ECG222" s="1201"/>
      <c r="ECH222" s="1201"/>
      <c r="ECI222" s="1201"/>
      <c r="ECJ222" s="1201"/>
      <c r="ECK222" s="1201"/>
      <c r="ECL222" s="1201"/>
      <c r="ECM222" s="1201"/>
      <c r="ECN222" s="1201"/>
      <c r="ECO222" s="1201"/>
      <c r="ECP222" s="1201"/>
      <c r="ECQ222" s="1201"/>
      <c r="ECR222" s="1201"/>
      <c r="ECS222" s="1201"/>
      <c r="ECT222" s="1201"/>
      <c r="ECU222" s="1201"/>
      <c r="ECV222" s="1201"/>
      <c r="ECW222" s="1201"/>
      <c r="ECX222" s="1201"/>
      <c r="ECY222" s="1201"/>
      <c r="ECZ222" s="1201"/>
      <c r="EDA222" s="1201"/>
      <c r="EDB222" s="1201"/>
      <c r="EDC222" s="1201"/>
      <c r="EDD222" s="1201"/>
      <c r="EDE222" s="1201"/>
      <c r="EDF222" s="1201"/>
      <c r="EDG222" s="1201"/>
      <c r="EDH222" s="1201"/>
      <c r="EDI222" s="1201"/>
      <c r="EDJ222" s="1201"/>
      <c r="EDK222" s="1201"/>
      <c r="EDL222" s="1201"/>
      <c r="EDM222" s="1201"/>
      <c r="EDN222" s="1201"/>
      <c r="EDO222" s="1201"/>
      <c r="EDP222" s="1201"/>
      <c r="EDQ222" s="1201"/>
      <c r="EDR222" s="1201"/>
      <c r="EDS222" s="1201"/>
      <c r="EDT222" s="1201"/>
      <c r="EDU222" s="1201"/>
      <c r="EDV222" s="1201"/>
      <c r="EDW222" s="1201"/>
      <c r="EDX222" s="1201"/>
      <c r="EDY222" s="1201"/>
      <c r="EDZ222" s="1201"/>
      <c r="EEA222" s="1201"/>
      <c r="EEB222" s="1201"/>
      <c r="EEC222" s="1201"/>
      <c r="EED222" s="1201"/>
      <c r="EEE222" s="1201"/>
      <c r="EEF222" s="1201"/>
      <c r="EEG222" s="1201"/>
      <c r="EEH222" s="1201"/>
      <c r="EEI222" s="1201"/>
      <c r="EEJ222" s="1201"/>
      <c r="EEK222" s="1201"/>
      <c r="EEL222" s="1201"/>
      <c r="EEM222" s="1201"/>
      <c r="EEN222" s="1201"/>
      <c r="EEO222" s="1201"/>
      <c r="EEP222" s="1201"/>
      <c r="EEQ222" s="1201"/>
      <c r="EER222" s="1201"/>
      <c r="EES222" s="1201"/>
      <c r="EET222" s="1201"/>
      <c r="EEU222" s="1201"/>
      <c r="EEV222" s="1201"/>
      <c r="EEW222" s="1201"/>
      <c r="EEX222" s="1201"/>
      <c r="EEY222" s="1201"/>
      <c r="EEZ222" s="1201"/>
      <c r="EFA222" s="1201"/>
      <c r="EFB222" s="1201"/>
      <c r="EFC222" s="1201"/>
      <c r="EFD222" s="1201"/>
      <c r="EFE222" s="1201"/>
      <c r="EFF222" s="1201"/>
      <c r="EFG222" s="1201"/>
      <c r="EFH222" s="1201"/>
      <c r="EFI222" s="1201"/>
      <c r="EFJ222" s="1201"/>
      <c r="EFK222" s="1201"/>
      <c r="EFL222" s="1201"/>
      <c r="EFM222" s="1201"/>
      <c r="EFN222" s="1201"/>
      <c r="EFO222" s="1201"/>
      <c r="EFP222" s="1201"/>
      <c r="EFQ222" s="1201"/>
      <c r="EFR222" s="1201"/>
      <c r="EFS222" s="1201"/>
      <c r="EFT222" s="1201"/>
      <c r="EFU222" s="1201"/>
      <c r="EFV222" s="1201"/>
      <c r="EFW222" s="1201"/>
      <c r="EFX222" s="1201"/>
      <c r="EFY222" s="1201"/>
      <c r="EFZ222" s="1201"/>
      <c r="EGA222" s="1201"/>
      <c r="EGB222" s="1201"/>
      <c r="EGC222" s="1201"/>
      <c r="EGD222" s="1201"/>
      <c r="EGE222" s="1201"/>
      <c r="EGF222" s="1201"/>
      <c r="EGG222" s="1201"/>
      <c r="EGH222" s="1201"/>
      <c r="EGI222" s="1201"/>
      <c r="EGJ222" s="1201"/>
      <c r="EGK222" s="1201"/>
      <c r="EGL222" s="1201"/>
      <c r="EGM222" s="1201"/>
      <c r="EGN222" s="1201"/>
      <c r="EGO222" s="1201"/>
      <c r="EGP222" s="1201"/>
      <c r="EGQ222" s="1201"/>
      <c r="EGR222" s="1201"/>
      <c r="EGS222" s="1201"/>
      <c r="EGT222" s="1201"/>
      <c r="EGU222" s="1201"/>
      <c r="EGV222" s="1201"/>
      <c r="EGW222" s="1201"/>
      <c r="EGX222" s="1201"/>
      <c r="EGY222" s="1201"/>
      <c r="EGZ222" s="1201"/>
      <c r="EHA222" s="1201"/>
      <c r="EHB222" s="1201"/>
      <c r="EHC222" s="1201"/>
      <c r="EHD222" s="1201"/>
      <c r="EHE222" s="1201"/>
      <c r="EHF222" s="1201"/>
      <c r="EHG222" s="1201"/>
      <c r="EHH222" s="1201"/>
      <c r="EHI222" s="1201"/>
      <c r="EHJ222" s="1201"/>
      <c r="EHK222" s="1201"/>
      <c r="EHL222" s="1201"/>
      <c r="EHM222" s="1201"/>
      <c r="EHN222" s="1201"/>
      <c r="EHO222" s="1201"/>
      <c r="EHP222" s="1201"/>
      <c r="EHQ222" s="1201"/>
      <c r="EHR222" s="1201"/>
      <c r="EHS222" s="1201"/>
      <c r="EHT222" s="1201"/>
      <c r="EHU222" s="1201"/>
      <c r="EHV222" s="1201"/>
      <c r="EHW222" s="1201"/>
      <c r="EHX222" s="1201"/>
      <c r="EHY222" s="1201"/>
      <c r="EHZ222" s="1201"/>
      <c r="EIA222" s="1201"/>
      <c r="EIB222" s="1201"/>
      <c r="EIC222" s="1201"/>
      <c r="EID222" s="1201"/>
      <c r="EIE222" s="1201"/>
      <c r="EIF222" s="1201"/>
      <c r="EIG222" s="1201"/>
      <c r="EIH222" s="1201"/>
      <c r="EII222" s="1201"/>
      <c r="EIJ222" s="1201"/>
      <c r="EIK222" s="1201"/>
      <c r="EIL222" s="1201"/>
      <c r="EIM222" s="1201"/>
      <c r="EIN222" s="1201"/>
      <c r="EIO222" s="1201"/>
      <c r="EIP222" s="1201"/>
      <c r="EIQ222" s="1201"/>
      <c r="EIR222" s="1201"/>
      <c r="EIS222" s="1201"/>
      <c r="EIT222" s="1201"/>
      <c r="EIU222" s="1201"/>
      <c r="EIV222" s="1201"/>
      <c r="EIW222" s="1201"/>
      <c r="EIX222" s="1201"/>
      <c r="EIY222" s="1201"/>
      <c r="EIZ222" s="1201"/>
      <c r="EJA222" s="1201"/>
      <c r="EJB222" s="1201"/>
      <c r="EJC222" s="1201"/>
      <c r="EJD222" s="1201"/>
      <c r="EJE222" s="1201"/>
      <c r="EJF222" s="1201"/>
      <c r="EJG222" s="1201"/>
      <c r="EJH222" s="1201"/>
      <c r="EJI222" s="1201"/>
      <c r="EJJ222" s="1201"/>
      <c r="EJK222" s="1201"/>
      <c r="EJL222" s="1201"/>
      <c r="EJM222" s="1201"/>
      <c r="EJN222" s="1201"/>
      <c r="EJO222" s="1201"/>
      <c r="EJP222" s="1201"/>
      <c r="EJQ222" s="1201"/>
      <c r="EJR222" s="1201"/>
      <c r="EJS222" s="1201"/>
      <c r="EJT222" s="1201"/>
      <c r="EJU222" s="1201"/>
      <c r="EJV222" s="1201"/>
      <c r="EJW222" s="1201"/>
      <c r="EJX222" s="1201"/>
      <c r="EJY222" s="1201"/>
      <c r="EJZ222" s="1201"/>
      <c r="EKA222" s="1201"/>
      <c r="EKB222" s="1201"/>
      <c r="EKC222" s="1201"/>
      <c r="EKD222" s="1201"/>
      <c r="EKE222" s="1201"/>
      <c r="EKF222" s="1201"/>
      <c r="EKG222" s="1201"/>
      <c r="EKH222" s="1201"/>
      <c r="EKI222" s="1201"/>
      <c r="EKJ222" s="1201"/>
      <c r="EKK222" s="1201"/>
      <c r="EKL222" s="1201"/>
      <c r="EKM222" s="1201"/>
      <c r="EKN222" s="1201"/>
      <c r="EKO222" s="1201"/>
      <c r="EKP222" s="1201"/>
      <c r="EKQ222" s="1201"/>
      <c r="EKR222" s="1201"/>
      <c r="EKS222" s="1201"/>
      <c r="EKT222" s="1201"/>
      <c r="EKU222" s="1201"/>
      <c r="EKV222" s="1201"/>
      <c r="EKW222" s="1201"/>
      <c r="EKX222" s="1201"/>
      <c r="EKY222" s="1201"/>
      <c r="EKZ222" s="1201"/>
      <c r="ELA222" s="1201"/>
      <c r="ELB222" s="1201"/>
      <c r="ELC222" s="1201"/>
      <c r="ELD222" s="1201"/>
      <c r="ELE222" s="1201"/>
      <c r="ELF222" s="1201"/>
      <c r="ELG222" s="1201"/>
      <c r="ELH222" s="1201"/>
      <c r="ELI222" s="1201"/>
      <c r="ELJ222" s="1201"/>
      <c r="ELK222" s="1201"/>
      <c r="ELL222" s="1201"/>
      <c r="ELM222" s="1201"/>
      <c r="ELN222" s="1201"/>
      <c r="ELO222" s="1201"/>
      <c r="ELP222" s="1201"/>
      <c r="ELQ222" s="1201"/>
      <c r="ELR222" s="1201"/>
      <c r="ELS222" s="1201"/>
      <c r="ELT222" s="1201"/>
      <c r="ELU222" s="1201"/>
      <c r="ELV222" s="1201"/>
      <c r="ELW222" s="1201"/>
      <c r="ELX222" s="1201"/>
      <c r="ELY222" s="1201"/>
      <c r="ELZ222" s="1201"/>
      <c r="EMA222" s="1201"/>
      <c r="EMB222" s="1201"/>
      <c r="EMC222" s="1201"/>
      <c r="EMD222" s="1201"/>
      <c r="EME222" s="1201"/>
      <c r="EMF222" s="1201"/>
      <c r="EMG222" s="1201"/>
      <c r="EMH222" s="1201"/>
      <c r="EMI222" s="1201"/>
      <c r="EMJ222" s="1201"/>
      <c r="EMK222" s="1201"/>
      <c r="EML222" s="1201"/>
      <c r="EMM222" s="1201"/>
      <c r="EMN222" s="1201"/>
      <c r="EMO222" s="1201"/>
      <c r="EMP222" s="1201"/>
      <c r="EMQ222" s="1201"/>
      <c r="EMR222" s="1201"/>
      <c r="EMS222" s="1201"/>
      <c r="EMT222" s="1201"/>
      <c r="EMU222" s="1201"/>
      <c r="EMV222" s="1201"/>
      <c r="EMW222" s="1201"/>
      <c r="EMX222" s="1201"/>
      <c r="EMY222" s="1201"/>
      <c r="EMZ222" s="1201"/>
      <c r="ENA222" s="1201"/>
      <c r="ENB222" s="1201"/>
      <c r="ENC222" s="1201"/>
      <c r="END222" s="1201"/>
      <c r="ENE222" s="1201"/>
      <c r="ENF222" s="1201"/>
      <c r="ENG222" s="1201"/>
      <c r="ENH222" s="1201"/>
      <c r="ENI222" s="1201"/>
      <c r="ENJ222" s="1201"/>
      <c r="ENK222" s="1201"/>
      <c r="ENL222" s="1201"/>
      <c r="ENM222" s="1201"/>
      <c r="ENN222" s="1201"/>
      <c r="ENO222" s="1201"/>
      <c r="ENP222" s="1201"/>
      <c r="ENQ222" s="1201"/>
      <c r="ENR222" s="1201"/>
      <c r="ENS222" s="1201"/>
      <c r="ENT222" s="1201"/>
      <c r="ENU222" s="1201"/>
      <c r="ENV222" s="1201"/>
      <c r="ENW222" s="1201"/>
      <c r="ENX222" s="1201"/>
      <c r="ENY222" s="1201"/>
      <c r="ENZ222" s="1201"/>
      <c r="EOA222" s="1201"/>
      <c r="EOB222" s="1201"/>
      <c r="EOC222" s="1201"/>
      <c r="EOD222" s="1201"/>
      <c r="EOE222" s="1201"/>
      <c r="EOF222" s="1201"/>
      <c r="EOG222" s="1201"/>
      <c r="EOH222" s="1201"/>
      <c r="EOI222" s="1201"/>
      <c r="EOJ222" s="1201"/>
      <c r="EOK222" s="1201"/>
      <c r="EOL222" s="1201"/>
      <c r="EOM222" s="1201"/>
      <c r="EON222" s="1201"/>
      <c r="EOO222" s="1201"/>
      <c r="EOP222" s="1201"/>
      <c r="EOQ222" s="1201"/>
      <c r="EOR222" s="1201"/>
      <c r="EOS222" s="1201"/>
      <c r="EOT222" s="1201"/>
      <c r="EOU222" s="1201"/>
      <c r="EOV222" s="1201"/>
      <c r="EOW222" s="1201"/>
      <c r="EOX222" s="1201"/>
      <c r="EOY222" s="1201"/>
      <c r="EOZ222" s="1201"/>
      <c r="EPA222" s="1201"/>
      <c r="EPB222" s="1201"/>
      <c r="EPC222" s="1201"/>
      <c r="EPD222" s="1201"/>
      <c r="EPE222" s="1201"/>
      <c r="EPF222" s="1201"/>
      <c r="EPG222" s="1201"/>
      <c r="EPH222" s="1201"/>
      <c r="EPI222" s="1201"/>
      <c r="EPJ222" s="1201"/>
      <c r="EPK222" s="1201"/>
      <c r="EPL222" s="1201"/>
      <c r="EPM222" s="1201"/>
      <c r="EPN222" s="1201"/>
      <c r="EPO222" s="1201"/>
      <c r="EPP222" s="1201"/>
      <c r="EPQ222" s="1201"/>
      <c r="EPR222" s="1201"/>
      <c r="EPS222" s="1201"/>
      <c r="EPT222" s="1201"/>
      <c r="EPU222" s="1201"/>
      <c r="EPV222" s="1201"/>
      <c r="EPW222" s="1201"/>
      <c r="EPX222" s="1201"/>
      <c r="EPY222" s="1201"/>
      <c r="EPZ222" s="1201"/>
      <c r="EQA222" s="1201"/>
      <c r="EQB222" s="1201"/>
      <c r="EQC222" s="1201"/>
      <c r="EQD222" s="1201"/>
      <c r="EQE222" s="1201"/>
      <c r="EQF222" s="1201"/>
      <c r="EQG222" s="1201"/>
      <c r="EQH222" s="1201"/>
      <c r="EQI222" s="1201"/>
      <c r="EQJ222" s="1201"/>
      <c r="EQK222" s="1201"/>
      <c r="EQL222" s="1201"/>
      <c r="EQM222" s="1201"/>
      <c r="EQN222" s="1201"/>
      <c r="EQO222" s="1201"/>
      <c r="EQP222" s="1201"/>
      <c r="EQQ222" s="1201"/>
      <c r="EQR222" s="1201"/>
      <c r="EQS222" s="1201"/>
      <c r="EQT222" s="1201"/>
      <c r="EQU222" s="1201"/>
      <c r="EQV222" s="1201"/>
      <c r="EQW222" s="1201"/>
      <c r="EQX222" s="1201"/>
      <c r="EQY222" s="1201"/>
      <c r="EQZ222" s="1201"/>
      <c r="ERA222" s="1201"/>
      <c r="ERB222" s="1201"/>
      <c r="ERC222" s="1201"/>
      <c r="ERD222" s="1201"/>
      <c r="ERE222" s="1201"/>
      <c r="ERF222" s="1201"/>
      <c r="ERG222" s="1201"/>
      <c r="ERH222" s="1201"/>
      <c r="ERI222" s="1201"/>
      <c r="ERJ222" s="1201"/>
      <c r="ERK222" s="1201"/>
      <c r="ERL222" s="1201"/>
      <c r="ERM222" s="1201"/>
      <c r="ERN222" s="1201"/>
      <c r="ERO222" s="1201"/>
      <c r="ERP222" s="1201"/>
      <c r="ERQ222" s="1201"/>
      <c r="ERR222" s="1201"/>
      <c r="ERS222" s="1201"/>
      <c r="ERT222" s="1201"/>
      <c r="ERU222" s="1201"/>
      <c r="ERV222" s="1201"/>
      <c r="ERW222" s="1201"/>
      <c r="ERX222" s="1201"/>
      <c r="ERY222" s="1201"/>
      <c r="ERZ222" s="1201"/>
      <c r="ESA222" s="1201"/>
      <c r="ESB222" s="1201"/>
      <c r="ESC222" s="1201"/>
      <c r="ESD222" s="1201"/>
      <c r="ESE222" s="1201"/>
      <c r="ESF222" s="1201"/>
      <c r="ESG222" s="1201"/>
      <c r="ESH222" s="1201"/>
      <c r="ESI222" s="1201"/>
      <c r="ESJ222" s="1201"/>
      <c r="ESK222" s="1201"/>
      <c r="ESL222" s="1201"/>
      <c r="ESM222" s="1201"/>
      <c r="ESN222" s="1201"/>
      <c r="ESO222" s="1201"/>
      <c r="ESP222" s="1201"/>
      <c r="ESQ222" s="1201"/>
      <c r="ESR222" s="1201"/>
      <c r="ESS222" s="1201"/>
      <c r="EST222" s="1201"/>
      <c r="ESU222" s="1201"/>
      <c r="ESV222" s="1201"/>
      <c r="ESW222" s="1201"/>
      <c r="ESX222" s="1201"/>
      <c r="ESY222" s="1201"/>
      <c r="ESZ222" s="1201"/>
      <c r="ETA222" s="1201"/>
      <c r="ETB222" s="1201"/>
      <c r="ETC222" s="1201"/>
      <c r="ETD222" s="1201"/>
      <c r="ETE222" s="1201"/>
      <c r="ETF222" s="1201"/>
      <c r="ETG222" s="1201"/>
      <c r="ETH222" s="1201"/>
      <c r="ETI222" s="1201"/>
      <c r="ETJ222" s="1201"/>
      <c r="ETK222" s="1201"/>
      <c r="ETL222" s="1201"/>
      <c r="ETM222" s="1201"/>
      <c r="ETN222" s="1201"/>
      <c r="ETO222" s="1201"/>
      <c r="ETP222" s="1201"/>
      <c r="ETQ222" s="1201"/>
      <c r="ETR222" s="1201"/>
      <c r="ETS222" s="1201"/>
      <c r="ETT222" s="1201"/>
      <c r="ETU222" s="1201"/>
      <c r="ETV222" s="1201"/>
      <c r="ETW222" s="1201"/>
      <c r="ETX222" s="1201"/>
      <c r="ETY222" s="1201"/>
      <c r="ETZ222" s="1201"/>
      <c r="EUA222" s="1201"/>
      <c r="EUB222" s="1201"/>
      <c r="EUC222" s="1201"/>
      <c r="EUD222" s="1201"/>
      <c r="EUE222" s="1201"/>
      <c r="EUF222" s="1201"/>
      <c r="EUG222" s="1201"/>
      <c r="EUH222" s="1201"/>
      <c r="EUI222" s="1201"/>
      <c r="EUJ222" s="1201"/>
      <c r="EUK222" s="1201"/>
      <c r="EUL222" s="1201"/>
      <c r="EUM222" s="1201"/>
      <c r="EUN222" s="1201"/>
      <c r="EUO222" s="1201"/>
      <c r="EUP222" s="1201"/>
      <c r="EUQ222" s="1201"/>
      <c r="EUR222" s="1201"/>
      <c r="EUS222" s="1201"/>
      <c r="EUT222" s="1201"/>
      <c r="EUU222" s="1201"/>
      <c r="EUV222" s="1201"/>
      <c r="EUW222" s="1201"/>
      <c r="EUX222" s="1201"/>
      <c r="EUY222" s="1201"/>
      <c r="EUZ222" s="1201"/>
      <c r="EVA222" s="1201"/>
      <c r="EVB222" s="1201"/>
      <c r="EVC222" s="1201"/>
      <c r="EVD222" s="1201"/>
      <c r="EVE222" s="1201"/>
      <c r="EVF222" s="1201"/>
      <c r="EVG222" s="1201"/>
      <c r="EVH222" s="1201"/>
      <c r="EVI222" s="1201"/>
      <c r="EVJ222" s="1201"/>
      <c r="EVK222" s="1201"/>
      <c r="EVL222" s="1201"/>
      <c r="EVM222" s="1201"/>
      <c r="EVN222" s="1201"/>
      <c r="EVO222" s="1201"/>
      <c r="EVP222" s="1201"/>
      <c r="EVQ222" s="1201"/>
      <c r="EVR222" s="1201"/>
      <c r="EVS222" s="1201"/>
      <c r="EVT222" s="1201"/>
      <c r="EVU222" s="1201"/>
      <c r="EVV222" s="1201"/>
      <c r="EVW222" s="1201"/>
      <c r="EVX222" s="1201"/>
      <c r="EVY222" s="1201"/>
      <c r="EVZ222" s="1201"/>
      <c r="EWA222" s="1201"/>
      <c r="EWB222" s="1201"/>
      <c r="EWC222" s="1201"/>
      <c r="EWD222" s="1201"/>
      <c r="EWE222" s="1201"/>
      <c r="EWF222" s="1201"/>
      <c r="EWG222" s="1201"/>
      <c r="EWH222" s="1201"/>
      <c r="EWI222" s="1201"/>
      <c r="EWJ222" s="1201"/>
      <c r="EWK222" s="1201"/>
      <c r="EWL222" s="1201"/>
      <c r="EWM222" s="1201"/>
      <c r="EWN222" s="1201"/>
      <c r="EWO222" s="1201"/>
      <c r="EWP222" s="1201"/>
      <c r="EWQ222" s="1201"/>
      <c r="EWR222" s="1201"/>
      <c r="EWS222" s="1201"/>
      <c r="EWT222" s="1201"/>
      <c r="EWU222" s="1201"/>
      <c r="EWV222" s="1201"/>
      <c r="EWW222" s="1201"/>
      <c r="EWX222" s="1201"/>
      <c r="EWY222" s="1201"/>
      <c r="EWZ222" s="1201"/>
      <c r="EXA222" s="1201"/>
      <c r="EXB222" s="1201"/>
      <c r="EXC222" s="1201"/>
      <c r="EXD222" s="1201"/>
      <c r="EXE222" s="1201"/>
      <c r="EXF222" s="1201"/>
      <c r="EXG222" s="1201"/>
      <c r="EXH222" s="1201"/>
      <c r="EXI222" s="1201"/>
      <c r="EXJ222" s="1201"/>
      <c r="EXK222" s="1201"/>
      <c r="EXL222" s="1201"/>
      <c r="EXM222" s="1201"/>
      <c r="EXN222" s="1201"/>
      <c r="EXO222" s="1201"/>
      <c r="EXP222" s="1201"/>
      <c r="EXQ222" s="1201"/>
      <c r="EXR222" s="1201"/>
      <c r="EXS222" s="1201"/>
      <c r="EXT222" s="1201"/>
      <c r="EXU222" s="1201"/>
      <c r="EXV222" s="1201"/>
      <c r="EXW222" s="1201"/>
      <c r="EXX222" s="1201"/>
      <c r="EXY222" s="1201"/>
      <c r="EXZ222" s="1201"/>
      <c r="EYA222" s="1201"/>
      <c r="EYB222" s="1201"/>
      <c r="EYC222" s="1201"/>
      <c r="EYD222" s="1201"/>
      <c r="EYE222" s="1201"/>
      <c r="EYF222" s="1201"/>
      <c r="EYG222" s="1201"/>
      <c r="EYH222" s="1201"/>
      <c r="EYI222" s="1201"/>
      <c r="EYJ222" s="1201"/>
      <c r="EYK222" s="1201"/>
      <c r="EYL222" s="1201"/>
      <c r="EYM222" s="1201"/>
      <c r="EYN222" s="1201"/>
      <c r="EYO222" s="1201"/>
      <c r="EYP222" s="1201"/>
      <c r="EYQ222" s="1201"/>
      <c r="EYR222" s="1201"/>
      <c r="EYS222" s="1201"/>
      <c r="EYT222" s="1201"/>
      <c r="EYU222" s="1201"/>
      <c r="EYV222" s="1201"/>
      <c r="EYW222" s="1201"/>
      <c r="EYX222" s="1201"/>
      <c r="EYY222" s="1201"/>
      <c r="EYZ222" s="1201"/>
      <c r="EZA222" s="1201"/>
      <c r="EZB222" s="1201"/>
      <c r="EZC222" s="1201"/>
      <c r="EZD222" s="1201"/>
      <c r="EZE222" s="1201"/>
      <c r="EZF222" s="1201"/>
      <c r="EZG222" s="1201"/>
      <c r="EZH222" s="1201"/>
      <c r="EZI222" s="1201"/>
      <c r="EZJ222" s="1201"/>
      <c r="EZK222" s="1201"/>
      <c r="EZL222" s="1201"/>
      <c r="EZM222" s="1201"/>
      <c r="EZN222" s="1201"/>
      <c r="EZO222" s="1201"/>
      <c r="EZP222" s="1201"/>
      <c r="EZQ222" s="1201"/>
      <c r="EZR222" s="1201"/>
      <c r="EZS222" s="1201"/>
      <c r="EZT222" s="1201"/>
      <c r="EZU222" s="1201"/>
      <c r="EZV222" s="1201"/>
      <c r="EZW222" s="1201"/>
      <c r="EZX222" s="1201"/>
      <c r="EZY222" s="1201"/>
      <c r="EZZ222" s="1201"/>
      <c r="FAA222" s="1201"/>
      <c r="FAB222" s="1201"/>
      <c r="FAC222" s="1201"/>
      <c r="FAD222" s="1201"/>
      <c r="FAE222" s="1201"/>
      <c r="FAF222" s="1201"/>
      <c r="FAG222" s="1201"/>
      <c r="FAH222" s="1201"/>
      <c r="FAI222" s="1201"/>
      <c r="FAJ222" s="1201"/>
      <c r="FAK222" s="1201"/>
      <c r="FAL222" s="1201"/>
      <c r="FAM222" s="1201"/>
      <c r="FAN222" s="1201"/>
      <c r="FAO222" s="1201"/>
      <c r="FAP222" s="1201"/>
      <c r="FAQ222" s="1201"/>
      <c r="FAR222" s="1201"/>
      <c r="FAS222" s="1201"/>
      <c r="FAT222" s="1201"/>
      <c r="FAU222" s="1201"/>
      <c r="FAV222" s="1201"/>
      <c r="FAW222" s="1201"/>
      <c r="FAX222" s="1201"/>
      <c r="FAY222" s="1201"/>
      <c r="FAZ222" s="1201"/>
      <c r="FBA222" s="1201"/>
      <c r="FBB222" s="1201"/>
      <c r="FBC222" s="1201"/>
      <c r="FBD222" s="1201"/>
      <c r="FBE222" s="1201"/>
      <c r="FBF222" s="1201"/>
      <c r="FBG222" s="1201"/>
      <c r="FBH222" s="1201"/>
      <c r="FBI222" s="1201"/>
      <c r="FBJ222" s="1201"/>
      <c r="FBK222" s="1201"/>
      <c r="FBL222" s="1201"/>
      <c r="FBM222" s="1201"/>
      <c r="FBN222" s="1201"/>
      <c r="FBO222" s="1201"/>
      <c r="FBP222" s="1201"/>
      <c r="FBQ222" s="1201"/>
      <c r="FBR222" s="1201"/>
      <c r="FBS222" s="1201"/>
      <c r="FBT222" s="1201"/>
      <c r="FBU222" s="1201"/>
      <c r="FBV222" s="1201"/>
      <c r="FBW222" s="1201"/>
      <c r="FBX222" s="1201"/>
      <c r="FBY222" s="1201"/>
      <c r="FBZ222" s="1201"/>
      <c r="FCA222" s="1201"/>
      <c r="FCB222" s="1201"/>
      <c r="FCC222" s="1201"/>
      <c r="FCD222" s="1201"/>
      <c r="FCE222" s="1201"/>
      <c r="FCF222" s="1201"/>
      <c r="FCG222" s="1201"/>
      <c r="FCH222" s="1201"/>
      <c r="FCI222" s="1201"/>
      <c r="FCJ222" s="1201"/>
      <c r="FCK222" s="1201"/>
      <c r="FCL222" s="1201"/>
      <c r="FCM222" s="1201"/>
      <c r="FCN222" s="1201"/>
      <c r="FCO222" s="1201"/>
      <c r="FCP222" s="1201"/>
      <c r="FCQ222" s="1201"/>
      <c r="FCR222" s="1201"/>
      <c r="FCS222" s="1201"/>
      <c r="FCT222" s="1201"/>
      <c r="FCU222" s="1201"/>
      <c r="FCV222" s="1201"/>
      <c r="FCW222" s="1201"/>
      <c r="FCX222" s="1201"/>
      <c r="FCY222" s="1201"/>
      <c r="FCZ222" s="1201"/>
      <c r="FDA222" s="1201"/>
      <c r="FDB222" s="1201"/>
      <c r="FDC222" s="1201"/>
      <c r="FDD222" s="1201"/>
      <c r="FDE222" s="1201"/>
      <c r="FDF222" s="1201"/>
      <c r="FDG222" s="1201"/>
      <c r="FDH222" s="1201"/>
      <c r="FDI222" s="1201"/>
      <c r="FDJ222" s="1201"/>
      <c r="FDK222" s="1201"/>
      <c r="FDL222" s="1201"/>
      <c r="FDM222" s="1201"/>
      <c r="FDN222" s="1201"/>
      <c r="FDO222" s="1201"/>
      <c r="FDP222" s="1201"/>
      <c r="FDQ222" s="1201"/>
      <c r="FDR222" s="1201"/>
      <c r="FDS222" s="1201"/>
      <c r="FDT222" s="1201"/>
      <c r="FDU222" s="1201"/>
      <c r="FDV222" s="1201"/>
      <c r="FDW222" s="1201"/>
      <c r="FDX222" s="1201"/>
      <c r="FDY222" s="1201"/>
      <c r="FDZ222" s="1201"/>
      <c r="FEA222" s="1201"/>
      <c r="FEB222" s="1201"/>
      <c r="FEC222" s="1201"/>
      <c r="FED222" s="1201"/>
      <c r="FEE222" s="1201"/>
      <c r="FEF222" s="1201"/>
      <c r="FEG222" s="1201"/>
      <c r="FEH222" s="1201"/>
      <c r="FEI222" s="1201"/>
      <c r="FEJ222" s="1201"/>
      <c r="FEK222" s="1201"/>
      <c r="FEL222" s="1201"/>
      <c r="FEM222" s="1201"/>
      <c r="FEN222" s="1201"/>
      <c r="FEO222" s="1201"/>
      <c r="FEP222" s="1201"/>
      <c r="FEQ222" s="1201"/>
      <c r="FER222" s="1201"/>
      <c r="FES222" s="1201"/>
      <c r="FET222" s="1201"/>
      <c r="FEU222" s="1201"/>
      <c r="FEV222" s="1201"/>
      <c r="FEW222" s="1201"/>
      <c r="FEX222" s="1201"/>
      <c r="FEY222" s="1201"/>
      <c r="FEZ222" s="1201"/>
      <c r="FFA222" s="1201"/>
      <c r="FFB222" s="1201"/>
      <c r="FFC222" s="1201"/>
      <c r="FFD222" s="1201"/>
      <c r="FFE222" s="1201"/>
      <c r="FFF222" s="1201"/>
      <c r="FFG222" s="1201"/>
      <c r="FFH222" s="1201"/>
      <c r="FFI222" s="1201"/>
      <c r="FFJ222" s="1201"/>
      <c r="FFK222" s="1201"/>
      <c r="FFL222" s="1201"/>
      <c r="FFM222" s="1201"/>
      <c r="FFN222" s="1201"/>
      <c r="FFO222" s="1201"/>
      <c r="FFP222" s="1201"/>
      <c r="FFQ222" s="1201"/>
      <c r="FFR222" s="1201"/>
      <c r="FFS222" s="1201"/>
      <c r="FFT222" s="1201"/>
      <c r="FFU222" s="1201"/>
      <c r="FFV222" s="1201"/>
      <c r="FFW222" s="1201"/>
      <c r="FFX222" s="1201"/>
      <c r="FFY222" s="1201"/>
      <c r="FFZ222" s="1201"/>
      <c r="FGA222" s="1201"/>
      <c r="FGB222" s="1201"/>
      <c r="FGC222" s="1201"/>
      <c r="FGD222" s="1201"/>
      <c r="FGE222" s="1201"/>
      <c r="FGF222" s="1201"/>
      <c r="FGG222" s="1201"/>
      <c r="FGH222" s="1201"/>
      <c r="FGI222" s="1201"/>
      <c r="FGJ222" s="1201"/>
      <c r="FGK222" s="1201"/>
      <c r="FGL222" s="1201"/>
      <c r="FGM222" s="1201"/>
      <c r="FGN222" s="1201"/>
      <c r="FGO222" s="1201"/>
      <c r="FGP222" s="1201"/>
      <c r="FGQ222" s="1201"/>
      <c r="FGR222" s="1201"/>
      <c r="FGS222" s="1201"/>
      <c r="FGT222" s="1201"/>
      <c r="FGU222" s="1201"/>
      <c r="FGV222" s="1201"/>
      <c r="FGW222" s="1201"/>
      <c r="FGX222" s="1201"/>
      <c r="FGY222" s="1201"/>
      <c r="FGZ222" s="1201"/>
      <c r="FHA222" s="1201"/>
      <c r="FHB222" s="1201"/>
      <c r="FHC222" s="1201"/>
      <c r="FHD222" s="1201"/>
      <c r="FHE222" s="1201"/>
      <c r="FHF222" s="1201"/>
      <c r="FHG222" s="1201"/>
      <c r="FHH222" s="1201"/>
      <c r="FHI222" s="1201"/>
      <c r="FHJ222" s="1201"/>
      <c r="FHK222" s="1201"/>
      <c r="FHL222" s="1201"/>
      <c r="FHM222" s="1201"/>
      <c r="FHN222" s="1201"/>
      <c r="FHO222" s="1201"/>
      <c r="FHP222" s="1201"/>
      <c r="FHQ222" s="1201"/>
      <c r="FHR222" s="1201"/>
      <c r="FHS222" s="1201"/>
      <c r="FHT222" s="1201"/>
      <c r="FHU222" s="1201"/>
      <c r="FHV222" s="1201"/>
      <c r="FHW222" s="1201"/>
      <c r="FHX222" s="1201"/>
      <c r="FHY222" s="1201"/>
      <c r="FHZ222" s="1201"/>
      <c r="FIA222" s="1201"/>
      <c r="FIB222" s="1201"/>
      <c r="FIC222" s="1201"/>
      <c r="FID222" s="1201"/>
      <c r="FIE222" s="1201"/>
      <c r="FIF222" s="1201"/>
      <c r="FIG222" s="1201"/>
      <c r="FIH222" s="1201"/>
      <c r="FII222" s="1201"/>
      <c r="FIJ222" s="1201"/>
      <c r="FIK222" s="1201"/>
      <c r="FIL222" s="1201"/>
      <c r="FIM222" s="1201"/>
      <c r="FIN222" s="1201"/>
      <c r="FIO222" s="1201"/>
      <c r="FIP222" s="1201"/>
      <c r="FIQ222" s="1201"/>
      <c r="FIR222" s="1201"/>
      <c r="FIS222" s="1201"/>
      <c r="FIT222" s="1201"/>
      <c r="FIU222" s="1201"/>
      <c r="FIV222" s="1201"/>
      <c r="FIW222" s="1201"/>
      <c r="FIX222" s="1201"/>
      <c r="FIY222" s="1201"/>
      <c r="FIZ222" s="1201"/>
      <c r="FJA222" s="1201"/>
      <c r="FJB222" s="1201"/>
      <c r="FJC222" s="1201"/>
      <c r="FJD222" s="1201"/>
      <c r="FJE222" s="1201"/>
      <c r="FJF222" s="1201"/>
      <c r="FJG222" s="1201"/>
      <c r="FJH222" s="1201"/>
      <c r="FJI222" s="1201"/>
      <c r="FJJ222" s="1201"/>
      <c r="FJK222" s="1201"/>
      <c r="FJL222" s="1201"/>
      <c r="FJM222" s="1201"/>
      <c r="FJN222" s="1201"/>
      <c r="FJO222" s="1201"/>
      <c r="FJP222" s="1201"/>
      <c r="FJQ222" s="1201"/>
      <c r="FJR222" s="1201"/>
      <c r="FJS222" s="1201"/>
      <c r="FJT222" s="1201"/>
      <c r="FJU222" s="1201"/>
      <c r="FJV222" s="1201"/>
      <c r="FJW222" s="1201"/>
      <c r="FJX222" s="1201"/>
      <c r="FJY222" s="1201"/>
      <c r="FJZ222" s="1201"/>
      <c r="FKA222" s="1201"/>
      <c r="FKB222" s="1201"/>
      <c r="FKC222" s="1201"/>
      <c r="FKD222" s="1201"/>
      <c r="FKE222" s="1201"/>
      <c r="FKF222" s="1201"/>
      <c r="FKG222" s="1201"/>
      <c r="FKH222" s="1201"/>
      <c r="FKI222" s="1201"/>
      <c r="FKJ222" s="1201"/>
      <c r="FKK222" s="1201"/>
      <c r="FKL222" s="1201"/>
      <c r="FKM222" s="1201"/>
      <c r="FKN222" s="1201"/>
      <c r="FKO222" s="1201"/>
      <c r="FKP222" s="1201"/>
      <c r="FKQ222" s="1201"/>
      <c r="FKR222" s="1201"/>
      <c r="FKS222" s="1201"/>
      <c r="FKT222" s="1201"/>
      <c r="FKU222" s="1201"/>
      <c r="FKV222" s="1201"/>
      <c r="FKW222" s="1201"/>
      <c r="FKX222" s="1201"/>
      <c r="FKY222" s="1201"/>
      <c r="FKZ222" s="1201"/>
      <c r="FLA222" s="1201"/>
      <c r="FLB222" s="1201"/>
      <c r="FLC222" s="1201"/>
      <c r="FLD222" s="1201"/>
      <c r="FLE222" s="1201"/>
      <c r="FLF222" s="1201"/>
      <c r="FLG222" s="1201"/>
      <c r="FLH222" s="1201"/>
      <c r="FLI222" s="1201"/>
      <c r="FLJ222" s="1201"/>
      <c r="FLK222" s="1201"/>
      <c r="FLL222" s="1201"/>
      <c r="FLM222" s="1201"/>
      <c r="FLN222" s="1201"/>
      <c r="FLO222" s="1201"/>
      <c r="FLP222" s="1201"/>
      <c r="FLQ222" s="1201"/>
      <c r="FLR222" s="1201"/>
      <c r="FLS222" s="1201"/>
      <c r="FLT222" s="1201"/>
      <c r="FLU222" s="1201"/>
      <c r="FLV222" s="1201"/>
      <c r="FLW222" s="1201"/>
      <c r="FLX222" s="1201"/>
      <c r="FLY222" s="1201"/>
      <c r="FLZ222" s="1201"/>
      <c r="FMA222" s="1201"/>
      <c r="FMB222" s="1201"/>
      <c r="FMC222" s="1201"/>
      <c r="FMD222" s="1201"/>
      <c r="FME222" s="1201"/>
      <c r="FMF222" s="1201"/>
      <c r="FMG222" s="1201"/>
      <c r="FMH222" s="1201"/>
      <c r="FMI222" s="1201"/>
      <c r="FMJ222" s="1201"/>
      <c r="FMK222" s="1201"/>
      <c r="FML222" s="1201"/>
      <c r="FMM222" s="1201"/>
      <c r="FMN222" s="1201"/>
      <c r="FMO222" s="1201"/>
      <c r="FMP222" s="1201"/>
      <c r="FMQ222" s="1201"/>
      <c r="FMR222" s="1201"/>
      <c r="FMS222" s="1201"/>
      <c r="FMT222" s="1201"/>
      <c r="FMU222" s="1201"/>
      <c r="FMV222" s="1201"/>
      <c r="FMW222" s="1201"/>
      <c r="FMX222" s="1201"/>
      <c r="FMY222" s="1201"/>
      <c r="FMZ222" s="1201"/>
      <c r="FNA222" s="1201"/>
      <c r="FNB222" s="1201"/>
      <c r="FNC222" s="1201"/>
      <c r="FND222" s="1201"/>
      <c r="FNE222" s="1201"/>
      <c r="FNF222" s="1201"/>
      <c r="FNG222" s="1201"/>
      <c r="FNH222" s="1201"/>
      <c r="FNI222" s="1201"/>
      <c r="FNJ222" s="1201"/>
      <c r="FNK222" s="1201"/>
      <c r="FNL222" s="1201"/>
      <c r="FNM222" s="1201"/>
      <c r="FNN222" s="1201"/>
      <c r="FNO222" s="1201"/>
      <c r="FNP222" s="1201"/>
      <c r="FNQ222" s="1201"/>
      <c r="FNR222" s="1201"/>
      <c r="FNS222" s="1201"/>
      <c r="FNT222" s="1201"/>
      <c r="FNU222" s="1201"/>
      <c r="FNV222" s="1201"/>
      <c r="FNW222" s="1201"/>
      <c r="FNX222" s="1201"/>
      <c r="FNY222" s="1201"/>
      <c r="FNZ222" s="1201"/>
      <c r="FOA222" s="1201"/>
      <c r="FOB222" s="1201"/>
      <c r="FOC222" s="1201"/>
      <c r="FOD222" s="1201"/>
      <c r="FOE222" s="1201"/>
      <c r="FOF222" s="1201"/>
      <c r="FOG222" s="1201"/>
      <c r="FOH222" s="1201"/>
      <c r="FOI222" s="1201"/>
      <c r="FOJ222" s="1201"/>
      <c r="FOK222" s="1201"/>
      <c r="FOL222" s="1201"/>
      <c r="FOM222" s="1201"/>
      <c r="FON222" s="1201"/>
      <c r="FOO222" s="1201"/>
      <c r="FOP222" s="1201"/>
      <c r="FOQ222" s="1201"/>
      <c r="FOR222" s="1201"/>
      <c r="FOS222" s="1201"/>
      <c r="FOT222" s="1201"/>
      <c r="FOU222" s="1201"/>
      <c r="FOV222" s="1201"/>
      <c r="FOW222" s="1201"/>
      <c r="FOX222" s="1201"/>
      <c r="FOY222" s="1201"/>
      <c r="FOZ222" s="1201"/>
      <c r="FPA222" s="1201"/>
      <c r="FPB222" s="1201"/>
      <c r="FPC222" s="1201"/>
      <c r="FPD222" s="1201"/>
      <c r="FPE222" s="1201"/>
      <c r="FPF222" s="1201"/>
      <c r="FPG222" s="1201"/>
      <c r="FPH222" s="1201"/>
      <c r="FPI222" s="1201"/>
      <c r="FPJ222" s="1201"/>
      <c r="FPK222" s="1201"/>
      <c r="FPL222" s="1201"/>
      <c r="FPM222" s="1201"/>
      <c r="FPN222" s="1201"/>
      <c r="FPO222" s="1201"/>
      <c r="FPP222" s="1201"/>
      <c r="FPQ222" s="1201"/>
      <c r="FPR222" s="1201"/>
      <c r="FPS222" s="1201"/>
      <c r="FPT222" s="1201"/>
      <c r="FPU222" s="1201"/>
      <c r="FPV222" s="1201"/>
      <c r="FPW222" s="1201"/>
      <c r="FPX222" s="1201"/>
      <c r="FPY222" s="1201"/>
      <c r="FPZ222" s="1201"/>
      <c r="FQA222" s="1201"/>
      <c r="FQB222" s="1201"/>
      <c r="FQC222" s="1201"/>
      <c r="FQD222" s="1201"/>
      <c r="FQE222" s="1201"/>
      <c r="FQF222" s="1201"/>
      <c r="FQG222" s="1201"/>
      <c r="FQH222" s="1201"/>
      <c r="FQI222" s="1201"/>
      <c r="FQJ222" s="1201"/>
      <c r="FQK222" s="1201"/>
      <c r="FQL222" s="1201"/>
      <c r="FQM222" s="1201"/>
      <c r="FQN222" s="1201"/>
      <c r="FQO222" s="1201"/>
      <c r="FQP222" s="1201"/>
      <c r="FQQ222" s="1201"/>
      <c r="FQR222" s="1201"/>
      <c r="FQS222" s="1201"/>
      <c r="FQT222" s="1201"/>
      <c r="FQU222" s="1201"/>
      <c r="FQV222" s="1201"/>
      <c r="FQW222" s="1201"/>
      <c r="FQX222" s="1201"/>
      <c r="FQY222" s="1201"/>
      <c r="FQZ222" s="1201"/>
      <c r="FRA222" s="1201"/>
      <c r="FRB222" s="1201"/>
      <c r="FRC222" s="1201"/>
      <c r="FRD222" s="1201"/>
      <c r="FRE222" s="1201"/>
      <c r="FRF222" s="1201"/>
      <c r="FRG222" s="1201"/>
      <c r="FRH222" s="1201"/>
      <c r="FRI222" s="1201"/>
      <c r="FRJ222" s="1201"/>
      <c r="FRK222" s="1201"/>
      <c r="FRL222" s="1201"/>
      <c r="FRM222" s="1201"/>
      <c r="FRN222" s="1201"/>
      <c r="FRO222" s="1201"/>
      <c r="FRP222" s="1201"/>
      <c r="FRQ222" s="1201"/>
      <c r="FRR222" s="1201"/>
      <c r="FRS222" s="1201"/>
      <c r="FRT222" s="1201"/>
      <c r="FRU222" s="1201"/>
      <c r="FRV222" s="1201"/>
      <c r="FRW222" s="1201"/>
      <c r="FRX222" s="1201"/>
      <c r="FRY222" s="1201"/>
      <c r="FRZ222" s="1201"/>
      <c r="FSA222" s="1201"/>
      <c r="FSB222" s="1201"/>
      <c r="FSC222" s="1201"/>
      <c r="FSD222" s="1201"/>
      <c r="FSE222" s="1201"/>
      <c r="FSF222" s="1201"/>
      <c r="FSG222" s="1201"/>
      <c r="FSH222" s="1201"/>
      <c r="FSI222" s="1201"/>
      <c r="FSJ222" s="1201"/>
      <c r="FSK222" s="1201"/>
      <c r="FSL222" s="1201"/>
      <c r="FSM222" s="1201"/>
      <c r="FSN222" s="1201"/>
      <c r="FSO222" s="1201"/>
      <c r="FSP222" s="1201"/>
      <c r="FSQ222" s="1201"/>
      <c r="FSR222" s="1201"/>
      <c r="FSS222" s="1201"/>
      <c r="FST222" s="1201"/>
      <c r="FSU222" s="1201"/>
      <c r="FSV222" s="1201"/>
      <c r="FSW222" s="1201"/>
      <c r="FSX222" s="1201"/>
      <c r="FSY222" s="1201"/>
      <c r="FSZ222" s="1201"/>
      <c r="FTA222" s="1201"/>
      <c r="FTB222" s="1201"/>
      <c r="FTC222" s="1201"/>
      <c r="FTD222" s="1201"/>
      <c r="FTE222" s="1201"/>
      <c r="FTF222" s="1201"/>
      <c r="FTG222" s="1201"/>
      <c r="FTH222" s="1201"/>
      <c r="FTI222" s="1201"/>
      <c r="FTJ222" s="1201"/>
      <c r="FTK222" s="1201"/>
      <c r="FTL222" s="1201"/>
      <c r="FTM222" s="1201"/>
      <c r="FTN222" s="1201"/>
      <c r="FTO222" s="1201"/>
      <c r="FTP222" s="1201"/>
      <c r="FTQ222" s="1201"/>
      <c r="FTR222" s="1201"/>
      <c r="FTS222" s="1201"/>
      <c r="FTT222" s="1201"/>
      <c r="FTU222" s="1201"/>
      <c r="FTV222" s="1201"/>
      <c r="FTW222" s="1201"/>
      <c r="FTX222" s="1201"/>
      <c r="FTY222" s="1201"/>
      <c r="FTZ222" s="1201"/>
      <c r="FUA222" s="1201"/>
      <c r="FUB222" s="1201"/>
      <c r="FUC222" s="1201"/>
      <c r="FUD222" s="1201"/>
      <c r="FUE222" s="1201"/>
      <c r="FUF222" s="1201"/>
      <c r="FUG222" s="1201"/>
      <c r="FUH222" s="1201"/>
      <c r="FUI222" s="1201"/>
      <c r="FUJ222" s="1201"/>
      <c r="FUK222" s="1201"/>
      <c r="FUL222" s="1201"/>
      <c r="FUM222" s="1201"/>
      <c r="FUN222" s="1201"/>
      <c r="FUO222" s="1201"/>
      <c r="FUP222" s="1201"/>
      <c r="FUQ222" s="1201"/>
      <c r="FUR222" s="1201"/>
      <c r="FUS222" s="1201"/>
      <c r="FUT222" s="1201"/>
      <c r="FUU222" s="1201"/>
      <c r="FUV222" s="1201"/>
      <c r="FUW222" s="1201"/>
      <c r="FUX222" s="1201"/>
      <c r="FUY222" s="1201"/>
      <c r="FUZ222" s="1201"/>
      <c r="FVA222" s="1201"/>
      <c r="FVB222" s="1201"/>
      <c r="FVC222" s="1201"/>
      <c r="FVD222" s="1201"/>
      <c r="FVE222" s="1201"/>
      <c r="FVF222" s="1201"/>
      <c r="FVG222" s="1201"/>
      <c r="FVH222" s="1201"/>
      <c r="FVI222" s="1201"/>
      <c r="FVJ222" s="1201"/>
      <c r="FVK222" s="1201"/>
      <c r="FVL222" s="1201"/>
      <c r="FVM222" s="1201"/>
      <c r="FVN222" s="1201"/>
      <c r="FVO222" s="1201"/>
      <c r="FVP222" s="1201"/>
      <c r="FVQ222" s="1201"/>
      <c r="FVR222" s="1201"/>
      <c r="FVS222" s="1201"/>
      <c r="FVT222" s="1201"/>
      <c r="FVU222" s="1201"/>
      <c r="FVV222" s="1201"/>
      <c r="FVW222" s="1201"/>
      <c r="FVX222" s="1201"/>
      <c r="FVY222" s="1201"/>
      <c r="FVZ222" s="1201"/>
      <c r="FWA222" s="1201"/>
      <c r="FWB222" s="1201"/>
      <c r="FWC222" s="1201"/>
      <c r="FWD222" s="1201"/>
      <c r="FWE222" s="1201"/>
      <c r="FWF222" s="1201"/>
      <c r="FWG222" s="1201"/>
      <c r="FWH222" s="1201"/>
      <c r="FWI222" s="1201"/>
      <c r="FWJ222" s="1201"/>
      <c r="FWK222" s="1201"/>
      <c r="FWL222" s="1201"/>
      <c r="FWM222" s="1201"/>
      <c r="FWN222" s="1201"/>
      <c r="FWO222" s="1201"/>
      <c r="FWP222" s="1201"/>
      <c r="FWQ222" s="1201"/>
      <c r="FWR222" s="1201"/>
      <c r="FWS222" s="1201"/>
      <c r="FWT222" s="1201"/>
      <c r="FWU222" s="1201"/>
      <c r="FWV222" s="1201"/>
      <c r="FWW222" s="1201"/>
      <c r="FWX222" s="1201"/>
      <c r="FWY222" s="1201"/>
      <c r="FWZ222" s="1201"/>
      <c r="FXA222" s="1201"/>
      <c r="FXB222" s="1201"/>
      <c r="FXC222" s="1201"/>
      <c r="FXD222" s="1201"/>
      <c r="FXE222" s="1201"/>
      <c r="FXF222" s="1201"/>
      <c r="FXG222" s="1201"/>
      <c r="FXH222" s="1201"/>
      <c r="FXI222" s="1201"/>
      <c r="FXJ222" s="1201"/>
      <c r="FXK222" s="1201"/>
      <c r="FXL222" s="1201"/>
      <c r="FXM222" s="1201"/>
      <c r="FXN222" s="1201"/>
      <c r="FXO222" s="1201"/>
      <c r="FXP222" s="1201"/>
      <c r="FXQ222" s="1201"/>
      <c r="FXR222" s="1201"/>
      <c r="FXS222" s="1201"/>
      <c r="FXT222" s="1201"/>
      <c r="FXU222" s="1201"/>
      <c r="FXV222" s="1201"/>
      <c r="FXW222" s="1201"/>
      <c r="FXX222" s="1201"/>
      <c r="FXY222" s="1201"/>
      <c r="FXZ222" s="1201"/>
      <c r="FYA222" s="1201"/>
      <c r="FYB222" s="1201"/>
      <c r="FYC222" s="1201"/>
      <c r="FYD222" s="1201"/>
      <c r="FYE222" s="1201"/>
      <c r="FYF222" s="1201"/>
      <c r="FYG222" s="1201"/>
      <c r="FYH222" s="1201"/>
      <c r="FYI222" s="1201"/>
      <c r="FYJ222" s="1201"/>
      <c r="FYK222" s="1201"/>
      <c r="FYL222" s="1201"/>
      <c r="FYM222" s="1201"/>
      <c r="FYN222" s="1201"/>
      <c r="FYO222" s="1201"/>
      <c r="FYP222" s="1201"/>
      <c r="FYQ222" s="1201"/>
      <c r="FYR222" s="1201"/>
      <c r="FYS222" s="1201"/>
      <c r="FYT222" s="1201"/>
      <c r="FYU222" s="1201"/>
      <c r="FYV222" s="1201"/>
      <c r="FYW222" s="1201"/>
      <c r="FYX222" s="1201"/>
      <c r="FYY222" s="1201"/>
      <c r="FYZ222" s="1201"/>
      <c r="FZA222" s="1201"/>
      <c r="FZB222" s="1201"/>
      <c r="FZC222" s="1201"/>
      <c r="FZD222" s="1201"/>
      <c r="FZE222" s="1201"/>
      <c r="FZF222" s="1201"/>
      <c r="FZG222" s="1201"/>
      <c r="FZH222" s="1201"/>
      <c r="FZI222" s="1201"/>
      <c r="FZJ222" s="1201"/>
      <c r="FZK222" s="1201"/>
      <c r="FZL222" s="1201"/>
      <c r="FZM222" s="1201"/>
      <c r="FZN222" s="1201"/>
      <c r="FZO222" s="1201"/>
      <c r="FZP222" s="1201"/>
      <c r="FZQ222" s="1201"/>
      <c r="FZR222" s="1201"/>
      <c r="FZS222" s="1201"/>
      <c r="FZT222" s="1201"/>
      <c r="FZU222" s="1201"/>
      <c r="FZV222" s="1201"/>
      <c r="FZW222" s="1201"/>
      <c r="FZX222" s="1201"/>
      <c r="FZY222" s="1201"/>
      <c r="FZZ222" s="1201"/>
      <c r="GAA222" s="1201"/>
      <c r="GAB222" s="1201"/>
      <c r="GAC222" s="1201"/>
      <c r="GAD222" s="1201"/>
      <c r="GAE222" s="1201"/>
      <c r="GAF222" s="1201"/>
      <c r="GAG222" s="1201"/>
      <c r="GAH222" s="1201"/>
      <c r="GAI222" s="1201"/>
      <c r="GAJ222" s="1201"/>
      <c r="GAK222" s="1201"/>
      <c r="GAL222" s="1201"/>
      <c r="GAM222" s="1201"/>
      <c r="GAN222" s="1201"/>
      <c r="GAO222" s="1201"/>
      <c r="GAP222" s="1201"/>
      <c r="GAQ222" s="1201"/>
      <c r="GAR222" s="1201"/>
      <c r="GAS222" s="1201"/>
      <c r="GAT222" s="1201"/>
      <c r="GAU222" s="1201"/>
      <c r="GAV222" s="1201"/>
      <c r="GAW222" s="1201"/>
      <c r="GAX222" s="1201"/>
      <c r="GAY222" s="1201"/>
      <c r="GAZ222" s="1201"/>
      <c r="GBA222" s="1201"/>
      <c r="GBB222" s="1201"/>
      <c r="GBC222" s="1201"/>
      <c r="GBD222" s="1201"/>
      <c r="GBE222" s="1201"/>
      <c r="GBF222" s="1201"/>
      <c r="GBG222" s="1201"/>
      <c r="GBH222" s="1201"/>
      <c r="GBI222" s="1201"/>
      <c r="GBJ222" s="1201"/>
      <c r="GBK222" s="1201"/>
      <c r="GBL222" s="1201"/>
      <c r="GBM222" s="1201"/>
      <c r="GBN222" s="1201"/>
      <c r="GBO222" s="1201"/>
      <c r="GBP222" s="1201"/>
      <c r="GBQ222" s="1201"/>
      <c r="GBR222" s="1201"/>
      <c r="GBS222" s="1201"/>
      <c r="GBT222" s="1201"/>
      <c r="GBU222" s="1201"/>
      <c r="GBV222" s="1201"/>
      <c r="GBW222" s="1201"/>
      <c r="GBX222" s="1201"/>
      <c r="GBY222" s="1201"/>
      <c r="GBZ222" s="1201"/>
      <c r="GCA222" s="1201"/>
      <c r="GCB222" s="1201"/>
      <c r="GCC222" s="1201"/>
      <c r="GCD222" s="1201"/>
      <c r="GCE222" s="1201"/>
      <c r="GCF222" s="1201"/>
      <c r="GCG222" s="1201"/>
      <c r="GCH222" s="1201"/>
      <c r="GCI222" s="1201"/>
      <c r="GCJ222" s="1201"/>
      <c r="GCK222" s="1201"/>
      <c r="GCL222" s="1201"/>
      <c r="GCM222" s="1201"/>
      <c r="GCN222" s="1201"/>
      <c r="GCO222" s="1201"/>
      <c r="GCP222" s="1201"/>
      <c r="GCQ222" s="1201"/>
      <c r="GCR222" s="1201"/>
      <c r="GCS222" s="1201"/>
      <c r="GCT222" s="1201"/>
      <c r="GCU222" s="1201"/>
      <c r="GCV222" s="1201"/>
      <c r="GCW222" s="1201"/>
      <c r="GCX222" s="1201"/>
      <c r="GCY222" s="1201"/>
      <c r="GCZ222" s="1201"/>
      <c r="GDA222" s="1201"/>
      <c r="GDB222" s="1201"/>
      <c r="GDC222" s="1201"/>
      <c r="GDD222" s="1201"/>
      <c r="GDE222" s="1201"/>
      <c r="GDF222" s="1201"/>
      <c r="GDG222" s="1201"/>
      <c r="GDH222" s="1201"/>
      <c r="GDI222" s="1201"/>
      <c r="GDJ222" s="1201"/>
      <c r="GDK222" s="1201"/>
      <c r="GDL222" s="1201"/>
      <c r="GDM222" s="1201"/>
      <c r="GDN222" s="1201"/>
      <c r="GDO222" s="1201"/>
      <c r="GDP222" s="1201"/>
      <c r="GDQ222" s="1201"/>
      <c r="GDR222" s="1201"/>
      <c r="GDS222" s="1201"/>
      <c r="GDT222" s="1201"/>
      <c r="GDU222" s="1201"/>
      <c r="GDV222" s="1201"/>
      <c r="GDW222" s="1201"/>
      <c r="GDX222" s="1201"/>
      <c r="GDY222" s="1201"/>
      <c r="GDZ222" s="1201"/>
      <c r="GEA222" s="1201"/>
      <c r="GEB222" s="1201"/>
      <c r="GEC222" s="1201"/>
      <c r="GED222" s="1201"/>
      <c r="GEE222" s="1201"/>
      <c r="GEF222" s="1201"/>
      <c r="GEG222" s="1201"/>
      <c r="GEH222" s="1201"/>
      <c r="GEI222" s="1201"/>
      <c r="GEJ222" s="1201"/>
      <c r="GEK222" s="1201"/>
      <c r="GEL222" s="1201"/>
      <c r="GEM222" s="1201"/>
      <c r="GEN222" s="1201"/>
      <c r="GEO222" s="1201"/>
      <c r="GEP222" s="1201"/>
      <c r="GEQ222" s="1201"/>
      <c r="GER222" s="1201"/>
      <c r="GES222" s="1201"/>
      <c r="GET222" s="1201"/>
      <c r="GEU222" s="1201"/>
      <c r="GEV222" s="1201"/>
      <c r="GEW222" s="1201"/>
      <c r="GEX222" s="1201"/>
      <c r="GEY222" s="1201"/>
      <c r="GEZ222" s="1201"/>
      <c r="GFA222" s="1201"/>
      <c r="GFB222" s="1201"/>
      <c r="GFC222" s="1201"/>
      <c r="GFD222" s="1201"/>
      <c r="GFE222" s="1201"/>
      <c r="GFF222" s="1201"/>
      <c r="GFG222" s="1201"/>
      <c r="GFH222" s="1201"/>
      <c r="GFI222" s="1201"/>
      <c r="GFJ222" s="1201"/>
      <c r="GFK222" s="1201"/>
      <c r="GFL222" s="1201"/>
      <c r="GFM222" s="1201"/>
      <c r="GFN222" s="1201"/>
      <c r="GFO222" s="1201"/>
      <c r="GFP222" s="1201"/>
      <c r="GFQ222" s="1201"/>
      <c r="GFR222" s="1201"/>
      <c r="GFS222" s="1201"/>
      <c r="GFT222" s="1201"/>
      <c r="GFU222" s="1201"/>
      <c r="GFV222" s="1201"/>
      <c r="GFW222" s="1201"/>
      <c r="GFX222" s="1201"/>
      <c r="GFY222" s="1201"/>
      <c r="GFZ222" s="1201"/>
      <c r="GGA222" s="1201"/>
      <c r="GGB222" s="1201"/>
      <c r="GGC222" s="1201"/>
      <c r="GGD222" s="1201"/>
      <c r="GGE222" s="1201"/>
      <c r="GGF222" s="1201"/>
      <c r="GGG222" s="1201"/>
      <c r="GGH222" s="1201"/>
      <c r="GGI222" s="1201"/>
      <c r="GGJ222" s="1201"/>
      <c r="GGK222" s="1201"/>
      <c r="GGL222" s="1201"/>
      <c r="GGM222" s="1201"/>
      <c r="GGN222" s="1201"/>
      <c r="GGO222" s="1201"/>
      <c r="GGP222" s="1201"/>
      <c r="GGQ222" s="1201"/>
      <c r="GGR222" s="1201"/>
      <c r="GGS222" s="1201"/>
      <c r="GGT222" s="1201"/>
      <c r="GGU222" s="1201"/>
      <c r="GGV222" s="1201"/>
      <c r="GGW222" s="1201"/>
      <c r="GGX222" s="1201"/>
      <c r="GGY222" s="1201"/>
      <c r="GGZ222" s="1201"/>
      <c r="GHA222" s="1201"/>
      <c r="GHB222" s="1201"/>
      <c r="GHC222" s="1201"/>
      <c r="GHD222" s="1201"/>
      <c r="GHE222" s="1201"/>
      <c r="GHF222" s="1201"/>
      <c r="GHG222" s="1201"/>
      <c r="GHH222" s="1201"/>
      <c r="GHI222" s="1201"/>
      <c r="GHJ222" s="1201"/>
      <c r="GHK222" s="1201"/>
      <c r="GHL222" s="1201"/>
      <c r="GHM222" s="1201"/>
      <c r="GHN222" s="1201"/>
      <c r="GHO222" s="1201"/>
      <c r="GHP222" s="1201"/>
      <c r="GHQ222" s="1201"/>
      <c r="GHR222" s="1201"/>
      <c r="GHS222" s="1201"/>
      <c r="GHT222" s="1201"/>
      <c r="GHU222" s="1201"/>
      <c r="GHV222" s="1201"/>
      <c r="GHW222" s="1201"/>
      <c r="GHX222" s="1201"/>
      <c r="GHY222" s="1201"/>
      <c r="GHZ222" s="1201"/>
      <c r="GIA222" s="1201"/>
      <c r="GIB222" s="1201"/>
      <c r="GIC222" s="1201"/>
      <c r="GID222" s="1201"/>
      <c r="GIE222" s="1201"/>
      <c r="GIF222" s="1201"/>
      <c r="GIG222" s="1201"/>
      <c r="GIH222" s="1201"/>
      <c r="GII222" s="1201"/>
      <c r="GIJ222" s="1201"/>
      <c r="GIK222" s="1201"/>
      <c r="GIL222" s="1201"/>
      <c r="GIM222" s="1201"/>
      <c r="GIN222" s="1201"/>
      <c r="GIO222" s="1201"/>
      <c r="GIP222" s="1201"/>
      <c r="GIQ222" s="1201"/>
      <c r="GIR222" s="1201"/>
      <c r="GIS222" s="1201"/>
      <c r="GIT222" s="1201"/>
      <c r="GIU222" s="1201"/>
      <c r="GIV222" s="1201"/>
      <c r="GIW222" s="1201"/>
      <c r="GIX222" s="1201"/>
      <c r="GIY222" s="1201"/>
      <c r="GIZ222" s="1201"/>
      <c r="GJA222" s="1201"/>
      <c r="GJB222" s="1201"/>
      <c r="GJC222" s="1201"/>
      <c r="GJD222" s="1201"/>
      <c r="GJE222" s="1201"/>
      <c r="GJF222" s="1201"/>
      <c r="GJG222" s="1201"/>
      <c r="GJH222" s="1201"/>
      <c r="GJI222" s="1201"/>
      <c r="GJJ222" s="1201"/>
      <c r="GJK222" s="1201"/>
      <c r="GJL222" s="1201"/>
      <c r="GJM222" s="1201"/>
      <c r="GJN222" s="1201"/>
      <c r="GJO222" s="1201"/>
      <c r="GJP222" s="1201"/>
      <c r="GJQ222" s="1201"/>
      <c r="GJR222" s="1201"/>
      <c r="GJS222" s="1201"/>
      <c r="GJT222" s="1201"/>
      <c r="GJU222" s="1201"/>
      <c r="GJV222" s="1201"/>
      <c r="GJW222" s="1201"/>
      <c r="GJX222" s="1201"/>
      <c r="GJY222" s="1201"/>
      <c r="GJZ222" s="1201"/>
      <c r="GKA222" s="1201"/>
      <c r="GKB222" s="1201"/>
      <c r="GKC222" s="1201"/>
      <c r="GKD222" s="1201"/>
      <c r="GKE222" s="1201"/>
      <c r="GKF222" s="1201"/>
      <c r="GKG222" s="1201"/>
      <c r="GKH222" s="1201"/>
      <c r="GKI222" s="1201"/>
      <c r="GKJ222" s="1201"/>
      <c r="GKK222" s="1201"/>
      <c r="GKL222" s="1201"/>
      <c r="GKM222" s="1201"/>
      <c r="GKN222" s="1201"/>
      <c r="GKO222" s="1201"/>
      <c r="GKP222" s="1201"/>
      <c r="GKQ222" s="1201"/>
      <c r="GKR222" s="1201"/>
      <c r="GKS222" s="1201"/>
      <c r="GKT222" s="1201"/>
      <c r="GKU222" s="1201"/>
      <c r="GKV222" s="1201"/>
      <c r="GKW222" s="1201"/>
      <c r="GKX222" s="1201"/>
      <c r="GKY222" s="1201"/>
      <c r="GKZ222" s="1201"/>
      <c r="GLA222" s="1201"/>
      <c r="GLB222" s="1201"/>
      <c r="GLC222" s="1201"/>
      <c r="GLD222" s="1201"/>
      <c r="GLE222" s="1201"/>
      <c r="GLF222" s="1201"/>
      <c r="GLG222" s="1201"/>
      <c r="GLH222" s="1201"/>
      <c r="GLI222" s="1201"/>
      <c r="GLJ222" s="1201"/>
      <c r="GLK222" s="1201"/>
      <c r="GLL222" s="1201"/>
      <c r="GLM222" s="1201"/>
      <c r="GLN222" s="1201"/>
      <c r="GLO222" s="1201"/>
      <c r="GLP222" s="1201"/>
      <c r="GLQ222" s="1201"/>
      <c r="GLR222" s="1201"/>
      <c r="GLS222" s="1201"/>
      <c r="GLT222" s="1201"/>
      <c r="GLU222" s="1201"/>
      <c r="GLV222" s="1201"/>
      <c r="GLW222" s="1201"/>
      <c r="GLX222" s="1201"/>
      <c r="GLY222" s="1201"/>
      <c r="GLZ222" s="1201"/>
      <c r="GMA222" s="1201"/>
      <c r="GMB222" s="1201"/>
      <c r="GMC222" s="1201"/>
      <c r="GMD222" s="1201"/>
      <c r="GME222" s="1201"/>
      <c r="GMF222" s="1201"/>
      <c r="GMG222" s="1201"/>
      <c r="GMH222" s="1201"/>
      <c r="GMI222" s="1201"/>
      <c r="GMJ222" s="1201"/>
      <c r="GMK222" s="1201"/>
      <c r="GML222" s="1201"/>
      <c r="GMM222" s="1201"/>
      <c r="GMN222" s="1201"/>
      <c r="GMO222" s="1201"/>
      <c r="GMP222" s="1201"/>
      <c r="GMQ222" s="1201"/>
      <c r="GMR222" s="1201"/>
      <c r="GMS222" s="1201"/>
      <c r="GMT222" s="1201"/>
      <c r="GMU222" s="1201"/>
      <c r="GMV222" s="1201"/>
      <c r="GMW222" s="1201"/>
      <c r="GMX222" s="1201"/>
      <c r="GMY222" s="1201"/>
      <c r="GMZ222" s="1201"/>
      <c r="GNA222" s="1201"/>
      <c r="GNB222" s="1201"/>
      <c r="GNC222" s="1201"/>
      <c r="GND222" s="1201"/>
      <c r="GNE222" s="1201"/>
      <c r="GNF222" s="1201"/>
      <c r="GNG222" s="1201"/>
      <c r="GNH222" s="1201"/>
      <c r="GNI222" s="1201"/>
      <c r="GNJ222" s="1201"/>
      <c r="GNK222" s="1201"/>
      <c r="GNL222" s="1201"/>
      <c r="GNM222" s="1201"/>
      <c r="GNN222" s="1201"/>
      <c r="GNO222" s="1201"/>
      <c r="GNP222" s="1201"/>
      <c r="GNQ222" s="1201"/>
      <c r="GNR222" s="1201"/>
      <c r="GNS222" s="1201"/>
      <c r="GNT222" s="1201"/>
      <c r="GNU222" s="1201"/>
      <c r="GNV222" s="1201"/>
      <c r="GNW222" s="1201"/>
      <c r="GNX222" s="1201"/>
      <c r="GNY222" s="1201"/>
      <c r="GNZ222" s="1201"/>
      <c r="GOA222" s="1201"/>
      <c r="GOB222" s="1201"/>
      <c r="GOC222" s="1201"/>
      <c r="GOD222" s="1201"/>
      <c r="GOE222" s="1201"/>
      <c r="GOF222" s="1201"/>
      <c r="GOG222" s="1201"/>
      <c r="GOH222" s="1201"/>
      <c r="GOI222" s="1201"/>
      <c r="GOJ222" s="1201"/>
      <c r="GOK222" s="1201"/>
      <c r="GOL222" s="1201"/>
      <c r="GOM222" s="1201"/>
      <c r="GON222" s="1201"/>
      <c r="GOO222" s="1201"/>
      <c r="GOP222" s="1201"/>
      <c r="GOQ222" s="1201"/>
      <c r="GOR222" s="1201"/>
      <c r="GOS222" s="1201"/>
      <c r="GOT222" s="1201"/>
      <c r="GOU222" s="1201"/>
      <c r="GOV222" s="1201"/>
      <c r="GOW222" s="1201"/>
      <c r="GOX222" s="1201"/>
      <c r="GOY222" s="1201"/>
      <c r="GOZ222" s="1201"/>
      <c r="GPA222" s="1201"/>
      <c r="GPB222" s="1201"/>
      <c r="GPC222" s="1201"/>
      <c r="GPD222" s="1201"/>
      <c r="GPE222" s="1201"/>
      <c r="GPF222" s="1201"/>
      <c r="GPG222" s="1201"/>
      <c r="GPH222" s="1201"/>
      <c r="GPI222" s="1201"/>
      <c r="GPJ222" s="1201"/>
      <c r="GPK222" s="1201"/>
      <c r="GPL222" s="1201"/>
      <c r="GPM222" s="1201"/>
      <c r="GPN222" s="1201"/>
      <c r="GPO222" s="1201"/>
      <c r="GPP222" s="1201"/>
      <c r="GPQ222" s="1201"/>
      <c r="GPR222" s="1201"/>
      <c r="GPS222" s="1201"/>
      <c r="GPT222" s="1201"/>
      <c r="GPU222" s="1201"/>
      <c r="GPV222" s="1201"/>
      <c r="GPW222" s="1201"/>
      <c r="GPX222" s="1201"/>
      <c r="GPY222" s="1201"/>
      <c r="GPZ222" s="1201"/>
      <c r="GQA222" s="1201"/>
      <c r="GQB222" s="1201"/>
      <c r="GQC222" s="1201"/>
      <c r="GQD222" s="1201"/>
      <c r="GQE222" s="1201"/>
      <c r="GQF222" s="1201"/>
      <c r="GQG222" s="1201"/>
      <c r="GQH222" s="1201"/>
      <c r="GQI222" s="1201"/>
      <c r="GQJ222" s="1201"/>
      <c r="GQK222" s="1201"/>
      <c r="GQL222" s="1201"/>
      <c r="GQM222" s="1201"/>
      <c r="GQN222" s="1201"/>
      <c r="GQO222" s="1201"/>
      <c r="GQP222" s="1201"/>
      <c r="GQQ222" s="1201"/>
      <c r="GQR222" s="1201"/>
      <c r="GQS222" s="1201"/>
      <c r="GQT222" s="1201"/>
      <c r="GQU222" s="1201"/>
      <c r="GQV222" s="1201"/>
      <c r="GQW222" s="1201"/>
      <c r="GQX222" s="1201"/>
      <c r="GQY222" s="1201"/>
      <c r="GQZ222" s="1201"/>
      <c r="GRA222" s="1201"/>
      <c r="GRB222" s="1201"/>
      <c r="GRC222" s="1201"/>
      <c r="GRD222" s="1201"/>
      <c r="GRE222" s="1201"/>
      <c r="GRF222" s="1201"/>
      <c r="GRG222" s="1201"/>
      <c r="GRH222" s="1201"/>
      <c r="GRI222" s="1201"/>
      <c r="GRJ222" s="1201"/>
      <c r="GRK222" s="1201"/>
      <c r="GRL222" s="1201"/>
      <c r="GRM222" s="1201"/>
      <c r="GRN222" s="1201"/>
      <c r="GRO222" s="1201"/>
      <c r="GRP222" s="1201"/>
      <c r="GRQ222" s="1201"/>
      <c r="GRR222" s="1201"/>
      <c r="GRS222" s="1201"/>
      <c r="GRT222" s="1201"/>
      <c r="GRU222" s="1201"/>
      <c r="GRV222" s="1201"/>
      <c r="GRW222" s="1201"/>
      <c r="GRX222" s="1201"/>
      <c r="GRY222" s="1201"/>
      <c r="GRZ222" s="1201"/>
      <c r="GSA222" s="1201"/>
      <c r="GSB222" s="1201"/>
      <c r="GSC222" s="1201"/>
      <c r="GSD222" s="1201"/>
      <c r="GSE222" s="1201"/>
      <c r="GSF222" s="1201"/>
      <c r="GSG222" s="1201"/>
      <c r="GSH222" s="1201"/>
      <c r="GSI222" s="1201"/>
      <c r="GSJ222" s="1201"/>
      <c r="GSK222" s="1201"/>
      <c r="GSL222" s="1201"/>
      <c r="GSM222" s="1201"/>
      <c r="GSN222" s="1201"/>
      <c r="GSO222" s="1201"/>
      <c r="GSP222" s="1201"/>
      <c r="GSQ222" s="1201"/>
      <c r="GSR222" s="1201"/>
      <c r="GSS222" s="1201"/>
      <c r="GST222" s="1201"/>
      <c r="GSU222" s="1201"/>
      <c r="GSV222" s="1201"/>
      <c r="GSW222" s="1201"/>
      <c r="GSX222" s="1201"/>
      <c r="GSY222" s="1201"/>
      <c r="GSZ222" s="1201"/>
      <c r="GTA222" s="1201"/>
      <c r="GTB222" s="1201"/>
      <c r="GTC222" s="1201"/>
      <c r="GTD222" s="1201"/>
      <c r="GTE222" s="1201"/>
      <c r="GTF222" s="1201"/>
      <c r="GTG222" s="1201"/>
      <c r="GTH222" s="1201"/>
      <c r="GTI222" s="1201"/>
      <c r="GTJ222" s="1201"/>
      <c r="GTK222" s="1201"/>
      <c r="GTL222" s="1201"/>
      <c r="GTM222" s="1201"/>
      <c r="GTN222" s="1201"/>
      <c r="GTO222" s="1201"/>
      <c r="GTP222" s="1201"/>
      <c r="GTQ222" s="1201"/>
      <c r="GTR222" s="1201"/>
      <c r="GTS222" s="1201"/>
      <c r="GTT222" s="1201"/>
      <c r="GTU222" s="1201"/>
      <c r="GTV222" s="1201"/>
      <c r="GTW222" s="1201"/>
      <c r="GTX222" s="1201"/>
      <c r="GTY222" s="1201"/>
      <c r="GTZ222" s="1201"/>
      <c r="GUA222" s="1201"/>
      <c r="GUB222" s="1201"/>
      <c r="GUC222" s="1201"/>
      <c r="GUD222" s="1201"/>
      <c r="GUE222" s="1201"/>
      <c r="GUF222" s="1201"/>
      <c r="GUG222" s="1201"/>
      <c r="GUH222" s="1201"/>
      <c r="GUI222" s="1201"/>
      <c r="GUJ222" s="1201"/>
      <c r="GUK222" s="1201"/>
      <c r="GUL222" s="1201"/>
      <c r="GUM222" s="1201"/>
      <c r="GUN222" s="1201"/>
      <c r="GUO222" s="1201"/>
      <c r="GUP222" s="1201"/>
      <c r="GUQ222" s="1201"/>
      <c r="GUR222" s="1201"/>
      <c r="GUS222" s="1201"/>
      <c r="GUT222" s="1201"/>
      <c r="GUU222" s="1201"/>
      <c r="GUV222" s="1201"/>
      <c r="GUW222" s="1201"/>
      <c r="GUX222" s="1201"/>
      <c r="GUY222" s="1201"/>
      <c r="GUZ222" s="1201"/>
      <c r="GVA222" s="1201"/>
      <c r="GVB222" s="1201"/>
      <c r="GVC222" s="1201"/>
      <c r="GVD222" s="1201"/>
      <c r="GVE222" s="1201"/>
      <c r="GVF222" s="1201"/>
      <c r="GVG222" s="1201"/>
      <c r="GVH222" s="1201"/>
      <c r="GVI222" s="1201"/>
      <c r="GVJ222" s="1201"/>
      <c r="GVK222" s="1201"/>
      <c r="GVL222" s="1201"/>
      <c r="GVM222" s="1201"/>
      <c r="GVN222" s="1201"/>
      <c r="GVO222" s="1201"/>
      <c r="GVP222" s="1201"/>
      <c r="GVQ222" s="1201"/>
      <c r="GVR222" s="1201"/>
      <c r="GVS222" s="1201"/>
      <c r="GVT222" s="1201"/>
      <c r="GVU222" s="1201"/>
      <c r="GVV222" s="1201"/>
      <c r="GVW222" s="1201"/>
      <c r="GVX222" s="1201"/>
      <c r="GVY222" s="1201"/>
      <c r="GVZ222" s="1201"/>
      <c r="GWA222" s="1201"/>
      <c r="GWB222" s="1201"/>
      <c r="GWC222" s="1201"/>
      <c r="GWD222" s="1201"/>
      <c r="GWE222" s="1201"/>
      <c r="GWF222" s="1201"/>
      <c r="GWG222" s="1201"/>
      <c r="GWH222" s="1201"/>
      <c r="GWI222" s="1201"/>
      <c r="GWJ222" s="1201"/>
      <c r="GWK222" s="1201"/>
      <c r="GWL222" s="1201"/>
      <c r="GWM222" s="1201"/>
      <c r="GWN222" s="1201"/>
      <c r="GWO222" s="1201"/>
      <c r="GWP222" s="1201"/>
      <c r="GWQ222" s="1201"/>
      <c r="GWR222" s="1201"/>
      <c r="GWS222" s="1201"/>
      <c r="GWT222" s="1201"/>
      <c r="GWU222" s="1201"/>
      <c r="GWV222" s="1201"/>
      <c r="GWW222" s="1201"/>
      <c r="GWX222" s="1201"/>
      <c r="GWY222" s="1201"/>
      <c r="GWZ222" s="1201"/>
      <c r="GXA222" s="1201"/>
      <c r="GXB222" s="1201"/>
      <c r="GXC222" s="1201"/>
      <c r="GXD222" s="1201"/>
      <c r="GXE222" s="1201"/>
      <c r="GXF222" s="1201"/>
      <c r="GXG222" s="1201"/>
      <c r="GXH222" s="1201"/>
      <c r="GXI222" s="1201"/>
      <c r="GXJ222" s="1201"/>
      <c r="GXK222" s="1201"/>
      <c r="GXL222" s="1201"/>
      <c r="GXM222" s="1201"/>
      <c r="GXN222" s="1201"/>
      <c r="GXO222" s="1201"/>
      <c r="GXP222" s="1201"/>
      <c r="GXQ222" s="1201"/>
      <c r="GXR222" s="1201"/>
      <c r="GXS222" s="1201"/>
      <c r="GXT222" s="1201"/>
      <c r="GXU222" s="1201"/>
      <c r="GXV222" s="1201"/>
      <c r="GXW222" s="1201"/>
      <c r="GXX222" s="1201"/>
      <c r="GXY222" s="1201"/>
      <c r="GXZ222" s="1201"/>
      <c r="GYA222" s="1201"/>
      <c r="GYB222" s="1201"/>
      <c r="GYC222" s="1201"/>
      <c r="GYD222" s="1201"/>
      <c r="GYE222" s="1201"/>
      <c r="GYF222" s="1201"/>
      <c r="GYG222" s="1201"/>
      <c r="GYH222" s="1201"/>
      <c r="GYI222" s="1201"/>
      <c r="GYJ222" s="1201"/>
      <c r="GYK222" s="1201"/>
      <c r="GYL222" s="1201"/>
      <c r="GYM222" s="1201"/>
      <c r="GYN222" s="1201"/>
      <c r="GYO222" s="1201"/>
      <c r="GYP222" s="1201"/>
      <c r="GYQ222" s="1201"/>
      <c r="GYR222" s="1201"/>
      <c r="GYS222" s="1201"/>
      <c r="GYT222" s="1201"/>
      <c r="GYU222" s="1201"/>
      <c r="GYV222" s="1201"/>
      <c r="GYW222" s="1201"/>
      <c r="GYX222" s="1201"/>
      <c r="GYY222" s="1201"/>
      <c r="GYZ222" s="1201"/>
      <c r="GZA222" s="1201"/>
      <c r="GZB222" s="1201"/>
      <c r="GZC222" s="1201"/>
      <c r="GZD222" s="1201"/>
      <c r="GZE222" s="1201"/>
      <c r="GZF222" s="1201"/>
      <c r="GZG222" s="1201"/>
      <c r="GZH222" s="1201"/>
      <c r="GZI222" s="1201"/>
      <c r="GZJ222" s="1201"/>
      <c r="GZK222" s="1201"/>
      <c r="GZL222" s="1201"/>
      <c r="GZM222" s="1201"/>
      <c r="GZN222" s="1201"/>
      <c r="GZO222" s="1201"/>
      <c r="GZP222" s="1201"/>
      <c r="GZQ222" s="1201"/>
      <c r="GZR222" s="1201"/>
      <c r="GZS222" s="1201"/>
      <c r="GZT222" s="1201"/>
      <c r="GZU222" s="1201"/>
      <c r="GZV222" s="1201"/>
      <c r="GZW222" s="1201"/>
      <c r="GZX222" s="1201"/>
      <c r="GZY222" s="1201"/>
      <c r="GZZ222" s="1201"/>
      <c r="HAA222" s="1201"/>
      <c r="HAB222" s="1201"/>
      <c r="HAC222" s="1201"/>
      <c r="HAD222" s="1201"/>
      <c r="HAE222" s="1201"/>
      <c r="HAF222" s="1201"/>
      <c r="HAG222" s="1201"/>
      <c r="HAH222" s="1201"/>
      <c r="HAI222" s="1201"/>
      <c r="HAJ222" s="1201"/>
      <c r="HAK222" s="1201"/>
      <c r="HAL222" s="1201"/>
      <c r="HAM222" s="1201"/>
      <c r="HAN222" s="1201"/>
      <c r="HAO222" s="1201"/>
      <c r="HAP222" s="1201"/>
      <c r="HAQ222" s="1201"/>
      <c r="HAR222" s="1201"/>
      <c r="HAS222" s="1201"/>
      <c r="HAT222" s="1201"/>
      <c r="HAU222" s="1201"/>
      <c r="HAV222" s="1201"/>
      <c r="HAW222" s="1201"/>
      <c r="HAX222" s="1201"/>
      <c r="HAY222" s="1201"/>
      <c r="HAZ222" s="1201"/>
      <c r="HBA222" s="1201"/>
      <c r="HBB222" s="1201"/>
      <c r="HBC222" s="1201"/>
      <c r="HBD222" s="1201"/>
      <c r="HBE222" s="1201"/>
      <c r="HBF222" s="1201"/>
      <c r="HBG222" s="1201"/>
      <c r="HBH222" s="1201"/>
      <c r="HBI222" s="1201"/>
      <c r="HBJ222" s="1201"/>
      <c r="HBK222" s="1201"/>
      <c r="HBL222" s="1201"/>
      <c r="HBM222" s="1201"/>
      <c r="HBN222" s="1201"/>
      <c r="HBO222" s="1201"/>
      <c r="HBP222" s="1201"/>
      <c r="HBQ222" s="1201"/>
      <c r="HBR222" s="1201"/>
      <c r="HBS222" s="1201"/>
      <c r="HBT222" s="1201"/>
      <c r="HBU222" s="1201"/>
      <c r="HBV222" s="1201"/>
      <c r="HBW222" s="1201"/>
      <c r="HBX222" s="1201"/>
      <c r="HBY222" s="1201"/>
      <c r="HBZ222" s="1201"/>
      <c r="HCA222" s="1201"/>
      <c r="HCB222" s="1201"/>
      <c r="HCC222" s="1201"/>
      <c r="HCD222" s="1201"/>
      <c r="HCE222" s="1201"/>
      <c r="HCF222" s="1201"/>
      <c r="HCG222" s="1201"/>
      <c r="HCH222" s="1201"/>
      <c r="HCI222" s="1201"/>
      <c r="HCJ222" s="1201"/>
      <c r="HCK222" s="1201"/>
      <c r="HCL222" s="1201"/>
      <c r="HCM222" s="1201"/>
      <c r="HCN222" s="1201"/>
      <c r="HCO222" s="1201"/>
      <c r="HCP222" s="1201"/>
      <c r="HCQ222" s="1201"/>
      <c r="HCR222" s="1201"/>
      <c r="HCS222" s="1201"/>
      <c r="HCT222" s="1201"/>
      <c r="HCU222" s="1201"/>
      <c r="HCV222" s="1201"/>
      <c r="HCW222" s="1201"/>
      <c r="HCX222" s="1201"/>
      <c r="HCY222" s="1201"/>
      <c r="HCZ222" s="1201"/>
      <c r="HDA222" s="1201"/>
      <c r="HDB222" s="1201"/>
      <c r="HDC222" s="1201"/>
      <c r="HDD222" s="1201"/>
      <c r="HDE222" s="1201"/>
      <c r="HDF222" s="1201"/>
      <c r="HDG222" s="1201"/>
      <c r="HDH222" s="1201"/>
      <c r="HDI222" s="1201"/>
      <c r="HDJ222" s="1201"/>
      <c r="HDK222" s="1201"/>
      <c r="HDL222" s="1201"/>
      <c r="HDM222" s="1201"/>
      <c r="HDN222" s="1201"/>
      <c r="HDO222" s="1201"/>
      <c r="HDP222" s="1201"/>
      <c r="HDQ222" s="1201"/>
      <c r="HDR222" s="1201"/>
      <c r="HDS222" s="1201"/>
      <c r="HDT222" s="1201"/>
      <c r="HDU222" s="1201"/>
      <c r="HDV222" s="1201"/>
      <c r="HDW222" s="1201"/>
      <c r="HDX222" s="1201"/>
      <c r="HDY222" s="1201"/>
      <c r="HDZ222" s="1201"/>
      <c r="HEA222" s="1201"/>
      <c r="HEB222" s="1201"/>
      <c r="HEC222" s="1201"/>
      <c r="HED222" s="1201"/>
      <c r="HEE222" s="1201"/>
      <c r="HEF222" s="1201"/>
      <c r="HEG222" s="1201"/>
      <c r="HEH222" s="1201"/>
      <c r="HEI222" s="1201"/>
      <c r="HEJ222" s="1201"/>
      <c r="HEK222" s="1201"/>
      <c r="HEL222" s="1201"/>
      <c r="HEM222" s="1201"/>
      <c r="HEN222" s="1201"/>
      <c r="HEO222" s="1201"/>
      <c r="HEP222" s="1201"/>
      <c r="HEQ222" s="1201"/>
      <c r="HER222" s="1201"/>
      <c r="HES222" s="1201"/>
      <c r="HET222" s="1201"/>
      <c r="HEU222" s="1201"/>
      <c r="HEV222" s="1201"/>
      <c r="HEW222" s="1201"/>
      <c r="HEX222" s="1201"/>
      <c r="HEY222" s="1201"/>
      <c r="HEZ222" s="1201"/>
      <c r="HFA222" s="1201"/>
      <c r="HFB222" s="1201"/>
      <c r="HFC222" s="1201"/>
      <c r="HFD222" s="1201"/>
      <c r="HFE222" s="1201"/>
      <c r="HFF222" s="1201"/>
      <c r="HFG222" s="1201"/>
      <c r="HFH222" s="1201"/>
      <c r="HFI222" s="1201"/>
      <c r="HFJ222" s="1201"/>
      <c r="HFK222" s="1201"/>
      <c r="HFL222" s="1201"/>
      <c r="HFM222" s="1201"/>
      <c r="HFN222" s="1201"/>
      <c r="HFO222" s="1201"/>
      <c r="HFP222" s="1201"/>
      <c r="HFQ222" s="1201"/>
      <c r="HFR222" s="1201"/>
      <c r="HFS222" s="1201"/>
      <c r="HFT222" s="1201"/>
      <c r="HFU222" s="1201"/>
      <c r="HFV222" s="1201"/>
      <c r="HFW222" s="1201"/>
      <c r="HFX222" s="1201"/>
      <c r="HFY222" s="1201"/>
      <c r="HFZ222" s="1201"/>
      <c r="HGA222" s="1201"/>
      <c r="HGB222" s="1201"/>
      <c r="HGC222" s="1201"/>
      <c r="HGD222" s="1201"/>
      <c r="HGE222" s="1201"/>
      <c r="HGF222" s="1201"/>
      <c r="HGG222" s="1201"/>
      <c r="HGH222" s="1201"/>
      <c r="HGI222" s="1201"/>
      <c r="HGJ222" s="1201"/>
      <c r="HGK222" s="1201"/>
      <c r="HGL222" s="1201"/>
      <c r="HGM222" s="1201"/>
      <c r="HGN222" s="1201"/>
      <c r="HGO222" s="1201"/>
      <c r="HGP222" s="1201"/>
      <c r="HGQ222" s="1201"/>
      <c r="HGR222" s="1201"/>
      <c r="HGS222" s="1201"/>
      <c r="HGT222" s="1201"/>
      <c r="HGU222" s="1201"/>
      <c r="HGV222" s="1201"/>
      <c r="HGW222" s="1201"/>
      <c r="HGX222" s="1201"/>
      <c r="HGY222" s="1201"/>
      <c r="HGZ222" s="1201"/>
      <c r="HHA222" s="1201"/>
      <c r="HHB222" s="1201"/>
      <c r="HHC222" s="1201"/>
      <c r="HHD222" s="1201"/>
      <c r="HHE222" s="1201"/>
      <c r="HHF222" s="1201"/>
      <c r="HHG222" s="1201"/>
      <c r="HHH222" s="1201"/>
      <c r="HHI222" s="1201"/>
      <c r="HHJ222" s="1201"/>
      <c r="HHK222" s="1201"/>
      <c r="HHL222" s="1201"/>
      <c r="HHM222" s="1201"/>
      <c r="HHN222" s="1201"/>
      <c r="HHO222" s="1201"/>
      <c r="HHP222" s="1201"/>
      <c r="HHQ222" s="1201"/>
      <c r="HHR222" s="1201"/>
      <c r="HHS222" s="1201"/>
      <c r="HHT222" s="1201"/>
      <c r="HHU222" s="1201"/>
      <c r="HHV222" s="1201"/>
      <c r="HHW222" s="1201"/>
      <c r="HHX222" s="1201"/>
      <c r="HHY222" s="1201"/>
      <c r="HHZ222" s="1201"/>
      <c r="HIA222" s="1201"/>
      <c r="HIB222" s="1201"/>
      <c r="HIC222" s="1201"/>
      <c r="HID222" s="1201"/>
      <c r="HIE222" s="1201"/>
      <c r="HIF222" s="1201"/>
      <c r="HIG222" s="1201"/>
      <c r="HIH222" s="1201"/>
      <c r="HII222" s="1201"/>
      <c r="HIJ222" s="1201"/>
      <c r="HIK222" s="1201"/>
      <c r="HIL222" s="1201"/>
      <c r="HIM222" s="1201"/>
      <c r="HIN222" s="1201"/>
      <c r="HIO222" s="1201"/>
      <c r="HIP222" s="1201"/>
      <c r="HIQ222" s="1201"/>
      <c r="HIR222" s="1201"/>
      <c r="HIS222" s="1201"/>
      <c r="HIT222" s="1201"/>
      <c r="HIU222" s="1201"/>
      <c r="HIV222" s="1201"/>
      <c r="HIW222" s="1201"/>
      <c r="HIX222" s="1201"/>
      <c r="HIY222" s="1201"/>
      <c r="HIZ222" s="1201"/>
      <c r="HJA222" s="1201"/>
      <c r="HJB222" s="1201"/>
      <c r="HJC222" s="1201"/>
      <c r="HJD222" s="1201"/>
      <c r="HJE222" s="1201"/>
      <c r="HJF222" s="1201"/>
      <c r="HJG222" s="1201"/>
      <c r="HJH222" s="1201"/>
      <c r="HJI222" s="1201"/>
      <c r="HJJ222" s="1201"/>
      <c r="HJK222" s="1201"/>
      <c r="HJL222" s="1201"/>
      <c r="HJM222" s="1201"/>
      <c r="HJN222" s="1201"/>
      <c r="HJO222" s="1201"/>
      <c r="HJP222" s="1201"/>
      <c r="HJQ222" s="1201"/>
      <c r="HJR222" s="1201"/>
      <c r="HJS222" s="1201"/>
      <c r="HJT222" s="1201"/>
      <c r="HJU222" s="1201"/>
      <c r="HJV222" s="1201"/>
      <c r="HJW222" s="1201"/>
      <c r="HJX222" s="1201"/>
      <c r="HJY222" s="1201"/>
      <c r="HJZ222" s="1201"/>
      <c r="HKA222" s="1201"/>
      <c r="HKB222" s="1201"/>
      <c r="HKC222" s="1201"/>
      <c r="HKD222" s="1201"/>
      <c r="HKE222" s="1201"/>
      <c r="HKF222" s="1201"/>
      <c r="HKG222" s="1201"/>
      <c r="HKH222" s="1201"/>
      <c r="HKI222" s="1201"/>
      <c r="HKJ222" s="1201"/>
      <c r="HKK222" s="1201"/>
      <c r="HKL222" s="1201"/>
      <c r="HKM222" s="1201"/>
      <c r="HKN222" s="1201"/>
      <c r="HKO222" s="1201"/>
      <c r="HKP222" s="1201"/>
      <c r="HKQ222" s="1201"/>
      <c r="HKR222" s="1201"/>
      <c r="HKS222" s="1201"/>
      <c r="HKT222" s="1201"/>
      <c r="HKU222" s="1201"/>
      <c r="HKV222" s="1201"/>
      <c r="HKW222" s="1201"/>
      <c r="HKX222" s="1201"/>
      <c r="HKY222" s="1201"/>
      <c r="HKZ222" s="1201"/>
      <c r="HLA222" s="1201"/>
      <c r="HLB222" s="1201"/>
      <c r="HLC222" s="1201"/>
      <c r="HLD222" s="1201"/>
      <c r="HLE222" s="1201"/>
      <c r="HLF222" s="1201"/>
      <c r="HLG222" s="1201"/>
      <c r="HLH222" s="1201"/>
      <c r="HLI222" s="1201"/>
      <c r="HLJ222" s="1201"/>
      <c r="HLK222" s="1201"/>
      <c r="HLL222" s="1201"/>
      <c r="HLM222" s="1201"/>
      <c r="HLN222" s="1201"/>
      <c r="HLO222" s="1201"/>
      <c r="HLP222" s="1201"/>
      <c r="HLQ222" s="1201"/>
      <c r="HLR222" s="1201"/>
      <c r="HLS222" s="1201"/>
      <c r="HLT222" s="1201"/>
      <c r="HLU222" s="1201"/>
      <c r="HLV222" s="1201"/>
      <c r="HLW222" s="1201"/>
      <c r="HLX222" s="1201"/>
      <c r="HLY222" s="1201"/>
      <c r="HLZ222" s="1201"/>
      <c r="HMA222" s="1201"/>
      <c r="HMB222" s="1201"/>
      <c r="HMC222" s="1201"/>
      <c r="HMD222" s="1201"/>
      <c r="HME222" s="1201"/>
      <c r="HMF222" s="1201"/>
      <c r="HMG222" s="1201"/>
      <c r="HMH222" s="1201"/>
      <c r="HMI222" s="1201"/>
      <c r="HMJ222" s="1201"/>
      <c r="HMK222" s="1201"/>
      <c r="HML222" s="1201"/>
      <c r="HMM222" s="1201"/>
      <c r="HMN222" s="1201"/>
      <c r="HMO222" s="1201"/>
      <c r="HMP222" s="1201"/>
      <c r="HMQ222" s="1201"/>
      <c r="HMR222" s="1201"/>
      <c r="HMS222" s="1201"/>
      <c r="HMT222" s="1201"/>
      <c r="HMU222" s="1201"/>
      <c r="HMV222" s="1201"/>
      <c r="HMW222" s="1201"/>
      <c r="HMX222" s="1201"/>
      <c r="HMY222" s="1201"/>
      <c r="HMZ222" s="1201"/>
      <c r="HNA222" s="1201"/>
      <c r="HNB222" s="1201"/>
      <c r="HNC222" s="1201"/>
      <c r="HND222" s="1201"/>
      <c r="HNE222" s="1201"/>
      <c r="HNF222" s="1201"/>
      <c r="HNG222" s="1201"/>
      <c r="HNH222" s="1201"/>
      <c r="HNI222" s="1201"/>
      <c r="HNJ222" s="1201"/>
      <c r="HNK222" s="1201"/>
      <c r="HNL222" s="1201"/>
      <c r="HNM222" s="1201"/>
      <c r="HNN222" s="1201"/>
      <c r="HNO222" s="1201"/>
      <c r="HNP222" s="1201"/>
      <c r="HNQ222" s="1201"/>
      <c r="HNR222" s="1201"/>
      <c r="HNS222" s="1201"/>
      <c r="HNT222" s="1201"/>
      <c r="HNU222" s="1201"/>
      <c r="HNV222" s="1201"/>
      <c r="HNW222" s="1201"/>
      <c r="HNX222" s="1201"/>
      <c r="HNY222" s="1201"/>
      <c r="HNZ222" s="1201"/>
      <c r="HOA222" s="1201"/>
      <c r="HOB222" s="1201"/>
      <c r="HOC222" s="1201"/>
      <c r="HOD222" s="1201"/>
      <c r="HOE222" s="1201"/>
      <c r="HOF222" s="1201"/>
      <c r="HOG222" s="1201"/>
      <c r="HOH222" s="1201"/>
      <c r="HOI222" s="1201"/>
      <c r="HOJ222" s="1201"/>
      <c r="HOK222" s="1201"/>
      <c r="HOL222" s="1201"/>
      <c r="HOM222" s="1201"/>
      <c r="HON222" s="1201"/>
      <c r="HOO222" s="1201"/>
      <c r="HOP222" s="1201"/>
      <c r="HOQ222" s="1201"/>
      <c r="HOR222" s="1201"/>
      <c r="HOS222" s="1201"/>
      <c r="HOT222" s="1201"/>
      <c r="HOU222" s="1201"/>
      <c r="HOV222" s="1201"/>
      <c r="HOW222" s="1201"/>
      <c r="HOX222" s="1201"/>
      <c r="HOY222" s="1201"/>
      <c r="HOZ222" s="1201"/>
      <c r="HPA222" s="1201"/>
      <c r="HPB222" s="1201"/>
      <c r="HPC222" s="1201"/>
      <c r="HPD222" s="1201"/>
      <c r="HPE222" s="1201"/>
      <c r="HPF222" s="1201"/>
      <c r="HPG222" s="1201"/>
      <c r="HPH222" s="1201"/>
      <c r="HPI222" s="1201"/>
      <c r="HPJ222" s="1201"/>
      <c r="HPK222" s="1201"/>
      <c r="HPL222" s="1201"/>
      <c r="HPM222" s="1201"/>
      <c r="HPN222" s="1201"/>
      <c r="HPO222" s="1201"/>
      <c r="HPP222" s="1201"/>
      <c r="HPQ222" s="1201"/>
      <c r="HPR222" s="1201"/>
      <c r="HPS222" s="1201"/>
      <c r="HPT222" s="1201"/>
      <c r="HPU222" s="1201"/>
      <c r="HPV222" s="1201"/>
      <c r="HPW222" s="1201"/>
      <c r="HPX222" s="1201"/>
      <c r="HPY222" s="1201"/>
      <c r="HPZ222" s="1201"/>
      <c r="HQA222" s="1201"/>
      <c r="HQB222" s="1201"/>
      <c r="HQC222" s="1201"/>
      <c r="HQD222" s="1201"/>
      <c r="HQE222" s="1201"/>
      <c r="HQF222" s="1201"/>
      <c r="HQG222" s="1201"/>
      <c r="HQH222" s="1201"/>
      <c r="HQI222" s="1201"/>
      <c r="HQJ222" s="1201"/>
      <c r="HQK222" s="1201"/>
      <c r="HQL222" s="1201"/>
      <c r="HQM222" s="1201"/>
      <c r="HQN222" s="1201"/>
      <c r="HQO222" s="1201"/>
      <c r="HQP222" s="1201"/>
      <c r="HQQ222" s="1201"/>
      <c r="HQR222" s="1201"/>
      <c r="HQS222" s="1201"/>
      <c r="HQT222" s="1201"/>
      <c r="HQU222" s="1201"/>
      <c r="HQV222" s="1201"/>
      <c r="HQW222" s="1201"/>
      <c r="HQX222" s="1201"/>
      <c r="HQY222" s="1201"/>
      <c r="HQZ222" s="1201"/>
      <c r="HRA222" s="1201"/>
      <c r="HRB222" s="1201"/>
      <c r="HRC222" s="1201"/>
      <c r="HRD222" s="1201"/>
      <c r="HRE222" s="1201"/>
      <c r="HRF222" s="1201"/>
      <c r="HRG222" s="1201"/>
      <c r="HRH222" s="1201"/>
      <c r="HRI222" s="1201"/>
      <c r="HRJ222" s="1201"/>
      <c r="HRK222" s="1201"/>
      <c r="HRL222" s="1201"/>
      <c r="HRM222" s="1201"/>
      <c r="HRN222" s="1201"/>
      <c r="HRO222" s="1201"/>
      <c r="HRP222" s="1201"/>
      <c r="HRQ222" s="1201"/>
      <c r="HRR222" s="1201"/>
      <c r="HRS222" s="1201"/>
      <c r="HRT222" s="1201"/>
      <c r="HRU222" s="1201"/>
      <c r="HRV222" s="1201"/>
      <c r="HRW222" s="1201"/>
      <c r="HRX222" s="1201"/>
      <c r="HRY222" s="1201"/>
      <c r="HRZ222" s="1201"/>
      <c r="HSA222" s="1201"/>
      <c r="HSB222" s="1201"/>
      <c r="HSC222" s="1201"/>
      <c r="HSD222" s="1201"/>
      <c r="HSE222" s="1201"/>
      <c r="HSF222" s="1201"/>
      <c r="HSG222" s="1201"/>
      <c r="HSH222" s="1201"/>
      <c r="HSI222" s="1201"/>
      <c r="HSJ222" s="1201"/>
      <c r="HSK222" s="1201"/>
      <c r="HSL222" s="1201"/>
      <c r="HSM222" s="1201"/>
      <c r="HSN222" s="1201"/>
      <c r="HSO222" s="1201"/>
      <c r="HSP222" s="1201"/>
      <c r="HSQ222" s="1201"/>
      <c r="HSR222" s="1201"/>
      <c r="HSS222" s="1201"/>
      <c r="HST222" s="1201"/>
      <c r="HSU222" s="1201"/>
      <c r="HSV222" s="1201"/>
      <c r="HSW222" s="1201"/>
      <c r="HSX222" s="1201"/>
      <c r="HSY222" s="1201"/>
      <c r="HSZ222" s="1201"/>
      <c r="HTA222" s="1201"/>
      <c r="HTB222" s="1201"/>
      <c r="HTC222" s="1201"/>
      <c r="HTD222" s="1201"/>
      <c r="HTE222" s="1201"/>
      <c r="HTF222" s="1201"/>
      <c r="HTG222" s="1201"/>
      <c r="HTH222" s="1201"/>
      <c r="HTI222" s="1201"/>
      <c r="HTJ222" s="1201"/>
      <c r="HTK222" s="1201"/>
      <c r="HTL222" s="1201"/>
      <c r="HTM222" s="1201"/>
      <c r="HTN222" s="1201"/>
      <c r="HTO222" s="1201"/>
      <c r="HTP222" s="1201"/>
      <c r="HTQ222" s="1201"/>
      <c r="HTR222" s="1201"/>
      <c r="HTS222" s="1201"/>
      <c r="HTT222" s="1201"/>
      <c r="HTU222" s="1201"/>
      <c r="HTV222" s="1201"/>
      <c r="HTW222" s="1201"/>
      <c r="HTX222" s="1201"/>
      <c r="HTY222" s="1201"/>
      <c r="HTZ222" s="1201"/>
      <c r="HUA222" s="1201"/>
      <c r="HUB222" s="1201"/>
      <c r="HUC222" s="1201"/>
      <c r="HUD222" s="1201"/>
      <c r="HUE222" s="1201"/>
      <c r="HUF222" s="1201"/>
      <c r="HUG222" s="1201"/>
      <c r="HUH222" s="1201"/>
      <c r="HUI222" s="1201"/>
      <c r="HUJ222" s="1201"/>
      <c r="HUK222" s="1201"/>
      <c r="HUL222" s="1201"/>
      <c r="HUM222" s="1201"/>
      <c r="HUN222" s="1201"/>
      <c r="HUO222" s="1201"/>
      <c r="HUP222" s="1201"/>
      <c r="HUQ222" s="1201"/>
      <c r="HUR222" s="1201"/>
      <c r="HUS222" s="1201"/>
      <c r="HUT222" s="1201"/>
      <c r="HUU222" s="1201"/>
      <c r="HUV222" s="1201"/>
      <c r="HUW222" s="1201"/>
      <c r="HUX222" s="1201"/>
      <c r="HUY222" s="1201"/>
      <c r="HUZ222" s="1201"/>
      <c r="HVA222" s="1201"/>
      <c r="HVB222" s="1201"/>
      <c r="HVC222" s="1201"/>
      <c r="HVD222" s="1201"/>
      <c r="HVE222" s="1201"/>
      <c r="HVF222" s="1201"/>
      <c r="HVG222" s="1201"/>
      <c r="HVH222" s="1201"/>
      <c r="HVI222" s="1201"/>
      <c r="HVJ222" s="1201"/>
      <c r="HVK222" s="1201"/>
      <c r="HVL222" s="1201"/>
      <c r="HVM222" s="1201"/>
      <c r="HVN222" s="1201"/>
      <c r="HVO222" s="1201"/>
      <c r="HVP222" s="1201"/>
      <c r="HVQ222" s="1201"/>
      <c r="HVR222" s="1201"/>
      <c r="HVS222" s="1201"/>
      <c r="HVT222" s="1201"/>
      <c r="HVU222" s="1201"/>
      <c r="HVV222" s="1201"/>
      <c r="HVW222" s="1201"/>
      <c r="HVX222" s="1201"/>
      <c r="HVY222" s="1201"/>
      <c r="HVZ222" s="1201"/>
      <c r="HWA222" s="1201"/>
      <c r="HWB222" s="1201"/>
      <c r="HWC222" s="1201"/>
      <c r="HWD222" s="1201"/>
      <c r="HWE222" s="1201"/>
      <c r="HWF222" s="1201"/>
      <c r="HWG222" s="1201"/>
      <c r="HWH222" s="1201"/>
      <c r="HWI222" s="1201"/>
      <c r="HWJ222" s="1201"/>
      <c r="HWK222" s="1201"/>
      <c r="HWL222" s="1201"/>
      <c r="HWM222" s="1201"/>
      <c r="HWN222" s="1201"/>
      <c r="HWO222" s="1201"/>
      <c r="HWP222" s="1201"/>
      <c r="HWQ222" s="1201"/>
      <c r="HWR222" s="1201"/>
      <c r="HWS222" s="1201"/>
      <c r="HWT222" s="1201"/>
      <c r="HWU222" s="1201"/>
      <c r="HWV222" s="1201"/>
      <c r="HWW222" s="1201"/>
      <c r="HWX222" s="1201"/>
      <c r="HWY222" s="1201"/>
      <c r="HWZ222" s="1201"/>
      <c r="HXA222" s="1201"/>
      <c r="HXB222" s="1201"/>
      <c r="HXC222" s="1201"/>
      <c r="HXD222" s="1201"/>
      <c r="HXE222" s="1201"/>
      <c r="HXF222" s="1201"/>
      <c r="HXG222" s="1201"/>
      <c r="HXH222" s="1201"/>
      <c r="HXI222" s="1201"/>
      <c r="HXJ222" s="1201"/>
      <c r="HXK222" s="1201"/>
      <c r="HXL222" s="1201"/>
      <c r="HXM222" s="1201"/>
      <c r="HXN222" s="1201"/>
      <c r="HXO222" s="1201"/>
      <c r="HXP222" s="1201"/>
      <c r="HXQ222" s="1201"/>
      <c r="HXR222" s="1201"/>
      <c r="HXS222" s="1201"/>
      <c r="HXT222" s="1201"/>
      <c r="HXU222" s="1201"/>
      <c r="HXV222" s="1201"/>
      <c r="HXW222" s="1201"/>
      <c r="HXX222" s="1201"/>
      <c r="HXY222" s="1201"/>
      <c r="HXZ222" s="1201"/>
      <c r="HYA222" s="1201"/>
      <c r="HYB222" s="1201"/>
      <c r="HYC222" s="1201"/>
      <c r="HYD222" s="1201"/>
      <c r="HYE222" s="1201"/>
      <c r="HYF222" s="1201"/>
      <c r="HYG222" s="1201"/>
      <c r="HYH222" s="1201"/>
      <c r="HYI222" s="1201"/>
      <c r="HYJ222" s="1201"/>
      <c r="HYK222" s="1201"/>
      <c r="HYL222" s="1201"/>
      <c r="HYM222" s="1201"/>
      <c r="HYN222" s="1201"/>
      <c r="HYO222" s="1201"/>
      <c r="HYP222" s="1201"/>
      <c r="HYQ222" s="1201"/>
      <c r="HYR222" s="1201"/>
      <c r="HYS222" s="1201"/>
      <c r="HYT222" s="1201"/>
      <c r="HYU222" s="1201"/>
      <c r="HYV222" s="1201"/>
      <c r="HYW222" s="1201"/>
      <c r="HYX222" s="1201"/>
      <c r="HYY222" s="1201"/>
      <c r="HYZ222" s="1201"/>
      <c r="HZA222" s="1201"/>
      <c r="HZB222" s="1201"/>
      <c r="HZC222" s="1201"/>
      <c r="HZD222" s="1201"/>
      <c r="HZE222" s="1201"/>
      <c r="HZF222" s="1201"/>
      <c r="HZG222" s="1201"/>
      <c r="HZH222" s="1201"/>
      <c r="HZI222" s="1201"/>
      <c r="HZJ222" s="1201"/>
      <c r="HZK222" s="1201"/>
      <c r="HZL222" s="1201"/>
      <c r="HZM222" s="1201"/>
      <c r="HZN222" s="1201"/>
      <c r="HZO222" s="1201"/>
      <c r="HZP222" s="1201"/>
      <c r="HZQ222" s="1201"/>
      <c r="HZR222" s="1201"/>
      <c r="HZS222" s="1201"/>
      <c r="HZT222" s="1201"/>
      <c r="HZU222" s="1201"/>
      <c r="HZV222" s="1201"/>
      <c r="HZW222" s="1201"/>
      <c r="HZX222" s="1201"/>
      <c r="HZY222" s="1201"/>
      <c r="HZZ222" s="1201"/>
      <c r="IAA222" s="1201"/>
      <c r="IAB222" s="1201"/>
      <c r="IAC222" s="1201"/>
      <c r="IAD222" s="1201"/>
      <c r="IAE222" s="1201"/>
      <c r="IAF222" s="1201"/>
      <c r="IAG222" s="1201"/>
      <c r="IAH222" s="1201"/>
      <c r="IAI222" s="1201"/>
      <c r="IAJ222" s="1201"/>
      <c r="IAK222" s="1201"/>
      <c r="IAL222" s="1201"/>
      <c r="IAM222" s="1201"/>
      <c r="IAN222" s="1201"/>
      <c r="IAO222" s="1201"/>
      <c r="IAP222" s="1201"/>
      <c r="IAQ222" s="1201"/>
      <c r="IAR222" s="1201"/>
      <c r="IAS222" s="1201"/>
      <c r="IAT222" s="1201"/>
      <c r="IAU222" s="1201"/>
      <c r="IAV222" s="1201"/>
      <c r="IAW222" s="1201"/>
      <c r="IAX222" s="1201"/>
      <c r="IAY222" s="1201"/>
      <c r="IAZ222" s="1201"/>
      <c r="IBA222" s="1201"/>
      <c r="IBB222" s="1201"/>
      <c r="IBC222" s="1201"/>
      <c r="IBD222" s="1201"/>
      <c r="IBE222" s="1201"/>
      <c r="IBF222" s="1201"/>
      <c r="IBG222" s="1201"/>
      <c r="IBH222" s="1201"/>
      <c r="IBI222" s="1201"/>
      <c r="IBJ222" s="1201"/>
      <c r="IBK222" s="1201"/>
      <c r="IBL222" s="1201"/>
      <c r="IBM222" s="1201"/>
      <c r="IBN222" s="1201"/>
      <c r="IBO222" s="1201"/>
      <c r="IBP222" s="1201"/>
      <c r="IBQ222" s="1201"/>
      <c r="IBR222" s="1201"/>
      <c r="IBS222" s="1201"/>
      <c r="IBT222" s="1201"/>
      <c r="IBU222" s="1201"/>
      <c r="IBV222" s="1201"/>
      <c r="IBW222" s="1201"/>
      <c r="IBX222" s="1201"/>
      <c r="IBY222" s="1201"/>
      <c r="IBZ222" s="1201"/>
      <c r="ICA222" s="1201"/>
      <c r="ICB222" s="1201"/>
      <c r="ICC222" s="1201"/>
      <c r="ICD222" s="1201"/>
      <c r="ICE222" s="1201"/>
      <c r="ICF222" s="1201"/>
      <c r="ICG222" s="1201"/>
      <c r="ICH222" s="1201"/>
      <c r="ICI222" s="1201"/>
      <c r="ICJ222" s="1201"/>
      <c r="ICK222" s="1201"/>
      <c r="ICL222" s="1201"/>
      <c r="ICM222" s="1201"/>
      <c r="ICN222" s="1201"/>
      <c r="ICO222" s="1201"/>
      <c r="ICP222" s="1201"/>
      <c r="ICQ222" s="1201"/>
      <c r="ICR222" s="1201"/>
      <c r="ICS222" s="1201"/>
      <c r="ICT222" s="1201"/>
      <c r="ICU222" s="1201"/>
      <c r="ICV222" s="1201"/>
      <c r="ICW222" s="1201"/>
      <c r="ICX222" s="1201"/>
      <c r="ICY222" s="1201"/>
      <c r="ICZ222" s="1201"/>
      <c r="IDA222" s="1201"/>
      <c r="IDB222" s="1201"/>
      <c r="IDC222" s="1201"/>
      <c r="IDD222" s="1201"/>
      <c r="IDE222" s="1201"/>
      <c r="IDF222" s="1201"/>
      <c r="IDG222" s="1201"/>
      <c r="IDH222" s="1201"/>
      <c r="IDI222" s="1201"/>
      <c r="IDJ222" s="1201"/>
      <c r="IDK222" s="1201"/>
      <c r="IDL222" s="1201"/>
      <c r="IDM222" s="1201"/>
      <c r="IDN222" s="1201"/>
      <c r="IDO222" s="1201"/>
      <c r="IDP222" s="1201"/>
      <c r="IDQ222" s="1201"/>
      <c r="IDR222" s="1201"/>
      <c r="IDS222" s="1201"/>
      <c r="IDT222" s="1201"/>
      <c r="IDU222" s="1201"/>
      <c r="IDV222" s="1201"/>
      <c r="IDW222" s="1201"/>
      <c r="IDX222" s="1201"/>
      <c r="IDY222" s="1201"/>
      <c r="IDZ222" s="1201"/>
      <c r="IEA222" s="1201"/>
      <c r="IEB222" s="1201"/>
      <c r="IEC222" s="1201"/>
      <c r="IED222" s="1201"/>
      <c r="IEE222" s="1201"/>
      <c r="IEF222" s="1201"/>
      <c r="IEG222" s="1201"/>
      <c r="IEH222" s="1201"/>
      <c r="IEI222" s="1201"/>
      <c r="IEJ222" s="1201"/>
      <c r="IEK222" s="1201"/>
      <c r="IEL222" s="1201"/>
      <c r="IEM222" s="1201"/>
      <c r="IEN222" s="1201"/>
      <c r="IEO222" s="1201"/>
      <c r="IEP222" s="1201"/>
      <c r="IEQ222" s="1201"/>
      <c r="IER222" s="1201"/>
      <c r="IES222" s="1201"/>
      <c r="IET222" s="1201"/>
      <c r="IEU222" s="1201"/>
      <c r="IEV222" s="1201"/>
      <c r="IEW222" s="1201"/>
      <c r="IEX222" s="1201"/>
      <c r="IEY222" s="1201"/>
      <c r="IEZ222" s="1201"/>
      <c r="IFA222" s="1201"/>
      <c r="IFB222" s="1201"/>
      <c r="IFC222" s="1201"/>
      <c r="IFD222" s="1201"/>
      <c r="IFE222" s="1201"/>
      <c r="IFF222" s="1201"/>
      <c r="IFG222" s="1201"/>
      <c r="IFH222" s="1201"/>
      <c r="IFI222" s="1201"/>
      <c r="IFJ222" s="1201"/>
      <c r="IFK222" s="1201"/>
      <c r="IFL222" s="1201"/>
      <c r="IFM222" s="1201"/>
      <c r="IFN222" s="1201"/>
      <c r="IFO222" s="1201"/>
      <c r="IFP222" s="1201"/>
      <c r="IFQ222" s="1201"/>
      <c r="IFR222" s="1201"/>
      <c r="IFS222" s="1201"/>
      <c r="IFT222" s="1201"/>
      <c r="IFU222" s="1201"/>
      <c r="IFV222" s="1201"/>
      <c r="IFW222" s="1201"/>
      <c r="IFX222" s="1201"/>
      <c r="IFY222" s="1201"/>
      <c r="IFZ222" s="1201"/>
      <c r="IGA222" s="1201"/>
      <c r="IGB222" s="1201"/>
      <c r="IGC222" s="1201"/>
      <c r="IGD222" s="1201"/>
      <c r="IGE222" s="1201"/>
      <c r="IGF222" s="1201"/>
      <c r="IGG222" s="1201"/>
      <c r="IGH222" s="1201"/>
      <c r="IGI222" s="1201"/>
      <c r="IGJ222" s="1201"/>
      <c r="IGK222" s="1201"/>
      <c r="IGL222" s="1201"/>
      <c r="IGM222" s="1201"/>
      <c r="IGN222" s="1201"/>
      <c r="IGO222" s="1201"/>
      <c r="IGP222" s="1201"/>
      <c r="IGQ222" s="1201"/>
      <c r="IGR222" s="1201"/>
      <c r="IGS222" s="1201"/>
      <c r="IGT222" s="1201"/>
      <c r="IGU222" s="1201"/>
      <c r="IGV222" s="1201"/>
      <c r="IGW222" s="1201"/>
      <c r="IGX222" s="1201"/>
      <c r="IGY222" s="1201"/>
      <c r="IGZ222" s="1201"/>
      <c r="IHA222" s="1201"/>
      <c r="IHB222" s="1201"/>
      <c r="IHC222" s="1201"/>
      <c r="IHD222" s="1201"/>
      <c r="IHE222" s="1201"/>
      <c r="IHF222" s="1201"/>
      <c r="IHG222" s="1201"/>
      <c r="IHH222" s="1201"/>
      <c r="IHI222" s="1201"/>
      <c r="IHJ222" s="1201"/>
      <c r="IHK222" s="1201"/>
      <c r="IHL222" s="1201"/>
      <c r="IHM222" s="1201"/>
      <c r="IHN222" s="1201"/>
      <c r="IHO222" s="1201"/>
      <c r="IHP222" s="1201"/>
      <c r="IHQ222" s="1201"/>
      <c r="IHR222" s="1201"/>
      <c r="IHS222" s="1201"/>
      <c r="IHT222" s="1201"/>
      <c r="IHU222" s="1201"/>
      <c r="IHV222" s="1201"/>
      <c r="IHW222" s="1201"/>
      <c r="IHX222" s="1201"/>
      <c r="IHY222" s="1201"/>
      <c r="IHZ222" s="1201"/>
      <c r="IIA222" s="1201"/>
      <c r="IIB222" s="1201"/>
      <c r="IIC222" s="1201"/>
      <c r="IID222" s="1201"/>
      <c r="IIE222" s="1201"/>
      <c r="IIF222" s="1201"/>
      <c r="IIG222" s="1201"/>
      <c r="IIH222" s="1201"/>
      <c r="III222" s="1201"/>
      <c r="IIJ222" s="1201"/>
      <c r="IIK222" s="1201"/>
      <c r="IIL222" s="1201"/>
      <c r="IIM222" s="1201"/>
      <c r="IIN222" s="1201"/>
      <c r="IIO222" s="1201"/>
      <c r="IIP222" s="1201"/>
      <c r="IIQ222" s="1201"/>
      <c r="IIR222" s="1201"/>
      <c r="IIS222" s="1201"/>
      <c r="IIT222" s="1201"/>
      <c r="IIU222" s="1201"/>
      <c r="IIV222" s="1201"/>
      <c r="IIW222" s="1201"/>
      <c r="IIX222" s="1201"/>
      <c r="IIY222" s="1201"/>
      <c r="IIZ222" s="1201"/>
      <c r="IJA222" s="1201"/>
      <c r="IJB222" s="1201"/>
      <c r="IJC222" s="1201"/>
      <c r="IJD222" s="1201"/>
      <c r="IJE222" s="1201"/>
      <c r="IJF222" s="1201"/>
      <c r="IJG222" s="1201"/>
      <c r="IJH222" s="1201"/>
      <c r="IJI222" s="1201"/>
      <c r="IJJ222" s="1201"/>
      <c r="IJK222" s="1201"/>
      <c r="IJL222" s="1201"/>
      <c r="IJM222" s="1201"/>
      <c r="IJN222" s="1201"/>
      <c r="IJO222" s="1201"/>
      <c r="IJP222" s="1201"/>
      <c r="IJQ222" s="1201"/>
      <c r="IJR222" s="1201"/>
      <c r="IJS222" s="1201"/>
      <c r="IJT222" s="1201"/>
      <c r="IJU222" s="1201"/>
      <c r="IJV222" s="1201"/>
      <c r="IJW222" s="1201"/>
      <c r="IJX222" s="1201"/>
      <c r="IJY222" s="1201"/>
      <c r="IJZ222" s="1201"/>
      <c r="IKA222" s="1201"/>
      <c r="IKB222" s="1201"/>
      <c r="IKC222" s="1201"/>
      <c r="IKD222" s="1201"/>
      <c r="IKE222" s="1201"/>
      <c r="IKF222" s="1201"/>
      <c r="IKG222" s="1201"/>
      <c r="IKH222" s="1201"/>
      <c r="IKI222" s="1201"/>
      <c r="IKJ222" s="1201"/>
      <c r="IKK222" s="1201"/>
      <c r="IKL222" s="1201"/>
      <c r="IKM222" s="1201"/>
      <c r="IKN222" s="1201"/>
      <c r="IKO222" s="1201"/>
      <c r="IKP222" s="1201"/>
      <c r="IKQ222" s="1201"/>
      <c r="IKR222" s="1201"/>
      <c r="IKS222" s="1201"/>
      <c r="IKT222" s="1201"/>
      <c r="IKU222" s="1201"/>
      <c r="IKV222" s="1201"/>
      <c r="IKW222" s="1201"/>
      <c r="IKX222" s="1201"/>
      <c r="IKY222" s="1201"/>
      <c r="IKZ222" s="1201"/>
      <c r="ILA222" s="1201"/>
      <c r="ILB222" s="1201"/>
      <c r="ILC222" s="1201"/>
      <c r="ILD222" s="1201"/>
      <c r="ILE222" s="1201"/>
      <c r="ILF222" s="1201"/>
      <c r="ILG222" s="1201"/>
      <c r="ILH222" s="1201"/>
      <c r="ILI222" s="1201"/>
      <c r="ILJ222" s="1201"/>
      <c r="ILK222" s="1201"/>
      <c r="ILL222" s="1201"/>
      <c r="ILM222" s="1201"/>
      <c r="ILN222" s="1201"/>
      <c r="ILO222" s="1201"/>
      <c r="ILP222" s="1201"/>
      <c r="ILQ222" s="1201"/>
      <c r="ILR222" s="1201"/>
      <c r="ILS222" s="1201"/>
      <c r="ILT222" s="1201"/>
      <c r="ILU222" s="1201"/>
      <c r="ILV222" s="1201"/>
      <c r="ILW222" s="1201"/>
      <c r="ILX222" s="1201"/>
      <c r="ILY222" s="1201"/>
      <c r="ILZ222" s="1201"/>
      <c r="IMA222" s="1201"/>
      <c r="IMB222" s="1201"/>
      <c r="IMC222" s="1201"/>
      <c r="IMD222" s="1201"/>
      <c r="IME222" s="1201"/>
      <c r="IMF222" s="1201"/>
      <c r="IMG222" s="1201"/>
      <c r="IMH222" s="1201"/>
      <c r="IMI222" s="1201"/>
      <c r="IMJ222" s="1201"/>
      <c r="IMK222" s="1201"/>
      <c r="IML222" s="1201"/>
      <c r="IMM222" s="1201"/>
      <c r="IMN222" s="1201"/>
      <c r="IMO222" s="1201"/>
      <c r="IMP222" s="1201"/>
      <c r="IMQ222" s="1201"/>
      <c r="IMR222" s="1201"/>
      <c r="IMS222" s="1201"/>
      <c r="IMT222" s="1201"/>
      <c r="IMU222" s="1201"/>
      <c r="IMV222" s="1201"/>
      <c r="IMW222" s="1201"/>
      <c r="IMX222" s="1201"/>
      <c r="IMY222" s="1201"/>
      <c r="IMZ222" s="1201"/>
      <c r="INA222" s="1201"/>
      <c r="INB222" s="1201"/>
      <c r="INC222" s="1201"/>
      <c r="IND222" s="1201"/>
      <c r="INE222" s="1201"/>
      <c r="INF222" s="1201"/>
      <c r="ING222" s="1201"/>
      <c r="INH222" s="1201"/>
      <c r="INI222" s="1201"/>
      <c r="INJ222" s="1201"/>
      <c r="INK222" s="1201"/>
      <c r="INL222" s="1201"/>
      <c r="INM222" s="1201"/>
      <c r="INN222" s="1201"/>
      <c r="INO222" s="1201"/>
      <c r="INP222" s="1201"/>
      <c r="INQ222" s="1201"/>
      <c r="INR222" s="1201"/>
      <c r="INS222" s="1201"/>
      <c r="INT222" s="1201"/>
      <c r="INU222" s="1201"/>
      <c r="INV222" s="1201"/>
      <c r="INW222" s="1201"/>
      <c r="INX222" s="1201"/>
      <c r="INY222" s="1201"/>
      <c r="INZ222" s="1201"/>
      <c r="IOA222" s="1201"/>
      <c r="IOB222" s="1201"/>
      <c r="IOC222" s="1201"/>
      <c r="IOD222" s="1201"/>
      <c r="IOE222" s="1201"/>
      <c r="IOF222" s="1201"/>
      <c r="IOG222" s="1201"/>
      <c r="IOH222" s="1201"/>
      <c r="IOI222" s="1201"/>
      <c r="IOJ222" s="1201"/>
      <c r="IOK222" s="1201"/>
      <c r="IOL222" s="1201"/>
      <c r="IOM222" s="1201"/>
      <c r="ION222" s="1201"/>
      <c r="IOO222" s="1201"/>
      <c r="IOP222" s="1201"/>
      <c r="IOQ222" s="1201"/>
      <c r="IOR222" s="1201"/>
      <c r="IOS222" s="1201"/>
      <c r="IOT222" s="1201"/>
      <c r="IOU222" s="1201"/>
      <c r="IOV222" s="1201"/>
      <c r="IOW222" s="1201"/>
      <c r="IOX222" s="1201"/>
      <c r="IOY222" s="1201"/>
      <c r="IOZ222" s="1201"/>
      <c r="IPA222" s="1201"/>
      <c r="IPB222" s="1201"/>
      <c r="IPC222" s="1201"/>
      <c r="IPD222" s="1201"/>
      <c r="IPE222" s="1201"/>
      <c r="IPF222" s="1201"/>
      <c r="IPG222" s="1201"/>
      <c r="IPH222" s="1201"/>
      <c r="IPI222" s="1201"/>
      <c r="IPJ222" s="1201"/>
      <c r="IPK222" s="1201"/>
      <c r="IPL222" s="1201"/>
      <c r="IPM222" s="1201"/>
      <c r="IPN222" s="1201"/>
      <c r="IPO222" s="1201"/>
      <c r="IPP222" s="1201"/>
      <c r="IPQ222" s="1201"/>
      <c r="IPR222" s="1201"/>
      <c r="IPS222" s="1201"/>
      <c r="IPT222" s="1201"/>
      <c r="IPU222" s="1201"/>
      <c r="IPV222" s="1201"/>
      <c r="IPW222" s="1201"/>
      <c r="IPX222" s="1201"/>
      <c r="IPY222" s="1201"/>
      <c r="IPZ222" s="1201"/>
      <c r="IQA222" s="1201"/>
      <c r="IQB222" s="1201"/>
      <c r="IQC222" s="1201"/>
      <c r="IQD222" s="1201"/>
      <c r="IQE222" s="1201"/>
      <c r="IQF222" s="1201"/>
      <c r="IQG222" s="1201"/>
      <c r="IQH222" s="1201"/>
      <c r="IQI222" s="1201"/>
      <c r="IQJ222" s="1201"/>
      <c r="IQK222" s="1201"/>
      <c r="IQL222" s="1201"/>
      <c r="IQM222" s="1201"/>
      <c r="IQN222" s="1201"/>
      <c r="IQO222" s="1201"/>
      <c r="IQP222" s="1201"/>
      <c r="IQQ222" s="1201"/>
      <c r="IQR222" s="1201"/>
      <c r="IQS222" s="1201"/>
      <c r="IQT222" s="1201"/>
      <c r="IQU222" s="1201"/>
      <c r="IQV222" s="1201"/>
      <c r="IQW222" s="1201"/>
      <c r="IQX222" s="1201"/>
      <c r="IQY222" s="1201"/>
      <c r="IQZ222" s="1201"/>
      <c r="IRA222" s="1201"/>
      <c r="IRB222" s="1201"/>
      <c r="IRC222" s="1201"/>
      <c r="IRD222" s="1201"/>
      <c r="IRE222" s="1201"/>
      <c r="IRF222" s="1201"/>
      <c r="IRG222" s="1201"/>
      <c r="IRH222" s="1201"/>
      <c r="IRI222" s="1201"/>
      <c r="IRJ222" s="1201"/>
      <c r="IRK222" s="1201"/>
      <c r="IRL222" s="1201"/>
      <c r="IRM222" s="1201"/>
      <c r="IRN222" s="1201"/>
      <c r="IRO222" s="1201"/>
      <c r="IRP222" s="1201"/>
      <c r="IRQ222" s="1201"/>
      <c r="IRR222" s="1201"/>
      <c r="IRS222" s="1201"/>
      <c r="IRT222" s="1201"/>
      <c r="IRU222" s="1201"/>
      <c r="IRV222" s="1201"/>
      <c r="IRW222" s="1201"/>
      <c r="IRX222" s="1201"/>
      <c r="IRY222" s="1201"/>
      <c r="IRZ222" s="1201"/>
      <c r="ISA222" s="1201"/>
      <c r="ISB222" s="1201"/>
      <c r="ISC222" s="1201"/>
      <c r="ISD222" s="1201"/>
      <c r="ISE222" s="1201"/>
      <c r="ISF222" s="1201"/>
      <c r="ISG222" s="1201"/>
      <c r="ISH222" s="1201"/>
      <c r="ISI222" s="1201"/>
      <c r="ISJ222" s="1201"/>
      <c r="ISK222" s="1201"/>
      <c r="ISL222" s="1201"/>
      <c r="ISM222" s="1201"/>
      <c r="ISN222" s="1201"/>
      <c r="ISO222" s="1201"/>
      <c r="ISP222" s="1201"/>
      <c r="ISQ222" s="1201"/>
      <c r="ISR222" s="1201"/>
      <c r="ISS222" s="1201"/>
      <c r="IST222" s="1201"/>
      <c r="ISU222" s="1201"/>
      <c r="ISV222" s="1201"/>
      <c r="ISW222" s="1201"/>
      <c r="ISX222" s="1201"/>
      <c r="ISY222" s="1201"/>
      <c r="ISZ222" s="1201"/>
      <c r="ITA222" s="1201"/>
      <c r="ITB222" s="1201"/>
      <c r="ITC222" s="1201"/>
      <c r="ITD222" s="1201"/>
      <c r="ITE222" s="1201"/>
      <c r="ITF222" s="1201"/>
      <c r="ITG222" s="1201"/>
      <c r="ITH222" s="1201"/>
      <c r="ITI222" s="1201"/>
      <c r="ITJ222" s="1201"/>
      <c r="ITK222" s="1201"/>
      <c r="ITL222" s="1201"/>
      <c r="ITM222" s="1201"/>
      <c r="ITN222" s="1201"/>
      <c r="ITO222" s="1201"/>
      <c r="ITP222" s="1201"/>
      <c r="ITQ222" s="1201"/>
      <c r="ITR222" s="1201"/>
      <c r="ITS222" s="1201"/>
      <c r="ITT222" s="1201"/>
      <c r="ITU222" s="1201"/>
      <c r="ITV222" s="1201"/>
      <c r="ITW222" s="1201"/>
      <c r="ITX222" s="1201"/>
      <c r="ITY222" s="1201"/>
      <c r="ITZ222" s="1201"/>
      <c r="IUA222" s="1201"/>
      <c r="IUB222" s="1201"/>
      <c r="IUC222" s="1201"/>
      <c r="IUD222" s="1201"/>
      <c r="IUE222" s="1201"/>
      <c r="IUF222" s="1201"/>
      <c r="IUG222" s="1201"/>
      <c r="IUH222" s="1201"/>
      <c r="IUI222" s="1201"/>
      <c r="IUJ222" s="1201"/>
      <c r="IUK222" s="1201"/>
      <c r="IUL222" s="1201"/>
      <c r="IUM222" s="1201"/>
      <c r="IUN222" s="1201"/>
      <c r="IUO222" s="1201"/>
      <c r="IUP222" s="1201"/>
      <c r="IUQ222" s="1201"/>
      <c r="IUR222" s="1201"/>
      <c r="IUS222" s="1201"/>
      <c r="IUT222" s="1201"/>
      <c r="IUU222" s="1201"/>
      <c r="IUV222" s="1201"/>
      <c r="IUW222" s="1201"/>
      <c r="IUX222" s="1201"/>
      <c r="IUY222" s="1201"/>
      <c r="IUZ222" s="1201"/>
      <c r="IVA222" s="1201"/>
      <c r="IVB222" s="1201"/>
      <c r="IVC222" s="1201"/>
      <c r="IVD222" s="1201"/>
      <c r="IVE222" s="1201"/>
      <c r="IVF222" s="1201"/>
      <c r="IVG222" s="1201"/>
      <c r="IVH222" s="1201"/>
      <c r="IVI222" s="1201"/>
      <c r="IVJ222" s="1201"/>
      <c r="IVK222" s="1201"/>
      <c r="IVL222" s="1201"/>
      <c r="IVM222" s="1201"/>
      <c r="IVN222" s="1201"/>
      <c r="IVO222" s="1201"/>
      <c r="IVP222" s="1201"/>
      <c r="IVQ222" s="1201"/>
      <c r="IVR222" s="1201"/>
      <c r="IVS222" s="1201"/>
      <c r="IVT222" s="1201"/>
      <c r="IVU222" s="1201"/>
      <c r="IVV222" s="1201"/>
      <c r="IVW222" s="1201"/>
      <c r="IVX222" s="1201"/>
      <c r="IVY222" s="1201"/>
      <c r="IVZ222" s="1201"/>
      <c r="IWA222" s="1201"/>
      <c r="IWB222" s="1201"/>
      <c r="IWC222" s="1201"/>
      <c r="IWD222" s="1201"/>
      <c r="IWE222" s="1201"/>
      <c r="IWF222" s="1201"/>
      <c r="IWG222" s="1201"/>
      <c r="IWH222" s="1201"/>
      <c r="IWI222" s="1201"/>
      <c r="IWJ222" s="1201"/>
      <c r="IWK222" s="1201"/>
      <c r="IWL222" s="1201"/>
      <c r="IWM222" s="1201"/>
      <c r="IWN222" s="1201"/>
      <c r="IWO222" s="1201"/>
      <c r="IWP222" s="1201"/>
      <c r="IWQ222" s="1201"/>
      <c r="IWR222" s="1201"/>
      <c r="IWS222" s="1201"/>
      <c r="IWT222" s="1201"/>
      <c r="IWU222" s="1201"/>
      <c r="IWV222" s="1201"/>
      <c r="IWW222" s="1201"/>
      <c r="IWX222" s="1201"/>
      <c r="IWY222" s="1201"/>
      <c r="IWZ222" s="1201"/>
      <c r="IXA222" s="1201"/>
      <c r="IXB222" s="1201"/>
      <c r="IXC222" s="1201"/>
      <c r="IXD222" s="1201"/>
      <c r="IXE222" s="1201"/>
      <c r="IXF222" s="1201"/>
      <c r="IXG222" s="1201"/>
      <c r="IXH222" s="1201"/>
      <c r="IXI222" s="1201"/>
      <c r="IXJ222" s="1201"/>
      <c r="IXK222" s="1201"/>
      <c r="IXL222" s="1201"/>
      <c r="IXM222" s="1201"/>
      <c r="IXN222" s="1201"/>
      <c r="IXO222" s="1201"/>
      <c r="IXP222" s="1201"/>
      <c r="IXQ222" s="1201"/>
      <c r="IXR222" s="1201"/>
      <c r="IXS222" s="1201"/>
      <c r="IXT222" s="1201"/>
      <c r="IXU222" s="1201"/>
      <c r="IXV222" s="1201"/>
      <c r="IXW222" s="1201"/>
      <c r="IXX222" s="1201"/>
      <c r="IXY222" s="1201"/>
      <c r="IXZ222" s="1201"/>
      <c r="IYA222" s="1201"/>
      <c r="IYB222" s="1201"/>
      <c r="IYC222" s="1201"/>
      <c r="IYD222" s="1201"/>
      <c r="IYE222" s="1201"/>
      <c r="IYF222" s="1201"/>
      <c r="IYG222" s="1201"/>
      <c r="IYH222" s="1201"/>
      <c r="IYI222" s="1201"/>
      <c r="IYJ222" s="1201"/>
      <c r="IYK222" s="1201"/>
      <c r="IYL222" s="1201"/>
      <c r="IYM222" s="1201"/>
      <c r="IYN222" s="1201"/>
      <c r="IYO222" s="1201"/>
      <c r="IYP222" s="1201"/>
      <c r="IYQ222" s="1201"/>
      <c r="IYR222" s="1201"/>
      <c r="IYS222" s="1201"/>
      <c r="IYT222" s="1201"/>
      <c r="IYU222" s="1201"/>
      <c r="IYV222" s="1201"/>
      <c r="IYW222" s="1201"/>
      <c r="IYX222" s="1201"/>
      <c r="IYY222" s="1201"/>
      <c r="IYZ222" s="1201"/>
      <c r="IZA222" s="1201"/>
      <c r="IZB222" s="1201"/>
      <c r="IZC222" s="1201"/>
      <c r="IZD222" s="1201"/>
      <c r="IZE222" s="1201"/>
      <c r="IZF222" s="1201"/>
      <c r="IZG222" s="1201"/>
      <c r="IZH222" s="1201"/>
      <c r="IZI222" s="1201"/>
      <c r="IZJ222" s="1201"/>
      <c r="IZK222" s="1201"/>
      <c r="IZL222" s="1201"/>
      <c r="IZM222" s="1201"/>
      <c r="IZN222" s="1201"/>
      <c r="IZO222" s="1201"/>
      <c r="IZP222" s="1201"/>
      <c r="IZQ222" s="1201"/>
      <c r="IZR222" s="1201"/>
      <c r="IZS222" s="1201"/>
      <c r="IZT222" s="1201"/>
      <c r="IZU222" s="1201"/>
      <c r="IZV222" s="1201"/>
      <c r="IZW222" s="1201"/>
      <c r="IZX222" s="1201"/>
      <c r="IZY222" s="1201"/>
      <c r="IZZ222" s="1201"/>
      <c r="JAA222" s="1201"/>
      <c r="JAB222" s="1201"/>
      <c r="JAC222" s="1201"/>
      <c r="JAD222" s="1201"/>
      <c r="JAE222" s="1201"/>
      <c r="JAF222" s="1201"/>
      <c r="JAG222" s="1201"/>
      <c r="JAH222" s="1201"/>
      <c r="JAI222" s="1201"/>
      <c r="JAJ222" s="1201"/>
      <c r="JAK222" s="1201"/>
      <c r="JAL222" s="1201"/>
      <c r="JAM222" s="1201"/>
      <c r="JAN222" s="1201"/>
      <c r="JAO222" s="1201"/>
      <c r="JAP222" s="1201"/>
      <c r="JAQ222" s="1201"/>
      <c r="JAR222" s="1201"/>
      <c r="JAS222" s="1201"/>
      <c r="JAT222" s="1201"/>
      <c r="JAU222" s="1201"/>
      <c r="JAV222" s="1201"/>
      <c r="JAW222" s="1201"/>
      <c r="JAX222" s="1201"/>
      <c r="JAY222" s="1201"/>
      <c r="JAZ222" s="1201"/>
      <c r="JBA222" s="1201"/>
      <c r="JBB222" s="1201"/>
      <c r="JBC222" s="1201"/>
      <c r="JBD222" s="1201"/>
      <c r="JBE222" s="1201"/>
      <c r="JBF222" s="1201"/>
      <c r="JBG222" s="1201"/>
      <c r="JBH222" s="1201"/>
      <c r="JBI222" s="1201"/>
      <c r="JBJ222" s="1201"/>
      <c r="JBK222" s="1201"/>
      <c r="JBL222" s="1201"/>
      <c r="JBM222" s="1201"/>
      <c r="JBN222" s="1201"/>
      <c r="JBO222" s="1201"/>
      <c r="JBP222" s="1201"/>
      <c r="JBQ222" s="1201"/>
      <c r="JBR222" s="1201"/>
      <c r="JBS222" s="1201"/>
      <c r="JBT222" s="1201"/>
      <c r="JBU222" s="1201"/>
      <c r="JBV222" s="1201"/>
      <c r="JBW222" s="1201"/>
      <c r="JBX222" s="1201"/>
      <c r="JBY222" s="1201"/>
      <c r="JBZ222" s="1201"/>
      <c r="JCA222" s="1201"/>
      <c r="JCB222" s="1201"/>
      <c r="JCC222" s="1201"/>
      <c r="JCD222" s="1201"/>
      <c r="JCE222" s="1201"/>
      <c r="JCF222" s="1201"/>
      <c r="JCG222" s="1201"/>
      <c r="JCH222" s="1201"/>
      <c r="JCI222" s="1201"/>
      <c r="JCJ222" s="1201"/>
      <c r="JCK222" s="1201"/>
      <c r="JCL222" s="1201"/>
      <c r="JCM222" s="1201"/>
      <c r="JCN222" s="1201"/>
      <c r="JCO222" s="1201"/>
      <c r="JCP222" s="1201"/>
      <c r="JCQ222" s="1201"/>
      <c r="JCR222" s="1201"/>
      <c r="JCS222" s="1201"/>
      <c r="JCT222" s="1201"/>
      <c r="JCU222" s="1201"/>
      <c r="JCV222" s="1201"/>
      <c r="JCW222" s="1201"/>
      <c r="JCX222" s="1201"/>
      <c r="JCY222" s="1201"/>
      <c r="JCZ222" s="1201"/>
      <c r="JDA222" s="1201"/>
      <c r="JDB222" s="1201"/>
      <c r="JDC222" s="1201"/>
      <c r="JDD222" s="1201"/>
      <c r="JDE222" s="1201"/>
      <c r="JDF222" s="1201"/>
      <c r="JDG222" s="1201"/>
      <c r="JDH222" s="1201"/>
      <c r="JDI222" s="1201"/>
      <c r="JDJ222" s="1201"/>
      <c r="JDK222" s="1201"/>
      <c r="JDL222" s="1201"/>
      <c r="JDM222" s="1201"/>
      <c r="JDN222" s="1201"/>
      <c r="JDO222" s="1201"/>
      <c r="JDP222" s="1201"/>
      <c r="JDQ222" s="1201"/>
      <c r="JDR222" s="1201"/>
      <c r="JDS222" s="1201"/>
      <c r="JDT222" s="1201"/>
      <c r="JDU222" s="1201"/>
      <c r="JDV222" s="1201"/>
      <c r="JDW222" s="1201"/>
      <c r="JDX222" s="1201"/>
      <c r="JDY222" s="1201"/>
      <c r="JDZ222" s="1201"/>
      <c r="JEA222" s="1201"/>
      <c r="JEB222" s="1201"/>
      <c r="JEC222" s="1201"/>
      <c r="JED222" s="1201"/>
      <c r="JEE222" s="1201"/>
      <c r="JEF222" s="1201"/>
      <c r="JEG222" s="1201"/>
      <c r="JEH222" s="1201"/>
      <c r="JEI222" s="1201"/>
      <c r="JEJ222" s="1201"/>
      <c r="JEK222" s="1201"/>
      <c r="JEL222" s="1201"/>
      <c r="JEM222" s="1201"/>
      <c r="JEN222" s="1201"/>
      <c r="JEO222" s="1201"/>
      <c r="JEP222" s="1201"/>
      <c r="JEQ222" s="1201"/>
      <c r="JER222" s="1201"/>
      <c r="JES222" s="1201"/>
      <c r="JET222" s="1201"/>
      <c r="JEU222" s="1201"/>
      <c r="JEV222" s="1201"/>
      <c r="JEW222" s="1201"/>
      <c r="JEX222" s="1201"/>
      <c r="JEY222" s="1201"/>
      <c r="JEZ222" s="1201"/>
      <c r="JFA222" s="1201"/>
      <c r="JFB222" s="1201"/>
      <c r="JFC222" s="1201"/>
      <c r="JFD222" s="1201"/>
      <c r="JFE222" s="1201"/>
      <c r="JFF222" s="1201"/>
      <c r="JFG222" s="1201"/>
      <c r="JFH222" s="1201"/>
      <c r="JFI222" s="1201"/>
      <c r="JFJ222" s="1201"/>
      <c r="JFK222" s="1201"/>
      <c r="JFL222" s="1201"/>
      <c r="JFM222" s="1201"/>
      <c r="JFN222" s="1201"/>
      <c r="JFO222" s="1201"/>
      <c r="JFP222" s="1201"/>
      <c r="JFQ222" s="1201"/>
      <c r="JFR222" s="1201"/>
      <c r="JFS222" s="1201"/>
      <c r="JFT222" s="1201"/>
      <c r="JFU222" s="1201"/>
      <c r="JFV222" s="1201"/>
      <c r="JFW222" s="1201"/>
      <c r="JFX222" s="1201"/>
      <c r="JFY222" s="1201"/>
      <c r="JFZ222" s="1201"/>
      <c r="JGA222" s="1201"/>
      <c r="JGB222" s="1201"/>
      <c r="JGC222" s="1201"/>
      <c r="JGD222" s="1201"/>
      <c r="JGE222" s="1201"/>
      <c r="JGF222" s="1201"/>
      <c r="JGG222" s="1201"/>
      <c r="JGH222" s="1201"/>
      <c r="JGI222" s="1201"/>
      <c r="JGJ222" s="1201"/>
      <c r="JGK222" s="1201"/>
      <c r="JGL222" s="1201"/>
      <c r="JGM222" s="1201"/>
      <c r="JGN222" s="1201"/>
      <c r="JGO222" s="1201"/>
      <c r="JGP222" s="1201"/>
      <c r="JGQ222" s="1201"/>
      <c r="JGR222" s="1201"/>
      <c r="JGS222" s="1201"/>
      <c r="JGT222" s="1201"/>
      <c r="JGU222" s="1201"/>
      <c r="JGV222" s="1201"/>
      <c r="JGW222" s="1201"/>
      <c r="JGX222" s="1201"/>
      <c r="JGY222" s="1201"/>
      <c r="JGZ222" s="1201"/>
      <c r="JHA222" s="1201"/>
      <c r="JHB222" s="1201"/>
      <c r="JHC222" s="1201"/>
      <c r="JHD222" s="1201"/>
      <c r="JHE222" s="1201"/>
      <c r="JHF222" s="1201"/>
      <c r="JHG222" s="1201"/>
      <c r="JHH222" s="1201"/>
      <c r="JHI222" s="1201"/>
      <c r="JHJ222" s="1201"/>
      <c r="JHK222" s="1201"/>
      <c r="JHL222" s="1201"/>
      <c r="JHM222" s="1201"/>
      <c r="JHN222" s="1201"/>
      <c r="JHO222" s="1201"/>
      <c r="JHP222" s="1201"/>
      <c r="JHQ222" s="1201"/>
      <c r="JHR222" s="1201"/>
      <c r="JHS222" s="1201"/>
      <c r="JHT222" s="1201"/>
      <c r="JHU222" s="1201"/>
      <c r="JHV222" s="1201"/>
      <c r="JHW222" s="1201"/>
      <c r="JHX222" s="1201"/>
      <c r="JHY222" s="1201"/>
      <c r="JHZ222" s="1201"/>
      <c r="JIA222" s="1201"/>
      <c r="JIB222" s="1201"/>
      <c r="JIC222" s="1201"/>
      <c r="JID222" s="1201"/>
      <c r="JIE222" s="1201"/>
      <c r="JIF222" s="1201"/>
      <c r="JIG222" s="1201"/>
      <c r="JIH222" s="1201"/>
      <c r="JII222" s="1201"/>
      <c r="JIJ222" s="1201"/>
      <c r="JIK222" s="1201"/>
      <c r="JIL222" s="1201"/>
      <c r="JIM222" s="1201"/>
      <c r="JIN222" s="1201"/>
      <c r="JIO222" s="1201"/>
      <c r="JIP222" s="1201"/>
      <c r="JIQ222" s="1201"/>
      <c r="JIR222" s="1201"/>
      <c r="JIS222" s="1201"/>
      <c r="JIT222" s="1201"/>
      <c r="JIU222" s="1201"/>
      <c r="JIV222" s="1201"/>
      <c r="JIW222" s="1201"/>
      <c r="JIX222" s="1201"/>
      <c r="JIY222" s="1201"/>
      <c r="JIZ222" s="1201"/>
      <c r="JJA222" s="1201"/>
      <c r="JJB222" s="1201"/>
      <c r="JJC222" s="1201"/>
      <c r="JJD222" s="1201"/>
      <c r="JJE222" s="1201"/>
      <c r="JJF222" s="1201"/>
      <c r="JJG222" s="1201"/>
      <c r="JJH222" s="1201"/>
      <c r="JJI222" s="1201"/>
      <c r="JJJ222" s="1201"/>
      <c r="JJK222" s="1201"/>
      <c r="JJL222" s="1201"/>
      <c r="JJM222" s="1201"/>
      <c r="JJN222" s="1201"/>
      <c r="JJO222" s="1201"/>
      <c r="JJP222" s="1201"/>
      <c r="JJQ222" s="1201"/>
      <c r="JJR222" s="1201"/>
      <c r="JJS222" s="1201"/>
      <c r="JJT222" s="1201"/>
      <c r="JJU222" s="1201"/>
      <c r="JJV222" s="1201"/>
      <c r="JJW222" s="1201"/>
      <c r="JJX222" s="1201"/>
      <c r="JJY222" s="1201"/>
      <c r="JJZ222" s="1201"/>
      <c r="JKA222" s="1201"/>
      <c r="JKB222" s="1201"/>
      <c r="JKC222" s="1201"/>
      <c r="JKD222" s="1201"/>
      <c r="JKE222" s="1201"/>
      <c r="JKF222" s="1201"/>
      <c r="JKG222" s="1201"/>
      <c r="JKH222" s="1201"/>
      <c r="JKI222" s="1201"/>
      <c r="JKJ222" s="1201"/>
      <c r="JKK222" s="1201"/>
      <c r="JKL222" s="1201"/>
      <c r="JKM222" s="1201"/>
      <c r="JKN222" s="1201"/>
      <c r="JKO222" s="1201"/>
      <c r="JKP222" s="1201"/>
      <c r="JKQ222" s="1201"/>
      <c r="JKR222" s="1201"/>
      <c r="JKS222" s="1201"/>
      <c r="JKT222" s="1201"/>
      <c r="JKU222" s="1201"/>
      <c r="JKV222" s="1201"/>
      <c r="JKW222" s="1201"/>
      <c r="JKX222" s="1201"/>
      <c r="JKY222" s="1201"/>
      <c r="JKZ222" s="1201"/>
      <c r="JLA222" s="1201"/>
      <c r="JLB222" s="1201"/>
      <c r="JLC222" s="1201"/>
      <c r="JLD222" s="1201"/>
      <c r="JLE222" s="1201"/>
      <c r="JLF222" s="1201"/>
      <c r="JLG222" s="1201"/>
      <c r="JLH222" s="1201"/>
      <c r="JLI222" s="1201"/>
      <c r="JLJ222" s="1201"/>
      <c r="JLK222" s="1201"/>
      <c r="JLL222" s="1201"/>
      <c r="JLM222" s="1201"/>
      <c r="JLN222" s="1201"/>
      <c r="JLO222" s="1201"/>
      <c r="JLP222" s="1201"/>
      <c r="JLQ222" s="1201"/>
      <c r="JLR222" s="1201"/>
      <c r="JLS222" s="1201"/>
      <c r="JLT222" s="1201"/>
      <c r="JLU222" s="1201"/>
      <c r="JLV222" s="1201"/>
      <c r="JLW222" s="1201"/>
      <c r="JLX222" s="1201"/>
      <c r="JLY222" s="1201"/>
      <c r="JLZ222" s="1201"/>
      <c r="JMA222" s="1201"/>
      <c r="JMB222" s="1201"/>
      <c r="JMC222" s="1201"/>
      <c r="JMD222" s="1201"/>
      <c r="JME222" s="1201"/>
      <c r="JMF222" s="1201"/>
      <c r="JMG222" s="1201"/>
      <c r="JMH222" s="1201"/>
      <c r="JMI222" s="1201"/>
      <c r="JMJ222" s="1201"/>
      <c r="JMK222" s="1201"/>
      <c r="JML222" s="1201"/>
      <c r="JMM222" s="1201"/>
      <c r="JMN222" s="1201"/>
      <c r="JMO222" s="1201"/>
      <c r="JMP222" s="1201"/>
      <c r="JMQ222" s="1201"/>
      <c r="JMR222" s="1201"/>
      <c r="JMS222" s="1201"/>
      <c r="JMT222" s="1201"/>
      <c r="JMU222" s="1201"/>
      <c r="JMV222" s="1201"/>
      <c r="JMW222" s="1201"/>
      <c r="JMX222" s="1201"/>
      <c r="JMY222" s="1201"/>
      <c r="JMZ222" s="1201"/>
      <c r="JNA222" s="1201"/>
      <c r="JNB222" s="1201"/>
      <c r="JNC222" s="1201"/>
      <c r="JND222" s="1201"/>
      <c r="JNE222" s="1201"/>
      <c r="JNF222" s="1201"/>
      <c r="JNG222" s="1201"/>
      <c r="JNH222" s="1201"/>
      <c r="JNI222" s="1201"/>
      <c r="JNJ222" s="1201"/>
      <c r="JNK222" s="1201"/>
      <c r="JNL222" s="1201"/>
      <c r="JNM222" s="1201"/>
      <c r="JNN222" s="1201"/>
      <c r="JNO222" s="1201"/>
      <c r="JNP222" s="1201"/>
      <c r="JNQ222" s="1201"/>
      <c r="JNR222" s="1201"/>
      <c r="JNS222" s="1201"/>
      <c r="JNT222" s="1201"/>
      <c r="JNU222" s="1201"/>
      <c r="JNV222" s="1201"/>
      <c r="JNW222" s="1201"/>
      <c r="JNX222" s="1201"/>
      <c r="JNY222" s="1201"/>
      <c r="JNZ222" s="1201"/>
      <c r="JOA222" s="1201"/>
      <c r="JOB222" s="1201"/>
      <c r="JOC222" s="1201"/>
      <c r="JOD222" s="1201"/>
      <c r="JOE222" s="1201"/>
      <c r="JOF222" s="1201"/>
      <c r="JOG222" s="1201"/>
      <c r="JOH222" s="1201"/>
      <c r="JOI222" s="1201"/>
      <c r="JOJ222" s="1201"/>
      <c r="JOK222" s="1201"/>
      <c r="JOL222" s="1201"/>
      <c r="JOM222" s="1201"/>
      <c r="JON222" s="1201"/>
      <c r="JOO222" s="1201"/>
      <c r="JOP222" s="1201"/>
      <c r="JOQ222" s="1201"/>
      <c r="JOR222" s="1201"/>
      <c r="JOS222" s="1201"/>
      <c r="JOT222" s="1201"/>
      <c r="JOU222" s="1201"/>
      <c r="JOV222" s="1201"/>
      <c r="JOW222" s="1201"/>
      <c r="JOX222" s="1201"/>
      <c r="JOY222" s="1201"/>
      <c r="JOZ222" s="1201"/>
      <c r="JPA222" s="1201"/>
      <c r="JPB222" s="1201"/>
      <c r="JPC222" s="1201"/>
      <c r="JPD222" s="1201"/>
      <c r="JPE222" s="1201"/>
      <c r="JPF222" s="1201"/>
      <c r="JPG222" s="1201"/>
      <c r="JPH222" s="1201"/>
      <c r="JPI222" s="1201"/>
      <c r="JPJ222" s="1201"/>
      <c r="JPK222" s="1201"/>
      <c r="JPL222" s="1201"/>
      <c r="JPM222" s="1201"/>
      <c r="JPN222" s="1201"/>
      <c r="JPO222" s="1201"/>
      <c r="JPP222" s="1201"/>
      <c r="JPQ222" s="1201"/>
      <c r="JPR222" s="1201"/>
      <c r="JPS222" s="1201"/>
      <c r="JPT222" s="1201"/>
      <c r="JPU222" s="1201"/>
      <c r="JPV222" s="1201"/>
      <c r="JPW222" s="1201"/>
      <c r="JPX222" s="1201"/>
      <c r="JPY222" s="1201"/>
      <c r="JPZ222" s="1201"/>
      <c r="JQA222" s="1201"/>
      <c r="JQB222" s="1201"/>
      <c r="JQC222" s="1201"/>
      <c r="JQD222" s="1201"/>
      <c r="JQE222" s="1201"/>
      <c r="JQF222" s="1201"/>
      <c r="JQG222" s="1201"/>
      <c r="JQH222" s="1201"/>
      <c r="JQI222" s="1201"/>
      <c r="JQJ222" s="1201"/>
      <c r="JQK222" s="1201"/>
      <c r="JQL222" s="1201"/>
      <c r="JQM222" s="1201"/>
      <c r="JQN222" s="1201"/>
      <c r="JQO222" s="1201"/>
      <c r="JQP222" s="1201"/>
      <c r="JQQ222" s="1201"/>
      <c r="JQR222" s="1201"/>
      <c r="JQS222" s="1201"/>
      <c r="JQT222" s="1201"/>
      <c r="JQU222" s="1201"/>
      <c r="JQV222" s="1201"/>
      <c r="JQW222" s="1201"/>
      <c r="JQX222" s="1201"/>
      <c r="JQY222" s="1201"/>
      <c r="JQZ222" s="1201"/>
      <c r="JRA222" s="1201"/>
      <c r="JRB222" s="1201"/>
      <c r="JRC222" s="1201"/>
      <c r="JRD222" s="1201"/>
      <c r="JRE222" s="1201"/>
      <c r="JRF222" s="1201"/>
      <c r="JRG222" s="1201"/>
      <c r="JRH222" s="1201"/>
      <c r="JRI222" s="1201"/>
      <c r="JRJ222" s="1201"/>
      <c r="JRK222" s="1201"/>
      <c r="JRL222" s="1201"/>
      <c r="JRM222" s="1201"/>
      <c r="JRN222" s="1201"/>
      <c r="JRO222" s="1201"/>
      <c r="JRP222" s="1201"/>
      <c r="JRQ222" s="1201"/>
      <c r="JRR222" s="1201"/>
      <c r="JRS222" s="1201"/>
      <c r="JRT222" s="1201"/>
      <c r="JRU222" s="1201"/>
      <c r="JRV222" s="1201"/>
      <c r="JRW222" s="1201"/>
      <c r="JRX222" s="1201"/>
      <c r="JRY222" s="1201"/>
      <c r="JRZ222" s="1201"/>
      <c r="JSA222" s="1201"/>
      <c r="JSB222" s="1201"/>
      <c r="JSC222" s="1201"/>
      <c r="JSD222" s="1201"/>
      <c r="JSE222" s="1201"/>
      <c r="JSF222" s="1201"/>
      <c r="JSG222" s="1201"/>
      <c r="JSH222" s="1201"/>
      <c r="JSI222" s="1201"/>
      <c r="JSJ222" s="1201"/>
      <c r="JSK222" s="1201"/>
      <c r="JSL222" s="1201"/>
      <c r="JSM222" s="1201"/>
      <c r="JSN222" s="1201"/>
      <c r="JSO222" s="1201"/>
      <c r="JSP222" s="1201"/>
      <c r="JSQ222" s="1201"/>
      <c r="JSR222" s="1201"/>
      <c r="JSS222" s="1201"/>
      <c r="JST222" s="1201"/>
      <c r="JSU222" s="1201"/>
      <c r="JSV222" s="1201"/>
      <c r="JSW222" s="1201"/>
      <c r="JSX222" s="1201"/>
      <c r="JSY222" s="1201"/>
      <c r="JSZ222" s="1201"/>
      <c r="JTA222" s="1201"/>
      <c r="JTB222" s="1201"/>
      <c r="JTC222" s="1201"/>
      <c r="JTD222" s="1201"/>
      <c r="JTE222" s="1201"/>
      <c r="JTF222" s="1201"/>
      <c r="JTG222" s="1201"/>
      <c r="JTH222" s="1201"/>
      <c r="JTI222" s="1201"/>
      <c r="JTJ222" s="1201"/>
      <c r="JTK222" s="1201"/>
      <c r="JTL222" s="1201"/>
      <c r="JTM222" s="1201"/>
      <c r="JTN222" s="1201"/>
      <c r="JTO222" s="1201"/>
      <c r="JTP222" s="1201"/>
      <c r="JTQ222" s="1201"/>
      <c r="JTR222" s="1201"/>
      <c r="JTS222" s="1201"/>
      <c r="JTT222" s="1201"/>
      <c r="JTU222" s="1201"/>
      <c r="JTV222" s="1201"/>
      <c r="JTW222" s="1201"/>
      <c r="JTX222" s="1201"/>
      <c r="JTY222" s="1201"/>
      <c r="JTZ222" s="1201"/>
      <c r="JUA222" s="1201"/>
      <c r="JUB222" s="1201"/>
      <c r="JUC222" s="1201"/>
      <c r="JUD222" s="1201"/>
      <c r="JUE222" s="1201"/>
      <c r="JUF222" s="1201"/>
      <c r="JUG222" s="1201"/>
      <c r="JUH222" s="1201"/>
      <c r="JUI222" s="1201"/>
      <c r="JUJ222" s="1201"/>
      <c r="JUK222" s="1201"/>
      <c r="JUL222" s="1201"/>
      <c r="JUM222" s="1201"/>
      <c r="JUN222" s="1201"/>
      <c r="JUO222" s="1201"/>
      <c r="JUP222" s="1201"/>
      <c r="JUQ222" s="1201"/>
      <c r="JUR222" s="1201"/>
      <c r="JUS222" s="1201"/>
      <c r="JUT222" s="1201"/>
      <c r="JUU222" s="1201"/>
      <c r="JUV222" s="1201"/>
      <c r="JUW222" s="1201"/>
      <c r="JUX222" s="1201"/>
      <c r="JUY222" s="1201"/>
      <c r="JUZ222" s="1201"/>
      <c r="JVA222" s="1201"/>
      <c r="JVB222" s="1201"/>
      <c r="JVC222" s="1201"/>
      <c r="JVD222" s="1201"/>
      <c r="JVE222" s="1201"/>
      <c r="JVF222" s="1201"/>
      <c r="JVG222" s="1201"/>
      <c r="JVH222" s="1201"/>
      <c r="JVI222" s="1201"/>
      <c r="JVJ222" s="1201"/>
      <c r="JVK222" s="1201"/>
      <c r="JVL222" s="1201"/>
      <c r="JVM222" s="1201"/>
      <c r="JVN222" s="1201"/>
      <c r="JVO222" s="1201"/>
      <c r="JVP222" s="1201"/>
      <c r="JVQ222" s="1201"/>
      <c r="JVR222" s="1201"/>
      <c r="JVS222" s="1201"/>
      <c r="JVT222" s="1201"/>
      <c r="JVU222" s="1201"/>
      <c r="JVV222" s="1201"/>
      <c r="JVW222" s="1201"/>
      <c r="JVX222" s="1201"/>
      <c r="JVY222" s="1201"/>
      <c r="JVZ222" s="1201"/>
      <c r="JWA222" s="1201"/>
      <c r="JWB222" s="1201"/>
      <c r="JWC222" s="1201"/>
      <c r="JWD222" s="1201"/>
      <c r="JWE222" s="1201"/>
      <c r="JWF222" s="1201"/>
      <c r="JWG222" s="1201"/>
      <c r="JWH222" s="1201"/>
      <c r="JWI222" s="1201"/>
      <c r="JWJ222" s="1201"/>
      <c r="JWK222" s="1201"/>
      <c r="JWL222" s="1201"/>
      <c r="JWM222" s="1201"/>
      <c r="JWN222" s="1201"/>
      <c r="JWO222" s="1201"/>
      <c r="JWP222" s="1201"/>
      <c r="JWQ222" s="1201"/>
      <c r="JWR222" s="1201"/>
      <c r="JWS222" s="1201"/>
      <c r="JWT222" s="1201"/>
      <c r="JWU222" s="1201"/>
      <c r="JWV222" s="1201"/>
      <c r="JWW222" s="1201"/>
      <c r="JWX222" s="1201"/>
      <c r="JWY222" s="1201"/>
      <c r="JWZ222" s="1201"/>
      <c r="JXA222" s="1201"/>
      <c r="JXB222" s="1201"/>
      <c r="JXC222" s="1201"/>
      <c r="JXD222" s="1201"/>
      <c r="JXE222" s="1201"/>
      <c r="JXF222" s="1201"/>
      <c r="JXG222" s="1201"/>
      <c r="JXH222" s="1201"/>
      <c r="JXI222" s="1201"/>
      <c r="JXJ222" s="1201"/>
      <c r="JXK222" s="1201"/>
      <c r="JXL222" s="1201"/>
      <c r="JXM222" s="1201"/>
      <c r="JXN222" s="1201"/>
      <c r="JXO222" s="1201"/>
      <c r="JXP222" s="1201"/>
      <c r="JXQ222" s="1201"/>
      <c r="JXR222" s="1201"/>
      <c r="JXS222" s="1201"/>
      <c r="JXT222" s="1201"/>
      <c r="JXU222" s="1201"/>
      <c r="JXV222" s="1201"/>
      <c r="JXW222" s="1201"/>
      <c r="JXX222" s="1201"/>
      <c r="JXY222" s="1201"/>
      <c r="JXZ222" s="1201"/>
      <c r="JYA222" s="1201"/>
      <c r="JYB222" s="1201"/>
      <c r="JYC222" s="1201"/>
      <c r="JYD222" s="1201"/>
      <c r="JYE222" s="1201"/>
      <c r="JYF222" s="1201"/>
      <c r="JYG222" s="1201"/>
      <c r="JYH222" s="1201"/>
      <c r="JYI222" s="1201"/>
      <c r="JYJ222" s="1201"/>
      <c r="JYK222" s="1201"/>
      <c r="JYL222" s="1201"/>
      <c r="JYM222" s="1201"/>
      <c r="JYN222" s="1201"/>
      <c r="JYO222" s="1201"/>
      <c r="JYP222" s="1201"/>
      <c r="JYQ222" s="1201"/>
      <c r="JYR222" s="1201"/>
      <c r="JYS222" s="1201"/>
      <c r="JYT222" s="1201"/>
      <c r="JYU222" s="1201"/>
      <c r="JYV222" s="1201"/>
      <c r="JYW222" s="1201"/>
      <c r="JYX222" s="1201"/>
      <c r="JYY222" s="1201"/>
      <c r="JYZ222" s="1201"/>
      <c r="JZA222" s="1201"/>
      <c r="JZB222" s="1201"/>
      <c r="JZC222" s="1201"/>
      <c r="JZD222" s="1201"/>
      <c r="JZE222" s="1201"/>
      <c r="JZF222" s="1201"/>
      <c r="JZG222" s="1201"/>
      <c r="JZH222" s="1201"/>
      <c r="JZI222" s="1201"/>
      <c r="JZJ222" s="1201"/>
      <c r="JZK222" s="1201"/>
      <c r="JZL222" s="1201"/>
      <c r="JZM222" s="1201"/>
      <c r="JZN222" s="1201"/>
      <c r="JZO222" s="1201"/>
      <c r="JZP222" s="1201"/>
      <c r="JZQ222" s="1201"/>
      <c r="JZR222" s="1201"/>
      <c r="JZS222" s="1201"/>
      <c r="JZT222" s="1201"/>
      <c r="JZU222" s="1201"/>
      <c r="JZV222" s="1201"/>
      <c r="JZW222" s="1201"/>
      <c r="JZX222" s="1201"/>
      <c r="JZY222" s="1201"/>
      <c r="JZZ222" s="1201"/>
      <c r="KAA222" s="1201"/>
      <c r="KAB222" s="1201"/>
      <c r="KAC222" s="1201"/>
      <c r="KAD222" s="1201"/>
      <c r="KAE222" s="1201"/>
      <c r="KAF222" s="1201"/>
      <c r="KAG222" s="1201"/>
      <c r="KAH222" s="1201"/>
      <c r="KAI222" s="1201"/>
      <c r="KAJ222" s="1201"/>
      <c r="KAK222" s="1201"/>
      <c r="KAL222" s="1201"/>
      <c r="KAM222" s="1201"/>
      <c r="KAN222" s="1201"/>
      <c r="KAO222" s="1201"/>
      <c r="KAP222" s="1201"/>
      <c r="KAQ222" s="1201"/>
      <c r="KAR222" s="1201"/>
      <c r="KAS222" s="1201"/>
      <c r="KAT222" s="1201"/>
      <c r="KAU222" s="1201"/>
      <c r="KAV222" s="1201"/>
      <c r="KAW222" s="1201"/>
      <c r="KAX222" s="1201"/>
      <c r="KAY222" s="1201"/>
      <c r="KAZ222" s="1201"/>
      <c r="KBA222" s="1201"/>
      <c r="KBB222" s="1201"/>
      <c r="KBC222" s="1201"/>
      <c r="KBD222" s="1201"/>
      <c r="KBE222" s="1201"/>
      <c r="KBF222" s="1201"/>
      <c r="KBG222" s="1201"/>
      <c r="KBH222" s="1201"/>
      <c r="KBI222" s="1201"/>
      <c r="KBJ222" s="1201"/>
      <c r="KBK222" s="1201"/>
      <c r="KBL222" s="1201"/>
      <c r="KBM222" s="1201"/>
      <c r="KBN222" s="1201"/>
      <c r="KBO222" s="1201"/>
      <c r="KBP222" s="1201"/>
      <c r="KBQ222" s="1201"/>
      <c r="KBR222" s="1201"/>
      <c r="KBS222" s="1201"/>
      <c r="KBT222" s="1201"/>
      <c r="KBU222" s="1201"/>
      <c r="KBV222" s="1201"/>
      <c r="KBW222" s="1201"/>
      <c r="KBX222" s="1201"/>
      <c r="KBY222" s="1201"/>
      <c r="KBZ222" s="1201"/>
      <c r="KCA222" s="1201"/>
      <c r="KCB222" s="1201"/>
      <c r="KCC222" s="1201"/>
      <c r="KCD222" s="1201"/>
      <c r="KCE222" s="1201"/>
      <c r="KCF222" s="1201"/>
      <c r="KCG222" s="1201"/>
      <c r="KCH222" s="1201"/>
      <c r="KCI222" s="1201"/>
      <c r="KCJ222" s="1201"/>
      <c r="KCK222" s="1201"/>
      <c r="KCL222" s="1201"/>
      <c r="KCM222" s="1201"/>
      <c r="KCN222" s="1201"/>
      <c r="KCO222" s="1201"/>
      <c r="KCP222" s="1201"/>
      <c r="KCQ222" s="1201"/>
      <c r="KCR222" s="1201"/>
      <c r="KCS222" s="1201"/>
      <c r="KCT222" s="1201"/>
      <c r="KCU222" s="1201"/>
      <c r="KCV222" s="1201"/>
      <c r="KCW222" s="1201"/>
      <c r="KCX222" s="1201"/>
      <c r="KCY222" s="1201"/>
      <c r="KCZ222" s="1201"/>
      <c r="KDA222" s="1201"/>
      <c r="KDB222" s="1201"/>
      <c r="KDC222" s="1201"/>
      <c r="KDD222" s="1201"/>
      <c r="KDE222" s="1201"/>
      <c r="KDF222" s="1201"/>
      <c r="KDG222" s="1201"/>
      <c r="KDH222" s="1201"/>
      <c r="KDI222" s="1201"/>
      <c r="KDJ222" s="1201"/>
      <c r="KDK222" s="1201"/>
      <c r="KDL222" s="1201"/>
      <c r="KDM222" s="1201"/>
      <c r="KDN222" s="1201"/>
      <c r="KDO222" s="1201"/>
      <c r="KDP222" s="1201"/>
      <c r="KDQ222" s="1201"/>
      <c r="KDR222" s="1201"/>
      <c r="KDS222" s="1201"/>
      <c r="KDT222" s="1201"/>
      <c r="KDU222" s="1201"/>
      <c r="KDV222" s="1201"/>
      <c r="KDW222" s="1201"/>
      <c r="KDX222" s="1201"/>
      <c r="KDY222" s="1201"/>
      <c r="KDZ222" s="1201"/>
      <c r="KEA222" s="1201"/>
      <c r="KEB222" s="1201"/>
      <c r="KEC222" s="1201"/>
      <c r="KED222" s="1201"/>
      <c r="KEE222" s="1201"/>
      <c r="KEF222" s="1201"/>
      <c r="KEG222" s="1201"/>
      <c r="KEH222" s="1201"/>
      <c r="KEI222" s="1201"/>
      <c r="KEJ222" s="1201"/>
      <c r="KEK222" s="1201"/>
      <c r="KEL222" s="1201"/>
      <c r="KEM222" s="1201"/>
      <c r="KEN222" s="1201"/>
      <c r="KEO222" s="1201"/>
      <c r="KEP222" s="1201"/>
      <c r="KEQ222" s="1201"/>
      <c r="KER222" s="1201"/>
      <c r="KES222" s="1201"/>
      <c r="KET222" s="1201"/>
      <c r="KEU222" s="1201"/>
      <c r="KEV222" s="1201"/>
      <c r="KEW222" s="1201"/>
      <c r="KEX222" s="1201"/>
      <c r="KEY222" s="1201"/>
      <c r="KEZ222" s="1201"/>
      <c r="KFA222" s="1201"/>
      <c r="KFB222" s="1201"/>
      <c r="KFC222" s="1201"/>
      <c r="KFD222" s="1201"/>
      <c r="KFE222" s="1201"/>
      <c r="KFF222" s="1201"/>
      <c r="KFG222" s="1201"/>
      <c r="KFH222" s="1201"/>
      <c r="KFI222" s="1201"/>
      <c r="KFJ222" s="1201"/>
      <c r="KFK222" s="1201"/>
      <c r="KFL222" s="1201"/>
      <c r="KFM222" s="1201"/>
      <c r="KFN222" s="1201"/>
      <c r="KFO222" s="1201"/>
      <c r="KFP222" s="1201"/>
      <c r="KFQ222" s="1201"/>
      <c r="KFR222" s="1201"/>
      <c r="KFS222" s="1201"/>
      <c r="KFT222" s="1201"/>
      <c r="KFU222" s="1201"/>
      <c r="KFV222" s="1201"/>
      <c r="KFW222" s="1201"/>
      <c r="KFX222" s="1201"/>
      <c r="KFY222" s="1201"/>
      <c r="KFZ222" s="1201"/>
      <c r="KGA222" s="1201"/>
      <c r="KGB222" s="1201"/>
      <c r="KGC222" s="1201"/>
      <c r="KGD222" s="1201"/>
      <c r="KGE222" s="1201"/>
      <c r="KGF222" s="1201"/>
      <c r="KGG222" s="1201"/>
      <c r="KGH222" s="1201"/>
      <c r="KGI222" s="1201"/>
      <c r="KGJ222" s="1201"/>
      <c r="KGK222" s="1201"/>
      <c r="KGL222" s="1201"/>
      <c r="KGM222" s="1201"/>
      <c r="KGN222" s="1201"/>
      <c r="KGO222" s="1201"/>
      <c r="KGP222" s="1201"/>
      <c r="KGQ222" s="1201"/>
      <c r="KGR222" s="1201"/>
      <c r="KGS222" s="1201"/>
      <c r="KGT222" s="1201"/>
      <c r="KGU222" s="1201"/>
      <c r="KGV222" s="1201"/>
      <c r="KGW222" s="1201"/>
      <c r="KGX222" s="1201"/>
      <c r="KGY222" s="1201"/>
      <c r="KGZ222" s="1201"/>
      <c r="KHA222" s="1201"/>
      <c r="KHB222" s="1201"/>
      <c r="KHC222" s="1201"/>
      <c r="KHD222" s="1201"/>
      <c r="KHE222" s="1201"/>
      <c r="KHF222" s="1201"/>
      <c r="KHG222" s="1201"/>
      <c r="KHH222" s="1201"/>
      <c r="KHI222" s="1201"/>
      <c r="KHJ222" s="1201"/>
      <c r="KHK222" s="1201"/>
      <c r="KHL222" s="1201"/>
      <c r="KHM222" s="1201"/>
      <c r="KHN222" s="1201"/>
      <c r="KHO222" s="1201"/>
      <c r="KHP222" s="1201"/>
      <c r="KHQ222" s="1201"/>
      <c r="KHR222" s="1201"/>
      <c r="KHS222" s="1201"/>
      <c r="KHT222" s="1201"/>
      <c r="KHU222" s="1201"/>
      <c r="KHV222" s="1201"/>
      <c r="KHW222" s="1201"/>
      <c r="KHX222" s="1201"/>
      <c r="KHY222" s="1201"/>
      <c r="KHZ222" s="1201"/>
      <c r="KIA222" s="1201"/>
      <c r="KIB222" s="1201"/>
      <c r="KIC222" s="1201"/>
      <c r="KID222" s="1201"/>
      <c r="KIE222" s="1201"/>
      <c r="KIF222" s="1201"/>
      <c r="KIG222" s="1201"/>
      <c r="KIH222" s="1201"/>
      <c r="KII222" s="1201"/>
      <c r="KIJ222" s="1201"/>
      <c r="KIK222" s="1201"/>
      <c r="KIL222" s="1201"/>
      <c r="KIM222" s="1201"/>
      <c r="KIN222" s="1201"/>
      <c r="KIO222" s="1201"/>
      <c r="KIP222" s="1201"/>
      <c r="KIQ222" s="1201"/>
      <c r="KIR222" s="1201"/>
      <c r="KIS222" s="1201"/>
      <c r="KIT222" s="1201"/>
      <c r="KIU222" s="1201"/>
      <c r="KIV222" s="1201"/>
      <c r="KIW222" s="1201"/>
      <c r="KIX222" s="1201"/>
      <c r="KIY222" s="1201"/>
      <c r="KIZ222" s="1201"/>
      <c r="KJA222" s="1201"/>
      <c r="KJB222" s="1201"/>
      <c r="KJC222" s="1201"/>
      <c r="KJD222" s="1201"/>
      <c r="KJE222" s="1201"/>
      <c r="KJF222" s="1201"/>
      <c r="KJG222" s="1201"/>
      <c r="KJH222" s="1201"/>
      <c r="KJI222" s="1201"/>
      <c r="KJJ222" s="1201"/>
      <c r="KJK222" s="1201"/>
      <c r="KJL222" s="1201"/>
      <c r="KJM222" s="1201"/>
      <c r="KJN222" s="1201"/>
      <c r="KJO222" s="1201"/>
      <c r="KJP222" s="1201"/>
      <c r="KJQ222" s="1201"/>
      <c r="KJR222" s="1201"/>
      <c r="KJS222" s="1201"/>
      <c r="KJT222" s="1201"/>
      <c r="KJU222" s="1201"/>
      <c r="KJV222" s="1201"/>
      <c r="KJW222" s="1201"/>
      <c r="KJX222" s="1201"/>
      <c r="KJY222" s="1201"/>
      <c r="KJZ222" s="1201"/>
      <c r="KKA222" s="1201"/>
      <c r="KKB222" s="1201"/>
      <c r="KKC222" s="1201"/>
      <c r="KKD222" s="1201"/>
      <c r="KKE222" s="1201"/>
      <c r="KKF222" s="1201"/>
      <c r="KKG222" s="1201"/>
      <c r="KKH222" s="1201"/>
      <c r="KKI222" s="1201"/>
      <c r="KKJ222" s="1201"/>
      <c r="KKK222" s="1201"/>
      <c r="KKL222" s="1201"/>
      <c r="KKM222" s="1201"/>
      <c r="KKN222" s="1201"/>
      <c r="KKO222" s="1201"/>
      <c r="KKP222" s="1201"/>
      <c r="KKQ222" s="1201"/>
      <c r="KKR222" s="1201"/>
      <c r="KKS222" s="1201"/>
      <c r="KKT222" s="1201"/>
      <c r="KKU222" s="1201"/>
      <c r="KKV222" s="1201"/>
      <c r="KKW222" s="1201"/>
      <c r="KKX222" s="1201"/>
      <c r="KKY222" s="1201"/>
      <c r="KKZ222" s="1201"/>
      <c r="KLA222" s="1201"/>
      <c r="KLB222" s="1201"/>
      <c r="KLC222" s="1201"/>
      <c r="KLD222" s="1201"/>
      <c r="KLE222" s="1201"/>
      <c r="KLF222" s="1201"/>
      <c r="KLG222" s="1201"/>
      <c r="KLH222" s="1201"/>
      <c r="KLI222" s="1201"/>
      <c r="KLJ222" s="1201"/>
      <c r="KLK222" s="1201"/>
      <c r="KLL222" s="1201"/>
      <c r="KLM222" s="1201"/>
      <c r="KLN222" s="1201"/>
      <c r="KLO222" s="1201"/>
      <c r="KLP222" s="1201"/>
      <c r="KLQ222" s="1201"/>
      <c r="KLR222" s="1201"/>
      <c r="KLS222" s="1201"/>
      <c r="KLT222" s="1201"/>
      <c r="KLU222" s="1201"/>
      <c r="KLV222" s="1201"/>
      <c r="KLW222" s="1201"/>
      <c r="KLX222" s="1201"/>
      <c r="KLY222" s="1201"/>
      <c r="KLZ222" s="1201"/>
      <c r="KMA222" s="1201"/>
      <c r="KMB222" s="1201"/>
      <c r="KMC222" s="1201"/>
      <c r="KMD222" s="1201"/>
      <c r="KME222" s="1201"/>
      <c r="KMF222" s="1201"/>
      <c r="KMG222" s="1201"/>
      <c r="KMH222" s="1201"/>
      <c r="KMI222" s="1201"/>
      <c r="KMJ222" s="1201"/>
      <c r="KMK222" s="1201"/>
      <c r="KML222" s="1201"/>
      <c r="KMM222" s="1201"/>
      <c r="KMN222" s="1201"/>
      <c r="KMO222" s="1201"/>
      <c r="KMP222" s="1201"/>
      <c r="KMQ222" s="1201"/>
      <c r="KMR222" s="1201"/>
      <c r="KMS222" s="1201"/>
      <c r="KMT222" s="1201"/>
      <c r="KMU222" s="1201"/>
      <c r="KMV222" s="1201"/>
      <c r="KMW222" s="1201"/>
      <c r="KMX222" s="1201"/>
      <c r="KMY222" s="1201"/>
      <c r="KMZ222" s="1201"/>
      <c r="KNA222" s="1201"/>
      <c r="KNB222" s="1201"/>
      <c r="KNC222" s="1201"/>
      <c r="KND222" s="1201"/>
      <c r="KNE222" s="1201"/>
      <c r="KNF222" s="1201"/>
      <c r="KNG222" s="1201"/>
      <c r="KNH222" s="1201"/>
      <c r="KNI222" s="1201"/>
      <c r="KNJ222" s="1201"/>
      <c r="KNK222" s="1201"/>
      <c r="KNL222" s="1201"/>
      <c r="KNM222" s="1201"/>
      <c r="KNN222" s="1201"/>
      <c r="KNO222" s="1201"/>
      <c r="KNP222" s="1201"/>
      <c r="KNQ222" s="1201"/>
      <c r="KNR222" s="1201"/>
      <c r="KNS222" s="1201"/>
      <c r="KNT222" s="1201"/>
      <c r="KNU222" s="1201"/>
      <c r="KNV222" s="1201"/>
      <c r="KNW222" s="1201"/>
      <c r="KNX222" s="1201"/>
      <c r="KNY222" s="1201"/>
      <c r="KNZ222" s="1201"/>
      <c r="KOA222" s="1201"/>
      <c r="KOB222" s="1201"/>
      <c r="KOC222" s="1201"/>
      <c r="KOD222" s="1201"/>
      <c r="KOE222" s="1201"/>
      <c r="KOF222" s="1201"/>
      <c r="KOG222" s="1201"/>
      <c r="KOH222" s="1201"/>
      <c r="KOI222" s="1201"/>
      <c r="KOJ222" s="1201"/>
      <c r="KOK222" s="1201"/>
      <c r="KOL222" s="1201"/>
      <c r="KOM222" s="1201"/>
      <c r="KON222" s="1201"/>
      <c r="KOO222" s="1201"/>
      <c r="KOP222" s="1201"/>
      <c r="KOQ222" s="1201"/>
      <c r="KOR222" s="1201"/>
      <c r="KOS222" s="1201"/>
      <c r="KOT222" s="1201"/>
      <c r="KOU222" s="1201"/>
      <c r="KOV222" s="1201"/>
      <c r="KOW222" s="1201"/>
      <c r="KOX222" s="1201"/>
      <c r="KOY222" s="1201"/>
      <c r="KOZ222" s="1201"/>
      <c r="KPA222" s="1201"/>
      <c r="KPB222" s="1201"/>
      <c r="KPC222" s="1201"/>
      <c r="KPD222" s="1201"/>
      <c r="KPE222" s="1201"/>
      <c r="KPF222" s="1201"/>
      <c r="KPG222" s="1201"/>
      <c r="KPH222" s="1201"/>
      <c r="KPI222" s="1201"/>
      <c r="KPJ222" s="1201"/>
      <c r="KPK222" s="1201"/>
      <c r="KPL222" s="1201"/>
      <c r="KPM222" s="1201"/>
      <c r="KPN222" s="1201"/>
      <c r="KPO222" s="1201"/>
      <c r="KPP222" s="1201"/>
      <c r="KPQ222" s="1201"/>
      <c r="KPR222" s="1201"/>
      <c r="KPS222" s="1201"/>
      <c r="KPT222" s="1201"/>
      <c r="KPU222" s="1201"/>
      <c r="KPV222" s="1201"/>
      <c r="KPW222" s="1201"/>
      <c r="KPX222" s="1201"/>
      <c r="KPY222" s="1201"/>
      <c r="KPZ222" s="1201"/>
      <c r="KQA222" s="1201"/>
      <c r="KQB222" s="1201"/>
      <c r="KQC222" s="1201"/>
      <c r="KQD222" s="1201"/>
      <c r="KQE222" s="1201"/>
      <c r="KQF222" s="1201"/>
      <c r="KQG222" s="1201"/>
      <c r="KQH222" s="1201"/>
      <c r="KQI222" s="1201"/>
      <c r="KQJ222" s="1201"/>
      <c r="KQK222" s="1201"/>
      <c r="KQL222" s="1201"/>
      <c r="KQM222" s="1201"/>
      <c r="KQN222" s="1201"/>
      <c r="KQO222" s="1201"/>
      <c r="KQP222" s="1201"/>
      <c r="KQQ222" s="1201"/>
      <c r="KQR222" s="1201"/>
      <c r="KQS222" s="1201"/>
      <c r="KQT222" s="1201"/>
      <c r="KQU222" s="1201"/>
      <c r="KQV222" s="1201"/>
      <c r="KQW222" s="1201"/>
      <c r="KQX222" s="1201"/>
      <c r="KQY222" s="1201"/>
      <c r="KQZ222" s="1201"/>
      <c r="KRA222" s="1201"/>
      <c r="KRB222" s="1201"/>
      <c r="KRC222" s="1201"/>
      <c r="KRD222" s="1201"/>
      <c r="KRE222" s="1201"/>
      <c r="KRF222" s="1201"/>
      <c r="KRG222" s="1201"/>
      <c r="KRH222" s="1201"/>
      <c r="KRI222" s="1201"/>
      <c r="KRJ222" s="1201"/>
      <c r="KRK222" s="1201"/>
      <c r="KRL222" s="1201"/>
      <c r="KRM222" s="1201"/>
      <c r="KRN222" s="1201"/>
      <c r="KRO222" s="1201"/>
      <c r="KRP222" s="1201"/>
      <c r="KRQ222" s="1201"/>
      <c r="KRR222" s="1201"/>
      <c r="KRS222" s="1201"/>
      <c r="KRT222" s="1201"/>
      <c r="KRU222" s="1201"/>
      <c r="KRV222" s="1201"/>
      <c r="KRW222" s="1201"/>
      <c r="KRX222" s="1201"/>
      <c r="KRY222" s="1201"/>
      <c r="KRZ222" s="1201"/>
      <c r="KSA222" s="1201"/>
      <c r="KSB222" s="1201"/>
      <c r="KSC222" s="1201"/>
      <c r="KSD222" s="1201"/>
      <c r="KSE222" s="1201"/>
      <c r="KSF222" s="1201"/>
      <c r="KSG222" s="1201"/>
      <c r="KSH222" s="1201"/>
      <c r="KSI222" s="1201"/>
      <c r="KSJ222" s="1201"/>
      <c r="KSK222" s="1201"/>
      <c r="KSL222" s="1201"/>
      <c r="KSM222" s="1201"/>
      <c r="KSN222" s="1201"/>
      <c r="KSO222" s="1201"/>
      <c r="KSP222" s="1201"/>
      <c r="KSQ222" s="1201"/>
      <c r="KSR222" s="1201"/>
      <c r="KSS222" s="1201"/>
      <c r="KST222" s="1201"/>
      <c r="KSU222" s="1201"/>
      <c r="KSV222" s="1201"/>
      <c r="KSW222" s="1201"/>
      <c r="KSX222" s="1201"/>
      <c r="KSY222" s="1201"/>
      <c r="KSZ222" s="1201"/>
      <c r="KTA222" s="1201"/>
      <c r="KTB222" s="1201"/>
      <c r="KTC222" s="1201"/>
      <c r="KTD222" s="1201"/>
      <c r="KTE222" s="1201"/>
      <c r="KTF222" s="1201"/>
      <c r="KTG222" s="1201"/>
      <c r="KTH222" s="1201"/>
      <c r="KTI222" s="1201"/>
      <c r="KTJ222" s="1201"/>
      <c r="KTK222" s="1201"/>
      <c r="KTL222" s="1201"/>
      <c r="KTM222" s="1201"/>
      <c r="KTN222" s="1201"/>
      <c r="KTO222" s="1201"/>
      <c r="KTP222" s="1201"/>
      <c r="KTQ222" s="1201"/>
      <c r="KTR222" s="1201"/>
      <c r="KTS222" s="1201"/>
      <c r="KTT222" s="1201"/>
      <c r="KTU222" s="1201"/>
      <c r="KTV222" s="1201"/>
      <c r="KTW222" s="1201"/>
      <c r="KTX222" s="1201"/>
      <c r="KTY222" s="1201"/>
      <c r="KTZ222" s="1201"/>
      <c r="KUA222" s="1201"/>
      <c r="KUB222" s="1201"/>
      <c r="KUC222" s="1201"/>
      <c r="KUD222" s="1201"/>
      <c r="KUE222" s="1201"/>
      <c r="KUF222" s="1201"/>
      <c r="KUG222" s="1201"/>
      <c r="KUH222" s="1201"/>
      <c r="KUI222" s="1201"/>
      <c r="KUJ222" s="1201"/>
      <c r="KUK222" s="1201"/>
      <c r="KUL222" s="1201"/>
      <c r="KUM222" s="1201"/>
      <c r="KUN222" s="1201"/>
      <c r="KUO222" s="1201"/>
      <c r="KUP222" s="1201"/>
      <c r="KUQ222" s="1201"/>
      <c r="KUR222" s="1201"/>
      <c r="KUS222" s="1201"/>
      <c r="KUT222" s="1201"/>
      <c r="KUU222" s="1201"/>
      <c r="KUV222" s="1201"/>
      <c r="KUW222" s="1201"/>
      <c r="KUX222" s="1201"/>
      <c r="KUY222" s="1201"/>
      <c r="KUZ222" s="1201"/>
      <c r="KVA222" s="1201"/>
      <c r="KVB222" s="1201"/>
      <c r="KVC222" s="1201"/>
      <c r="KVD222" s="1201"/>
      <c r="KVE222" s="1201"/>
      <c r="KVF222" s="1201"/>
      <c r="KVG222" s="1201"/>
      <c r="KVH222" s="1201"/>
      <c r="KVI222" s="1201"/>
      <c r="KVJ222" s="1201"/>
      <c r="KVK222" s="1201"/>
      <c r="KVL222" s="1201"/>
      <c r="KVM222" s="1201"/>
      <c r="KVN222" s="1201"/>
      <c r="KVO222" s="1201"/>
      <c r="KVP222" s="1201"/>
      <c r="KVQ222" s="1201"/>
      <c r="KVR222" s="1201"/>
      <c r="KVS222" s="1201"/>
      <c r="KVT222" s="1201"/>
      <c r="KVU222" s="1201"/>
      <c r="KVV222" s="1201"/>
      <c r="KVW222" s="1201"/>
      <c r="KVX222" s="1201"/>
      <c r="KVY222" s="1201"/>
      <c r="KVZ222" s="1201"/>
      <c r="KWA222" s="1201"/>
      <c r="KWB222" s="1201"/>
      <c r="KWC222" s="1201"/>
      <c r="KWD222" s="1201"/>
      <c r="KWE222" s="1201"/>
      <c r="KWF222" s="1201"/>
      <c r="KWG222" s="1201"/>
      <c r="KWH222" s="1201"/>
      <c r="KWI222" s="1201"/>
      <c r="KWJ222" s="1201"/>
      <c r="KWK222" s="1201"/>
      <c r="KWL222" s="1201"/>
      <c r="KWM222" s="1201"/>
      <c r="KWN222" s="1201"/>
      <c r="KWO222" s="1201"/>
      <c r="KWP222" s="1201"/>
      <c r="KWQ222" s="1201"/>
      <c r="KWR222" s="1201"/>
      <c r="KWS222" s="1201"/>
      <c r="KWT222" s="1201"/>
      <c r="KWU222" s="1201"/>
      <c r="KWV222" s="1201"/>
      <c r="KWW222" s="1201"/>
      <c r="KWX222" s="1201"/>
      <c r="KWY222" s="1201"/>
      <c r="KWZ222" s="1201"/>
      <c r="KXA222" s="1201"/>
      <c r="KXB222" s="1201"/>
      <c r="KXC222" s="1201"/>
      <c r="KXD222" s="1201"/>
      <c r="KXE222" s="1201"/>
      <c r="KXF222" s="1201"/>
      <c r="KXG222" s="1201"/>
      <c r="KXH222" s="1201"/>
      <c r="KXI222" s="1201"/>
      <c r="KXJ222" s="1201"/>
      <c r="KXK222" s="1201"/>
      <c r="KXL222" s="1201"/>
      <c r="KXM222" s="1201"/>
      <c r="KXN222" s="1201"/>
      <c r="KXO222" s="1201"/>
      <c r="KXP222" s="1201"/>
      <c r="KXQ222" s="1201"/>
      <c r="KXR222" s="1201"/>
      <c r="KXS222" s="1201"/>
      <c r="KXT222" s="1201"/>
      <c r="KXU222" s="1201"/>
      <c r="KXV222" s="1201"/>
      <c r="KXW222" s="1201"/>
      <c r="KXX222" s="1201"/>
      <c r="KXY222" s="1201"/>
      <c r="KXZ222" s="1201"/>
      <c r="KYA222" s="1201"/>
      <c r="KYB222" s="1201"/>
      <c r="KYC222" s="1201"/>
      <c r="KYD222" s="1201"/>
      <c r="KYE222" s="1201"/>
      <c r="KYF222" s="1201"/>
      <c r="KYG222" s="1201"/>
      <c r="KYH222" s="1201"/>
      <c r="KYI222" s="1201"/>
      <c r="KYJ222" s="1201"/>
      <c r="KYK222" s="1201"/>
      <c r="KYL222" s="1201"/>
      <c r="KYM222" s="1201"/>
      <c r="KYN222" s="1201"/>
      <c r="KYO222" s="1201"/>
      <c r="KYP222" s="1201"/>
      <c r="KYQ222" s="1201"/>
      <c r="KYR222" s="1201"/>
      <c r="KYS222" s="1201"/>
      <c r="KYT222" s="1201"/>
      <c r="KYU222" s="1201"/>
      <c r="KYV222" s="1201"/>
      <c r="KYW222" s="1201"/>
      <c r="KYX222" s="1201"/>
      <c r="KYY222" s="1201"/>
      <c r="KYZ222" s="1201"/>
      <c r="KZA222" s="1201"/>
      <c r="KZB222" s="1201"/>
      <c r="KZC222" s="1201"/>
      <c r="KZD222" s="1201"/>
      <c r="KZE222" s="1201"/>
      <c r="KZF222" s="1201"/>
      <c r="KZG222" s="1201"/>
      <c r="KZH222" s="1201"/>
      <c r="KZI222" s="1201"/>
      <c r="KZJ222" s="1201"/>
      <c r="KZK222" s="1201"/>
      <c r="KZL222" s="1201"/>
      <c r="KZM222" s="1201"/>
      <c r="KZN222" s="1201"/>
      <c r="KZO222" s="1201"/>
      <c r="KZP222" s="1201"/>
      <c r="KZQ222" s="1201"/>
      <c r="KZR222" s="1201"/>
      <c r="KZS222" s="1201"/>
      <c r="KZT222" s="1201"/>
      <c r="KZU222" s="1201"/>
      <c r="KZV222" s="1201"/>
      <c r="KZW222" s="1201"/>
      <c r="KZX222" s="1201"/>
      <c r="KZY222" s="1201"/>
      <c r="KZZ222" s="1201"/>
      <c r="LAA222" s="1201"/>
      <c r="LAB222" s="1201"/>
      <c r="LAC222" s="1201"/>
      <c r="LAD222" s="1201"/>
      <c r="LAE222" s="1201"/>
      <c r="LAF222" s="1201"/>
      <c r="LAG222" s="1201"/>
      <c r="LAH222" s="1201"/>
      <c r="LAI222" s="1201"/>
      <c r="LAJ222" s="1201"/>
      <c r="LAK222" s="1201"/>
      <c r="LAL222" s="1201"/>
      <c r="LAM222" s="1201"/>
      <c r="LAN222" s="1201"/>
      <c r="LAO222" s="1201"/>
      <c r="LAP222" s="1201"/>
      <c r="LAQ222" s="1201"/>
      <c r="LAR222" s="1201"/>
      <c r="LAS222" s="1201"/>
      <c r="LAT222" s="1201"/>
      <c r="LAU222" s="1201"/>
      <c r="LAV222" s="1201"/>
      <c r="LAW222" s="1201"/>
      <c r="LAX222" s="1201"/>
      <c r="LAY222" s="1201"/>
      <c r="LAZ222" s="1201"/>
      <c r="LBA222" s="1201"/>
      <c r="LBB222" s="1201"/>
      <c r="LBC222" s="1201"/>
      <c r="LBD222" s="1201"/>
      <c r="LBE222" s="1201"/>
      <c r="LBF222" s="1201"/>
      <c r="LBG222" s="1201"/>
      <c r="LBH222" s="1201"/>
      <c r="LBI222" s="1201"/>
      <c r="LBJ222" s="1201"/>
      <c r="LBK222" s="1201"/>
      <c r="LBL222" s="1201"/>
      <c r="LBM222" s="1201"/>
      <c r="LBN222" s="1201"/>
      <c r="LBO222" s="1201"/>
      <c r="LBP222" s="1201"/>
      <c r="LBQ222" s="1201"/>
      <c r="LBR222" s="1201"/>
      <c r="LBS222" s="1201"/>
      <c r="LBT222" s="1201"/>
      <c r="LBU222" s="1201"/>
      <c r="LBV222" s="1201"/>
      <c r="LBW222" s="1201"/>
      <c r="LBX222" s="1201"/>
      <c r="LBY222" s="1201"/>
      <c r="LBZ222" s="1201"/>
      <c r="LCA222" s="1201"/>
      <c r="LCB222" s="1201"/>
      <c r="LCC222" s="1201"/>
      <c r="LCD222" s="1201"/>
      <c r="LCE222" s="1201"/>
      <c r="LCF222" s="1201"/>
      <c r="LCG222" s="1201"/>
      <c r="LCH222" s="1201"/>
      <c r="LCI222" s="1201"/>
      <c r="LCJ222" s="1201"/>
      <c r="LCK222" s="1201"/>
      <c r="LCL222" s="1201"/>
      <c r="LCM222" s="1201"/>
      <c r="LCN222" s="1201"/>
      <c r="LCO222" s="1201"/>
      <c r="LCP222" s="1201"/>
      <c r="LCQ222" s="1201"/>
      <c r="LCR222" s="1201"/>
      <c r="LCS222" s="1201"/>
      <c r="LCT222" s="1201"/>
      <c r="LCU222" s="1201"/>
      <c r="LCV222" s="1201"/>
      <c r="LCW222" s="1201"/>
      <c r="LCX222" s="1201"/>
      <c r="LCY222" s="1201"/>
      <c r="LCZ222" s="1201"/>
      <c r="LDA222" s="1201"/>
      <c r="LDB222" s="1201"/>
      <c r="LDC222" s="1201"/>
      <c r="LDD222" s="1201"/>
      <c r="LDE222" s="1201"/>
      <c r="LDF222" s="1201"/>
      <c r="LDG222" s="1201"/>
      <c r="LDH222" s="1201"/>
      <c r="LDI222" s="1201"/>
      <c r="LDJ222" s="1201"/>
      <c r="LDK222" s="1201"/>
      <c r="LDL222" s="1201"/>
      <c r="LDM222" s="1201"/>
      <c r="LDN222" s="1201"/>
      <c r="LDO222" s="1201"/>
      <c r="LDP222" s="1201"/>
      <c r="LDQ222" s="1201"/>
      <c r="LDR222" s="1201"/>
      <c r="LDS222" s="1201"/>
      <c r="LDT222" s="1201"/>
      <c r="LDU222" s="1201"/>
      <c r="LDV222" s="1201"/>
      <c r="LDW222" s="1201"/>
      <c r="LDX222" s="1201"/>
      <c r="LDY222" s="1201"/>
      <c r="LDZ222" s="1201"/>
      <c r="LEA222" s="1201"/>
      <c r="LEB222" s="1201"/>
      <c r="LEC222" s="1201"/>
      <c r="LED222" s="1201"/>
      <c r="LEE222" s="1201"/>
      <c r="LEF222" s="1201"/>
      <c r="LEG222" s="1201"/>
      <c r="LEH222" s="1201"/>
      <c r="LEI222" s="1201"/>
      <c r="LEJ222" s="1201"/>
      <c r="LEK222" s="1201"/>
      <c r="LEL222" s="1201"/>
      <c r="LEM222" s="1201"/>
      <c r="LEN222" s="1201"/>
      <c r="LEO222" s="1201"/>
      <c r="LEP222" s="1201"/>
      <c r="LEQ222" s="1201"/>
      <c r="LER222" s="1201"/>
      <c r="LES222" s="1201"/>
      <c r="LET222" s="1201"/>
      <c r="LEU222" s="1201"/>
      <c r="LEV222" s="1201"/>
      <c r="LEW222" s="1201"/>
      <c r="LEX222" s="1201"/>
      <c r="LEY222" s="1201"/>
      <c r="LEZ222" s="1201"/>
      <c r="LFA222" s="1201"/>
      <c r="LFB222" s="1201"/>
      <c r="LFC222" s="1201"/>
      <c r="LFD222" s="1201"/>
      <c r="LFE222" s="1201"/>
      <c r="LFF222" s="1201"/>
      <c r="LFG222" s="1201"/>
      <c r="LFH222" s="1201"/>
      <c r="LFI222" s="1201"/>
      <c r="LFJ222" s="1201"/>
      <c r="LFK222" s="1201"/>
      <c r="LFL222" s="1201"/>
      <c r="LFM222" s="1201"/>
      <c r="LFN222" s="1201"/>
      <c r="LFO222" s="1201"/>
      <c r="LFP222" s="1201"/>
      <c r="LFQ222" s="1201"/>
      <c r="LFR222" s="1201"/>
      <c r="LFS222" s="1201"/>
      <c r="LFT222" s="1201"/>
      <c r="LFU222" s="1201"/>
      <c r="LFV222" s="1201"/>
      <c r="LFW222" s="1201"/>
      <c r="LFX222" s="1201"/>
      <c r="LFY222" s="1201"/>
      <c r="LFZ222" s="1201"/>
      <c r="LGA222" s="1201"/>
      <c r="LGB222" s="1201"/>
      <c r="LGC222" s="1201"/>
      <c r="LGD222" s="1201"/>
      <c r="LGE222" s="1201"/>
      <c r="LGF222" s="1201"/>
      <c r="LGG222" s="1201"/>
      <c r="LGH222" s="1201"/>
      <c r="LGI222" s="1201"/>
      <c r="LGJ222" s="1201"/>
      <c r="LGK222" s="1201"/>
      <c r="LGL222" s="1201"/>
      <c r="LGM222" s="1201"/>
      <c r="LGN222" s="1201"/>
      <c r="LGO222" s="1201"/>
      <c r="LGP222" s="1201"/>
      <c r="LGQ222" s="1201"/>
      <c r="LGR222" s="1201"/>
      <c r="LGS222" s="1201"/>
      <c r="LGT222" s="1201"/>
      <c r="LGU222" s="1201"/>
      <c r="LGV222" s="1201"/>
      <c r="LGW222" s="1201"/>
      <c r="LGX222" s="1201"/>
      <c r="LGY222" s="1201"/>
      <c r="LGZ222" s="1201"/>
      <c r="LHA222" s="1201"/>
      <c r="LHB222" s="1201"/>
      <c r="LHC222" s="1201"/>
      <c r="LHD222" s="1201"/>
      <c r="LHE222" s="1201"/>
      <c r="LHF222" s="1201"/>
      <c r="LHG222" s="1201"/>
      <c r="LHH222" s="1201"/>
      <c r="LHI222" s="1201"/>
      <c r="LHJ222" s="1201"/>
      <c r="LHK222" s="1201"/>
      <c r="LHL222" s="1201"/>
      <c r="LHM222" s="1201"/>
      <c r="LHN222" s="1201"/>
      <c r="LHO222" s="1201"/>
      <c r="LHP222" s="1201"/>
      <c r="LHQ222" s="1201"/>
      <c r="LHR222" s="1201"/>
      <c r="LHS222" s="1201"/>
      <c r="LHT222" s="1201"/>
      <c r="LHU222" s="1201"/>
      <c r="LHV222" s="1201"/>
      <c r="LHW222" s="1201"/>
      <c r="LHX222" s="1201"/>
      <c r="LHY222" s="1201"/>
      <c r="LHZ222" s="1201"/>
      <c r="LIA222" s="1201"/>
      <c r="LIB222" s="1201"/>
      <c r="LIC222" s="1201"/>
      <c r="LID222" s="1201"/>
      <c r="LIE222" s="1201"/>
      <c r="LIF222" s="1201"/>
      <c r="LIG222" s="1201"/>
      <c r="LIH222" s="1201"/>
      <c r="LII222" s="1201"/>
      <c r="LIJ222" s="1201"/>
      <c r="LIK222" s="1201"/>
      <c r="LIL222" s="1201"/>
      <c r="LIM222" s="1201"/>
      <c r="LIN222" s="1201"/>
      <c r="LIO222" s="1201"/>
      <c r="LIP222" s="1201"/>
      <c r="LIQ222" s="1201"/>
      <c r="LIR222" s="1201"/>
      <c r="LIS222" s="1201"/>
      <c r="LIT222" s="1201"/>
      <c r="LIU222" s="1201"/>
      <c r="LIV222" s="1201"/>
      <c r="LIW222" s="1201"/>
      <c r="LIX222" s="1201"/>
      <c r="LIY222" s="1201"/>
      <c r="LIZ222" s="1201"/>
      <c r="LJA222" s="1201"/>
      <c r="LJB222" s="1201"/>
      <c r="LJC222" s="1201"/>
      <c r="LJD222" s="1201"/>
      <c r="LJE222" s="1201"/>
      <c r="LJF222" s="1201"/>
      <c r="LJG222" s="1201"/>
      <c r="LJH222" s="1201"/>
      <c r="LJI222" s="1201"/>
      <c r="LJJ222" s="1201"/>
      <c r="LJK222" s="1201"/>
      <c r="LJL222" s="1201"/>
      <c r="LJM222" s="1201"/>
      <c r="LJN222" s="1201"/>
      <c r="LJO222" s="1201"/>
      <c r="LJP222" s="1201"/>
      <c r="LJQ222" s="1201"/>
      <c r="LJR222" s="1201"/>
      <c r="LJS222" s="1201"/>
      <c r="LJT222" s="1201"/>
      <c r="LJU222" s="1201"/>
      <c r="LJV222" s="1201"/>
      <c r="LJW222" s="1201"/>
      <c r="LJX222" s="1201"/>
      <c r="LJY222" s="1201"/>
      <c r="LJZ222" s="1201"/>
      <c r="LKA222" s="1201"/>
      <c r="LKB222" s="1201"/>
      <c r="LKC222" s="1201"/>
      <c r="LKD222" s="1201"/>
      <c r="LKE222" s="1201"/>
      <c r="LKF222" s="1201"/>
      <c r="LKG222" s="1201"/>
      <c r="LKH222" s="1201"/>
      <c r="LKI222" s="1201"/>
      <c r="LKJ222" s="1201"/>
      <c r="LKK222" s="1201"/>
      <c r="LKL222" s="1201"/>
      <c r="LKM222" s="1201"/>
      <c r="LKN222" s="1201"/>
      <c r="LKO222" s="1201"/>
      <c r="LKP222" s="1201"/>
      <c r="LKQ222" s="1201"/>
      <c r="LKR222" s="1201"/>
      <c r="LKS222" s="1201"/>
      <c r="LKT222" s="1201"/>
      <c r="LKU222" s="1201"/>
      <c r="LKV222" s="1201"/>
      <c r="LKW222" s="1201"/>
      <c r="LKX222" s="1201"/>
      <c r="LKY222" s="1201"/>
      <c r="LKZ222" s="1201"/>
      <c r="LLA222" s="1201"/>
      <c r="LLB222" s="1201"/>
      <c r="LLC222" s="1201"/>
      <c r="LLD222" s="1201"/>
      <c r="LLE222" s="1201"/>
      <c r="LLF222" s="1201"/>
      <c r="LLG222" s="1201"/>
      <c r="LLH222" s="1201"/>
      <c r="LLI222" s="1201"/>
      <c r="LLJ222" s="1201"/>
      <c r="LLK222" s="1201"/>
      <c r="LLL222" s="1201"/>
      <c r="LLM222" s="1201"/>
      <c r="LLN222" s="1201"/>
      <c r="LLO222" s="1201"/>
      <c r="LLP222" s="1201"/>
      <c r="LLQ222" s="1201"/>
      <c r="LLR222" s="1201"/>
      <c r="LLS222" s="1201"/>
      <c r="LLT222" s="1201"/>
      <c r="LLU222" s="1201"/>
      <c r="LLV222" s="1201"/>
      <c r="LLW222" s="1201"/>
      <c r="LLX222" s="1201"/>
      <c r="LLY222" s="1201"/>
      <c r="LLZ222" s="1201"/>
      <c r="LMA222" s="1201"/>
      <c r="LMB222" s="1201"/>
      <c r="LMC222" s="1201"/>
      <c r="LMD222" s="1201"/>
      <c r="LME222" s="1201"/>
      <c r="LMF222" s="1201"/>
      <c r="LMG222" s="1201"/>
      <c r="LMH222" s="1201"/>
      <c r="LMI222" s="1201"/>
      <c r="LMJ222" s="1201"/>
      <c r="LMK222" s="1201"/>
      <c r="LML222" s="1201"/>
      <c r="LMM222" s="1201"/>
      <c r="LMN222" s="1201"/>
      <c r="LMO222" s="1201"/>
      <c r="LMP222" s="1201"/>
      <c r="LMQ222" s="1201"/>
      <c r="LMR222" s="1201"/>
      <c r="LMS222" s="1201"/>
      <c r="LMT222" s="1201"/>
      <c r="LMU222" s="1201"/>
      <c r="LMV222" s="1201"/>
      <c r="LMW222" s="1201"/>
      <c r="LMX222" s="1201"/>
      <c r="LMY222" s="1201"/>
      <c r="LMZ222" s="1201"/>
      <c r="LNA222" s="1201"/>
      <c r="LNB222" s="1201"/>
      <c r="LNC222" s="1201"/>
      <c r="LND222" s="1201"/>
      <c r="LNE222" s="1201"/>
      <c r="LNF222" s="1201"/>
      <c r="LNG222" s="1201"/>
      <c r="LNH222" s="1201"/>
      <c r="LNI222" s="1201"/>
      <c r="LNJ222" s="1201"/>
      <c r="LNK222" s="1201"/>
      <c r="LNL222" s="1201"/>
      <c r="LNM222" s="1201"/>
      <c r="LNN222" s="1201"/>
      <c r="LNO222" s="1201"/>
      <c r="LNP222" s="1201"/>
      <c r="LNQ222" s="1201"/>
      <c r="LNR222" s="1201"/>
      <c r="LNS222" s="1201"/>
      <c r="LNT222" s="1201"/>
      <c r="LNU222" s="1201"/>
      <c r="LNV222" s="1201"/>
      <c r="LNW222" s="1201"/>
      <c r="LNX222" s="1201"/>
      <c r="LNY222" s="1201"/>
      <c r="LNZ222" s="1201"/>
      <c r="LOA222" s="1201"/>
      <c r="LOB222" s="1201"/>
      <c r="LOC222" s="1201"/>
      <c r="LOD222" s="1201"/>
      <c r="LOE222" s="1201"/>
      <c r="LOF222" s="1201"/>
      <c r="LOG222" s="1201"/>
      <c r="LOH222" s="1201"/>
      <c r="LOI222" s="1201"/>
      <c r="LOJ222" s="1201"/>
      <c r="LOK222" s="1201"/>
      <c r="LOL222" s="1201"/>
      <c r="LOM222" s="1201"/>
      <c r="LON222" s="1201"/>
      <c r="LOO222" s="1201"/>
      <c r="LOP222" s="1201"/>
      <c r="LOQ222" s="1201"/>
      <c r="LOR222" s="1201"/>
      <c r="LOS222" s="1201"/>
      <c r="LOT222" s="1201"/>
      <c r="LOU222" s="1201"/>
      <c r="LOV222" s="1201"/>
      <c r="LOW222" s="1201"/>
      <c r="LOX222" s="1201"/>
      <c r="LOY222" s="1201"/>
      <c r="LOZ222" s="1201"/>
      <c r="LPA222" s="1201"/>
      <c r="LPB222" s="1201"/>
      <c r="LPC222" s="1201"/>
      <c r="LPD222" s="1201"/>
      <c r="LPE222" s="1201"/>
      <c r="LPF222" s="1201"/>
      <c r="LPG222" s="1201"/>
      <c r="LPH222" s="1201"/>
      <c r="LPI222" s="1201"/>
      <c r="LPJ222" s="1201"/>
      <c r="LPK222" s="1201"/>
      <c r="LPL222" s="1201"/>
      <c r="LPM222" s="1201"/>
      <c r="LPN222" s="1201"/>
      <c r="LPO222" s="1201"/>
      <c r="LPP222" s="1201"/>
      <c r="LPQ222" s="1201"/>
      <c r="LPR222" s="1201"/>
      <c r="LPS222" s="1201"/>
      <c r="LPT222" s="1201"/>
      <c r="LPU222" s="1201"/>
      <c r="LPV222" s="1201"/>
      <c r="LPW222" s="1201"/>
      <c r="LPX222" s="1201"/>
      <c r="LPY222" s="1201"/>
      <c r="LPZ222" s="1201"/>
      <c r="LQA222" s="1201"/>
      <c r="LQB222" s="1201"/>
      <c r="LQC222" s="1201"/>
      <c r="LQD222" s="1201"/>
      <c r="LQE222" s="1201"/>
      <c r="LQF222" s="1201"/>
      <c r="LQG222" s="1201"/>
      <c r="LQH222" s="1201"/>
      <c r="LQI222" s="1201"/>
      <c r="LQJ222" s="1201"/>
      <c r="LQK222" s="1201"/>
      <c r="LQL222" s="1201"/>
      <c r="LQM222" s="1201"/>
      <c r="LQN222" s="1201"/>
      <c r="LQO222" s="1201"/>
      <c r="LQP222" s="1201"/>
      <c r="LQQ222" s="1201"/>
      <c r="LQR222" s="1201"/>
      <c r="LQS222" s="1201"/>
      <c r="LQT222" s="1201"/>
      <c r="LQU222" s="1201"/>
      <c r="LQV222" s="1201"/>
      <c r="LQW222" s="1201"/>
      <c r="LQX222" s="1201"/>
      <c r="LQY222" s="1201"/>
      <c r="LQZ222" s="1201"/>
      <c r="LRA222" s="1201"/>
      <c r="LRB222" s="1201"/>
      <c r="LRC222" s="1201"/>
      <c r="LRD222" s="1201"/>
      <c r="LRE222" s="1201"/>
      <c r="LRF222" s="1201"/>
      <c r="LRG222" s="1201"/>
      <c r="LRH222" s="1201"/>
      <c r="LRI222" s="1201"/>
      <c r="LRJ222" s="1201"/>
      <c r="LRK222" s="1201"/>
      <c r="LRL222" s="1201"/>
      <c r="LRM222" s="1201"/>
      <c r="LRN222" s="1201"/>
      <c r="LRO222" s="1201"/>
      <c r="LRP222" s="1201"/>
      <c r="LRQ222" s="1201"/>
      <c r="LRR222" s="1201"/>
      <c r="LRS222" s="1201"/>
      <c r="LRT222" s="1201"/>
      <c r="LRU222" s="1201"/>
      <c r="LRV222" s="1201"/>
      <c r="LRW222" s="1201"/>
      <c r="LRX222" s="1201"/>
      <c r="LRY222" s="1201"/>
      <c r="LRZ222" s="1201"/>
      <c r="LSA222" s="1201"/>
      <c r="LSB222" s="1201"/>
      <c r="LSC222" s="1201"/>
      <c r="LSD222" s="1201"/>
      <c r="LSE222" s="1201"/>
      <c r="LSF222" s="1201"/>
      <c r="LSG222" s="1201"/>
      <c r="LSH222" s="1201"/>
      <c r="LSI222" s="1201"/>
      <c r="LSJ222" s="1201"/>
      <c r="LSK222" s="1201"/>
      <c r="LSL222" s="1201"/>
      <c r="LSM222" s="1201"/>
      <c r="LSN222" s="1201"/>
      <c r="LSO222" s="1201"/>
      <c r="LSP222" s="1201"/>
      <c r="LSQ222" s="1201"/>
      <c r="LSR222" s="1201"/>
      <c r="LSS222" s="1201"/>
      <c r="LST222" s="1201"/>
      <c r="LSU222" s="1201"/>
      <c r="LSV222" s="1201"/>
      <c r="LSW222" s="1201"/>
      <c r="LSX222" s="1201"/>
      <c r="LSY222" s="1201"/>
      <c r="LSZ222" s="1201"/>
      <c r="LTA222" s="1201"/>
      <c r="LTB222" s="1201"/>
      <c r="LTC222" s="1201"/>
      <c r="LTD222" s="1201"/>
      <c r="LTE222" s="1201"/>
      <c r="LTF222" s="1201"/>
      <c r="LTG222" s="1201"/>
      <c r="LTH222" s="1201"/>
      <c r="LTI222" s="1201"/>
      <c r="LTJ222" s="1201"/>
      <c r="LTK222" s="1201"/>
      <c r="LTL222" s="1201"/>
      <c r="LTM222" s="1201"/>
      <c r="LTN222" s="1201"/>
      <c r="LTO222" s="1201"/>
      <c r="LTP222" s="1201"/>
      <c r="LTQ222" s="1201"/>
      <c r="LTR222" s="1201"/>
      <c r="LTS222" s="1201"/>
      <c r="LTT222" s="1201"/>
      <c r="LTU222" s="1201"/>
      <c r="LTV222" s="1201"/>
      <c r="LTW222" s="1201"/>
      <c r="LTX222" s="1201"/>
      <c r="LTY222" s="1201"/>
      <c r="LTZ222" s="1201"/>
      <c r="LUA222" s="1201"/>
      <c r="LUB222" s="1201"/>
      <c r="LUC222" s="1201"/>
      <c r="LUD222" s="1201"/>
      <c r="LUE222" s="1201"/>
      <c r="LUF222" s="1201"/>
      <c r="LUG222" s="1201"/>
      <c r="LUH222" s="1201"/>
      <c r="LUI222" s="1201"/>
      <c r="LUJ222" s="1201"/>
      <c r="LUK222" s="1201"/>
      <c r="LUL222" s="1201"/>
      <c r="LUM222" s="1201"/>
      <c r="LUN222" s="1201"/>
      <c r="LUO222" s="1201"/>
      <c r="LUP222" s="1201"/>
      <c r="LUQ222" s="1201"/>
      <c r="LUR222" s="1201"/>
      <c r="LUS222" s="1201"/>
      <c r="LUT222" s="1201"/>
      <c r="LUU222" s="1201"/>
      <c r="LUV222" s="1201"/>
      <c r="LUW222" s="1201"/>
      <c r="LUX222" s="1201"/>
      <c r="LUY222" s="1201"/>
      <c r="LUZ222" s="1201"/>
      <c r="LVA222" s="1201"/>
      <c r="LVB222" s="1201"/>
      <c r="LVC222" s="1201"/>
      <c r="LVD222" s="1201"/>
      <c r="LVE222" s="1201"/>
      <c r="LVF222" s="1201"/>
      <c r="LVG222" s="1201"/>
      <c r="LVH222" s="1201"/>
      <c r="LVI222" s="1201"/>
      <c r="LVJ222" s="1201"/>
      <c r="LVK222" s="1201"/>
      <c r="LVL222" s="1201"/>
      <c r="LVM222" s="1201"/>
      <c r="LVN222" s="1201"/>
      <c r="LVO222" s="1201"/>
      <c r="LVP222" s="1201"/>
      <c r="LVQ222" s="1201"/>
      <c r="LVR222" s="1201"/>
      <c r="LVS222" s="1201"/>
      <c r="LVT222" s="1201"/>
      <c r="LVU222" s="1201"/>
      <c r="LVV222" s="1201"/>
      <c r="LVW222" s="1201"/>
      <c r="LVX222" s="1201"/>
      <c r="LVY222" s="1201"/>
      <c r="LVZ222" s="1201"/>
      <c r="LWA222" s="1201"/>
      <c r="LWB222" s="1201"/>
      <c r="LWC222" s="1201"/>
      <c r="LWD222" s="1201"/>
      <c r="LWE222" s="1201"/>
      <c r="LWF222" s="1201"/>
      <c r="LWG222" s="1201"/>
      <c r="LWH222" s="1201"/>
      <c r="LWI222" s="1201"/>
      <c r="LWJ222" s="1201"/>
      <c r="LWK222" s="1201"/>
      <c r="LWL222" s="1201"/>
      <c r="LWM222" s="1201"/>
      <c r="LWN222" s="1201"/>
      <c r="LWO222" s="1201"/>
      <c r="LWP222" s="1201"/>
      <c r="LWQ222" s="1201"/>
      <c r="LWR222" s="1201"/>
      <c r="LWS222" s="1201"/>
      <c r="LWT222" s="1201"/>
      <c r="LWU222" s="1201"/>
      <c r="LWV222" s="1201"/>
      <c r="LWW222" s="1201"/>
      <c r="LWX222" s="1201"/>
      <c r="LWY222" s="1201"/>
      <c r="LWZ222" s="1201"/>
      <c r="LXA222" s="1201"/>
      <c r="LXB222" s="1201"/>
      <c r="LXC222" s="1201"/>
      <c r="LXD222" s="1201"/>
      <c r="LXE222" s="1201"/>
      <c r="LXF222" s="1201"/>
      <c r="LXG222" s="1201"/>
      <c r="LXH222" s="1201"/>
      <c r="LXI222" s="1201"/>
      <c r="LXJ222" s="1201"/>
      <c r="LXK222" s="1201"/>
      <c r="LXL222" s="1201"/>
      <c r="LXM222" s="1201"/>
      <c r="LXN222" s="1201"/>
      <c r="LXO222" s="1201"/>
      <c r="LXP222" s="1201"/>
      <c r="LXQ222" s="1201"/>
      <c r="LXR222" s="1201"/>
      <c r="LXS222" s="1201"/>
      <c r="LXT222" s="1201"/>
      <c r="LXU222" s="1201"/>
      <c r="LXV222" s="1201"/>
      <c r="LXW222" s="1201"/>
      <c r="LXX222" s="1201"/>
      <c r="LXY222" s="1201"/>
      <c r="LXZ222" s="1201"/>
      <c r="LYA222" s="1201"/>
      <c r="LYB222" s="1201"/>
      <c r="LYC222" s="1201"/>
      <c r="LYD222" s="1201"/>
      <c r="LYE222" s="1201"/>
      <c r="LYF222" s="1201"/>
      <c r="LYG222" s="1201"/>
      <c r="LYH222" s="1201"/>
      <c r="LYI222" s="1201"/>
      <c r="LYJ222" s="1201"/>
      <c r="LYK222" s="1201"/>
      <c r="LYL222" s="1201"/>
      <c r="LYM222" s="1201"/>
      <c r="LYN222" s="1201"/>
      <c r="LYO222" s="1201"/>
      <c r="LYP222" s="1201"/>
      <c r="LYQ222" s="1201"/>
      <c r="LYR222" s="1201"/>
      <c r="LYS222" s="1201"/>
      <c r="LYT222" s="1201"/>
      <c r="LYU222" s="1201"/>
      <c r="LYV222" s="1201"/>
      <c r="LYW222" s="1201"/>
      <c r="LYX222" s="1201"/>
      <c r="LYY222" s="1201"/>
      <c r="LYZ222" s="1201"/>
      <c r="LZA222" s="1201"/>
      <c r="LZB222" s="1201"/>
      <c r="LZC222" s="1201"/>
      <c r="LZD222" s="1201"/>
      <c r="LZE222" s="1201"/>
      <c r="LZF222" s="1201"/>
      <c r="LZG222" s="1201"/>
      <c r="LZH222" s="1201"/>
      <c r="LZI222" s="1201"/>
      <c r="LZJ222" s="1201"/>
      <c r="LZK222" s="1201"/>
      <c r="LZL222" s="1201"/>
      <c r="LZM222" s="1201"/>
      <c r="LZN222" s="1201"/>
      <c r="LZO222" s="1201"/>
      <c r="LZP222" s="1201"/>
      <c r="LZQ222" s="1201"/>
      <c r="LZR222" s="1201"/>
      <c r="LZS222" s="1201"/>
      <c r="LZT222" s="1201"/>
      <c r="LZU222" s="1201"/>
      <c r="LZV222" s="1201"/>
      <c r="LZW222" s="1201"/>
      <c r="LZX222" s="1201"/>
      <c r="LZY222" s="1201"/>
      <c r="LZZ222" s="1201"/>
      <c r="MAA222" s="1201"/>
      <c r="MAB222" s="1201"/>
      <c r="MAC222" s="1201"/>
      <c r="MAD222" s="1201"/>
      <c r="MAE222" s="1201"/>
      <c r="MAF222" s="1201"/>
      <c r="MAG222" s="1201"/>
      <c r="MAH222" s="1201"/>
      <c r="MAI222" s="1201"/>
      <c r="MAJ222" s="1201"/>
      <c r="MAK222" s="1201"/>
      <c r="MAL222" s="1201"/>
      <c r="MAM222" s="1201"/>
      <c r="MAN222" s="1201"/>
      <c r="MAO222" s="1201"/>
      <c r="MAP222" s="1201"/>
      <c r="MAQ222" s="1201"/>
      <c r="MAR222" s="1201"/>
      <c r="MAS222" s="1201"/>
      <c r="MAT222" s="1201"/>
      <c r="MAU222" s="1201"/>
      <c r="MAV222" s="1201"/>
      <c r="MAW222" s="1201"/>
      <c r="MAX222" s="1201"/>
      <c r="MAY222" s="1201"/>
      <c r="MAZ222" s="1201"/>
      <c r="MBA222" s="1201"/>
      <c r="MBB222" s="1201"/>
      <c r="MBC222" s="1201"/>
      <c r="MBD222" s="1201"/>
      <c r="MBE222" s="1201"/>
      <c r="MBF222" s="1201"/>
      <c r="MBG222" s="1201"/>
      <c r="MBH222" s="1201"/>
      <c r="MBI222" s="1201"/>
      <c r="MBJ222" s="1201"/>
      <c r="MBK222" s="1201"/>
      <c r="MBL222" s="1201"/>
      <c r="MBM222" s="1201"/>
      <c r="MBN222" s="1201"/>
      <c r="MBO222" s="1201"/>
      <c r="MBP222" s="1201"/>
      <c r="MBQ222" s="1201"/>
      <c r="MBR222" s="1201"/>
      <c r="MBS222" s="1201"/>
      <c r="MBT222" s="1201"/>
      <c r="MBU222" s="1201"/>
      <c r="MBV222" s="1201"/>
      <c r="MBW222" s="1201"/>
      <c r="MBX222" s="1201"/>
      <c r="MBY222" s="1201"/>
      <c r="MBZ222" s="1201"/>
      <c r="MCA222" s="1201"/>
      <c r="MCB222" s="1201"/>
      <c r="MCC222" s="1201"/>
      <c r="MCD222" s="1201"/>
      <c r="MCE222" s="1201"/>
      <c r="MCF222" s="1201"/>
      <c r="MCG222" s="1201"/>
      <c r="MCH222" s="1201"/>
      <c r="MCI222" s="1201"/>
      <c r="MCJ222" s="1201"/>
      <c r="MCK222" s="1201"/>
      <c r="MCL222" s="1201"/>
      <c r="MCM222" s="1201"/>
      <c r="MCN222" s="1201"/>
      <c r="MCO222" s="1201"/>
      <c r="MCP222" s="1201"/>
      <c r="MCQ222" s="1201"/>
      <c r="MCR222" s="1201"/>
      <c r="MCS222" s="1201"/>
      <c r="MCT222" s="1201"/>
      <c r="MCU222" s="1201"/>
      <c r="MCV222" s="1201"/>
      <c r="MCW222" s="1201"/>
      <c r="MCX222" s="1201"/>
      <c r="MCY222" s="1201"/>
      <c r="MCZ222" s="1201"/>
      <c r="MDA222" s="1201"/>
      <c r="MDB222" s="1201"/>
      <c r="MDC222" s="1201"/>
      <c r="MDD222" s="1201"/>
      <c r="MDE222" s="1201"/>
      <c r="MDF222" s="1201"/>
      <c r="MDG222" s="1201"/>
      <c r="MDH222" s="1201"/>
      <c r="MDI222" s="1201"/>
      <c r="MDJ222" s="1201"/>
      <c r="MDK222" s="1201"/>
      <c r="MDL222" s="1201"/>
      <c r="MDM222" s="1201"/>
      <c r="MDN222" s="1201"/>
      <c r="MDO222" s="1201"/>
      <c r="MDP222" s="1201"/>
      <c r="MDQ222" s="1201"/>
      <c r="MDR222" s="1201"/>
      <c r="MDS222" s="1201"/>
      <c r="MDT222" s="1201"/>
      <c r="MDU222" s="1201"/>
      <c r="MDV222" s="1201"/>
      <c r="MDW222" s="1201"/>
      <c r="MDX222" s="1201"/>
      <c r="MDY222" s="1201"/>
      <c r="MDZ222" s="1201"/>
      <c r="MEA222" s="1201"/>
      <c r="MEB222" s="1201"/>
      <c r="MEC222" s="1201"/>
      <c r="MED222" s="1201"/>
      <c r="MEE222" s="1201"/>
      <c r="MEF222" s="1201"/>
      <c r="MEG222" s="1201"/>
      <c r="MEH222" s="1201"/>
      <c r="MEI222" s="1201"/>
      <c r="MEJ222" s="1201"/>
      <c r="MEK222" s="1201"/>
      <c r="MEL222" s="1201"/>
      <c r="MEM222" s="1201"/>
      <c r="MEN222" s="1201"/>
      <c r="MEO222" s="1201"/>
      <c r="MEP222" s="1201"/>
      <c r="MEQ222" s="1201"/>
      <c r="MER222" s="1201"/>
      <c r="MES222" s="1201"/>
      <c r="MET222" s="1201"/>
      <c r="MEU222" s="1201"/>
      <c r="MEV222" s="1201"/>
      <c r="MEW222" s="1201"/>
      <c r="MEX222" s="1201"/>
      <c r="MEY222" s="1201"/>
      <c r="MEZ222" s="1201"/>
      <c r="MFA222" s="1201"/>
      <c r="MFB222" s="1201"/>
      <c r="MFC222" s="1201"/>
      <c r="MFD222" s="1201"/>
      <c r="MFE222" s="1201"/>
      <c r="MFF222" s="1201"/>
      <c r="MFG222" s="1201"/>
      <c r="MFH222" s="1201"/>
      <c r="MFI222" s="1201"/>
      <c r="MFJ222" s="1201"/>
      <c r="MFK222" s="1201"/>
      <c r="MFL222" s="1201"/>
      <c r="MFM222" s="1201"/>
      <c r="MFN222" s="1201"/>
      <c r="MFO222" s="1201"/>
      <c r="MFP222" s="1201"/>
      <c r="MFQ222" s="1201"/>
      <c r="MFR222" s="1201"/>
      <c r="MFS222" s="1201"/>
      <c r="MFT222" s="1201"/>
      <c r="MFU222" s="1201"/>
      <c r="MFV222" s="1201"/>
      <c r="MFW222" s="1201"/>
      <c r="MFX222" s="1201"/>
      <c r="MFY222" s="1201"/>
      <c r="MFZ222" s="1201"/>
      <c r="MGA222" s="1201"/>
      <c r="MGB222" s="1201"/>
      <c r="MGC222" s="1201"/>
      <c r="MGD222" s="1201"/>
      <c r="MGE222" s="1201"/>
      <c r="MGF222" s="1201"/>
      <c r="MGG222" s="1201"/>
      <c r="MGH222" s="1201"/>
      <c r="MGI222" s="1201"/>
      <c r="MGJ222" s="1201"/>
      <c r="MGK222" s="1201"/>
      <c r="MGL222" s="1201"/>
      <c r="MGM222" s="1201"/>
      <c r="MGN222" s="1201"/>
      <c r="MGO222" s="1201"/>
      <c r="MGP222" s="1201"/>
      <c r="MGQ222" s="1201"/>
      <c r="MGR222" s="1201"/>
      <c r="MGS222" s="1201"/>
      <c r="MGT222" s="1201"/>
      <c r="MGU222" s="1201"/>
      <c r="MGV222" s="1201"/>
      <c r="MGW222" s="1201"/>
      <c r="MGX222" s="1201"/>
      <c r="MGY222" s="1201"/>
      <c r="MGZ222" s="1201"/>
      <c r="MHA222" s="1201"/>
      <c r="MHB222" s="1201"/>
      <c r="MHC222" s="1201"/>
      <c r="MHD222" s="1201"/>
      <c r="MHE222" s="1201"/>
      <c r="MHF222" s="1201"/>
      <c r="MHG222" s="1201"/>
      <c r="MHH222" s="1201"/>
      <c r="MHI222" s="1201"/>
      <c r="MHJ222" s="1201"/>
      <c r="MHK222" s="1201"/>
      <c r="MHL222" s="1201"/>
      <c r="MHM222" s="1201"/>
      <c r="MHN222" s="1201"/>
      <c r="MHO222" s="1201"/>
      <c r="MHP222" s="1201"/>
      <c r="MHQ222" s="1201"/>
      <c r="MHR222" s="1201"/>
      <c r="MHS222" s="1201"/>
      <c r="MHT222" s="1201"/>
      <c r="MHU222" s="1201"/>
      <c r="MHV222" s="1201"/>
      <c r="MHW222" s="1201"/>
      <c r="MHX222" s="1201"/>
      <c r="MHY222" s="1201"/>
      <c r="MHZ222" s="1201"/>
      <c r="MIA222" s="1201"/>
      <c r="MIB222" s="1201"/>
      <c r="MIC222" s="1201"/>
      <c r="MID222" s="1201"/>
      <c r="MIE222" s="1201"/>
      <c r="MIF222" s="1201"/>
      <c r="MIG222" s="1201"/>
      <c r="MIH222" s="1201"/>
      <c r="MII222" s="1201"/>
      <c r="MIJ222" s="1201"/>
      <c r="MIK222" s="1201"/>
      <c r="MIL222" s="1201"/>
      <c r="MIM222" s="1201"/>
      <c r="MIN222" s="1201"/>
      <c r="MIO222" s="1201"/>
      <c r="MIP222" s="1201"/>
      <c r="MIQ222" s="1201"/>
      <c r="MIR222" s="1201"/>
      <c r="MIS222" s="1201"/>
      <c r="MIT222" s="1201"/>
      <c r="MIU222" s="1201"/>
      <c r="MIV222" s="1201"/>
      <c r="MIW222" s="1201"/>
      <c r="MIX222" s="1201"/>
      <c r="MIY222" s="1201"/>
      <c r="MIZ222" s="1201"/>
      <c r="MJA222" s="1201"/>
      <c r="MJB222" s="1201"/>
      <c r="MJC222" s="1201"/>
      <c r="MJD222" s="1201"/>
      <c r="MJE222" s="1201"/>
      <c r="MJF222" s="1201"/>
      <c r="MJG222" s="1201"/>
      <c r="MJH222" s="1201"/>
      <c r="MJI222" s="1201"/>
      <c r="MJJ222" s="1201"/>
      <c r="MJK222" s="1201"/>
      <c r="MJL222" s="1201"/>
      <c r="MJM222" s="1201"/>
      <c r="MJN222" s="1201"/>
      <c r="MJO222" s="1201"/>
      <c r="MJP222" s="1201"/>
      <c r="MJQ222" s="1201"/>
      <c r="MJR222" s="1201"/>
      <c r="MJS222" s="1201"/>
      <c r="MJT222" s="1201"/>
      <c r="MJU222" s="1201"/>
      <c r="MJV222" s="1201"/>
      <c r="MJW222" s="1201"/>
      <c r="MJX222" s="1201"/>
      <c r="MJY222" s="1201"/>
      <c r="MJZ222" s="1201"/>
      <c r="MKA222" s="1201"/>
      <c r="MKB222" s="1201"/>
      <c r="MKC222" s="1201"/>
      <c r="MKD222" s="1201"/>
      <c r="MKE222" s="1201"/>
      <c r="MKF222" s="1201"/>
      <c r="MKG222" s="1201"/>
      <c r="MKH222" s="1201"/>
      <c r="MKI222" s="1201"/>
      <c r="MKJ222" s="1201"/>
      <c r="MKK222" s="1201"/>
      <c r="MKL222" s="1201"/>
      <c r="MKM222" s="1201"/>
      <c r="MKN222" s="1201"/>
      <c r="MKO222" s="1201"/>
      <c r="MKP222" s="1201"/>
      <c r="MKQ222" s="1201"/>
      <c r="MKR222" s="1201"/>
      <c r="MKS222" s="1201"/>
      <c r="MKT222" s="1201"/>
      <c r="MKU222" s="1201"/>
      <c r="MKV222" s="1201"/>
      <c r="MKW222" s="1201"/>
      <c r="MKX222" s="1201"/>
      <c r="MKY222" s="1201"/>
      <c r="MKZ222" s="1201"/>
      <c r="MLA222" s="1201"/>
      <c r="MLB222" s="1201"/>
      <c r="MLC222" s="1201"/>
      <c r="MLD222" s="1201"/>
      <c r="MLE222" s="1201"/>
      <c r="MLF222" s="1201"/>
      <c r="MLG222" s="1201"/>
      <c r="MLH222" s="1201"/>
      <c r="MLI222" s="1201"/>
      <c r="MLJ222" s="1201"/>
      <c r="MLK222" s="1201"/>
      <c r="MLL222" s="1201"/>
      <c r="MLM222" s="1201"/>
      <c r="MLN222" s="1201"/>
      <c r="MLO222" s="1201"/>
      <c r="MLP222" s="1201"/>
      <c r="MLQ222" s="1201"/>
      <c r="MLR222" s="1201"/>
      <c r="MLS222" s="1201"/>
      <c r="MLT222" s="1201"/>
      <c r="MLU222" s="1201"/>
      <c r="MLV222" s="1201"/>
      <c r="MLW222" s="1201"/>
      <c r="MLX222" s="1201"/>
      <c r="MLY222" s="1201"/>
      <c r="MLZ222" s="1201"/>
      <c r="MMA222" s="1201"/>
      <c r="MMB222" s="1201"/>
      <c r="MMC222" s="1201"/>
      <c r="MMD222" s="1201"/>
      <c r="MME222" s="1201"/>
      <c r="MMF222" s="1201"/>
      <c r="MMG222" s="1201"/>
      <c r="MMH222" s="1201"/>
      <c r="MMI222" s="1201"/>
      <c r="MMJ222" s="1201"/>
      <c r="MMK222" s="1201"/>
      <c r="MML222" s="1201"/>
      <c r="MMM222" s="1201"/>
      <c r="MMN222" s="1201"/>
      <c r="MMO222" s="1201"/>
      <c r="MMP222" s="1201"/>
      <c r="MMQ222" s="1201"/>
      <c r="MMR222" s="1201"/>
      <c r="MMS222" s="1201"/>
      <c r="MMT222" s="1201"/>
      <c r="MMU222" s="1201"/>
      <c r="MMV222" s="1201"/>
      <c r="MMW222" s="1201"/>
      <c r="MMX222" s="1201"/>
      <c r="MMY222" s="1201"/>
      <c r="MMZ222" s="1201"/>
      <c r="MNA222" s="1201"/>
      <c r="MNB222" s="1201"/>
      <c r="MNC222" s="1201"/>
      <c r="MND222" s="1201"/>
      <c r="MNE222" s="1201"/>
      <c r="MNF222" s="1201"/>
      <c r="MNG222" s="1201"/>
      <c r="MNH222" s="1201"/>
      <c r="MNI222" s="1201"/>
      <c r="MNJ222" s="1201"/>
      <c r="MNK222" s="1201"/>
      <c r="MNL222" s="1201"/>
      <c r="MNM222" s="1201"/>
      <c r="MNN222" s="1201"/>
      <c r="MNO222" s="1201"/>
      <c r="MNP222" s="1201"/>
      <c r="MNQ222" s="1201"/>
      <c r="MNR222" s="1201"/>
      <c r="MNS222" s="1201"/>
      <c r="MNT222" s="1201"/>
      <c r="MNU222" s="1201"/>
      <c r="MNV222" s="1201"/>
      <c r="MNW222" s="1201"/>
      <c r="MNX222" s="1201"/>
      <c r="MNY222" s="1201"/>
      <c r="MNZ222" s="1201"/>
      <c r="MOA222" s="1201"/>
      <c r="MOB222" s="1201"/>
      <c r="MOC222" s="1201"/>
      <c r="MOD222" s="1201"/>
      <c r="MOE222" s="1201"/>
      <c r="MOF222" s="1201"/>
      <c r="MOG222" s="1201"/>
      <c r="MOH222" s="1201"/>
      <c r="MOI222" s="1201"/>
      <c r="MOJ222" s="1201"/>
      <c r="MOK222" s="1201"/>
      <c r="MOL222" s="1201"/>
      <c r="MOM222" s="1201"/>
      <c r="MON222" s="1201"/>
      <c r="MOO222" s="1201"/>
      <c r="MOP222" s="1201"/>
      <c r="MOQ222" s="1201"/>
      <c r="MOR222" s="1201"/>
      <c r="MOS222" s="1201"/>
      <c r="MOT222" s="1201"/>
      <c r="MOU222" s="1201"/>
      <c r="MOV222" s="1201"/>
      <c r="MOW222" s="1201"/>
      <c r="MOX222" s="1201"/>
      <c r="MOY222" s="1201"/>
      <c r="MOZ222" s="1201"/>
      <c r="MPA222" s="1201"/>
      <c r="MPB222" s="1201"/>
      <c r="MPC222" s="1201"/>
      <c r="MPD222" s="1201"/>
      <c r="MPE222" s="1201"/>
      <c r="MPF222" s="1201"/>
      <c r="MPG222" s="1201"/>
      <c r="MPH222" s="1201"/>
      <c r="MPI222" s="1201"/>
      <c r="MPJ222" s="1201"/>
      <c r="MPK222" s="1201"/>
      <c r="MPL222" s="1201"/>
      <c r="MPM222" s="1201"/>
      <c r="MPN222" s="1201"/>
      <c r="MPO222" s="1201"/>
      <c r="MPP222" s="1201"/>
      <c r="MPQ222" s="1201"/>
      <c r="MPR222" s="1201"/>
      <c r="MPS222" s="1201"/>
      <c r="MPT222" s="1201"/>
      <c r="MPU222" s="1201"/>
      <c r="MPV222" s="1201"/>
      <c r="MPW222" s="1201"/>
      <c r="MPX222" s="1201"/>
      <c r="MPY222" s="1201"/>
      <c r="MPZ222" s="1201"/>
      <c r="MQA222" s="1201"/>
      <c r="MQB222" s="1201"/>
      <c r="MQC222" s="1201"/>
      <c r="MQD222" s="1201"/>
      <c r="MQE222" s="1201"/>
      <c r="MQF222" s="1201"/>
      <c r="MQG222" s="1201"/>
      <c r="MQH222" s="1201"/>
      <c r="MQI222" s="1201"/>
      <c r="MQJ222" s="1201"/>
      <c r="MQK222" s="1201"/>
      <c r="MQL222" s="1201"/>
      <c r="MQM222" s="1201"/>
      <c r="MQN222" s="1201"/>
      <c r="MQO222" s="1201"/>
      <c r="MQP222" s="1201"/>
      <c r="MQQ222" s="1201"/>
      <c r="MQR222" s="1201"/>
      <c r="MQS222" s="1201"/>
      <c r="MQT222" s="1201"/>
      <c r="MQU222" s="1201"/>
      <c r="MQV222" s="1201"/>
      <c r="MQW222" s="1201"/>
      <c r="MQX222" s="1201"/>
      <c r="MQY222" s="1201"/>
      <c r="MQZ222" s="1201"/>
      <c r="MRA222" s="1201"/>
      <c r="MRB222" s="1201"/>
      <c r="MRC222" s="1201"/>
      <c r="MRD222" s="1201"/>
      <c r="MRE222" s="1201"/>
      <c r="MRF222" s="1201"/>
      <c r="MRG222" s="1201"/>
      <c r="MRH222" s="1201"/>
      <c r="MRI222" s="1201"/>
      <c r="MRJ222" s="1201"/>
      <c r="MRK222" s="1201"/>
      <c r="MRL222" s="1201"/>
      <c r="MRM222" s="1201"/>
      <c r="MRN222" s="1201"/>
      <c r="MRO222" s="1201"/>
      <c r="MRP222" s="1201"/>
      <c r="MRQ222" s="1201"/>
      <c r="MRR222" s="1201"/>
      <c r="MRS222" s="1201"/>
      <c r="MRT222" s="1201"/>
      <c r="MRU222" s="1201"/>
      <c r="MRV222" s="1201"/>
      <c r="MRW222" s="1201"/>
      <c r="MRX222" s="1201"/>
      <c r="MRY222" s="1201"/>
      <c r="MRZ222" s="1201"/>
      <c r="MSA222" s="1201"/>
      <c r="MSB222" s="1201"/>
      <c r="MSC222" s="1201"/>
      <c r="MSD222" s="1201"/>
      <c r="MSE222" s="1201"/>
      <c r="MSF222" s="1201"/>
      <c r="MSG222" s="1201"/>
      <c r="MSH222" s="1201"/>
      <c r="MSI222" s="1201"/>
      <c r="MSJ222" s="1201"/>
      <c r="MSK222" s="1201"/>
      <c r="MSL222" s="1201"/>
      <c r="MSM222" s="1201"/>
      <c r="MSN222" s="1201"/>
      <c r="MSO222" s="1201"/>
      <c r="MSP222" s="1201"/>
      <c r="MSQ222" s="1201"/>
      <c r="MSR222" s="1201"/>
      <c r="MSS222" s="1201"/>
      <c r="MST222" s="1201"/>
      <c r="MSU222" s="1201"/>
      <c r="MSV222" s="1201"/>
      <c r="MSW222" s="1201"/>
      <c r="MSX222" s="1201"/>
      <c r="MSY222" s="1201"/>
      <c r="MSZ222" s="1201"/>
      <c r="MTA222" s="1201"/>
      <c r="MTB222" s="1201"/>
      <c r="MTC222" s="1201"/>
      <c r="MTD222" s="1201"/>
      <c r="MTE222" s="1201"/>
      <c r="MTF222" s="1201"/>
      <c r="MTG222" s="1201"/>
      <c r="MTH222" s="1201"/>
      <c r="MTI222" s="1201"/>
      <c r="MTJ222" s="1201"/>
      <c r="MTK222" s="1201"/>
      <c r="MTL222" s="1201"/>
      <c r="MTM222" s="1201"/>
      <c r="MTN222" s="1201"/>
      <c r="MTO222" s="1201"/>
      <c r="MTP222" s="1201"/>
      <c r="MTQ222" s="1201"/>
      <c r="MTR222" s="1201"/>
      <c r="MTS222" s="1201"/>
      <c r="MTT222" s="1201"/>
      <c r="MTU222" s="1201"/>
      <c r="MTV222" s="1201"/>
      <c r="MTW222" s="1201"/>
      <c r="MTX222" s="1201"/>
      <c r="MTY222" s="1201"/>
      <c r="MTZ222" s="1201"/>
      <c r="MUA222" s="1201"/>
      <c r="MUB222" s="1201"/>
      <c r="MUC222" s="1201"/>
      <c r="MUD222" s="1201"/>
      <c r="MUE222" s="1201"/>
      <c r="MUF222" s="1201"/>
      <c r="MUG222" s="1201"/>
      <c r="MUH222" s="1201"/>
      <c r="MUI222" s="1201"/>
      <c r="MUJ222" s="1201"/>
      <c r="MUK222" s="1201"/>
      <c r="MUL222" s="1201"/>
      <c r="MUM222" s="1201"/>
      <c r="MUN222" s="1201"/>
      <c r="MUO222" s="1201"/>
      <c r="MUP222" s="1201"/>
      <c r="MUQ222" s="1201"/>
      <c r="MUR222" s="1201"/>
      <c r="MUS222" s="1201"/>
      <c r="MUT222" s="1201"/>
      <c r="MUU222" s="1201"/>
      <c r="MUV222" s="1201"/>
      <c r="MUW222" s="1201"/>
      <c r="MUX222" s="1201"/>
      <c r="MUY222" s="1201"/>
      <c r="MUZ222" s="1201"/>
      <c r="MVA222" s="1201"/>
      <c r="MVB222" s="1201"/>
      <c r="MVC222" s="1201"/>
      <c r="MVD222" s="1201"/>
      <c r="MVE222" s="1201"/>
      <c r="MVF222" s="1201"/>
      <c r="MVG222" s="1201"/>
      <c r="MVH222" s="1201"/>
      <c r="MVI222" s="1201"/>
      <c r="MVJ222" s="1201"/>
      <c r="MVK222" s="1201"/>
      <c r="MVL222" s="1201"/>
      <c r="MVM222" s="1201"/>
      <c r="MVN222" s="1201"/>
      <c r="MVO222" s="1201"/>
      <c r="MVP222" s="1201"/>
      <c r="MVQ222" s="1201"/>
      <c r="MVR222" s="1201"/>
      <c r="MVS222" s="1201"/>
      <c r="MVT222" s="1201"/>
      <c r="MVU222" s="1201"/>
      <c r="MVV222" s="1201"/>
      <c r="MVW222" s="1201"/>
      <c r="MVX222" s="1201"/>
      <c r="MVY222" s="1201"/>
      <c r="MVZ222" s="1201"/>
      <c r="MWA222" s="1201"/>
      <c r="MWB222" s="1201"/>
      <c r="MWC222" s="1201"/>
      <c r="MWD222" s="1201"/>
      <c r="MWE222" s="1201"/>
      <c r="MWF222" s="1201"/>
      <c r="MWG222" s="1201"/>
      <c r="MWH222" s="1201"/>
      <c r="MWI222" s="1201"/>
      <c r="MWJ222" s="1201"/>
      <c r="MWK222" s="1201"/>
      <c r="MWL222" s="1201"/>
      <c r="MWM222" s="1201"/>
      <c r="MWN222" s="1201"/>
      <c r="MWO222" s="1201"/>
      <c r="MWP222" s="1201"/>
      <c r="MWQ222" s="1201"/>
      <c r="MWR222" s="1201"/>
      <c r="MWS222" s="1201"/>
      <c r="MWT222" s="1201"/>
      <c r="MWU222" s="1201"/>
      <c r="MWV222" s="1201"/>
      <c r="MWW222" s="1201"/>
      <c r="MWX222" s="1201"/>
      <c r="MWY222" s="1201"/>
      <c r="MWZ222" s="1201"/>
      <c r="MXA222" s="1201"/>
      <c r="MXB222" s="1201"/>
      <c r="MXC222" s="1201"/>
      <c r="MXD222" s="1201"/>
      <c r="MXE222" s="1201"/>
      <c r="MXF222" s="1201"/>
      <c r="MXG222" s="1201"/>
      <c r="MXH222" s="1201"/>
      <c r="MXI222" s="1201"/>
      <c r="MXJ222" s="1201"/>
      <c r="MXK222" s="1201"/>
      <c r="MXL222" s="1201"/>
      <c r="MXM222" s="1201"/>
      <c r="MXN222" s="1201"/>
      <c r="MXO222" s="1201"/>
      <c r="MXP222" s="1201"/>
      <c r="MXQ222" s="1201"/>
      <c r="MXR222" s="1201"/>
      <c r="MXS222" s="1201"/>
      <c r="MXT222" s="1201"/>
      <c r="MXU222" s="1201"/>
      <c r="MXV222" s="1201"/>
      <c r="MXW222" s="1201"/>
      <c r="MXX222" s="1201"/>
      <c r="MXY222" s="1201"/>
      <c r="MXZ222" s="1201"/>
      <c r="MYA222" s="1201"/>
      <c r="MYB222" s="1201"/>
      <c r="MYC222" s="1201"/>
      <c r="MYD222" s="1201"/>
      <c r="MYE222" s="1201"/>
      <c r="MYF222" s="1201"/>
      <c r="MYG222" s="1201"/>
      <c r="MYH222" s="1201"/>
      <c r="MYI222" s="1201"/>
      <c r="MYJ222" s="1201"/>
      <c r="MYK222" s="1201"/>
      <c r="MYL222" s="1201"/>
      <c r="MYM222" s="1201"/>
      <c r="MYN222" s="1201"/>
      <c r="MYO222" s="1201"/>
      <c r="MYP222" s="1201"/>
      <c r="MYQ222" s="1201"/>
      <c r="MYR222" s="1201"/>
      <c r="MYS222" s="1201"/>
      <c r="MYT222" s="1201"/>
      <c r="MYU222" s="1201"/>
      <c r="MYV222" s="1201"/>
      <c r="MYW222" s="1201"/>
      <c r="MYX222" s="1201"/>
      <c r="MYY222" s="1201"/>
      <c r="MYZ222" s="1201"/>
      <c r="MZA222" s="1201"/>
      <c r="MZB222" s="1201"/>
      <c r="MZC222" s="1201"/>
      <c r="MZD222" s="1201"/>
      <c r="MZE222" s="1201"/>
      <c r="MZF222" s="1201"/>
      <c r="MZG222" s="1201"/>
      <c r="MZH222" s="1201"/>
      <c r="MZI222" s="1201"/>
      <c r="MZJ222" s="1201"/>
      <c r="MZK222" s="1201"/>
      <c r="MZL222" s="1201"/>
      <c r="MZM222" s="1201"/>
      <c r="MZN222" s="1201"/>
      <c r="MZO222" s="1201"/>
      <c r="MZP222" s="1201"/>
      <c r="MZQ222" s="1201"/>
      <c r="MZR222" s="1201"/>
      <c r="MZS222" s="1201"/>
      <c r="MZT222" s="1201"/>
      <c r="MZU222" s="1201"/>
      <c r="MZV222" s="1201"/>
      <c r="MZW222" s="1201"/>
      <c r="MZX222" s="1201"/>
      <c r="MZY222" s="1201"/>
      <c r="MZZ222" s="1201"/>
      <c r="NAA222" s="1201"/>
      <c r="NAB222" s="1201"/>
      <c r="NAC222" s="1201"/>
      <c r="NAD222" s="1201"/>
      <c r="NAE222" s="1201"/>
      <c r="NAF222" s="1201"/>
      <c r="NAG222" s="1201"/>
      <c r="NAH222" s="1201"/>
      <c r="NAI222" s="1201"/>
      <c r="NAJ222" s="1201"/>
      <c r="NAK222" s="1201"/>
      <c r="NAL222" s="1201"/>
      <c r="NAM222" s="1201"/>
      <c r="NAN222" s="1201"/>
      <c r="NAO222" s="1201"/>
      <c r="NAP222" s="1201"/>
      <c r="NAQ222" s="1201"/>
      <c r="NAR222" s="1201"/>
      <c r="NAS222" s="1201"/>
      <c r="NAT222" s="1201"/>
      <c r="NAU222" s="1201"/>
      <c r="NAV222" s="1201"/>
      <c r="NAW222" s="1201"/>
      <c r="NAX222" s="1201"/>
      <c r="NAY222" s="1201"/>
      <c r="NAZ222" s="1201"/>
      <c r="NBA222" s="1201"/>
      <c r="NBB222" s="1201"/>
      <c r="NBC222" s="1201"/>
      <c r="NBD222" s="1201"/>
      <c r="NBE222" s="1201"/>
      <c r="NBF222" s="1201"/>
      <c r="NBG222" s="1201"/>
      <c r="NBH222" s="1201"/>
      <c r="NBI222" s="1201"/>
      <c r="NBJ222" s="1201"/>
      <c r="NBK222" s="1201"/>
      <c r="NBL222" s="1201"/>
      <c r="NBM222" s="1201"/>
      <c r="NBN222" s="1201"/>
      <c r="NBO222" s="1201"/>
      <c r="NBP222" s="1201"/>
      <c r="NBQ222" s="1201"/>
      <c r="NBR222" s="1201"/>
      <c r="NBS222" s="1201"/>
      <c r="NBT222" s="1201"/>
      <c r="NBU222" s="1201"/>
      <c r="NBV222" s="1201"/>
      <c r="NBW222" s="1201"/>
      <c r="NBX222" s="1201"/>
      <c r="NBY222" s="1201"/>
      <c r="NBZ222" s="1201"/>
      <c r="NCA222" s="1201"/>
      <c r="NCB222" s="1201"/>
      <c r="NCC222" s="1201"/>
      <c r="NCD222" s="1201"/>
      <c r="NCE222" s="1201"/>
      <c r="NCF222" s="1201"/>
      <c r="NCG222" s="1201"/>
      <c r="NCH222" s="1201"/>
      <c r="NCI222" s="1201"/>
      <c r="NCJ222" s="1201"/>
      <c r="NCK222" s="1201"/>
      <c r="NCL222" s="1201"/>
      <c r="NCM222" s="1201"/>
      <c r="NCN222" s="1201"/>
      <c r="NCO222" s="1201"/>
      <c r="NCP222" s="1201"/>
      <c r="NCQ222" s="1201"/>
      <c r="NCR222" s="1201"/>
      <c r="NCS222" s="1201"/>
      <c r="NCT222" s="1201"/>
      <c r="NCU222" s="1201"/>
      <c r="NCV222" s="1201"/>
      <c r="NCW222" s="1201"/>
      <c r="NCX222" s="1201"/>
      <c r="NCY222" s="1201"/>
      <c r="NCZ222" s="1201"/>
      <c r="NDA222" s="1201"/>
      <c r="NDB222" s="1201"/>
      <c r="NDC222" s="1201"/>
      <c r="NDD222" s="1201"/>
      <c r="NDE222" s="1201"/>
      <c r="NDF222" s="1201"/>
      <c r="NDG222" s="1201"/>
      <c r="NDH222" s="1201"/>
      <c r="NDI222" s="1201"/>
      <c r="NDJ222" s="1201"/>
      <c r="NDK222" s="1201"/>
      <c r="NDL222" s="1201"/>
      <c r="NDM222" s="1201"/>
      <c r="NDN222" s="1201"/>
      <c r="NDO222" s="1201"/>
      <c r="NDP222" s="1201"/>
      <c r="NDQ222" s="1201"/>
      <c r="NDR222" s="1201"/>
      <c r="NDS222" s="1201"/>
      <c r="NDT222" s="1201"/>
      <c r="NDU222" s="1201"/>
      <c r="NDV222" s="1201"/>
      <c r="NDW222" s="1201"/>
      <c r="NDX222" s="1201"/>
      <c r="NDY222" s="1201"/>
      <c r="NDZ222" s="1201"/>
      <c r="NEA222" s="1201"/>
      <c r="NEB222" s="1201"/>
      <c r="NEC222" s="1201"/>
      <c r="NED222" s="1201"/>
      <c r="NEE222" s="1201"/>
      <c r="NEF222" s="1201"/>
      <c r="NEG222" s="1201"/>
      <c r="NEH222" s="1201"/>
      <c r="NEI222" s="1201"/>
      <c r="NEJ222" s="1201"/>
      <c r="NEK222" s="1201"/>
      <c r="NEL222" s="1201"/>
      <c r="NEM222" s="1201"/>
      <c r="NEN222" s="1201"/>
      <c r="NEO222" s="1201"/>
      <c r="NEP222" s="1201"/>
      <c r="NEQ222" s="1201"/>
      <c r="NER222" s="1201"/>
      <c r="NES222" s="1201"/>
      <c r="NET222" s="1201"/>
      <c r="NEU222" s="1201"/>
      <c r="NEV222" s="1201"/>
      <c r="NEW222" s="1201"/>
      <c r="NEX222" s="1201"/>
      <c r="NEY222" s="1201"/>
      <c r="NEZ222" s="1201"/>
      <c r="NFA222" s="1201"/>
      <c r="NFB222" s="1201"/>
      <c r="NFC222" s="1201"/>
      <c r="NFD222" s="1201"/>
      <c r="NFE222" s="1201"/>
      <c r="NFF222" s="1201"/>
      <c r="NFG222" s="1201"/>
      <c r="NFH222" s="1201"/>
      <c r="NFI222" s="1201"/>
      <c r="NFJ222" s="1201"/>
      <c r="NFK222" s="1201"/>
      <c r="NFL222" s="1201"/>
      <c r="NFM222" s="1201"/>
      <c r="NFN222" s="1201"/>
      <c r="NFO222" s="1201"/>
      <c r="NFP222" s="1201"/>
      <c r="NFQ222" s="1201"/>
      <c r="NFR222" s="1201"/>
      <c r="NFS222" s="1201"/>
      <c r="NFT222" s="1201"/>
      <c r="NFU222" s="1201"/>
      <c r="NFV222" s="1201"/>
      <c r="NFW222" s="1201"/>
      <c r="NFX222" s="1201"/>
      <c r="NFY222" s="1201"/>
      <c r="NFZ222" s="1201"/>
      <c r="NGA222" s="1201"/>
      <c r="NGB222" s="1201"/>
      <c r="NGC222" s="1201"/>
      <c r="NGD222" s="1201"/>
      <c r="NGE222" s="1201"/>
      <c r="NGF222" s="1201"/>
      <c r="NGG222" s="1201"/>
      <c r="NGH222" s="1201"/>
      <c r="NGI222" s="1201"/>
      <c r="NGJ222" s="1201"/>
      <c r="NGK222" s="1201"/>
      <c r="NGL222" s="1201"/>
      <c r="NGM222" s="1201"/>
      <c r="NGN222" s="1201"/>
      <c r="NGO222" s="1201"/>
      <c r="NGP222" s="1201"/>
      <c r="NGQ222" s="1201"/>
      <c r="NGR222" s="1201"/>
      <c r="NGS222" s="1201"/>
      <c r="NGT222" s="1201"/>
      <c r="NGU222" s="1201"/>
      <c r="NGV222" s="1201"/>
      <c r="NGW222" s="1201"/>
      <c r="NGX222" s="1201"/>
      <c r="NGY222" s="1201"/>
      <c r="NGZ222" s="1201"/>
      <c r="NHA222" s="1201"/>
      <c r="NHB222" s="1201"/>
      <c r="NHC222" s="1201"/>
      <c r="NHD222" s="1201"/>
      <c r="NHE222" s="1201"/>
      <c r="NHF222" s="1201"/>
      <c r="NHG222" s="1201"/>
      <c r="NHH222" s="1201"/>
      <c r="NHI222" s="1201"/>
      <c r="NHJ222" s="1201"/>
      <c r="NHK222" s="1201"/>
      <c r="NHL222" s="1201"/>
      <c r="NHM222" s="1201"/>
      <c r="NHN222" s="1201"/>
      <c r="NHO222" s="1201"/>
      <c r="NHP222" s="1201"/>
      <c r="NHQ222" s="1201"/>
      <c r="NHR222" s="1201"/>
      <c r="NHS222" s="1201"/>
      <c r="NHT222" s="1201"/>
      <c r="NHU222" s="1201"/>
      <c r="NHV222" s="1201"/>
      <c r="NHW222" s="1201"/>
      <c r="NHX222" s="1201"/>
      <c r="NHY222" s="1201"/>
      <c r="NHZ222" s="1201"/>
      <c r="NIA222" s="1201"/>
      <c r="NIB222" s="1201"/>
      <c r="NIC222" s="1201"/>
      <c r="NID222" s="1201"/>
      <c r="NIE222" s="1201"/>
      <c r="NIF222" s="1201"/>
      <c r="NIG222" s="1201"/>
      <c r="NIH222" s="1201"/>
      <c r="NII222" s="1201"/>
      <c r="NIJ222" s="1201"/>
      <c r="NIK222" s="1201"/>
      <c r="NIL222" s="1201"/>
      <c r="NIM222" s="1201"/>
      <c r="NIN222" s="1201"/>
      <c r="NIO222" s="1201"/>
      <c r="NIP222" s="1201"/>
      <c r="NIQ222" s="1201"/>
      <c r="NIR222" s="1201"/>
      <c r="NIS222" s="1201"/>
      <c r="NIT222" s="1201"/>
      <c r="NIU222" s="1201"/>
      <c r="NIV222" s="1201"/>
      <c r="NIW222" s="1201"/>
      <c r="NIX222" s="1201"/>
      <c r="NIY222" s="1201"/>
      <c r="NIZ222" s="1201"/>
      <c r="NJA222" s="1201"/>
      <c r="NJB222" s="1201"/>
      <c r="NJC222" s="1201"/>
      <c r="NJD222" s="1201"/>
      <c r="NJE222" s="1201"/>
      <c r="NJF222" s="1201"/>
      <c r="NJG222" s="1201"/>
      <c r="NJH222" s="1201"/>
      <c r="NJI222" s="1201"/>
      <c r="NJJ222" s="1201"/>
      <c r="NJK222" s="1201"/>
      <c r="NJL222" s="1201"/>
      <c r="NJM222" s="1201"/>
      <c r="NJN222" s="1201"/>
      <c r="NJO222" s="1201"/>
      <c r="NJP222" s="1201"/>
      <c r="NJQ222" s="1201"/>
      <c r="NJR222" s="1201"/>
      <c r="NJS222" s="1201"/>
      <c r="NJT222" s="1201"/>
      <c r="NJU222" s="1201"/>
      <c r="NJV222" s="1201"/>
      <c r="NJW222" s="1201"/>
      <c r="NJX222" s="1201"/>
      <c r="NJY222" s="1201"/>
      <c r="NJZ222" s="1201"/>
      <c r="NKA222" s="1201"/>
      <c r="NKB222" s="1201"/>
      <c r="NKC222" s="1201"/>
      <c r="NKD222" s="1201"/>
      <c r="NKE222" s="1201"/>
      <c r="NKF222" s="1201"/>
      <c r="NKG222" s="1201"/>
      <c r="NKH222" s="1201"/>
      <c r="NKI222" s="1201"/>
      <c r="NKJ222" s="1201"/>
      <c r="NKK222" s="1201"/>
      <c r="NKL222" s="1201"/>
      <c r="NKM222" s="1201"/>
      <c r="NKN222" s="1201"/>
      <c r="NKO222" s="1201"/>
      <c r="NKP222" s="1201"/>
      <c r="NKQ222" s="1201"/>
      <c r="NKR222" s="1201"/>
      <c r="NKS222" s="1201"/>
      <c r="NKT222" s="1201"/>
      <c r="NKU222" s="1201"/>
      <c r="NKV222" s="1201"/>
      <c r="NKW222" s="1201"/>
      <c r="NKX222" s="1201"/>
      <c r="NKY222" s="1201"/>
      <c r="NKZ222" s="1201"/>
      <c r="NLA222" s="1201"/>
      <c r="NLB222" s="1201"/>
      <c r="NLC222" s="1201"/>
      <c r="NLD222" s="1201"/>
      <c r="NLE222" s="1201"/>
      <c r="NLF222" s="1201"/>
      <c r="NLG222" s="1201"/>
      <c r="NLH222" s="1201"/>
      <c r="NLI222" s="1201"/>
      <c r="NLJ222" s="1201"/>
      <c r="NLK222" s="1201"/>
      <c r="NLL222" s="1201"/>
      <c r="NLM222" s="1201"/>
      <c r="NLN222" s="1201"/>
      <c r="NLO222" s="1201"/>
      <c r="NLP222" s="1201"/>
      <c r="NLQ222" s="1201"/>
      <c r="NLR222" s="1201"/>
      <c r="NLS222" s="1201"/>
      <c r="NLT222" s="1201"/>
      <c r="NLU222" s="1201"/>
      <c r="NLV222" s="1201"/>
      <c r="NLW222" s="1201"/>
      <c r="NLX222" s="1201"/>
      <c r="NLY222" s="1201"/>
      <c r="NLZ222" s="1201"/>
      <c r="NMA222" s="1201"/>
      <c r="NMB222" s="1201"/>
      <c r="NMC222" s="1201"/>
      <c r="NMD222" s="1201"/>
      <c r="NME222" s="1201"/>
      <c r="NMF222" s="1201"/>
      <c r="NMG222" s="1201"/>
      <c r="NMH222" s="1201"/>
      <c r="NMI222" s="1201"/>
      <c r="NMJ222" s="1201"/>
      <c r="NMK222" s="1201"/>
      <c r="NML222" s="1201"/>
      <c r="NMM222" s="1201"/>
      <c r="NMN222" s="1201"/>
      <c r="NMO222" s="1201"/>
      <c r="NMP222" s="1201"/>
      <c r="NMQ222" s="1201"/>
      <c r="NMR222" s="1201"/>
      <c r="NMS222" s="1201"/>
      <c r="NMT222" s="1201"/>
      <c r="NMU222" s="1201"/>
      <c r="NMV222" s="1201"/>
      <c r="NMW222" s="1201"/>
      <c r="NMX222" s="1201"/>
      <c r="NMY222" s="1201"/>
      <c r="NMZ222" s="1201"/>
      <c r="NNA222" s="1201"/>
      <c r="NNB222" s="1201"/>
      <c r="NNC222" s="1201"/>
      <c r="NND222" s="1201"/>
      <c r="NNE222" s="1201"/>
      <c r="NNF222" s="1201"/>
      <c r="NNG222" s="1201"/>
      <c r="NNH222" s="1201"/>
      <c r="NNI222" s="1201"/>
      <c r="NNJ222" s="1201"/>
      <c r="NNK222" s="1201"/>
      <c r="NNL222" s="1201"/>
      <c r="NNM222" s="1201"/>
      <c r="NNN222" s="1201"/>
      <c r="NNO222" s="1201"/>
      <c r="NNP222" s="1201"/>
      <c r="NNQ222" s="1201"/>
      <c r="NNR222" s="1201"/>
      <c r="NNS222" s="1201"/>
      <c r="NNT222" s="1201"/>
      <c r="NNU222" s="1201"/>
      <c r="NNV222" s="1201"/>
      <c r="NNW222" s="1201"/>
      <c r="NNX222" s="1201"/>
      <c r="NNY222" s="1201"/>
      <c r="NNZ222" s="1201"/>
      <c r="NOA222" s="1201"/>
      <c r="NOB222" s="1201"/>
      <c r="NOC222" s="1201"/>
      <c r="NOD222" s="1201"/>
      <c r="NOE222" s="1201"/>
      <c r="NOF222" s="1201"/>
      <c r="NOG222" s="1201"/>
      <c r="NOH222" s="1201"/>
      <c r="NOI222" s="1201"/>
      <c r="NOJ222" s="1201"/>
      <c r="NOK222" s="1201"/>
      <c r="NOL222" s="1201"/>
      <c r="NOM222" s="1201"/>
      <c r="NON222" s="1201"/>
      <c r="NOO222" s="1201"/>
      <c r="NOP222" s="1201"/>
      <c r="NOQ222" s="1201"/>
      <c r="NOR222" s="1201"/>
      <c r="NOS222" s="1201"/>
      <c r="NOT222" s="1201"/>
      <c r="NOU222" s="1201"/>
      <c r="NOV222" s="1201"/>
      <c r="NOW222" s="1201"/>
      <c r="NOX222" s="1201"/>
      <c r="NOY222" s="1201"/>
      <c r="NOZ222" s="1201"/>
      <c r="NPA222" s="1201"/>
      <c r="NPB222" s="1201"/>
      <c r="NPC222" s="1201"/>
      <c r="NPD222" s="1201"/>
      <c r="NPE222" s="1201"/>
      <c r="NPF222" s="1201"/>
      <c r="NPG222" s="1201"/>
      <c r="NPH222" s="1201"/>
      <c r="NPI222" s="1201"/>
      <c r="NPJ222" s="1201"/>
      <c r="NPK222" s="1201"/>
      <c r="NPL222" s="1201"/>
      <c r="NPM222" s="1201"/>
      <c r="NPN222" s="1201"/>
      <c r="NPO222" s="1201"/>
      <c r="NPP222" s="1201"/>
      <c r="NPQ222" s="1201"/>
      <c r="NPR222" s="1201"/>
      <c r="NPS222" s="1201"/>
      <c r="NPT222" s="1201"/>
      <c r="NPU222" s="1201"/>
      <c r="NPV222" s="1201"/>
      <c r="NPW222" s="1201"/>
      <c r="NPX222" s="1201"/>
      <c r="NPY222" s="1201"/>
      <c r="NPZ222" s="1201"/>
      <c r="NQA222" s="1201"/>
      <c r="NQB222" s="1201"/>
      <c r="NQC222" s="1201"/>
      <c r="NQD222" s="1201"/>
      <c r="NQE222" s="1201"/>
      <c r="NQF222" s="1201"/>
      <c r="NQG222" s="1201"/>
      <c r="NQH222" s="1201"/>
      <c r="NQI222" s="1201"/>
      <c r="NQJ222" s="1201"/>
      <c r="NQK222" s="1201"/>
      <c r="NQL222" s="1201"/>
      <c r="NQM222" s="1201"/>
      <c r="NQN222" s="1201"/>
      <c r="NQO222" s="1201"/>
      <c r="NQP222" s="1201"/>
      <c r="NQQ222" s="1201"/>
      <c r="NQR222" s="1201"/>
      <c r="NQS222" s="1201"/>
      <c r="NQT222" s="1201"/>
      <c r="NQU222" s="1201"/>
      <c r="NQV222" s="1201"/>
      <c r="NQW222" s="1201"/>
      <c r="NQX222" s="1201"/>
      <c r="NQY222" s="1201"/>
      <c r="NQZ222" s="1201"/>
      <c r="NRA222" s="1201"/>
      <c r="NRB222" s="1201"/>
      <c r="NRC222" s="1201"/>
      <c r="NRD222" s="1201"/>
      <c r="NRE222" s="1201"/>
      <c r="NRF222" s="1201"/>
      <c r="NRG222" s="1201"/>
      <c r="NRH222" s="1201"/>
      <c r="NRI222" s="1201"/>
      <c r="NRJ222" s="1201"/>
      <c r="NRK222" s="1201"/>
      <c r="NRL222" s="1201"/>
      <c r="NRM222" s="1201"/>
      <c r="NRN222" s="1201"/>
      <c r="NRO222" s="1201"/>
      <c r="NRP222" s="1201"/>
      <c r="NRQ222" s="1201"/>
      <c r="NRR222" s="1201"/>
      <c r="NRS222" s="1201"/>
      <c r="NRT222" s="1201"/>
      <c r="NRU222" s="1201"/>
      <c r="NRV222" s="1201"/>
      <c r="NRW222" s="1201"/>
      <c r="NRX222" s="1201"/>
      <c r="NRY222" s="1201"/>
      <c r="NRZ222" s="1201"/>
      <c r="NSA222" s="1201"/>
      <c r="NSB222" s="1201"/>
      <c r="NSC222" s="1201"/>
      <c r="NSD222" s="1201"/>
      <c r="NSE222" s="1201"/>
      <c r="NSF222" s="1201"/>
      <c r="NSG222" s="1201"/>
      <c r="NSH222" s="1201"/>
      <c r="NSI222" s="1201"/>
      <c r="NSJ222" s="1201"/>
      <c r="NSK222" s="1201"/>
      <c r="NSL222" s="1201"/>
      <c r="NSM222" s="1201"/>
      <c r="NSN222" s="1201"/>
      <c r="NSO222" s="1201"/>
      <c r="NSP222" s="1201"/>
      <c r="NSQ222" s="1201"/>
      <c r="NSR222" s="1201"/>
      <c r="NSS222" s="1201"/>
      <c r="NST222" s="1201"/>
      <c r="NSU222" s="1201"/>
      <c r="NSV222" s="1201"/>
      <c r="NSW222" s="1201"/>
      <c r="NSX222" s="1201"/>
      <c r="NSY222" s="1201"/>
      <c r="NSZ222" s="1201"/>
      <c r="NTA222" s="1201"/>
      <c r="NTB222" s="1201"/>
      <c r="NTC222" s="1201"/>
      <c r="NTD222" s="1201"/>
      <c r="NTE222" s="1201"/>
      <c r="NTF222" s="1201"/>
      <c r="NTG222" s="1201"/>
      <c r="NTH222" s="1201"/>
      <c r="NTI222" s="1201"/>
      <c r="NTJ222" s="1201"/>
      <c r="NTK222" s="1201"/>
      <c r="NTL222" s="1201"/>
      <c r="NTM222" s="1201"/>
      <c r="NTN222" s="1201"/>
      <c r="NTO222" s="1201"/>
      <c r="NTP222" s="1201"/>
      <c r="NTQ222" s="1201"/>
      <c r="NTR222" s="1201"/>
      <c r="NTS222" s="1201"/>
      <c r="NTT222" s="1201"/>
      <c r="NTU222" s="1201"/>
      <c r="NTV222" s="1201"/>
      <c r="NTW222" s="1201"/>
      <c r="NTX222" s="1201"/>
      <c r="NTY222" s="1201"/>
      <c r="NTZ222" s="1201"/>
      <c r="NUA222" s="1201"/>
      <c r="NUB222" s="1201"/>
      <c r="NUC222" s="1201"/>
      <c r="NUD222" s="1201"/>
      <c r="NUE222" s="1201"/>
      <c r="NUF222" s="1201"/>
      <c r="NUG222" s="1201"/>
      <c r="NUH222" s="1201"/>
      <c r="NUI222" s="1201"/>
      <c r="NUJ222" s="1201"/>
      <c r="NUK222" s="1201"/>
      <c r="NUL222" s="1201"/>
      <c r="NUM222" s="1201"/>
      <c r="NUN222" s="1201"/>
      <c r="NUO222" s="1201"/>
      <c r="NUP222" s="1201"/>
      <c r="NUQ222" s="1201"/>
      <c r="NUR222" s="1201"/>
      <c r="NUS222" s="1201"/>
      <c r="NUT222" s="1201"/>
      <c r="NUU222" s="1201"/>
      <c r="NUV222" s="1201"/>
      <c r="NUW222" s="1201"/>
      <c r="NUX222" s="1201"/>
      <c r="NUY222" s="1201"/>
      <c r="NUZ222" s="1201"/>
      <c r="NVA222" s="1201"/>
      <c r="NVB222" s="1201"/>
      <c r="NVC222" s="1201"/>
      <c r="NVD222" s="1201"/>
      <c r="NVE222" s="1201"/>
      <c r="NVF222" s="1201"/>
      <c r="NVG222" s="1201"/>
      <c r="NVH222" s="1201"/>
      <c r="NVI222" s="1201"/>
      <c r="NVJ222" s="1201"/>
      <c r="NVK222" s="1201"/>
      <c r="NVL222" s="1201"/>
      <c r="NVM222" s="1201"/>
      <c r="NVN222" s="1201"/>
      <c r="NVO222" s="1201"/>
      <c r="NVP222" s="1201"/>
      <c r="NVQ222" s="1201"/>
      <c r="NVR222" s="1201"/>
      <c r="NVS222" s="1201"/>
      <c r="NVT222" s="1201"/>
      <c r="NVU222" s="1201"/>
      <c r="NVV222" s="1201"/>
      <c r="NVW222" s="1201"/>
      <c r="NVX222" s="1201"/>
      <c r="NVY222" s="1201"/>
      <c r="NVZ222" s="1201"/>
      <c r="NWA222" s="1201"/>
      <c r="NWB222" s="1201"/>
      <c r="NWC222" s="1201"/>
      <c r="NWD222" s="1201"/>
      <c r="NWE222" s="1201"/>
      <c r="NWF222" s="1201"/>
      <c r="NWG222" s="1201"/>
      <c r="NWH222" s="1201"/>
      <c r="NWI222" s="1201"/>
      <c r="NWJ222" s="1201"/>
      <c r="NWK222" s="1201"/>
      <c r="NWL222" s="1201"/>
      <c r="NWM222" s="1201"/>
      <c r="NWN222" s="1201"/>
      <c r="NWO222" s="1201"/>
      <c r="NWP222" s="1201"/>
      <c r="NWQ222" s="1201"/>
      <c r="NWR222" s="1201"/>
      <c r="NWS222" s="1201"/>
      <c r="NWT222" s="1201"/>
      <c r="NWU222" s="1201"/>
      <c r="NWV222" s="1201"/>
      <c r="NWW222" s="1201"/>
      <c r="NWX222" s="1201"/>
      <c r="NWY222" s="1201"/>
      <c r="NWZ222" s="1201"/>
      <c r="NXA222" s="1201"/>
      <c r="NXB222" s="1201"/>
      <c r="NXC222" s="1201"/>
      <c r="NXD222" s="1201"/>
      <c r="NXE222" s="1201"/>
      <c r="NXF222" s="1201"/>
      <c r="NXG222" s="1201"/>
      <c r="NXH222" s="1201"/>
      <c r="NXI222" s="1201"/>
      <c r="NXJ222" s="1201"/>
      <c r="NXK222" s="1201"/>
      <c r="NXL222" s="1201"/>
      <c r="NXM222" s="1201"/>
      <c r="NXN222" s="1201"/>
      <c r="NXO222" s="1201"/>
      <c r="NXP222" s="1201"/>
      <c r="NXQ222" s="1201"/>
      <c r="NXR222" s="1201"/>
      <c r="NXS222" s="1201"/>
      <c r="NXT222" s="1201"/>
      <c r="NXU222" s="1201"/>
      <c r="NXV222" s="1201"/>
      <c r="NXW222" s="1201"/>
      <c r="NXX222" s="1201"/>
      <c r="NXY222" s="1201"/>
      <c r="NXZ222" s="1201"/>
      <c r="NYA222" s="1201"/>
      <c r="NYB222" s="1201"/>
      <c r="NYC222" s="1201"/>
      <c r="NYD222" s="1201"/>
      <c r="NYE222" s="1201"/>
      <c r="NYF222" s="1201"/>
      <c r="NYG222" s="1201"/>
      <c r="NYH222" s="1201"/>
      <c r="NYI222" s="1201"/>
      <c r="NYJ222" s="1201"/>
      <c r="NYK222" s="1201"/>
      <c r="NYL222" s="1201"/>
      <c r="NYM222" s="1201"/>
      <c r="NYN222" s="1201"/>
      <c r="NYO222" s="1201"/>
      <c r="NYP222" s="1201"/>
      <c r="NYQ222" s="1201"/>
      <c r="NYR222" s="1201"/>
      <c r="NYS222" s="1201"/>
      <c r="NYT222" s="1201"/>
      <c r="NYU222" s="1201"/>
      <c r="NYV222" s="1201"/>
      <c r="NYW222" s="1201"/>
      <c r="NYX222" s="1201"/>
      <c r="NYY222" s="1201"/>
      <c r="NYZ222" s="1201"/>
      <c r="NZA222" s="1201"/>
      <c r="NZB222" s="1201"/>
      <c r="NZC222" s="1201"/>
      <c r="NZD222" s="1201"/>
      <c r="NZE222" s="1201"/>
      <c r="NZF222" s="1201"/>
      <c r="NZG222" s="1201"/>
      <c r="NZH222" s="1201"/>
      <c r="NZI222" s="1201"/>
      <c r="NZJ222" s="1201"/>
      <c r="NZK222" s="1201"/>
      <c r="NZL222" s="1201"/>
      <c r="NZM222" s="1201"/>
      <c r="NZN222" s="1201"/>
      <c r="NZO222" s="1201"/>
      <c r="NZP222" s="1201"/>
      <c r="NZQ222" s="1201"/>
      <c r="NZR222" s="1201"/>
      <c r="NZS222" s="1201"/>
      <c r="NZT222" s="1201"/>
      <c r="NZU222" s="1201"/>
      <c r="NZV222" s="1201"/>
      <c r="NZW222" s="1201"/>
      <c r="NZX222" s="1201"/>
      <c r="NZY222" s="1201"/>
      <c r="NZZ222" s="1201"/>
      <c r="OAA222" s="1201"/>
      <c r="OAB222" s="1201"/>
      <c r="OAC222" s="1201"/>
      <c r="OAD222" s="1201"/>
      <c r="OAE222" s="1201"/>
      <c r="OAF222" s="1201"/>
      <c r="OAG222" s="1201"/>
      <c r="OAH222" s="1201"/>
      <c r="OAI222" s="1201"/>
      <c r="OAJ222" s="1201"/>
      <c r="OAK222" s="1201"/>
      <c r="OAL222" s="1201"/>
      <c r="OAM222" s="1201"/>
      <c r="OAN222" s="1201"/>
      <c r="OAO222" s="1201"/>
      <c r="OAP222" s="1201"/>
      <c r="OAQ222" s="1201"/>
      <c r="OAR222" s="1201"/>
      <c r="OAS222" s="1201"/>
      <c r="OAT222" s="1201"/>
      <c r="OAU222" s="1201"/>
      <c r="OAV222" s="1201"/>
      <c r="OAW222" s="1201"/>
      <c r="OAX222" s="1201"/>
      <c r="OAY222" s="1201"/>
      <c r="OAZ222" s="1201"/>
      <c r="OBA222" s="1201"/>
      <c r="OBB222" s="1201"/>
      <c r="OBC222" s="1201"/>
      <c r="OBD222" s="1201"/>
      <c r="OBE222" s="1201"/>
      <c r="OBF222" s="1201"/>
      <c r="OBG222" s="1201"/>
      <c r="OBH222" s="1201"/>
      <c r="OBI222" s="1201"/>
      <c r="OBJ222" s="1201"/>
      <c r="OBK222" s="1201"/>
      <c r="OBL222" s="1201"/>
      <c r="OBM222" s="1201"/>
      <c r="OBN222" s="1201"/>
      <c r="OBO222" s="1201"/>
      <c r="OBP222" s="1201"/>
      <c r="OBQ222" s="1201"/>
      <c r="OBR222" s="1201"/>
      <c r="OBS222" s="1201"/>
      <c r="OBT222" s="1201"/>
      <c r="OBU222" s="1201"/>
      <c r="OBV222" s="1201"/>
      <c r="OBW222" s="1201"/>
      <c r="OBX222" s="1201"/>
      <c r="OBY222" s="1201"/>
      <c r="OBZ222" s="1201"/>
      <c r="OCA222" s="1201"/>
      <c r="OCB222" s="1201"/>
      <c r="OCC222" s="1201"/>
      <c r="OCD222" s="1201"/>
      <c r="OCE222" s="1201"/>
      <c r="OCF222" s="1201"/>
      <c r="OCG222" s="1201"/>
      <c r="OCH222" s="1201"/>
      <c r="OCI222" s="1201"/>
      <c r="OCJ222" s="1201"/>
      <c r="OCK222" s="1201"/>
      <c r="OCL222" s="1201"/>
      <c r="OCM222" s="1201"/>
      <c r="OCN222" s="1201"/>
      <c r="OCO222" s="1201"/>
      <c r="OCP222" s="1201"/>
      <c r="OCQ222" s="1201"/>
      <c r="OCR222" s="1201"/>
      <c r="OCS222" s="1201"/>
      <c r="OCT222" s="1201"/>
      <c r="OCU222" s="1201"/>
      <c r="OCV222" s="1201"/>
      <c r="OCW222" s="1201"/>
      <c r="OCX222" s="1201"/>
      <c r="OCY222" s="1201"/>
      <c r="OCZ222" s="1201"/>
      <c r="ODA222" s="1201"/>
      <c r="ODB222" s="1201"/>
      <c r="ODC222" s="1201"/>
      <c r="ODD222" s="1201"/>
      <c r="ODE222" s="1201"/>
      <c r="ODF222" s="1201"/>
      <c r="ODG222" s="1201"/>
      <c r="ODH222" s="1201"/>
      <c r="ODI222" s="1201"/>
      <c r="ODJ222" s="1201"/>
      <c r="ODK222" s="1201"/>
      <c r="ODL222" s="1201"/>
      <c r="ODM222" s="1201"/>
      <c r="ODN222" s="1201"/>
      <c r="ODO222" s="1201"/>
      <c r="ODP222" s="1201"/>
      <c r="ODQ222" s="1201"/>
      <c r="ODR222" s="1201"/>
      <c r="ODS222" s="1201"/>
      <c r="ODT222" s="1201"/>
      <c r="ODU222" s="1201"/>
      <c r="ODV222" s="1201"/>
      <c r="ODW222" s="1201"/>
      <c r="ODX222" s="1201"/>
      <c r="ODY222" s="1201"/>
      <c r="ODZ222" s="1201"/>
      <c r="OEA222" s="1201"/>
      <c r="OEB222" s="1201"/>
      <c r="OEC222" s="1201"/>
      <c r="OED222" s="1201"/>
      <c r="OEE222" s="1201"/>
      <c r="OEF222" s="1201"/>
      <c r="OEG222" s="1201"/>
      <c r="OEH222" s="1201"/>
      <c r="OEI222" s="1201"/>
      <c r="OEJ222" s="1201"/>
      <c r="OEK222" s="1201"/>
      <c r="OEL222" s="1201"/>
      <c r="OEM222" s="1201"/>
      <c r="OEN222" s="1201"/>
      <c r="OEO222" s="1201"/>
      <c r="OEP222" s="1201"/>
      <c r="OEQ222" s="1201"/>
      <c r="OER222" s="1201"/>
      <c r="OES222" s="1201"/>
      <c r="OET222" s="1201"/>
      <c r="OEU222" s="1201"/>
      <c r="OEV222" s="1201"/>
      <c r="OEW222" s="1201"/>
      <c r="OEX222" s="1201"/>
      <c r="OEY222" s="1201"/>
      <c r="OEZ222" s="1201"/>
      <c r="OFA222" s="1201"/>
      <c r="OFB222" s="1201"/>
      <c r="OFC222" s="1201"/>
      <c r="OFD222" s="1201"/>
      <c r="OFE222" s="1201"/>
      <c r="OFF222" s="1201"/>
      <c r="OFG222" s="1201"/>
      <c r="OFH222" s="1201"/>
      <c r="OFI222" s="1201"/>
      <c r="OFJ222" s="1201"/>
      <c r="OFK222" s="1201"/>
      <c r="OFL222" s="1201"/>
      <c r="OFM222" s="1201"/>
      <c r="OFN222" s="1201"/>
      <c r="OFO222" s="1201"/>
      <c r="OFP222" s="1201"/>
      <c r="OFQ222" s="1201"/>
      <c r="OFR222" s="1201"/>
      <c r="OFS222" s="1201"/>
      <c r="OFT222" s="1201"/>
      <c r="OFU222" s="1201"/>
      <c r="OFV222" s="1201"/>
      <c r="OFW222" s="1201"/>
      <c r="OFX222" s="1201"/>
      <c r="OFY222" s="1201"/>
      <c r="OFZ222" s="1201"/>
      <c r="OGA222" s="1201"/>
      <c r="OGB222" s="1201"/>
      <c r="OGC222" s="1201"/>
      <c r="OGD222" s="1201"/>
      <c r="OGE222" s="1201"/>
      <c r="OGF222" s="1201"/>
      <c r="OGG222" s="1201"/>
      <c r="OGH222" s="1201"/>
      <c r="OGI222" s="1201"/>
      <c r="OGJ222" s="1201"/>
      <c r="OGK222" s="1201"/>
      <c r="OGL222" s="1201"/>
      <c r="OGM222" s="1201"/>
      <c r="OGN222" s="1201"/>
      <c r="OGO222" s="1201"/>
      <c r="OGP222" s="1201"/>
      <c r="OGQ222" s="1201"/>
      <c r="OGR222" s="1201"/>
      <c r="OGS222" s="1201"/>
      <c r="OGT222" s="1201"/>
      <c r="OGU222" s="1201"/>
      <c r="OGV222" s="1201"/>
      <c r="OGW222" s="1201"/>
      <c r="OGX222" s="1201"/>
      <c r="OGY222" s="1201"/>
      <c r="OGZ222" s="1201"/>
      <c r="OHA222" s="1201"/>
      <c r="OHB222" s="1201"/>
      <c r="OHC222" s="1201"/>
      <c r="OHD222" s="1201"/>
      <c r="OHE222" s="1201"/>
      <c r="OHF222" s="1201"/>
      <c r="OHG222" s="1201"/>
      <c r="OHH222" s="1201"/>
      <c r="OHI222" s="1201"/>
      <c r="OHJ222" s="1201"/>
      <c r="OHK222" s="1201"/>
      <c r="OHL222" s="1201"/>
      <c r="OHM222" s="1201"/>
      <c r="OHN222" s="1201"/>
      <c r="OHO222" s="1201"/>
      <c r="OHP222" s="1201"/>
      <c r="OHQ222" s="1201"/>
      <c r="OHR222" s="1201"/>
      <c r="OHS222" s="1201"/>
      <c r="OHT222" s="1201"/>
      <c r="OHU222" s="1201"/>
      <c r="OHV222" s="1201"/>
      <c r="OHW222" s="1201"/>
      <c r="OHX222" s="1201"/>
      <c r="OHY222" s="1201"/>
      <c r="OHZ222" s="1201"/>
      <c r="OIA222" s="1201"/>
      <c r="OIB222" s="1201"/>
      <c r="OIC222" s="1201"/>
      <c r="OID222" s="1201"/>
      <c r="OIE222" s="1201"/>
      <c r="OIF222" s="1201"/>
      <c r="OIG222" s="1201"/>
      <c r="OIH222" s="1201"/>
      <c r="OII222" s="1201"/>
      <c r="OIJ222" s="1201"/>
      <c r="OIK222" s="1201"/>
      <c r="OIL222" s="1201"/>
      <c r="OIM222" s="1201"/>
      <c r="OIN222" s="1201"/>
      <c r="OIO222" s="1201"/>
      <c r="OIP222" s="1201"/>
      <c r="OIQ222" s="1201"/>
      <c r="OIR222" s="1201"/>
      <c r="OIS222" s="1201"/>
      <c r="OIT222" s="1201"/>
      <c r="OIU222" s="1201"/>
      <c r="OIV222" s="1201"/>
      <c r="OIW222" s="1201"/>
      <c r="OIX222" s="1201"/>
      <c r="OIY222" s="1201"/>
      <c r="OIZ222" s="1201"/>
      <c r="OJA222" s="1201"/>
      <c r="OJB222" s="1201"/>
      <c r="OJC222" s="1201"/>
      <c r="OJD222" s="1201"/>
      <c r="OJE222" s="1201"/>
      <c r="OJF222" s="1201"/>
      <c r="OJG222" s="1201"/>
      <c r="OJH222" s="1201"/>
      <c r="OJI222" s="1201"/>
      <c r="OJJ222" s="1201"/>
      <c r="OJK222" s="1201"/>
      <c r="OJL222" s="1201"/>
      <c r="OJM222" s="1201"/>
      <c r="OJN222" s="1201"/>
      <c r="OJO222" s="1201"/>
      <c r="OJP222" s="1201"/>
      <c r="OJQ222" s="1201"/>
      <c r="OJR222" s="1201"/>
      <c r="OJS222" s="1201"/>
      <c r="OJT222" s="1201"/>
      <c r="OJU222" s="1201"/>
      <c r="OJV222" s="1201"/>
      <c r="OJW222" s="1201"/>
      <c r="OJX222" s="1201"/>
      <c r="OJY222" s="1201"/>
      <c r="OJZ222" s="1201"/>
      <c r="OKA222" s="1201"/>
      <c r="OKB222" s="1201"/>
      <c r="OKC222" s="1201"/>
      <c r="OKD222" s="1201"/>
      <c r="OKE222" s="1201"/>
      <c r="OKF222" s="1201"/>
      <c r="OKG222" s="1201"/>
      <c r="OKH222" s="1201"/>
      <c r="OKI222" s="1201"/>
      <c r="OKJ222" s="1201"/>
      <c r="OKK222" s="1201"/>
      <c r="OKL222" s="1201"/>
      <c r="OKM222" s="1201"/>
      <c r="OKN222" s="1201"/>
      <c r="OKO222" s="1201"/>
      <c r="OKP222" s="1201"/>
      <c r="OKQ222" s="1201"/>
      <c r="OKR222" s="1201"/>
      <c r="OKS222" s="1201"/>
      <c r="OKT222" s="1201"/>
      <c r="OKU222" s="1201"/>
      <c r="OKV222" s="1201"/>
      <c r="OKW222" s="1201"/>
      <c r="OKX222" s="1201"/>
      <c r="OKY222" s="1201"/>
      <c r="OKZ222" s="1201"/>
      <c r="OLA222" s="1201"/>
      <c r="OLB222" s="1201"/>
      <c r="OLC222" s="1201"/>
      <c r="OLD222" s="1201"/>
      <c r="OLE222" s="1201"/>
      <c r="OLF222" s="1201"/>
      <c r="OLG222" s="1201"/>
      <c r="OLH222" s="1201"/>
      <c r="OLI222" s="1201"/>
      <c r="OLJ222" s="1201"/>
      <c r="OLK222" s="1201"/>
      <c r="OLL222" s="1201"/>
      <c r="OLM222" s="1201"/>
      <c r="OLN222" s="1201"/>
      <c r="OLO222" s="1201"/>
      <c r="OLP222" s="1201"/>
      <c r="OLQ222" s="1201"/>
      <c r="OLR222" s="1201"/>
      <c r="OLS222" s="1201"/>
      <c r="OLT222" s="1201"/>
      <c r="OLU222" s="1201"/>
      <c r="OLV222" s="1201"/>
      <c r="OLW222" s="1201"/>
      <c r="OLX222" s="1201"/>
      <c r="OLY222" s="1201"/>
      <c r="OLZ222" s="1201"/>
      <c r="OMA222" s="1201"/>
      <c r="OMB222" s="1201"/>
      <c r="OMC222" s="1201"/>
      <c r="OMD222" s="1201"/>
      <c r="OME222" s="1201"/>
      <c r="OMF222" s="1201"/>
      <c r="OMG222" s="1201"/>
      <c r="OMH222" s="1201"/>
      <c r="OMI222" s="1201"/>
      <c r="OMJ222" s="1201"/>
      <c r="OMK222" s="1201"/>
      <c r="OML222" s="1201"/>
      <c r="OMM222" s="1201"/>
      <c r="OMN222" s="1201"/>
      <c r="OMO222" s="1201"/>
      <c r="OMP222" s="1201"/>
      <c r="OMQ222" s="1201"/>
      <c r="OMR222" s="1201"/>
      <c r="OMS222" s="1201"/>
      <c r="OMT222" s="1201"/>
      <c r="OMU222" s="1201"/>
      <c r="OMV222" s="1201"/>
      <c r="OMW222" s="1201"/>
      <c r="OMX222" s="1201"/>
      <c r="OMY222" s="1201"/>
      <c r="OMZ222" s="1201"/>
      <c r="ONA222" s="1201"/>
      <c r="ONB222" s="1201"/>
      <c r="ONC222" s="1201"/>
      <c r="OND222" s="1201"/>
      <c r="ONE222" s="1201"/>
      <c r="ONF222" s="1201"/>
      <c r="ONG222" s="1201"/>
      <c r="ONH222" s="1201"/>
      <c r="ONI222" s="1201"/>
      <c r="ONJ222" s="1201"/>
      <c r="ONK222" s="1201"/>
      <c r="ONL222" s="1201"/>
      <c r="ONM222" s="1201"/>
      <c r="ONN222" s="1201"/>
      <c r="ONO222" s="1201"/>
      <c r="ONP222" s="1201"/>
      <c r="ONQ222" s="1201"/>
      <c r="ONR222" s="1201"/>
      <c r="ONS222" s="1201"/>
      <c r="ONT222" s="1201"/>
      <c r="ONU222" s="1201"/>
      <c r="ONV222" s="1201"/>
      <c r="ONW222" s="1201"/>
      <c r="ONX222" s="1201"/>
      <c r="ONY222" s="1201"/>
      <c r="ONZ222" s="1201"/>
      <c r="OOA222" s="1201"/>
      <c r="OOB222" s="1201"/>
      <c r="OOC222" s="1201"/>
      <c r="OOD222" s="1201"/>
      <c r="OOE222" s="1201"/>
      <c r="OOF222" s="1201"/>
      <c r="OOG222" s="1201"/>
      <c r="OOH222" s="1201"/>
      <c r="OOI222" s="1201"/>
      <c r="OOJ222" s="1201"/>
      <c r="OOK222" s="1201"/>
      <c r="OOL222" s="1201"/>
      <c r="OOM222" s="1201"/>
      <c r="OON222" s="1201"/>
      <c r="OOO222" s="1201"/>
      <c r="OOP222" s="1201"/>
      <c r="OOQ222" s="1201"/>
      <c r="OOR222" s="1201"/>
      <c r="OOS222" s="1201"/>
      <c r="OOT222" s="1201"/>
      <c r="OOU222" s="1201"/>
      <c r="OOV222" s="1201"/>
      <c r="OOW222" s="1201"/>
      <c r="OOX222" s="1201"/>
      <c r="OOY222" s="1201"/>
      <c r="OOZ222" s="1201"/>
      <c r="OPA222" s="1201"/>
      <c r="OPB222" s="1201"/>
      <c r="OPC222" s="1201"/>
      <c r="OPD222" s="1201"/>
      <c r="OPE222" s="1201"/>
      <c r="OPF222" s="1201"/>
      <c r="OPG222" s="1201"/>
      <c r="OPH222" s="1201"/>
      <c r="OPI222" s="1201"/>
      <c r="OPJ222" s="1201"/>
      <c r="OPK222" s="1201"/>
      <c r="OPL222" s="1201"/>
      <c r="OPM222" s="1201"/>
      <c r="OPN222" s="1201"/>
      <c r="OPO222" s="1201"/>
      <c r="OPP222" s="1201"/>
      <c r="OPQ222" s="1201"/>
      <c r="OPR222" s="1201"/>
      <c r="OPS222" s="1201"/>
      <c r="OPT222" s="1201"/>
      <c r="OPU222" s="1201"/>
      <c r="OPV222" s="1201"/>
      <c r="OPW222" s="1201"/>
      <c r="OPX222" s="1201"/>
      <c r="OPY222" s="1201"/>
      <c r="OPZ222" s="1201"/>
      <c r="OQA222" s="1201"/>
      <c r="OQB222" s="1201"/>
      <c r="OQC222" s="1201"/>
      <c r="OQD222" s="1201"/>
      <c r="OQE222" s="1201"/>
      <c r="OQF222" s="1201"/>
      <c r="OQG222" s="1201"/>
      <c r="OQH222" s="1201"/>
      <c r="OQI222" s="1201"/>
      <c r="OQJ222" s="1201"/>
      <c r="OQK222" s="1201"/>
      <c r="OQL222" s="1201"/>
      <c r="OQM222" s="1201"/>
      <c r="OQN222" s="1201"/>
      <c r="OQO222" s="1201"/>
      <c r="OQP222" s="1201"/>
      <c r="OQQ222" s="1201"/>
      <c r="OQR222" s="1201"/>
      <c r="OQS222" s="1201"/>
      <c r="OQT222" s="1201"/>
      <c r="OQU222" s="1201"/>
      <c r="OQV222" s="1201"/>
      <c r="OQW222" s="1201"/>
      <c r="OQX222" s="1201"/>
      <c r="OQY222" s="1201"/>
      <c r="OQZ222" s="1201"/>
      <c r="ORA222" s="1201"/>
      <c r="ORB222" s="1201"/>
      <c r="ORC222" s="1201"/>
      <c r="ORD222" s="1201"/>
      <c r="ORE222" s="1201"/>
      <c r="ORF222" s="1201"/>
      <c r="ORG222" s="1201"/>
      <c r="ORH222" s="1201"/>
      <c r="ORI222" s="1201"/>
      <c r="ORJ222" s="1201"/>
      <c r="ORK222" s="1201"/>
      <c r="ORL222" s="1201"/>
      <c r="ORM222" s="1201"/>
      <c r="ORN222" s="1201"/>
      <c r="ORO222" s="1201"/>
      <c r="ORP222" s="1201"/>
      <c r="ORQ222" s="1201"/>
      <c r="ORR222" s="1201"/>
      <c r="ORS222" s="1201"/>
      <c r="ORT222" s="1201"/>
      <c r="ORU222" s="1201"/>
      <c r="ORV222" s="1201"/>
      <c r="ORW222" s="1201"/>
      <c r="ORX222" s="1201"/>
      <c r="ORY222" s="1201"/>
      <c r="ORZ222" s="1201"/>
      <c r="OSA222" s="1201"/>
      <c r="OSB222" s="1201"/>
      <c r="OSC222" s="1201"/>
      <c r="OSD222" s="1201"/>
      <c r="OSE222" s="1201"/>
      <c r="OSF222" s="1201"/>
      <c r="OSG222" s="1201"/>
      <c r="OSH222" s="1201"/>
      <c r="OSI222" s="1201"/>
      <c r="OSJ222" s="1201"/>
      <c r="OSK222" s="1201"/>
      <c r="OSL222" s="1201"/>
      <c r="OSM222" s="1201"/>
      <c r="OSN222" s="1201"/>
      <c r="OSO222" s="1201"/>
      <c r="OSP222" s="1201"/>
      <c r="OSQ222" s="1201"/>
      <c r="OSR222" s="1201"/>
      <c r="OSS222" s="1201"/>
      <c r="OST222" s="1201"/>
      <c r="OSU222" s="1201"/>
      <c r="OSV222" s="1201"/>
      <c r="OSW222" s="1201"/>
      <c r="OSX222" s="1201"/>
      <c r="OSY222" s="1201"/>
      <c r="OSZ222" s="1201"/>
      <c r="OTA222" s="1201"/>
      <c r="OTB222" s="1201"/>
      <c r="OTC222" s="1201"/>
      <c r="OTD222" s="1201"/>
      <c r="OTE222" s="1201"/>
      <c r="OTF222" s="1201"/>
      <c r="OTG222" s="1201"/>
      <c r="OTH222" s="1201"/>
      <c r="OTI222" s="1201"/>
      <c r="OTJ222" s="1201"/>
      <c r="OTK222" s="1201"/>
      <c r="OTL222" s="1201"/>
      <c r="OTM222" s="1201"/>
      <c r="OTN222" s="1201"/>
      <c r="OTO222" s="1201"/>
      <c r="OTP222" s="1201"/>
      <c r="OTQ222" s="1201"/>
      <c r="OTR222" s="1201"/>
      <c r="OTS222" s="1201"/>
      <c r="OTT222" s="1201"/>
      <c r="OTU222" s="1201"/>
      <c r="OTV222" s="1201"/>
      <c r="OTW222" s="1201"/>
      <c r="OTX222" s="1201"/>
      <c r="OTY222" s="1201"/>
      <c r="OTZ222" s="1201"/>
      <c r="OUA222" s="1201"/>
      <c r="OUB222" s="1201"/>
      <c r="OUC222" s="1201"/>
      <c r="OUD222" s="1201"/>
      <c r="OUE222" s="1201"/>
      <c r="OUF222" s="1201"/>
      <c r="OUG222" s="1201"/>
      <c r="OUH222" s="1201"/>
      <c r="OUI222" s="1201"/>
      <c r="OUJ222" s="1201"/>
      <c r="OUK222" s="1201"/>
      <c r="OUL222" s="1201"/>
      <c r="OUM222" s="1201"/>
      <c r="OUN222" s="1201"/>
      <c r="OUO222" s="1201"/>
      <c r="OUP222" s="1201"/>
      <c r="OUQ222" s="1201"/>
      <c r="OUR222" s="1201"/>
      <c r="OUS222" s="1201"/>
      <c r="OUT222" s="1201"/>
      <c r="OUU222" s="1201"/>
      <c r="OUV222" s="1201"/>
      <c r="OUW222" s="1201"/>
      <c r="OUX222" s="1201"/>
      <c r="OUY222" s="1201"/>
      <c r="OUZ222" s="1201"/>
      <c r="OVA222" s="1201"/>
      <c r="OVB222" s="1201"/>
      <c r="OVC222" s="1201"/>
      <c r="OVD222" s="1201"/>
      <c r="OVE222" s="1201"/>
      <c r="OVF222" s="1201"/>
      <c r="OVG222" s="1201"/>
      <c r="OVH222" s="1201"/>
      <c r="OVI222" s="1201"/>
      <c r="OVJ222" s="1201"/>
      <c r="OVK222" s="1201"/>
      <c r="OVL222" s="1201"/>
      <c r="OVM222" s="1201"/>
      <c r="OVN222" s="1201"/>
      <c r="OVO222" s="1201"/>
      <c r="OVP222" s="1201"/>
      <c r="OVQ222" s="1201"/>
      <c r="OVR222" s="1201"/>
      <c r="OVS222" s="1201"/>
      <c r="OVT222" s="1201"/>
      <c r="OVU222" s="1201"/>
      <c r="OVV222" s="1201"/>
      <c r="OVW222" s="1201"/>
      <c r="OVX222" s="1201"/>
      <c r="OVY222" s="1201"/>
      <c r="OVZ222" s="1201"/>
      <c r="OWA222" s="1201"/>
      <c r="OWB222" s="1201"/>
      <c r="OWC222" s="1201"/>
      <c r="OWD222" s="1201"/>
      <c r="OWE222" s="1201"/>
      <c r="OWF222" s="1201"/>
      <c r="OWG222" s="1201"/>
      <c r="OWH222" s="1201"/>
      <c r="OWI222" s="1201"/>
      <c r="OWJ222" s="1201"/>
      <c r="OWK222" s="1201"/>
      <c r="OWL222" s="1201"/>
      <c r="OWM222" s="1201"/>
      <c r="OWN222" s="1201"/>
      <c r="OWO222" s="1201"/>
      <c r="OWP222" s="1201"/>
      <c r="OWQ222" s="1201"/>
      <c r="OWR222" s="1201"/>
      <c r="OWS222" s="1201"/>
      <c r="OWT222" s="1201"/>
      <c r="OWU222" s="1201"/>
      <c r="OWV222" s="1201"/>
      <c r="OWW222" s="1201"/>
      <c r="OWX222" s="1201"/>
      <c r="OWY222" s="1201"/>
      <c r="OWZ222" s="1201"/>
      <c r="OXA222" s="1201"/>
      <c r="OXB222" s="1201"/>
      <c r="OXC222" s="1201"/>
      <c r="OXD222" s="1201"/>
      <c r="OXE222" s="1201"/>
      <c r="OXF222" s="1201"/>
      <c r="OXG222" s="1201"/>
      <c r="OXH222" s="1201"/>
      <c r="OXI222" s="1201"/>
      <c r="OXJ222" s="1201"/>
      <c r="OXK222" s="1201"/>
      <c r="OXL222" s="1201"/>
      <c r="OXM222" s="1201"/>
      <c r="OXN222" s="1201"/>
      <c r="OXO222" s="1201"/>
      <c r="OXP222" s="1201"/>
      <c r="OXQ222" s="1201"/>
      <c r="OXR222" s="1201"/>
      <c r="OXS222" s="1201"/>
      <c r="OXT222" s="1201"/>
      <c r="OXU222" s="1201"/>
      <c r="OXV222" s="1201"/>
      <c r="OXW222" s="1201"/>
      <c r="OXX222" s="1201"/>
      <c r="OXY222" s="1201"/>
      <c r="OXZ222" s="1201"/>
      <c r="OYA222" s="1201"/>
      <c r="OYB222" s="1201"/>
      <c r="OYC222" s="1201"/>
      <c r="OYD222" s="1201"/>
      <c r="OYE222" s="1201"/>
      <c r="OYF222" s="1201"/>
      <c r="OYG222" s="1201"/>
      <c r="OYH222" s="1201"/>
      <c r="OYI222" s="1201"/>
      <c r="OYJ222" s="1201"/>
      <c r="OYK222" s="1201"/>
      <c r="OYL222" s="1201"/>
      <c r="OYM222" s="1201"/>
      <c r="OYN222" s="1201"/>
      <c r="OYO222" s="1201"/>
      <c r="OYP222" s="1201"/>
      <c r="OYQ222" s="1201"/>
      <c r="OYR222" s="1201"/>
      <c r="OYS222" s="1201"/>
      <c r="OYT222" s="1201"/>
      <c r="OYU222" s="1201"/>
      <c r="OYV222" s="1201"/>
      <c r="OYW222" s="1201"/>
      <c r="OYX222" s="1201"/>
      <c r="OYY222" s="1201"/>
      <c r="OYZ222" s="1201"/>
      <c r="OZA222" s="1201"/>
      <c r="OZB222" s="1201"/>
      <c r="OZC222" s="1201"/>
      <c r="OZD222" s="1201"/>
      <c r="OZE222" s="1201"/>
      <c r="OZF222" s="1201"/>
      <c r="OZG222" s="1201"/>
      <c r="OZH222" s="1201"/>
      <c r="OZI222" s="1201"/>
      <c r="OZJ222" s="1201"/>
      <c r="OZK222" s="1201"/>
      <c r="OZL222" s="1201"/>
      <c r="OZM222" s="1201"/>
      <c r="OZN222" s="1201"/>
      <c r="OZO222" s="1201"/>
      <c r="OZP222" s="1201"/>
      <c r="OZQ222" s="1201"/>
      <c r="OZR222" s="1201"/>
      <c r="OZS222" s="1201"/>
      <c r="OZT222" s="1201"/>
      <c r="OZU222" s="1201"/>
      <c r="OZV222" s="1201"/>
      <c r="OZW222" s="1201"/>
      <c r="OZX222" s="1201"/>
      <c r="OZY222" s="1201"/>
      <c r="OZZ222" s="1201"/>
      <c r="PAA222" s="1201"/>
      <c r="PAB222" s="1201"/>
      <c r="PAC222" s="1201"/>
      <c r="PAD222" s="1201"/>
      <c r="PAE222" s="1201"/>
      <c r="PAF222" s="1201"/>
      <c r="PAG222" s="1201"/>
      <c r="PAH222" s="1201"/>
      <c r="PAI222" s="1201"/>
      <c r="PAJ222" s="1201"/>
      <c r="PAK222" s="1201"/>
      <c r="PAL222" s="1201"/>
      <c r="PAM222" s="1201"/>
      <c r="PAN222" s="1201"/>
      <c r="PAO222" s="1201"/>
      <c r="PAP222" s="1201"/>
      <c r="PAQ222" s="1201"/>
      <c r="PAR222" s="1201"/>
      <c r="PAS222" s="1201"/>
      <c r="PAT222" s="1201"/>
      <c r="PAU222" s="1201"/>
      <c r="PAV222" s="1201"/>
      <c r="PAW222" s="1201"/>
      <c r="PAX222" s="1201"/>
      <c r="PAY222" s="1201"/>
      <c r="PAZ222" s="1201"/>
      <c r="PBA222" s="1201"/>
      <c r="PBB222" s="1201"/>
      <c r="PBC222" s="1201"/>
      <c r="PBD222" s="1201"/>
      <c r="PBE222" s="1201"/>
      <c r="PBF222" s="1201"/>
      <c r="PBG222" s="1201"/>
      <c r="PBH222" s="1201"/>
      <c r="PBI222" s="1201"/>
      <c r="PBJ222" s="1201"/>
      <c r="PBK222" s="1201"/>
      <c r="PBL222" s="1201"/>
      <c r="PBM222" s="1201"/>
      <c r="PBN222" s="1201"/>
      <c r="PBO222" s="1201"/>
      <c r="PBP222" s="1201"/>
      <c r="PBQ222" s="1201"/>
      <c r="PBR222" s="1201"/>
      <c r="PBS222" s="1201"/>
      <c r="PBT222" s="1201"/>
      <c r="PBU222" s="1201"/>
      <c r="PBV222" s="1201"/>
      <c r="PBW222" s="1201"/>
      <c r="PBX222" s="1201"/>
      <c r="PBY222" s="1201"/>
      <c r="PBZ222" s="1201"/>
      <c r="PCA222" s="1201"/>
      <c r="PCB222" s="1201"/>
      <c r="PCC222" s="1201"/>
      <c r="PCD222" s="1201"/>
      <c r="PCE222" s="1201"/>
      <c r="PCF222" s="1201"/>
      <c r="PCG222" s="1201"/>
      <c r="PCH222" s="1201"/>
      <c r="PCI222" s="1201"/>
      <c r="PCJ222" s="1201"/>
      <c r="PCK222" s="1201"/>
      <c r="PCL222" s="1201"/>
      <c r="PCM222" s="1201"/>
      <c r="PCN222" s="1201"/>
      <c r="PCO222" s="1201"/>
      <c r="PCP222" s="1201"/>
      <c r="PCQ222" s="1201"/>
      <c r="PCR222" s="1201"/>
      <c r="PCS222" s="1201"/>
      <c r="PCT222" s="1201"/>
      <c r="PCU222" s="1201"/>
      <c r="PCV222" s="1201"/>
      <c r="PCW222" s="1201"/>
      <c r="PCX222" s="1201"/>
      <c r="PCY222" s="1201"/>
      <c r="PCZ222" s="1201"/>
      <c r="PDA222" s="1201"/>
      <c r="PDB222" s="1201"/>
      <c r="PDC222" s="1201"/>
      <c r="PDD222" s="1201"/>
      <c r="PDE222" s="1201"/>
      <c r="PDF222" s="1201"/>
      <c r="PDG222" s="1201"/>
      <c r="PDH222" s="1201"/>
      <c r="PDI222" s="1201"/>
      <c r="PDJ222" s="1201"/>
      <c r="PDK222" s="1201"/>
      <c r="PDL222" s="1201"/>
      <c r="PDM222" s="1201"/>
      <c r="PDN222" s="1201"/>
      <c r="PDO222" s="1201"/>
      <c r="PDP222" s="1201"/>
      <c r="PDQ222" s="1201"/>
      <c r="PDR222" s="1201"/>
      <c r="PDS222" s="1201"/>
      <c r="PDT222" s="1201"/>
      <c r="PDU222" s="1201"/>
      <c r="PDV222" s="1201"/>
      <c r="PDW222" s="1201"/>
      <c r="PDX222" s="1201"/>
      <c r="PDY222" s="1201"/>
      <c r="PDZ222" s="1201"/>
      <c r="PEA222" s="1201"/>
      <c r="PEB222" s="1201"/>
      <c r="PEC222" s="1201"/>
      <c r="PED222" s="1201"/>
      <c r="PEE222" s="1201"/>
      <c r="PEF222" s="1201"/>
      <c r="PEG222" s="1201"/>
      <c r="PEH222" s="1201"/>
      <c r="PEI222" s="1201"/>
      <c r="PEJ222" s="1201"/>
      <c r="PEK222" s="1201"/>
      <c r="PEL222" s="1201"/>
      <c r="PEM222" s="1201"/>
      <c r="PEN222" s="1201"/>
      <c r="PEO222" s="1201"/>
      <c r="PEP222" s="1201"/>
      <c r="PEQ222" s="1201"/>
      <c r="PER222" s="1201"/>
      <c r="PES222" s="1201"/>
      <c r="PET222" s="1201"/>
      <c r="PEU222" s="1201"/>
      <c r="PEV222" s="1201"/>
      <c r="PEW222" s="1201"/>
      <c r="PEX222" s="1201"/>
      <c r="PEY222" s="1201"/>
      <c r="PEZ222" s="1201"/>
      <c r="PFA222" s="1201"/>
      <c r="PFB222" s="1201"/>
      <c r="PFC222" s="1201"/>
      <c r="PFD222" s="1201"/>
      <c r="PFE222" s="1201"/>
      <c r="PFF222" s="1201"/>
      <c r="PFG222" s="1201"/>
      <c r="PFH222" s="1201"/>
      <c r="PFI222" s="1201"/>
      <c r="PFJ222" s="1201"/>
      <c r="PFK222" s="1201"/>
      <c r="PFL222" s="1201"/>
      <c r="PFM222" s="1201"/>
      <c r="PFN222" s="1201"/>
      <c r="PFO222" s="1201"/>
      <c r="PFP222" s="1201"/>
      <c r="PFQ222" s="1201"/>
      <c r="PFR222" s="1201"/>
      <c r="PFS222" s="1201"/>
      <c r="PFT222" s="1201"/>
      <c r="PFU222" s="1201"/>
      <c r="PFV222" s="1201"/>
      <c r="PFW222" s="1201"/>
      <c r="PFX222" s="1201"/>
      <c r="PFY222" s="1201"/>
      <c r="PFZ222" s="1201"/>
      <c r="PGA222" s="1201"/>
      <c r="PGB222" s="1201"/>
      <c r="PGC222" s="1201"/>
      <c r="PGD222" s="1201"/>
      <c r="PGE222" s="1201"/>
      <c r="PGF222" s="1201"/>
      <c r="PGG222" s="1201"/>
      <c r="PGH222" s="1201"/>
      <c r="PGI222" s="1201"/>
      <c r="PGJ222" s="1201"/>
      <c r="PGK222" s="1201"/>
      <c r="PGL222" s="1201"/>
      <c r="PGM222" s="1201"/>
      <c r="PGN222" s="1201"/>
      <c r="PGO222" s="1201"/>
      <c r="PGP222" s="1201"/>
      <c r="PGQ222" s="1201"/>
      <c r="PGR222" s="1201"/>
      <c r="PGS222" s="1201"/>
      <c r="PGT222" s="1201"/>
      <c r="PGU222" s="1201"/>
      <c r="PGV222" s="1201"/>
      <c r="PGW222" s="1201"/>
      <c r="PGX222" s="1201"/>
      <c r="PGY222" s="1201"/>
      <c r="PGZ222" s="1201"/>
      <c r="PHA222" s="1201"/>
      <c r="PHB222" s="1201"/>
      <c r="PHC222" s="1201"/>
      <c r="PHD222" s="1201"/>
      <c r="PHE222" s="1201"/>
      <c r="PHF222" s="1201"/>
      <c r="PHG222" s="1201"/>
      <c r="PHH222" s="1201"/>
      <c r="PHI222" s="1201"/>
      <c r="PHJ222" s="1201"/>
      <c r="PHK222" s="1201"/>
      <c r="PHL222" s="1201"/>
      <c r="PHM222" s="1201"/>
      <c r="PHN222" s="1201"/>
      <c r="PHO222" s="1201"/>
      <c r="PHP222" s="1201"/>
      <c r="PHQ222" s="1201"/>
      <c r="PHR222" s="1201"/>
      <c r="PHS222" s="1201"/>
      <c r="PHT222" s="1201"/>
      <c r="PHU222" s="1201"/>
      <c r="PHV222" s="1201"/>
      <c r="PHW222" s="1201"/>
      <c r="PHX222" s="1201"/>
      <c r="PHY222" s="1201"/>
      <c r="PHZ222" s="1201"/>
      <c r="PIA222" s="1201"/>
      <c r="PIB222" s="1201"/>
      <c r="PIC222" s="1201"/>
      <c r="PID222" s="1201"/>
      <c r="PIE222" s="1201"/>
      <c r="PIF222" s="1201"/>
      <c r="PIG222" s="1201"/>
      <c r="PIH222" s="1201"/>
      <c r="PII222" s="1201"/>
      <c r="PIJ222" s="1201"/>
      <c r="PIK222" s="1201"/>
      <c r="PIL222" s="1201"/>
      <c r="PIM222" s="1201"/>
      <c r="PIN222" s="1201"/>
      <c r="PIO222" s="1201"/>
      <c r="PIP222" s="1201"/>
      <c r="PIQ222" s="1201"/>
      <c r="PIR222" s="1201"/>
      <c r="PIS222" s="1201"/>
      <c r="PIT222" s="1201"/>
      <c r="PIU222" s="1201"/>
      <c r="PIV222" s="1201"/>
      <c r="PIW222" s="1201"/>
      <c r="PIX222" s="1201"/>
      <c r="PIY222" s="1201"/>
      <c r="PIZ222" s="1201"/>
      <c r="PJA222" s="1201"/>
      <c r="PJB222" s="1201"/>
      <c r="PJC222" s="1201"/>
      <c r="PJD222" s="1201"/>
      <c r="PJE222" s="1201"/>
      <c r="PJF222" s="1201"/>
      <c r="PJG222" s="1201"/>
      <c r="PJH222" s="1201"/>
      <c r="PJI222" s="1201"/>
      <c r="PJJ222" s="1201"/>
      <c r="PJK222" s="1201"/>
      <c r="PJL222" s="1201"/>
      <c r="PJM222" s="1201"/>
      <c r="PJN222" s="1201"/>
      <c r="PJO222" s="1201"/>
      <c r="PJP222" s="1201"/>
      <c r="PJQ222" s="1201"/>
      <c r="PJR222" s="1201"/>
      <c r="PJS222" s="1201"/>
      <c r="PJT222" s="1201"/>
      <c r="PJU222" s="1201"/>
      <c r="PJV222" s="1201"/>
      <c r="PJW222" s="1201"/>
      <c r="PJX222" s="1201"/>
      <c r="PJY222" s="1201"/>
      <c r="PJZ222" s="1201"/>
      <c r="PKA222" s="1201"/>
      <c r="PKB222" s="1201"/>
      <c r="PKC222" s="1201"/>
      <c r="PKD222" s="1201"/>
      <c r="PKE222" s="1201"/>
      <c r="PKF222" s="1201"/>
      <c r="PKG222" s="1201"/>
      <c r="PKH222" s="1201"/>
      <c r="PKI222" s="1201"/>
      <c r="PKJ222" s="1201"/>
      <c r="PKK222" s="1201"/>
      <c r="PKL222" s="1201"/>
      <c r="PKM222" s="1201"/>
      <c r="PKN222" s="1201"/>
      <c r="PKO222" s="1201"/>
      <c r="PKP222" s="1201"/>
      <c r="PKQ222" s="1201"/>
      <c r="PKR222" s="1201"/>
      <c r="PKS222" s="1201"/>
      <c r="PKT222" s="1201"/>
      <c r="PKU222" s="1201"/>
      <c r="PKV222" s="1201"/>
      <c r="PKW222" s="1201"/>
      <c r="PKX222" s="1201"/>
      <c r="PKY222" s="1201"/>
      <c r="PKZ222" s="1201"/>
      <c r="PLA222" s="1201"/>
      <c r="PLB222" s="1201"/>
      <c r="PLC222" s="1201"/>
      <c r="PLD222" s="1201"/>
      <c r="PLE222" s="1201"/>
      <c r="PLF222" s="1201"/>
      <c r="PLG222" s="1201"/>
      <c r="PLH222" s="1201"/>
      <c r="PLI222" s="1201"/>
      <c r="PLJ222" s="1201"/>
      <c r="PLK222" s="1201"/>
      <c r="PLL222" s="1201"/>
      <c r="PLM222" s="1201"/>
      <c r="PLN222" s="1201"/>
      <c r="PLO222" s="1201"/>
      <c r="PLP222" s="1201"/>
      <c r="PLQ222" s="1201"/>
      <c r="PLR222" s="1201"/>
      <c r="PLS222" s="1201"/>
      <c r="PLT222" s="1201"/>
      <c r="PLU222" s="1201"/>
      <c r="PLV222" s="1201"/>
      <c r="PLW222" s="1201"/>
      <c r="PLX222" s="1201"/>
      <c r="PLY222" s="1201"/>
      <c r="PLZ222" s="1201"/>
      <c r="PMA222" s="1201"/>
      <c r="PMB222" s="1201"/>
      <c r="PMC222" s="1201"/>
      <c r="PMD222" s="1201"/>
      <c r="PME222" s="1201"/>
      <c r="PMF222" s="1201"/>
      <c r="PMG222" s="1201"/>
      <c r="PMH222" s="1201"/>
      <c r="PMI222" s="1201"/>
      <c r="PMJ222" s="1201"/>
      <c r="PMK222" s="1201"/>
      <c r="PML222" s="1201"/>
      <c r="PMM222" s="1201"/>
      <c r="PMN222" s="1201"/>
      <c r="PMO222" s="1201"/>
      <c r="PMP222" s="1201"/>
      <c r="PMQ222" s="1201"/>
      <c r="PMR222" s="1201"/>
      <c r="PMS222" s="1201"/>
      <c r="PMT222" s="1201"/>
      <c r="PMU222" s="1201"/>
      <c r="PMV222" s="1201"/>
      <c r="PMW222" s="1201"/>
      <c r="PMX222" s="1201"/>
      <c r="PMY222" s="1201"/>
      <c r="PMZ222" s="1201"/>
      <c r="PNA222" s="1201"/>
      <c r="PNB222" s="1201"/>
      <c r="PNC222" s="1201"/>
      <c r="PND222" s="1201"/>
      <c r="PNE222" s="1201"/>
      <c r="PNF222" s="1201"/>
      <c r="PNG222" s="1201"/>
      <c r="PNH222" s="1201"/>
      <c r="PNI222" s="1201"/>
      <c r="PNJ222" s="1201"/>
      <c r="PNK222" s="1201"/>
      <c r="PNL222" s="1201"/>
      <c r="PNM222" s="1201"/>
      <c r="PNN222" s="1201"/>
      <c r="PNO222" s="1201"/>
      <c r="PNP222" s="1201"/>
      <c r="PNQ222" s="1201"/>
      <c r="PNR222" s="1201"/>
      <c r="PNS222" s="1201"/>
      <c r="PNT222" s="1201"/>
      <c r="PNU222" s="1201"/>
      <c r="PNV222" s="1201"/>
      <c r="PNW222" s="1201"/>
      <c r="PNX222" s="1201"/>
      <c r="PNY222" s="1201"/>
      <c r="PNZ222" s="1201"/>
      <c r="POA222" s="1201"/>
      <c r="POB222" s="1201"/>
      <c r="POC222" s="1201"/>
      <c r="POD222" s="1201"/>
      <c r="POE222" s="1201"/>
      <c r="POF222" s="1201"/>
      <c r="POG222" s="1201"/>
      <c r="POH222" s="1201"/>
      <c r="POI222" s="1201"/>
      <c r="POJ222" s="1201"/>
      <c r="POK222" s="1201"/>
      <c r="POL222" s="1201"/>
      <c r="POM222" s="1201"/>
      <c r="PON222" s="1201"/>
      <c r="POO222" s="1201"/>
      <c r="POP222" s="1201"/>
      <c r="POQ222" s="1201"/>
      <c r="POR222" s="1201"/>
      <c r="POS222" s="1201"/>
      <c r="POT222" s="1201"/>
      <c r="POU222" s="1201"/>
      <c r="POV222" s="1201"/>
      <c r="POW222" s="1201"/>
      <c r="POX222" s="1201"/>
      <c r="POY222" s="1201"/>
      <c r="POZ222" s="1201"/>
      <c r="PPA222" s="1201"/>
      <c r="PPB222" s="1201"/>
      <c r="PPC222" s="1201"/>
      <c r="PPD222" s="1201"/>
      <c r="PPE222" s="1201"/>
      <c r="PPF222" s="1201"/>
      <c r="PPG222" s="1201"/>
      <c r="PPH222" s="1201"/>
      <c r="PPI222" s="1201"/>
      <c r="PPJ222" s="1201"/>
      <c r="PPK222" s="1201"/>
      <c r="PPL222" s="1201"/>
      <c r="PPM222" s="1201"/>
      <c r="PPN222" s="1201"/>
      <c r="PPO222" s="1201"/>
      <c r="PPP222" s="1201"/>
      <c r="PPQ222" s="1201"/>
      <c r="PPR222" s="1201"/>
      <c r="PPS222" s="1201"/>
      <c r="PPT222" s="1201"/>
      <c r="PPU222" s="1201"/>
      <c r="PPV222" s="1201"/>
      <c r="PPW222" s="1201"/>
      <c r="PPX222" s="1201"/>
      <c r="PPY222" s="1201"/>
      <c r="PPZ222" s="1201"/>
      <c r="PQA222" s="1201"/>
      <c r="PQB222" s="1201"/>
      <c r="PQC222" s="1201"/>
      <c r="PQD222" s="1201"/>
      <c r="PQE222" s="1201"/>
      <c r="PQF222" s="1201"/>
      <c r="PQG222" s="1201"/>
      <c r="PQH222" s="1201"/>
      <c r="PQI222" s="1201"/>
      <c r="PQJ222" s="1201"/>
      <c r="PQK222" s="1201"/>
      <c r="PQL222" s="1201"/>
      <c r="PQM222" s="1201"/>
      <c r="PQN222" s="1201"/>
      <c r="PQO222" s="1201"/>
      <c r="PQP222" s="1201"/>
      <c r="PQQ222" s="1201"/>
      <c r="PQR222" s="1201"/>
      <c r="PQS222" s="1201"/>
      <c r="PQT222" s="1201"/>
      <c r="PQU222" s="1201"/>
      <c r="PQV222" s="1201"/>
      <c r="PQW222" s="1201"/>
      <c r="PQX222" s="1201"/>
      <c r="PQY222" s="1201"/>
      <c r="PQZ222" s="1201"/>
      <c r="PRA222" s="1201"/>
      <c r="PRB222" s="1201"/>
      <c r="PRC222" s="1201"/>
      <c r="PRD222" s="1201"/>
      <c r="PRE222" s="1201"/>
      <c r="PRF222" s="1201"/>
      <c r="PRG222" s="1201"/>
      <c r="PRH222" s="1201"/>
      <c r="PRI222" s="1201"/>
      <c r="PRJ222" s="1201"/>
      <c r="PRK222" s="1201"/>
      <c r="PRL222" s="1201"/>
      <c r="PRM222" s="1201"/>
      <c r="PRN222" s="1201"/>
      <c r="PRO222" s="1201"/>
      <c r="PRP222" s="1201"/>
      <c r="PRQ222" s="1201"/>
      <c r="PRR222" s="1201"/>
      <c r="PRS222" s="1201"/>
      <c r="PRT222" s="1201"/>
      <c r="PRU222" s="1201"/>
      <c r="PRV222" s="1201"/>
      <c r="PRW222" s="1201"/>
      <c r="PRX222" s="1201"/>
      <c r="PRY222" s="1201"/>
      <c r="PRZ222" s="1201"/>
      <c r="PSA222" s="1201"/>
      <c r="PSB222" s="1201"/>
      <c r="PSC222" s="1201"/>
      <c r="PSD222" s="1201"/>
      <c r="PSE222" s="1201"/>
      <c r="PSF222" s="1201"/>
      <c r="PSG222" s="1201"/>
      <c r="PSH222" s="1201"/>
      <c r="PSI222" s="1201"/>
      <c r="PSJ222" s="1201"/>
      <c r="PSK222" s="1201"/>
      <c r="PSL222" s="1201"/>
      <c r="PSM222" s="1201"/>
      <c r="PSN222" s="1201"/>
      <c r="PSO222" s="1201"/>
      <c r="PSP222" s="1201"/>
      <c r="PSQ222" s="1201"/>
      <c r="PSR222" s="1201"/>
      <c r="PSS222" s="1201"/>
      <c r="PST222" s="1201"/>
      <c r="PSU222" s="1201"/>
      <c r="PSV222" s="1201"/>
      <c r="PSW222" s="1201"/>
      <c r="PSX222" s="1201"/>
      <c r="PSY222" s="1201"/>
      <c r="PSZ222" s="1201"/>
      <c r="PTA222" s="1201"/>
      <c r="PTB222" s="1201"/>
      <c r="PTC222" s="1201"/>
      <c r="PTD222" s="1201"/>
      <c r="PTE222" s="1201"/>
      <c r="PTF222" s="1201"/>
      <c r="PTG222" s="1201"/>
      <c r="PTH222" s="1201"/>
      <c r="PTI222" s="1201"/>
      <c r="PTJ222" s="1201"/>
      <c r="PTK222" s="1201"/>
      <c r="PTL222" s="1201"/>
      <c r="PTM222" s="1201"/>
      <c r="PTN222" s="1201"/>
      <c r="PTO222" s="1201"/>
      <c r="PTP222" s="1201"/>
      <c r="PTQ222" s="1201"/>
      <c r="PTR222" s="1201"/>
      <c r="PTS222" s="1201"/>
      <c r="PTT222" s="1201"/>
      <c r="PTU222" s="1201"/>
      <c r="PTV222" s="1201"/>
      <c r="PTW222" s="1201"/>
      <c r="PTX222" s="1201"/>
      <c r="PTY222" s="1201"/>
      <c r="PTZ222" s="1201"/>
      <c r="PUA222" s="1201"/>
      <c r="PUB222" s="1201"/>
      <c r="PUC222" s="1201"/>
      <c r="PUD222" s="1201"/>
      <c r="PUE222" s="1201"/>
      <c r="PUF222" s="1201"/>
      <c r="PUG222" s="1201"/>
      <c r="PUH222" s="1201"/>
      <c r="PUI222" s="1201"/>
      <c r="PUJ222" s="1201"/>
      <c r="PUK222" s="1201"/>
      <c r="PUL222" s="1201"/>
      <c r="PUM222" s="1201"/>
      <c r="PUN222" s="1201"/>
      <c r="PUO222" s="1201"/>
      <c r="PUP222" s="1201"/>
      <c r="PUQ222" s="1201"/>
      <c r="PUR222" s="1201"/>
      <c r="PUS222" s="1201"/>
      <c r="PUT222" s="1201"/>
      <c r="PUU222" s="1201"/>
      <c r="PUV222" s="1201"/>
      <c r="PUW222" s="1201"/>
      <c r="PUX222" s="1201"/>
      <c r="PUY222" s="1201"/>
      <c r="PUZ222" s="1201"/>
      <c r="PVA222" s="1201"/>
      <c r="PVB222" s="1201"/>
      <c r="PVC222" s="1201"/>
      <c r="PVD222" s="1201"/>
      <c r="PVE222" s="1201"/>
      <c r="PVF222" s="1201"/>
      <c r="PVG222" s="1201"/>
      <c r="PVH222" s="1201"/>
      <c r="PVI222" s="1201"/>
      <c r="PVJ222" s="1201"/>
      <c r="PVK222" s="1201"/>
      <c r="PVL222" s="1201"/>
      <c r="PVM222" s="1201"/>
      <c r="PVN222" s="1201"/>
      <c r="PVO222" s="1201"/>
      <c r="PVP222" s="1201"/>
      <c r="PVQ222" s="1201"/>
      <c r="PVR222" s="1201"/>
      <c r="PVS222" s="1201"/>
      <c r="PVT222" s="1201"/>
      <c r="PVU222" s="1201"/>
      <c r="PVV222" s="1201"/>
      <c r="PVW222" s="1201"/>
      <c r="PVX222" s="1201"/>
      <c r="PVY222" s="1201"/>
      <c r="PVZ222" s="1201"/>
      <c r="PWA222" s="1201"/>
      <c r="PWB222" s="1201"/>
      <c r="PWC222" s="1201"/>
      <c r="PWD222" s="1201"/>
      <c r="PWE222" s="1201"/>
      <c r="PWF222" s="1201"/>
      <c r="PWG222" s="1201"/>
      <c r="PWH222" s="1201"/>
      <c r="PWI222" s="1201"/>
      <c r="PWJ222" s="1201"/>
      <c r="PWK222" s="1201"/>
      <c r="PWL222" s="1201"/>
      <c r="PWM222" s="1201"/>
      <c r="PWN222" s="1201"/>
      <c r="PWO222" s="1201"/>
      <c r="PWP222" s="1201"/>
      <c r="PWQ222" s="1201"/>
      <c r="PWR222" s="1201"/>
      <c r="PWS222" s="1201"/>
      <c r="PWT222" s="1201"/>
      <c r="PWU222" s="1201"/>
      <c r="PWV222" s="1201"/>
      <c r="PWW222" s="1201"/>
      <c r="PWX222" s="1201"/>
      <c r="PWY222" s="1201"/>
      <c r="PWZ222" s="1201"/>
      <c r="PXA222" s="1201"/>
      <c r="PXB222" s="1201"/>
      <c r="PXC222" s="1201"/>
      <c r="PXD222" s="1201"/>
      <c r="PXE222" s="1201"/>
      <c r="PXF222" s="1201"/>
      <c r="PXG222" s="1201"/>
      <c r="PXH222" s="1201"/>
      <c r="PXI222" s="1201"/>
      <c r="PXJ222" s="1201"/>
      <c r="PXK222" s="1201"/>
      <c r="PXL222" s="1201"/>
      <c r="PXM222" s="1201"/>
      <c r="PXN222" s="1201"/>
      <c r="PXO222" s="1201"/>
      <c r="PXP222" s="1201"/>
      <c r="PXQ222" s="1201"/>
      <c r="PXR222" s="1201"/>
      <c r="PXS222" s="1201"/>
      <c r="PXT222" s="1201"/>
      <c r="PXU222" s="1201"/>
      <c r="PXV222" s="1201"/>
      <c r="PXW222" s="1201"/>
      <c r="PXX222" s="1201"/>
      <c r="PXY222" s="1201"/>
      <c r="PXZ222" s="1201"/>
      <c r="PYA222" s="1201"/>
      <c r="PYB222" s="1201"/>
      <c r="PYC222" s="1201"/>
      <c r="PYD222" s="1201"/>
      <c r="PYE222" s="1201"/>
      <c r="PYF222" s="1201"/>
      <c r="PYG222" s="1201"/>
      <c r="PYH222" s="1201"/>
      <c r="PYI222" s="1201"/>
      <c r="PYJ222" s="1201"/>
      <c r="PYK222" s="1201"/>
      <c r="PYL222" s="1201"/>
      <c r="PYM222" s="1201"/>
      <c r="PYN222" s="1201"/>
      <c r="PYO222" s="1201"/>
      <c r="PYP222" s="1201"/>
      <c r="PYQ222" s="1201"/>
      <c r="PYR222" s="1201"/>
      <c r="PYS222" s="1201"/>
      <c r="PYT222" s="1201"/>
      <c r="PYU222" s="1201"/>
      <c r="PYV222" s="1201"/>
      <c r="PYW222" s="1201"/>
      <c r="PYX222" s="1201"/>
      <c r="PYY222" s="1201"/>
      <c r="PYZ222" s="1201"/>
      <c r="PZA222" s="1201"/>
      <c r="PZB222" s="1201"/>
      <c r="PZC222" s="1201"/>
      <c r="PZD222" s="1201"/>
      <c r="PZE222" s="1201"/>
      <c r="PZF222" s="1201"/>
      <c r="PZG222" s="1201"/>
      <c r="PZH222" s="1201"/>
      <c r="PZI222" s="1201"/>
      <c r="PZJ222" s="1201"/>
      <c r="PZK222" s="1201"/>
      <c r="PZL222" s="1201"/>
      <c r="PZM222" s="1201"/>
      <c r="PZN222" s="1201"/>
      <c r="PZO222" s="1201"/>
      <c r="PZP222" s="1201"/>
      <c r="PZQ222" s="1201"/>
      <c r="PZR222" s="1201"/>
      <c r="PZS222" s="1201"/>
      <c r="PZT222" s="1201"/>
      <c r="PZU222" s="1201"/>
      <c r="PZV222" s="1201"/>
      <c r="PZW222" s="1201"/>
      <c r="PZX222" s="1201"/>
      <c r="PZY222" s="1201"/>
      <c r="PZZ222" s="1201"/>
      <c r="QAA222" s="1201"/>
      <c r="QAB222" s="1201"/>
      <c r="QAC222" s="1201"/>
      <c r="QAD222" s="1201"/>
      <c r="QAE222" s="1201"/>
      <c r="QAF222" s="1201"/>
      <c r="QAG222" s="1201"/>
      <c r="QAH222" s="1201"/>
      <c r="QAI222" s="1201"/>
      <c r="QAJ222" s="1201"/>
      <c r="QAK222" s="1201"/>
      <c r="QAL222" s="1201"/>
      <c r="QAM222" s="1201"/>
      <c r="QAN222" s="1201"/>
      <c r="QAO222" s="1201"/>
      <c r="QAP222" s="1201"/>
      <c r="QAQ222" s="1201"/>
      <c r="QAR222" s="1201"/>
      <c r="QAS222" s="1201"/>
      <c r="QAT222" s="1201"/>
      <c r="QAU222" s="1201"/>
      <c r="QAV222" s="1201"/>
      <c r="QAW222" s="1201"/>
      <c r="QAX222" s="1201"/>
      <c r="QAY222" s="1201"/>
      <c r="QAZ222" s="1201"/>
      <c r="QBA222" s="1201"/>
      <c r="QBB222" s="1201"/>
      <c r="QBC222" s="1201"/>
      <c r="QBD222" s="1201"/>
      <c r="QBE222" s="1201"/>
      <c r="QBF222" s="1201"/>
      <c r="QBG222" s="1201"/>
      <c r="QBH222" s="1201"/>
      <c r="QBI222" s="1201"/>
      <c r="QBJ222" s="1201"/>
      <c r="QBK222" s="1201"/>
      <c r="QBL222" s="1201"/>
      <c r="QBM222" s="1201"/>
      <c r="QBN222" s="1201"/>
      <c r="QBO222" s="1201"/>
      <c r="QBP222" s="1201"/>
      <c r="QBQ222" s="1201"/>
      <c r="QBR222" s="1201"/>
      <c r="QBS222" s="1201"/>
      <c r="QBT222" s="1201"/>
      <c r="QBU222" s="1201"/>
      <c r="QBV222" s="1201"/>
      <c r="QBW222" s="1201"/>
      <c r="QBX222" s="1201"/>
      <c r="QBY222" s="1201"/>
      <c r="QBZ222" s="1201"/>
      <c r="QCA222" s="1201"/>
      <c r="QCB222" s="1201"/>
      <c r="QCC222" s="1201"/>
      <c r="QCD222" s="1201"/>
      <c r="QCE222" s="1201"/>
      <c r="QCF222" s="1201"/>
      <c r="QCG222" s="1201"/>
      <c r="QCH222" s="1201"/>
      <c r="QCI222" s="1201"/>
      <c r="QCJ222" s="1201"/>
      <c r="QCK222" s="1201"/>
      <c r="QCL222" s="1201"/>
      <c r="QCM222" s="1201"/>
      <c r="QCN222" s="1201"/>
      <c r="QCO222" s="1201"/>
      <c r="QCP222" s="1201"/>
      <c r="QCQ222" s="1201"/>
      <c r="QCR222" s="1201"/>
      <c r="QCS222" s="1201"/>
      <c r="QCT222" s="1201"/>
      <c r="QCU222" s="1201"/>
      <c r="QCV222" s="1201"/>
      <c r="QCW222" s="1201"/>
      <c r="QCX222" s="1201"/>
      <c r="QCY222" s="1201"/>
      <c r="QCZ222" s="1201"/>
      <c r="QDA222" s="1201"/>
      <c r="QDB222" s="1201"/>
      <c r="QDC222" s="1201"/>
      <c r="QDD222" s="1201"/>
      <c r="QDE222" s="1201"/>
      <c r="QDF222" s="1201"/>
      <c r="QDG222" s="1201"/>
      <c r="QDH222" s="1201"/>
      <c r="QDI222" s="1201"/>
      <c r="QDJ222" s="1201"/>
      <c r="QDK222" s="1201"/>
      <c r="QDL222" s="1201"/>
      <c r="QDM222" s="1201"/>
      <c r="QDN222" s="1201"/>
      <c r="QDO222" s="1201"/>
      <c r="QDP222" s="1201"/>
      <c r="QDQ222" s="1201"/>
      <c r="QDR222" s="1201"/>
      <c r="QDS222" s="1201"/>
      <c r="QDT222" s="1201"/>
      <c r="QDU222" s="1201"/>
      <c r="QDV222" s="1201"/>
      <c r="QDW222" s="1201"/>
      <c r="QDX222" s="1201"/>
      <c r="QDY222" s="1201"/>
      <c r="QDZ222" s="1201"/>
      <c r="QEA222" s="1201"/>
      <c r="QEB222" s="1201"/>
      <c r="QEC222" s="1201"/>
      <c r="QED222" s="1201"/>
      <c r="QEE222" s="1201"/>
      <c r="QEF222" s="1201"/>
      <c r="QEG222" s="1201"/>
      <c r="QEH222" s="1201"/>
      <c r="QEI222" s="1201"/>
      <c r="QEJ222" s="1201"/>
      <c r="QEK222" s="1201"/>
      <c r="QEL222" s="1201"/>
      <c r="QEM222" s="1201"/>
      <c r="QEN222" s="1201"/>
      <c r="QEO222" s="1201"/>
      <c r="QEP222" s="1201"/>
      <c r="QEQ222" s="1201"/>
      <c r="QER222" s="1201"/>
      <c r="QES222" s="1201"/>
      <c r="QET222" s="1201"/>
      <c r="QEU222" s="1201"/>
      <c r="QEV222" s="1201"/>
      <c r="QEW222" s="1201"/>
      <c r="QEX222" s="1201"/>
      <c r="QEY222" s="1201"/>
      <c r="QEZ222" s="1201"/>
      <c r="QFA222" s="1201"/>
      <c r="QFB222" s="1201"/>
      <c r="QFC222" s="1201"/>
      <c r="QFD222" s="1201"/>
      <c r="QFE222" s="1201"/>
      <c r="QFF222" s="1201"/>
      <c r="QFG222" s="1201"/>
      <c r="QFH222" s="1201"/>
      <c r="QFI222" s="1201"/>
      <c r="QFJ222" s="1201"/>
      <c r="QFK222" s="1201"/>
      <c r="QFL222" s="1201"/>
      <c r="QFM222" s="1201"/>
      <c r="QFN222" s="1201"/>
      <c r="QFO222" s="1201"/>
      <c r="QFP222" s="1201"/>
      <c r="QFQ222" s="1201"/>
      <c r="QFR222" s="1201"/>
      <c r="QFS222" s="1201"/>
      <c r="QFT222" s="1201"/>
      <c r="QFU222" s="1201"/>
      <c r="QFV222" s="1201"/>
      <c r="QFW222" s="1201"/>
      <c r="QFX222" s="1201"/>
      <c r="QFY222" s="1201"/>
      <c r="QFZ222" s="1201"/>
      <c r="QGA222" s="1201"/>
      <c r="QGB222" s="1201"/>
      <c r="QGC222" s="1201"/>
      <c r="QGD222" s="1201"/>
      <c r="QGE222" s="1201"/>
      <c r="QGF222" s="1201"/>
      <c r="QGG222" s="1201"/>
      <c r="QGH222" s="1201"/>
      <c r="QGI222" s="1201"/>
      <c r="QGJ222" s="1201"/>
      <c r="QGK222" s="1201"/>
      <c r="QGL222" s="1201"/>
      <c r="QGM222" s="1201"/>
      <c r="QGN222" s="1201"/>
      <c r="QGO222" s="1201"/>
      <c r="QGP222" s="1201"/>
      <c r="QGQ222" s="1201"/>
      <c r="QGR222" s="1201"/>
      <c r="QGS222" s="1201"/>
      <c r="QGT222" s="1201"/>
      <c r="QGU222" s="1201"/>
      <c r="QGV222" s="1201"/>
      <c r="QGW222" s="1201"/>
      <c r="QGX222" s="1201"/>
      <c r="QGY222" s="1201"/>
      <c r="QGZ222" s="1201"/>
      <c r="QHA222" s="1201"/>
      <c r="QHB222" s="1201"/>
      <c r="QHC222" s="1201"/>
      <c r="QHD222" s="1201"/>
      <c r="QHE222" s="1201"/>
      <c r="QHF222" s="1201"/>
      <c r="QHG222" s="1201"/>
      <c r="QHH222" s="1201"/>
      <c r="QHI222" s="1201"/>
      <c r="QHJ222" s="1201"/>
      <c r="QHK222" s="1201"/>
      <c r="QHL222" s="1201"/>
      <c r="QHM222" s="1201"/>
      <c r="QHN222" s="1201"/>
      <c r="QHO222" s="1201"/>
      <c r="QHP222" s="1201"/>
      <c r="QHQ222" s="1201"/>
      <c r="QHR222" s="1201"/>
      <c r="QHS222" s="1201"/>
      <c r="QHT222" s="1201"/>
      <c r="QHU222" s="1201"/>
      <c r="QHV222" s="1201"/>
      <c r="QHW222" s="1201"/>
      <c r="QHX222" s="1201"/>
      <c r="QHY222" s="1201"/>
      <c r="QHZ222" s="1201"/>
      <c r="QIA222" s="1201"/>
      <c r="QIB222" s="1201"/>
      <c r="QIC222" s="1201"/>
      <c r="QID222" s="1201"/>
      <c r="QIE222" s="1201"/>
      <c r="QIF222" s="1201"/>
      <c r="QIG222" s="1201"/>
      <c r="QIH222" s="1201"/>
      <c r="QII222" s="1201"/>
      <c r="QIJ222" s="1201"/>
      <c r="QIK222" s="1201"/>
      <c r="QIL222" s="1201"/>
      <c r="QIM222" s="1201"/>
      <c r="QIN222" s="1201"/>
      <c r="QIO222" s="1201"/>
      <c r="QIP222" s="1201"/>
      <c r="QIQ222" s="1201"/>
      <c r="QIR222" s="1201"/>
      <c r="QIS222" s="1201"/>
      <c r="QIT222" s="1201"/>
      <c r="QIU222" s="1201"/>
      <c r="QIV222" s="1201"/>
      <c r="QIW222" s="1201"/>
      <c r="QIX222" s="1201"/>
      <c r="QIY222" s="1201"/>
      <c r="QIZ222" s="1201"/>
      <c r="QJA222" s="1201"/>
      <c r="QJB222" s="1201"/>
      <c r="QJC222" s="1201"/>
      <c r="QJD222" s="1201"/>
      <c r="QJE222" s="1201"/>
      <c r="QJF222" s="1201"/>
      <c r="QJG222" s="1201"/>
      <c r="QJH222" s="1201"/>
      <c r="QJI222" s="1201"/>
      <c r="QJJ222" s="1201"/>
      <c r="QJK222" s="1201"/>
      <c r="QJL222" s="1201"/>
      <c r="QJM222" s="1201"/>
      <c r="QJN222" s="1201"/>
      <c r="QJO222" s="1201"/>
      <c r="QJP222" s="1201"/>
      <c r="QJQ222" s="1201"/>
      <c r="QJR222" s="1201"/>
      <c r="QJS222" s="1201"/>
      <c r="QJT222" s="1201"/>
      <c r="QJU222" s="1201"/>
      <c r="QJV222" s="1201"/>
      <c r="QJW222" s="1201"/>
      <c r="QJX222" s="1201"/>
      <c r="QJY222" s="1201"/>
      <c r="QJZ222" s="1201"/>
      <c r="QKA222" s="1201"/>
      <c r="QKB222" s="1201"/>
      <c r="QKC222" s="1201"/>
      <c r="QKD222" s="1201"/>
      <c r="QKE222" s="1201"/>
      <c r="QKF222" s="1201"/>
      <c r="QKG222" s="1201"/>
      <c r="QKH222" s="1201"/>
      <c r="QKI222" s="1201"/>
      <c r="QKJ222" s="1201"/>
      <c r="QKK222" s="1201"/>
      <c r="QKL222" s="1201"/>
      <c r="QKM222" s="1201"/>
      <c r="QKN222" s="1201"/>
      <c r="QKO222" s="1201"/>
      <c r="QKP222" s="1201"/>
      <c r="QKQ222" s="1201"/>
      <c r="QKR222" s="1201"/>
      <c r="QKS222" s="1201"/>
      <c r="QKT222" s="1201"/>
      <c r="QKU222" s="1201"/>
      <c r="QKV222" s="1201"/>
      <c r="QKW222" s="1201"/>
      <c r="QKX222" s="1201"/>
      <c r="QKY222" s="1201"/>
      <c r="QKZ222" s="1201"/>
      <c r="QLA222" s="1201"/>
      <c r="QLB222" s="1201"/>
      <c r="QLC222" s="1201"/>
      <c r="QLD222" s="1201"/>
      <c r="QLE222" s="1201"/>
      <c r="QLF222" s="1201"/>
      <c r="QLG222" s="1201"/>
      <c r="QLH222" s="1201"/>
      <c r="QLI222" s="1201"/>
      <c r="QLJ222" s="1201"/>
      <c r="QLK222" s="1201"/>
      <c r="QLL222" s="1201"/>
      <c r="QLM222" s="1201"/>
      <c r="QLN222" s="1201"/>
      <c r="QLO222" s="1201"/>
      <c r="QLP222" s="1201"/>
      <c r="QLQ222" s="1201"/>
      <c r="QLR222" s="1201"/>
      <c r="QLS222" s="1201"/>
      <c r="QLT222" s="1201"/>
      <c r="QLU222" s="1201"/>
      <c r="QLV222" s="1201"/>
      <c r="QLW222" s="1201"/>
      <c r="QLX222" s="1201"/>
      <c r="QLY222" s="1201"/>
      <c r="QLZ222" s="1201"/>
      <c r="QMA222" s="1201"/>
      <c r="QMB222" s="1201"/>
      <c r="QMC222" s="1201"/>
      <c r="QMD222" s="1201"/>
      <c r="QME222" s="1201"/>
      <c r="QMF222" s="1201"/>
      <c r="QMG222" s="1201"/>
      <c r="QMH222" s="1201"/>
      <c r="QMI222" s="1201"/>
      <c r="QMJ222" s="1201"/>
      <c r="QMK222" s="1201"/>
      <c r="QML222" s="1201"/>
      <c r="QMM222" s="1201"/>
      <c r="QMN222" s="1201"/>
      <c r="QMO222" s="1201"/>
      <c r="QMP222" s="1201"/>
      <c r="QMQ222" s="1201"/>
      <c r="QMR222" s="1201"/>
      <c r="QMS222" s="1201"/>
      <c r="QMT222" s="1201"/>
      <c r="QMU222" s="1201"/>
      <c r="QMV222" s="1201"/>
      <c r="QMW222" s="1201"/>
      <c r="QMX222" s="1201"/>
      <c r="QMY222" s="1201"/>
      <c r="QMZ222" s="1201"/>
      <c r="QNA222" s="1201"/>
      <c r="QNB222" s="1201"/>
      <c r="QNC222" s="1201"/>
      <c r="QND222" s="1201"/>
      <c r="QNE222" s="1201"/>
      <c r="QNF222" s="1201"/>
      <c r="QNG222" s="1201"/>
      <c r="QNH222" s="1201"/>
      <c r="QNI222" s="1201"/>
      <c r="QNJ222" s="1201"/>
      <c r="QNK222" s="1201"/>
      <c r="QNL222" s="1201"/>
      <c r="QNM222" s="1201"/>
      <c r="QNN222" s="1201"/>
      <c r="QNO222" s="1201"/>
      <c r="QNP222" s="1201"/>
      <c r="QNQ222" s="1201"/>
      <c r="QNR222" s="1201"/>
      <c r="QNS222" s="1201"/>
      <c r="QNT222" s="1201"/>
      <c r="QNU222" s="1201"/>
      <c r="QNV222" s="1201"/>
      <c r="QNW222" s="1201"/>
      <c r="QNX222" s="1201"/>
      <c r="QNY222" s="1201"/>
      <c r="QNZ222" s="1201"/>
      <c r="QOA222" s="1201"/>
      <c r="QOB222" s="1201"/>
      <c r="QOC222" s="1201"/>
      <c r="QOD222" s="1201"/>
      <c r="QOE222" s="1201"/>
      <c r="QOF222" s="1201"/>
      <c r="QOG222" s="1201"/>
      <c r="QOH222" s="1201"/>
      <c r="QOI222" s="1201"/>
      <c r="QOJ222" s="1201"/>
      <c r="QOK222" s="1201"/>
      <c r="QOL222" s="1201"/>
      <c r="QOM222" s="1201"/>
      <c r="QON222" s="1201"/>
      <c r="QOO222" s="1201"/>
      <c r="QOP222" s="1201"/>
      <c r="QOQ222" s="1201"/>
      <c r="QOR222" s="1201"/>
      <c r="QOS222" s="1201"/>
      <c r="QOT222" s="1201"/>
      <c r="QOU222" s="1201"/>
      <c r="QOV222" s="1201"/>
      <c r="QOW222" s="1201"/>
      <c r="QOX222" s="1201"/>
      <c r="QOY222" s="1201"/>
      <c r="QOZ222" s="1201"/>
      <c r="QPA222" s="1201"/>
      <c r="QPB222" s="1201"/>
      <c r="QPC222" s="1201"/>
      <c r="QPD222" s="1201"/>
      <c r="QPE222" s="1201"/>
      <c r="QPF222" s="1201"/>
      <c r="QPG222" s="1201"/>
      <c r="QPH222" s="1201"/>
      <c r="QPI222" s="1201"/>
      <c r="QPJ222" s="1201"/>
      <c r="QPK222" s="1201"/>
      <c r="QPL222" s="1201"/>
      <c r="QPM222" s="1201"/>
      <c r="QPN222" s="1201"/>
      <c r="QPO222" s="1201"/>
      <c r="QPP222" s="1201"/>
      <c r="QPQ222" s="1201"/>
      <c r="QPR222" s="1201"/>
      <c r="QPS222" s="1201"/>
      <c r="QPT222" s="1201"/>
      <c r="QPU222" s="1201"/>
      <c r="QPV222" s="1201"/>
      <c r="QPW222" s="1201"/>
      <c r="QPX222" s="1201"/>
      <c r="QPY222" s="1201"/>
      <c r="QPZ222" s="1201"/>
      <c r="QQA222" s="1201"/>
      <c r="QQB222" s="1201"/>
      <c r="QQC222" s="1201"/>
      <c r="QQD222" s="1201"/>
      <c r="QQE222" s="1201"/>
      <c r="QQF222" s="1201"/>
      <c r="QQG222" s="1201"/>
      <c r="QQH222" s="1201"/>
      <c r="QQI222" s="1201"/>
      <c r="QQJ222" s="1201"/>
      <c r="QQK222" s="1201"/>
      <c r="QQL222" s="1201"/>
      <c r="QQM222" s="1201"/>
      <c r="QQN222" s="1201"/>
      <c r="QQO222" s="1201"/>
      <c r="QQP222" s="1201"/>
      <c r="QQQ222" s="1201"/>
      <c r="QQR222" s="1201"/>
      <c r="QQS222" s="1201"/>
      <c r="QQT222" s="1201"/>
      <c r="QQU222" s="1201"/>
      <c r="QQV222" s="1201"/>
      <c r="QQW222" s="1201"/>
      <c r="QQX222" s="1201"/>
      <c r="QQY222" s="1201"/>
      <c r="QQZ222" s="1201"/>
      <c r="QRA222" s="1201"/>
      <c r="QRB222" s="1201"/>
      <c r="QRC222" s="1201"/>
      <c r="QRD222" s="1201"/>
      <c r="QRE222" s="1201"/>
      <c r="QRF222" s="1201"/>
      <c r="QRG222" s="1201"/>
      <c r="QRH222" s="1201"/>
      <c r="QRI222" s="1201"/>
      <c r="QRJ222" s="1201"/>
      <c r="QRK222" s="1201"/>
      <c r="QRL222" s="1201"/>
      <c r="QRM222" s="1201"/>
      <c r="QRN222" s="1201"/>
      <c r="QRO222" s="1201"/>
      <c r="QRP222" s="1201"/>
      <c r="QRQ222" s="1201"/>
      <c r="QRR222" s="1201"/>
      <c r="QRS222" s="1201"/>
      <c r="QRT222" s="1201"/>
      <c r="QRU222" s="1201"/>
      <c r="QRV222" s="1201"/>
      <c r="QRW222" s="1201"/>
      <c r="QRX222" s="1201"/>
      <c r="QRY222" s="1201"/>
      <c r="QRZ222" s="1201"/>
      <c r="QSA222" s="1201"/>
      <c r="QSB222" s="1201"/>
      <c r="QSC222" s="1201"/>
      <c r="QSD222" s="1201"/>
      <c r="QSE222" s="1201"/>
      <c r="QSF222" s="1201"/>
      <c r="QSG222" s="1201"/>
      <c r="QSH222" s="1201"/>
      <c r="QSI222" s="1201"/>
      <c r="QSJ222" s="1201"/>
      <c r="QSK222" s="1201"/>
      <c r="QSL222" s="1201"/>
      <c r="QSM222" s="1201"/>
      <c r="QSN222" s="1201"/>
      <c r="QSO222" s="1201"/>
      <c r="QSP222" s="1201"/>
      <c r="QSQ222" s="1201"/>
      <c r="QSR222" s="1201"/>
      <c r="QSS222" s="1201"/>
      <c r="QST222" s="1201"/>
      <c r="QSU222" s="1201"/>
      <c r="QSV222" s="1201"/>
      <c r="QSW222" s="1201"/>
      <c r="QSX222" s="1201"/>
      <c r="QSY222" s="1201"/>
      <c r="QSZ222" s="1201"/>
      <c r="QTA222" s="1201"/>
      <c r="QTB222" s="1201"/>
      <c r="QTC222" s="1201"/>
      <c r="QTD222" s="1201"/>
      <c r="QTE222" s="1201"/>
      <c r="QTF222" s="1201"/>
      <c r="QTG222" s="1201"/>
      <c r="QTH222" s="1201"/>
      <c r="QTI222" s="1201"/>
      <c r="QTJ222" s="1201"/>
      <c r="QTK222" s="1201"/>
      <c r="QTL222" s="1201"/>
      <c r="QTM222" s="1201"/>
      <c r="QTN222" s="1201"/>
      <c r="QTO222" s="1201"/>
      <c r="QTP222" s="1201"/>
      <c r="QTQ222" s="1201"/>
      <c r="QTR222" s="1201"/>
      <c r="QTS222" s="1201"/>
      <c r="QTT222" s="1201"/>
      <c r="QTU222" s="1201"/>
      <c r="QTV222" s="1201"/>
      <c r="QTW222" s="1201"/>
      <c r="QTX222" s="1201"/>
      <c r="QTY222" s="1201"/>
      <c r="QTZ222" s="1201"/>
      <c r="QUA222" s="1201"/>
      <c r="QUB222" s="1201"/>
      <c r="QUC222" s="1201"/>
      <c r="QUD222" s="1201"/>
      <c r="QUE222" s="1201"/>
      <c r="QUF222" s="1201"/>
      <c r="QUG222" s="1201"/>
      <c r="QUH222" s="1201"/>
      <c r="QUI222" s="1201"/>
      <c r="QUJ222" s="1201"/>
      <c r="QUK222" s="1201"/>
      <c r="QUL222" s="1201"/>
      <c r="QUM222" s="1201"/>
      <c r="QUN222" s="1201"/>
      <c r="QUO222" s="1201"/>
      <c r="QUP222" s="1201"/>
      <c r="QUQ222" s="1201"/>
      <c r="QUR222" s="1201"/>
      <c r="QUS222" s="1201"/>
      <c r="QUT222" s="1201"/>
      <c r="QUU222" s="1201"/>
      <c r="QUV222" s="1201"/>
      <c r="QUW222" s="1201"/>
      <c r="QUX222" s="1201"/>
      <c r="QUY222" s="1201"/>
      <c r="QUZ222" s="1201"/>
      <c r="QVA222" s="1201"/>
      <c r="QVB222" s="1201"/>
      <c r="QVC222" s="1201"/>
      <c r="QVD222" s="1201"/>
      <c r="QVE222" s="1201"/>
      <c r="QVF222" s="1201"/>
      <c r="QVG222" s="1201"/>
      <c r="QVH222" s="1201"/>
      <c r="QVI222" s="1201"/>
      <c r="QVJ222" s="1201"/>
      <c r="QVK222" s="1201"/>
      <c r="QVL222" s="1201"/>
      <c r="QVM222" s="1201"/>
      <c r="QVN222" s="1201"/>
      <c r="QVO222" s="1201"/>
      <c r="QVP222" s="1201"/>
      <c r="QVQ222" s="1201"/>
      <c r="QVR222" s="1201"/>
      <c r="QVS222" s="1201"/>
      <c r="QVT222" s="1201"/>
      <c r="QVU222" s="1201"/>
      <c r="QVV222" s="1201"/>
      <c r="QVW222" s="1201"/>
      <c r="QVX222" s="1201"/>
      <c r="QVY222" s="1201"/>
      <c r="QVZ222" s="1201"/>
      <c r="QWA222" s="1201"/>
      <c r="QWB222" s="1201"/>
      <c r="QWC222" s="1201"/>
      <c r="QWD222" s="1201"/>
      <c r="QWE222" s="1201"/>
      <c r="QWF222" s="1201"/>
      <c r="QWG222" s="1201"/>
      <c r="QWH222" s="1201"/>
      <c r="QWI222" s="1201"/>
      <c r="QWJ222" s="1201"/>
      <c r="QWK222" s="1201"/>
      <c r="QWL222" s="1201"/>
      <c r="QWM222" s="1201"/>
      <c r="QWN222" s="1201"/>
      <c r="QWO222" s="1201"/>
      <c r="QWP222" s="1201"/>
      <c r="QWQ222" s="1201"/>
      <c r="QWR222" s="1201"/>
      <c r="QWS222" s="1201"/>
      <c r="QWT222" s="1201"/>
      <c r="QWU222" s="1201"/>
      <c r="QWV222" s="1201"/>
      <c r="QWW222" s="1201"/>
      <c r="QWX222" s="1201"/>
      <c r="QWY222" s="1201"/>
      <c r="QWZ222" s="1201"/>
      <c r="QXA222" s="1201"/>
      <c r="QXB222" s="1201"/>
      <c r="QXC222" s="1201"/>
      <c r="QXD222" s="1201"/>
      <c r="QXE222" s="1201"/>
      <c r="QXF222" s="1201"/>
      <c r="QXG222" s="1201"/>
      <c r="QXH222" s="1201"/>
      <c r="QXI222" s="1201"/>
      <c r="QXJ222" s="1201"/>
      <c r="QXK222" s="1201"/>
      <c r="QXL222" s="1201"/>
      <c r="QXM222" s="1201"/>
      <c r="QXN222" s="1201"/>
      <c r="QXO222" s="1201"/>
      <c r="QXP222" s="1201"/>
      <c r="QXQ222" s="1201"/>
      <c r="QXR222" s="1201"/>
      <c r="QXS222" s="1201"/>
      <c r="QXT222" s="1201"/>
      <c r="QXU222" s="1201"/>
      <c r="QXV222" s="1201"/>
      <c r="QXW222" s="1201"/>
      <c r="QXX222" s="1201"/>
      <c r="QXY222" s="1201"/>
      <c r="QXZ222" s="1201"/>
      <c r="QYA222" s="1201"/>
      <c r="QYB222" s="1201"/>
      <c r="QYC222" s="1201"/>
      <c r="QYD222" s="1201"/>
      <c r="QYE222" s="1201"/>
      <c r="QYF222" s="1201"/>
      <c r="QYG222" s="1201"/>
      <c r="QYH222" s="1201"/>
      <c r="QYI222" s="1201"/>
      <c r="QYJ222" s="1201"/>
      <c r="QYK222" s="1201"/>
      <c r="QYL222" s="1201"/>
      <c r="QYM222" s="1201"/>
      <c r="QYN222" s="1201"/>
      <c r="QYO222" s="1201"/>
      <c r="QYP222" s="1201"/>
      <c r="QYQ222" s="1201"/>
      <c r="QYR222" s="1201"/>
      <c r="QYS222" s="1201"/>
      <c r="QYT222" s="1201"/>
      <c r="QYU222" s="1201"/>
      <c r="QYV222" s="1201"/>
      <c r="QYW222" s="1201"/>
      <c r="QYX222" s="1201"/>
      <c r="QYY222" s="1201"/>
      <c r="QYZ222" s="1201"/>
      <c r="QZA222" s="1201"/>
      <c r="QZB222" s="1201"/>
      <c r="QZC222" s="1201"/>
      <c r="QZD222" s="1201"/>
      <c r="QZE222" s="1201"/>
      <c r="QZF222" s="1201"/>
      <c r="QZG222" s="1201"/>
      <c r="QZH222" s="1201"/>
      <c r="QZI222" s="1201"/>
      <c r="QZJ222" s="1201"/>
      <c r="QZK222" s="1201"/>
      <c r="QZL222" s="1201"/>
      <c r="QZM222" s="1201"/>
      <c r="QZN222" s="1201"/>
      <c r="QZO222" s="1201"/>
      <c r="QZP222" s="1201"/>
      <c r="QZQ222" s="1201"/>
      <c r="QZR222" s="1201"/>
      <c r="QZS222" s="1201"/>
      <c r="QZT222" s="1201"/>
      <c r="QZU222" s="1201"/>
      <c r="QZV222" s="1201"/>
      <c r="QZW222" s="1201"/>
      <c r="QZX222" s="1201"/>
      <c r="QZY222" s="1201"/>
      <c r="QZZ222" s="1201"/>
      <c r="RAA222" s="1201"/>
      <c r="RAB222" s="1201"/>
      <c r="RAC222" s="1201"/>
      <c r="RAD222" s="1201"/>
      <c r="RAE222" s="1201"/>
      <c r="RAF222" s="1201"/>
      <c r="RAG222" s="1201"/>
      <c r="RAH222" s="1201"/>
      <c r="RAI222" s="1201"/>
      <c r="RAJ222" s="1201"/>
      <c r="RAK222" s="1201"/>
      <c r="RAL222" s="1201"/>
      <c r="RAM222" s="1201"/>
      <c r="RAN222" s="1201"/>
      <c r="RAO222" s="1201"/>
      <c r="RAP222" s="1201"/>
      <c r="RAQ222" s="1201"/>
      <c r="RAR222" s="1201"/>
      <c r="RAS222" s="1201"/>
      <c r="RAT222" s="1201"/>
      <c r="RAU222" s="1201"/>
      <c r="RAV222" s="1201"/>
      <c r="RAW222" s="1201"/>
      <c r="RAX222" s="1201"/>
      <c r="RAY222" s="1201"/>
      <c r="RAZ222" s="1201"/>
      <c r="RBA222" s="1201"/>
      <c r="RBB222" s="1201"/>
      <c r="RBC222" s="1201"/>
      <c r="RBD222" s="1201"/>
      <c r="RBE222" s="1201"/>
      <c r="RBF222" s="1201"/>
      <c r="RBG222" s="1201"/>
      <c r="RBH222" s="1201"/>
      <c r="RBI222" s="1201"/>
      <c r="RBJ222" s="1201"/>
      <c r="RBK222" s="1201"/>
      <c r="RBL222" s="1201"/>
      <c r="RBM222" s="1201"/>
      <c r="RBN222" s="1201"/>
      <c r="RBO222" s="1201"/>
      <c r="RBP222" s="1201"/>
      <c r="RBQ222" s="1201"/>
      <c r="RBR222" s="1201"/>
      <c r="RBS222" s="1201"/>
      <c r="RBT222" s="1201"/>
      <c r="RBU222" s="1201"/>
      <c r="RBV222" s="1201"/>
      <c r="RBW222" s="1201"/>
      <c r="RBX222" s="1201"/>
      <c r="RBY222" s="1201"/>
      <c r="RBZ222" s="1201"/>
      <c r="RCA222" s="1201"/>
      <c r="RCB222" s="1201"/>
      <c r="RCC222" s="1201"/>
      <c r="RCD222" s="1201"/>
      <c r="RCE222" s="1201"/>
      <c r="RCF222" s="1201"/>
      <c r="RCG222" s="1201"/>
      <c r="RCH222" s="1201"/>
      <c r="RCI222" s="1201"/>
      <c r="RCJ222" s="1201"/>
      <c r="RCK222" s="1201"/>
      <c r="RCL222" s="1201"/>
      <c r="RCM222" s="1201"/>
      <c r="RCN222" s="1201"/>
      <c r="RCO222" s="1201"/>
      <c r="RCP222" s="1201"/>
      <c r="RCQ222" s="1201"/>
      <c r="RCR222" s="1201"/>
      <c r="RCS222" s="1201"/>
      <c r="RCT222" s="1201"/>
      <c r="RCU222" s="1201"/>
      <c r="RCV222" s="1201"/>
      <c r="RCW222" s="1201"/>
      <c r="RCX222" s="1201"/>
      <c r="RCY222" s="1201"/>
      <c r="RCZ222" s="1201"/>
      <c r="RDA222" s="1201"/>
      <c r="RDB222" s="1201"/>
      <c r="RDC222" s="1201"/>
      <c r="RDD222" s="1201"/>
      <c r="RDE222" s="1201"/>
      <c r="RDF222" s="1201"/>
      <c r="RDG222" s="1201"/>
      <c r="RDH222" s="1201"/>
      <c r="RDI222" s="1201"/>
      <c r="RDJ222" s="1201"/>
      <c r="RDK222" s="1201"/>
      <c r="RDL222" s="1201"/>
      <c r="RDM222" s="1201"/>
      <c r="RDN222" s="1201"/>
      <c r="RDO222" s="1201"/>
      <c r="RDP222" s="1201"/>
      <c r="RDQ222" s="1201"/>
      <c r="RDR222" s="1201"/>
      <c r="RDS222" s="1201"/>
      <c r="RDT222" s="1201"/>
      <c r="RDU222" s="1201"/>
      <c r="RDV222" s="1201"/>
      <c r="RDW222" s="1201"/>
      <c r="RDX222" s="1201"/>
      <c r="RDY222" s="1201"/>
      <c r="RDZ222" s="1201"/>
      <c r="REA222" s="1201"/>
      <c r="REB222" s="1201"/>
      <c r="REC222" s="1201"/>
      <c r="RED222" s="1201"/>
      <c r="REE222" s="1201"/>
      <c r="REF222" s="1201"/>
      <c r="REG222" s="1201"/>
      <c r="REH222" s="1201"/>
      <c r="REI222" s="1201"/>
      <c r="REJ222" s="1201"/>
      <c r="REK222" s="1201"/>
      <c r="REL222" s="1201"/>
      <c r="REM222" s="1201"/>
      <c r="REN222" s="1201"/>
      <c r="REO222" s="1201"/>
      <c r="REP222" s="1201"/>
      <c r="REQ222" s="1201"/>
      <c r="RER222" s="1201"/>
      <c r="RES222" s="1201"/>
      <c r="RET222" s="1201"/>
      <c r="REU222" s="1201"/>
      <c r="REV222" s="1201"/>
      <c r="REW222" s="1201"/>
      <c r="REX222" s="1201"/>
      <c r="REY222" s="1201"/>
      <c r="REZ222" s="1201"/>
      <c r="RFA222" s="1201"/>
      <c r="RFB222" s="1201"/>
      <c r="RFC222" s="1201"/>
      <c r="RFD222" s="1201"/>
      <c r="RFE222" s="1201"/>
      <c r="RFF222" s="1201"/>
      <c r="RFG222" s="1201"/>
      <c r="RFH222" s="1201"/>
      <c r="RFI222" s="1201"/>
      <c r="RFJ222" s="1201"/>
      <c r="RFK222" s="1201"/>
      <c r="RFL222" s="1201"/>
      <c r="RFM222" s="1201"/>
      <c r="RFN222" s="1201"/>
      <c r="RFO222" s="1201"/>
      <c r="RFP222" s="1201"/>
      <c r="RFQ222" s="1201"/>
      <c r="RFR222" s="1201"/>
      <c r="RFS222" s="1201"/>
      <c r="RFT222" s="1201"/>
      <c r="RFU222" s="1201"/>
      <c r="RFV222" s="1201"/>
      <c r="RFW222" s="1201"/>
      <c r="RFX222" s="1201"/>
      <c r="RFY222" s="1201"/>
      <c r="RFZ222" s="1201"/>
      <c r="RGA222" s="1201"/>
      <c r="RGB222" s="1201"/>
      <c r="RGC222" s="1201"/>
      <c r="RGD222" s="1201"/>
      <c r="RGE222" s="1201"/>
      <c r="RGF222" s="1201"/>
      <c r="RGG222" s="1201"/>
      <c r="RGH222" s="1201"/>
      <c r="RGI222" s="1201"/>
      <c r="RGJ222" s="1201"/>
      <c r="RGK222" s="1201"/>
      <c r="RGL222" s="1201"/>
      <c r="RGM222" s="1201"/>
      <c r="RGN222" s="1201"/>
      <c r="RGO222" s="1201"/>
      <c r="RGP222" s="1201"/>
      <c r="RGQ222" s="1201"/>
      <c r="RGR222" s="1201"/>
      <c r="RGS222" s="1201"/>
      <c r="RGT222" s="1201"/>
      <c r="RGU222" s="1201"/>
      <c r="RGV222" s="1201"/>
      <c r="RGW222" s="1201"/>
      <c r="RGX222" s="1201"/>
      <c r="RGY222" s="1201"/>
      <c r="RGZ222" s="1201"/>
      <c r="RHA222" s="1201"/>
      <c r="RHB222" s="1201"/>
      <c r="RHC222" s="1201"/>
      <c r="RHD222" s="1201"/>
      <c r="RHE222" s="1201"/>
      <c r="RHF222" s="1201"/>
      <c r="RHG222" s="1201"/>
      <c r="RHH222" s="1201"/>
      <c r="RHI222" s="1201"/>
      <c r="RHJ222" s="1201"/>
      <c r="RHK222" s="1201"/>
      <c r="RHL222" s="1201"/>
      <c r="RHM222" s="1201"/>
      <c r="RHN222" s="1201"/>
      <c r="RHO222" s="1201"/>
      <c r="RHP222" s="1201"/>
      <c r="RHQ222" s="1201"/>
      <c r="RHR222" s="1201"/>
      <c r="RHS222" s="1201"/>
      <c r="RHT222" s="1201"/>
      <c r="RHU222" s="1201"/>
      <c r="RHV222" s="1201"/>
      <c r="RHW222" s="1201"/>
      <c r="RHX222" s="1201"/>
      <c r="RHY222" s="1201"/>
      <c r="RHZ222" s="1201"/>
      <c r="RIA222" s="1201"/>
      <c r="RIB222" s="1201"/>
      <c r="RIC222" s="1201"/>
      <c r="RID222" s="1201"/>
      <c r="RIE222" s="1201"/>
      <c r="RIF222" s="1201"/>
      <c r="RIG222" s="1201"/>
      <c r="RIH222" s="1201"/>
      <c r="RII222" s="1201"/>
      <c r="RIJ222" s="1201"/>
      <c r="RIK222" s="1201"/>
      <c r="RIL222" s="1201"/>
      <c r="RIM222" s="1201"/>
      <c r="RIN222" s="1201"/>
      <c r="RIO222" s="1201"/>
      <c r="RIP222" s="1201"/>
      <c r="RIQ222" s="1201"/>
      <c r="RIR222" s="1201"/>
      <c r="RIS222" s="1201"/>
      <c r="RIT222" s="1201"/>
      <c r="RIU222" s="1201"/>
      <c r="RIV222" s="1201"/>
      <c r="RIW222" s="1201"/>
      <c r="RIX222" s="1201"/>
      <c r="RIY222" s="1201"/>
      <c r="RIZ222" s="1201"/>
      <c r="RJA222" s="1201"/>
      <c r="RJB222" s="1201"/>
      <c r="RJC222" s="1201"/>
      <c r="RJD222" s="1201"/>
      <c r="RJE222" s="1201"/>
      <c r="RJF222" s="1201"/>
      <c r="RJG222" s="1201"/>
      <c r="RJH222" s="1201"/>
      <c r="RJI222" s="1201"/>
      <c r="RJJ222" s="1201"/>
      <c r="RJK222" s="1201"/>
      <c r="RJL222" s="1201"/>
      <c r="RJM222" s="1201"/>
      <c r="RJN222" s="1201"/>
      <c r="RJO222" s="1201"/>
      <c r="RJP222" s="1201"/>
      <c r="RJQ222" s="1201"/>
      <c r="RJR222" s="1201"/>
      <c r="RJS222" s="1201"/>
      <c r="RJT222" s="1201"/>
      <c r="RJU222" s="1201"/>
      <c r="RJV222" s="1201"/>
      <c r="RJW222" s="1201"/>
      <c r="RJX222" s="1201"/>
      <c r="RJY222" s="1201"/>
      <c r="RJZ222" s="1201"/>
      <c r="RKA222" s="1201"/>
      <c r="RKB222" s="1201"/>
      <c r="RKC222" s="1201"/>
      <c r="RKD222" s="1201"/>
      <c r="RKE222" s="1201"/>
      <c r="RKF222" s="1201"/>
      <c r="RKG222" s="1201"/>
      <c r="RKH222" s="1201"/>
      <c r="RKI222" s="1201"/>
      <c r="RKJ222" s="1201"/>
      <c r="RKK222" s="1201"/>
      <c r="RKL222" s="1201"/>
      <c r="RKM222" s="1201"/>
      <c r="RKN222" s="1201"/>
      <c r="RKO222" s="1201"/>
      <c r="RKP222" s="1201"/>
      <c r="RKQ222" s="1201"/>
      <c r="RKR222" s="1201"/>
      <c r="RKS222" s="1201"/>
      <c r="RKT222" s="1201"/>
      <c r="RKU222" s="1201"/>
      <c r="RKV222" s="1201"/>
      <c r="RKW222" s="1201"/>
      <c r="RKX222" s="1201"/>
      <c r="RKY222" s="1201"/>
      <c r="RKZ222" s="1201"/>
      <c r="RLA222" s="1201"/>
      <c r="RLB222" s="1201"/>
      <c r="RLC222" s="1201"/>
      <c r="RLD222" s="1201"/>
      <c r="RLE222" s="1201"/>
      <c r="RLF222" s="1201"/>
      <c r="RLG222" s="1201"/>
      <c r="RLH222" s="1201"/>
      <c r="RLI222" s="1201"/>
      <c r="RLJ222" s="1201"/>
      <c r="RLK222" s="1201"/>
      <c r="RLL222" s="1201"/>
      <c r="RLM222" s="1201"/>
      <c r="RLN222" s="1201"/>
      <c r="RLO222" s="1201"/>
      <c r="RLP222" s="1201"/>
      <c r="RLQ222" s="1201"/>
      <c r="RLR222" s="1201"/>
      <c r="RLS222" s="1201"/>
      <c r="RLT222" s="1201"/>
      <c r="RLU222" s="1201"/>
      <c r="RLV222" s="1201"/>
      <c r="RLW222" s="1201"/>
      <c r="RLX222" s="1201"/>
      <c r="RLY222" s="1201"/>
      <c r="RLZ222" s="1201"/>
      <c r="RMA222" s="1201"/>
      <c r="RMB222" s="1201"/>
      <c r="RMC222" s="1201"/>
      <c r="RMD222" s="1201"/>
      <c r="RME222" s="1201"/>
      <c r="RMF222" s="1201"/>
      <c r="RMG222" s="1201"/>
      <c r="RMH222" s="1201"/>
      <c r="RMI222" s="1201"/>
      <c r="RMJ222" s="1201"/>
      <c r="RMK222" s="1201"/>
      <c r="RML222" s="1201"/>
      <c r="RMM222" s="1201"/>
      <c r="RMN222" s="1201"/>
      <c r="RMO222" s="1201"/>
      <c r="RMP222" s="1201"/>
      <c r="RMQ222" s="1201"/>
      <c r="RMR222" s="1201"/>
      <c r="RMS222" s="1201"/>
      <c r="RMT222" s="1201"/>
      <c r="RMU222" s="1201"/>
      <c r="RMV222" s="1201"/>
      <c r="RMW222" s="1201"/>
      <c r="RMX222" s="1201"/>
      <c r="RMY222" s="1201"/>
      <c r="RMZ222" s="1201"/>
      <c r="RNA222" s="1201"/>
      <c r="RNB222" s="1201"/>
      <c r="RNC222" s="1201"/>
      <c r="RND222" s="1201"/>
      <c r="RNE222" s="1201"/>
      <c r="RNF222" s="1201"/>
      <c r="RNG222" s="1201"/>
      <c r="RNH222" s="1201"/>
      <c r="RNI222" s="1201"/>
      <c r="RNJ222" s="1201"/>
      <c r="RNK222" s="1201"/>
      <c r="RNL222" s="1201"/>
      <c r="RNM222" s="1201"/>
      <c r="RNN222" s="1201"/>
      <c r="RNO222" s="1201"/>
      <c r="RNP222" s="1201"/>
      <c r="RNQ222" s="1201"/>
      <c r="RNR222" s="1201"/>
      <c r="RNS222" s="1201"/>
      <c r="RNT222" s="1201"/>
      <c r="RNU222" s="1201"/>
      <c r="RNV222" s="1201"/>
      <c r="RNW222" s="1201"/>
      <c r="RNX222" s="1201"/>
      <c r="RNY222" s="1201"/>
      <c r="RNZ222" s="1201"/>
      <c r="ROA222" s="1201"/>
      <c r="ROB222" s="1201"/>
      <c r="ROC222" s="1201"/>
      <c r="ROD222" s="1201"/>
      <c r="ROE222" s="1201"/>
      <c r="ROF222" s="1201"/>
      <c r="ROG222" s="1201"/>
      <c r="ROH222" s="1201"/>
      <c r="ROI222" s="1201"/>
      <c r="ROJ222" s="1201"/>
      <c r="ROK222" s="1201"/>
      <c r="ROL222" s="1201"/>
      <c r="ROM222" s="1201"/>
      <c r="RON222" s="1201"/>
      <c r="ROO222" s="1201"/>
      <c r="ROP222" s="1201"/>
      <c r="ROQ222" s="1201"/>
      <c r="ROR222" s="1201"/>
      <c r="ROS222" s="1201"/>
      <c r="ROT222" s="1201"/>
      <c r="ROU222" s="1201"/>
      <c r="ROV222" s="1201"/>
      <c r="ROW222" s="1201"/>
      <c r="ROX222" s="1201"/>
      <c r="ROY222" s="1201"/>
      <c r="ROZ222" s="1201"/>
      <c r="RPA222" s="1201"/>
      <c r="RPB222" s="1201"/>
      <c r="RPC222" s="1201"/>
      <c r="RPD222" s="1201"/>
      <c r="RPE222" s="1201"/>
      <c r="RPF222" s="1201"/>
      <c r="RPG222" s="1201"/>
      <c r="RPH222" s="1201"/>
      <c r="RPI222" s="1201"/>
      <c r="RPJ222" s="1201"/>
      <c r="RPK222" s="1201"/>
      <c r="RPL222" s="1201"/>
      <c r="RPM222" s="1201"/>
      <c r="RPN222" s="1201"/>
      <c r="RPO222" s="1201"/>
      <c r="RPP222" s="1201"/>
      <c r="RPQ222" s="1201"/>
      <c r="RPR222" s="1201"/>
      <c r="RPS222" s="1201"/>
      <c r="RPT222" s="1201"/>
      <c r="RPU222" s="1201"/>
      <c r="RPV222" s="1201"/>
      <c r="RPW222" s="1201"/>
      <c r="RPX222" s="1201"/>
      <c r="RPY222" s="1201"/>
      <c r="RPZ222" s="1201"/>
      <c r="RQA222" s="1201"/>
      <c r="RQB222" s="1201"/>
      <c r="RQC222" s="1201"/>
      <c r="RQD222" s="1201"/>
      <c r="RQE222" s="1201"/>
      <c r="RQF222" s="1201"/>
      <c r="RQG222" s="1201"/>
      <c r="RQH222" s="1201"/>
      <c r="RQI222" s="1201"/>
      <c r="RQJ222" s="1201"/>
      <c r="RQK222" s="1201"/>
      <c r="RQL222" s="1201"/>
      <c r="RQM222" s="1201"/>
      <c r="RQN222" s="1201"/>
      <c r="RQO222" s="1201"/>
      <c r="RQP222" s="1201"/>
      <c r="RQQ222" s="1201"/>
      <c r="RQR222" s="1201"/>
      <c r="RQS222" s="1201"/>
      <c r="RQT222" s="1201"/>
      <c r="RQU222" s="1201"/>
      <c r="RQV222" s="1201"/>
      <c r="RQW222" s="1201"/>
      <c r="RQX222" s="1201"/>
      <c r="RQY222" s="1201"/>
      <c r="RQZ222" s="1201"/>
      <c r="RRA222" s="1201"/>
      <c r="RRB222" s="1201"/>
      <c r="RRC222" s="1201"/>
      <c r="RRD222" s="1201"/>
      <c r="RRE222" s="1201"/>
      <c r="RRF222" s="1201"/>
      <c r="RRG222" s="1201"/>
      <c r="RRH222" s="1201"/>
      <c r="RRI222" s="1201"/>
      <c r="RRJ222" s="1201"/>
      <c r="RRK222" s="1201"/>
      <c r="RRL222" s="1201"/>
      <c r="RRM222" s="1201"/>
      <c r="RRN222" s="1201"/>
      <c r="RRO222" s="1201"/>
      <c r="RRP222" s="1201"/>
      <c r="RRQ222" s="1201"/>
      <c r="RRR222" s="1201"/>
      <c r="RRS222" s="1201"/>
      <c r="RRT222" s="1201"/>
      <c r="RRU222" s="1201"/>
      <c r="RRV222" s="1201"/>
      <c r="RRW222" s="1201"/>
      <c r="RRX222" s="1201"/>
      <c r="RRY222" s="1201"/>
      <c r="RRZ222" s="1201"/>
      <c r="RSA222" s="1201"/>
      <c r="RSB222" s="1201"/>
      <c r="RSC222" s="1201"/>
      <c r="RSD222" s="1201"/>
      <c r="RSE222" s="1201"/>
      <c r="RSF222" s="1201"/>
      <c r="RSG222" s="1201"/>
      <c r="RSH222" s="1201"/>
      <c r="RSI222" s="1201"/>
      <c r="RSJ222" s="1201"/>
      <c r="RSK222" s="1201"/>
      <c r="RSL222" s="1201"/>
      <c r="RSM222" s="1201"/>
      <c r="RSN222" s="1201"/>
      <c r="RSO222" s="1201"/>
      <c r="RSP222" s="1201"/>
      <c r="RSQ222" s="1201"/>
      <c r="RSR222" s="1201"/>
      <c r="RSS222" s="1201"/>
      <c r="RST222" s="1201"/>
      <c r="RSU222" s="1201"/>
      <c r="RSV222" s="1201"/>
      <c r="RSW222" s="1201"/>
      <c r="RSX222" s="1201"/>
      <c r="RSY222" s="1201"/>
      <c r="RSZ222" s="1201"/>
      <c r="RTA222" s="1201"/>
      <c r="RTB222" s="1201"/>
      <c r="RTC222" s="1201"/>
      <c r="RTD222" s="1201"/>
      <c r="RTE222" s="1201"/>
      <c r="RTF222" s="1201"/>
      <c r="RTG222" s="1201"/>
      <c r="RTH222" s="1201"/>
      <c r="RTI222" s="1201"/>
      <c r="RTJ222" s="1201"/>
      <c r="RTK222" s="1201"/>
      <c r="RTL222" s="1201"/>
      <c r="RTM222" s="1201"/>
      <c r="RTN222" s="1201"/>
      <c r="RTO222" s="1201"/>
      <c r="RTP222" s="1201"/>
      <c r="RTQ222" s="1201"/>
      <c r="RTR222" s="1201"/>
      <c r="RTS222" s="1201"/>
      <c r="RTT222" s="1201"/>
      <c r="RTU222" s="1201"/>
      <c r="RTV222" s="1201"/>
      <c r="RTW222" s="1201"/>
      <c r="RTX222" s="1201"/>
      <c r="RTY222" s="1201"/>
      <c r="RTZ222" s="1201"/>
      <c r="RUA222" s="1201"/>
      <c r="RUB222" s="1201"/>
      <c r="RUC222" s="1201"/>
      <c r="RUD222" s="1201"/>
      <c r="RUE222" s="1201"/>
      <c r="RUF222" s="1201"/>
      <c r="RUG222" s="1201"/>
      <c r="RUH222" s="1201"/>
      <c r="RUI222" s="1201"/>
      <c r="RUJ222" s="1201"/>
      <c r="RUK222" s="1201"/>
      <c r="RUL222" s="1201"/>
      <c r="RUM222" s="1201"/>
      <c r="RUN222" s="1201"/>
      <c r="RUO222" s="1201"/>
      <c r="RUP222" s="1201"/>
      <c r="RUQ222" s="1201"/>
      <c r="RUR222" s="1201"/>
      <c r="RUS222" s="1201"/>
      <c r="RUT222" s="1201"/>
      <c r="RUU222" s="1201"/>
      <c r="RUV222" s="1201"/>
      <c r="RUW222" s="1201"/>
      <c r="RUX222" s="1201"/>
      <c r="RUY222" s="1201"/>
      <c r="RUZ222" s="1201"/>
      <c r="RVA222" s="1201"/>
      <c r="RVB222" s="1201"/>
      <c r="RVC222" s="1201"/>
      <c r="RVD222" s="1201"/>
      <c r="RVE222" s="1201"/>
      <c r="RVF222" s="1201"/>
      <c r="RVG222" s="1201"/>
      <c r="RVH222" s="1201"/>
      <c r="RVI222" s="1201"/>
      <c r="RVJ222" s="1201"/>
      <c r="RVK222" s="1201"/>
      <c r="RVL222" s="1201"/>
      <c r="RVM222" s="1201"/>
      <c r="RVN222" s="1201"/>
      <c r="RVO222" s="1201"/>
      <c r="RVP222" s="1201"/>
      <c r="RVQ222" s="1201"/>
      <c r="RVR222" s="1201"/>
      <c r="RVS222" s="1201"/>
      <c r="RVT222" s="1201"/>
      <c r="RVU222" s="1201"/>
      <c r="RVV222" s="1201"/>
      <c r="RVW222" s="1201"/>
      <c r="RVX222" s="1201"/>
      <c r="RVY222" s="1201"/>
      <c r="RVZ222" s="1201"/>
      <c r="RWA222" s="1201"/>
      <c r="RWB222" s="1201"/>
      <c r="RWC222" s="1201"/>
      <c r="RWD222" s="1201"/>
      <c r="RWE222" s="1201"/>
      <c r="RWF222" s="1201"/>
      <c r="RWG222" s="1201"/>
      <c r="RWH222" s="1201"/>
      <c r="RWI222" s="1201"/>
      <c r="RWJ222" s="1201"/>
      <c r="RWK222" s="1201"/>
      <c r="RWL222" s="1201"/>
      <c r="RWM222" s="1201"/>
      <c r="RWN222" s="1201"/>
      <c r="RWO222" s="1201"/>
      <c r="RWP222" s="1201"/>
      <c r="RWQ222" s="1201"/>
      <c r="RWR222" s="1201"/>
      <c r="RWS222" s="1201"/>
      <c r="RWT222" s="1201"/>
      <c r="RWU222" s="1201"/>
      <c r="RWV222" s="1201"/>
      <c r="RWW222" s="1201"/>
      <c r="RWX222" s="1201"/>
      <c r="RWY222" s="1201"/>
      <c r="RWZ222" s="1201"/>
      <c r="RXA222" s="1201"/>
      <c r="RXB222" s="1201"/>
      <c r="RXC222" s="1201"/>
      <c r="RXD222" s="1201"/>
      <c r="RXE222" s="1201"/>
      <c r="RXF222" s="1201"/>
      <c r="RXG222" s="1201"/>
      <c r="RXH222" s="1201"/>
      <c r="RXI222" s="1201"/>
      <c r="RXJ222" s="1201"/>
      <c r="RXK222" s="1201"/>
      <c r="RXL222" s="1201"/>
      <c r="RXM222" s="1201"/>
      <c r="RXN222" s="1201"/>
      <c r="RXO222" s="1201"/>
      <c r="RXP222" s="1201"/>
      <c r="RXQ222" s="1201"/>
      <c r="RXR222" s="1201"/>
      <c r="RXS222" s="1201"/>
      <c r="RXT222" s="1201"/>
      <c r="RXU222" s="1201"/>
      <c r="RXV222" s="1201"/>
      <c r="RXW222" s="1201"/>
      <c r="RXX222" s="1201"/>
      <c r="RXY222" s="1201"/>
      <c r="RXZ222" s="1201"/>
      <c r="RYA222" s="1201"/>
      <c r="RYB222" s="1201"/>
      <c r="RYC222" s="1201"/>
      <c r="RYD222" s="1201"/>
      <c r="RYE222" s="1201"/>
      <c r="RYF222" s="1201"/>
      <c r="RYG222" s="1201"/>
      <c r="RYH222" s="1201"/>
      <c r="RYI222" s="1201"/>
      <c r="RYJ222" s="1201"/>
      <c r="RYK222" s="1201"/>
      <c r="RYL222" s="1201"/>
      <c r="RYM222" s="1201"/>
      <c r="RYN222" s="1201"/>
      <c r="RYO222" s="1201"/>
      <c r="RYP222" s="1201"/>
      <c r="RYQ222" s="1201"/>
      <c r="RYR222" s="1201"/>
      <c r="RYS222" s="1201"/>
      <c r="RYT222" s="1201"/>
      <c r="RYU222" s="1201"/>
      <c r="RYV222" s="1201"/>
      <c r="RYW222" s="1201"/>
      <c r="RYX222" s="1201"/>
      <c r="RYY222" s="1201"/>
      <c r="RYZ222" s="1201"/>
      <c r="RZA222" s="1201"/>
      <c r="RZB222" s="1201"/>
      <c r="RZC222" s="1201"/>
      <c r="RZD222" s="1201"/>
      <c r="RZE222" s="1201"/>
      <c r="RZF222" s="1201"/>
      <c r="RZG222" s="1201"/>
      <c r="RZH222" s="1201"/>
      <c r="RZI222" s="1201"/>
      <c r="RZJ222" s="1201"/>
      <c r="RZK222" s="1201"/>
      <c r="RZL222" s="1201"/>
      <c r="RZM222" s="1201"/>
      <c r="RZN222" s="1201"/>
      <c r="RZO222" s="1201"/>
      <c r="RZP222" s="1201"/>
      <c r="RZQ222" s="1201"/>
      <c r="RZR222" s="1201"/>
      <c r="RZS222" s="1201"/>
      <c r="RZT222" s="1201"/>
      <c r="RZU222" s="1201"/>
      <c r="RZV222" s="1201"/>
      <c r="RZW222" s="1201"/>
      <c r="RZX222" s="1201"/>
      <c r="RZY222" s="1201"/>
      <c r="RZZ222" s="1201"/>
      <c r="SAA222" s="1201"/>
      <c r="SAB222" s="1201"/>
      <c r="SAC222" s="1201"/>
      <c r="SAD222" s="1201"/>
      <c r="SAE222" s="1201"/>
      <c r="SAF222" s="1201"/>
      <c r="SAG222" s="1201"/>
      <c r="SAH222" s="1201"/>
      <c r="SAI222" s="1201"/>
      <c r="SAJ222" s="1201"/>
      <c r="SAK222" s="1201"/>
      <c r="SAL222" s="1201"/>
      <c r="SAM222" s="1201"/>
      <c r="SAN222" s="1201"/>
      <c r="SAO222" s="1201"/>
      <c r="SAP222" s="1201"/>
      <c r="SAQ222" s="1201"/>
      <c r="SAR222" s="1201"/>
      <c r="SAS222" s="1201"/>
      <c r="SAT222" s="1201"/>
      <c r="SAU222" s="1201"/>
      <c r="SAV222" s="1201"/>
      <c r="SAW222" s="1201"/>
      <c r="SAX222" s="1201"/>
      <c r="SAY222" s="1201"/>
      <c r="SAZ222" s="1201"/>
      <c r="SBA222" s="1201"/>
      <c r="SBB222" s="1201"/>
      <c r="SBC222" s="1201"/>
      <c r="SBD222" s="1201"/>
      <c r="SBE222" s="1201"/>
      <c r="SBF222" s="1201"/>
      <c r="SBG222" s="1201"/>
      <c r="SBH222" s="1201"/>
      <c r="SBI222" s="1201"/>
      <c r="SBJ222" s="1201"/>
      <c r="SBK222" s="1201"/>
      <c r="SBL222" s="1201"/>
      <c r="SBM222" s="1201"/>
      <c r="SBN222" s="1201"/>
      <c r="SBO222" s="1201"/>
      <c r="SBP222" s="1201"/>
      <c r="SBQ222" s="1201"/>
      <c r="SBR222" s="1201"/>
      <c r="SBS222" s="1201"/>
      <c r="SBT222" s="1201"/>
      <c r="SBU222" s="1201"/>
      <c r="SBV222" s="1201"/>
      <c r="SBW222" s="1201"/>
      <c r="SBX222" s="1201"/>
      <c r="SBY222" s="1201"/>
      <c r="SBZ222" s="1201"/>
      <c r="SCA222" s="1201"/>
      <c r="SCB222" s="1201"/>
      <c r="SCC222" s="1201"/>
      <c r="SCD222" s="1201"/>
      <c r="SCE222" s="1201"/>
      <c r="SCF222" s="1201"/>
      <c r="SCG222" s="1201"/>
      <c r="SCH222" s="1201"/>
      <c r="SCI222" s="1201"/>
      <c r="SCJ222" s="1201"/>
      <c r="SCK222" s="1201"/>
      <c r="SCL222" s="1201"/>
      <c r="SCM222" s="1201"/>
      <c r="SCN222" s="1201"/>
      <c r="SCO222" s="1201"/>
      <c r="SCP222" s="1201"/>
      <c r="SCQ222" s="1201"/>
      <c r="SCR222" s="1201"/>
      <c r="SCS222" s="1201"/>
      <c r="SCT222" s="1201"/>
      <c r="SCU222" s="1201"/>
      <c r="SCV222" s="1201"/>
      <c r="SCW222" s="1201"/>
      <c r="SCX222" s="1201"/>
      <c r="SCY222" s="1201"/>
      <c r="SCZ222" s="1201"/>
      <c r="SDA222" s="1201"/>
      <c r="SDB222" s="1201"/>
      <c r="SDC222" s="1201"/>
      <c r="SDD222" s="1201"/>
      <c r="SDE222" s="1201"/>
      <c r="SDF222" s="1201"/>
      <c r="SDG222" s="1201"/>
      <c r="SDH222" s="1201"/>
      <c r="SDI222" s="1201"/>
      <c r="SDJ222" s="1201"/>
      <c r="SDK222" s="1201"/>
      <c r="SDL222" s="1201"/>
      <c r="SDM222" s="1201"/>
      <c r="SDN222" s="1201"/>
      <c r="SDO222" s="1201"/>
      <c r="SDP222" s="1201"/>
      <c r="SDQ222" s="1201"/>
      <c r="SDR222" s="1201"/>
      <c r="SDS222" s="1201"/>
      <c r="SDT222" s="1201"/>
      <c r="SDU222" s="1201"/>
      <c r="SDV222" s="1201"/>
      <c r="SDW222" s="1201"/>
      <c r="SDX222" s="1201"/>
      <c r="SDY222" s="1201"/>
      <c r="SDZ222" s="1201"/>
      <c r="SEA222" s="1201"/>
      <c r="SEB222" s="1201"/>
      <c r="SEC222" s="1201"/>
      <c r="SED222" s="1201"/>
      <c r="SEE222" s="1201"/>
      <c r="SEF222" s="1201"/>
      <c r="SEG222" s="1201"/>
      <c r="SEH222" s="1201"/>
      <c r="SEI222" s="1201"/>
      <c r="SEJ222" s="1201"/>
      <c r="SEK222" s="1201"/>
      <c r="SEL222" s="1201"/>
      <c r="SEM222" s="1201"/>
      <c r="SEN222" s="1201"/>
      <c r="SEO222" s="1201"/>
      <c r="SEP222" s="1201"/>
      <c r="SEQ222" s="1201"/>
      <c r="SER222" s="1201"/>
      <c r="SES222" s="1201"/>
      <c r="SET222" s="1201"/>
      <c r="SEU222" s="1201"/>
      <c r="SEV222" s="1201"/>
      <c r="SEW222" s="1201"/>
      <c r="SEX222" s="1201"/>
      <c r="SEY222" s="1201"/>
      <c r="SEZ222" s="1201"/>
      <c r="SFA222" s="1201"/>
      <c r="SFB222" s="1201"/>
      <c r="SFC222" s="1201"/>
      <c r="SFD222" s="1201"/>
      <c r="SFE222" s="1201"/>
      <c r="SFF222" s="1201"/>
      <c r="SFG222" s="1201"/>
      <c r="SFH222" s="1201"/>
      <c r="SFI222" s="1201"/>
      <c r="SFJ222" s="1201"/>
      <c r="SFK222" s="1201"/>
      <c r="SFL222" s="1201"/>
      <c r="SFM222" s="1201"/>
      <c r="SFN222" s="1201"/>
      <c r="SFO222" s="1201"/>
      <c r="SFP222" s="1201"/>
      <c r="SFQ222" s="1201"/>
      <c r="SFR222" s="1201"/>
      <c r="SFS222" s="1201"/>
      <c r="SFT222" s="1201"/>
      <c r="SFU222" s="1201"/>
      <c r="SFV222" s="1201"/>
      <c r="SFW222" s="1201"/>
      <c r="SFX222" s="1201"/>
      <c r="SFY222" s="1201"/>
      <c r="SFZ222" s="1201"/>
      <c r="SGA222" s="1201"/>
      <c r="SGB222" s="1201"/>
      <c r="SGC222" s="1201"/>
      <c r="SGD222" s="1201"/>
      <c r="SGE222" s="1201"/>
      <c r="SGF222" s="1201"/>
      <c r="SGG222" s="1201"/>
      <c r="SGH222" s="1201"/>
      <c r="SGI222" s="1201"/>
      <c r="SGJ222" s="1201"/>
      <c r="SGK222" s="1201"/>
      <c r="SGL222" s="1201"/>
      <c r="SGM222" s="1201"/>
      <c r="SGN222" s="1201"/>
      <c r="SGO222" s="1201"/>
      <c r="SGP222" s="1201"/>
      <c r="SGQ222" s="1201"/>
      <c r="SGR222" s="1201"/>
      <c r="SGS222" s="1201"/>
      <c r="SGT222" s="1201"/>
      <c r="SGU222" s="1201"/>
      <c r="SGV222" s="1201"/>
      <c r="SGW222" s="1201"/>
      <c r="SGX222" s="1201"/>
      <c r="SGY222" s="1201"/>
      <c r="SGZ222" s="1201"/>
      <c r="SHA222" s="1201"/>
      <c r="SHB222" s="1201"/>
      <c r="SHC222" s="1201"/>
      <c r="SHD222" s="1201"/>
      <c r="SHE222" s="1201"/>
      <c r="SHF222" s="1201"/>
      <c r="SHG222" s="1201"/>
      <c r="SHH222" s="1201"/>
      <c r="SHI222" s="1201"/>
      <c r="SHJ222" s="1201"/>
      <c r="SHK222" s="1201"/>
      <c r="SHL222" s="1201"/>
      <c r="SHM222" s="1201"/>
      <c r="SHN222" s="1201"/>
      <c r="SHO222" s="1201"/>
      <c r="SHP222" s="1201"/>
      <c r="SHQ222" s="1201"/>
      <c r="SHR222" s="1201"/>
      <c r="SHS222" s="1201"/>
      <c r="SHT222" s="1201"/>
      <c r="SHU222" s="1201"/>
      <c r="SHV222" s="1201"/>
      <c r="SHW222" s="1201"/>
      <c r="SHX222" s="1201"/>
      <c r="SHY222" s="1201"/>
      <c r="SHZ222" s="1201"/>
      <c r="SIA222" s="1201"/>
      <c r="SIB222" s="1201"/>
      <c r="SIC222" s="1201"/>
      <c r="SID222" s="1201"/>
      <c r="SIE222" s="1201"/>
      <c r="SIF222" s="1201"/>
      <c r="SIG222" s="1201"/>
      <c r="SIH222" s="1201"/>
      <c r="SII222" s="1201"/>
      <c r="SIJ222" s="1201"/>
      <c r="SIK222" s="1201"/>
      <c r="SIL222" s="1201"/>
      <c r="SIM222" s="1201"/>
      <c r="SIN222" s="1201"/>
      <c r="SIO222" s="1201"/>
      <c r="SIP222" s="1201"/>
      <c r="SIQ222" s="1201"/>
      <c r="SIR222" s="1201"/>
      <c r="SIS222" s="1201"/>
      <c r="SIT222" s="1201"/>
      <c r="SIU222" s="1201"/>
      <c r="SIV222" s="1201"/>
      <c r="SIW222" s="1201"/>
      <c r="SIX222" s="1201"/>
      <c r="SIY222" s="1201"/>
      <c r="SIZ222" s="1201"/>
      <c r="SJA222" s="1201"/>
      <c r="SJB222" s="1201"/>
      <c r="SJC222" s="1201"/>
      <c r="SJD222" s="1201"/>
      <c r="SJE222" s="1201"/>
      <c r="SJF222" s="1201"/>
      <c r="SJG222" s="1201"/>
      <c r="SJH222" s="1201"/>
      <c r="SJI222" s="1201"/>
      <c r="SJJ222" s="1201"/>
      <c r="SJK222" s="1201"/>
      <c r="SJL222" s="1201"/>
      <c r="SJM222" s="1201"/>
      <c r="SJN222" s="1201"/>
      <c r="SJO222" s="1201"/>
      <c r="SJP222" s="1201"/>
      <c r="SJQ222" s="1201"/>
      <c r="SJR222" s="1201"/>
      <c r="SJS222" s="1201"/>
      <c r="SJT222" s="1201"/>
      <c r="SJU222" s="1201"/>
      <c r="SJV222" s="1201"/>
      <c r="SJW222" s="1201"/>
      <c r="SJX222" s="1201"/>
      <c r="SJY222" s="1201"/>
      <c r="SJZ222" s="1201"/>
      <c r="SKA222" s="1201"/>
      <c r="SKB222" s="1201"/>
      <c r="SKC222" s="1201"/>
      <c r="SKD222" s="1201"/>
      <c r="SKE222" s="1201"/>
      <c r="SKF222" s="1201"/>
      <c r="SKG222" s="1201"/>
      <c r="SKH222" s="1201"/>
      <c r="SKI222" s="1201"/>
      <c r="SKJ222" s="1201"/>
      <c r="SKK222" s="1201"/>
      <c r="SKL222" s="1201"/>
      <c r="SKM222" s="1201"/>
      <c r="SKN222" s="1201"/>
      <c r="SKO222" s="1201"/>
      <c r="SKP222" s="1201"/>
      <c r="SKQ222" s="1201"/>
      <c r="SKR222" s="1201"/>
      <c r="SKS222" s="1201"/>
      <c r="SKT222" s="1201"/>
      <c r="SKU222" s="1201"/>
      <c r="SKV222" s="1201"/>
      <c r="SKW222" s="1201"/>
      <c r="SKX222" s="1201"/>
      <c r="SKY222" s="1201"/>
      <c r="SKZ222" s="1201"/>
      <c r="SLA222" s="1201"/>
      <c r="SLB222" s="1201"/>
      <c r="SLC222" s="1201"/>
      <c r="SLD222" s="1201"/>
      <c r="SLE222" s="1201"/>
      <c r="SLF222" s="1201"/>
      <c r="SLG222" s="1201"/>
      <c r="SLH222" s="1201"/>
      <c r="SLI222" s="1201"/>
      <c r="SLJ222" s="1201"/>
      <c r="SLK222" s="1201"/>
      <c r="SLL222" s="1201"/>
      <c r="SLM222" s="1201"/>
      <c r="SLN222" s="1201"/>
      <c r="SLO222" s="1201"/>
      <c r="SLP222" s="1201"/>
      <c r="SLQ222" s="1201"/>
      <c r="SLR222" s="1201"/>
      <c r="SLS222" s="1201"/>
      <c r="SLT222" s="1201"/>
      <c r="SLU222" s="1201"/>
      <c r="SLV222" s="1201"/>
      <c r="SLW222" s="1201"/>
      <c r="SLX222" s="1201"/>
      <c r="SLY222" s="1201"/>
      <c r="SLZ222" s="1201"/>
      <c r="SMA222" s="1201"/>
      <c r="SMB222" s="1201"/>
      <c r="SMC222" s="1201"/>
      <c r="SMD222" s="1201"/>
      <c r="SME222" s="1201"/>
      <c r="SMF222" s="1201"/>
      <c r="SMG222" s="1201"/>
      <c r="SMH222" s="1201"/>
      <c r="SMI222" s="1201"/>
      <c r="SMJ222" s="1201"/>
      <c r="SMK222" s="1201"/>
      <c r="SML222" s="1201"/>
      <c r="SMM222" s="1201"/>
      <c r="SMN222" s="1201"/>
      <c r="SMO222" s="1201"/>
      <c r="SMP222" s="1201"/>
      <c r="SMQ222" s="1201"/>
      <c r="SMR222" s="1201"/>
      <c r="SMS222" s="1201"/>
      <c r="SMT222" s="1201"/>
      <c r="SMU222" s="1201"/>
      <c r="SMV222" s="1201"/>
      <c r="SMW222" s="1201"/>
      <c r="SMX222" s="1201"/>
      <c r="SMY222" s="1201"/>
      <c r="SMZ222" s="1201"/>
      <c r="SNA222" s="1201"/>
      <c r="SNB222" s="1201"/>
      <c r="SNC222" s="1201"/>
      <c r="SND222" s="1201"/>
      <c r="SNE222" s="1201"/>
      <c r="SNF222" s="1201"/>
      <c r="SNG222" s="1201"/>
      <c r="SNH222" s="1201"/>
      <c r="SNI222" s="1201"/>
      <c r="SNJ222" s="1201"/>
      <c r="SNK222" s="1201"/>
      <c r="SNL222" s="1201"/>
      <c r="SNM222" s="1201"/>
      <c r="SNN222" s="1201"/>
      <c r="SNO222" s="1201"/>
      <c r="SNP222" s="1201"/>
      <c r="SNQ222" s="1201"/>
      <c r="SNR222" s="1201"/>
      <c r="SNS222" s="1201"/>
      <c r="SNT222" s="1201"/>
      <c r="SNU222" s="1201"/>
      <c r="SNV222" s="1201"/>
      <c r="SNW222" s="1201"/>
      <c r="SNX222" s="1201"/>
      <c r="SNY222" s="1201"/>
      <c r="SNZ222" s="1201"/>
      <c r="SOA222" s="1201"/>
      <c r="SOB222" s="1201"/>
      <c r="SOC222" s="1201"/>
      <c r="SOD222" s="1201"/>
      <c r="SOE222" s="1201"/>
      <c r="SOF222" s="1201"/>
      <c r="SOG222" s="1201"/>
      <c r="SOH222" s="1201"/>
      <c r="SOI222" s="1201"/>
      <c r="SOJ222" s="1201"/>
      <c r="SOK222" s="1201"/>
      <c r="SOL222" s="1201"/>
      <c r="SOM222" s="1201"/>
      <c r="SON222" s="1201"/>
      <c r="SOO222" s="1201"/>
      <c r="SOP222" s="1201"/>
      <c r="SOQ222" s="1201"/>
      <c r="SOR222" s="1201"/>
      <c r="SOS222" s="1201"/>
      <c r="SOT222" s="1201"/>
      <c r="SOU222" s="1201"/>
      <c r="SOV222" s="1201"/>
      <c r="SOW222" s="1201"/>
      <c r="SOX222" s="1201"/>
      <c r="SOY222" s="1201"/>
      <c r="SOZ222" s="1201"/>
      <c r="SPA222" s="1201"/>
      <c r="SPB222" s="1201"/>
      <c r="SPC222" s="1201"/>
      <c r="SPD222" s="1201"/>
      <c r="SPE222" s="1201"/>
      <c r="SPF222" s="1201"/>
      <c r="SPG222" s="1201"/>
      <c r="SPH222" s="1201"/>
      <c r="SPI222" s="1201"/>
      <c r="SPJ222" s="1201"/>
      <c r="SPK222" s="1201"/>
      <c r="SPL222" s="1201"/>
      <c r="SPM222" s="1201"/>
      <c r="SPN222" s="1201"/>
      <c r="SPO222" s="1201"/>
      <c r="SPP222" s="1201"/>
      <c r="SPQ222" s="1201"/>
      <c r="SPR222" s="1201"/>
      <c r="SPS222" s="1201"/>
      <c r="SPT222" s="1201"/>
      <c r="SPU222" s="1201"/>
      <c r="SPV222" s="1201"/>
      <c r="SPW222" s="1201"/>
      <c r="SPX222" s="1201"/>
      <c r="SPY222" s="1201"/>
      <c r="SPZ222" s="1201"/>
      <c r="SQA222" s="1201"/>
      <c r="SQB222" s="1201"/>
      <c r="SQC222" s="1201"/>
      <c r="SQD222" s="1201"/>
      <c r="SQE222" s="1201"/>
      <c r="SQF222" s="1201"/>
      <c r="SQG222" s="1201"/>
      <c r="SQH222" s="1201"/>
      <c r="SQI222" s="1201"/>
      <c r="SQJ222" s="1201"/>
      <c r="SQK222" s="1201"/>
      <c r="SQL222" s="1201"/>
      <c r="SQM222" s="1201"/>
      <c r="SQN222" s="1201"/>
      <c r="SQO222" s="1201"/>
      <c r="SQP222" s="1201"/>
      <c r="SQQ222" s="1201"/>
      <c r="SQR222" s="1201"/>
      <c r="SQS222" s="1201"/>
      <c r="SQT222" s="1201"/>
      <c r="SQU222" s="1201"/>
      <c r="SQV222" s="1201"/>
      <c r="SQW222" s="1201"/>
      <c r="SQX222" s="1201"/>
      <c r="SQY222" s="1201"/>
      <c r="SQZ222" s="1201"/>
      <c r="SRA222" s="1201"/>
      <c r="SRB222" s="1201"/>
      <c r="SRC222" s="1201"/>
      <c r="SRD222" s="1201"/>
      <c r="SRE222" s="1201"/>
      <c r="SRF222" s="1201"/>
      <c r="SRG222" s="1201"/>
      <c r="SRH222" s="1201"/>
      <c r="SRI222" s="1201"/>
      <c r="SRJ222" s="1201"/>
      <c r="SRK222" s="1201"/>
      <c r="SRL222" s="1201"/>
      <c r="SRM222" s="1201"/>
      <c r="SRN222" s="1201"/>
      <c r="SRO222" s="1201"/>
      <c r="SRP222" s="1201"/>
      <c r="SRQ222" s="1201"/>
      <c r="SRR222" s="1201"/>
      <c r="SRS222" s="1201"/>
      <c r="SRT222" s="1201"/>
      <c r="SRU222" s="1201"/>
      <c r="SRV222" s="1201"/>
      <c r="SRW222" s="1201"/>
      <c r="SRX222" s="1201"/>
      <c r="SRY222" s="1201"/>
      <c r="SRZ222" s="1201"/>
      <c r="SSA222" s="1201"/>
      <c r="SSB222" s="1201"/>
      <c r="SSC222" s="1201"/>
      <c r="SSD222" s="1201"/>
      <c r="SSE222" s="1201"/>
      <c r="SSF222" s="1201"/>
      <c r="SSG222" s="1201"/>
      <c r="SSH222" s="1201"/>
      <c r="SSI222" s="1201"/>
      <c r="SSJ222" s="1201"/>
      <c r="SSK222" s="1201"/>
      <c r="SSL222" s="1201"/>
      <c r="SSM222" s="1201"/>
      <c r="SSN222" s="1201"/>
      <c r="SSO222" s="1201"/>
      <c r="SSP222" s="1201"/>
      <c r="SSQ222" s="1201"/>
      <c r="SSR222" s="1201"/>
      <c r="SSS222" s="1201"/>
      <c r="SST222" s="1201"/>
      <c r="SSU222" s="1201"/>
      <c r="SSV222" s="1201"/>
      <c r="SSW222" s="1201"/>
      <c r="SSX222" s="1201"/>
      <c r="SSY222" s="1201"/>
      <c r="SSZ222" s="1201"/>
      <c r="STA222" s="1201"/>
      <c r="STB222" s="1201"/>
      <c r="STC222" s="1201"/>
      <c r="STD222" s="1201"/>
      <c r="STE222" s="1201"/>
      <c r="STF222" s="1201"/>
      <c r="STG222" s="1201"/>
      <c r="STH222" s="1201"/>
      <c r="STI222" s="1201"/>
      <c r="STJ222" s="1201"/>
      <c r="STK222" s="1201"/>
      <c r="STL222" s="1201"/>
      <c r="STM222" s="1201"/>
      <c r="STN222" s="1201"/>
      <c r="STO222" s="1201"/>
      <c r="STP222" s="1201"/>
      <c r="STQ222" s="1201"/>
      <c r="STR222" s="1201"/>
      <c r="STS222" s="1201"/>
      <c r="STT222" s="1201"/>
      <c r="STU222" s="1201"/>
      <c r="STV222" s="1201"/>
      <c r="STW222" s="1201"/>
      <c r="STX222" s="1201"/>
      <c r="STY222" s="1201"/>
      <c r="STZ222" s="1201"/>
      <c r="SUA222" s="1201"/>
      <c r="SUB222" s="1201"/>
      <c r="SUC222" s="1201"/>
      <c r="SUD222" s="1201"/>
      <c r="SUE222" s="1201"/>
      <c r="SUF222" s="1201"/>
      <c r="SUG222" s="1201"/>
      <c r="SUH222" s="1201"/>
      <c r="SUI222" s="1201"/>
      <c r="SUJ222" s="1201"/>
      <c r="SUK222" s="1201"/>
      <c r="SUL222" s="1201"/>
      <c r="SUM222" s="1201"/>
      <c r="SUN222" s="1201"/>
      <c r="SUO222" s="1201"/>
      <c r="SUP222" s="1201"/>
      <c r="SUQ222" s="1201"/>
      <c r="SUR222" s="1201"/>
      <c r="SUS222" s="1201"/>
      <c r="SUT222" s="1201"/>
      <c r="SUU222" s="1201"/>
      <c r="SUV222" s="1201"/>
      <c r="SUW222" s="1201"/>
      <c r="SUX222" s="1201"/>
      <c r="SUY222" s="1201"/>
      <c r="SUZ222" s="1201"/>
      <c r="SVA222" s="1201"/>
      <c r="SVB222" s="1201"/>
      <c r="SVC222" s="1201"/>
      <c r="SVD222" s="1201"/>
      <c r="SVE222" s="1201"/>
      <c r="SVF222" s="1201"/>
      <c r="SVG222" s="1201"/>
      <c r="SVH222" s="1201"/>
      <c r="SVI222" s="1201"/>
      <c r="SVJ222" s="1201"/>
      <c r="SVK222" s="1201"/>
      <c r="SVL222" s="1201"/>
      <c r="SVM222" s="1201"/>
      <c r="SVN222" s="1201"/>
      <c r="SVO222" s="1201"/>
      <c r="SVP222" s="1201"/>
      <c r="SVQ222" s="1201"/>
      <c r="SVR222" s="1201"/>
      <c r="SVS222" s="1201"/>
      <c r="SVT222" s="1201"/>
      <c r="SVU222" s="1201"/>
      <c r="SVV222" s="1201"/>
      <c r="SVW222" s="1201"/>
      <c r="SVX222" s="1201"/>
      <c r="SVY222" s="1201"/>
      <c r="SVZ222" s="1201"/>
      <c r="SWA222" s="1201"/>
      <c r="SWB222" s="1201"/>
      <c r="SWC222" s="1201"/>
      <c r="SWD222" s="1201"/>
      <c r="SWE222" s="1201"/>
      <c r="SWF222" s="1201"/>
      <c r="SWG222" s="1201"/>
      <c r="SWH222" s="1201"/>
      <c r="SWI222" s="1201"/>
      <c r="SWJ222" s="1201"/>
      <c r="SWK222" s="1201"/>
      <c r="SWL222" s="1201"/>
      <c r="SWM222" s="1201"/>
      <c r="SWN222" s="1201"/>
      <c r="SWO222" s="1201"/>
      <c r="SWP222" s="1201"/>
      <c r="SWQ222" s="1201"/>
      <c r="SWR222" s="1201"/>
      <c r="SWS222" s="1201"/>
      <c r="SWT222" s="1201"/>
      <c r="SWU222" s="1201"/>
      <c r="SWV222" s="1201"/>
      <c r="SWW222" s="1201"/>
      <c r="SWX222" s="1201"/>
      <c r="SWY222" s="1201"/>
      <c r="SWZ222" s="1201"/>
      <c r="SXA222" s="1201"/>
      <c r="SXB222" s="1201"/>
      <c r="SXC222" s="1201"/>
      <c r="SXD222" s="1201"/>
      <c r="SXE222" s="1201"/>
      <c r="SXF222" s="1201"/>
      <c r="SXG222" s="1201"/>
      <c r="SXH222" s="1201"/>
      <c r="SXI222" s="1201"/>
      <c r="SXJ222" s="1201"/>
      <c r="SXK222" s="1201"/>
      <c r="SXL222" s="1201"/>
      <c r="SXM222" s="1201"/>
      <c r="SXN222" s="1201"/>
      <c r="SXO222" s="1201"/>
      <c r="SXP222" s="1201"/>
      <c r="SXQ222" s="1201"/>
      <c r="SXR222" s="1201"/>
      <c r="SXS222" s="1201"/>
      <c r="SXT222" s="1201"/>
      <c r="SXU222" s="1201"/>
      <c r="SXV222" s="1201"/>
      <c r="SXW222" s="1201"/>
      <c r="SXX222" s="1201"/>
      <c r="SXY222" s="1201"/>
      <c r="SXZ222" s="1201"/>
      <c r="SYA222" s="1201"/>
      <c r="SYB222" s="1201"/>
      <c r="SYC222" s="1201"/>
      <c r="SYD222" s="1201"/>
      <c r="SYE222" s="1201"/>
      <c r="SYF222" s="1201"/>
      <c r="SYG222" s="1201"/>
      <c r="SYH222" s="1201"/>
      <c r="SYI222" s="1201"/>
      <c r="SYJ222" s="1201"/>
      <c r="SYK222" s="1201"/>
      <c r="SYL222" s="1201"/>
      <c r="SYM222" s="1201"/>
      <c r="SYN222" s="1201"/>
      <c r="SYO222" s="1201"/>
      <c r="SYP222" s="1201"/>
      <c r="SYQ222" s="1201"/>
      <c r="SYR222" s="1201"/>
      <c r="SYS222" s="1201"/>
      <c r="SYT222" s="1201"/>
      <c r="SYU222" s="1201"/>
      <c r="SYV222" s="1201"/>
      <c r="SYW222" s="1201"/>
      <c r="SYX222" s="1201"/>
      <c r="SYY222" s="1201"/>
      <c r="SYZ222" s="1201"/>
      <c r="SZA222" s="1201"/>
      <c r="SZB222" s="1201"/>
      <c r="SZC222" s="1201"/>
      <c r="SZD222" s="1201"/>
      <c r="SZE222" s="1201"/>
      <c r="SZF222" s="1201"/>
      <c r="SZG222" s="1201"/>
      <c r="SZH222" s="1201"/>
      <c r="SZI222" s="1201"/>
      <c r="SZJ222" s="1201"/>
      <c r="SZK222" s="1201"/>
      <c r="SZL222" s="1201"/>
      <c r="SZM222" s="1201"/>
      <c r="SZN222" s="1201"/>
      <c r="SZO222" s="1201"/>
      <c r="SZP222" s="1201"/>
      <c r="SZQ222" s="1201"/>
      <c r="SZR222" s="1201"/>
      <c r="SZS222" s="1201"/>
      <c r="SZT222" s="1201"/>
      <c r="SZU222" s="1201"/>
      <c r="SZV222" s="1201"/>
      <c r="SZW222" s="1201"/>
      <c r="SZX222" s="1201"/>
      <c r="SZY222" s="1201"/>
      <c r="SZZ222" s="1201"/>
      <c r="TAA222" s="1201"/>
      <c r="TAB222" s="1201"/>
      <c r="TAC222" s="1201"/>
      <c r="TAD222" s="1201"/>
      <c r="TAE222" s="1201"/>
      <c r="TAF222" s="1201"/>
      <c r="TAG222" s="1201"/>
      <c r="TAH222" s="1201"/>
      <c r="TAI222" s="1201"/>
      <c r="TAJ222" s="1201"/>
      <c r="TAK222" s="1201"/>
      <c r="TAL222" s="1201"/>
      <c r="TAM222" s="1201"/>
      <c r="TAN222" s="1201"/>
      <c r="TAO222" s="1201"/>
      <c r="TAP222" s="1201"/>
      <c r="TAQ222" s="1201"/>
      <c r="TAR222" s="1201"/>
      <c r="TAS222" s="1201"/>
      <c r="TAT222" s="1201"/>
      <c r="TAU222" s="1201"/>
      <c r="TAV222" s="1201"/>
      <c r="TAW222" s="1201"/>
      <c r="TAX222" s="1201"/>
      <c r="TAY222" s="1201"/>
      <c r="TAZ222" s="1201"/>
      <c r="TBA222" s="1201"/>
      <c r="TBB222" s="1201"/>
      <c r="TBC222" s="1201"/>
      <c r="TBD222" s="1201"/>
      <c r="TBE222" s="1201"/>
      <c r="TBF222" s="1201"/>
      <c r="TBG222" s="1201"/>
      <c r="TBH222" s="1201"/>
      <c r="TBI222" s="1201"/>
      <c r="TBJ222" s="1201"/>
      <c r="TBK222" s="1201"/>
      <c r="TBL222" s="1201"/>
      <c r="TBM222" s="1201"/>
      <c r="TBN222" s="1201"/>
      <c r="TBO222" s="1201"/>
      <c r="TBP222" s="1201"/>
      <c r="TBQ222" s="1201"/>
      <c r="TBR222" s="1201"/>
      <c r="TBS222" s="1201"/>
      <c r="TBT222" s="1201"/>
      <c r="TBU222" s="1201"/>
      <c r="TBV222" s="1201"/>
      <c r="TBW222" s="1201"/>
      <c r="TBX222" s="1201"/>
      <c r="TBY222" s="1201"/>
      <c r="TBZ222" s="1201"/>
      <c r="TCA222" s="1201"/>
      <c r="TCB222" s="1201"/>
      <c r="TCC222" s="1201"/>
      <c r="TCD222" s="1201"/>
      <c r="TCE222" s="1201"/>
      <c r="TCF222" s="1201"/>
      <c r="TCG222" s="1201"/>
      <c r="TCH222" s="1201"/>
      <c r="TCI222" s="1201"/>
      <c r="TCJ222" s="1201"/>
      <c r="TCK222" s="1201"/>
      <c r="TCL222" s="1201"/>
      <c r="TCM222" s="1201"/>
      <c r="TCN222" s="1201"/>
      <c r="TCO222" s="1201"/>
      <c r="TCP222" s="1201"/>
      <c r="TCQ222" s="1201"/>
      <c r="TCR222" s="1201"/>
      <c r="TCS222" s="1201"/>
      <c r="TCT222" s="1201"/>
      <c r="TCU222" s="1201"/>
      <c r="TCV222" s="1201"/>
      <c r="TCW222" s="1201"/>
      <c r="TCX222" s="1201"/>
      <c r="TCY222" s="1201"/>
      <c r="TCZ222" s="1201"/>
      <c r="TDA222" s="1201"/>
      <c r="TDB222" s="1201"/>
      <c r="TDC222" s="1201"/>
      <c r="TDD222" s="1201"/>
      <c r="TDE222" s="1201"/>
      <c r="TDF222" s="1201"/>
      <c r="TDG222" s="1201"/>
      <c r="TDH222" s="1201"/>
      <c r="TDI222" s="1201"/>
      <c r="TDJ222" s="1201"/>
      <c r="TDK222" s="1201"/>
      <c r="TDL222" s="1201"/>
      <c r="TDM222" s="1201"/>
      <c r="TDN222" s="1201"/>
      <c r="TDO222" s="1201"/>
      <c r="TDP222" s="1201"/>
      <c r="TDQ222" s="1201"/>
      <c r="TDR222" s="1201"/>
      <c r="TDS222" s="1201"/>
      <c r="TDT222" s="1201"/>
      <c r="TDU222" s="1201"/>
      <c r="TDV222" s="1201"/>
      <c r="TDW222" s="1201"/>
      <c r="TDX222" s="1201"/>
      <c r="TDY222" s="1201"/>
      <c r="TDZ222" s="1201"/>
      <c r="TEA222" s="1201"/>
      <c r="TEB222" s="1201"/>
      <c r="TEC222" s="1201"/>
      <c r="TED222" s="1201"/>
      <c r="TEE222" s="1201"/>
      <c r="TEF222" s="1201"/>
      <c r="TEG222" s="1201"/>
      <c r="TEH222" s="1201"/>
      <c r="TEI222" s="1201"/>
      <c r="TEJ222" s="1201"/>
      <c r="TEK222" s="1201"/>
      <c r="TEL222" s="1201"/>
      <c r="TEM222" s="1201"/>
      <c r="TEN222" s="1201"/>
      <c r="TEO222" s="1201"/>
      <c r="TEP222" s="1201"/>
      <c r="TEQ222" s="1201"/>
      <c r="TER222" s="1201"/>
      <c r="TES222" s="1201"/>
      <c r="TET222" s="1201"/>
      <c r="TEU222" s="1201"/>
      <c r="TEV222" s="1201"/>
      <c r="TEW222" s="1201"/>
      <c r="TEX222" s="1201"/>
      <c r="TEY222" s="1201"/>
      <c r="TEZ222" s="1201"/>
      <c r="TFA222" s="1201"/>
      <c r="TFB222" s="1201"/>
      <c r="TFC222" s="1201"/>
      <c r="TFD222" s="1201"/>
      <c r="TFE222" s="1201"/>
      <c r="TFF222" s="1201"/>
      <c r="TFG222" s="1201"/>
      <c r="TFH222" s="1201"/>
      <c r="TFI222" s="1201"/>
      <c r="TFJ222" s="1201"/>
      <c r="TFK222" s="1201"/>
      <c r="TFL222" s="1201"/>
      <c r="TFM222" s="1201"/>
      <c r="TFN222" s="1201"/>
      <c r="TFO222" s="1201"/>
      <c r="TFP222" s="1201"/>
      <c r="TFQ222" s="1201"/>
      <c r="TFR222" s="1201"/>
      <c r="TFS222" s="1201"/>
      <c r="TFT222" s="1201"/>
      <c r="TFU222" s="1201"/>
      <c r="TFV222" s="1201"/>
      <c r="TFW222" s="1201"/>
      <c r="TFX222" s="1201"/>
      <c r="TFY222" s="1201"/>
      <c r="TFZ222" s="1201"/>
      <c r="TGA222" s="1201"/>
      <c r="TGB222" s="1201"/>
      <c r="TGC222" s="1201"/>
      <c r="TGD222" s="1201"/>
      <c r="TGE222" s="1201"/>
      <c r="TGF222" s="1201"/>
      <c r="TGG222" s="1201"/>
      <c r="TGH222" s="1201"/>
      <c r="TGI222" s="1201"/>
      <c r="TGJ222" s="1201"/>
      <c r="TGK222" s="1201"/>
      <c r="TGL222" s="1201"/>
      <c r="TGM222" s="1201"/>
      <c r="TGN222" s="1201"/>
      <c r="TGO222" s="1201"/>
      <c r="TGP222" s="1201"/>
      <c r="TGQ222" s="1201"/>
      <c r="TGR222" s="1201"/>
      <c r="TGS222" s="1201"/>
      <c r="TGT222" s="1201"/>
      <c r="TGU222" s="1201"/>
      <c r="TGV222" s="1201"/>
      <c r="TGW222" s="1201"/>
      <c r="TGX222" s="1201"/>
      <c r="TGY222" s="1201"/>
      <c r="TGZ222" s="1201"/>
      <c r="THA222" s="1201"/>
      <c r="THB222" s="1201"/>
      <c r="THC222" s="1201"/>
      <c r="THD222" s="1201"/>
      <c r="THE222" s="1201"/>
      <c r="THF222" s="1201"/>
      <c r="THG222" s="1201"/>
      <c r="THH222" s="1201"/>
      <c r="THI222" s="1201"/>
      <c r="THJ222" s="1201"/>
      <c r="THK222" s="1201"/>
      <c r="THL222" s="1201"/>
      <c r="THM222" s="1201"/>
      <c r="THN222" s="1201"/>
      <c r="THO222" s="1201"/>
      <c r="THP222" s="1201"/>
      <c r="THQ222" s="1201"/>
      <c r="THR222" s="1201"/>
      <c r="THS222" s="1201"/>
      <c r="THT222" s="1201"/>
      <c r="THU222" s="1201"/>
      <c r="THV222" s="1201"/>
      <c r="THW222" s="1201"/>
      <c r="THX222" s="1201"/>
      <c r="THY222" s="1201"/>
      <c r="THZ222" s="1201"/>
      <c r="TIA222" s="1201"/>
      <c r="TIB222" s="1201"/>
      <c r="TIC222" s="1201"/>
      <c r="TID222" s="1201"/>
      <c r="TIE222" s="1201"/>
      <c r="TIF222" s="1201"/>
      <c r="TIG222" s="1201"/>
      <c r="TIH222" s="1201"/>
      <c r="TII222" s="1201"/>
      <c r="TIJ222" s="1201"/>
      <c r="TIK222" s="1201"/>
      <c r="TIL222" s="1201"/>
      <c r="TIM222" s="1201"/>
      <c r="TIN222" s="1201"/>
      <c r="TIO222" s="1201"/>
      <c r="TIP222" s="1201"/>
      <c r="TIQ222" s="1201"/>
      <c r="TIR222" s="1201"/>
      <c r="TIS222" s="1201"/>
      <c r="TIT222" s="1201"/>
      <c r="TIU222" s="1201"/>
      <c r="TIV222" s="1201"/>
      <c r="TIW222" s="1201"/>
      <c r="TIX222" s="1201"/>
      <c r="TIY222" s="1201"/>
      <c r="TIZ222" s="1201"/>
      <c r="TJA222" s="1201"/>
      <c r="TJB222" s="1201"/>
      <c r="TJC222" s="1201"/>
      <c r="TJD222" s="1201"/>
      <c r="TJE222" s="1201"/>
      <c r="TJF222" s="1201"/>
      <c r="TJG222" s="1201"/>
      <c r="TJH222" s="1201"/>
      <c r="TJI222" s="1201"/>
      <c r="TJJ222" s="1201"/>
      <c r="TJK222" s="1201"/>
      <c r="TJL222" s="1201"/>
      <c r="TJM222" s="1201"/>
      <c r="TJN222" s="1201"/>
      <c r="TJO222" s="1201"/>
      <c r="TJP222" s="1201"/>
      <c r="TJQ222" s="1201"/>
      <c r="TJR222" s="1201"/>
      <c r="TJS222" s="1201"/>
      <c r="TJT222" s="1201"/>
      <c r="TJU222" s="1201"/>
      <c r="TJV222" s="1201"/>
      <c r="TJW222" s="1201"/>
      <c r="TJX222" s="1201"/>
      <c r="TJY222" s="1201"/>
      <c r="TJZ222" s="1201"/>
      <c r="TKA222" s="1201"/>
      <c r="TKB222" s="1201"/>
      <c r="TKC222" s="1201"/>
      <c r="TKD222" s="1201"/>
      <c r="TKE222" s="1201"/>
      <c r="TKF222" s="1201"/>
      <c r="TKG222" s="1201"/>
      <c r="TKH222" s="1201"/>
      <c r="TKI222" s="1201"/>
      <c r="TKJ222" s="1201"/>
      <c r="TKK222" s="1201"/>
      <c r="TKL222" s="1201"/>
      <c r="TKM222" s="1201"/>
      <c r="TKN222" s="1201"/>
      <c r="TKO222" s="1201"/>
      <c r="TKP222" s="1201"/>
      <c r="TKQ222" s="1201"/>
      <c r="TKR222" s="1201"/>
      <c r="TKS222" s="1201"/>
      <c r="TKT222" s="1201"/>
      <c r="TKU222" s="1201"/>
      <c r="TKV222" s="1201"/>
      <c r="TKW222" s="1201"/>
      <c r="TKX222" s="1201"/>
      <c r="TKY222" s="1201"/>
      <c r="TKZ222" s="1201"/>
      <c r="TLA222" s="1201"/>
      <c r="TLB222" s="1201"/>
      <c r="TLC222" s="1201"/>
      <c r="TLD222" s="1201"/>
      <c r="TLE222" s="1201"/>
      <c r="TLF222" s="1201"/>
      <c r="TLG222" s="1201"/>
      <c r="TLH222" s="1201"/>
      <c r="TLI222" s="1201"/>
      <c r="TLJ222" s="1201"/>
      <c r="TLK222" s="1201"/>
      <c r="TLL222" s="1201"/>
      <c r="TLM222" s="1201"/>
      <c r="TLN222" s="1201"/>
      <c r="TLO222" s="1201"/>
      <c r="TLP222" s="1201"/>
      <c r="TLQ222" s="1201"/>
      <c r="TLR222" s="1201"/>
      <c r="TLS222" s="1201"/>
      <c r="TLT222" s="1201"/>
      <c r="TLU222" s="1201"/>
      <c r="TLV222" s="1201"/>
      <c r="TLW222" s="1201"/>
      <c r="TLX222" s="1201"/>
      <c r="TLY222" s="1201"/>
      <c r="TLZ222" s="1201"/>
      <c r="TMA222" s="1201"/>
      <c r="TMB222" s="1201"/>
      <c r="TMC222" s="1201"/>
      <c r="TMD222" s="1201"/>
      <c r="TME222" s="1201"/>
      <c r="TMF222" s="1201"/>
      <c r="TMG222" s="1201"/>
      <c r="TMH222" s="1201"/>
      <c r="TMI222" s="1201"/>
      <c r="TMJ222" s="1201"/>
      <c r="TMK222" s="1201"/>
      <c r="TML222" s="1201"/>
      <c r="TMM222" s="1201"/>
      <c r="TMN222" s="1201"/>
      <c r="TMO222" s="1201"/>
      <c r="TMP222" s="1201"/>
      <c r="TMQ222" s="1201"/>
      <c r="TMR222" s="1201"/>
      <c r="TMS222" s="1201"/>
      <c r="TMT222" s="1201"/>
      <c r="TMU222" s="1201"/>
      <c r="TMV222" s="1201"/>
      <c r="TMW222" s="1201"/>
      <c r="TMX222" s="1201"/>
      <c r="TMY222" s="1201"/>
      <c r="TMZ222" s="1201"/>
      <c r="TNA222" s="1201"/>
      <c r="TNB222" s="1201"/>
      <c r="TNC222" s="1201"/>
      <c r="TND222" s="1201"/>
      <c r="TNE222" s="1201"/>
      <c r="TNF222" s="1201"/>
      <c r="TNG222" s="1201"/>
      <c r="TNH222" s="1201"/>
      <c r="TNI222" s="1201"/>
      <c r="TNJ222" s="1201"/>
      <c r="TNK222" s="1201"/>
      <c r="TNL222" s="1201"/>
      <c r="TNM222" s="1201"/>
      <c r="TNN222" s="1201"/>
      <c r="TNO222" s="1201"/>
      <c r="TNP222" s="1201"/>
      <c r="TNQ222" s="1201"/>
      <c r="TNR222" s="1201"/>
      <c r="TNS222" s="1201"/>
      <c r="TNT222" s="1201"/>
      <c r="TNU222" s="1201"/>
      <c r="TNV222" s="1201"/>
      <c r="TNW222" s="1201"/>
      <c r="TNX222" s="1201"/>
      <c r="TNY222" s="1201"/>
      <c r="TNZ222" s="1201"/>
      <c r="TOA222" s="1201"/>
      <c r="TOB222" s="1201"/>
      <c r="TOC222" s="1201"/>
      <c r="TOD222" s="1201"/>
      <c r="TOE222" s="1201"/>
      <c r="TOF222" s="1201"/>
      <c r="TOG222" s="1201"/>
      <c r="TOH222" s="1201"/>
      <c r="TOI222" s="1201"/>
      <c r="TOJ222" s="1201"/>
      <c r="TOK222" s="1201"/>
      <c r="TOL222" s="1201"/>
      <c r="TOM222" s="1201"/>
      <c r="TON222" s="1201"/>
      <c r="TOO222" s="1201"/>
      <c r="TOP222" s="1201"/>
      <c r="TOQ222" s="1201"/>
      <c r="TOR222" s="1201"/>
      <c r="TOS222" s="1201"/>
      <c r="TOT222" s="1201"/>
      <c r="TOU222" s="1201"/>
      <c r="TOV222" s="1201"/>
      <c r="TOW222" s="1201"/>
      <c r="TOX222" s="1201"/>
      <c r="TOY222" s="1201"/>
      <c r="TOZ222" s="1201"/>
      <c r="TPA222" s="1201"/>
      <c r="TPB222" s="1201"/>
      <c r="TPC222" s="1201"/>
      <c r="TPD222" s="1201"/>
      <c r="TPE222" s="1201"/>
      <c r="TPF222" s="1201"/>
      <c r="TPG222" s="1201"/>
      <c r="TPH222" s="1201"/>
      <c r="TPI222" s="1201"/>
      <c r="TPJ222" s="1201"/>
      <c r="TPK222" s="1201"/>
      <c r="TPL222" s="1201"/>
      <c r="TPM222" s="1201"/>
      <c r="TPN222" s="1201"/>
      <c r="TPO222" s="1201"/>
      <c r="TPP222" s="1201"/>
      <c r="TPQ222" s="1201"/>
      <c r="TPR222" s="1201"/>
      <c r="TPS222" s="1201"/>
      <c r="TPT222" s="1201"/>
      <c r="TPU222" s="1201"/>
      <c r="TPV222" s="1201"/>
      <c r="TPW222" s="1201"/>
      <c r="TPX222" s="1201"/>
      <c r="TPY222" s="1201"/>
      <c r="TPZ222" s="1201"/>
      <c r="TQA222" s="1201"/>
      <c r="TQB222" s="1201"/>
      <c r="TQC222" s="1201"/>
      <c r="TQD222" s="1201"/>
      <c r="TQE222" s="1201"/>
      <c r="TQF222" s="1201"/>
      <c r="TQG222" s="1201"/>
      <c r="TQH222" s="1201"/>
      <c r="TQI222" s="1201"/>
      <c r="TQJ222" s="1201"/>
      <c r="TQK222" s="1201"/>
      <c r="TQL222" s="1201"/>
      <c r="TQM222" s="1201"/>
      <c r="TQN222" s="1201"/>
      <c r="TQO222" s="1201"/>
      <c r="TQP222" s="1201"/>
      <c r="TQQ222" s="1201"/>
      <c r="TQR222" s="1201"/>
      <c r="TQS222" s="1201"/>
      <c r="TQT222" s="1201"/>
      <c r="TQU222" s="1201"/>
      <c r="TQV222" s="1201"/>
      <c r="TQW222" s="1201"/>
      <c r="TQX222" s="1201"/>
      <c r="TQY222" s="1201"/>
      <c r="TQZ222" s="1201"/>
      <c r="TRA222" s="1201"/>
      <c r="TRB222" s="1201"/>
      <c r="TRC222" s="1201"/>
      <c r="TRD222" s="1201"/>
      <c r="TRE222" s="1201"/>
      <c r="TRF222" s="1201"/>
      <c r="TRG222" s="1201"/>
      <c r="TRH222" s="1201"/>
      <c r="TRI222" s="1201"/>
      <c r="TRJ222" s="1201"/>
      <c r="TRK222" s="1201"/>
      <c r="TRL222" s="1201"/>
      <c r="TRM222" s="1201"/>
      <c r="TRN222" s="1201"/>
      <c r="TRO222" s="1201"/>
      <c r="TRP222" s="1201"/>
      <c r="TRQ222" s="1201"/>
      <c r="TRR222" s="1201"/>
      <c r="TRS222" s="1201"/>
      <c r="TRT222" s="1201"/>
      <c r="TRU222" s="1201"/>
      <c r="TRV222" s="1201"/>
      <c r="TRW222" s="1201"/>
      <c r="TRX222" s="1201"/>
      <c r="TRY222" s="1201"/>
      <c r="TRZ222" s="1201"/>
      <c r="TSA222" s="1201"/>
      <c r="TSB222" s="1201"/>
      <c r="TSC222" s="1201"/>
      <c r="TSD222" s="1201"/>
      <c r="TSE222" s="1201"/>
      <c r="TSF222" s="1201"/>
      <c r="TSG222" s="1201"/>
      <c r="TSH222" s="1201"/>
      <c r="TSI222" s="1201"/>
      <c r="TSJ222" s="1201"/>
      <c r="TSK222" s="1201"/>
      <c r="TSL222" s="1201"/>
      <c r="TSM222" s="1201"/>
      <c r="TSN222" s="1201"/>
      <c r="TSO222" s="1201"/>
      <c r="TSP222" s="1201"/>
      <c r="TSQ222" s="1201"/>
      <c r="TSR222" s="1201"/>
      <c r="TSS222" s="1201"/>
      <c r="TST222" s="1201"/>
      <c r="TSU222" s="1201"/>
      <c r="TSV222" s="1201"/>
      <c r="TSW222" s="1201"/>
      <c r="TSX222" s="1201"/>
      <c r="TSY222" s="1201"/>
      <c r="TSZ222" s="1201"/>
      <c r="TTA222" s="1201"/>
      <c r="TTB222" s="1201"/>
      <c r="TTC222" s="1201"/>
      <c r="TTD222" s="1201"/>
      <c r="TTE222" s="1201"/>
      <c r="TTF222" s="1201"/>
      <c r="TTG222" s="1201"/>
      <c r="TTH222" s="1201"/>
      <c r="TTI222" s="1201"/>
      <c r="TTJ222" s="1201"/>
      <c r="TTK222" s="1201"/>
      <c r="TTL222" s="1201"/>
      <c r="TTM222" s="1201"/>
      <c r="TTN222" s="1201"/>
      <c r="TTO222" s="1201"/>
      <c r="TTP222" s="1201"/>
      <c r="TTQ222" s="1201"/>
      <c r="TTR222" s="1201"/>
      <c r="TTS222" s="1201"/>
      <c r="TTT222" s="1201"/>
      <c r="TTU222" s="1201"/>
      <c r="TTV222" s="1201"/>
      <c r="TTW222" s="1201"/>
      <c r="TTX222" s="1201"/>
      <c r="TTY222" s="1201"/>
      <c r="TTZ222" s="1201"/>
      <c r="TUA222" s="1201"/>
      <c r="TUB222" s="1201"/>
      <c r="TUC222" s="1201"/>
      <c r="TUD222" s="1201"/>
      <c r="TUE222" s="1201"/>
      <c r="TUF222" s="1201"/>
      <c r="TUG222" s="1201"/>
      <c r="TUH222" s="1201"/>
      <c r="TUI222" s="1201"/>
      <c r="TUJ222" s="1201"/>
      <c r="TUK222" s="1201"/>
      <c r="TUL222" s="1201"/>
      <c r="TUM222" s="1201"/>
      <c r="TUN222" s="1201"/>
      <c r="TUO222" s="1201"/>
      <c r="TUP222" s="1201"/>
      <c r="TUQ222" s="1201"/>
      <c r="TUR222" s="1201"/>
      <c r="TUS222" s="1201"/>
      <c r="TUT222" s="1201"/>
      <c r="TUU222" s="1201"/>
      <c r="TUV222" s="1201"/>
      <c r="TUW222" s="1201"/>
      <c r="TUX222" s="1201"/>
      <c r="TUY222" s="1201"/>
      <c r="TUZ222" s="1201"/>
      <c r="TVA222" s="1201"/>
      <c r="TVB222" s="1201"/>
      <c r="TVC222" s="1201"/>
      <c r="TVD222" s="1201"/>
      <c r="TVE222" s="1201"/>
      <c r="TVF222" s="1201"/>
      <c r="TVG222" s="1201"/>
      <c r="TVH222" s="1201"/>
      <c r="TVI222" s="1201"/>
      <c r="TVJ222" s="1201"/>
      <c r="TVK222" s="1201"/>
      <c r="TVL222" s="1201"/>
      <c r="TVM222" s="1201"/>
      <c r="TVN222" s="1201"/>
      <c r="TVO222" s="1201"/>
      <c r="TVP222" s="1201"/>
      <c r="TVQ222" s="1201"/>
      <c r="TVR222" s="1201"/>
      <c r="TVS222" s="1201"/>
      <c r="TVT222" s="1201"/>
      <c r="TVU222" s="1201"/>
      <c r="TVV222" s="1201"/>
      <c r="TVW222" s="1201"/>
      <c r="TVX222" s="1201"/>
      <c r="TVY222" s="1201"/>
      <c r="TVZ222" s="1201"/>
      <c r="TWA222" s="1201"/>
      <c r="TWB222" s="1201"/>
      <c r="TWC222" s="1201"/>
      <c r="TWD222" s="1201"/>
      <c r="TWE222" s="1201"/>
      <c r="TWF222" s="1201"/>
      <c r="TWG222" s="1201"/>
      <c r="TWH222" s="1201"/>
      <c r="TWI222" s="1201"/>
      <c r="TWJ222" s="1201"/>
      <c r="TWK222" s="1201"/>
      <c r="TWL222" s="1201"/>
      <c r="TWM222" s="1201"/>
      <c r="TWN222" s="1201"/>
      <c r="TWO222" s="1201"/>
      <c r="TWP222" s="1201"/>
      <c r="TWQ222" s="1201"/>
      <c r="TWR222" s="1201"/>
      <c r="TWS222" s="1201"/>
      <c r="TWT222" s="1201"/>
      <c r="TWU222" s="1201"/>
      <c r="TWV222" s="1201"/>
      <c r="TWW222" s="1201"/>
      <c r="TWX222" s="1201"/>
      <c r="TWY222" s="1201"/>
      <c r="TWZ222" s="1201"/>
      <c r="TXA222" s="1201"/>
      <c r="TXB222" s="1201"/>
      <c r="TXC222" s="1201"/>
      <c r="TXD222" s="1201"/>
      <c r="TXE222" s="1201"/>
      <c r="TXF222" s="1201"/>
      <c r="TXG222" s="1201"/>
      <c r="TXH222" s="1201"/>
      <c r="TXI222" s="1201"/>
      <c r="TXJ222" s="1201"/>
      <c r="TXK222" s="1201"/>
      <c r="TXL222" s="1201"/>
      <c r="TXM222" s="1201"/>
      <c r="TXN222" s="1201"/>
      <c r="TXO222" s="1201"/>
      <c r="TXP222" s="1201"/>
      <c r="TXQ222" s="1201"/>
      <c r="TXR222" s="1201"/>
      <c r="TXS222" s="1201"/>
      <c r="TXT222" s="1201"/>
      <c r="TXU222" s="1201"/>
      <c r="TXV222" s="1201"/>
      <c r="TXW222" s="1201"/>
      <c r="TXX222" s="1201"/>
      <c r="TXY222" s="1201"/>
      <c r="TXZ222" s="1201"/>
      <c r="TYA222" s="1201"/>
      <c r="TYB222" s="1201"/>
      <c r="TYC222" s="1201"/>
      <c r="TYD222" s="1201"/>
      <c r="TYE222" s="1201"/>
      <c r="TYF222" s="1201"/>
      <c r="TYG222" s="1201"/>
      <c r="TYH222" s="1201"/>
      <c r="TYI222" s="1201"/>
      <c r="TYJ222" s="1201"/>
      <c r="TYK222" s="1201"/>
      <c r="TYL222" s="1201"/>
      <c r="TYM222" s="1201"/>
      <c r="TYN222" s="1201"/>
      <c r="TYO222" s="1201"/>
      <c r="TYP222" s="1201"/>
      <c r="TYQ222" s="1201"/>
      <c r="TYR222" s="1201"/>
      <c r="TYS222" s="1201"/>
      <c r="TYT222" s="1201"/>
      <c r="TYU222" s="1201"/>
      <c r="TYV222" s="1201"/>
      <c r="TYW222" s="1201"/>
      <c r="TYX222" s="1201"/>
      <c r="TYY222" s="1201"/>
      <c r="TYZ222" s="1201"/>
      <c r="TZA222" s="1201"/>
      <c r="TZB222" s="1201"/>
      <c r="TZC222" s="1201"/>
      <c r="TZD222" s="1201"/>
      <c r="TZE222" s="1201"/>
      <c r="TZF222" s="1201"/>
      <c r="TZG222" s="1201"/>
      <c r="TZH222" s="1201"/>
      <c r="TZI222" s="1201"/>
      <c r="TZJ222" s="1201"/>
      <c r="TZK222" s="1201"/>
      <c r="TZL222" s="1201"/>
      <c r="TZM222" s="1201"/>
      <c r="TZN222" s="1201"/>
      <c r="TZO222" s="1201"/>
      <c r="TZP222" s="1201"/>
      <c r="TZQ222" s="1201"/>
      <c r="TZR222" s="1201"/>
      <c r="TZS222" s="1201"/>
      <c r="TZT222" s="1201"/>
      <c r="TZU222" s="1201"/>
      <c r="TZV222" s="1201"/>
      <c r="TZW222" s="1201"/>
      <c r="TZX222" s="1201"/>
      <c r="TZY222" s="1201"/>
      <c r="TZZ222" s="1201"/>
      <c r="UAA222" s="1201"/>
      <c r="UAB222" s="1201"/>
      <c r="UAC222" s="1201"/>
      <c r="UAD222" s="1201"/>
      <c r="UAE222" s="1201"/>
      <c r="UAF222" s="1201"/>
      <c r="UAG222" s="1201"/>
      <c r="UAH222" s="1201"/>
      <c r="UAI222" s="1201"/>
      <c r="UAJ222" s="1201"/>
      <c r="UAK222" s="1201"/>
      <c r="UAL222" s="1201"/>
      <c r="UAM222" s="1201"/>
      <c r="UAN222" s="1201"/>
      <c r="UAO222" s="1201"/>
      <c r="UAP222" s="1201"/>
      <c r="UAQ222" s="1201"/>
      <c r="UAR222" s="1201"/>
      <c r="UAS222" s="1201"/>
      <c r="UAT222" s="1201"/>
      <c r="UAU222" s="1201"/>
      <c r="UAV222" s="1201"/>
      <c r="UAW222" s="1201"/>
      <c r="UAX222" s="1201"/>
      <c r="UAY222" s="1201"/>
      <c r="UAZ222" s="1201"/>
      <c r="UBA222" s="1201"/>
      <c r="UBB222" s="1201"/>
      <c r="UBC222" s="1201"/>
      <c r="UBD222" s="1201"/>
      <c r="UBE222" s="1201"/>
      <c r="UBF222" s="1201"/>
      <c r="UBG222" s="1201"/>
      <c r="UBH222" s="1201"/>
      <c r="UBI222" s="1201"/>
      <c r="UBJ222" s="1201"/>
      <c r="UBK222" s="1201"/>
      <c r="UBL222" s="1201"/>
      <c r="UBM222" s="1201"/>
      <c r="UBN222" s="1201"/>
      <c r="UBO222" s="1201"/>
      <c r="UBP222" s="1201"/>
      <c r="UBQ222" s="1201"/>
      <c r="UBR222" s="1201"/>
      <c r="UBS222" s="1201"/>
      <c r="UBT222" s="1201"/>
      <c r="UBU222" s="1201"/>
      <c r="UBV222" s="1201"/>
      <c r="UBW222" s="1201"/>
      <c r="UBX222" s="1201"/>
      <c r="UBY222" s="1201"/>
      <c r="UBZ222" s="1201"/>
      <c r="UCA222" s="1201"/>
      <c r="UCB222" s="1201"/>
      <c r="UCC222" s="1201"/>
      <c r="UCD222" s="1201"/>
      <c r="UCE222" s="1201"/>
      <c r="UCF222" s="1201"/>
      <c r="UCG222" s="1201"/>
      <c r="UCH222" s="1201"/>
      <c r="UCI222" s="1201"/>
      <c r="UCJ222" s="1201"/>
      <c r="UCK222" s="1201"/>
      <c r="UCL222" s="1201"/>
      <c r="UCM222" s="1201"/>
      <c r="UCN222" s="1201"/>
      <c r="UCO222" s="1201"/>
      <c r="UCP222" s="1201"/>
      <c r="UCQ222" s="1201"/>
      <c r="UCR222" s="1201"/>
      <c r="UCS222" s="1201"/>
      <c r="UCT222" s="1201"/>
      <c r="UCU222" s="1201"/>
      <c r="UCV222" s="1201"/>
      <c r="UCW222" s="1201"/>
      <c r="UCX222" s="1201"/>
      <c r="UCY222" s="1201"/>
      <c r="UCZ222" s="1201"/>
      <c r="UDA222" s="1201"/>
      <c r="UDB222" s="1201"/>
      <c r="UDC222" s="1201"/>
      <c r="UDD222" s="1201"/>
      <c r="UDE222" s="1201"/>
      <c r="UDF222" s="1201"/>
      <c r="UDG222" s="1201"/>
      <c r="UDH222" s="1201"/>
      <c r="UDI222" s="1201"/>
      <c r="UDJ222" s="1201"/>
      <c r="UDK222" s="1201"/>
      <c r="UDL222" s="1201"/>
      <c r="UDM222" s="1201"/>
      <c r="UDN222" s="1201"/>
      <c r="UDO222" s="1201"/>
      <c r="UDP222" s="1201"/>
      <c r="UDQ222" s="1201"/>
      <c r="UDR222" s="1201"/>
      <c r="UDS222" s="1201"/>
      <c r="UDT222" s="1201"/>
      <c r="UDU222" s="1201"/>
      <c r="UDV222" s="1201"/>
      <c r="UDW222" s="1201"/>
      <c r="UDX222" s="1201"/>
      <c r="UDY222" s="1201"/>
      <c r="UDZ222" s="1201"/>
      <c r="UEA222" s="1201"/>
      <c r="UEB222" s="1201"/>
      <c r="UEC222" s="1201"/>
      <c r="UED222" s="1201"/>
      <c r="UEE222" s="1201"/>
      <c r="UEF222" s="1201"/>
      <c r="UEG222" s="1201"/>
      <c r="UEH222" s="1201"/>
      <c r="UEI222" s="1201"/>
      <c r="UEJ222" s="1201"/>
      <c r="UEK222" s="1201"/>
      <c r="UEL222" s="1201"/>
      <c r="UEM222" s="1201"/>
      <c r="UEN222" s="1201"/>
      <c r="UEO222" s="1201"/>
      <c r="UEP222" s="1201"/>
      <c r="UEQ222" s="1201"/>
      <c r="UER222" s="1201"/>
      <c r="UES222" s="1201"/>
      <c r="UET222" s="1201"/>
      <c r="UEU222" s="1201"/>
      <c r="UEV222" s="1201"/>
      <c r="UEW222" s="1201"/>
      <c r="UEX222" s="1201"/>
      <c r="UEY222" s="1201"/>
      <c r="UEZ222" s="1201"/>
      <c r="UFA222" s="1201"/>
      <c r="UFB222" s="1201"/>
      <c r="UFC222" s="1201"/>
      <c r="UFD222" s="1201"/>
      <c r="UFE222" s="1201"/>
      <c r="UFF222" s="1201"/>
      <c r="UFG222" s="1201"/>
      <c r="UFH222" s="1201"/>
      <c r="UFI222" s="1201"/>
      <c r="UFJ222" s="1201"/>
      <c r="UFK222" s="1201"/>
      <c r="UFL222" s="1201"/>
      <c r="UFM222" s="1201"/>
      <c r="UFN222" s="1201"/>
      <c r="UFO222" s="1201"/>
      <c r="UFP222" s="1201"/>
      <c r="UFQ222" s="1201"/>
      <c r="UFR222" s="1201"/>
      <c r="UFS222" s="1201"/>
      <c r="UFT222" s="1201"/>
      <c r="UFU222" s="1201"/>
      <c r="UFV222" s="1201"/>
      <c r="UFW222" s="1201"/>
      <c r="UFX222" s="1201"/>
      <c r="UFY222" s="1201"/>
      <c r="UFZ222" s="1201"/>
      <c r="UGA222" s="1201"/>
      <c r="UGB222" s="1201"/>
      <c r="UGC222" s="1201"/>
      <c r="UGD222" s="1201"/>
      <c r="UGE222" s="1201"/>
      <c r="UGF222" s="1201"/>
      <c r="UGG222" s="1201"/>
      <c r="UGH222" s="1201"/>
      <c r="UGI222" s="1201"/>
      <c r="UGJ222" s="1201"/>
      <c r="UGK222" s="1201"/>
      <c r="UGL222" s="1201"/>
      <c r="UGM222" s="1201"/>
      <c r="UGN222" s="1201"/>
      <c r="UGO222" s="1201"/>
      <c r="UGP222" s="1201"/>
      <c r="UGQ222" s="1201"/>
      <c r="UGR222" s="1201"/>
      <c r="UGS222" s="1201"/>
      <c r="UGT222" s="1201"/>
      <c r="UGU222" s="1201"/>
      <c r="UGV222" s="1201"/>
      <c r="UGW222" s="1201"/>
      <c r="UGX222" s="1201"/>
      <c r="UGY222" s="1201"/>
      <c r="UGZ222" s="1201"/>
      <c r="UHA222" s="1201"/>
      <c r="UHB222" s="1201"/>
      <c r="UHC222" s="1201"/>
      <c r="UHD222" s="1201"/>
      <c r="UHE222" s="1201"/>
      <c r="UHF222" s="1201"/>
      <c r="UHG222" s="1201"/>
      <c r="UHH222" s="1201"/>
      <c r="UHI222" s="1201"/>
      <c r="UHJ222" s="1201"/>
      <c r="UHK222" s="1201"/>
      <c r="UHL222" s="1201"/>
      <c r="UHM222" s="1201"/>
      <c r="UHN222" s="1201"/>
      <c r="UHO222" s="1201"/>
      <c r="UHP222" s="1201"/>
      <c r="UHQ222" s="1201"/>
      <c r="UHR222" s="1201"/>
      <c r="UHS222" s="1201"/>
      <c r="UHT222" s="1201"/>
      <c r="UHU222" s="1201"/>
      <c r="UHV222" s="1201"/>
      <c r="UHW222" s="1201"/>
      <c r="UHX222" s="1201"/>
      <c r="UHY222" s="1201"/>
      <c r="UHZ222" s="1201"/>
      <c r="UIA222" s="1201"/>
      <c r="UIB222" s="1201"/>
      <c r="UIC222" s="1201"/>
      <c r="UID222" s="1201"/>
      <c r="UIE222" s="1201"/>
      <c r="UIF222" s="1201"/>
      <c r="UIG222" s="1201"/>
      <c r="UIH222" s="1201"/>
      <c r="UII222" s="1201"/>
      <c r="UIJ222" s="1201"/>
      <c r="UIK222" s="1201"/>
      <c r="UIL222" s="1201"/>
      <c r="UIM222" s="1201"/>
      <c r="UIN222" s="1201"/>
      <c r="UIO222" s="1201"/>
      <c r="UIP222" s="1201"/>
      <c r="UIQ222" s="1201"/>
      <c r="UIR222" s="1201"/>
      <c r="UIS222" s="1201"/>
      <c r="UIT222" s="1201"/>
      <c r="UIU222" s="1201"/>
      <c r="UIV222" s="1201"/>
      <c r="UIW222" s="1201"/>
      <c r="UIX222" s="1201"/>
      <c r="UIY222" s="1201"/>
      <c r="UIZ222" s="1201"/>
      <c r="UJA222" s="1201"/>
      <c r="UJB222" s="1201"/>
      <c r="UJC222" s="1201"/>
      <c r="UJD222" s="1201"/>
      <c r="UJE222" s="1201"/>
      <c r="UJF222" s="1201"/>
      <c r="UJG222" s="1201"/>
      <c r="UJH222" s="1201"/>
      <c r="UJI222" s="1201"/>
      <c r="UJJ222" s="1201"/>
      <c r="UJK222" s="1201"/>
      <c r="UJL222" s="1201"/>
      <c r="UJM222" s="1201"/>
      <c r="UJN222" s="1201"/>
      <c r="UJO222" s="1201"/>
      <c r="UJP222" s="1201"/>
      <c r="UJQ222" s="1201"/>
      <c r="UJR222" s="1201"/>
      <c r="UJS222" s="1201"/>
      <c r="UJT222" s="1201"/>
      <c r="UJU222" s="1201"/>
      <c r="UJV222" s="1201"/>
      <c r="UJW222" s="1201"/>
      <c r="UJX222" s="1201"/>
      <c r="UJY222" s="1201"/>
      <c r="UJZ222" s="1201"/>
      <c r="UKA222" s="1201"/>
      <c r="UKB222" s="1201"/>
      <c r="UKC222" s="1201"/>
      <c r="UKD222" s="1201"/>
      <c r="UKE222" s="1201"/>
      <c r="UKF222" s="1201"/>
      <c r="UKG222" s="1201"/>
      <c r="UKH222" s="1201"/>
      <c r="UKI222" s="1201"/>
      <c r="UKJ222" s="1201"/>
      <c r="UKK222" s="1201"/>
      <c r="UKL222" s="1201"/>
      <c r="UKM222" s="1201"/>
      <c r="UKN222" s="1201"/>
      <c r="UKO222" s="1201"/>
      <c r="UKP222" s="1201"/>
      <c r="UKQ222" s="1201"/>
      <c r="UKR222" s="1201"/>
      <c r="UKS222" s="1201"/>
      <c r="UKT222" s="1201"/>
      <c r="UKU222" s="1201"/>
      <c r="UKV222" s="1201"/>
      <c r="UKW222" s="1201"/>
      <c r="UKX222" s="1201"/>
      <c r="UKY222" s="1201"/>
      <c r="UKZ222" s="1201"/>
      <c r="ULA222" s="1201"/>
      <c r="ULB222" s="1201"/>
      <c r="ULC222" s="1201"/>
      <c r="ULD222" s="1201"/>
      <c r="ULE222" s="1201"/>
      <c r="ULF222" s="1201"/>
      <c r="ULG222" s="1201"/>
      <c r="ULH222" s="1201"/>
      <c r="ULI222" s="1201"/>
      <c r="ULJ222" s="1201"/>
      <c r="ULK222" s="1201"/>
      <c r="ULL222" s="1201"/>
      <c r="ULM222" s="1201"/>
      <c r="ULN222" s="1201"/>
      <c r="ULO222" s="1201"/>
      <c r="ULP222" s="1201"/>
      <c r="ULQ222" s="1201"/>
      <c r="ULR222" s="1201"/>
      <c r="ULS222" s="1201"/>
      <c r="ULT222" s="1201"/>
      <c r="ULU222" s="1201"/>
      <c r="ULV222" s="1201"/>
      <c r="ULW222" s="1201"/>
      <c r="ULX222" s="1201"/>
      <c r="ULY222" s="1201"/>
      <c r="ULZ222" s="1201"/>
      <c r="UMA222" s="1201"/>
      <c r="UMB222" s="1201"/>
      <c r="UMC222" s="1201"/>
      <c r="UMD222" s="1201"/>
      <c r="UME222" s="1201"/>
      <c r="UMF222" s="1201"/>
      <c r="UMG222" s="1201"/>
      <c r="UMH222" s="1201"/>
      <c r="UMI222" s="1201"/>
      <c r="UMJ222" s="1201"/>
      <c r="UMK222" s="1201"/>
      <c r="UML222" s="1201"/>
      <c r="UMM222" s="1201"/>
      <c r="UMN222" s="1201"/>
      <c r="UMO222" s="1201"/>
      <c r="UMP222" s="1201"/>
      <c r="UMQ222" s="1201"/>
      <c r="UMR222" s="1201"/>
      <c r="UMS222" s="1201"/>
      <c r="UMT222" s="1201"/>
      <c r="UMU222" s="1201"/>
      <c r="UMV222" s="1201"/>
      <c r="UMW222" s="1201"/>
      <c r="UMX222" s="1201"/>
      <c r="UMY222" s="1201"/>
      <c r="UMZ222" s="1201"/>
      <c r="UNA222" s="1201"/>
      <c r="UNB222" s="1201"/>
      <c r="UNC222" s="1201"/>
      <c r="UND222" s="1201"/>
      <c r="UNE222" s="1201"/>
      <c r="UNF222" s="1201"/>
      <c r="UNG222" s="1201"/>
      <c r="UNH222" s="1201"/>
      <c r="UNI222" s="1201"/>
      <c r="UNJ222" s="1201"/>
      <c r="UNK222" s="1201"/>
      <c r="UNL222" s="1201"/>
      <c r="UNM222" s="1201"/>
      <c r="UNN222" s="1201"/>
      <c r="UNO222" s="1201"/>
      <c r="UNP222" s="1201"/>
      <c r="UNQ222" s="1201"/>
      <c r="UNR222" s="1201"/>
      <c r="UNS222" s="1201"/>
      <c r="UNT222" s="1201"/>
      <c r="UNU222" s="1201"/>
      <c r="UNV222" s="1201"/>
      <c r="UNW222" s="1201"/>
      <c r="UNX222" s="1201"/>
      <c r="UNY222" s="1201"/>
      <c r="UNZ222" s="1201"/>
      <c r="UOA222" s="1201"/>
      <c r="UOB222" s="1201"/>
      <c r="UOC222" s="1201"/>
      <c r="UOD222" s="1201"/>
      <c r="UOE222" s="1201"/>
      <c r="UOF222" s="1201"/>
      <c r="UOG222" s="1201"/>
      <c r="UOH222" s="1201"/>
      <c r="UOI222" s="1201"/>
      <c r="UOJ222" s="1201"/>
      <c r="UOK222" s="1201"/>
      <c r="UOL222" s="1201"/>
      <c r="UOM222" s="1201"/>
      <c r="UON222" s="1201"/>
      <c r="UOO222" s="1201"/>
      <c r="UOP222" s="1201"/>
      <c r="UOQ222" s="1201"/>
      <c r="UOR222" s="1201"/>
      <c r="UOS222" s="1201"/>
      <c r="UOT222" s="1201"/>
      <c r="UOU222" s="1201"/>
      <c r="UOV222" s="1201"/>
      <c r="UOW222" s="1201"/>
      <c r="UOX222" s="1201"/>
      <c r="UOY222" s="1201"/>
      <c r="UOZ222" s="1201"/>
      <c r="UPA222" s="1201"/>
      <c r="UPB222" s="1201"/>
      <c r="UPC222" s="1201"/>
      <c r="UPD222" s="1201"/>
      <c r="UPE222" s="1201"/>
      <c r="UPF222" s="1201"/>
      <c r="UPG222" s="1201"/>
      <c r="UPH222" s="1201"/>
      <c r="UPI222" s="1201"/>
      <c r="UPJ222" s="1201"/>
      <c r="UPK222" s="1201"/>
      <c r="UPL222" s="1201"/>
      <c r="UPM222" s="1201"/>
      <c r="UPN222" s="1201"/>
      <c r="UPO222" s="1201"/>
      <c r="UPP222" s="1201"/>
      <c r="UPQ222" s="1201"/>
      <c r="UPR222" s="1201"/>
      <c r="UPS222" s="1201"/>
      <c r="UPT222" s="1201"/>
      <c r="UPU222" s="1201"/>
      <c r="UPV222" s="1201"/>
      <c r="UPW222" s="1201"/>
      <c r="UPX222" s="1201"/>
      <c r="UPY222" s="1201"/>
      <c r="UPZ222" s="1201"/>
      <c r="UQA222" s="1201"/>
      <c r="UQB222" s="1201"/>
      <c r="UQC222" s="1201"/>
      <c r="UQD222" s="1201"/>
      <c r="UQE222" s="1201"/>
      <c r="UQF222" s="1201"/>
      <c r="UQG222" s="1201"/>
      <c r="UQH222" s="1201"/>
      <c r="UQI222" s="1201"/>
      <c r="UQJ222" s="1201"/>
      <c r="UQK222" s="1201"/>
      <c r="UQL222" s="1201"/>
      <c r="UQM222" s="1201"/>
      <c r="UQN222" s="1201"/>
      <c r="UQO222" s="1201"/>
      <c r="UQP222" s="1201"/>
      <c r="UQQ222" s="1201"/>
      <c r="UQR222" s="1201"/>
      <c r="UQS222" s="1201"/>
      <c r="UQT222" s="1201"/>
      <c r="UQU222" s="1201"/>
      <c r="UQV222" s="1201"/>
      <c r="UQW222" s="1201"/>
      <c r="UQX222" s="1201"/>
      <c r="UQY222" s="1201"/>
      <c r="UQZ222" s="1201"/>
      <c r="URA222" s="1201"/>
      <c r="URB222" s="1201"/>
      <c r="URC222" s="1201"/>
      <c r="URD222" s="1201"/>
      <c r="URE222" s="1201"/>
      <c r="URF222" s="1201"/>
      <c r="URG222" s="1201"/>
      <c r="URH222" s="1201"/>
      <c r="URI222" s="1201"/>
      <c r="URJ222" s="1201"/>
      <c r="URK222" s="1201"/>
      <c r="URL222" s="1201"/>
      <c r="URM222" s="1201"/>
      <c r="URN222" s="1201"/>
      <c r="URO222" s="1201"/>
      <c r="URP222" s="1201"/>
      <c r="URQ222" s="1201"/>
      <c r="URR222" s="1201"/>
      <c r="URS222" s="1201"/>
      <c r="URT222" s="1201"/>
      <c r="URU222" s="1201"/>
      <c r="URV222" s="1201"/>
      <c r="URW222" s="1201"/>
      <c r="URX222" s="1201"/>
      <c r="URY222" s="1201"/>
      <c r="URZ222" s="1201"/>
      <c r="USA222" s="1201"/>
      <c r="USB222" s="1201"/>
      <c r="USC222" s="1201"/>
      <c r="USD222" s="1201"/>
      <c r="USE222" s="1201"/>
      <c r="USF222" s="1201"/>
      <c r="USG222" s="1201"/>
      <c r="USH222" s="1201"/>
      <c r="USI222" s="1201"/>
      <c r="USJ222" s="1201"/>
      <c r="USK222" s="1201"/>
      <c r="USL222" s="1201"/>
      <c r="USM222" s="1201"/>
      <c r="USN222" s="1201"/>
      <c r="USO222" s="1201"/>
      <c r="USP222" s="1201"/>
      <c r="USQ222" s="1201"/>
      <c r="USR222" s="1201"/>
      <c r="USS222" s="1201"/>
      <c r="UST222" s="1201"/>
      <c r="USU222" s="1201"/>
      <c r="USV222" s="1201"/>
      <c r="USW222" s="1201"/>
      <c r="USX222" s="1201"/>
      <c r="USY222" s="1201"/>
      <c r="USZ222" s="1201"/>
      <c r="UTA222" s="1201"/>
      <c r="UTB222" s="1201"/>
      <c r="UTC222" s="1201"/>
      <c r="UTD222" s="1201"/>
      <c r="UTE222" s="1201"/>
      <c r="UTF222" s="1201"/>
      <c r="UTG222" s="1201"/>
      <c r="UTH222" s="1201"/>
      <c r="UTI222" s="1201"/>
      <c r="UTJ222" s="1201"/>
      <c r="UTK222" s="1201"/>
      <c r="UTL222" s="1201"/>
      <c r="UTM222" s="1201"/>
      <c r="UTN222" s="1201"/>
      <c r="UTO222" s="1201"/>
      <c r="UTP222" s="1201"/>
      <c r="UTQ222" s="1201"/>
      <c r="UTR222" s="1201"/>
      <c r="UTS222" s="1201"/>
      <c r="UTT222" s="1201"/>
      <c r="UTU222" s="1201"/>
      <c r="UTV222" s="1201"/>
      <c r="UTW222" s="1201"/>
      <c r="UTX222" s="1201"/>
      <c r="UTY222" s="1201"/>
      <c r="UTZ222" s="1201"/>
      <c r="UUA222" s="1201"/>
      <c r="UUB222" s="1201"/>
      <c r="UUC222" s="1201"/>
      <c r="UUD222" s="1201"/>
      <c r="UUE222" s="1201"/>
      <c r="UUF222" s="1201"/>
      <c r="UUG222" s="1201"/>
      <c r="UUH222" s="1201"/>
      <c r="UUI222" s="1201"/>
      <c r="UUJ222" s="1201"/>
      <c r="UUK222" s="1201"/>
      <c r="UUL222" s="1201"/>
      <c r="UUM222" s="1201"/>
      <c r="UUN222" s="1201"/>
      <c r="UUO222" s="1201"/>
      <c r="UUP222" s="1201"/>
      <c r="UUQ222" s="1201"/>
      <c r="UUR222" s="1201"/>
      <c r="UUS222" s="1201"/>
      <c r="UUT222" s="1201"/>
      <c r="UUU222" s="1201"/>
      <c r="UUV222" s="1201"/>
      <c r="UUW222" s="1201"/>
      <c r="UUX222" s="1201"/>
      <c r="UUY222" s="1201"/>
      <c r="UUZ222" s="1201"/>
      <c r="UVA222" s="1201"/>
      <c r="UVB222" s="1201"/>
      <c r="UVC222" s="1201"/>
      <c r="UVD222" s="1201"/>
      <c r="UVE222" s="1201"/>
      <c r="UVF222" s="1201"/>
      <c r="UVG222" s="1201"/>
      <c r="UVH222" s="1201"/>
      <c r="UVI222" s="1201"/>
      <c r="UVJ222" s="1201"/>
      <c r="UVK222" s="1201"/>
      <c r="UVL222" s="1201"/>
      <c r="UVM222" s="1201"/>
      <c r="UVN222" s="1201"/>
      <c r="UVO222" s="1201"/>
      <c r="UVP222" s="1201"/>
      <c r="UVQ222" s="1201"/>
      <c r="UVR222" s="1201"/>
      <c r="UVS222" s="1201"/>
      <c r="UVT222" s="1201"/>
      <c r="UVU222" s="1201"/>
      <c r="UVV222" s="1201"/>
      <c r="UVW222" s="1201"/>
      <c r="UVX222" s="1201"/>
      <c r="UVY222" s="1201"/>
      <c r="UVZ222" s="1201"/>
      <c r="UWA222" s="1201"/>
      <c r="UWB222" s="1201"/>
      <c r="UWC222" s="1201"/>
      <c r="UWD222" s="1201"/>
      <c r="UWE222" s="1201"/>
      <c r="UWF222" s="1201"/>
      <c r="UWG222" s="1201"/>
      <c r="UWH222" s="1201"/>
      <c r="UWI222" s="1201"/>
      <c r="UWJ222" s="1201"/>
      <c r="UWK222" s="1201"/>
      <c r="UWL222" s="1201"/>
      <c r="UWM222" s="1201"/>
      <c r="UWN222" s="1201"/>
      <c r="UWO222" s="1201"/>
      <c r="UWP222" s="1201"/>
      <c r="UWQ222" s="1201"/>
      <c r="UWR222" s="1201"/>
      <c r="UWS222" s="1201"/>
      <c r="UWT222" s="1201"/>
      <c r="UWU222" s="1201"/>
      <c r="UWV222" s="1201"/>
      <c r="UWW222" s="1201"/>
      <c r="UWX222" s="1201"/>
      <c r="UWY222" s="1201"/>
      <c r="UWZ222" s="1201"/>
      <c r="UXA222" s="1201"/>
      <c r="UXB222" s="1201"/>
      <c r="UXC222" s="1201"/>
      <c r="UXD222" s="1201"/>
      <c r="UXE222" s="1201"/>
      <c r="UXF222" s="1201"/>
      <c r="UXG222" s="1201"/>
      <c r="UXH222" s="1201"/>
      <c r="UXI222" s="1201"/>
      <c r="UXJ222" s="1201"/>
      <c r="UXK222" s="1201"/>
      <c r="UXL222" s="1201"/>
      <c r="UXM222" s="1201"/>
      <c r="UXN222" s="1201"/>
      <c r="UXO222" s="1201"/>
      <c r="UXP222" s="1201"/>
      <c r="UXQ222" s="1201"/>
      <c r="UXR222" s="1201"/>
      <c r="UXS222" s="1201"/>
      <c r="UXT222" s="1201"/>
      <c r="UXU222" s="1201"/>
      <c r="UXV222" s="1201"/>
      <c r="UXW222" s="1201"/>
      <c r="UXX222" s="1201"/>
      <c r="UXY222" s="1201"/>
      <c r="UXZ222" s="1201"/>
      <c r="UYA222" s="1201"/>
      <c r="UYB222" s="1201"/>
      <c r="UYC222" s="1201"/>
      <c r="UYD222" s="1201"/>
      <c r="UYE222" s="1201"/>
      <c r="UYF222" s="1201"/>
      <c r="UYG222" s="1201"/>
      <c r="UYH222" s="1201"/>
      <c r="UYI222" s="1201"/>
      <c r="UYJ222" s="1201"/>
      <c r="UYK222" s="1201"/>
      <c r="UYL222" s="1201"/>
      <c r="UYM222" s="1201"/>
      <c r="UYN222" s="1201"/>
      <c r="UYO222" s="1201"/>
      <c r="UYP222" s="1201"/>
      <c r="UYQ222" s="1201"/>
      <c r="UYR222" s="1201"/>
      <c r="UYS222" s="1201"/>
      <c r="UYT222" s="1201"/>
      <c r="UYU222" s="1201"/>
      <c r="UYV222" s="1201"/>
      <c r="UYW222" s="1201"/>
      <c r="UYX222" s="1201"/>
      <c r="UYY222" s="1201"/>
      <c r="UYZ222" s="1201"/>
      <c r="UZA222" s="1201"/>
      <c r="UZB222" s="1201"/>
      <c r="UZC222" s="1201"/>
      <c r="UZD222" s="1201"/>
      <c r="UZE222" s="1201"/>
      <c r="UZF222" s="1201"/>
      <c r="UZG222" s="1201"/>
      <c r="UZH222" s="1201"/>
      <c r="UZI222" s="1201"/>
      <c r="UZJ222" s="1201"/>
      <c r="UZK222" s="1201"/>
      <c r="UZL222" s="1201"/>
      <c r="UZM222" s="1201"/>
      <c r="UZN222" s="1201"/>
      <c r="UZO222" s="1201"/>
      <c r="UZP222" s="1201"/>
      <c r="UZQ222" s="1201"/>
      <c r="UZR222" s="1201"/>
      <c r="UZS222" s="1201"/>
      <c r="UZT222" s="1201"/>
      <c r="UZU222" s="1201"/>
      <c r="UZV222" s="1201"/>
      <c r="UZW222" s="1201"/>
      <c r="UZX222" s="1201"/>
      <c r="UZY222" s="1201"/>
      <c r="UZZ222" s="1201"/>
      <c r="VAA222" s="1201"/>
      <c r="VAB222" s="1201"/>
      <c r="VAC222" s="1201"/>
      <c r="VAD222" s="1201"/>
      <c r="VAE222" s="1201"/>
      <c r="VAF222" s="1201"/>
      <c r="VAG222" s="1201"/>
      <c r="VAH222" s="1201"/>
      <c r="VAI222" s="1201"/>
      <c r="VAJ222" s="1201"/>
      <c r="VAK222" s="1201"/>
      <c r="VAL222" s="1201"/>
      <c r="VAM222" s="1201"/>
      <c r="VAN222" s="1201"/>
      <c r="VAO222" s="1201"/>
      <c r="VAP222" s="1201"/>
      <c r="VAQ222" s="1201"/>
      <c r="VAR222" s="1201"/>
      <c r="VAS222" s="1201"/>
      <c r="VAT222" s="1201"/>
      <c r="VAU222" s="1201"/>
      <c r="VAV222" s="1201"/>
      <c r="VAW222" s="1201"/>
      <c r="VAX222" s="1201"/>
      <c r="VAY222" s="1201"/>
      <c r="VAZ222" s="1201"/>
      <c r="VBA222" s="1201"/>
      <c r="VBB222" s="1201"/>
      <c r="VBC222" s="1201"/>
      <c r="VBD222" s="1201"/>
      <c r="VBE222" s="1201"/>
      <c r="VBF222" s="1201"/>
      <c r="VBG222" s="1201"/>
      <c r="VBH222" s="1201"/>
      <c r="VBI222" s="1201"/>
      <c r="VBJ222" s="1201"/>
      <c r="VBK222" s="1201"/>
      <c r="VBL222" s="1201"/>
      <c r="VBM222" s="1201"/>
      <c r="VBN222" s="1201"/>
      <c r="VBO222" s="1201"/>
      <c r="VBP222" s="1201"/>
      <c r="VBQ222" s="1201"/>
      <c r="VBR222" s="1201"/>
      <c r="VBS222" s="1201"/>
      <c r="VBT222" s="1201"/>
      <c r="VBU222" s="1201"/>
      <c r="VBV222" s="1201"/>
      <c r="VBW222" s="1201"/>
      <c r="VBX222" s="1201"/>
      <c r="VBY222" s="1201"/>
      <c r="VBZ222" s="1201"/>
      <c r="VCA222" s="1201"/>
      <c r="VCB222" s="1201"/>
      <c r="VCC222" s="1201"/>
      <c r="VCD222" s="1201"/>
      <c r="VCE222" s="1201"/>
      <c r="VCF222" s="1201"/>
      <c r="VCG222" s="1201"/>
      <c r="VCH222" s="1201"/>
      <c r="VCI222" s="1201"/>
      <c r="VCJ222" s="1201"/>
      <c r="VCK222" s="1201"/>
      <c r="VCL222" s="1201"/>
      <c r="VCM222" s="1201"/>
      <c r="VCN222" s="1201"/>
      <c r="VCO222" s="1201"/>
      <c r="VCP222" s="1201"/>
      <c r="VCQ222" s="1201"/>
      <c r="VCR222" s="1201"/>
      <c r="VCS222" s="1201"/>
      <c r="VCT222" s="1201"/>
      <c r="VCU222" s="1201"/>
      <c r="VCV222" s="1201"/>
      <c r="VCW222" s="1201"/>
      <c r="VCX222" s="1201"/>
      <c r="VCY222" s="1201"/>
      <c r="VCZ222" s="1201"/>
      <c r="VDA222" s="1201"/>
      <c r="VDB222" s="1201"/>
      <c r="VDC222" s="1201"/>
      <c r="VDD222" s="1201"/>
      <c r="VDE222" s="1201"/>
      <c r="VDF222" s="1201"/>
      <c r="VDG222" s="1201"/>
      <c r="VDH222" s="1201"/>
      <c r="VDI222" s="1201"/>
      <c r="VDJ222" s="1201"/>
      <c r="VDK222" s="1201"/>
      <c r="VDL222" s="1201"/>
      <c r="VDM222" s="1201"/>
      <c r="VDN222" s="1201"/>
      <c r="VDO222" s="1201"/>
      <c r="VDP222" s="1201"/>
      <c r="VDQ222" s="1201"/>
      <c r="VDR222" s="1201"/>
      <c r="VDS222" s="1201"/>
      <c r="VDT222" s="1201"/>
      <c r="VDU222" s="1201"/>
      <c r="VDV222" s="1201"/>
      <c r="VDW222" s="1201"/>
      <c r="VDX222" s="1201"/>
      <c r="VDY222" s="1201"/>
      <c r="VDZ222" s="1201"/>
      <c r="VEA222" s="1201"/>
      <c r="VEB222" s="1201"/>
      <c r="VEC222" s="1201"/>
      <c r="VED222" s="1201"/>
      <c r="VEE222" s="1201"/>
      <c r="VEF222" s="1201"/>
      <c r="VEG222" s="1201"/>
      <c r="VEH222" s="1201"/>
      <c r="VEI222" s="1201"/>
      <c r="VEJ222" s="1201"/>
      <c r="VEK222" s="1201"/>
      <c r="VEL222" s="1201"/>
      <c r="VEM222" s="1201"/>
      <c r="VEN222" s="1201"/>
      <c r="VEO222" s="1201"/>
      <c r="VEP222" s="1201"/>
      <c r="VEQ222" s="1201"/>
      <c r="VER222" s="1201"/>
      <c r="VES222" s="1201"/>
      <c r="VET222" s="1201"/>
      <c r="VEU222" s="1201"/>
      <c r="VEV222" s="1201"/>
      <c r="VEW222" s="1201"/>
      <c r="VEX222" s="1201"/>
      <c r="VEY222" s="1201"/>
      <c r="VEZ222" s="1201"/>
      <c r="VFA222" s="1201"/>
      <c r="VFB222" s="1201"/>
      <c r="VFC222" s="1201"/>
      <c r="VFD222" s="1201"/>
      <c r="VFE222" s="1201"/>
      <c r="VFF222" s="1201"/>
      <c r="VFG222" s="1201"/>
      <c r="VFH222" s="1201"/>
      <c r="VFI222" s="1201"/>
      <c r="VFJ222" s="1201"/>
      <c r="VFK222" s="1201"/>
      <c r="VFL222" s="1201"/>
      <c r="VFM222" s="1201"/>
      <c r="VFN222" s="1201"/>
      <c r="VFO222" s="1201"/>
      <c r="VFP222" s="1201"/>
      <c r="VFQ222" s="1201"/>
      <c r="VFR222" s="1201"/>
      <c r="VFS222" s="1201"/>
      <c r="VFT222" s="1201"/>
      <c r="VFU222" s="1201"/>
      <c r="VFV222" s="1201"/>
      <c r="VFW222" s="1201"/>
      <c r="VFX222" s="1201"/>
      <c r="VFY222" s="1201"/>
      <c r="VFZ222" s="1201"/>
      <c r="VGA222" s="1201"/>
      <c r="VGB222" s="1201"/>
      <c r="VGC222" s="1201"/>
      <c r="VGD222" s="1201"/>
      <c r="VGE222" s="1201"/>
      <c r="VGF222" s="1201"/>
      <c r="VGG222" s="1201"/>
      <c r="VGH222" s="1201"/>
      <c r="VGI222" s="1201"/>
      <c r="VGJ222" s="1201"/>
      <c r="VGK222" s="1201"/>
      <c r="VGL222" s="1201"/>
      <c r="VGM222" s="1201"/>
      <c r="VGN222" s="1201"/>
      <c r="VGO222" s="1201"/>
      <c r="VGP222" s="1201"/>
      <c r="VGQ222" s="1201"/>
      <c r="VGR222" s="1201"/>
      <c r="VGS222" s="1201"/>
      <c r="VGT222" s="1201"/>
      <c r="VGU222" s="1201"/>
      <c r="VGV222" s="1201"/>
      <c r="VGW222" s="1201"/>
      <c r="VGX222" s="1201"/>
      <c r="VGY222" s="1201"/>
      <c r="VGZ222" s="1201"/>
      <c r="VHA222" s="1201"/>
      <c r="VHB222" s="1201"/>
      <c r="VHC222" s="1201"/>
      <c r="VHD222" s="1201"/>
      <c r="VHE222" s="1201"/>
      <c r="VHF222" s="1201"/>
      <c r="VHG222" s="1201"/>
      <c r="VHH222" s="1201"/>
      <c r="VHI222" s="1201"/>
      <c r="VHJ222" s="1201"/>
      <c r="VHK222" s="1201"/>
      <c r="VHL222" s="1201"/>
      <c r="VHM222" s="1201"/>
      <c r="VHN222" s="1201"/>
      <c r="VHO222" s="1201"/>
      <c r="VHP222" s="1201"/>
      <c r="VHQ222" s="1201"/>
      <c r="VHR222" s="1201"/>
      <c r="VHS222" s="1201"/>
      <c r="VHT222" s="1201"/>
      <c r="VHU222" s="1201"/>
      <c r="VHV222" s="1201"/>
      <c r="VHW222" s="1201"/>
      <c r="VHX222" s="1201"/>
      <c r="VHY222" s="1201"/>
      <c r="VHZ222" s="1201"/>
      <c r="VIA222" s="1201"/>
      <c r="VIB222" s="1201"/>
      <c r="VIC222" s="1201"/>
      <c r="VID222" s="1201"/>
      <c r="VIE222" s="1201"/>
      <c r="VIF222" s="1201"/>
      <c r="VIG222" s="1201"/>
      <c r="VIH222" s="1201"/>
      <c r="VII222" s="1201"/>
      <c r="VIJ222" s="1201"/>
      <c r="VIK222" s="1201"/>
      <c r="VIL222" s="1201"/>
      <c r="VIM222" s="1201"/>
      <c r="VIN222" s="1201"/>
      <c r="VIO222" s="1201"/>
      <c r="VIP222" s="1201"/>
      <c r="VIQ222" s="1201"/>
      <c r="VIR222" s="1201"/>
      <c r="VIS222" s="1201"/>
      <c r="VIT222" s="1201"/>
      <c r="VIU222" s="1201"/>
      <c r="VIV222" s="1201"/>
      <c r="VIW222" s="1201"/>
      <c r="VIX222" s="1201"/>
      <c r="VIY222" s="1201"/>
      <c r="VIZ222" s="1201"/>
      <c r="VJA222" s="1201"/>
      <c r="VJB222" s="1201"/>
      <c r="VJC222" s="1201"/>
      <c r="VJD222" s="1201"/>
      <c r="VJE222" s="1201"/>
      <c r="VJF222" s="1201"/>
      <c r="VJG222" s="1201"/>
      <c r="VJH222" s="1201"/>
      <c r="VJI222" s="1201"/>
      <c r="VJJ222" s="1201"/>
      <c r="VJK222" s="1201"/>
      <c r="VJL222" s="1201"/>
      <c r="VJM222" s="1201"/>
      <c r="VJN222" s="1201"/>
      <c r="VJO222" s="1201"/>
      <c r="VJP222" s="1201"/>
      <c r="VJQ222" s="1201"/>
      <c r="VJR222" s="1201"/>
      <c r="VJS222" s="1201"/>
      <c r="VJT222" s="1201"/>
      <c r="VJU222" s="1201"/>
      <c r="VJV222" s="1201"/>
      <c r="VJW222" s="1201"/>
      <c r="VJX222" s="1201"/>
      <c r="VJY222" s="1201"/>
      <c r="VJZ222" s="1201"/>
      <c r="VKA222" s="1201"/>
      <c r="VKB222" s="1201"/>
      <c r="VKC222" s="1201"/>
      <c r="VKD222" s="1201"/>
      <c r="VKE222" s="1201"/>
      <c r="VKF222" s="1201"/>
      <c r="VKG222" s="1201"/>
      <c r="VKH222" s="1201"/>
      <c r="VKI222" s="1201"/>
      <c r="VKJ222" s="1201"/>
      <c r="VKK222" s="1201"/>
      <c r="VKL222" s="1201"/>
      <c r="VKM222" s="1201"/>
      <c r="VKN222" s="1201"/>
      <c r="VKO222" s="1201"/>
      <c r="VKP222" s="1201"/>
      <c r="VKQ222" s="1201"/>
      <c r="VKR222" s="1201"/>
      <c r="VKS222" s="1201"/>
      <c r="VKT222" s="1201"/>
      <c r="VKU222" s="1201"/>
      <c r="VKV222" s="1201"/>
      <c r="VKW222" s="1201"/>
      <c r="VKX222" s="1201"/>
      <c r="VKY222" s="1201"/>
      <c r="VKZ222" s="1201"/>
      <c r="VLA222" s="1201"/>
      <c r="VLB222" s="1201"/>
      <c r="VLC222" s="1201"/>
      <c r="VLD222" s="1201"/>
      <c r="VLE222" s="1201"/>
      <c r="VLF222" s="1201"/>
      <c r="VLG222" s="1201"/>
      <c r="VLH222" s="1201"/>
      <c r="VLI222" s="1201"/>
      <c r="VLJ222" s="1201"/>
      <c r="VLK222" s="1201"/>
      <c r="VLL222" s="1201"/>
      <c r="VLM222" s="1201"/>
      <c r="VLN222" s="1201"/>
      <c r="VLO222" s="1201"/>
      <c r="VLP222" s="1201"/>
      <c r="VLQ222" s="1201"/>
      <c r="VLR222" s="1201"/>
      <c r="VLS222" s="1201"/>
      <c r="VLT222" s="1201"/>
      <c r="VLU222" s="1201"/>
      <c r="VLV222" s="1201"/>
      <c r="VLW222" s="1201"/>
      <c r="VLX222" s="1201"/>
      <c r="VLY222" s="1201"/>
      <c r="VLZ222" s="1201"/>
      <c r="VMA222" s="1201"/>
      <c r="VMB222" s="1201"/>
      <c r="VMC222" s="1201"/>
      <c r="VMD222" s="1201"/>
      <c r="VME222" s="1201"/>
      <c r="VMF222" s="1201"/>
      <c r="VMG222" s="1201"/>
      <c r="VMH222" s="1201"/>
      <c r="VMI222" s="1201"/>
      <c r="VMJ222" s="1201"/>
      <c r="VMK222" s="1201"/>
      <c r="VML222" s="1201"/>
      <c r="VMM222" s="1201"/>
      <c r="VMN222" s="1201"/>
      <c r="VMO222" s="1201"/>
      <c r="VMP222" s="1201"/>
      <c r="VMQ222" s="1201"/>
      <c r="VMR222" s="1201"/>
      <c r="VMS222" s="1201"/>
      <c r="VMT222" s="1201"/>
      <c r="VMU222" s="1201"/>
      <c r="VMV222" s="1201"/>
      <c r="VMW222" s="1201"/>
      <c r="VMX222" s="1201"/>
      <c r="VMY222" s="1201"/>
      <c r="VMZ222" s="1201"/>
      <c r="VNA222" s="1201"/>
      <c r="VNB222" s="1201"/>
      <c r="VNC222" s="1201"/>
      <c r="VND222" s="1201"/>
      <c r="VNE222" s="1201"/>
      <c r="VNF222" s="1201"/>
      <c r="VNG222" s="1201"/>
      <c r="VNH222" s="1201"/>
      <c r="VNI222" s="1201"/>
      <c r="VNJ222" s="1201"/>
      <c r="VNK222" s="1201"/>
      <c r="VNL222" s="1201"/>
      <c r="VNM222" s="1201"/>
      <c r="VNN222" s="1201"/>
      <c r="VNO222" s="1201"/>
      <c r="VNP222" s="1201"/>
      <c r="VNQ222" s="1201"/>
      <c r="VNR222" s="1201"/>
      <c r="VNS222" s="1201"/>
      <c r="VNT222" s="1201"/>
      <c r="VNU222" s="1201"/>
      <c r="VNV222" s="1201"/>
      <c r="VNW222" s="1201"/>
      <c r="VNX222" s="1201"/>
      <c r="VNY222" s="1201"/>
      <c r="VNZ222" s="1201"/>
      <c r="VOA222" s="1201"/>
      <c r="VOB222" s="1201"/>
      <c r="VOC222" s="1201"/>
      <c r="VOD222" s="1201"/>
      <c r="VOE222" s="1201"/>
      <c r="VOF222" s="1201"/>
      <c r="VOG222" s="1201"/>
      <c r="VOH222" s="1201"/>
      <c r="VOI222" s="1201"/>
      <c r="VOJ222" s="1201"/>
      <c r="VOK222" s="1201"/>
      <c r="VOL222" s="1201"/>
      <c r="VOM222" s="1201"/>
      <c r="VON222" s="1201"/>
      <c r="VOO222" s="1201"/>
      <c r="VOP222" s="1201"/>
      <c r="VOQ222" s="1201"/>
      <c r="VOR222" s="1201"/>
      <c r="VOS222" s="1201"/>
      <c r="VOT222" s="1201"/>
      <c r="VOU222" s="1201"/>
      <c r="VOV222" s="1201"/>
      <c r="VOW222" s="1201"/>
      <c r="VOX222" s="1201"/>
      <c r="VOY222" s="1201"/>
      <c r="VOZ222" s="1201"/>
      <c r="VPA222" s="1201"/>
      <c r="VPB222" s="1201"/>
      <c r="VPC222" s="1201"/>
      <c r="VPD222" s="1201"/>
      <c r="VPE222" s="1201"/>
      <c r="VPF222" s="1201"/>
      <c r="VPG222" s="1201"/>
      <c r="VPH222" s="1201"/>
      <c r="VPI222" s="1201"/>
      <c r="VPJ222" s="1201"/>
      <c r="VPK222" s="1201"/>
      <c r="VPL222" s="1201"/>
      <c r="VPM222" s="1201"/>
      <c r="VPN222" s="1201"/>
      <c r="VPO222" s="1201"/>
      <c r="VPP222" s="1201"/>
      <c r="VPQ222" s="1201"/>
      <c r="VPR222" s="1201"/>
      <c r="VPS222" s="1201"/>
      <c r="VPT222" s="1201"/>
      <c r="VPU222" s="1201"/>
      <c r="VPV222" s="1201"/>
      <c r="VPW222" s="1201"/>
      <c r="VPX222" s="1201"/>
      <c r="VPY222" s="1201"/>
      <c r="VPZ222" s="1201"/>
      <c r="VQA222" s="1201"/>
      <c r="VQB222" s="1201"/>
      <c r="VQC222" s="1201"/>
      <c r="VQD222" s="1201"/>
      <c r="VQE222" s="1201"/>
      <c r="VQF222" s="1201"/>
      <c r="VQG222" s="1201"/>
      <c r="VQH222" s="1201"/>
      <c r="VQI222" s="1201"/>
      <c r="VQJ222" s="1201"/>
      <c r="VQK222" s="1201"/>
      <c r="VQL222" s="1201"/>
      <c r="VQM222" s="1201"/>
      <c r="VQN222" s="1201"/>
      <c r="VQO222" s="1201"/>
      <c r="VQP222" s="1201"/>
      <c r="VQQ222" s="1201"/>
      <c r="VQR222" s="1201"/>
      <c r="VQS222" s="1201"/>
      <c r="VQT222" s="1201"/>
      <c r="VQU222" s="1201"/>
      <c r="VQV222" s="1201"/>
      <c r="VQW222" s="1201"/>
      <c r="VQX222" s="1201"/>
      <c r="VQY222" s="1201"/>
      <c r="VQZ222" s="1201"/>
      <c r="VRA222" s="1201"/>
      <c r="VRB222" s="1201"/>
      <c r="VRC222" s="1201"/>
      <c r="VRD222" s="1201"/>
      <c r="VRE222" s="1201"/>
      <c r="VRF222" s="1201"/>
      <c r="VRG222" s="1201"/>
      <c r="VRH222" s="1201"/>
      <c r="VRI222" s="1201"/>
      <c r="VRJ222" s="1201"/>
      <c r="VRK222" s="1201"/>
      <c r="VRL222" s="1201"/>
      <c r="VRM222" s="1201"/>
      <c r="VRN222" s="1201"/>
      <c r="VRO222" s="1201"/>
      <c r="VRP222" s="1201"/>
      <c r="VRQ222" s="1201"/>
      <c r="VRR222" s="1201"/>
      <c r="VRS222" s="1201"/>
      <c r="VRT222" s="1201"/>
      <c r="VRU222" s="1201"/>
      <c r="VRV222" s="1201"/>
      <c r="VRW222" s="1201"/>
      <c r="VRX222" s="1201"/>
      <c r="VRY222" s="1201"/>
      <c r="VRZ222" s="1201"/>
      <c r="VSA222" s="1201"/>
      <c r="VSB222" s="1201"/>
      <c r="VSC222" s="1201"/>
      <c r="VSD222" s="1201"/>
      <c r="VSE222" s="1201"/>
      <c r="VSF222" s="1201"/>
      <c r="VSG222" s="1201"/>
      <c r="VSH222" s="1201"/>
      <c r="VSI222" s="1201"/>
      <c r="VSJ222" s="1201"/>
      <c r="VSK222" s="1201"/>
      <c r="VSL222" s="1201"/>
      <c r="VSM222" s="1201"/>
      <c r="VSN222" s="1201"/>
      <c r="VSO222" s="1201"/>
      <c r="VSP222" s="1201"/>
      <c r="VSQ222" s="1201"/>
      <c r="VSR222" s="1201"/>
      <c r="VSS222" s="1201"/>
      <c r="VST222" s="1201"/>
      <c r="VSU222" s="1201"/>
      <c r="VSV222" s="1201"/>
      <c r="VSW222" s="1201"/>
      <c r="VSX222" s="1201"/>
      <c r="VSY222" s="1201"/>
      <c r="VSZ222" s="1201"/>
      <c r="VTA222" s="1201"/>
      <c r="VTB222" s="1201"/>
      <c r="VTC222" s="1201"/>
      <c r="VTD222" s="1201"/>
      <c r="VTE222" s="1201"/>
      <c r="VTF222" s="1201"/>
      <c r="VTG222" s="1201"/>
      <c r="VTH222" s="1201"/>
      <c r="VTI222" s="1201"/>
      <c r="VTJ222" s="1201"/>
      <c r="VTK222" s="1201"/>
      <c r="VTL222" s="1201"/>
      <c r="VTM222" s="1201"/>
      <c r="VTN222" s="1201"/>
      <c r="VTO222" s="1201"/>
      <c r="VTP222" s="1201"/>
      <c r="VTQ222" s="1201"/>
      <c r="VTR222" s="1201"/>
      <c r="VTS222" s="1201"/>
      <c r="VTT222" s="1201"/>
      <c r="VTU222" s="1201"/>
      <c r="VTV222" s="1201"/>
      <c r="VTW222" s="1201"/>
      <c r="VTX222" s="1201"/>
      <c r="VTY222" s="1201"/>
      <c r="VTZ222" s="1201"/>
      <c r="VUA222" s="1201"/>
      <c r="VUB222" s="1201"/>
      <c r="VUC222" s="1201"/>
      <c r="VUD222" s="1201"/>
      <c r="VUE222" s="1201"/>
      <c r="VUF222" s="1201"/>
      <c r="VUG222" s="1201"/>
      <c r="VUH222" s="1201"/>
      <c r="VUI222" s="1201"/>
      <c r="VUJ222" s="1201"/>
      <c r="VUK222" s="1201"/>
      <c r="VUL222" s="1201"/>
      <c r="VUM222" s="1201"/>
      <c r="VUN222" s="1201"/>
      <c r="VUO222" s="1201"/>
      <c r="VUP222" s="1201"/>
      <c r="VUQ222" s="1201"/>
      <c r="VUR222" s="1201"/>
      <c r="VUS222" s="1201"/>
      <c r="VUT222" s="1201"/>
      <c r="VUU222" s="1201"/>
      <c r="VUV222" s="1201"/>
      <c r="VUW222" s="1201"/>
      <c r="VUX222" s="1201"/>
      <c r="VUY222" s="1201"/>
      <c r="VUZ222" s="1201"/>
      <c r="VVA222" s="1201"/>
      <c r="VVB222" s="1201"/>
      <c r="VVC222" s="1201"/>
      <c r="VVD222" s="1201"/>
      <c r="VVE222" s="1201"/>
      <c r="VVF222" s="1201"/>
      <c r="VVG222" s="1201"/>
      <c r="VVH222" s="1201"/>
      <c r="VVI222" s="1201"/>
      <c r="VVJ222" s="1201"/>
      <c r="VVK222" s="1201"/>
      <c r="VVL222" s="1201"/>
      <c r="VVM222" s="1201"/>
      <c r="VVN222" s="1201"/>
      <c r="VVO222" s="1201"/>
      <c r="VVP222" s="1201"/>
      <c r="VVQ222" s="1201"/>
      <c r="VVR222" s="1201"/>
      <c r="VVS222" s="1201"/>
      <c r="VVT222" s="1201"/>
      <c r="VVU222" s="1201"/>
      <c r="VVV222" s="1201"/>
      <c r="VVW222" s="1201"/>
      <c r="VVX222" s="1201"/>
      <c r="VVY222" s="1201"/>
      <c r="VVZ222" s="1201"/>
      <c r="VWA222" s="1201"/>
      <c r="VWB222" s="1201"/>
      <c r="VWC222" s="1201"/>
      <c r="VWD222" s="1201"/>
      <c r="VWE222" s="1201"/>
      <c r="VWF222" s="1201"/>
      <c r="VWG222" s="1201"/>
      <c r="VWH222" s="1201"/>
      <c r="VWI222" s="1201"/>
      <c r="VWJ222" s="1201"/>
      <c r="VWK222" s="1201"/>
      <c r="VWL222" s="1201"/>
      <c r="VWM222" s="1201"/>
      <c r="VWN222" s="1201"/>
      <c r="VWO222" s="1201"/>
      <c r="VWP222" s="1201"/>
      <c r="VWQ222" s="1201"/>
      <c r="VWR222" s="1201"/>
      <c r="VWS222" s="1201"/>
      <c r="VWT222" s="1201"/>
      <c r="VWU222" s="1201"/>
      <c r="VWV222" s="1201"/>
      <c r="VWW222" s="1201"/>
      <c r="VWX222" s="1201"/>
      <c r="VWY222" s="1201"/>
      <c r="VWZ222" s="1201"/>
      <c r="VXA222" s="1201"/>
      <c r="VXB222" s="1201"/>
      <c r="VXC222" s="1201"/>
      <c r="VXD222" s="1201"/>
      <c r="VXE222" s="1201"/>
      <c r="VXF222" s="1201"/>
      <c r="VXG222" s="1201"/>
      <c r="VXH222" s="1201"/>
      <c r="VXI222" s="1201"/>
      <c r="VXJ222" s="1201"/>
      <c r="VXK222" s="1201"/>
      <c r="VXL222" s="1201"/>
      <c r="VXM222" s="1201"/>
      <c r="VXN222" s="1201"/>
      <c r="VXO222" s="1201"/>
      <c r="VXP222" s="1201"/>
      <c r="VXQ222" s="1201"/>
      <c r="VXR222" s="1201"/>
      <c r="VXS222" s="1201"/>
      <c r="VXT222" s="1201"/>
      <c r="VXU222" s="1201"/>
      <c r="VXV222" s="1201"/>
      <c r="VXW222" s="1201"/>
      <c r="VXX222" s="1201"/>
      <c r="VXY222" s="1201"/>
      <c r="VXZ222" s="1201"/>
      <c r="VYA222" s="1201"/>
      <c r="VYB222" s="1201"/>
      <c r="VYC222" s="1201"/>
      <c r="VYD222" s="1201"/>
      <c r="VYE222" s="1201"/>
      <c r="VYF222" s="1201"/>
      <c r="VYG222" s="1201"/>
      <c r="VYH222" s="1201"/>
      <c r="VYI222" s="1201"/>
      <c r="VYJ222" s="1201"/>
      <c r="VYK222" s="1201"/>
      <c r="VYL222" s="1201"/>
      <c r="VYM222" s="1201"/>
      <c r="VYN222" s="1201"/>
      <c r="VYO222" s="1201"/>
      <c r="VYP222" s="1201"/>
      <c r="VYQ222" s="1201"/>
      <c r="VYR222" s="1201"/>
      <c r="VYS222" s="1201"/>
      <c r="VYT222" s="1201"/>
      <c r="VYU222" s="1201"/>
      <c r="VYV222" s="1201"/>
      <c r="VYW222" s="1201"/>
      <c r="VYX222" s="1201"/>
      <c r="VYY222" s="1201"/>
      <c r="VYZ222" s="1201"/>
      <c r="VZA222" s="1201"/>
      <c r="VZB222" s="1201"/>
      <c r="VZC222" s="1201"/>
      <c r="VZD222" s="1201"/>
      <c r="VZE222" s="1201"/>
      <c r="VZF222" s="1201"/>
      <c r="VZG222" s="1201"/>
      <c r="VZH222" s="1201"/>
      <c r="VZI222" s="1201"/>
      <c r="VZJ222" s="1201"/>
      <c r="VZK222" s="1201"/>
      <c r="VZL222" s="1201"/>
      <c r="VZM222" s="1201"/>
      <c r="VZN222" s="1201"/>
      <c r="VZO222" s="1201"/>
      <c r="VZP222" s="1201"/>
      <c r="VZQ222" s="1201"/>
      <c r="VZR222" s="1201"/>
      <c r="VZS222" s="1201"/>
      <c r="VZT222" s="1201"/>
      <c r="VZU222" s="1201"/>
      <c r="VZV222" s="1201"/>
      <c r="VZW222" s="1201"/>
      <c r="VZX222" s="1201"/>
      <c r="VZY222" s="1201"/>
      <c r="VZZ222" s="1201"/>
      <c r="WAA222" s="1201"/>
      <c r="WAB222" s="1201"/>
      <c r="WAC222" s="1201"/>
      <c r="WAD222" s="1201"/>
      <c r="WAE222" s="1201"/>
      <c r="WAF222" s="1201"/>
      <c r="WAG222" s="1201"/>
      <c r="WAH222" s="1201"/>
      <c r="WAI222" s="1201"/>
      <c r="WAJ222" s="1201"/>
      <c r="WAK222" s="1201"/>
      <c r="WAL222" s="1201"/>
      <c r="WAM222" s="1201"/>
      <c r="WAN222" s="1201"/>
      <c r="WAO222" s="1201"/>
      <c r="WAP222" s="1201"/>
      <c r="WAQ222" s="1201"/>
      <c r="WAR222" s="1201"/>
      <c r="WAS222" s="1201"/>
      <c r="WAT222" s="1201"/>
      <c r="WAU222" s="1201"/>
      <c r="WAV222" s="1201"/>
      <c r="WAW222" s="1201"/>
      <c r="WAX222" s="1201"/>
      <c r="WAY222" s="1201"/>
      <c r="WAZ222" s="1201"/>
      <c r="WBA222" s="1201"/>
      <c r="WBB222" s="1201"/>
      <c r="WBC222" s="1201"/>
      <c r="WBD222" s="1201"/>
      <c r="WBE222" s="1201"/>
      <c r="WBF222" s="1201"/>
      <c r="WBG222" s="1201"/>
      <c r="WBH222" s="1201"/>
      <c r="WBI222" s="1201"/>
      <c r="WBJ222" s="1201"/>
      <c r="WBK222" s="1201"/>
      <c r="WBL222" s="1201"/>
      <c r="WBM222" s="1201"/>
      <c r="WBN222" s="1201"/>
      <c r="WBO222" s="1201"/>
      <c r="WBP222" s="1201"/>
      <c r="WBQ222" s="1201"/>
      <c r="WBR222" s="1201"/>
      <c r="WBS222" s="1201"/>
      <c r="WBT222" s="1201"/>
      <c r="WBU222" s="1201"/>
      <c r="WBV222" s="1201"/>
      <c r="WBW222" s="1201"/>
      <c r="WBX222" s="1201"/>
      <c r="WBY222" s="1201"/>
      <c r="WBZ222" s="1201"/>
      <c r="WCA222" s="1201"/>
      <c r="WCB222" s="1201"/>
      <c r="WCC222" s="1201"/>
      <c r="WCD222" s="1201"/>
      <c r="WCE222" s="1201"/>
      <c r="WCF222" s="1201"/>
      <c r="WCG222" s="1201"/>
      <c r="WCH222" s="1201"/>
      <c r="WCI222" s="1201"/>
      <c r="WCJ222" s="1201"/>
      <c r="WCK222" s="1201"/>
      <c r="WCL222" s="1201"/>
      <c r="WCM222" s="1201"/>
      <c r="WCN222" s="1201"/>
      <c r="WCO222" s="1201"/>
      <c r="WCP222" s="1201"/>
      <c r="WCQ222" s="1201"/>
      <c r="WCR222" s="1201"/>
      <c r="WCS222" s="1201"/>
      <c r="WCT222" s="1201"/>
      <c r="WCU222" s="1201"/>
      <c r="WCV222" s="1201"/>
      <c r="WCW222" s="1201"/>
      <c r="WCX222" s="1201"/>
      <c r="WCY222" s="1201"/>
      <c r="WCZ222" s="1201"/>
      <c r="WDA222" s="1201"/>
      <c r="WDB222" s="1201"/>
      <c r="WDC222" s="1201"/>
      <c r="WDD222" s="1201"/>
      <c r="WDE222" s="1201"/>
      <c r="WDF222" s="1201"/>
      <c r="WDG222" s="1201"/>
      <c r="WDH222" s="1201"/>
      <c r="WDI222" s="1201"/>
      <c r="WDJ222" s="1201"/>
      <c r="WDK222" s="1201"/>
      <c r="WDL222" s="1201"/>
      <c r="WDM222" s="1201"/>
      <c r="WDN222" s="1201"/>
      <c r="WDO222" s="1201"/>
      <c r="WDP222" s="1201"/>
      <c r="WDQ222" s="1201"/>
      <c r="WDR222" s="1201"/>
      <c r="WDS222" s="1201"/>
      <c r="WDT222" s="1201"/>
      <c r="WDU222" s="1201"/>
      <c r="WDV222" s="1201"/>
      <c r="WDW222" s="1201"/>
      <c r="WDX222" s="1201"/>
      <c r="WDY222" s="1201"/>
      <c r="WDZ222" s="1201"/>
      <c r="WEA222" s="1201"/>
      <c r="WEB222" s="1201"/>
      <c r="WEC222" s="1201"/>
      <c r="WED222" s="1201"/>
      <c r="WEE222" s="1201"/>
      <c r="WEF222" s="1201"/>
      <c r="WEG222" s="1201"/>
      <c r="WEH222" s="1201"/>
      <c r="WEI222" s="1201"/>
      <c r="WEJ222" s="1201"/>
      <c r="WEK222" s="1201"/>
      <c r="WEL222" s="1201"/>
      <c r="WEM222" s="1201"/>
      <c r="WEN222" s="1201"/>
      <c r="WEO222" s="1201"/>
      <c r="WEP222" s="1201"/>
      <c r="WEQ222" s="1201"/>
      <c r="WER222" s="1201"/>
      <c r="WES222" s="1201"/>
      <c r="WET222" s="1201"/>
      <c r="WEU222" s="1201"/>
      <c r="WEV222" s="1201"/>
      <c r="WEW222" s="1201"/>
      <c r="WEX222" s="1201"/>
      <c r="WEY222" s="1201"/>
      <c r="WEZ222" s="1201"/>
      <c r="WFA222" s="1201"/>
      <c r="WFB222" s="1201"/>
      <c r="WFC222" s="1201"/>
      <c r="WFD222" s="1201"/>
      <c r="WFE222" s="1201"/>
      <c r="WFF222" s="1201"/>
      <c r="WFG222" s="1201"/>
      <c r="WFH222" s="1201"/>
      <c r="WFI222" s="1201"/>
      <c r="WFJ222" s="1201"/>
      <c r="WFK222" s="1201"/>
      <c r="WFL222" s="1201"/>
      <c r="WFM222" s="1201"/>
      <c r="WFN222" s="1201"/>
      <c r="WFO222" s="1201"/>
      <c r="WFP222" s="1201"/>
      <c r="WFQ222" s="1201"/>
      <c r="WFR222" s="1201"/>
      <c r="WFS222" s="1201"/>
      <c r="WFT222" s="1201"/>
      <c r="WFU222" s="1201"/>
      <c r="WFV222" s="1201"/>
      <c r="WFW222" s="1201"/>
      <c r="WFX222" s="1201"/>
      <c r="WFY222" s="1201"/>
      <c r="WFZ222" s="1201"/>
      <c r="WGA222" s="1201"/>
      <c r="WGB222" s="1201"/>
      <c r="WGC222" s="1201"/>
      <c r="WGD222" s="1201"/>
      <c r="WGE222" s="1201"/>
      <c r="WGF222" s="1201"/>
      <c r="WGG222" s="1201"/>
      <c r="WGH222" s="1201"/>
      <c r="WGI222" s="1201"/>
      <c r="WGJ222" s="1201"/>
      <c r="WGK222" s="1201"/>
      <c r="WGL222" s="1201"/>
      <c r="WGM222" s="1201"/>
      <c r="WGN222" s="1201"/>
      <c r="WGO222" s="1201"/>
      <c r="WGP222" s="1201"/>
      <c r="WGQ222" s="1201"/>
      <c r="WGR222" s="1201"/>
      <c r="WGS222" s="1201"/>
      <c r="WGT222" s="1201"/>
      <c r="WGU222" s="1201"/>
      <c r="WGV222" s="1201"/>
      <c r="WGW222" s="1201"/>
      <c r="WGX222" s="1201"/>
      <c r="WGY222" s="1201"/>
      <c r="WGZ222" s="1201"/>
      <c r="WHA222" s="1201"/>
      <c r="WHB222" s="1201"/>
      <c r="WHC222" s="1201"/>
      <c r="WHD222" s="1201"/>
      <c r="WHE222" s="1201"/>
      <c r="WHF222" s="1201"/>
      <c r="WHG222" s="1201"/>
      <c r="WHH222" s="1201"/>
      <c r="WHI222" s="1201"/>
      <c r="WHJ222" s="1201"/>
      <c r="WHK222" s="1201"/>
      <c r="WHL222" s="1201"/>
      <c r="WHM222" s="1201"/>
      <c r="WHN222" s="1201"/>
      <c r="WHO222" s="1201"/>
      <c r="WHP222" s="1201"/>
      <c r="WHQ222" s="1201"/>
      <c r="WHR222" s="1201"/>
      <c r="WHS222" s="1201"/>
      <c r="WHT222" s="1201"/>
      <c r="WHU222" s="1201"/>
      <c r="WHV222" s="1201"/>
      <c r="WHW222" s="1201"/>
      <c r="WHX222" s="1201"/>
      <c r="WHY222" s="1201"/>
      <c r="WHZ222" s="1201"/>
      <c r="WIA222" s="1201"/>
      <c r="WIB222" s="1201"/>
      <c r="WIC222" s="1201"/>
      <c r="WID222" s="1201"/>
      <c r="WIE222" s="1201"/>
      <c r="WIF222" s="1201"/>
      <c r="WIG222" s="1201"/>
      <c r="WIH222" s="1201"/>
      <c r="WII222" s="1201"/>
      <c r="WIJ222" s="1201"/>
      <c r="WIK222" s="1201"/>
      <c r="WIL222" s="1201"/>
      <c r="WIM222" s="1201"/>
      <c r="WIN222" s="1201"/>
      <c r="WIO222" s="1201"/>
      <c r="WIP222" s="1201"/>
      <c r="WIQ222" s="1201"/>
      <c r="WIR222" s="1201"/>
      <c r="WIS222" s="1201"/>
      <c r="WIT222" s="1201"/>
      <c r="WIU222" s="1201"/>
      <c r="WIV222" s="1201"/>
      <c r="WIW222" s="1201"/>
      <c r="WIX222" s="1201"/>
      <c r="WIY222" s="1201"/>
      <c r="WIZ222" s="1201"/>
      <c r="WJA222" s="1201"/>
      <c r="WJB222" s="1201"/>
      <c r="WJC222" s="1201"/>
      <c r="WJD222" s="1201"/>
      <c r="WJE222" s="1201"/>
      <c r="WJF222" s="1201"/>
      <c r="WJG222" s="1201"/>
      <c r="WJH222" s="1201"/>
      <c r="WJI222" s="1201"/>
      <c r="WJJ222" s="1201"/>
      <c r="WJK222" s="1201"/>
      <c r="WJL222" s="1201"/>
      <c r="WJM222" s="1201"/>
      <c r="WJN222" s="1201"/>
      <c r="WJO222" s="1201"/>
      <c r="WJP222" s="1201"/>
      <c r="WJQ222" s="1201"/>
      <c r="WJR222" s="1201"/>
      <c r="WJS222" s="1201"/>
      <c r="WJT222" s="1201"/>
      <c r="WJU222" s="1201"/>
      <c r="WJV222" s="1201"/>
      <c r="WJW222" s="1201"/>
      <c r="WJX222" s="1201"/>
      <c r="WJY222" s="1201"/>
      <c r="WJZ222" s="1201"/>
      <c r="WKA222" s="1201"/>
      <c r="WKB222" s="1201"/>
      <c r="WKC222" s="1201"/>
      <c r="WKD222" s="1201"/>
      <c r="WKE222" s="1201"/>
      <c r="WKF222" s="1201"/>
      <c r="WKG222" s="1201"/>
      <c r="WKH222" s="1201"/>
      <c r="WKI222" s="1201"/>
      <c r="WKJ222" s="1201"/>
      <c r="WKK222" s="1201"/>
      <c r="WKL222" s="1201"/>
      <c r="WKM222" s="1201"/>
      <c r="WKN222" s="1201"/>
      <c r="WKO222" s="1201"/>
      <c r="WKP222" s="1201"/>
      <c r="WKQ222" s="1201"/>
      <c r="WKR222" s="1201"/>
      <c r="WKS222" s="1201"/>
      <c r="WKT222" s="1201"/>
      <c r="WKU222" s="1201"/>
      <c r="WKV222" s="1201"/>
      <c r="WKW222" s="1201"/>
      <c r="WKX222" s="1201"/>
      <c r="WKY222" s="1201"/>
      <c r="WKZ222" s="1201"/>
      <c r="WLA222" s="1201"/>
      <c r="WLB222" s="1201"/>
      <c r="WLC222" s="1201"/>
      <c r="WLD222" s="1201"/>
      <c r="WLE222" s="1201"/>
      <c r="WLF222" s="1201"/>
      <c r="WLG222" s="1201"/>
      <c r="WLH222" s="1201"/>
      <c r="WLI222" s="1201"/>
      <c r="WLJ222" s="1201"/>
      <c r="WLK222" s="1201"/>
      <c r="WLL222" s="1201"/>
      <c r="WLM222" s="1201"/>
      <c r="WLN222" s="1201"/>
      <c r="WLO222" s="1201"/>
      <c r="WLP222" s="1201"/>
      <c r="WLQ222" s="1201"/>
      <c r="WLR222" s="1201"/>
      <c r="WLS222" s="1201"/>
      <c r="WLT222" s="1201"/>
      <c r="WLU222" s="1201"/>
      <c r="WLV222" s="1201"/>
      <c r="WLW222" s="1201"/>
      <c r="WLX222" s="1201"/>
      <c r="WLY222" s="1201"/>
      <c r="WLZ222" s="1201"/>
      <c r="WMA222" s="1201"/>
      <c r="WMB222" s="1201"/>
      <c r="WMC222" s="1201"/>
      <c r="WMD222" s="1201"/>
      <c r="WME222" s="1201"/>
      <c r="WMF222" s="1201"/>
      <c r="WMG222" s="1201"/>
      <c r="WMH222" s="1201"/>
      <c r="WMI222" s="1201"/>
      <c r="WMJ222" s="1201"/>
      <c r="WMK222" s="1201"/>
      <c r="WML222" s="1201"/>
      <c r="WMM222" s="1201"/>
      <c r="WMN222" s="1201"/>
      <c r="WMO222" s="1201"/>
      <c r="WMP222" s="1201"/>
      <c r="WMQ222" s="1201"/>
      <c r="WMR222" s="1201"/>
      <c r="WMS222" s="1201"/>
      <c r="WMT222" s="1201"/>
      <c r="WMU222" s="1201"/>
      <c r="WMV222" s="1201"/>
      <c r="WMW222" s="1201"/>
      <c r="WMX222" s="1201"/>
      <c r="WMY222" s="1201"/>
      <c r="WMZ222" s="1201"/>
      <c r="WNA222" s="1201"/>
      <c r="WNB222" s="1201"/>
      <c r="WNC222" s="1201"/>
      <c r="WND222" s="1201"/>
      <c r="WNE222" s="1201"/>
      <c r="WNF222" s="1201"/>
      <c r="WNG222" s="1201"/>
      <c r="WNH222" s="1201"/>
      <c r="WNI222" s="1201"/>
      <c r="WNJ222" s="1201"/>
      <c r="WNK222" s="1201"/>
      <c r="WNL222" s="1201"/>
      <c r="WNM222" s="1201"/>
      <c r="WNN222" s="1201"/>
      <c r="WNO222" s="1201"/>
      <c r="WNP222" s="1201"/>
      <c r="WNQ222" s="1201"/>
      <c r="WNR222" s="1201"/>
      <c r="WNS222" s="1201"/>
      <c r="WNT222" s="1201"/>
      <c r="WNU222" s="1201"/>
      <c r="WNV222" s="1201"/>
      <c r="WNW222" s="1201"/>
      <c r="WNX222" s="1201"/>
      <c r="WNY222" s="1201"/>
      <c r="WNZ222" s="1201"/>
      <c r="WOA222" s="1201"/>
      <c r="WOB222" s="1201"/>
      <c r="WOC222" s="1201"/>
      <c r="WOD222" s="1201"/>
      <c r="WOE222" s="1201"/>
      <c r="WOF222" s="1201"/>
      <c r="WOG222" s="1201"/>
      <c r="WOH222" s="1201"/>
      <c r="WOI222" s="1201"/>
      <c r="WOJ222" s="1201"/>
      <c r="WOK222" s="1201"/>
      <c r="WOL222" s="1201"/>
      <c r="WOM222" s="1201"/>
      <c r="WON222" s="1201"/>
      <c r="WOO222" s="1201"/>
      <c r="WOP222" s="1201"/>
      <c r="WOQ222" s="1201"/>
      <c r="WOR222" s="1201"/>
      <c r="WOS222" s="1201"/>
      <c r="WOT222" s="1201"/>
      <c r="WOU222" s="1201"/>
      <c r="WOV222" s="1201"/>
      <c r="WOW222" s="1201"/>
      <c r="WOX222" s="1201"/>
      <c r="WOY222" s="1201"/>
      <c r="WOZ222" s="1201"/>
      <c r="WPA222" s="1201"/>
      <c r="WPB222" s="1201"/>
      <c r="WPC222" s="1201"/>
      <c r="WPD222" s="1201"/>
      <c r="WPE222" s="1201"/>
      <c r="WPF222" s="1201"/>
      <c r="WPG222" s="1201"/>
      <c r="WPH222" s="1201"/>
      <c r="WPI222" s="1201"/>
      <c r="WPJ222" s="1201"/>
      <c r="WPK222" s="1201"/>
      <c r="WPL222" s="1201"/>
      <c r="WPM222" s="1201"/>
      <c r="WPN222" s="1201"/>
      <c r="WPO222" s="1201"/>
      <c r="WPP222" s="1201"/>
      <c r="WPQ222" s="1201"/>
      <c r="WPR222" s="1201"/>
      <c r="WPS222" s="1201"/>
      <c r="WPT222" s="1201"/>
      <c r="WPU222" s="1201"/>
      <c r="WPV222" s="1201"/>
      <c r="WPW222" s="1201"/>
      <c r="WPX222" s="1201"/>
      <c r="WPY222" s="1201"/>
      <c r="WPZ222" s="1201"/>
      <c r="WQA222" s="1201"/>
      <c r="WQB222" s="1201"/>
      <c r="WQC222" s="1201"/>
      <c r="WQD222" s="1201"/>
      <c r="WQE222" s="1201"/>
      <c r="WQF222" s="1201"/>
      <c r="WQG222" s="1201"/>
      <c r="WQH222" s="1201"/>
      <c r="WQI222" s="1201"/>
      <c r="WQJ222" s="1201"/>
      <c r="WQK222" s="1201"/>
      <c r="WQL222" s="1201"/>
      <c r="WQM222" s="1201"/>
      <c r="WQN222" s="1201"/>
      <c r="WQO222" s="1201"/>
      <c r="WQP222" s="1201"/>
      <c r="WQQ222" s="1201"/>
      <c r="WQR222" s="1201"/>
      <c r="WQS222" s="1201"/>
      <c r="WQT222" s="1201"/>
      <c r="WQU222" s="1201"/>
      <c r="WQV222" s="1201"/>
      <c r="WQW222" s="1201"/>
      <c r="WQX222" s="1201"/>
      <c r="WQY222" s="1201"/>
      <c r="WQZ222" s="1201"/>
      <c r="WRA222" s="1201"/>
      <c r="WRB222" s="1201"/>
      <c r="WRC222" s="1201"/>
      <c r="WRD222" s="1201"/>
      <c r="WRE222" s="1201"/>
      <c r="WRF222" s="1201"/>
      <c r="WRG222" s="1201"/>
      <c r="WRH222" s="1201"/>
      <c r="WRI222" s="1201"/>
      <c r="WRJ222" s="1201"/>
      <c r="WRK222" s="1201"/>
      <c r="WRL222" s="1201"/>
      <c r="WRM222" s="1201"/>
      <c r="WRN222" s="1201"/>
      <c r="WRO222" s="1201"/>
      <c r="WRP222" s="1201"/>
      <c r="WRQ222" s="1201"/>
      <c r="WRR222" s="1201"/>
      <c r="WRS222" s="1201"/>
      <c r="WRT222" s="1201"/>
      <c r="WRU222" s="1201"/>
      <c r="WRV222" s="1201"/>
      <c r="WRW222" s="1201"/>
      <c r="WRX222" s="1201"/>
      <c r="WRY222" s="1201"/>
      <c r="WRZ222" s="1201"/>
      <c r="WSA222" s="1201"/>
      <c r="WSB222" s="1201"/>
      <c r="WSC222" s="1201"/>
      <c r="WSD222" s="1201"/>
      <c r="WSE222" s="1201"/>
      <c r="WSF222" s="1201"/>
      <c r="WSG222" s="1201"/>
      <c r="WSH222" s="1201"/>
      <c r="WSI222" s="1201"/>
      <c r="WSJ222" s="1201"/>
      <c r="WSK222" s="1201"/>
      <c r="WSL222" s="1201"/>
      <c r="WSM222" s="1201"/>
      <c r="WSN222" s="1201"/>
      <c r="WSO222" s="1201"/>
      <c r="WSP222" s="1201"/>
      <c r="WSQ222" s="1201"/>
      <c r="WSR222" s="1201"/>
      <c r="WSS222" s="1201"/>
      <c r="WST222" s="1201"/>
      <c r="WSU222" s="1201"/>
      <c r="WSV222" s="1201"/>
      <c r="WSW222" s="1201"/>
      <c r="WSX222" s="1201"/>
      <c r="WSY222" s="1201"/>
      <c r="WSZ222" s="1201"/>
      <c r="WTA222" s="1201"/>
      <c r="WTB222" s="1201"/>
      <c r="WTC222" s="1201"/>
      <c r="WTD222" s="1201"/>
      <c r="WTE222" s="1201"/>
      <c r="WTF222" s="1201"/>
      <c r="WTG222" s="1201"/>
      <c r="WTH222" s="1201"/>
      <c r="WTI222" s="1201"/>
      <c r="WTJ222" s="1201"/>
      <c r="WTK222" s="1201"/>
      <c r="WTL222" s="1201"/>
      <c r="WTM222" s="1201"/>
      <c r="WTN222" s="1201"/>
      <c r="WTO222" s="1201"/>
      <c r="WTP222" s="1201"/>
      <c r="WTQ222" s="1201"/>
      <c r="WTR222" s="1201"/>
      <c r="WTS222" s="1201"/>
      <c r="WTT222" s="1201"/>
      <c r="WTU222" s="1201"/>
      <c r="WTV222" s="1201"/>
      <c r="WTW222" s="1201"/>
      <c r="WTX222" s="1201"/>
      <c r="WTY222" s="1201"/>
      <c r="WTZ222" s="1201"/>
      <c r="WUA222" s="1201"/>
      <c r="WUB222" s="1201"/>
      <c r="WUC222" s="1201"/>
      <c r="WUD222" s="1201"/>
      <c r="WUE222" s="1201"/>
      <c r="WUF222" s="1201"/>
      <c r="WUG222" s="1201"/>
      <c r="WUH222" s="1201"/>
      <c r="WUI222" s="1201"/>
      <c r="WUJ222" s="1201"/>
      <c r="WUK222" s="1201"/>
      <c r="WUL222" s="1201"/>
      <c r="WUM222" s="1201"/>
      <c r="WUN222" s="1201"/>
      <c r="WUO222" s="1201"/>
      <c r="WUP222" s="1201"/>
      <c r="WUQ222" s="1201"/>
      <c r="WUR222" s="1201"/>
      <c r="WUS222" s="1201"/>
      <c r="WUT222" s="1201"/>
      <c r="WUU222" s="1201"/>
      <c r="WUV222" s="1201"/>
      <c r="WUW222" s="1201"/>
      <c r="WUX222" s="1201"/>
      <c r="WUY222" s="1201"/>
      <c r="WUZ222" s="1201"/>
      <c r="WVA222" s="1201"/>
      <c r="WVB222" s="1201"/>
      <c r="WVC222" s="1201"/>
      <c r="WVD222" s="1201"/>
      <c r="WVE222" s="1201"/>
      <c r="WVF222" s="1201"/>
      <c r="WVG222" s="1201"/>
      <c r="WVH222" s="1201"/>
      <c r="WVI222" s="1201"/>
      <c r="WVJ222" s="1201"/>
      <c r="WVK222" s="1201"/>
      <c r="WVL222" s="1201"/>
      <c r="WVM222" s="1201"/>
      <c r="WVN222" s="1201"/>
      <c r="WVO222" s="1201"/>
      <c r="WVP222" s="1201"/>
      <c r="WVQ222" s="1201"/>
      <c r="WVR222" s="1201"/>
      <c r="WVS222" s="1201"/>
      <c r="WVT222" s="1201"/>
      <c r="WVU222" s="1201"/>
      <c r="WVV222" s="1201"/>
      <c r="WVW222" s="1201"/>
      <c r="WVX222" s="1201"/>
      <c r="WVY222" s="1201"/>
      <c r="WVZ222" s="1201"/>
      <c r="WWA222" s="1201"/>
      <c r="WWB222" s="1201"/>
      <c r="WWC222" s="1201"/>
      <c r="WWD222" s="1201"/>
      <c r="WWE222" s="1201"/>
      <c r="WWF222" s="1201"/>
      <c r="WWG222" s="1201"/>
      <c r="WWH222" s="1201"/>
      <c r="WWI222" s="1201"/>
      <c r="WWJ222" s="1201"/>
      <c r="WWK222" s="1201"/>
      <c r="WWL222" s="1201"/>
      <c r="WWM222" s="1201"/>
      <c r="WWN222" s="1201"/>
      <c r="WWO222" s="1201"/>
      <c r="WWP222" s="1201"/>
      <c r="WWQ222" s="1201"/>
      <c r="WWR222" s="1201"/>
      <c r="WWS222" s="1201"/>
      <c r="WWT222" s="1201"/>
      <c r="WWU222" s="1201"/>
      <c r="WWV222" s="1201"/>
      <c r="WWW222" s="1201"/>
      <c r="WWX222" s="1201"/>
      <c r="WWY222" s="1201"/>
      <c r="WWZ222" s="1201"/>
      <c r="WXA222" s="1201"/>
      <c r="WXB222" s="1201"/>
      <c r="WXC222" s="1201"/>
      <c r="WXD222" s="1201"/>
      <c r="WXE222" s="1201"/>
      <c r="WXF222" s="1201"/>
      <c r="WXG222" s="1201"/>
      <c r="WXH222" s="1201"/>
      <c r="WXI222" s="1201"/>
      <c r="WXJ222" s="1201"/>
      <c r="WXK222" s="1201"/>
      <c r="WXL222" s="1201"/>
      <c r="WXM222" s="1201"/>
      <c r="WXN222" s="1201"/>
      <c r="WXO222" s="1201"/>
      <c r="WXP222" s="1201"/>
      <c r="WXQ222" s="1201"/>
      <c r="WXR222" s="1201"/>
      <c r="WXS222" s="1201"/>
      <c r="WXT222" s="1201"/>
      <c r="WXU222" s="1201"/>
      <c r="WXV222" s="1201"/>
      <c r="WXW222" s="1201"/>
      <c r="WXX222" s="1201"/>
      <c r="WXY222" s="1201"/>
      <c r="WXZ222" s="1201"/>
      <c r="WYA222" s="1201"/>
      <c r="WYB222" s="1201"/>
      <c r="WYC222" s="1201"/>
      <c r="WYD222" s="1201"/>
      <c r="WYE222" s="1201"/>
      <c r="WYF222" s="1201"/>
      <c r="WYG222" s="1201"/>
      <c r="WYH222" s="1201"/>
      <c r="WYI222" s="1201"/>
      <c r="WYJ222" s="1201"/>
      <c r="WYK222" s="1201"/>
      <c r="WYL222" s="1201"/>
      <c r="WYM222" s="1201"/>
      <c r="WYN222" s="1201"/>
      <c r="WYO222" s="1201"/>
      <c r="WYP222" s="1201"/>
      <c r="WYQ222" s="1201"/>
      <c r="WYR222" s="1201"/>
      <c r="WYS222" s="1201"/>
      <c r="WYT222" s="1201"/>
      <c r="WYU222" s="1201"/>
      <c r="WYV222" s="1201"/>
      <c r="WYW222" s="1201"/>
      <c r="WYX222" s="1201"/>
      <c r="WYY222" s="1201"/>
      <c r="WYZ222" s="1201"/>
      <c r="WZA222" s="1201"/>
      <c r="WZB222" s="1201"/>
      <c r="WZC222" s="1201"/>
      <c r="WZD222" s="1201"/>
      <c r="WZE222" s="1201"/>
      <c r="WZF222" s="1201"/>
      <c r="WZG222" s="1201"/>
      <c r="WZH222" s="1201"/>
      <c r="WZI222" s="1201"/>
      <c r="WZJ222" s="1201"/>
      <c r="WZK222" s="1201"/>
      <c r="WZL222" s="1201"/>
      <c r="WZM222" s="1201"/>
      <c r="WZN222" s="1201"/>
      <c r="WZO222" s="1201"/>
      <c r="WZP222" s="1201"/>
      <c r="WZQ222" s="1201"/>
      <c r="WZR222" s="1201"/>
      <c r="WZS222" s="1201"/>
      <c r="WZT222" s="1201"/>
      <c r="WZU222" s="1201"/>
      <c r="WZV222" s="1201"/>
      <c r="WZW222" s="1201"/>
      <c r="WZX222" s="1201"/>
      <c r="WZY222" s="1201"/>
      <c r="WZZ222" s="1201"/>
      <c r="XAA222" s="1201"/>
      <c r="XAB222" s="1201"/>
      <c r="XAC222" s="1201"/>
      <c r="XAD222" s="1201"/>
      <c r="XAE222" s="1201"/>
      <c r="XAF222" s="1201"/>
      <c r="XAG222" s="1201"/>
      <c r="XAH222" s="1201"/>
      <c r="XAI222" s="1201"/>
      <c r="XAJ222" s="1201"/>
      <c r="XAK222" s="1201"/>
      <c r="XAL222" s="1201"/>
      <c r="XAM222" s="1201"/>
      <c r="XAN222" s="1201"/>
      <c r="XAO222" s="1201"/>
      <c r="XAP222" s="1201"/>
      <c r="XAQ222" s="1201"/>
      <c r="XAR222" s="1201"/>
      <c r="XAS222" s="1201"/>
      <c r="XAT222" s="1201"/>
      <c r="XAU222" s="1201"/>
      <c r="XAV222" s="1201"/>
      <c r="XAW222" s="1201"/>
      <c r="XAX222" s="1201"/>
      <c r="XAY222" s="1201"/>
      <c r="XAZ222" s="1201"/>
      <c r="XBA222" s="1201"/>
      <c r="XBB222" s="1201"/>
      <c r="XBC222" s="1201"/>
      <c r="XBD222" s="1201"/>
      <c r="XBE222" s="1201"/>
      <c r="XBF222" s="1201"/>
      <c r="XBG222" s="1201"/>
      <c r="XBH222" s="1201"/>
      <c r="XBI222" s="1201"/>
      <c r="XBJ222" s="1201"/>
      <c r="XBK222" s="1201"/>
      <c r="XBL222" s="1201"/>
      <c r="XBM222" s="1201"/>
      <c r="XBN222" s="1201"/>
      <c r="XBO222" s="1201"/>
      <c r="XBP222" s="1201"/>
      <c r="XBQ222" s="1201"/>
      <c r="XBR222" s="1201"/>
      <c r="XBS222" s="1201"/>
      <c r="XBT222" s="1201"/>
      <c r="XBU222" s="1201"/>
      <c r="XBV222" s="1201"/>
      <c r="XBW222" s="1201"/>
      <c r="XBX222" s="1201"/>
      <c r="XBY222" s="1201"/>
      <c r="XBZ222" s="1201"/>
      <c r="XCA222" s="1201"/>
      <c r="XCB222" s="1201"/>
      <c r="XCC222" s="1201"/>
      <c r="XCD222" s="1201"/>
      <c r="XCE222" s="1201"/>
      <c r="XCF222" s="1201"/>
      <c r="XCG222" s="1201"/>
      <c r="XCH222" s="1201"/>
      <c r="XCI222" s="1201"/>
      <c r="XCJ222" s="1201"/>
      <c r="XCK222" s="1201"/>
      <c r="XCL222" s="1201"/>
      <c r="XCM222" s="1201"/>
      <c r="XCN222" s="1201"/>
      <c r="XCO222" s="1201"/>
      <c r="XCP222" s="1201"/>
      <c r="XCQ222" s="1201"/>
      <c r="XCR222" s="1201"/>
      <c r="XCS222" s="1201"/>
      <c r="XCT222" s="1201"/>
      <c r="XCU222" s="1201"/>
      <c r="XCV222" s="1201"/>
      <c r="XCW222" s="1201"/>
      <c r="XCX222" s="1201"/>
      <c r="XCY222" s="1201"/>
      <c r="XCZ222" s="1201"/>
      <c r="XDA222" s="1201"/>
      <c r="XDB222" s="1201"/>
      <c r="XDC222" s="1201"/>
      <c r="XDD222" s="1201"/>
      <c r="XDE222" s="1201"/>
      <c r="XDF222" s="1201"/>
      <c r="XDG222" s="1201"/>
      <c r="XDH222" s="1201"/>
      <c r="XDI222" s="1201"/>
      <c r="XDJ222" s="1201"/>
      <c r="XDK222" s="1201"/>
      <c r="XDL222" s="1201"/>
      <c r="XDM222" s="1201"/>
      <c r="XDN222" s="1201"/>
      <c r="XDO222" s="1201"/>
      <c r="XDP222" s="1201"/>
      <c r="XDQ222" s="1201"/>
      <c r="XDR222" s="1201"/>
      <c r="XDS222" s="1201"/>
      <c r="XDT222" s="1201"/>
      <c r="XDU222" s="1201"/>
      <c r="XDV222" s="1201"/>
      <c r="XDW222" s="1201"/>
      <c r="XDX222" s="1201"/>
      <c r="XDY222" s="1201"/>
      <c r="XDZ222" s="1201"/>
      <c r="XEA222" s="1201"/>
      <c r="XEB222" s="1201"/>
      <c r="XEC222" s="1201"/>
      <c r="XED222" s="1201"/>
      <c r="XEE222" s="1201"/>
      <c r="XEF222" s="1201"/>
      <c r="XEG222" s="1201"/>
      <c r="XEH222" s="1201"/>
      <c r="XEI222" s="1201"/>
      <c r="XEJ222" s="1201"/>
      <c r="XEK222" s="1201"/>
      <c r="XEL222" s="1201"/>
      <c r="XEM222" s="1201"/>
      <c r="XEN222" s="1201"/>
      <c r="XEO222" s="1201"/>
      <c r="XEP222" s="1201"/>
      <c r="XEQ222" s="1201"/>
      <c r="XER222" s="1201"/>
    </row>
    <row r="223" spans="2:16372" s="892" customFormat="1" ht="14" x14ac:dyDescent="0.3">
      <c r="B223" s="2218"/>
      <c r="C223" s="2218" t="s">
        <v>434</v>
      </c>
      <c r="D223" s="1772" t="e">
        <f>(1.185+(0.00454*D21)-(0.0000026*(D21)^2)+((0.315*D23)))^2*1.1+D227</f>
        <v>#DIV/0!</v>
      </c>
      <c r="E223" s="1772">
        <f>(1.185+(0.00454*E21)-(0.0000026*(E21)^2)+((0.315*E23)))^2*1+E227</f>
        <v>1.4042250000000001</v>
      </c>
      <c r="F223" s="1772">
        <f>(1.185+(0.00454*F21)-(0.0000026*(F21)^2)+((0.315*F23)))^2*1+F227</f>
        <v>1.4042250000000001</v>
      </c>
      <c r="G223" s="1772">
        <f>(1.185+(0.00454*G21)-(0.0000026*(G21)^2)+((0.315*G23)))^2*1+G227</f>
        <v>1.4042250000000001</v>
      </c>
      <c r="H223" s="1772">
        <f>(1.185+(0.00454*H21)-(0.0000026*(H21)^2)+((0.315*H23)))^2*1+H227</f>
        <v>1.4042250000000001</v>
      </c>
      <c r="I223" s="1768"/>
      <c r="J223" s="1768"/>
      <c r="K223" s="1772">
        <f>(1.185+(0.00454*I21)-(0.0000026*(I21)^2)+((0.315*I23)))^2*1+K227</f>
        <v>1.4042250000000001</v>
      </c>
      <c r="L223" s="2221" t="s">
        <v>232</v>
      </c>
      <c r="M223" s="2219"/>
      <c r="N223" s="1201"/>
      <c r="O223" s="1201"/>
      <c r="P223" s="1201" t="s">
        <v>1926</v>
      </c>
      <c r="Q223" s="1201"/>
      <c r="R223" s="1552" t="s">
        <v>1927</v>
      </c>
      <c r="S223" s="1552" t="s">
        <v>1930</v>
      </c>
      <c r="T223" s="1552" t="s">
        <v>1931</v>
      </c>
      <c r="U223" s="1552" t="s">
        <v>1932</v>
      </c>
      <c r="V223" s="1552" t="s">
        <v>1991</v>
      </c>
      <c r="W223" s="1201" t="s">
        <v>1990</v>
      </c>
      <c r="X223" s="1201"/>
      <c r="Y223" s="1201"/>
      <c r="Z223" s="1201"/>
      <c r="AA223" s="1201"/>
      <c r="AB223" s="1201"/>
      <c r="AC223" s="1201"/>
      <c r="AD223" s="1201"/>
      <c r="AE223" s="1201"/>
      <c r="AF223" s="1201"/>
      <c r="AG223" s="892">
        <v>4</v>
      </c>
      <c r="AH223" s="2213" t="s">
        <v>914</v>
      </c>
      <c r="AI223" s="581">
        <v>79.37</v>
      </c>
      <c r="AJ223" s="581">
        <v>9.68</v>
      </c>
      <c r="AK223" s="581">
        <v>2.64</v>
      </c>
      <c r="AL223" s="581">
        <v>3.3</v>
      </c>
      <c r="AM223" s="581"/>
      <c r="AN223" s="581">
        <v>5.01</v>
      </c>
      <c r="AO223" s="581"/>
      <c r="AP223" s="1762">
        <v>9.1526999999999994</v>
      </c>
      <c r="AQ223" s="1271"/>
      <c r="AR223" s="1201"/>
      <c r="AS223" s="1201"/>
      <c r="AT223" s="1201"/>
      <c r="AU223" s="1201"/>
      <c r="AV223" s="1201" t="s">
        <v>1250</v>
      </c>
      <c r="AW223" s="1201">
        <v>17</v>
      </c>
      <c r="AX223" s="1201">
        <v>0.55000000000000004</v>
      </c>
      <c r="AY223" s="892">
        <f>AW223*AX223</f>
        <v>9.3500000000000014</v>
      </c>
      <c r="AZ223" s="2038">
        <f>AY223/$AY$225</f>
        <v>9.7649110714248446E-3</v>
      </c>
      <c r="BA223" s="1201"/>
      <c r="BB223" s="1201"/>
      <c r="BC223" s="1201"/>
      <c r="BD223" s="1201"/>
      <c r="BE223" s="1201"/>
      <c r="BF223" s="1201"/>
      <c r="BG223" s="1201"/>
      <c r="BH223" s="1201"/>
      <c r="BI223" s="1201"/>
      <c r="BJ223" s="1201"/>
      <c r="BK223" s="1201"/>
      <c r="BL223" s="1201"/>
      <c r="BM223" s="1201"/>
      <c r="BN223" s="1201"/>
      <c r="BO223" s="1201"/>
      <c r="BP223" s="1201"/>
      <c r="BQ223" s="1201"/>
      <c r="BR223" s="1201"/>
      <c r="BS223" s="1201"/>
      <c r="BT223" s="1201"/>
      <c r="BU223" s="1201"/>
      <c r="BV223" s="1201"/>
      <c r="BW223" s="1201"/>
      <c r="BX223" s="1201"/>
      <c r="BY223" s="1201"/>
      <c r="BZ223" s="1201"/>
      <c r="CA223" s="1201"/>
      <c r="CB223" s="1201"/>
      <c r="CC223" s="1201"/>
      <c r="CD223" s="1201"/>
      <c r="CE223" s="1201"/>
      <c r="CF223" s="1201"/>
      <c r="CG223" s="1201"/>
      <c r="CH223" s="1201"/>
      <c r="CI223" s="1201"/>
      <c r="CJ223" s="1201"/>
      <c r="CK223" s="1201"/>
      <c r="CL223" s="1201"/>
      <c r="CM223" s="1201"/>
      <c r="CN223" s="1201"/>
      <c r="CO223" s="1201"/>
      <c r="CP223" s="1201"/>
      <c r="CQ223" s="1201"/>
      <c r="CR223" s="1201"/>
      <c r="CS223" s="1201"/>
      <c r="CT223" s="1201"/>
      <c r="CU223" s="1201"/>
      <c r="CV223" s="1201"/>
      <c r="CW223" s="1201"/>
      <c r="CX223" s="1201"/>
      <c r="CY223" s="1201"/>
      <c r="CZ223" s="1201"/>
      <c r="DA223" s="1201"/>
      <c r="DB223" s="1201"/>
      <c r="DC223" s="1201"/>
      <c r="DD223" s="1201"/>
      <c r="DE223" s="1201"/>
      <c r="DF223" s="1201"/>
      <c r="DG223" s="1201"/>
      <c r="DH223" s="1201"/>
      <c r="DI223" s="1201"/>
      <c r="DJ223" s="1201"/>
      <c r="DK223" s="1201"/>
      <c r="DL223" s="1201"/>
      <c r="DM223" s="1201"/>
      <c r="DN223" s="1201"/>
      <c r="DO223" s="1201"/>
      <c r="DP223" s="1201"/>
      <c r="DQ223" s="1201"/>
      <c r="DR223" s="1201"/>
      <c r="DS223" s="1201"/>
      <c r="DT223" s="1201"/>
      <c r="DU223" s="1201"/>
      <c r="DV223" s="1201"/>
      <c r="DW223" s="1201"/>
      <c r="DX223" s="1201"/>
      <c r="DY223" s="1201"/>
      <c r="DZ223" s="1201"/>
      <c r="EA223" s="1201"/>
      <c r="EB223" s="1201"/>
      <c r="EC223" s="1201"/>
      <c r="ED223" s="1201"/>
      <c r="EE223" s="1201"/>
      <c r="EF223" s="1201"/>
      <c r="EG223" s="1201"/>
      <c r="EH223" s="1201"/>
      <c r="EI223" s="1201"/>
      <c r="EJ223" s="1201"/>
      <c r="EK223" s="1201"/>
      <c r="EL223" s="1201"/>
      <c r="EM223" s="1201"/>
      <c r="EN223" s="1201"/>
      <c r="EO223" s="1201"/>
      <c r="EP223" s="1201"/>
      <c r="EQ223" s="1201"/>
      <c r="ER223" s="1201"/>
      <c r="ES223" s="1201"/>
      <c r="ET223" s="1201"/>
      <c r="EU223" s="1201"/>
      <c r="EV223" s="1201"/>
      <c r="EW223" s="1201"/>
      <c r="EX223" s="1201"/>
      <c r="EY223" s="1201"/>
      <c r="EZ223" s="1201"/>
      <c r="FA223" s="1201"/>
      <c r="FB223" s="1201"/>
      <c r="FC223" s="1201"/>
      <c r="FD223" s="1201"/>
      <c r="FE223" s="1201"/>
      <c r="FF223" s="1201"/>
      <c r="FG223" s="1201"/>
      <c r="FH223" s="1201"/>
      <c r="FI223" s="1201"/>
      <c r="FJ223" s="1201"/>
      <c r="FK223" s="1201"/>
      <c r="FL223" s="1201"/>
      <c r="FM223" s="1201"/>
      <c r="FN223" s="1201"/>
      <c r="FO223" s="1201"/>
      <c r="FP223" s="1201"/>
      <c r="FQ223" s="1201"/>
      <c r="FR223" s="1201"/>
      <c r="FS223" s="1201"/>
      <c r="FT223" s="1201"/>
      <c r="FU223" s="1201"/>
      <c r="FV223" s="1201"/>
      <c r="FW223" s="1201"/>
      <c r="FX223" s="1201"/>
      <c r="FY223" s="1201"/>
      <c r="FZ223" s="1201"/>
      <c r="GA223" s="1201"/>
      <c r="GB223" s="1201"/>
      <c r="GC223" s="1201"/>
      <c r="GD223" s="1201"/>
      <c r="GE223" s="1201"/>
      <c r="GF223" s="1201"/>
      <c r="GG223" s="1201"/>
      <c r="GH223" s="1201"/>
      <c r="GI223" s="1201"/>
      <c r="GJ223" s="1201"/>
      <c r="GK223" s="1201"/>
      <c r="GL223" s="1201"/>
      <c r="GM223" s="1201"/>
      <c r="GN223" s="1201"/>
      <c r="GO223" s="1201"/>
      <c r="GP223" s="1201"/>
      <c r="GQ223" s="1201"/>
      <c r="GR223" s="1201"/>
      <c r="GS223" s="1201"/>
      <c r="GT223" s="1201"/>
      <c r="GU223" s="1201"/>
      <c r="GV223" s="1201"/>
      <c r="GW223" s="1201"/>
      <c r="GX223" s="1201"/>
      <c r="GY223" s="1201"/>
      <c r="GZ223" s="1201"/>
      <c r="HA223" s="1201"/>
      <c r="HB223" s="1201"/>
      <c r="HC223" s="1201"/>
      <c r="HD223" s="1201"/>
      <c r="HE223" s="1201"/>
      <c r="HF223" s="1201"/>
      <c r="HG223" s="1201"/>
      <c r="HH223" s="1201"/>
      <c r="HI223" s="1201"/>
      <c r="HJ223" s="1201"/>
      <c r="HK223" s="1201"/>
      <c r="HL223" s="1201"/>
      <c r="HM223" s="1201"/>
      <c r="HN223" s="1201"/>
      <c r="HO223" s="1201"/>
      <c r="HP223" s="1201"/>
      <c r="HQ223" s="1201"/>
      <c r="HR223" s="1201"/>
      <c r="HS223" s="1201"/>
      <c r="HT223" s="1201"/>
      <c r="HU223" s="1201"/>
      <c r="HV223" s="1201"/>
      <c r="HW223" s="1201"/>
      <c r="HX223" s="1201"/>
      <c r="HY223" s="1201"/>
      <c r="HZ223" s="1201"/>
      <c r="IA223" s="1201"/>
      <c r="IB223" s="1201"/>
      <c r="IC223" s="1201"/>
      <c r="ID223" s="1201"/>
      <c r="IE223" s="1201"/>
      <c r="IF223" s="1201"/>
      <c r="IG223" s="1201"/>
      <c r="IH223" s="1201"/>
      <c r="II223" s="1201"/>
      <c r="IJ223" s="1201"/>
      <c r="IK223" s="1201"/>
      <c r="IL223" s="1201"/>
      <c r="IM223" s="1201"/>
      <c r="IN223" s="1201"/>
      <c r="IO223" s="1201"/>
      <c r="IP223" s="1201"/>
      <c r="IQ223" s="1201"/>
      <c r="IR223" s="1201"/>
      <c r="IS223" s="1201"/>
      <c r="IT223" s="1201"/>
      <c r="IU223" s="1201"/>
      <c r="IV223" s="1201"/>
      <c r="IW223" s="1201"/>
      <c r="IX223" s="1201"/>
      <c r="IY223" s="1201"/>
      <c r="IZ223" s="1201"/>
      <c r="JA223" s="1201"/>
      <c r="JB223" s="1201"/>
      <c r="JC223" s="1201"/>
      <c r="JD223" s="1201"/>
      <c r="JE223" s="1201"/>
      <c r="JF223" s="1201"/>
      <c r="JG223" s="1201"/>
      <c r="JH223" s="1201"/>
      <c r="JI223" s="1201"/>
      <c r="JJ223" s="1201"/>
      <c r="JK223" s="1201"/>
      <c r="JL223" s="1201"/>
      <c r="JM223" s="1201"/>
      <c r="JN223" s="1201"/>
      <c r="JO223" s="1201"/>
      <c r="JP223" s="1201"/>
      <c r="JQ223" s="1201"/>
      <c r="JR223" s="1201"/>
      <c r="JS223" s="1201"/>
      <c r="JT223" s="1201"/>
      <c r="JU223" s="1201"/>
      <c r="JV223" s="1201"/>
      <c r="JW223" s="1201"/>
      <c r="JX223" s="1201"/>
      <c r="JY223" s="1201"/>
      <c r="JZ223" s="1201"/>
      <c r="KA223" s="1201"/>
      <c r="KB223" s="1201"/>
      <c r="KC223" s="1201"/>
      <c r="KD223" s="1201"/>
      <c r="KE223" s="1201"/>
      <c r="KF223" s="1201"/>
      <c r="KG223" s="1201"/>
      <c r="KH223" s="1201"/>
      <c r="KI223" s="1201"/>
      <c r="KJ223" s="1201"/>
      <c r="KK223" s="1201"/>
      <c r="KL223" s="1201"/>
      <c r="KM223" s="1201"/>
      <c r="KN223" s="1201"/>
      <c r="KO223" s="1201"/>
      <c r="KP223" s="1201"/>
      <c r="KQ223" s="1201"/>
      <c r="KR223" s="1201"/>
      <c r="KS223" s="1201"/>
      <c r="KT223" s="1201"/>
      <c r="KU223" s="1201"/>
      <c r="KV223" s="1201"/>
      <c r="KW223" s="1201"/>
      <c r="KX223" s="1201"/>
      <c r="KY223" s="1201"/>
      <c r="KZ223" s="1201"/>
      <c r="LA223" s="1201"/>
      <c r="LB223" s="1201"/>
      <c r="LC223" s="1201"/>
      <c r="LD223" s="1201"/>
      <c r="LE223" s="1201"/>
      <c r="LF223" s="1201"/>
      <c r="LG223" s="1201"/>
      <c r="LH223" s="1201"/>
      <c r="LI223" s="1201"/>
      <c r="LJ223" s="1201"/>
      <c r="LK223" s="1201"/>
      <c r="LL223" s="1201"/>
      <c r="LM223" s="1201"/>
      <c r="LN223" s="1201"/>
      <c r="LO223" s="1201"/>
      <c r="LP223" s="1201"/>
      <c r="LQ223" s="1201"/>
      <c r="LR223" s="1201"/>
      <c r="LS223" s="1201"/>
      <c r="LT223" s="1201"/>
      <c r="LU223" s="1201"/>
      <c r="LV223" s="1201"/>
      <c r="LW223" s="1201"/>
      <c r="LX223" s="1201"/>
      <c r="LY223" s="1201"/>
      <c r="LZ223" s="1201"/>
      <c r="MA223" s="1201"/>
      <c r="MB223" s="1201"/>
      <c r="MC223" s="1201"/>
      <c r="MD223" s="1201"/>
      <c r="ME223" s="1201"/>
      <c r="MF223" s="1201"/>
      <c r="MG223" s="1201"/>
      <c r="MH223" s="1201"/>
      <c r="MI223" s="1201"/>
      <c r="MJ223" s="1201"/>
      <c r="MK223" s="1201"/>
      <c r="ML223" s="1201"/>
      <c r="MM223" s="1201"/>
      <c r="MN223" s="1201"/>
      <c r="MO223" s="1201"/>
      <c r="MP223" s="1201"/>
      <c r="MQ223" s="1201"/>
      <c r="MR223" s="1201"/>
      <c r="MS223" s="1201"/>
      <c r="MT223" s="1201"/>
      <c r="MU223" s="1201"/>
      <c r="MV223" s="1201"/>
      <c r="MW223" s="1201"/>
      <c r="MX223" s="1201"/>
      <c r="MY223" s="1201"/>
      <c r="MZ223" s="1201"/>
      <c r="NA223" s="1201"/>
      <c r="NB223" s="1201"/>
      <c r="NC223" s="1201"/>
      <c r="ND223" s="1201"/>
      <c r="NE223" s="1201"/>
      <c r="NF223" s="1201"/>
      <c r="NG223" s="1201"/>
      <c r="NH223" s="1201"/>
      <c r="NI223" s="1201"/>
      <c r="NJ223" s="1201"/>
      <c r="NK223" s="1201"/>
      <c r="NL223" s="1201"/>
      <c r="NM223" s="1201"/>
      <c r="NN223" s="1201"/>
      <c r="NO223" s="1201"/>
      <c r="NP223" s="1201"/>
      <c r="NQ223" s="1201"/>
      <c r="NR223" s="1201"/>
      <c r="NS223" s="1201"/>
      <c r="NT223" s="1201"/>
      <c r="NU223" s="1201"/>
      <c r="NV223" s="1201"/>
      <c r="NW223" s="1201"/>
      <c r="NX223" s="1201"/>
      <c r="NY223" s="1201"/>
      <c r="NZ223" s="1201"/>
      <c r="OA223" s="1201"/>
      <c r="OB223" s="1201"/>
      <c r="OC223" s="1201"/>
      <c r="OD223" s="1201"/>
      <c r="OE223" s="1201"/>
      <c r="OF223" s="1201"/>
      <c r="OG223" s="1201"/>
      <c r="OH223" s="1201"/>
      <c r="OI223" s="1201"/>
      <c r="OJ223" s="1201"/>
      <c r="OK223" s="1201"/>
      <c r="OL223" s="1201"/>
      <c r="OM223" s="1201"/>
      <c r="ON223" s="1201"/>
      <c r="OO223" s="1201"/>
      <c r="OP223" s="1201"/>
      <c r="OQ223" s="1201"/>
      <c r="OR223" s="1201"/>
      <c r="OS223" s="1201"/>
      <c r="OT223" s="1201"/>
      <c r="OU223" s="1201"/>
      <c r="OV223" s="1201"/>
      <c r="OW223" s="1201"/>
      <c r="OX223" s="1201"/>
      <c r="OY223" s="1201"/>
      <c r="OZ223" s="1201"/>
      <c r="PA223" s="1201"/>
      <c r="PB223" s="1201"/>
      <c r="PC223" s="1201"/>
      <c r="PD223" s="1201"/>
      <c r="PE223" s="1201"/>
      <c r="PF223" s="1201"/>
      <c r="PG223" s="1201"/>
      <c r="PH223" s="1201"/>
      <c r="PI223" s="1201"/>
      <c r="PJ223" s="1201"/>
      <c r="PK223" s="1201"/>
      <c r="PL223" s="1201"/>
      <c r="PM223" s="1201"/>
      <c r="PN223" s="1201"/>
      <c r="PO223" s="1201"/>
      <c r="PP223" s="1201"/>
      <c r="PQ223" s="1201"/>
      <c r="PR223" s="1201"/>
      <c r="PS223" s="1201"/>
      <c r="PT223" s="1201"/>
      <c r="PU223" s="1201"/>
      <c r="PV223" s="1201"/>
      <c r="PW223" s="1201"/>
      <c r="PX223" s="1201"/>
      <c r="PY223" s="1201"/>
      <c r="PZ223" s="1201"/>
      <c r="QA223" s="1201"/>
      <c r="QB223" s="1201"/>
      <c r="QC223" s="1201"/>
      <c r="QD223" s="1201"/>
      <c r="QE223" s="1201"/>
      <c r="QF223" s="1201"/>
      <c r="QG223" s="1201"/>
      <c r="QH223" s="1201"/>
      <c r="QI223" s="1201"/>
      <c r="QJ223" s="1201"/>
      <c r="QK223" s="1201"/>
      <c r="QL223" s="1201"/>
      <c r="QM223" s="1201"/>
      <c r="QN223" s="1201"/>
      <c r="QO223" s="1201"/>
      <c r="QP223" s="1201"/>
      <c r="QQ223" s="1201"/>
      <c r="QR223" s="1201"/>
      <c r="QS223" s="1201"/>
      <c r="QT223" s="1201"/>
      <c r="QU223" s="1201"/>
      <c r="QV223" s="1201"/>
      <c r="QW223" s="1201"/>
      <c r="QX223" s="1201"/>
      <c r="QY223" s="1201"/>
      <c r="QZ223" s="1201"/>
      <c r="RA223" s="1201"/>
      <c r="RB223" s="1201"/>
      <c r="RC223" s="1201"/>
      <c r="RD223" s="1201"/>
      <c r="RE223" s="1201"/>
      <c r="RF223" s="1201"/>
      <c r="RG223" s="1201"/>
      <c r="RH223" s="1201"/>
      <c r="RI223" s="1201"/>
      <c r="RJ223" s="1201"/>
      <c r="RK223" s="1201"/>
      <c r="RL223" s="1201"/>
      <c r="RM223" s="1201"/>
      <c r="RN223" s="1201"/>
      <c r="RO223" s="1201"/>
      <c r="RP223" s="1201"/>
      <c r="RQ223" s="1201"/>
      <c r="RR223" s="1201"/>
      <c r="RS223" s="1201"/>
      <c r="RT223" s="1201"/>
      <c r="RU223" s="1201"/>
      <c r="RV223" s="1201"/>
      <c r="RW223" s="1201"/>
      <c r="RX223" s="1201"/>
      <c r="RY223" s="1201"/>
      <c r="RZ223" s="1201"/>
      <c r="SA223" s="1201"/>
      <c r="SB223" s="1201"/>
      <c r="SC223" s="1201"/>
      <c r="SD223" s="1201"/>
      <c r="SE223" s="1201"/>
      <c r="SF223" s="1201"/>
      <c r="SG223" s="1201"/>
      <c r="SH223" s="1201"/>
      <c r="SI223" s="1201"/>
      <c r="SJ223" s="1201"/>
      <c r="SK223" s="1201"/>
      <c r="SL223" s="1201"/>
      <c r="SM223" s="1201"/>
      <c r="SN223" s="1201"/>
      <c r="SO223" s="1201"/>
      <c r="SP223" s="1201"/>
      <c r="SQ223" s="1201"/>
      <c r="SR223" s="1201"/>
      <c r="SS223" s="1201"/>
      <c r="ST223" s="1201"/>
      <c r="SU223" s="1201"/>
      <c r="SV223" s="1201"/>
      <c r="SW223" s="1201"/>
      <c r="SX223" s="1201"/>
      <c r="SY223" s="1201"/>
      <c r="SZ223" s="1201"/>
      <c r="TA223" s="1201"/>
      <c r="TB223" s="1201"/>
      <c r="TC223" s="1201"/>
      <c r="TD223" s="1201"/>
      <c r="TE223" s="1201"/>
      <c r="TF223" s="1201"/>
      <c r="TG223" s="1201"/>
      <c r="TH223" s="1201"/>
      <c r="TI223" s="1201"/>
      <c r="TJ223" s="1201"/>
      <c r="TK223" s="1201"/>
      <c r="TL223" s="1201"/>
      <c r="TM223" s="1201"/>
      <c r="TN223" s="1201"/>
      <c r="TO223" s="1201"/>
      <c r="TP223" s="1201"/>
      <c r="TQ223" s="1201"/>
      <c r="TR223" s="1201"/>
      <c r="TS223" s="1201"/>
      <c r="TT223" s="1201"/>
      <c r="TU223" s="1201"/>
      <c r="TV223" s="1201"/>
      <c r="TW223" s="1201"/>
      <c r="TX223" s="1201"/>
      <c r="TY223" s="1201"/>
      <c r="TZ223" s="1201"/>
      <c r="UA223" s="1201"/>
      <c r="UB223" s="1201"/>
      <c r="UC223" s="1201"/>
      <c r="UD223" s="1201"/>
      <c r="UE223" s="1201"/>
      <c r="UF223" s="1201"/>
      <c r="UG223" s="1201"/>
      <c r="UH223" s="1201"/>
      <c r="UI223" s="1201"/>
      <c r="UJ223" s="1201"/>
      <c r="UK223" s="1201"/>
      <c r="UL223" s="1201"/>
      <c r="UM223" s="1201"/>
      <c r="UN223" s="1201"/>
      <c r="UO223" s="1201"/>
      <c r="UP223" s="1201"/>
      <c r="UQ223" s="1201"/>
      <c r="UR223" s="1201"/>
      <c r="US223" s="1201"/>
      <c r="UT223" s="1201"/>
      <c r="UU223" s="1201"/>
      <c r="UV223" s="1201"/>
      <c r="UW223" s="1201"/>
      <c r="UX223" s="1201"/>
      <c r="UY223" s="1201"/>
      <c r="UZ223" s="1201"/>
      <c r="VA223" s="1201"/>
      <c r="VB223" s="1201"/>
      <c r="VC223" s="1201"/>
      <c r="VD223" s="1201"/>
      <c r="VE223" s="1201"/>
      <c r="VF223" s="1201"/>
      <c r="VG223" s="1201"/>
      <c r="VH223" s="1201"/>
      <c r="VI223" s="1201"/>
      <c r="VJ223" s="1201"/>
      <c r="VK223" s="1201"/>
      <c r="VL223" s="1201"/>
      <c r="VM223" s="1201"/>
      <c r="VN223" s="1201"/>
      <c r="VO223" s="1201"/>
      <c r="VP223" s="1201"/>
      <c r="VQ223" s="1201"/>
      <c r="VR223" s="1201"/>
      <c r="VS223" s="1201"/>
      <c r="VT223" s="1201"/>
      <c r="VU223" s="1201"/>
      <c r="VV223" s="1201"/>
      <c r="VW223" s="1201"/>
      <c r="VX223" s="1201"/>
      <c r="VY223" s="1201"/>
      <c r="VZ223" s="1201"/>
      <c r="WA223" s="1201"/>
      <c r="WB223" s="1201"/>
      <c r="WC223" s="1201"/>
      <c r="WD223" s="1201"/>
      <c r="WE223" s="1201"/>
      <c r="WF223" s="1201"/>
      <c r="WG223" s="1201"/>
      <c r="WH223" s="1201"/>
      <c r="WI223" s="1201"/>
      <c r="WJ223" s="1201"/>
      <c r="WK223" s="1201"/>
      <c r="WL223" s="1201"/>
      <c r="WM223" s="1201"/>
      <c r="WN223" s="1201"/>
      <c r="WO223" s="1201"/>
      <c r="WP223" s="1201"/>
      <c r="WQ223" s="1201"/>
      <c r="WR223" s="1201"/>
      <c r="WS223" s="1201"/>
      <c r="WT223" s="1201"/>
      <c r="WU223" s="1201"/>
      <c r="WV223" s="1201"/>
      <c r="WW223" s="1201"/>
      <c r="WX223" s="1201"/>
      <c r="WY223" s="1201"/>
      <c r="WZ223" s="1201"/>
      <c r="XA223" s="1201"/>
      <c r="XB223" s="1201"/>
      <c r="XC223" s="1201"/>
      <c r="XD223" s="1201"/>
      <c r="XE223" s="1201"/>
      <c r="XF223" s="1201"/>
      <c r="XG223" s="1201"/>
      <c r="XH223" s="1201"/>
      <c r="XI223" s="1201"/>
      <c r="XJ223" s="1201"/>
      <c r="XK223" s="1201"/>
      <c r="XL223" s="1201"/>
      <c r="XM223" s="1201"/>
      <c r="XN223" s="1201"/>
      <c r="XO223" s="1201"/>
      <c r="XP223" s="1201"/>
      <c r="XQ223" s="1201"/>
      <c r="XR223" s="1201"/>
      <c r="XS223" s="1201"/>
      <c r="XT223" s="1201"/>
      <c r="XU223" s="1201"/>
      <c r="XV223" s="1201"/>
      <c r="XW223" s="1201"/>
      <c r="XX223" s="1201"/>
      <c r="XY223" s="1201"/>
      <c r="XZ223" s="1201"/>
      <c r="YA223" s="1201"/>
      <c r="YB223" s="1201"/>
      <c r="YC223" s="1201"/>
      <c r="YD223" s="1201"/>
      <c r="YE223" s="1201"/>
      <c r="YF223" s="1201"/>
      <c r="YG223" s="1201"/>
      <c r="YH223" s="1201"/>
      <c r="YI223" s="1201"/>
      <c r="YJ223" s="1201"/>
      <c r="YK223" s="1201"/>
      <c r="YL223" s="1201"/>
      <c r="YM223" s="1201"/>
      <c r="YN223" s="1201"/>
      <c r="YO223" s="1201"/>
      <c r="YP223" s="1201"/>
      <c r="YQ223" s="1201"/>
      <c r="YR223" s="1201"/>
      <c r="YS223" s="1201"/>
      <c r="YT223" s="1201"/>
      <c r="YU223" s="1201"/>
      <c r="YV223" s="1201"/>
      <c r="YW223" s="1201"/>
      <c r="YX223" s="1201"/>
      <c r="YY223" s="1201"/>
      <c r="YZ223" s="1201"/>
      <c r="ZA223" s="1201"/>
      <c r="ZB223" s="1201"/>
      <c r="ZC223" s="1201"/>
      <c r="ZD223" s="1201"/>
      <c r="ZE223" s="1201"/>
      <c r="ZF223" s="1201"/>
      <c r="ZG223" s="1201"/>
      <c r="ZH223" s="1201"/>
      <c r="ZI223" s="1201"/>
      <c r="ZJ223" s="1201"/>
      <c r="ZK223" s="1201"/>
      <c r="ZL223" s="1201"/>
      <c r="ZM223" s="1201"/>
      <c r="ZN223" s="1201"/>
      <c r="ZO223" s="1201"/>
      <c r="ZP223" s="1201"/>
      <c r="ZQ223" s="1201"/>
      <c r="ZR223" s="1201"/>
      <c r="ZS223" s="1201"/>
      <c r="ZT223" s="1201"/>
      <c r="ZU223" s="1201"/>
      <c r="ZV223" s="1201"/>
      <c r="ZW223" s="1201"/>
      <c r="ZX223" s="1201"/>
      <c r="ZY223" s="1201"/>
      <c r="ZZ223" s="1201"/>
      <c r="AAA223" s="1201"/>
      <c r="AAB223" s="1201"/>
      <c r="AAC223" s="1201"/>
      <c r="AAD223" s="1201"/>
      <c r="AAE223" s="1201"/>
      <c r="AAF223" s="1201"/>
      <c r="AAG223" s="1201"/>
      <c r="AAH223" s="1201"/>
      <c r="AAI223" s="1201"/>
      <c r="AAJ223" s="1201"/>
      <c r="AAK223" s="1201"/>
      <c r="AAL223" s="1201"/>
      <c r="AAM223" s="1201"/>
      <c r="AAN223" s="1201"/>
      <c r="AAO223" s="1201"/>
      <c r="AAP223" s="1201"/>
      <c r="AAQ223" s="1201"/>
      <c r="AAR223" s="1201"/>
      <c r="AAS223" s="1201"/>
      <c r="AAT223" s="1201"/>
      <c r="AAU223" s="1201"/>
      <c r="AAV223" s="1201"/>
      <c r="AAW223" s="1201"/>
      <c r="AAX223" s="1201"/>
      <c r="AAY223" s="1201"/>
      <c r="AAZ223" s="1201"/>
      <c r="ABA223" s="1201"/>
      <c r="ABB223" s="1201"/>
      <c r="ABC223" s="1201"/>
      <c r="ABD223" s="1201"/>
      <c r="ABE223" s="1201"/>
      <c r="ABF223" s="1201"/>
      <c r="ABG223" s="1201"/>
      <c r="ABH223" s="1201"/>
      <c r="ABI223" s="1201"/>
      <c r="ABJ223" s="1201"/>
      <c r="ABK223" s="1201"/>
      <c r="ABL223" s="1201"/>
      <c r="ABM223" s="1201"/>
      <c r="ABN223" s="1201"/>
      <c r="ABO223" s="1201"/>
      <c r="ABP223" s="1201"/>
      <c r="ABQ223" s="1201"/>
      <c r="ABR223" s="1201"/>
      <c r="ABS223" s="1201"/>
      <c r="ABT223" s="1201"/>
      <c r="ABU223" s="1201"/>
      <c r="ABV223" s="1201"/>
      <c r="ABW223" s="1201"/>
      <c r="ABX223" s="1201"/>
      <c r="ABY223" s="1201"/>
      <c r="ABZ223" s="1201"/>
      <c r="ACA223" s="1201"/>
      <c r="ACB223" s="1201"/>
      <c r="ACC223" s="1201"/>
      <c r="ACD223" s="1201"/>
      <c r="ACE223" s="1201"/>
      <c r="ACF223" s="1201"/>
      <c r="ACG223" s="1201"/>
      <c r="ACH223" s="1201"/>
      <c r="ACI223" s="1201"/>
      <c r="ACJ223" s="1201"/>
      <c r="ACK223" s="1201"/>
      <c r="ACL223" s="1201"/>
      <c r="ACM223" s="1201"/>
      <c r="ACN223" s="1201"/>
      <c r="ACO223" s="1201"/>
      <c r="ACP223" s="1201"/>
      <c r="ACQ223" s="1201"/>
      <c r="ACR223" s="1201"/>
      <c r="ACS223" s="1201"/>
      <c r="ACT223" s="1201"/>
      <c r="ACU223" s="1201"/>
      <c r="ACV223" s="1201"/>
      <c r="ACW223" s="1201"/>
      <c r="ACX223" s="1201"/>
      <c r="ACY223" s="1201"/>
      <c r="ACZ223" s="1201"/>
      <c r="ADA223" s="1201"/>
      <c r="ADB223" s="1201"/>
      <c r="ADC223" s="1201"/>
      <c r="ADD223" s="1201"/>
      <c r="ADE223" s="1201"/>
      <c r="ADF223" s="1201"/>
      <c r="ADG223" s="1201"/>
      <c r="ADH223" s="1201"/>
      <c r="ADI223" s="1201"/>
      <c r="ADJ223" s="1201"/>
      <c r="ADK223" s="1201"/>
      <c r="ADL223" s="1201"/>
      <c r="ADM223" s="1201"/>
      <c r="ADN223" s="1201"/>
      <c r="ADO223" s="1201"/>
      <c r="ADP223" s="1201"/>
      <c r="ADQ223" s="1201"/>
      <c r="ADR223" s="1201"/>
      <c r="ADS223" s="1201"/>
      <c r="ADT223" s="1201"/>
      <c r="ADU223" s="1201"/>
      <c r="ADV223" s="1201"/>
      <c r="ADW223" s="1201"/>
      <c r="ADX223" s="1201"/>
      <c r="ADY223" s="1201"/>
      <c r="ADZ223" s="1201"/>
      <c r="AEA223" s="1201"/>
      <c r="AEB223" s="1201"/>
      <c r="AEC223" s="1201"/>
      <c r="AED223" s="1201"/>
      <c r="AEE223" s="1201"/>
      <c r="AEF223" s="1201"/>
      <c r="AEG223" s="1201"/>
      <c r="AEH223" s="1201"/>
      <c r="AEI223" s="1201"/>
      <c r="AEJ223" s="1201"/>
      <c r="AEK223" s="1201"/>
      <c r="AEL223" s="1201"/>
      <c r="AEM223" s="1201"/>
      <c r="AEN223" s="1201"/>
      <c r="AEO223" s="1201"/>
      <c r="AEP223" s="1201"/>
      <c r="AEQ223" s="1201"/>
      <c r="AER223" s="1201"/>
      <c r="AES223" s="1201"/>
      <c r="AET223" s="1201"/>
      <c r="AEU223" s="1201"/>
      <c r="AEV223" s="1201"/>
      <c r="AEW223" s="1201"/>
      <c r="AEX223" s="1201"/>
      <c r="AEY223" s="1201"/>
      <c r="AEZ223" s="1201"/>
      <c r="AFA223" s="1201"/>
      <c r="AFB223" s="1201"/>
      <c r="AFC223" s="1201"/>
      <c r="AFD223" s="1201"/>
      <c r="AFE223" s="1201"/>
      <c r="AFF223" s="1201"/>
      <c r="AFG223" s="1201"/>
      <c r="AFH223" s="1201"/>
      <c r="AFI223" s="1201"/>
      <c r="AFJ223" s="1201"/>
      <c r="AFK223" s="1201"/>
      <c r="AFL223" s="1201"/>
      <c r="AFM223" s="1201"/>
      <c r="AFN223" s="1201"/>
      <c r="AFO223" s="1201"/>
      <c r="AFP223" s="1201"/>
      <c r="AFQ223" s="1201"/>
      <c r="AFR223" s="1201"/>
      <c r="AFS223" s="1201"/>
      <c r="AFT223" s="1201"/>
      <c r="AFU223" s="1201"/>
      <c r="AFV223" s="1201"/>
      <c r="AFW223" s="1201"/>
      <c r="AFX223" s="1201"/>
      <c r="AFY223" s="1201"/>
      <c r="AFZ223" s="1201"/>
      <c r="AGA223" s="1201"/>
      <c r="AGB223" s="1201"/>
      <c r="AGC223" s="1201"/>
      <c r="AGD223" s="1201"/>
      <c r="AGE223" s="1201"/>
      <c r="AGF223" s="1201"/>
      <c r="AGG223" s="1201"/>
      <c r="AGH223" s="1201"/>
      <c r="AGI223" s="1201"/>
      <c r="AGJ223" s="1201"/>
      <c r="AGK223" s="1201"/>
      <c r="AGL223" s="1201"/>
      <c r="AGM223" s="1201"/>
      <c r="AGN223" s="1201"/>
      <c r="AGO223" s="1201"/>
      <c r="AGP223" s="1201"/>
      <c r="AGQ223" s="1201"/>
      <c r="AGR223" s="1201"/>
      <c r="AGS223" s="1201"/>
      <c r="AGT223" s="1201"/>
      <c r="AGU223" s="1201"/>
      <c r="AGV223" s="1201"/>
      <c r="AGW223" s="1201"/>
      <c r="AGX223" s="1201"/>
      <c r="AGY223" s="1201"/>
      <c r="AGZ223" s="1201"/>
      <c r="AHA223" s="1201"/>
      <c r="AHB223" s="1201"/>
      <c r="AHC223" s="1201"/>
      <c r="AHD223" s="1201"/>
      <c r="AHE223" s="1201"/>
      <c r="AHF223" s="1201"/>
      <c r="AHG223" s="1201"/>
      <c r="AHH223" s="1201"/>
      <c r="AHI223" s="1201"/>
      <c r="AHJ223" s="1201"/>
      <c r="AHK223" s="1201"/>
      <c r="AHL223" s="1201"/>
      <c r="AHM223" s="1201"/>
      <c r="AHN223" s="1201"/>
      <c r="AHO223" s="1201"/>
      <c r="AHP223" s="1201"/>
      <c r="AHQ223" s="1201"/>
      <c r="AHR223" s="1201"/>
      <c r="AHS223" s="1201"/>
      <c r="AHT223" s="1201"/>
      <c r="AHU223" s="1201"/>
      <c r="AHV223" s="1201"/>
      <c r="AHW223" s="1201"/>
      <c r="AHX223" s="1201"/>
      <c r="AHY223" s="1201"/>
      <c r="AHZ223" s="1201"/>
      <c r="AIA223" s="1201"/>
      <c r="AIB223" s="1201"/>
      <c r="AIC223" s="1201"/>
      <c r="AID223" s="1201"/>
      <c r="AIE223" s="1201"/>
      <c r="AIF223" s="1201"/>
      <c r="AIG223" s="1201"/>
      <c r="AIH223" s="1201"/>
      <c r="AII223" s="1201"/>
      <c r="AIJ223" s="1201"/>
      <c r="AIK223" s="1201"/>
      <c r="AIL223" s="1201"/>
      <c r="AIM223" s="1201"/>
      <c r="AIN223" s="1201"/>
      <c r="AIO223" s="1201"/>
      <c r="AIP223" s="1201"/>
      <c r="AIQ223" s="1201"/>
      <c r="AIR223" s="1201"/>
      <c r="AIS223" s="1201"/>
      <c r="AIT223" s="1201"/>
      <c r="AIU223" s="1201"/>
      <c r="AIV223" s="1201"/>
      <c r="AIW223" s="1201"/>
      <c r="AIX223" s="1201"/>
      <c r="AIY223" s="1201"/>
      <c r="AIZ223" s="1201"/>
      <c r="AJA223" s="1201"/>
      <c r="AJB223" s="1201"/>
      <c r="AJC223" s="1201"/>
      <c r="AJD223" s="1201"/>
      <c r="AJE223" s="1201"/>
      <c r="AJF223" s="1201"/>
      <c r="AJG223" s="1201"/>
      <c r="AJH223" s="1201"/>
      <c r="AJI223" s="1201"/>
      <c r="AJJ223" s="1201"/>
      <c r="AJK223" s="1201"/>
      <c r="AJL223" s="1201"/>
      <c r="AJM223" s="1201"/>
      <c r="AJN223" s="1201"/>
      <c r="AJO223" s="1201"/>
      <c r="AJP223" s="1201"/>
      <c r="AJQ223" s="1201"/>
      <c r="AJR223" s="1201"/>
      <c r="AJS223" s="1201"/>
      <c r="AJT223" s="1201"/>
      <c r="AJU223" s="1201"/>
      <c r="AJV223" s="1201"/>
      <c r="AJW223" s="1201"/>
      <c r="AJX223" s="1201"/>
      <c r="AJY223" s="1201"/>
      <c r="AJZ223" s="1201"/>
      <c r="AKA223" s="1201"/>
      <c r="AKB223" s="1201"/>
      <c r="AKC223" s="1201"/>
      <c r="AKD223" s="1201"/>
      <c r="AKE223" s="1201"/>
      <c r="AKF223" s="1201"/>
      <c r="AKG223" s="1201"/>
      <c r="AKH223" s="1201"/>
      <c r="AKI223" s="1201"/>
      <c r="AKJ223" s="1201"/>
      <c r="AKK223" s="1201"/>
      <c r="AKL223" s="1201"/>
      <c r="AKM223" s="1201"/>
      <c r="AKN223" s="1201"/>
      <c r="AKO223" s="1201"/>
      <c r="AKP223" s="1201"/>
      <c r="AKQ223" s="1201"/>
      <c r="AKR223" s="1201"/>
      <c r="AKS223" s="1201"/>
      <c r="AKT223" s="1201"/>
      <c r="AKU223" s="1201"/>
      <c r="AKV223" s="1201"/>
      <c r="AKW223" s="1201"/>
      <c r="AKX223" s="1201"/>
      <c r="AKY223" s="1201"/>
      <c r="AKZ223" s="1201"/>
      <c r="ALA223" s="1201"/>
      <c r="ALB223" s="1201"/>
      <c r="ALC223" s="1201"/>
      <c r="ALD223" s="1201"/>
      <c r="ALE223" s="1201"/>
      <c r="ALF223" s="1201"/>
      <c r="ALG223" s="1201"/>
      <c r="ALH223" s="1201"/>
      <c r="ALI223" s="1201"/>
      <c r="ALJ223" s="1201"/>
      <c r="ALK223" s="1201"/>
      <c r="ALL223" s="1201"/>
      <c r="ALM223" s="1201"/>
      <c r="ALN223" s="1201"/>
      <c r="ALO223" s="1201"/>
      <c r="ALP223" s="1201"/>
      <c r="ALQ223" s="1201"/>
      <c r="ALR223" s="1201"/>
      <c r="ALS223" s="1201"/>
      <c r="ALT223" s="1201"/>
      <c r="ALU223" s="1201"/>
      <c r="ALV223" s="1201"/>
      <c r="ALW223" s="1201"/>
      <c r="ALX223" s="1201"/>
      <c r="ALY223" s="1201"/>
      <c r="ALZ223" s="1201"/>
      <c r="AMA223" s="1201"/>
      <c r="AMB223" s="1201"/>
      <c r="AMC223" s="1201"/>
      <c r="AMD223" s="1201"/>
      <c r="AME223" s="1201"/>
      <c r="AMF223" s="1201"/>
      <c r="AMG223" s="1201"/>
      <c r="AMH223" s="1201"/>
      <c r="AMI223" s="1201"/>
      <c r="AMJ223" s="1201"/>
      <c r="AMK223" s="1201"/>
      <c r="AML223" s="1201"/>
      <c r="AMM223" s="1201"/>
      <c r="AMN223" s="1201"/>
      <c r="AMO223" s="1201"/>
      <c r="AMP223" s="1201"/>
      <c r="AMQ223" s="1201"/>
      <c r="AMR223" s="1201"/>
      <c r="AMS223" s="1201"/>
      <c r="AMT223" s="1201"/>
      <c r="AMU223" s="1201"/>
      <c r="AMV223" s="1201"/>
      <c r="AMW223" s="1201"/>
      <c r="AMX223" s="1201"/>
      <c r="AMY223" s="1201"/>
      <c r="AMZ223" s="1201"/>
      <c r="ANA223" s="1201"/>
      <c r="ANB223" s="1201"/>
      <c r="ANC223" s="1201"/>
      <c r="AND223" s="1201"/>
      <c r="ANE223" s="1201"/>
      <c r="ANF223" s="1201"/>
      <c r="ANG223" s="1201"/>
      <c r="ANH223" s="1201"/>
      <c r="ANI223" s="1201"/>
      <c r="ANJ223" s="1201"/>
      <c r="ANK223" s="1201"/>
      <c r="ANL223" s="1201"/>
      <c r="ANM223" s="1201"/>
      <c r="ANN223" s="1201"/>
      <c r="ANO223" s="1201"/>
      <c r="ANP223" s="1201"/>
      <c r="ANQ223" s="1201"/>
      <c r="ANR223" s="1201"/>
      <c r="ANS223" s="1201"/>
      <c r="ANT223" s="1201"/>
      <c r="ANU223" s="1201"/>
      <c r="ANV223" s="1201"/>
      <c r="ANW223" s="1201"/>
      <c r="ANX223" s="1201"/>
      <c r="ANY223" s="1201"/>
      <c r="ANZ223" s="1201"/>
      <c r="AOA223" s="1201"/>
      <c r="AOB223" s="1201"/>
      <c r="AOC223" s="1201"/>
      <c r="AOD223" s="1201"/>
      <c r="AOE223" s="1201"/>
      <c r="AOF223" s="1201"/>
      <c r="AOG223" s="1201"/>
      <c r="AOH223" s="1201"/>
      <c r="AOI223" s="1201"/>
      <c r="AOJ223" s="1201"/>
      <c r="AOK223" s="1201"/>
      <c r="AOL223" s="1201"/>
      <c r="AOM223" s="1201"/>
      <c r="AON223" s="1201"/>
      <c r="AOO223" s="1201"/>
      <c r="AOP223" s="1201"/>
      <c r="AOQ223" s="1201"/>
      <c r="AOR223" s="1201"/>
      <c r="AOS223" s="1201"/>
      <c r="AOT223" s="1201"/>
      <c r="AOU223" s="1201"/>
      <c r="AOV223" s="1201"/>
      <c r="AOW223" s="1201"/>
      <c r="AOX223" s="1201"/>
      <c r="AOY223" s="1201"/>
      <c r="AOZ223" s="1201"/>
      <c r="APA223" s="1201"/>
      <c r="APB223" s="1201"/>
      <c r="APC223" s="1201"/>
      <c r="APD223" s="1201"/>
      <c r="APE223" s="1201"/>
      <c r="APF223" s="1201"/>
      <c r="APG223" s="1201"/>
      <c r="APH223" s="1201"/>
      <c r="API223" s="1201"/>
      <c r="APJ223" s="1201"/>
      <c r="APK223" s="1201"/>
      <c r="APL223" s="1201"/>
      <c r="APM223" s="1201"/>
      <c r="APN223" s="1201"/>
      <c r="APO223" s="1201"/>
      <c r="APP223" s="1201"/>
      <c r="APQ223" s="1201"/>
      <c r="APR223" s="1201"/>
      <c r="APS223" s="1201"/>
      <c r="APT223" s="1201"/>
      <c r="APU223" s="1201"/>
      <c r="APV223" s="1201"/>
      <c r="APW223" s="1201"/>
      <c r="APX223" s="1201"/>
      <c r="APY223" s="1201"/>
      <c r="APZ223" s="1201"/>
      <c r="AQA223" s="1201"/>
      <c r="AQB223" s="1201"/>
      <c r="AQC223" s="1201"/>
      <c r="AQD223" s="1201"/>
      <c r="AQE223" s="1201"/>
      <c r="AQF223" s="1201"/>
      <c r="AQG223" s="1201"/>
      <c r="AQH223" s="1201"/>
      <c r="AQI223" s="1201"/>
      <c r="AQJ223" s="1201"/>
      <c r="AQK223" s="1201"/>
      <c r="AQL223" s="1201"/>
      <c r="AQM223" s="1201"/>
      <c r="AQN223" s="1201"/>
      <c r="AQO223" s="1201"/>
      <c r="AQP223" s="1201"/>
      <c r="AQQ223" s="1201"/>
      <c r="AQR223" s="1201"/>
      <c r="AQS223" s="1201"/>
      <c r="AQT223" s="1201"/>
      <c r="AQU223" s="1201"/>
      <c r="AQV223" s="1201"/>
      <c r="AQW223" s="1201"/>
      <c r="AQX223" s="1201"/>
      <c r="AQY223" s="1201"/>
      <c r="AQZ223" s="1201"/>
      <c r="ARA223" s="1201"/>
      <c r="ARB223" s="1201"/>
      <c r="ARC223" s="1201"/>
      <c r="ARD223" s="1201"/>
      <c r="ARE223" s="1201"/>
      <c r="ARF223" s="1201"/>
      <c r="ARG223" s="1201"/>
      <c r="ARH223" s="1201"/>
      <c r="ARI223" s="1201"/>
      <c r="ARJ223" s="1201"/>
      <c r="ARK223" s="1201"/>
      <c r="ARL223" s="1201"/>
      <c r="ARM223" s="1201"/>
      <c r="ARN223" s="1201"/>
      <c r="ARO223" s="1201"/>
      <c r="ARP223" s="1201"/>
      <c r="ARQ223" s="1201"/>
      <c r="ARR223" s="1201"/>
      <c r="ARS223" s="1201"/>
      <c r="ART223" s="1201"/>
      <c r="ARU223" s="1201"/>
      <c r="ARV223" s="1201"/>
      <c r="ARW223" s="1201"/>
      <c r="ARX223" s="1201"/>
      <c r="ARY223" s="1201"/>
      <c r="ARZ223" s="1201"/>
      <c r="ASA223" s="1201"/>
      <c r="ASB223" s="1201"/>
      <c r="ASC223" s="1201"/>
      <c r="ASD223" s="1201"/>
      <c r="ASE223" s="1201"/>
      <c r="ASF223" s="1201"/>
      <c r="ASG223" s="1201"/>
      <c r="ASH223" s="1201"/>
      <c r="ASI223" s="1201"/>
      <c r="ASJ223" s="1201"/>
      <c r="ASK223" s="1201"/>
      <c r="ASL223" s="1201"/>
      <c r="ASM223" s="1201"/>
      <c r="ASN223" s="1201"/>
      <c r="ASO223" s="1201"/>
      <c r="ASP223" s="1201"/>
      <c r="ASQ223" s="1201"/>
      <c r="ASR223" s="1201"/>
      <c r="ASS223" s="1201"/>
      <c r="AST223" s="1201"/>
      <c r="ASU223" s="1201"/>
      <c r="ASV223" s="1201"/>
      <c r="ASW223" s="1201"/>
      <c r="ASX223" s="1201"/>
      <c r="ASY223" s="1201"/>
      <c r="ASZ223" s="1201"/>
      <c r="ATA223" s="1201"/>
      <c r="ATB223" s="1201"/>
      <c r="ATC223" s="1201"/>
      <c r="ATD223" s="1201"/>
      <c r="ATE223" s="1201"/>
      <c r="ATF223" s="1201"/>
      <c r="ATG223" s="1201"/>
      <c r="ATH223" s="1201"/>
      <c r="ATI223" s="1201"/>
      <c r="ATJ223" s="1201"/>
      <c r="ATK223" s="1201"/>
      <c r="ATL223" s="1201"/>
      <c r="ATM223" s="1201"/>
      <c r="ATN223" s="1201"/>
      <c r="ATO223" s="1201"/>
      <c r="ATP223" s="1201"/>
      <c r="ATQ223" s="1201"/>
      <c r="ATR223" s="1201"/>
      <c r="ATS223" s="1201"/>
      <c r="ATT223" s="1201"/>
      <c r="ATU223" s="1201"/>
      <c r="ATV223" s="1201"/>
      <c r="ATW223" s="1201"/>
      <c r="ATX223" s="1201"/>
      <c r="ATY223" s="1201"/>
      <c r="ATZ223" s="1201"/>
      <c r="AUA223" s="1201"/>
      <c r="AUB223" s="1201"/>
      <c r="AUC223" s="1201"/>
      <c r="AUD223" s="1201"/>
      <c r="AUE223" s="1201"/>
      <c r="AUF223" s="1201"/>
      <c r="AUG223" s="1201"/>
      <c r="AUH223" s="1201"/>
      <c r="AUI223" s="1201"/>
      <c r="AUJ223" s="1201"/>
      <c r="AUK223" s="1201"/>
      <c r="AUL223" s="1201"/>
      <c r="AUM223" s="1201"/>
      <c r="AUN223" s="1201"/>
      <c r="AUO223" s="1201"/>
      <c r="AUP223" s="1201"/>
      <c r="AUQ223" s="1201"/>
      <c r="AUR223" s="1201"/>
      <c r="AUS223" s="1201"/>
      <c r="AUT223" s="1201"/>
      <c r="AUU223" s="1201"/>
      <c r="AUV223" s="1201"/>
      <c r="AUW223" s="1201"/>
      <c r="AUX223" s="1201"/>
      <c r="AUY223" s="1201"/>
      <c r="AUZ223" s="1201"/>
      <c r="AVA223" s="1201"/>
      <c r="AVB223" s="1201"/>
      <c r="AVC223" s="1201"/>
      <c r="AVD223" s="1201"/>
      <c r="AVE223" s="1201"/>
      <c r="AVF223" s="1201"/>
      <c r="AVG223" s="1201"/>
      <c r="AVH223" s="1201"/>
      <c r="AVI223" s="1201"/>
      <c r="AVJ223" s="1201"/>
      <c r="AVK223" s="1201"/>
      <c r="AVL223" s="1201"/>
      <c r="AVM223" s="1201"/>
      <c r="AVN223" s="1201"/>
      <c r="AVO223" s="1201"/>
      <c r="AVP223" s="1201"/>
      <c r="AVQ223" s="1201"/>
      <c r="AVR223" s="1201"/>
      <c r="AVS223" s="1201"/>
      <c r="AVT223" s="1201"/>
      <c r="AVU223" s="1201"/>
      <c r="AVV223" s="1201"/>
      <c r="AVW223" s="1201"/>
      <c r="AVX223" s="1201"/>
      <c r="AVY223" s="1201"/>
      <c r="AVZ223" s="1201"/>
      <c r="AWA223" s="1201"/>
      <c r="AWB223" s="1201"/>
      <c r="AWC223" s="1201"/>
      <c r="AWD223" s="1201"/>
      <c r="AWE223" s="1201"/>
      <c r="AWF223" s="1201"/>
      <c r="AWG223" s="1201"/>
      <c r="AWH223" s="1201"/>
      <c r="AWI223" s="1201"/>
      <c r="AWJ223" s="1201"/>
      <c r="AWK223" s="1201"/>
      <c r="AWL223" s="1201"/>
      <c r="AWM223" s="1201"/>
      <c r="AWN223" s="1201"/>
      <c r="AWO223" s="1201"/>
      <c r="AWP223" s="1201"/>
      <c r="AWQ223" s="1201"/>
      <c r="AWR223" s="1201"/>
      <c r="AWS223" s="1201"/>
      <c r="AWT223" s="1201"/>
      <c r="AWU223" s="1201"/>
      <c r="AWV223" s="1201"/>
      <c r="AWW223" s="1201"/>
      <c r="AWX223" s="1201"/>
      <c r="AWY223" s="1201"/>
      <c r="AWZ223" s="1201"/>
      <c r="AXA223" s="1201"/>
      <c r="AXB223" s="1201"/>
      <c r="AXC223" s="1201"/>
      <c r="AXD223" s="1201"/>
      <c r="AXE223" s="1201"/>
      <c r="AXF223" s="1201"/>
      <c r="AXG223" s="1201"/>
      <c r="AXH223" s="1201"/>
      <c r="AXI223" s="1201"/>
      <c r="AXJ223" s="1201"/>
      <c r="AXK223" s="1201"/>
      <c r="AXL223" s="1201"/>
      <c r="AXM223" s="1201"/>
      <c r="AXN223" s="1201"/>
      <c r="AXO223" s="1201"/>
      <c r="AXP223" s="1201"/>
      <c r="AXQ223" s="1201"/>
      <c r="AXR223" s="1201"/>
      <c r="AXS223" s="1201"/>
      <c r="AXT223" s="1201"/>
      <c r="AXU223" s="1201"/>
      <c r="AXV223" s="1201"/>
      <c r="AXW223" s="1201"/>
      <c r="AXX223" s="1201"/>
      <c r="AXY223" s="1201"/>
      <c r="AXZ223" s="1201"/>
      <c r="AYA223" s="1201"/>
      <c r="AYB223" s="1201"/>
      <c r="AYC223" s="1201"/>
      <c r="AYD223" s="1201"/>
      <c r="AYE223" s="1201"/>
      <c r="AYF223" s="1201"/>
      <c r="AYG223" s="1201"/>
      <c r="AYH223" s="1201"/>
      <c r="AYI223" s="1201"/>
      <c r="AYJ223" s="1201"/>
      <c r="AYK223" s="1201"/>
      <c r="AYL223" s="1201"/>
      <c r="AYM223" s="1201"/>
      <c r="AYN223" s="1201"/>
      <c r="AYO223" s="1201"/>
      <c r="AYP223" s="1201"/>
      <c r="AYQ223" s="1201"/>
      <c r="AYR223" s="1201"/>
      <c r="AYS223" s="1201"/>
      <c r="AYT223" s="1201"/>
      <c r="AYU223" s="1201"/>
      <c r="AYV223" s="1201"/>
      <c r="AYW223" s="1201"/>
      <c r="AYX223" s="1201"/>
      <c r="AYY223" s="1201"/>
      <c r="AYZ223" s="1201"/>
      <c r="AZA223" s="1201"/>
      <c r="AZB223" s="1201"/>
      <c r="AZC223" s="1201"/>
      <c r="AZD223" s="1201"/>
      <c r="AZE223" s="1201"/>
      <c r="AZF223" s="1201"/>
      <c r="AZG223" s="1201"/>
      <c r="AZH223" s="1201"/>
      <c r="AZI223" s="1201"/>
      <c r="AZJ223" s="1201"/>
      <c r="AZK223" s="1201"/>
      <c r="AZL223" s="1201"/>
      <c r="AZM223" s="1201"/>
      <c r="AZN223" s="1201"/>
      <c r="AZO223" s="1201"/>
      <c r="AZP223" s="1201"/>
      <c r="AZQ223" s="1201"/>
      <c r="AZR223" s="1201"/>
      <c r="AZS223" s="1201"/>
      <c r="AZT223" s="1201"/>
      <c r="AZU223" s="1201"/>
      <c r="AZV223" s="1201"/>
      <c r="AZW223" s="1201"/>
      <c r="AZX223" s="1201"/>
      <c r="AZY223" s="1201"/>
      <c r="AZZ223" s="1201"/>
      <c r="BAA223" s="1201"/>
      <c r="BAB223" s="1201"/>
      <c r="BAC223" s="1201"/>
      <c r="BAD223" s="1201"/>
      <c r="BAE223" s="1201"/>
      <c r="BAF223" s="1201"/>
      <c r="BAG223" s="1201"/>
      <c r="BAH223" s="1201"/>
      <c r="BAI223" s="1201"/>
      <c r="BAJ223" s="1201"/>
      <c r="BAK223" s="1201"/>
      <c r="BAL223" s="1201"/>
      <c r="BAM223" s="1201"/>
      <c r="BAN223" s="1201"/>
      <c r="BAO223" s="1201"/>
      <c r="BAP223" s="1201"/>
      <c r="BAQ223" s="1201"/>
      <c r="BAR223" s="1201"/>
      <c r="BAS223" s="1201"/>
      <c r="BAT223" s="1201"/>
      <c r="BAU223" s="1201"/>
      <c r="BAV223" s="1201"/>
      <c r="BAW223" s="1201"/>
      <c r="BAX223" s="1201"/>
      <c r="BAY223" s="1201"/>
      <c r="BAZ223" s="1201"/>
      <c r="BBA223" s="1201"/>
      <c r="BBB223" s="1201"/>
      <c r="BBC223" s="1201"/>
      <c r="BBD223" s="1201"/>
      <c r="BBE223" s="1201"/>
      <c r="BBF223" s="1201"/>
      <c r="BBG223" s="1201"/>
      <c r="BBH223" s="1201"/>
      <c r="BBI223" s="1201"/>
      <c r="BBJ223" s="1201"/>
      <c r="BBK223" s="1201"/>
      <c r="BBL223" s="1201"/>
      <c r="BBM223" s="1201"/>
      <c r="BBN223" s="1201"/>
      <c r="BBO223" s="1201"/>
      <c r="BBP223" s="1201"/>
      <c r="BBQ223" s="1201"/>
      <c r="BBR223" s="1201"/>
      <c r="BBS223" s="1201"/>
      <c r="BBT223" s="1201"/>
      <c r="BBU223" s="1201"/>
      <c r="BBV223" s="1201"/>
      <c r="BBW223" s="1201"/>
      <c r="BBX223" s="1201"/>
      <c r="BBY223" s="1201"/>
      <c r="BBZ223" s="1201"/>
      <c r="BCA223" s="1201"/>
      <c r="BCB223" s="1201"/>
      <c r="BCC223" s="1201"/>
      <c r="BCD223" s="1201"/>
      <c r="BCE223" s="1201"/>
      <c r="BCF223" s="1201"/>
      <c r="BCG223" s="1201"/>
      <c r="BCH223" s="1201"/>
      <c r="BCI223" s="1201"/>
      <c r="BCJ223" s="1201"/>
      <c r="BCK223" s="1201"/>
      <c r="BCL223" s="1201"/>
      <c r="BCM223" s="1201"/>
      <c r="BCN223" s="1201"/>
      <c r="BCO223" s="1201"/>
      <c r="BCP223" s="1201"/>
      <c r="BCQ223" s="1201"/>
      <c r="BCR223" s="1201"/>
      <c r="BCS223" s="1201"/>
      <c r="BCT223" s="1201"/>
      <c r="BCU223" s="1201"/>
      <c r="BCV223" s="1201"/>
      <c r="BCW223" s="1201"/>
      <c r="BCX223" s="1201"/>
      <c r="BCY223" s="1201"/>
      <c r="BCZ223" s="1201"/>
      <c r="BDA223" s="1201"/>
      <c r="BDB223" s="1201"/>
      <c r="BDC223" s="1201"/>
      <c r="BDD223" s="1201"/>
      <c r="BDE223" s="1201"/>
      <c r="BDF223" s="1201"/>
      <c r="BDG223" s="1201"/>
      <c r="BDH223" s="1201"/>
      <c r="BDI223" s="1201"/>
      <c r="BDJ223" s="1201"/>
      <c r="BDK223" s="1201"/>
      <c r="BDL223" s="1201"/>
      <c r="BDM223" s="1201"/>
      <c r="BDN223" s="1201"/>
      <c r="BDO223" s="1201"/>
      <c r="BDP223" s="1201"/>
      <c r="BDQ223" s="1201"/>
      <c r="BDR223" s="1201"/>
      <c r="BDS223" s="1201"/>
      <c r="BDT223" s="1201"/>
      <c r="BDU223" s="1201"/>
      <c r="BDV223" s="1201"/>
      <c r="BDW223" s="1201"/>
      <c r="BDX223" s="1201"/>
      <c r="BDY223" s="1201"/>
      <c r="BDZ223" s="1201"/>
      <c r="BEA223" s="1201"/>
      <c r="BEB223" s="1201"/>
      <c r="BEC223" s="1201"/>
      <c r="BED223" s="1201"/>
      <c r="BEE223" s="1201"/>
      <c r="BEF223" s="1201"/>
      <c r="BEG223" s="1201"/>
      <c r="BEH223" s="1201"/>
      <c r="BEI223" s="1201"/>
      <c r="BEJ223" s="1201"/>
      <c r="BEK223" s="1201"/>
      <c r="BEL223" s="1201"/>
      <c r="BEM223" s="1201"/>
      <c r="BEN223" s="1201"/>
      <c r="BEO223" s="1201"/>
      <c r="BEP223" s="1201"/>
      <c r="BEQ223" s="1201"/>
      <c r="BER223" s="1201"/>
      <c r="BES223" s="1201"/>
      <c r="BET223" s="1201"/>
      <c r="BEU223" s="1201"/>
      <c r="BEV223" s="1201"/>
      <c r="BEW223" s="1201"/>
      <c r="BEX223" s="1201"/>
      <c r="BEY223" s="1201"/>
      <c r="BEZ223" s="1201"/>
      <c r="BFA223" s="1201"/>
      <c r="BFB223" s="1201"/>
      <c r="BFC223" s="1201"/>
      <c r="BFD223" s="1201"/>
      <c r="BFE223" s="1201"/>
      <c r="BFF223" s="1201"/>
      <c r="BFG223" s="1201"/>
      <c r="BFH223" s="1201"/>
      <c r="BFI223" s="1201"/>
      <c r="BFJ223" s="1201"/>
      <c r="BFK223" s="1201"/>
      <c r="BFL223" s="1201"/>
      <c r="BFM223" s="1201"/>
      <c r="BFN223" s="1201"/>
      <c r="BFO223" s="1201"/>
      <c r="BFP223" s="1201"/>
      <c r="BFQ223" s="1201"/>
      <c r="BFR223" s="1201"/>
      <c r="BFS223" s="1201"/>
      <c r="BFT223" s="1201"/>
      <c r="BFU223" s="1201"/>
      <c r="BFV223" s="1201"/>
      <c r="BFW223" s="1201"/>
      <c r="BFX223" s="1201"/>
      <c r="BFY223" s="1201"/>
      <c r="BFZ223" s="1201"/>
      <c r="BGA223" s="1201"/>
      <c r="BGB223" s="1201"/>
      <c r="BGC223" s="1201"/>
      <c r="BGD223" s="1201"/>
      <c r="BGE223" s="1201"/>
      <c r="BGF223" s="1201"/>
      <c r="BGG223" s="1201"/>
      <c r="BGH223" s="1201"/>
      <c r="BGI223" s="1201"/>
      <c r="BGJ223" s="1201"/>
      <c r="BGK223" s="1201"/>
      <c r="BGL223" s="1201"/>
      <c r="BGM223" s="1201"/>
      <c r="BGN223" s="1201"/>
      <c r="BGO223" s="1201"/>
      <c r="BGP223" s="1201"/>
      <c r="BGQ223" s="1201"/>
      <c r="BGR223" s="1201"/>
      <c r="BGS223" s="1201"/>
      <c r="BGT223" s="1201"/>
      <c r="BGU223" s="1201"/>
      <c r="BGV223" s="1201"/>
      <c r="BGW223" s="1201"/>
      <c r="BGX223" s="1201"/>
      <c r="BGY223" s="1201"/>
      <c r="BGZ223" s="1201"/>
      <c r="BHA223" s="1201"/>
      <c r="BHB223" s="1201"/>
      <c r="BHC223" s="1201"/>
      <c r="BHD223" s="1201"/>
      <c r="BHE223" s="1201"/>
      <c r="BHF223" s="1201"/>
      <c r="BHG223" s="1201"/>
      <c r="BHH223" s="1201"/>
      <c r="BHI223" s="1201"/>
      <c r="BHJ223" s="1201"/>
      <c r="BHK223" s="1201"/>
      <c r="BHL223" s="1201"/>
      <c r="BHM223" s="1201"/>
      <c r="BHN223" s="1201"/>
      <c r="BHO223" s="1201"/>
      <c r="BHP223" s="1201"/>
      <c r="BHQ223" s="1201"/>
      <c r="BHR223" s="1201"/>
      <c r="BHS223" s="1201"/>
      <c r="BHT223" s="1201"/>
      <c r="BHU223" s="1201"/>
      <c r="BHV223" s="1201"/>
      <c r="BHW223" s="1201"/>
      <c r="BHX223" s="1201"/>
      <c r="BHY223" s="1201"/>
      <c r="BHZ223" s="1201"/>
      <c r="BIA223" s="1201"/>
      <c r="BIB223" s="1201"/>
      <c r="BIC223" s="1201"/>
      <c r="BID223" s="1201"/>
      <c r="BIE223" s="1201"/>
      <c r="BIF223" s="1201"/>
      <c r="BIG223" s="1201"/>
      <c r="BIH223" s="1201"/>
      <c r="BII223" s="1201"/>
      <c r="BIJ223" s="1201"/>
      <c r="BIK223" s="1201"/>
      <c r="BIL223" s="1201"/>
      <c r="BIM223" s="1201"/>
      <c r="BIN223" s="1201"/>
      <c r="BIO223" s="1201"/>
      <c r="BIP223" s="1201"/>
      <c r="BIQ223" s="1201"/>
      <c r="BIR223" s="1201"/>
      <c r="BIS223" s="1201"/>
      <c r="BIT223" s="1201"/>
      <c r="BIU223" s="1201"/>
      <c r="BIV223" s="1201"/>
      <c r="BIW223" s="1201"/>
      <c r="BIX223" s="1201"/>
      <c r="BIY223" s="1201"/>
      <c r="BIZ223" s="1201"/>
      <c r="BJA223" s="1201"/>
      <c r="BJB223" s="1201"/>
      <c r="BJC223" s="1201"/>
      <c r="BJD223" s="1201"/>
      <c r="BJE223" s="1201"/>
      <c r="BJF223" s="1201"/>
      <c r="BJG223" s="1201"/>
      <c r="BJH223" s="1201"/>
      <c r="BJI223" s="1201"/>
      <c r="BJJ223" s="1201"/>
      <c r="BJK223" s="1201"/>
      <c r="BJL223" s="1201"/>
      <c r="BJM223" s="1201"/>
      <c r="BJN223" s="1201"/>
      <c r="BJO223" s="1201"/>
      <c r="BJP223" s="1201"/>
      <c r="BJQ223" s="1201"/>
      <c r="BJR223" s="1201"/>
      <c r="BJS223" s="1201"/>
      <c r="BJT223" s="1201"/>
      <c r="BJU223" s="1201"/>
      <c r="BJV223" s="1201"/>
      <c r="BJW223" s="1201"/>
      <c r="BJX223" s="1201"/>
      <c r="BJY223" s="1201"/>
      <c r="BJZ223" s="1201"/>
      <c r="BKA223" s="1201"/>
      <c r="BKB223" s="1201"/>
      <c r="BKC223" s="1201"/>
      <c r="BKD223" s="1201"/>
      <c r="BKE223" s="1201"/>
      <c r="BKF223" s="1201"/>
      <c r="BKG223" s="1201"/>
      <c r="BKH223" s="1201"/>
      <c r="BKI223" s="1201"/>
      <c r="BKJ223" s="1201"/>
      <c r="BKK223" s="1201"/>
      <c r="BKL223" s="1201"/>
      <c r="BKM223" s="1201"/>
      <c r="BKN223" s="1201"/>
      <c r="BKO223" s="1201"/>
      <c r="BKP223" s="1201"/>
      <c r="BKQ223" s="1201"/>
      <c r="BKR223" s="1201"/>
      <c r="BKS223" s="1201"/>
      <c r="BKT223" s="1201"/>
      <c r="BKU223" s="1201"/>
      <c r="BKV223" s="1201"/>
      <c r="BKW223" s="1201"/>
      <c r="BKX223" s="1201"/>
      <c r="BKY223" s="1201"/>
      <c r="BKZ223" s="1201"/>
      <c r="BLA223" s="1201"/>
      <c r="BLB223" s="1201"/>
      <c r="BLC223" s="1201"/>
      <c r="BLD223" s="1201"/>
      <c r="BLE223" s="1201"/>
      <c r="BLF223" s="1201"/>
      <c r="BLG223" s="1201"/>
      <c r="BLH223" s="1201"/>
      <c r="BLI223" s="1201"/>
      <c r="BLJ223" s="1201"/>
      <c r="BLK223" s="1201"/>
      <c r="BLL223" s="1201"/>
      <c r="BLM223" s="1201"/>
      <c r="BLN223" s="1201"/>
      <c r="BLO223" s="1201"/>
      <c r="BLP223" s="1201"/>
      <c r="BLQ223" s="1201"/>
      <c r="BLR223" s="1201"/>
      <c r="BLS223" s="1201"/>
      <c r="BLT223" s="1201"/>
      <c r="BLU223" s="1201"/>
      <c r="BLV223" s="1201"/>
      <c r="BLW223" s="1201"/>
      <c r="BLX223" s="1201"/>
      <c r="BLY223" s="1201"/>
      <c r="BLZ223" s="1201"/>
      <c r="BMA223" s="1201"/>
      <c r="BMB223" s="1201"/>
      <c r="BMC223" s="1201"/>
      <c r="BMD223" s="1201"/>
      <c r="BME223" s="1201"/>
      <c r="BMF223" s="1201"/>
      <c r="BMG223" s="1201"/>
      <c r="BMH223" s="1201"/>
      <c r="BMI223" s="1201"/>
      <c r="BMJ223" s="1201"/>
      <c r="BMK223" s="1201"/>
      <c r="BML223" s="1201"/>
      <c r="BMM223" s="1201"/>
      <c r="BMN223" s="1201"/>
      <c r="BMO223" s="1201"/>
      <c r="BMP223" s="1201"/>
      <c r="BMQ223" s="1201"/>
      <c r="BMR223" s="1201"/>
      <c r="BMS223" s="1201"/>
      <c r="BMT223" s="1201"/>
      <c r="BMU223" s="1201"/>
      <c r="BMV223" s="1201"/>
      <c r="BMW223" s="1201"/>
      <c r="BMX223" s="1201"/>
      <c r="BMY223" s="1201"/>
      <c r="BMZ223" s="1201"/>
      <c r="BNA223" s="1201"/>
      <c r="BNB223" s="1201"/>
      <c r="BNC223" s="1201"/>
      <c r="BND223" s="1201"/>
      <c r="BNE223" s="1201"/>
      <c r="BNF223" s="1201"/>
      <c r="BNG223" s="1201"/>
      <c r="BNH223" s="1201"/>
      <c r="BNI223" s="1201"/>
      <c r="BNJ223" s="1201"/>
      <c r="BNK223" s="1201"/>
      <c r="BNL223" s="1201"/>
      <c r="BNM223" s="1201"/>
      <c r="BNN223" s="1201"/>
      <c r="BNO223" s="1201"/>
      <c r="BNP223" s="1201"/>
      <c r="BNQ223" s="1201"/>
      <c r="BNR223" s="1201"/>
      <c r="BNS223" s="1201"/>
      <c r="BNT223" s="1201"/>
      <c r="BNU223" s="1201"/>
      <c r="BNV223" s="1201"/>
      <c r="BNW223" s="1201"/>
      <c r="BNX223" s="1201"/>
      <c r="BNY223" s="1201"/>
      <c r="BNZ223" s="1201"/>
      <c r="BOA223" s="1201"/>
      <c r="BOB223" s="1201"/>
      <c r="BOC223" s="1201"/>
      <c r="BOD223" s="1201"/>
      <c r="BOE223" s="1201"/>
      <c r="BOF223" s="1201"/>
      <c r="BOG223" s="1201"/>
      <c r="BOH223" s="1201"/>
      <c r="BOI223" s="1201"/>
      <c r="BOJ223" s="1201"/>
      <c r="BOK223" s="1201"/>
      <c r="BOL223" s="1201"/>
      <c r="BOM223" s="1201"/>
      <c r="BON223" s="1201"/>
      <c r="BOO223" s="1201"/>
      <c r="BOP223" s="1201"/>
      <c r="BOQ223" s="1201"/>
      <c r="BOR223" s="1201"/>
      <c r="BOS223" s="1201"/>
      <c r="BOT223" s="1201"/>
      <c r="BOU223" s="1201"/>
      <c r="BOV223" s="1201"/>
      <c r="BOW223" s="1201"/>
      <c r="BOX223" s="1201"/>
      <c r="BOY223" s="1201"/>
      <c r="BOZ223" s="1201"/>
      <c r="BPA223" s="1201"/>
      <c r="BPB223" s="1201"/>
      <c r="BPC223" s="1201"/>
      <c r="BPD223" s="1201"/>
      <c r="BPE223" s="1201"/>
      <c r="BPF223" s="1201"/>
      <c r="BPG223" s="1201"/>
      <c r="BPH223" s="1201"/>
      <c r="BPI223" s="1201"/>
      <c r="BPJ223" s="1201"/>
      <c r="BPK223" s="1201"/>
      <c r="BPL223" s="1201"/>
      <c r="BPM223" s="1201"/>
      <c r="BPN223" s="1201"/>
      <c r="BPO223" s="1201"/>
      <c r="BPP223" s="1201"/>
      <c r="BPQ223" s="1201"/>
      <c r="BPR223" s="1201"/>
      <c r="BPS223" s="1201"/>
      <c r="BPT223" s="1201"/>
      <c r="BPU223" s="1201"/>
      <c r="BPV223" s="1201"/>
      <c r="BPW223" s="1201"/>
      <c r="BPX223" s="1201"/>
      <c r="BPY223" s="1201"/>
      <c r="BPZ223" s="1201"/>
      <c r="BQA223" s="1201"/>
      <c r="BQB223" s="1201"/>
      <c r="BQC223" s="1201"/>
      <c r="BQD223" s="1201"/>
      <c r="BQE223" s="1201"/>
      <c r="BQF223" s="1201"/>
      <c r="BQG223" s="1201"/>
      <c r="BQH223" s="1201"/>
      <c r="BQI223" s="1201"/>
      <c r="BQJ223" s="1201"/>
      <c r="BQK223" s="1201"/>
      <c r="BQL223" s="1201"/>
      <c r="BQM223" s="1201"/>
      <c r="BQN223" s="1201"/>
      <c r="BQO223" s="1201"/>
      <c r="BQP223" s="1201"/>
      <c r="BQQ223" s="1201"/>
      <c r="BQR223" s="1201"/>
      <c r="BQS223" s="1201"/>
      <c r="BQT223" s="1201"/>
      <c r="BQU223" s="1201"/>
      <c r="BQV223" s="1201"/>
      <c r="BQW223" s="1201"/>
      <c r="BQX223" s="1201"/>
      <c r="BQY223" s="1201"/>
      <c r="BQZ223" s="1201"/>
      <c r="BRA223" s="1201"/>
      <c r="BRB223" s="1201"/>
      <c r="BRC223" s="1201"/>
      <c r="BRD223" s="1201"/>
      <c r="BRE223" s="1201"/>
      <c r="BRF223" s="1201"/>
      <c r="BRG223" s="1201"/>
      <c r="BRH223" s="1201"/>
      <c r="BRI223" s="1201"/>
      <c r="BRJ223" s="1201"/>
      <c r="BRK223" s="1201"/>
      <c r="BRL223" s="1201"/>
      <c r="BRM223" s="1201"/>
      <c r="BRN223" s="1201"/>
      <c r="BRO223" s="1201"/>
      <c r="BRP223" s="1201"/>
      <c r="BRQ223" s="1201"/>
      <c r="BRR223" s="1201"/>
      <c r="BRS223" s="1201"/>
      <c r="BRT223" s="1201"/>
      <c r="BRU223" s="1201"/>
      <c r="BRV223" s="1201"/>
      <c r="BRW223" s="1201"/>
      <c r="BRX223" s="1201"/>
      <c r="BRY223" s="1201"/>
      <c r="BRZ223" s="1201"/>
      <c r="BSA223" s="1201"/>
      <c r="BSB223" s="1201"/>
      <c r="BSC223" s="1201"/>
      <c r="BSD223" s="1201"/>
      <c r="BSE223" s="1201"/>
      <c r="BSF223" s="1201"/>
      <c r="BSG223" s="1201"/>
      <c r="BSH223" s="1201"/>
      <c r="BSI223" s="1201"/>
      <c r="BSJ223" s="1201"/>
      <c r="BSK223" s="1201"/>
      <c r="BSL223" s="1201"/>
      <c r="BSM223" s="1201"/>
      <c r="BSN223" s="1201"/>
      <c r="BSO223" s="1201"/>
      <c r="BSP223" s="1201"/>
      <c r="BSQ223" s="1201"/>
      <c r="BSR223" s="1201"/>
      <c r="BSS223" s="1201"/>
      <c r="BST223" s="1201"/>
      <c r="BSU223" s="1201"/>
      <c r="BSV223" s="1201"/>
      <c r="BSW223" s="1201"/>
      <c r="BSX223" s="1201"/>
      <c r="BSY223" s="1201"/>
      <c r="BSZ223" s="1201"/>
      <c r="BTA223" s="1201"/>
      <c r="BTB223" s="1201"/>
      <c r="BTC223" s="1201"/>
      <c r="BTD223" s="1201"/>
      <c r="BTE223" s="1201"/>
      <c r="BTF223" s="1201"/>
      <c r="BTG223" s="1201"/>
      <c r="BTH223" s="1201"/>
      <c r="BTI223" s="1201"/>
      <c r="BTJ223" s="1201"/>
      <c r="BTK223" s="1201"/>
      <c r="BTL223" s="1201"/>
      <c r="BTM223" s="1201"/>
      <c r="BTN223" s="1201"/>
      <c r="BTO223" s="1201"/>
      <c r="BTP223" s="1201"/>
      <c r="BTQ223" s="1201"/>
      <c r="BTR223" s="1201"/>
      <c r="BTS223" s="1201"/>
      <c r="BTT223" s="1201"/>
      <c r="BTU223" s="1201"/>
      <c r="BTV223" s="1201"/>
      <c r="BTW223" s="1201"/>
      <c r="BTX223" s="1201"/>
      <c r="BTY223" s="1201"/>
      <c r="BTZ223" s="1201"/>
      <c r="BUA223" s="1201"/>
      <c r="BUB223" s="1201"/>
      <c r="BUC223" s="1201"/>
      <c r="BUD223" s="1201"/>
      <c r="BUE223" s="1201"/>
      <c r="BUF223" s="1201"/>
      <c r="BUG223" s="1201"/>
      <c r="BUH223" s="1201"/>
      <c r="BUI223" s="1201"/>
      <c r="BUJ223" s="1201"/>
      <c r="BUK223" s="1201"/>
      <c r="BUL223" s="1201"/>
      <c r="BUM223" s="1201"/>
      <c r="BUN223" s="1201"/>
      <c r="BUO223" s="1201"/>
      <c r="BUP223" s="1201"/>
      <c r="BUQ223" s="1201"/>
      <c r="BUR223" s="1201"/>
      <c r="BUS223" s="1201"/>
      <c r="BUT223" s="1201"/>
      <c r="BUU223" s="1201"/>
      <c r="BUV223" s="1201"/>
      <c r="BUW223" s="1201"/>
      <c r="BUX223" s="1201"/>
      <c r="BUY223" s="1201"/>
      <c r="BUZ223" s="1201"/>
      <c r="BVA223" s="1201"/>
      <c r="BVB223" s="1201"/>
      <c r="BVC223" s="1201"/>
      <c r="BVD223" s="1201"/>
      <c r="BVE223" s="1201"/>
      <c r="BVF223" s="1201"/>
      <c r="BVG223" s="1201"/>
      <c r="BVH223" s="1201"/>
      <c r="BVI223" s="1201"/>
      <c r="BVJ223" s="1201"/>
      <c r="BVK223" s="1201"/>
      <c r="BVL223" s="1201"/>
      <c r="BVM223" s="1201"/>
      <c r="BVN223" s="1201"/>
      <c r="BVO223" s="1201"/>
      <c r="BVP223" s="1201"/>
      <c r="BVQ223" s="1201"/>
      <c r="BVR223" s="1201"/>
      <c r="BVS223" s="1201"/>
      <c r="BVT223" s="1201"/>
      <c r="BVU223" s="1201"/>
      <c r="BVV223" s="1201"/>
      <c r="BVW223" s="1201"/>
      <c r="BVX223" s="1201"/>
      <c r="BVY223" s="1201"/>
      <c r="BVZ223" s="1201"/>
      <c r="BWA223" s="1201"/>
      <c r="BWB223" s="1201"/>
      <c r="BWC223" s="1201"/>
      <c r="BWD223" s="1201"/>
      <c r="BWE223" s="1201"/>
      <c r="BWF223" s="1201"/>
      <c r="BWG223" s="1201"/>
      <c r="BWH223" s="1201"/>
      <c r="BWI223" s="1201"/>
      <c r="BWJ223" s="1201"/>
      <c r="BWK223" s="1201"/>
      <c r="BWL223" s="1201"/>
      <c r="BWM223" s="1201"/>
      <c r="BWN223" s="1201"/>
      <c r="BWO223" s="1201"/>
      <c r="BWP223" s="1201"/>
      <c r="BWQ223" s="1201"/>
      <c r="BWR223" s="1201"/>
      <c r="BWS223" s="1201"/>
      <c r="BWT223" s="1201"/>
      <c r="BWU223" s="1201"/>
      <c r="BWV223" s="1201"/>
      <c r="BWW223" s="1201"/>
      <c r="BWX223" s="1201"/>
      <c r="BWY223" s="1201"/>
      <c r="BWZ223" s="1201"/>
      <c r="BXA223" s="1201"/>
      <c r="BXB223" s="1201"/>
      <c r="BXC223" s="1201"/>
      <c r="BXD223" s="1201"/>
      <c r="BXE223" s="1201"/>
      <c r="BXF223" s="1201"/>
      <c r="BXG223" s="1201"/>
      <c r="BXH223" s="1201"/>
      <c r="BXI223" s="1201"/>
      <c r="BXJ223" s="1201"/>
      <c r="BXK223" s="1201"/>
      <c r="BXL223" s="1201"/>
      <c r="BXM223" s="1201"/>
      <c r="BXN223" s="1201"/>
      <c r="BXO223" s="1201"/>
      <c r="BXP223" s="1201"/>
      <c r="BXQ223" s="1201"/>
      <c r="BXR223" s="1201"/>
      <c r="BXS223" s="1201"/>
      <c r="BXT223" s="1201"/>
      <c r="BXU223" s="1201"/>
      <c r="BXV223" s="1201"/>
      <c r="BXW223" s="1201"/>
      <c r="BXX223" s="1201"/>
      <c r="BXY223" s="1201"/>
      <c r="BXZ223" s="1201"/>
      <c r="BYA223" s="1201"/>
      <c r="BYB223" s="1201"/>
      <c r="BYC223" s="1201"/>
      <c r="BYD223" s="1201"/>
      <c r="BYE223" s="1201"/>
      <c r="BYF223" s="1201"/>
      <c r="BYG223" s="1201"/>
      <c r="BYH223" s="1201"/>
      <c r="BYI223" s="1201"/>
      <c r="BYJ223" s="1201"/>
      <c r="BYK223" s="1201"/>
      <c r="BYL223" s="1201"/>
      <c r="BYM223" s="1201"/>
      <c r="BYN223" s="1201"/>
      <c r="BYO223" s="1201"/>
      <c r="BYP223" s="1201"/>
      <c r="BYQ223" s="1201"/>
      <c r="BYR223" s="1201"/>
      <c r="BYS223" s="1201"/>
      <c r="BYT223" s="1201"/>
      <c r="BYU223" s="1201"/>
      <c r="BYV223" s="1201"/>
      <c r="BYW223" s="1201"/>
      <c r="BYX223" s="1201"/>
      <c r="BYY223" s="1201"/>
      <c r="BYZ223" s="1201"/>
      <c r="BZA223" s="1201"/>
      <c r="BZB223" s="1201"/>
      <c r="BZC223" s="1201"/>
      <c r="BZD223" s="1201"/>
      <c r="BZE223" s="1201"/>
      <c r="BZF223" s="1201"/>
      <c r="BZG223" s="1201"/>
      <c r="BZH223" s="1201"/>
      <c r="BZI223" s="1201"/>
      <c r="BZJ223" s="1201"/>
      <c r="BZK223" s="1201"/>
      <c r="BZL223" s="1201"/>
      <c r="BZM223" s="1201"/>
      <c r="BZN223" s="1201"/>
      <c r="BZO223" s="1201"/>
      <c r="BZP223" s="1201"/>
      <c r="BZQ223" s="1201"/>
      <c r="BZR223" s="1201"/>
      <c r="BZS223" s="1201"/>
      <c r="BZT223" s="1201"/>
      <c r="BZU223" s="1201"/>
      <c r="BZV223" s="1201"/>
      <c r="BZW223" s="1201"/>
      <c r="BZX223" s="1201"/>
      <c r="BZY223" s="1201"/>
      <c r="BZZ223" s="1201"/>
      <c r="CAA223" s="1201"/>
      <c r="CAB223" s="1201"/>
      <c r="CAC223" s="1201"/>
      <c r="CAD223" s="1201"/>
      <c r="CAE223" s="1201"/>
      <c r="CAF223" s="1201"/>
      <c r="CAG223" s="1201"/>
      <c r="CAH223" s="1201"/>
      <c r="CAI223" s="1201"/>
      <c r="CAJ223" s="1201"/>
      <c r="CAK223" s="1201"/>
      <c r="CAL223" s="1201"/>
      <c r="CAM223" s="1201"/>
      <c r="CAN223" s="1201"/>
      <c r="CAO223" s="1201"/>
      <c r="CAP223" s="1201"/>
      <c r="CAQ223" s="1201"/>
      <c r="CAR223" s="1201"/>
      <c r="CAS223" s="1201"/>
      <c r="CAT223" s="1201"/>
      <c r="CAU223" s="1201"/>
      <c r="CAV223" s="1201"/>
      <c r="CAW223" s="1201"/>
      <c r="CAX223" s="1201"/>
      <c r="CAY223" s="1201"/>
      <c r="CAZ223" s="1201"/>
      <c r="CBA223" s="1201"/>
      <c r="CBB223" s="1201"/>
      <c r="CBC223" s="1201"/>
      <c r="CBD223" s="1201"/>
      <c r="CBE223" s="1201"/>
      <c r="CBF223" s="1201"/>
      <c r="CBG223" s="1201"/>
      <c r="CBH223" s="1201"/>
      <c r="CBI223" s="1201"/>
      <c r="CBJ223" s="1201"/>
      <c r="CBK223" s="1201"/>
      <c r="CBL223" s="1201"/>
      <c r="CBM223" s="1201"/>
      <c r="CBN223" s="1201"/>
      <c r="CBO223" s="1201"/>
      <c r="CBP223" s="1201"/>
      <c r="CBQ223" s="1201"/>
      <c r="CBR223" s="1201"/>
      <c r="CBS223" s="1201"/>
      <c r="CBT223" s="1201"/>
      <c r="CBU223" s="1201"/>
      <c r="CBV223" s="1201"/>
      <c r="CBW223" s="1201"/>
      <c r="CBX223" s="1201"/>
      <c r="CBY223" s="1201"/>
      <c r="CBZ223" s="1201"/>
      <c r="CCA223" s="1201"/>
      <c r="CCB223" s="1201"/>
      <c r="CCC223" s="1201"/>
      <c r="CCD223" s="1201"/>
      <c r="CCE223" s="1201"/>
      <c r="CCF223" s="1201"/>
      <c r="CCG223" s="1201"/>
      <c r="CCH223" s="1201"/>
      <c r="CCI223" s="1201"/>
      <c r="CCJ223" s="1201"/>
      <c r="CCK223" s="1201"/>
      <c r="CCL223" s="1201"/>
      <c r="CCM223" s="1201"/>
      <c r="CCN223" s="1201"/>
      <c r="CCO223" s="1201"/>
      <c r="CCP223" s="1201"/>
      <c r="CCQ223" s="1201"/>
      <c r="CCR223" s="1201"/>
      <c r="CCS223" s="1201"/>
      <c r="CCT223" s="1201"/>
      <c r="CCU223" s="1201"/>
      <c r="CCV223" s="1201"/>
      <c r="CCW223" s="1201"/>
      <c r="CCX223" s="1201"/>
      <c r="CCY223" s="1201"/>
      <c r="CCZ223" s="1201"/>
      <c r="CDA223" s="1201"/>
      <c r="CDB223" s="1201"/>
      <c r="CDC223" s="1201"/>
      <c r="CDD223" s="1201"/>
      <c r="CDE223" s="1201"/>
      <c r="CDF223" s="1201"/>
      <c r="CDG223" s="1201"/>
      <c r="CDH223" s="1201"/>
      <c r="CDI223" s="1201"/>
      <c r="CDJ223" s="1201"/>
      <c r="CDK223" s="1201"/>
      <c r="CDL223" s="1201"/>
      <c r="CDM223" s="1201"/>
      <c r="CDN223" s="1201"/>
      <c r="CDO223" s="1201"/>
      <c r="CDP223" s="1201"/>
      <c r="CDQ223" s="1201"/>
      <c r="CDR223" s="1201"/>
      <c r="CDS223" s="1201"/>
      <c r="CDT223" s="1201"/>
      <c r="CDU223" s="1201"/>
      <c r="CDV223" s="1201"/>
      <c r="CDW223" s="1201"/>
      <c r="CDX223" s="1201"/>
      <c r="CDY223" s="1201"/>
      <c r="CDZ223" s="1201"/>
      <c r="CEA223" s="1201"/>
      <c r="CEB223" s="1201"/>
      <c r="CEC223" s="1201"/>
      <c r="CED223" s="1201"/>
      <c r="CEE223" s="1201"/>
      <c r="CEF223" s="1201"/>
      <c r="CEG223" s="1201"/>
      <c r="CEH223" s="1201"/>
      <c r="CEI223" s="1201"/>
      <c r="CEJ223" s="1201"/>
      <c r="CEK223" s="1201"/>
      <c r="CEL223" s="1201"/>
      <c r="CEM223" s="1201"/>
      <c r="CEN223" s="1201"/>
      <c r="CEO223" s="1201"/>
      <c r="CEP223" s="1201"/>
      <c r="CEQ223" s="1201"/>
      <c r="CER223" s="1201"/>
      <c r="CES223" s="1201"/>
      <c r="CET223" s="1201"/>
      <c r="CEU223" s="1201"/>
      <c r="CEV223" s="1201"/>
      <c r="CEW223" s="1201"/>
      <c r="CEX223" s="1201"/>
      <c r="CEY223" s="1201"/>
      <c r="CEZ223" s="1201"/>
      <c r="CFA223" s="1201"/>
      <c r="CFB223" s="1201"/>
      <c r="CFC223" s="1201"/>
      <c r="CFD223" s="1201"/>
      <c r="CFE223" s="1201"/>
      <c r="CFF223" s="1201"/>
      <c r="CFG223" s="1201"/>
      <c r="CFH223" s="1201"/>
      <c r="CFI223" s="1201"/>
      <c r="CFJ223" s="1201"/>
      <c r="CFK223" s="1201"/>
      <c r="CFL223" s="1201"/>
      <c r="CFM223" s="1201"/>
      <c r="CFN223" s="1201"/>
      <c r="CFO223" s="1201"/>
      <c r="CFP223" s="1201"/>
      <c r="CFQ223" s="1201"/>
      <c r="CFR223" s="1201"/>
      <c r="CFS223" s="1201"/>
      <c r="CFT223" s="1201"/>
      <c r="CFU223" s="1201"/>
      <c r="CFV223" s="1201"/>
      <c r="CFW223" s="1201"/>
      <c r="CFX223" s="1201"/>
      <c r="CFY223" s="1201"/>
      <c r="CFZ223" s="1201"/>
      <c r="CGA223" s="1201"/>
      <c r="CGB223" s="1201"/>
      <c r="CGC223" s="1201"/>
      <c r="CGD223" s="1201"/>
      <c r="CGE223" s="1201"/>
      <c r="CGF223" s="1201"/>
      <c r="CGG223" s="1201"/>
      <c r="CGH223" s="1201"/>
      <c r="CGI223" s="1201"/>
      <c r="CGJ223" s="1201"/>
      <c r="CGK223" s="1201"/>
      <c r="CGL223" s="1201"/>
      <c r="CGM223" s="1201"/>
      <c r="CGN223" s="1201"/>
      <c r="CGO223" s="1201"/>
      <c r="CGP223" s="1201"/>
      <c r="CGQ223" s="1201"/>
      <c r="CGR223" s="1201"/>
      <c r="CGS223" s="1201"/>
      <c r="CGT223" s="1201"/>
      <c r="CGU223" s="1201"/>
      <c r="CGV223" s="1201"/>
      <c r="CGW223" s="1201"/>
      <c r="CGX223" s="1201"/>
      <c r="CGY223" s="1201"/>
      <c r="CGZ223" s="1201"/>
      <c r="CHA223" s="1201"/>
      <c r="CHB223" s="1201"/>
      <c r="CHC223" s="1201"/>
      <c r="CHD223" s="1201"/>
      <c r="CHE223" s="1201"/>
      <c r="CHF223" s="1201"/>
      <c r="CHG223" s="1201"/>
      <c r="CHH223" s="1201"/>
      <c r="CHI223" s="1201"/>
      <c r="CHJ223" s="1201"/>
      <c r="CHK223" s="1201"/>
      <c r="CHL223" s="1201"/>
      <c r="CHM223" s="1201"/>
      <c r="CHN223" s="1201"/>
      <c r="CHO223" s="1201"/>
      <c r="CHP223" s="1201"/>
      <c r="CHQ223" s="1201"/>
      <c r="CHR223" s="1201"/>
      <c r="CHS223" s="1201"/>
      <c r="CHT223" s="1201"/>
      <c r="CHU223" s="1201"/>
      <c r="CHV223" s="1201"/>
      <c r="CHW223" s="1201"/>
      <c r="CHX223" s="1201"/>
      <c r="CHY223" s="1201"/>
      <c r="CHZ223" s="1201"/>
      <c r="CIA223" s="1201"/>
      <c r="CIB223" s="1201"/>
      <c r="CIC223" s="1201"/>
      <c r="CID223" s="1201"/>
      <c r="CIE223" s="1201"/>
      <c r="CIF223" s="1201"/>
      <c r="CIG223" s="1201"/>
      <c r="CIH223" s="1201"/>
      <c r="CII223" s="1201"/>
      <c r="CIJ223" s="1201"/>
      <c r="CIK223" s="1201"/>
      <c r="CIL223" s="1201"/>
      <c r="CIM223" s="1201"/>
      <c r="CIN223" s="1201"/>
      <c r="CIO223" s="1201"/>
      <c r="CIP223" s="1201"/>
      <c r="CIQ223" s="1201"/>
      <c r="CIR223" s="1201"/>
      <c r="CIS223" s="1201"/>
      <c r="CIT223" s="1201"/>
      <c r="CIU223" s="1201"/>
      <c r="CIV223" s="1201"/>
      <c r="CIW223" s="1201"/>
      <c r="CIX223" s="1201"/>
      <c r="CIY223" s="1201"/>
      <c r="CIZ223" s="1201"/>
      <c r="CJA223" s="1201"/>
      <c r="CJB223" s="1201"/>
      <c r="CJC223" s="1201"/>
      <c r="CJD223" s="1201"/>
      <c r="CJE223" s="1201"/>
      <c r="CJF223" s="1201"/>
      <c r="CJG223" s="1201"/>
      <c r="CJH223" s="1201"/>
      <c r="CJI223" s="1201"/>
      <c r="CJJ223" s="1201"/>
      <c r="CJK223" s="1201"/>
      <c r="CJL223" s="1201"/>
      <c r="CJM223" s="1201"/>
      <c r="CJN223" s="1201"/>
      <c r="CJO223" s="1201"/>
      <c r="CJP223" s="1201"/>
      <c r="CJQ223" s="1201"/>
      <c r="CJR223" s="1201"/>
      <c r="CJS223" s="1201"/>
      <c r="CJT223" s="1201"/>
      <c r="CJU223" s="1201"/>
      <c r="CJV223" s="1201"/>
      <c r="CJW223" s="1201"/>
      <c r="CJX223" s="1201"/>
      <c r="CJY223" s="1201"/>
      <c r="CJZ223" s="1201"/>
      <c r="CKA223" s="1201"/>
      <c r="CKB223" s="1201"/>
      <c r="CKC223" s="1201"/>
      <c r="CKD223" s="1201"/>
      <c r="CKE223" s="1201"/>
      <c r="CKF223" s="1201"/>
      <c r="CKG223" s="1201"/>
      <c r="CKH223" s="1201"/>
      <c r="CKI223" s="1201"/>
      <c r="CKJ223" s="1201"/>
      <c r="CKK223" s="1201"/>
      <c r="CKL223" s="1201"/>
      <c r="CKM223" s="1201"/>
      <c r="CKN223" s="1201"/>
      <c r="CKO223" s="1201"/>
      <c r="CKP223" s="1201"/>
      <c r="CKQ223" s="1201"/>
      <c r="CKR223" s="1201"/>
      <c r="CKS223" s="1201"/>
      <c r="CKT223" s="1201"/>
      <c r="CKU223" s="1201"/>
      <c r="CKV223" s="1201"/>
      <c r="CKW223" s="1201"/>
      <c r="CKX223" s="1201"/>
      <c r="CKY223" s="1201"/>
      <c r="CKZ223" s="1201"/>
      <c r="CLA223" s="1201"/>
      <c r="CLB223" s="1201"/>
      <c r="CLC223" s="1201"/>
      <c r="CLD223" s="1201"/>
      <c r="CLE223" s="1201"/>
      <c r="CLF223" s="1201"/>
      <c r="CLG223" s="1201"/>
      <c r="CLH223" s="1201"/>
      <c r="CLI223" s="1201"/>
      <c r="CLJ223" s="1201"/>
      <c r="CLK223" s="1201"/>
      <c r="CLL223" s="1201"/>
      <c r="CLM223" s="1201"/>
      <c r="CLN223" s="1201"/>
      <c r="CLO223" s="1201"/>
      <c r="CLP223" s="1201"/>
      <c r="CLQ223" s="1201"/>
      <c r="CLR223" s="1201"/>
      <c r="CLS223" s="1201"/>
      <c r="CLT223" s="1201"/>
      <c r="CLU223" s="1201"/>
      <c r="CLV223" s="1201"/>
      <c r="CLW223" s="1201"/>
      <c r="CLX223" s="1201"/>
      <c r="CLY223" s="1201"/>
      <c r="CLZ223" s="1201"/>
      <c r="CMA223" s="1201"/>
      <c r="CMB223" s="1201"/>
      <c r="CMC223" s="1201"/>
      <c r="CMD223" s="1201"/>
      <c r="CME223" s="1201"/>
      <c r="CMF223" s="1201"/>
      <c r="CMG223" s="1201"/>
      <c r="CMH223" s="1201"/>
      <c r="CMI223" s="1201"/>
      <c r="CMJ223" s="1201"/>
      <c r="CMK223" s="1201"/>
      <c r="CML223" s="1201"/>
      <c r="CMM223" s="1201"/>
      <c r="CMN223" s="1201"/>
      <c r="CMO223" s="1201"/>
      <c r="CMP223" s="1201"/>
      <c r="CMQ223" s="1201"/>
      <c r="CMR223" s="1201"/>
      <c r="CMS223" s="1201"/>
      <c r="CMT223" s="1201"/>
      <c r="CMU223" s="1201"/>
      <c r="CMV223" s="1201"/>
      <c r="CMW223" s="1201"/>
      <c r="CMX223" s="1201"/>
      <c r="CMY223" s="1201"/>
      <c r="CMZ223" s="1201"/>
      <c r="CNA223" s="1201"/>
      <c r="CNB223" s="1201"/>
      <c r="CNC223" s="1201"/>
      <c r="CND223" s="1201"/>
      <c r="CNE223" s="1201"/>
      <c r="CNF223" s="1201"/>
      <c r="CNG223" s="1201"/>
      <c r="CNH223" s="1201"/>
      <c r="CNI223" s="1201"/>
      <c r="CNJ223" s="1201"/>
      <c r="CNK223" s="1201"/>
      <c r="CNL223" s="1201"/>
      <c r="CNM223" s="1201"/>
      <c r="CNN223" s="1201"/>
      <c r="CNO223" s="1201"/>
      <c r="CNP223" s="1201"/>
      <c r="CNQ223" s="1201"/>
      <c r="CNR223" s="1201"/>
      <c r="CNS223" s="1201"/>
      <c r="CNT223" s="1201"/>
      <c r="CNU223" s="1201"/>
      <c r="CNV223" s="1201"/>
      <c r="CNW223" s="1201"/>
      <c r="CNX223" s="1201"/>
      <c r="CNY223" s="1201"/>
      <c r="CNZ223" s="1201"/>
      <c r="COA223" s="1201"/>
      <c r="COB223" s="1201"/>
      <c r="COC223" s="1201"/>
      <c r="COD223" s="1201"/>
      <c r="COE223" s="1201"/>
      <c r="COF223" s="1201"/>
      <c r="COG223" s="1201"/>
      <c r="COH223" s="1201"/>
      <c r="COI223" s="1201"/>
      <c r="COJ223" s="1201"/>
      <c r="COK223" s="1201"/>
      <c r="COL223" s="1201"/>
      <c r="COM223" s="1201"/>
      <c r="CON223" s="1201"/>
      <c r="COO223" s="1201"/>
      <c r="COP223" s="1201"/>
      <c r="COQ223" s="1201"/>
      <c r="COR223" s="1201"/>
      <c r="COS223" s="1201"/>
      <c r="COT223" s="1201"/>
      <c r="COU223" s="1201"/>
      <c r="COV223" s="1201"/>
      <c r="COW223" s="1201"/>
      <c r="COX223" s="1201"/>
      <c r="COY223" s="1201"/>
      <c r="COZ223" s="1201"/>
      <c r="CPA223" s="1201"/>
      <c r="CPB223" s="1201"/>
      <c r="CPC223" s="1201"/>
      <c r="CPD223" s="1201"/>
      <c r="CPE223" s="1201"/>
      <c r="CPF223" s="1201"/>
      <c r="CPG223" s="1201"/>
      <c r="CPH223" s="1201"/>
      <c r="CPI223" s="1201"/>
      <c r="CPJ223" s="1201"/>
      <c r="CPK223" s="1201"/>
      <c r="CPL223" s="1201"/>
      <c r="CPM223" s="1201"/>
      <c r="CPN223" s="1201"/>
      <c r="CPO223" s="1201"/>
      <c r="CPP223" s="1201"/>
      <c r="CPQ223" s="1201"/>
      <c r="CPR223" s="1201"/>
      <c r="CPS223" s="1201"/>
      <c r="CPT223" s="1201"/>
      <c r="CPU223" s="1201"/>
      <c r="CPV223" s="1201"/>
      <c r="CPW223" s="1201"/>
      <c r="CPX223" s="1201"/>
      <c r="CPY223" s="1201"/>
      <c r="CPZ223" s="1201"/>
      <c r="CQA223" s="1201"/>
      <c r="CQB223" s="1201"/>
      <c r="CQC223" s="1201"/>
      <c r="CQD223" s="1201"/>
      <c r="CQE223" s="1201"/>
      <c r="CQF223" s="1201"/>
      <c r="CQG223" s="1201"/>
      <c r="CQH223" s="1201"/>
      <c r="CQI223" s="1201"/>
      <c r="CQJ223" s="1201"/>
      <c r="CQK223" s="1201"/>
      <c r="CQL223" s="1201"/>
      <c r="CQM223" s="1201"/>
      <c r="CQN223" s="1201"/>
      <c r="CQO223" s="1201"/>
      <c r="CQP223" s="1201"/>
      <c r="CQQ223" s="1201"/>
      <c r="CQR223" s="1201"/>
      <c r="CQS223" s="1201"/>
      <c r="CQT223" s="1201"/>
      <c r="CQU223" s="1201"/>
      <c r="CQV223" s="1201"/>
      <c r="CQW223" s="1201"/>
      <c r="CQX223" s="1201"/>
      <c r="CQY223" s="1201"/>
      <c r="CQZ223" s="1201"/>
      <c r="CRA223" s="1201"/>
      <c r="CRB223" s="1201"/>
      <c r="CRC223" s="1201"/>
      <c r="CRD223" s="1201"/>
      <c r="CRE223" s="1201"/>
      <c r="CRF223" s="1201"/>
      <c r="CRG223" s="1201"/>
      <c r="CRH223" s="1201"/>
      <c r="CRI223" s="1201"/>
      <c r="CRJ223" s="1201"/>
      <c r="CRK223" s="1201"/>
      <c r="CRL223" s="1201"/>
      <c r="CRM223" s="1201"/>
      <c r="CRN223" s="1201"/>
      <c r="CRO223" s="1201"/>
      <c r="CRP223" s="1201"/>
      <c r="CRQ223" s="1201"/>
      <c r="CRR223" s="1201"/>
      <c r="CRS223" s="1201"/>
      <c r="CRT223" s="1201"/>
      <c r="CRU223" s="1201"/>
      <c r="CRV223" s="1201"/>
      <c r="CRW223" s="1201"/>
      <c r="CRX223" s="1201"/>
      <c r="CRY223" s="1201"/>
      <c r="CRZ223" s="1201"/>
      <c r="CSA223" s="1201"/>
      <c r="CSB223" s="1201"/>
      <c r="CSC223" s="1201"/>
      <c r="CSD223" s="1201"/>
      <c r="CSE223" s="1201"/>
      <c r="CSF223" s="1201"/>
      <c r="CSG223" s="1201"/>
      <c r="CSH223" s="1201"/>
      <c r="CSI223" s="1201"/>
      <c r="CSJ223" s="1201"/>
      <c r="CSK223" s="1201"/>
      <c r="CSL223" s="1201"/>
      <c r="CSM223" s="1201"/>
      <c r="CSN223" s="1201"/>
      <c r="CSO223" s="1201"/>
      <c r="CSP223" s="1201"/>
      <c r="CSQ223" s="1201"/>
      <c r="CSR223" s="1201"/>
      <c r="CSS223" s="1201"/>
      <c r="CST223" s="1201"/>
      <c r="CSU223" s="1201"/>
      <c r="CSV223" s="1201"/>
      <c r="CSW223" s="1201"/>
      <c r="CSX223" s="1201"/>
      <c r="CSY223" s="1201"/>
      <c r="CSZ223" s="1201"/>
      <c r="CTA223" s="1201"/>
      <c r="CTB223" s="1201"/>
      <c r="CTC223" s="1201"/>
      <c r="CTD223" s="1201"/>
      <c r="CTE223" s="1201"/>
      <c r="CTF223" s="1201"/>
      <c r="CTG223" s="1201"/>
      <c r="CTH223" s="1201"/>
      <c r="CTI223" s="1201"/>
      <c r="CTJ223" s="1201"/>
      <c r="CTK223" s="1201"/>
      <c r="CTL223" s="1201"/>
      <c r="CTM223" s="1201"/>
      <c r="CTN223" s="1201"/>
      <c r="CTO223" s="1201"/>
      <c r="CTP223" s="1201"/>
      <c r="CTQ223" s="1201"/>
      <c r="CTR223" s="1201"/>
      <c r="CTS223" s="1201"/>
      <c r="CTT223" s="1201"/>
      <c r="CTU223" s="1201"/>
      <c r="CTV223" s="1201"/>
      <c r="CTW223" s="1201"/>
      <c r="CTX223" s="1201"/>
      <c r="CTY223" s="1201"/>
      <c r="CTZ223" s="1201"/>
      <c r="CUA223" s="1201"/>
      <c r="CUB223" s="1201"/>
      <c r="CUC223" s="1201"/>
      <c r="CUD223" s="1201"/>
      <c r="CUE223" s="1201"/>
      <c r="CUF223" s="1201"/>
      <c r="CUG223" s="1201"/>
      <c r="CUH223" s="1201"/>
      <c r="CUI223" s="1201"/>
      <c r="CUJ223" s="1201"/>
      <c r="CUK223" s="1201"/>
      <c r="CUL223" s="1201"/>
      <c r="CUM223" s="1201"/>
      <c r="CUN223" s="1201"/>
      <c r="CUO223" s="1201"/>
      <c r="CUP223" s="1201"/>
      <c r="CUQ223" s="1201"/>
      <c r="CUR223" s="1201"/>
      <c r="CUS223" s="1201"/>
      <c r="CUT223" s="1201"/>
      <c r="CUU223" s="1201"/>
      <c r="CUV223" s="1201"/>
      <c r="CUW223" s="1201"/>
      <c r="CUX223" s="1201"/>
      <c r="CUY223" s="1201"/>
      <c r="CUZ223" s="1201"/>
      <c r="CVA223" s="1201"/>
      <c r="CVB223" s="1201"/>
      <c r="CVC223" s="1201"/>
      <c r="CVD223" s="1201"/>
      <c r="CVE223" s="1201"/>
      <c r="CVF223" s="1201"/>
      <c r="CVG223" s="1201"/>
      <c r="CVH223" s="1201"/>
      <c r="CVI223" s="1201"/>
      <c r="CVJ223" s="1201"/>
      <c r="CVK223" s="1201"/>
      <c r="CVL223" s="1201"/>
      <c r="CVM223" s="1201"/>
      <c r="CVN223" s="1201"/>
      <c r="CVO223" s="1201"/>
      <c r="CVP223" s="1201"/>
      <c r="CVQ223" s="1201"/>
      <c r="CVR223" s="1201"/>
      <c r="CVS223" s="1201"/>
      <c r="CVT223" s="1201"/>
      <c r="CVU223" s="1201"/>
      <c r="CVV223" s="1201"/>
      <c r="CVW223" s="1201"/>
      <c r="CVX223" s="1201"/>
      <c r="CVY223" s="1201"/>
      <c r="CVZ223" s="1201"/>
      <c r="CWA223" s="1201"/>
      <c r="CWB223" s="1201"/>
      <c r="CWC223" s="1201"/>
      <c r="CWD223" s="1201"/>
      <c r="CWE223" s="1201"/>
      <c r="CWF223" s="1201"/>
      <c r="CWG223" s="1201"/>
      <c r="CWH223" s="1201"/>
      <c r="CWI223" s="1201"/>
      <c r="CWJ223" s="1201"/>
      <c r="CWK223" s="1201"/>
      <c r="CWL223" s="1201"/>
      <c r="CWM223" s="1201"/>
      <c r="CWN223" s="1201"/>
      <c r="CWO223" s="1201"/>
      <c r="CWP223" s="1201"/>
      <c r="CWQ223" s="1201"/>
      <c r="CWR223" s="1201"/>
      <c r="CWS223" s="1201"/>
      <c r="CWT223" s="1201"/>
      <c r="CWU223" s="1201"/>
      <c r="CWV223" s="1201"/>
      <c r="CWW223" s="1201"/>
      <c r="CWX223" s="1201"/>
      <c r="CWY223" s="1201"/>
      <c r="CWZ223" s="1201"/>
      <c r="CXA223" s="1201"/>
      <c r="CXB223" s="1201"/>
      <c r="CXC223" s="1201"/>
      <c r="CXD223" s="1201"/>
      <c r="CXE223" s="1201"/>
      <c r="CXF223" s="1201"/>
      <c r="CXG223" s="1201"/>
      <c r="CXH223" s="1201"/>
      <c r="CXI223" s="1201"/>
      <c r="CXJ223" s="1201"/>
      <c r="CXK223" s="1201"/>
      <c r="CXL223" s="1201"/>
      <c r="CXM223" s="1201"/>
      <c r="CXN223" s="1201"/>
      <c r="CXO223" s="1201"/>
      <c r="CXP223" s="1201"/>
      <c r="CXQ223" s="1201"/>
      <c r="CXR223" s="1201"/>
      <c r="CXS223" s="1201"/>
      <c r="CXT223" s="1201"/>
      <c r="CXU223" s="1201"/>
      <c r="CXV223" s="1201"/>
      <c r="CXW223" s="1201"/>
      <c r="CXX223" s="1201"/>
      <c r="CXY223" s="1201"/>
      <c r="CXZ223" s="1201"/>
      <c r="CYA223" s="1201"/>
      <c r="CYB223" s="1201"/>
      <c r="CYC223" s="1201"/>
      <c r="CYD223" s="1201"/>
      <c r="CYE223" s="1201"/>
      <c r="CYF223" s="1201"/>
      <c r="CYG223" s="1201"/>
      <c r="CYH223" s="1201"/>
      <c r="CYI223" s="1201"/>
      <c r="CYJ223" s="1201"/>
      <c r="CYK223" s="1201"/>
      <c r="CYL223" s="1201"/>
      <c r="CYM223" s="1201"/>
      <c r="CYN223" s="1201"/>
      <c r="CYO223" s="1201"/>
      <c r="CYP223" s="1201"/>
      <c r="CYQ223" s="1201"/>
      <c r="CYR223" s="1201"/>
      <c r="CYS223" s="1201"/>
      <c r="CYT223" s="1201"/>
      <c r="CYU223" s="1201"/>
      <c r="CYV223" s="1201"/>
      <c r="CYW223" s="1201"/>
      <c r="CYX223" s="1201"/>
      <c r="CYY223" s="1201"/>
      <c r="CYZ223" s="1201"/>
      <c r="CZA223" s="1201"/>
      <c r="CZB223" s="1201"/>
      <c r="CZC223" s="1201"/>
      <c r="CZD223" s="1201"/>
      <c r="CZE223" s="1201"/>
      <c r="CZF223" s="1201"/>
      <c r="CZG223" s="1201"/>
      <c r="CZH223" s="1201"/>
      <c r="CZI223" s="1201"/>
      <c r="CZJ223" s="1201"/>
      <c r="CZK223" s="1201"/>
      <c r="CZL223" s="1201"/>
      <c r="CZM223" s="1201"/>
      <c r="CZN223" s="1201"/>
      <c r="CZO223" s="1201"/>
      <c r="CZP223" s="1201"/>
      <c r="CZQ223" s="1201"/>
      <c r="CZR223" s="1201"/>
      <c r="CZS223" s="1201"/>
      <c r="CZT223" s="1201"/>
      <c r="CZU223" s="1201"/>
      <c r="CZV223" s="1201"/>
      <c r="CZW223" s="1201"/>
      <c r="CZX223" s="1201"/>
      <c r="CZY223" s="1201"/>
      <c r="CZZ223" s="1201"/>
      <c r="DAA223" s="1201"/>
      <c r="DAB223" s="1201"/>
      <c r="DAC223" s="1201"/>
      <c r="DAD223" s="1201"/>
      <c r="DAE223" s="1201"/>
      <c r="DAF223" s="1201"/>
      <c r="DAG223" s="1201"/>
      <c r="DAH223" s="1201"/>
      <c r="DAI223" s="1201"/>
      <c r="DAJ223" s="1201"/>
      <c r="DAK223" s="1201"/>
      <c r="DAL223" s="1201"/>
      <c r="DAM223" s="1201"/>
      <c r="DAN223" s="1201"/>
      <c r="DAO223" s="1201"/>
      <c r="DAP223" s="1201"/>
      <c r="DAQ223" s="1201"/>
      <c r="DAR223" s="1201"/>
      <c r="DAS223" s="1201"/>
      <c r="DAT223" s="1201"/>
      <c r="DAU223" s="1201"/>
      <c r="DAV223" s="1201"/>
      <c r="DAW223" s="1201"/>
      <c r="DAX223" s="1201"/>
      <c r="DAY223" s="1201"/>
      <c r="DAZ223" s="1201"/>
      <c r="DBA223" s="1201"/>
      <c r="DBB223" s="1201"/>
      <c r="DBC223" s="1201"/>
      <c r="DBD223" s="1201"/>
      <c r="DBE223" s="1201"/>
      <c r="DBF223" s="1201"/>
      <c r="DBG223" s="1201"/>
      <c r="DBH223" s="1201"/>
      <c r="DBI223" s="1201"/>
      <c r="DBJ223" s="1201"/>
      <c r="DBK223" s="1201"/>
      <c r="DBL223" s="1201"/>
      <c r="DBM223" s="1201"/>
      <c r="DBN223" s="1201"/>
      <c r="DBO223" s="1201"/>
      <c r="DBP223" s="1201"/>
      <c r="DBQ223" s="1201"/>
      <c r="DBR223" s="1201"/>
      <c r="DBS223" s="1201"/>
      <c r="DBT223" s="1201"/>
      <c r="DBU223" s="1201"/>
      <c r="DBV223" s="1201"/>
      <c r="DBW223" s="1201"/>
      <c r="DBX223" s="1201"/>
      <c r="DBY223" s="1201"/>
      <c r="DBZ223" s="1201"/>
      <c r="DCA223" s="1201"/>
      <c r="DCB223" s="1201"/>
      <c r="DCC223" s="1201"/>
      <c r="DCD223" s="1201"/>
      <c r="DCE223" s="1201"/>
      <c r="DCF223" s="1201"/>
      <c r="DCG223" s="1201"/>
      <c r="DCH223" s="1201"/>
      <c r="DCI223" s="1201"/>
      <c r="DCJ223" s="1201"/>
      <c r="DCK223" s="1201"/>
      <c r="DCL223" s="1201"/>
      <c r="DCM223" s="1201"/>
      <c r="DCN223" s="1201"/>
      <c r="DCO223" s="1201"/>
      <c r="DCP223" s="1201"/>
      <c r="DCQ223" s="1201"/>
      <c r="DCR223" s="1201"/>
      <c r="DCS223" s="1201"/>
      <c r="DCT223" s="1201"/>
      <c r="DCU223" s="1201"/>
      <c r="DCV223" s="1201"/>
      <c r="DCW223" s="1201"/>
      <c r="DCX223" s="1201"/>
      <c r="DCY223" s="1201"/>
      <c r="DCZ223" s="1201"/>
      <c r="DDA223" s="1201"/>
      <c r="DDB223" s="1201"/>
      <c r="DDC223" s="1201"/>
      <c r="DDD223" s="1201"/>
      <c r="DDE223" s="1201"/>
      <c r="DDF223" s="1201"/>
      <c r="DDG223" s="1201"/>
      <c r="DDH223" s="1201"/>
      <c r="DDI223" s="1201"/>
      <c r="DDJ223" s="1201"/>
      <c r="DDK223" s="1201"/>
      <c r="DDL223" s="1201"/>
      <c r="DDM223" s="1201"/>
      <c r="DDN223" s="1201"/>
      <c r="DDO223" s="1201"/>
      <c r="DDP223" s="1201"/>
      <c r="DDQ223" s="1201"/>
      <c r="DDR223" s="1201"/>
      <c r="DDS223" s="1201"/>
      <c r="DDT223" s="1201"/>
      <c r="DDU223" s="1201"/>
      <c r="DDV223" s="1201"/>
      <c r="DDW223" s="1201"/>
      <c r="DDX223" s="1201"/>
      <c r="DDY223" s="1201"/>
      <c r="DDZ223" s="1201"/>
      <c r="DEA223" s="1201"/>
      <c r="DEB223" s="1201"/>
      <c r="DEC223" s="1201"/>
      <c r="DED223" s="1201"/>
      <c r="DEE223" s="1201"/>
      <c r="DEF223" s="1201"/>
      <c r="DEG223" s="1201"/>
      <c r="DEH223" s="1201"/>
      <c r="DEI223" s="1201"/>
      <c r="DEJ223" s="1201"/>
      <c r="DEK223" s="1201"/>
      <c r="DEL223" s="1201"/>
      <c r="DEM223" s="1201"/>
      <c r="DEN223" s="1201"/>
      <c r="DEO223" s="1201"/>
      <c r="DEP223" s="1201"/>
      <c r="DEQ223" s="1201"/>
      <c r="DER223" s="1201"/>
      <c r="DES223" s="1201"/>
      <c r="DET223" s="1201"/>
      <c r="DEU223" s="1201"/>
      <c r="DEV223" s="1201"/>
      <c r="DEW223" s="1201"/>
      <c r="DEX223" s="1201"/>
      <c r="DEY223" s="1201"/>
      <c r="DEZ223" s="1201"/>
      <c r="DFA223" s="1201"/>
      <c r="DFB223" s="1201"/>
      <c r="DFC223" s="1201"/>
      <c r="DFD223" s="1201"/>
      <c r="DFE223" s="1201"/>
      <c r="DFF223" s="1201"/>
      <c r="DFG223" s="1201"/>
      <c r="DFH223" s="1201"/>
      <c r="DFI223" s="1201"/>
      <c r="DFJ223" s="1201"/>
      <c r="DFK223" s="1201"/>
      <c r="DFL223" s="1201"/>
      <c r="DFM223" s="1201"/>
      <c r="DFN223" s="1201"/>
      <c r="DFO223" s="1201"/>
      <c r="DFP223" s="1201"/>
      <c r="DFQ223" s="1201"/>
      <c r="DFR223" s="1201"/>
      <c r="DFS223" s="1201"/>
      <c r="DFT223" s="1201"/>
      <c r="DFU223" s="1201"/>
      <c r="DFV223" s="1201"/>
      <c r="DFW223" s="1201"/>
      <c r="DFX223" s="1201"/>
      <c r="DFY223" s="1201"/>
      <c r="DFZ223" s="1201"/>
      <c r="DGA223" s="1201"/>
      <c r="DGB223" s="1201"/>
      <c r="DGC223" s="1201"/>
      <c r="DGD223" s="1201"/>
      <c r="DGE223" s="1201"/>
      <c r="DGF223" s="1201"/>
      <c r="DGG223" s="1201"/>
      <c r="DGH223" s="1201"/>
      <c r="DGI223" s="1201"/>
      <c r="DGJ223" s="1201"/>
      <c r="DGK223" s="1201"/>
      <c r="DGL223" s="1201"/>
      <c r="DGM223" s="1201"/>
      <c r="DGN223" s="1201"/>
      <c r="DGO223" s="1201"/>
      <c r="DGP223" s="1201"/>
      <c r="DGQ223" s="1201"/>
      <c r="DGR223" s="1201"/>
      <c r="DGS223" s="1201"/>
      <c r="DGT223" s="1201"/>
      <c r="DGU223" s="1201"/>
      <c r="DGV223" s="1201"/>
      <c r="DGW223" s="1201"/>
      <c r="DGX223" s="1201"/>
      <c r="DGY223" s="1201"/>
      <c r="DGZ223" s="1201"/>
      <c r="DHA223" s="1201"/>
      <c r="DHB223" s="1201"/>
      <c r="DHC223" s="1201"/>
      <c r="DHD223" s="1201"/>
      <c r="DHE223" s="1201"/>
      <c r="DHF223" s="1201"/>
      <c r="DHG223" s="1201"/>
      <c r="DHH223" s="1201"/>
      <c r="DHI223" s="1201"/>
      <c r="DHJ223" s="1201"/>
      <c r="DHK223" s="1201"/>
      <c r="DHL223" s="1201"/>
      <c r="DHM223" s="1201"/>
      <c r="DHN223" s="1201"/>
      <c r="DHO223" s="1201"/>
      <c r="DHP223" s="1201"/>
      <c r="DHQ223" s="1201"/>
      <c r="DHR223" s="1201"/>
      <c r="DHS223" s="1201"/>
      <c r="DHT223" s="1201"/>
      <c r="DHU223" s="1201"/>
      <c r="DHV223" s="1201"/>
      <c r="DHW223" s="1201"/>
      <c r="DHX223" s="1201"/>
      <c r="DHY223" s="1201"/>
      <c r="DHZ223" s="1201"/>
      <c r="DIA223" s="1201"/>
      <c r="DIB223" s="1201"/>
      <c r="DIC223" s="1201"/>
      <c r="DID223" s="1201"/>
      <c r="DIE223" s="1201"/>
      <c r="DIF223" s="1201"/>
      <c r="DIG223" s="1201"/>
      <c r="DIH223" s="1201"/>
      <c r="DII223" s="1201"/>
      <c r="DIJ223" s="1201"/>
      <c r="DIK223" s="1201"/>
      <c r="DIL223" s="1201"/>
      <c r="DIM223" s="1201"/>
      <c r="DIN223" s="1201"/>
      <c r="DIO223" s="1201"/>
      <c r="DIP223" s="1201"/>
      <c r="DIQ223" s="1201"/>
      <c r="DIR223" s="1201"/>
      <c r="DIS223" s="1201"/>
      <c r="DIT223" s="1201"/>
      <c r="DIU223" s="1201"/>
      <c r="DIV223" s="1201"/>
      <c r="DIW223" s="1201"/>
      <c r="DIX223" s="1201"/>
      <c r="DIY223" s="1201"/>
      <c r="DIZ223" s="1201"/>
      <c r="DJA223" s="1201"/>
      <c r="DJB223" s="1201"/>
      <c r="DJC223" s="1201"/>
      <c r="DJD223" s="1201"/>
      <c r="DJE223" s="1201"/>
      <c r="DJF223" s="1201"/>
      <c r="DJG223" s="1201"/>
      <c r="DJH223" s="1201"/>
      <c r="DJI223" s="1201"/>
      <c r="DJJ223" s="1201"/>
      <c r="DJK223" s="1201"/>
      <c r="DJL223" s="1201"/>
      <c r="DJM223" s="1201"/>
      <c r="DJN223" s="1201"/>
      <c r="DJO223" s="1201"/>
      <c r="DJP223" s="1201"/>
      <c r="DJQ223" s="1201"/>
      <c r="DJR223" s="1201"/>
      <c r="DJS223" s="1201"/>
      <c r="DJT223" s="1201"/>
      <c r="DJU223" s="1201"/>
      <c r="DJV223" s="1201"/>
      <c r="DJW223" s="1201"/>
      <c r="DJX223" s="1201"/>
      <c r="DJY223" s="1201"/>
      <c r="DJZ223" s="1201"/>
      <c r="DKA223" s="1201"/>
      <c r="DKB223" s="1201"/>
      <c r="DKC223" s="1201"/>
      <c r="DKD223" s="1201"/>
      <c r="DKE223" s="1201"/>
      <c r="DKF223" s="1201"/>
      <c r="DKG223" s="1201"/>
      <c r="DKH223" s="1201"/>
      <c r="DKI223" s="1201"/>
      <c r="DKJ223" s="1201"/>
      <c r="DKK223" s="1201"/>
      <c r="DKL223" s="1201"/>
      <c r="DKM223" s="1201"/>
      <c r="DKN223" s="1201"/>
      <c r="DKO223" s="1201"/>
      <c r="DKP223" s="1201"/>
      <c r="DKQ223" s="1201"/>
      <c r="DKR223" s="1201"/>
      <c r="DKS223" s="1201"/>
      <c r="DKT223" s="1201"/>
      <c r="DKU223" s="1201"/>
      <c r="DKV223" s="1201"/>
      <c r="DKW223" s="1201"/>
      <c r="DKX223" s="1201"/>
      <c r="DKY223" s="1201"/>
      <c r="DKZ223" s="1201"/>
      <c r="DLA223" s="1201"/>
      <c r="DLB223" s="1201"/>
      <c r="DLC223" s="1201"/>
      <c r="DLD223" s="1201"/>
      <c r="DLE223" s="1201"/>
      <c r="DLF223" s="1201"/>
      <c r="DLG223" s="1201"/>
      <c r="DLH223" s="1201"/>
      <c r="DLI223" s="1201"/>
      <c r="DLJ223" s="1201"/>
      <c r="DLK223" s="1201"/>
      <c r="DLL223" s="1201"/>
      <c r="DLM223" s="1201"/>
      <c r="DLN223" s="1201"/>
      <c r="DLO223" s="1201"/>
      <c r="DLP223" s="1201"/>
      <c r="DLQ223" s="1201"/>
      <c r="DLR223" s="1201"/>
      <c r="DLS223" s="1201"/>
      <c r="DLT223" s="1201"/>
      <c r="DLU223" s="1201"/>
      <c r="DLV223" s="1201"/>
      <c r="DLW223" s="1201"/>
      <c r="DLX223" s="1201"/>
      <c r="DLY223" s="1201"/>
      <c r="DLZ223" s="1201"/>
      <c r="DMA223" s="1201"/>
      <c r="DMB223" s="1201"/>
      <c r="DMC223" s="1201"/>
      <c r="DMD223" s="1201"/>
      <c r="DME223" s="1201"/>
      <c r="DMF223" s="1201"/>
      <c r="DMG223" s="1201"/>
      <c r="DMH223" s="1201"/>
      <c r="DMI223" s="1201"/>
      <c r="DMJ223" s="1201"/>
      <c r="DMK223" s="1201"/>
      <c r="DML223" s="1201"/>
      <c r="DMM223" s="1201"/>
      <c r="DMN223" s="1201"/>
      <c r="DMO223" s="1201"/>
      <c r="DMP223" s="1201"/>
      <c r="DMQ223" s="1201"/>
      <c r="DMR223" s="1201"/>
      <c r="DMS223" s="1201"/>
      <c r="DMT223" s="1201"/>
      <c r="DMU223" s="1201"/>
      <c r="DMV223" s="1201"/>
      <c r="DMW223" s="1201"/>
      <c r="DMX223" s="1201"/>
      <c r="DMY223" s="1201"/>
      <c r="DMZ223" s="1201"/>
      <c r="DNA223" s="1201"/>
      <c r="DNB223" s="1201"/>
      <c r="DNC223" s="1201"/>
      <c r="DND223" s="1201"/>
      <c r="DNE223" s="1201"/>
      <c r="DNF223" s="1201"/>
      <c r="DNG223" s="1201"/>
      <c r="DNH223" s="1201"/>
      <c r="DNI223" s="1201"/>
      <c r="DNJ223" s="1201"/>
      <c r="DNK223" s="1201"/>
      <c r="DNL223" s="1201"/>
      <c r="DNM223" s="1201"/>
      <c r="DNN223" s="1201"/>
      <c r="DNO223" s="1201"/>
      <c r="DNP223" s="1201"/>
      <c r="DNQ223" s="1201"/>
      <c r="DNR223" s="1201"/>
      <c r="DNS223" s="1201"/>
      <c r="DNT223" s="1201"/>
      <c r="DNU223" s="1201"/>
      <c r="DNV223" s="1201"/>
      <c r="DNW223" s="1201"/>
      <c r="DNX223" s="1201"/>
      <c r="DNY223" s="1201"/>
      <c r="DNZ223" s="1201"/>
      <c r="DOA223" s="1201"/>
      <c r="DOB223" s="1201"/>
      <c r="DOC223" s="1201"/>
      <c r="DOD223" s="1201"/>
      <c r="DOE223" s="1201"/>
      <c r="DOF223" s="1201"/>
      <c r="DOG223" s="1201"/>
      <c r="DOH223" s="1201"/>
      <c r="DOI223" s="1201"/>
      <c r="DOJ223" s="1201"/>
      <c r="DOK223" s="1201"/>
      <c r="DOL223" s="1201"/>
      <c r="DOM223" s="1201"/>
      <c r="DON223" s="1201"/>
      <c r="DOO223" s="1201"/>
      <c r="DOP223" s="1201"/>
      <c r="DOQ223" s="1201"/>
      <c r="DOR223" s="1201"/>
      <c r="DOS223" s="1201"/>
      <c r="DOT223" s="1201"/>
      <c r="DOU223" s="1201"/>
      <c r="DOV223" s="1201"/>
      <c r="DOW223" s="1201"/>
      <c r="DOX223" s="1201"/>
      <c r="DOY223" s="1201"/>
      <c r="DOZ223" s="1201"/>
      <c r="DPA223" s="1201"/>
      <c r="DPB223" s="1201"/>
      <c r="DPC223" s="1201"/>
      <c r="DPD223" s="1201"/>
      <c r="DPE223" s="1201"/>
      <c r="DPF223" s="1201"/>
      <c r="DPG223" s="1201"/>
      <c r="DPH223" s="1201"/>
      <c r="DPI223" s="1201"/>
      <c r="DPJ223" s="1201"/>
      <c r="DPK223" s="1201"/>
      <c r="DPL223" s="1201"/>
      <c r="DPM223" s="1201"/>
      <c r="DPN223" s="1201"/>
      <c r="DPO223" s="1201"/>
      <c r="DPP223" s="1201"/>
      <c r="DPQ223" s="1201"/>
      <c r="DPR223" s="1201"/>
      <c r="DPS223" s="1201"/>
      <c r="DPT223" s="1201"/>
      <c r="DPU223" s="1201"/>
      <c r="DPV223" s="1201"/>
      <c r="DPW223" s="1201"/>
      <c r="DPX223" s="1201"/>
      <c r="DPY223" s="1201"/>
      <c r="DPZ223" s="1201"/>
      <c r="DQA223" s="1201"/>
      <c r="DQB223" s="1201"/>
      <c r="DQC223" s="1201"/>
      <c r="DQD223" s="1201"/>
      <c r="DQE223" s="1201"/>
      <c r="DQF223" s="1201"/>
      <c r="DQG223" s="1201"/>
      <c r="DQH223" s="1201"/>
      <c r="DQI223" s="1201"/>
      <c r="DQJ223" s="1201"/>
      <c r="DQK223" s="1201"/>
      <c r="DQL223" s="1201"/>
      <c r="DQM223" s="1201"/>
      <c r="DQN223" s="1201"/>
      <c r="DQO223" s="1201"/>
      <c r="DQP223" s="1201"/>
      <c r="DQQ223" s="1201"/>
      <c r="DQR223" s="1201"/>
      <c r="DQS223" s="1201"/>
      <c r="DQT223" s="1201"/>
      <c r="DQU223" s="1201"/>
      <c r="DQV223" s="1201"/>
      <c r="DQW223" s="1201"/>
      <c r="DQX223" s="1201"/>
      <c r="DQY223" s="1201"/>
      <c r="DQZ223" s="1201"/>
      <c r="DRA223" s="1201"/>
      <c r="DRB223" s="1201"/>
      <c r="DRC223" s="1201"/>
      <c r="DRD223" s="1201"/>
      <c r="DRE223" s="1201"/>
      <c r="DRF223" s="1201"/>
      <c r="DRG223" s="1201"/>
      <c r="DRH223" s="1201"/>
      <c r="DRI223" s="1201"/>
      <c r="DRJ223" s="1201"/>
      <c r="DRK223" s="1201"/>
      <c r="DRL223" s="1201"/>
      <c r="DRM223" s="1201"/>
      <c r="DRN223" s="1201"/>
      <c r="DRO223" s="1201"/>
      <c r="DRP223" s="1201"/>
      <c r="DRQ223" s="1201"/>
      <c r="DRR223" s="1201"/>
      <c r="DRS223" s="1201"/>
      <c r="DRT223" s="1201"/>
      <c r="DRU223" s="1201"/>
      <c r="DRV223" s="1201"/>
      <c r="DRW223" s="1201"/>
      <c r="DRX223" s="1201"/>
      <c r="DRY223" s="1201"/>
      <c r="DRZ223" s="1201"/>
      <c r="DSA223" s="1201"/>
      <c r="DSB223" s="1201"/>
      <c r="DSC223" s="1201"/>
      <c r="DSD223" s="1201"/>
      <c r="DSE223" s="1201"/>
      <c r="DSF223" s="1201"/>
      <c r="DSG223" s="1201"/>
      <c r="DSH223" s="1201"/>
      <c r="DSI223" s="1201"/>
      <c r="DSJ223" s="1201"/>
      <c r="DSK223" s="1201"/>
      <c r="DSL223" s="1201"/>
      <c r="DSM223" s="1201"/>
      <c r="DSN223" s="1201"/>
      <c r="DSO223" s="1201"/>
      <c r="DSP223" s="1201"/>
      <c r="DSQ223" s="1201"/>
      <c r="DSR223" s="1201"/>
      <c r="DSS223" s="1201"/>
      <c r="DST223" s="1201"/>
      <c r="DSU223" s="1201"/>
      <c r="DSV223" s="1201"/>
      <c r="DSW223" s="1201"/>
      <c r="DSX223" s="1201"/>
      <c r="DSY223" s="1201"/>
      <c r="DSZ223" s="1201"/>
      <c r="DTA223" s="1201"/>
      <c r="DTB223" s="1201"/>
      <c r="DTC223" s="1201"/>
      <c r="DTD223" s="1201"/>
      <c r="DTE223" s="1201"/>
      <c r="DTF223" s="1201"/>
      <c r="DTG223" s="1201"/>
      <c r="DTH223" s="1201"/>
      <c r="DTI223" s="1201"/>
      <c r="DTJ223" s="1201"/>
      <c r="DTK223" s="1201"/>
      <c r="DTL223" s="1201"/>
      <c r="DTM223" s="1201"/>
      <c r="DTN223" s="1201"/>
      <c r="DTO223" s="1201"/>
      <c r="DTP223" s="1201"/>
      <c r="DTQ223" s="1201"/>
      <c r="DTR223" s="1201"/>
      <c r="DTS223" s="1201"/>
      <c r="DTT223" s="1201"/>
      <c r="DTU223" s="1201"/>
      <c r="DTV223" s="1201"/>
      <c r="DTW223" s="1201"/>
      <c r="DTX223" s="1201"/>
      <c r="DTY223" s="1201"/>
      <c r="DTZ223" s="1201"/>
      <c r="DUA223" s="1201"/>
      <c r="DUB223" s="1201"/>
      <c r="DUC223" s="1201"/>
      <c r="DUD223" s="1201"/>
      <c r="DUE223" s="1201"/>
      <c r="DUF223" s="1201"/>
      <c r="DUG223" s="1201"/>
      <c r="DUH223" s="1201"/>
      <c r="DUI223" s="1201"/>
      <c r="DUJ223" s="1201"/>
      <c r="DUK223" s="1201"/>
      <c r="DUL223" s="1201"/>
      <c r="DUM223" s="1201"/>
      <c r="DUN223" s="1201"/>
      <c r="DUO223" s="1201"/>
      <c r="DUP223" s="1201"/>
      <c r="DUQ223" s="1201"/>
      <c r="DUR223" s="1201"/>
      <c r="DUS223" s="1201"/>
      <c r="DUT223" s="1201"/>
      <c r="DUU223" s="1201"/>
      <c r="DUV223" s="1201"/>
      <c r="DUW223" s="1201"/>
      <c r="DUX223" s="1201"/>
      <c r="DUY223" s="1201"/>
      <c r="DUZ223" s="1201"/>
      <c r="DVA223" s="1201"/>
      <c r="DVB223" s="1201"/>
      <c r="DVC223" s="1201"/>
      <c r="DVD223" s="1201"/>
      <c r="DVE223" s="1201"/>
      <c r="DVF223" s="1201"/>
      <c r="DVG223" s="1201"/>
      <c r="DVH223" s="1201"/>
      <c r="DVI223" s="1201"/>
      <c r="DVJ223" s="1201"/>
      <c r="DVK223" s="1201"/>
      <c r="DVL223" s="1201"/>
      <c r="DVM223" s="1201"/>
      <c r="DVN223" s="1201"/>
      <c r="DVO223" s="1201"/>
      <c r="DVP223" s="1201"/>
      <c r="DVQ223" s="1201"/>
      <c r="DVR223" s="1201"/>
      <c r="DVS223" s="1201"/>
      <c r="DVT223" s="1201"/>
      <c r="DVU223" s="1201"/>
      <c r="DVV223" s="1201"/>
      <c r="DVW223" s="1201"/>
      <c r="DVX223" s="1201"/>
      <c r="DVY223" s="1201"/>
      <c r="DVZ223" s="1201"/>
      <c r="DWA223" s="1201"/>
      <c r="DWB223" s="1201"/>
      <c r="DWC223" s="1201"/>
      <c r="DWD223" s="1201"/>
      <c r="DWE223" s="1201"/>
      <c r="DWF223" s="1201"/>
      <c r="DWG223" s="1201"/>
      <c r="DWH223" s="1201"/>
      <c r="DWI223" s="1201"/>
      <c r="DWJ223" s="1201"/>
      <c r="DWK223" s="1201"/>
      <c r="DWL223" s="1201"/>
      <c r="DWM223" s="1201"/>
      <c r="DWN223" s="1201"/>
      <c r="DWO223" s="1201"/>
      <c r="DWP223" s="1201"/>
      <c r="DWQ223" s="1201"/>
      <c r="DWR223" s="1201"/>
      <c r="DWS223" s="1201"/>
      <c r="DWT223" s="1201"/>
      <c r="DWU223" s="1201"/>
      <c r="DWV223" s="1201"/>
      <c r="DWW223" s="1201"/>
      <c r="DWX223" s="1201"/>
      <c r="DWY223" s="1201"/>
      <c r="DWZ223" s="1201"/>
      <c r="DXA223" s="1201"/>
      <c r="DXB223" s="1201"/>
      <c r="DXC223" s="1201"/>
      <c r="DXD223" s="1201"/>
      <c r="DXE223" s="1201"/>
      <c r="DXF223" s="1201"/>
      <c r="DXG223" s="1201"/>
      <c r="DXH223" s="1201"/>
      <c r="DXI223" s="1201"/>
      <c r="DXJ223" s="1201"/>
      <c r="DXK223" s="1201"/>
      <c r="DXL223" s="1201"/>
      <c r="DXM223" s="1201"/>
      <c r="DXN223" s="1201"/>
      <c r="DXO223" s="1201"/>
      <c r="DXP223" s="1201"/>
      <c r="DXQ223" s="1201"/>
      <c r="DXR223" s="1201"/>
      <c r="DXS223" s="1201"/>
      <c r="DXT223" s="1201"/>
      <c r="DXU223" s="1201"/>
      <c r="DXV223" s="1201"/>
      <c r="DXW223" s="1201"/>
      <c r="DXX223" s="1201"/>
      <c r="DXY223" s="1201"/>
      <c r="DXZ223" s="1201"/>
      <c r="DYA223" s="1201"/>
      <c r="DYB223" s="1201"/>
      <c r="DYC223" s="1201"/>
      <c r="DYD223" s="1201"/>
      <c r="DYE223" s="1201"/>
      <c r="DYF223" s="1201"/>
      <c r="DYG223" s="1201"/>
      <c r="DYH223" s="1201"/>
      <c r="DYI223" s="1201"/>
      <c r="DYJ223" s="1201"/>
      <c r="DYK223" s="1201"/>
      <c r="DYL223" s="1201"/>
      <c r="DYM223" s="1201"/>
      <c r="DYN223" s="1201"/>
      <c r="DYO223" s="1201"/>
      <c r="DYP223" s="1201"/>
      <c r="DYQ223" s="1201"/>
      <c r="DYR223" s="1201"/>
      <c r="DYS223" s="1201"/>
      <c r="DYT223" s="1201"/>
      <c r="DYU223" s="1201"/>
      <c r="DYV223" s="1201"/>
      <c r="DYW223" s="1201"/>
      <c r="DYX223" s="1201"/>
      <c r="DYY223" s="1201"/>
      <c r="DYZ223" s="1201"/>
      <c r="DZA223" s="1201"/>
      <c r="DZB223" s="1201"/>
      <c r="DZC223" s="1201"/>
      <c r="DZD223" s="1201"/>
      <c r="DZE223" s="1201"/>
      <c r="DZF223" s="1201"/>
      <c r="DZG223" s="1201"/>
      <c r="DZH223" s="1201"/>
      <c r="DZI223" s="1201"/>
      <c r="DZJ223" s="1201"/>
      <c r="DZK223" s="1201"/>
      <c r="DZL223" s="1201"/>
      <c r="DZM223" s="1201"/>
      <c r="DZN223" s="1201"/>
      <c r="DZO223" s="1201"/>
      <c r="DZP223" s="1201"/>
      <c r="DZQ223" s="1201"/>
      <c r="DZR223" s="1201"/>
      <c r="DZS223" s="1201"/>
      <c r="DZT223" s="1201"/>
      <c r="DZU223" s="1201"/>
      <c r="DZV223" s="1201"/>
      <c r="DZW223" s="1201"/>
      <c r="DZX223" s="1201"/>
      <c r="DZY223" s="1201"/>
      <c r="DZZ223" s="1201"/>
      <c r="EAA223" s="1201"/>
      <c r="EAB223" s="1201"/>
      <c r="EAC223" s="1201"/>
      <c r="EAD223" s="1201"/>
      <c r="EAE223" s="1201"/>
      <c r="EAF223" s="1201"/>
      <c r="EAG223" s="1201"/>
      <c r="EAH223" s="1201"/>
      <c r="EAI223" s="1201"/>
      <c r="EAJ223" s="1201"/>
      <c r="EAK223" s="1201"/>
      <c r="EAL223" s="1201"/>
      <c r="EAM223" s="1201"/>
      <c r="EAN223" s="1201"/>
      <c r="EAO223" s="1201"/>
      <c r="EAP223" s="1201"/>
      <c r="EAQ223" s="1201"/>
      <c r="EAR223" s="1201"/>
      <c r="EAS223" s="1201"/>
      <c r="EAT223" s="1201"/>
      <c r="EAU223" s="1201"/>
      <c r="EAV223" s="1201"/>
      <c r="EAW223" s="1201"/>
      <c r="EAX223" s="1201"/>
      <c r="EAY223" s="1201"/>
      <c r="EAZ223" s="1201"/>
      <c r="EBA223" s="1201"/>
      <c r="EBB223" s="1201"/>
      <c r="EBC223" s="1201"/>
      <c r="EBD223" s="1201"/>
      <c r="EBE223" s="1201"/>
      <c r="EBF223" s="1201"/>
      <c r="EBG223" s="1201"/>
      <c r="EBH223" s="1201"/>
      <c r="EBI223" s="1201"/>
      <c r="EBJ223" s="1201"/>
      <c r="EBK223" s="1201"/>
      <c r="EBL223" s="1201"/>
      <c r="EBM223" s="1201"/>
      <c r="EBN223" s="1201"/>
      <c r="EBO223" s="1201"/>
      <c r="EBP223" s="1201"/>
      <c r="EBQ223" s="1201"/>
      <c r="EBR223" s="1201"/>
      <c r="EBS223" s="1201"/>
      <c r="EBT223" s="1201"/>
      <c r="EBU223" s="1201"/>
      <c r="EBV223" s="1201"/>
      <c r="EBW223" s="1201"/>
      <c r="EBX223" s="1201"/>
      <c r="EBY223" s="1201"/>
      <c r="EBZ223" s="1201"/>
      <c r="ECA223" s="1201"/>
      <c r="ECB223" s="1201"/>
      <c r="ECC223" s="1201"/>
      <c r="ECD223" s="1201"/>
      <c r="ECE223" s="1201"/>
      <c r="ECF223" s="1201"/>
      <c r="ECG223" s="1201"/>
      <c r="ECH223" s="1201"/>
      <c r="ECI223" s="1201"/>
      <c r="ECJ223" s="1201"/>
      <c r="ECK223" s="1201"/>
      <c r="ECL223" s="1201"/>
      <c r="ECM223" s="1201"/>
      <c r="ECN223" s="1201"/>
      <c r="ECO223" s="1201"/>
      <c r="ECP223" s="1201"/>
      <c r="ECQ223" s="1201"/>
      <c r="ECR223" s="1201"/>
      <c r="ECS223" s="1201"/>
      <c r="ECT223" s="1201"/>
      <c r="ECU223" s="1201"/>
      <c r="ECV223" s="1201"/>
      <c r="ECW223" s="1201"/>
      <c r="ECX223" s="1201"/>
      <c r="ECY223" s="1201"/>
      <c r="ECZ223" s="1201"/>
      <c r="EDA223" s="1201"/>
      <c r="EDB223" s="1201"/>
      <c r="EDC223" s="1201"/>
      <c r="EDD223" s="1201"/>
      <c r="EDE223" s="1201"/>
      <c r="EDF223" s="1201"/>
      <c r="EDG223" s="1201"/>
      <c r="EDH223" s="1201"/>
      <c r="EDI223" s="1201"/>
      <c r="EDJ223" s="1201"/>
      <c r="EDK223" s="1201"/>
      <c r="EDL223" s="1201"/>
      <c r="EDM223" s="1201"/>
      <c r="EDN223" s="1201"/>
      <c r="EDO223" s="1201"/>
      <c r="EDP223" s="1201"/>
      <c r="EDQ223" s="1201"/>
      <c r="EDR223" s="1201"/>
      <c r="EDS223" s="1201"/>
      <c r="EDT223" s="1201"/>
      <c r="EDU223" s="1201"/>
      <c r="EDV223" s="1201"/>
      <c r="EDW223" s="1201"/>
      <c r="EDX223" s="1201"/>
      <c r="EDY223" s="1201"/>
      <c r="EDZ223" s="1201"/>
      <c r="EEA223" s="1201"/>
      <c r="EEB223" s="1201"/>
      <c r="EEC223" s="1201"/>
      <c r="EED223" s="1201"/>
      <c r="EEE223" s="1201"/>
      <c r="EEF223" s="1201"/>
      <c r="EEG223" s="1201"/>
      <c r="EEH223" s="1201"/>
      <c r="EEI223" s="1201"/>
      <c r="EEJ223" s="1201"/>
      <c r="EEK223" s="1201"/>
      <c r="EEL223" s="1201"/>
      <c r="EEM223" s="1201"/>
      <c r="EEN223" s="1201"/>
      <c r="EEO223" s="1201"/>
      <c r="EEP223" s="1201"/>
      <c r="EEQ223" s="1201"/>
      <c r="EER223" s="1201"/>
      <c r="EES223" s="1201"/>
      <c r="EET223" s="1201"/>
      <c r="EEU223" s="1201"/>
      <c r="EEV223" s="1201"/>
      <c r="EEW223" s="1201"/>
      <c r="EEX223" s="1201"/>
      <c r="EEY223" s="1201"/>
      <c r="EEZ223" s="1201"/>
      <c r="EFA223" s="1201"/>
      <c r="EFB223" s="1201"/>
      <c r="EFC223" s="1201"/>
      <c r="EFD223" s="1201"/>
      <c r="EFE223" s="1201"/>
      <c r="EFF223" s="1201"/>
      <c r="EFG223" s="1201"/>
      <c r="EFH223" s="1201"/>
      <c r="EFI223" s="1201"/>
      <c r="EFJ223" s="1201"/>
      <c r="EFK223" s="1201"/>
      <c r="EFL223" s="1201"/>
      <c r="EFM223" s="1201"/>
      <c r="EFN223" s="1201"/>
      <c r="EFO223" s="1201"/>
      <c r="EFP223" s="1201"/>
      <c r="EFQ223" s="1201"/>
      <c r="EFR223" s="1201"/>
      <c r="EFS223" s="1201"/>
      <c r="EFT223" s="1201"/>
      <c r="EFU223" s="1201"/>
      <c r="EFV223" s="1201"/>
      <c r="EFW223" s="1201"/>
      <c r="EFX223" s="1201"/>
      <c r="EFY223" s="1201"/>
      <c r="EFZ223" s="1201"/>
      <c r="EGA223" s="1201"/>
      <c r="EGB223" s="1201"/>
      <c r="EGC223" s="1201"/>
      <c r="EGD223" s="1201"/>
      <c r="EGE223" s="1201"/>
      <c r="EGF223" s="1201"/>
      <c r="EGG223" s="1201"/>
      <c r="EGH223" s="1201"/>
      <c r="EGI223" s="1201"/>
      <c r="EGJ223" s="1201"/>
      <c r="EGK223" s="1201"/>
      <c r="EGL223" s="1201"/>
      <c r="EGM223" s="1201"/>
      <c r="EGN223" s="1201"/>
      <c r="EGO223" s="1201"/>
      <c r="EGP223" s="1201"/>
      <c r="EGQ223" s="1201"/>
      <c r="EGR223" s="1201"/>
      <c r="EGS223" s="1201"/>
      <c r="EGT223" s="1201"/>
      <c r="EGU223" s="1201"/>
      <c r="EGV223" s="1201"/>
      <c r="EGW223" s="1201"/>
      <c r="EGX223" s="1201"/>
      <c r="EGY223" s="1201"/>
      <c r="EGZ223" s="1201"/>
      <c r="EHA223" s="1201"/>
      <c r="EHB223" s="1201"/>
      <c r="EHC223" s="1201"/>
      <c r="EHD223" s="1201"/>
      <c r="EHE223" s="1201"/>
      <c r="EHF223" s="1201"/>
      <c r="EHG223" s="1201"/>
      <c r="EHH223" s="1201"/>
      <c r="EHI223" s="1201"/>
      <c r="EHJ223" s="1201"/>
      <c r="EHK223" s="1201"/>
      <c r="EHL223" s="1201"/>
      <c r="EHM223" s="1201"/>
      <c r="EHN223" s="1201"/>
      <c r="EHO223" s="1201"/>
      <c r="EHP223" s="1201"/>
      <c r="EHQ223" s="1201"/>
      <c r="EHR223" s="1201"/>
      <c r="EHS223" s="1201"/>
      <c r="EHT223" s="1201"/>
      <c r="EHU223" s="1201"/>
      <c r="EHV223" s="1201"/>
      <c r="EHW223" s="1201"/>
      <c r="EHX223" s="1201"/>
      <c r="EHY223" s="1201"/>
      <c r="EHZ223" s="1201"/>
      <c r="EIA223" s="1201"/>
      <c r="EIB223" s="1201"/>
      <c r="EIC223" s="1201"/>
      <c r="EID223" s="1201"/>
      <c r="EIE223" s="1201"/>
      <c r="EIF223" s="1201"/>
      <c r="EIG223" s="1201"/>
      <c r="EIH223" s="1201"/>
      <c r="EII223" s="1201"/>
      <c r="EIJ223" s="1201"/>
      <c r="EIK223" s="1201"/>
      <c r="EIL223" s="1201"/>
      <c r="EIM223" s="1201"/>
      <c r="EIN223" s="1201"/>
      <c r="EIO223" s="1201"/>
      <c r="EIP223" s="1201"/>
      <c r="EIQ223" s="1201"/>
      <c r="EIR223" s="1201"/>
      <c r="EIS223" s="1201"/>
      <c r="EIT223" s="1201"/>
      <c r="EIU223" s="1201"/>
      <c r="EIV223" s="1201"/>
      <c r="EIW223" s="1201"/>
      <c r="EIX223" s="1201"/>
      <c r="EIY223" s="1201"/>
      <c r="EIZ223" s="1201"/>
      <c r="EJA223" s="1201"/>
      <c r="EJB223" s="1201"/>
      <c r="EJC223" s="1201"/>
      <c r="EJD223" s="1201"/>
      <c r="EJE223" s="1201"/>
      <c r="EJF223" s="1201"/>
      <c r="EJG223" s="1201"/>
      <c r="EJH223" s="1201"/>
      <c r="EJI223" s="1201"/>
      <c r="EJJ223" s="1201"/>
      <c r="EJK223" s="1201"/>
      <c r="EJL223" s="1201"/>
      <c r="EJM223" s="1201"/>
      <c r="EJN223" s="1201"/>
      <c r="EJO223" s="1201"/>
      <c r="EJP223" s="1201"/>
      <c r="EJQ223" s="1201"/>
      <c r="EJR223" s="1201"/>
      <c r="EJS223" s="1201"/>
      <c r="EJT223" s="1201"/>
      <c r="EJU223" s="1201"/>
      <c r="EJV223" s="1201"/>
      <c r="EJW223" s="1201"/>
      <c r="EJX223" s="1201"/>
      <c r="EJY223" s="1201"/>
      <c r="EJZ223" s="1201"/>
      <c r="EKA223" s="1201"/>
      <c r="EKB223" s="1201"/>
      <c r="EKC223" s="1201"/>
      <c r="EKD223" s="1201"/>
      <c r="EKE223" s="1201"/>
      <c r="EKF223" s="1201"/>
      <c r="EKG223" s="1201"/>
      <c r="EKH223" s="1201"/>
      <c r="EKI223" s="1201"/>
      <c r="EKJ223" s="1201"/>
      <c r="EKK223" s="1201"/>
      <c r="EKL223" s="1201"/>
      <c r="EKM223" s="1201"/>
      <c r="EKN223" s="1201"/>
      <c r="EKO223" s="1201"/>
      <c r="EKP223" s="1201"/>
      <c r="EKQ223" s="1201"/>
      <c r="EKR223" s="1201"/>
      <c r="EKS223" s="1201"/>
      <c r="EKT223" s="1201"/>
      <c r="EKU223" s="1201"/>
      <c r="EKV223" s="1201"/>
      <c r="EKW223" s="1201"/>
      <c r="EKX223" s="1201"/>
      <c r="EKY223" s="1201"/>
      <c r="EKZ223" s="1201"/>
      <c r="ELA223" s="1201"/>
      <c r="ELB223" s="1201"/>
      <c r="ELC223" s="1201"/>
      <c r="ELD223" s="1201"/>
      <c r="ELE223" s="1201"/>
      <c r="ELF223" s="1201"/>
      <c r="ELG223" s="1201"/>
      <c r="ELH223" s="1201"/>
      <c r="ELI223" s="1201"/>
      <c r="ELJ223" s="1201"/>
      <c r="ELK223" s="1201"/>
      <c r="ELL223" s="1201"/>
      <c r="ELM223" s="1201"/>
      <c r="ELN223" s="1201"/>
      <c r="ELO223" s="1201"/>
      <c r="ELP223" s="1201"/>
      <c r="ELQ223" s="1201"/>
      <c r="ELR223" s="1201"/>
      <c r="ELS223" s="1201"/>
      <c r="ELT223" s="1201"/>
      <c r="ELU223" s="1201"/>
      <c r="ELV223" s="1201"/>
      <c r="ELW223" s="1201"/>
      <c r="ELX223" s="1201"/>
      <c r="ELY223" s="1201"/>
      <c r="ELZ223" s="1201"/>
      <c r="EMA223" s="1201"/>
      <c r="EMB223" s="1201"/>
      <c r="EMC223" s="1201"/>
      <c r="EMD223" s="1201"/>
      <c r="EME223" s="1201"/>
      <c r="EMF223" s="1201"/>
      <c r="EMG223" s="1201"/>
      <c r="EMH223" s="1201"/>
      <c r="EMI223" s="1201"/>
      <c r="EMJ223" s="1201"/>
      <c r="EMK223" s="1201"/>
      <c r="EML223" s="1201"/>
      <c r="EMM223" s="1201"/>
      <c r="EMN223" s="1201"/>
      <c r="EMO223" s="1201"/>
      <c r="EMP223" s="1201"/>
      <c r="EMQ223" s="1201"/>
      <c r="EMR223" s="1201"/>
      <c r="EMS223" s="1201"/>
      <c r="EMT223" s="1201"/>
      <c r="EMU223" s="1201"/>
      <c r="EMV223" s="1201"/>
      <c r="EMW223" s="1201"/>
      <c r="EMX223" s="1201"/>
      <c r="EMY223" s="1201"/>
      <c r="EMZ223" s="1201"/>
      <c r="ENA223" s="1201"/>
      <c r="ENB223" s="1201"/>
      <c r="ENC223" s="1201"/>
      <c r="END223" s="1201"/>
      <c r="ENE223" s="1201"/>
      <c r="ENF223" s="1201"/>
      <c r="ENG223" s="1201"/>
      <c r="ENH223" s="1201"/>
      <c r="ENI223" s="1201"/>
      <c r="ENJ223" s="1201"/>
      <c r="ENK223" s="1201"/>
      <c r="ENL223" s="1201"/>
      <c r="ENM223" s="1201"/>
      <c r="ENN223" s="1201"/>
      <c r="ENO223" s="1201"/>
      <c r="ENP223" s="1201"/>
      <c r="ENQ223" s="1201"/>
      <c r="ENR223" s="1201"/>
      <c r="ENS223" s="1201"/>
      <c r="ENT223" s="1201"/>
      <c r="ENU223" s="1201"/>
      <c r="ENV223" s="1201"/>
      <c r="ENW223" s="1201"/>
      <c r="ENX223" s="1201"/>
      <c r="ENY223" s="1201"/>
      <c r="ENZ223" s="1201"/>
      <c r="EOA223" s="1201"/>
      <c r="EOB223" s="1201"/>
      <c r="EOC223" s="1201"/>
      <c r="EOD223" s="1201"/>
      <c r="EOE223" s="1201"/>
      <c r="EOF223" s="1201"/>
      <c r="EOG223" s="1201"/>
      <c r="EOH223" s="1201"/>
      <c r="EOI223" s="1201"/>
      <c r="EOJ223" s="1201"/>
      <c r="EOK223" s="1201"/>
      <c r="EOL223" s="1201"/>
      <c r="EOM223" s="1201"/>
      <c r="EON223" s="1201"/>
      <c r="EOO223" s="1201"/>
      <c r="EOP223" s="1201"/>
      <c r="EOQ223" s="1201"/>
      <c r="EOR223" s="1201"/>
      <c r="EOS223" s="1201"/>
      <c r="EOT223" s="1201"/>
      <c r="EOU223" s="1201"/>
      <c r="EOV223" s="1201"/>
      <c r="EOW223" s="1201"/>
      <c r="EOX223" s="1201"/>
      <c r="EOY223" s="1201"/>
      <c r="EOZ223" s="1201"/>
      <c r="EPA223" s="1201"/>
      <c r="EPB223" s="1201"/>
      <c r="EPC223" s="1201"/>
      <c r="EPD223" s="1201"/>
      <c r="EPE223" s="1201"/>
      <c r="EPF223" s="1201"/>
      <c r="EPG223" s="1201"/>
      <c r="EPH223" s="1201"/>
      <c r="EPI223" s="1201"/>
      <c r="EPJ223" s="1201"/>
      <c r="EPK223" s="1201"/>
      <c r="EPL223" s="1201"/>
      <c r="EPM223" s="1201"/>
      <c r="EPN223" s="1201"/>
      <c r="EPO223" s="1201"/>
      <c r="EPP223" s="1201"/>
      <c r="EPQ223" s="1201"/>
      <c r="EPR223" s="1201"/>
      <c r="EPS223" s="1201"/>
      <c r="EPT223" s="1201"/>
      <c r="EPU223" s="1201"/>
      <c r="EPV223" s="1201"/>
      <c r="EPW223" s="1201"/>
      <c r="EPX223" s="1201"/>
      <c r="EPY223" s="1201"/>
      <c r="EPZ223" s="1201"/>
      <c r="EQA223" s="1201"/>
      <c r="EQB223" s="1201"/>
      <c r="EQC223" s="1201"/>
      <c r="EQD223" s="1201"/>
      <c r="EQE223" s="1201"/>
      <c r="EQF223" s="1201"/>
      <c r="EQG223" s="1201"/>
      <c r="EQH223" s="1201"/>
      <c r="EQI223" s="1201"/>
      <c r="EQJ223" s="1201"/>
      <c r="EQK223" s="1201"/>
      <c r="EQL223" s="1201"/>
      <c r="EQM223" s="1201"/>
      <c r="EQN223" s="1201"/>
      <c r="EQO223" s="1201"/>
      <c r="EQP223" s="1201"/>
      <c r="EQQ223" s="1201"/>
      <c r="EQR223" s="1201"/>
      <c r="EQS223" s="1201"/>
      <c r="EQT223" s="1201"/>
      <c r="EQU223" s="1201"/>
      <c r="EQV223" s="1201"/>
      <c r="EQW223" s="1201"/>
      <c r="EQX223" s="1201"/>
      <c r="EQY223" s="1201"/>
      <c r="EQZ223" s="1201"/>
      <c r="ERA223" s="1201"/>
      <c r="ERB223" s="1201"/>
      <c r="ERC223" s="1201"/>
      <c r="ERD223" s="1201"/>
      <c r="ERE223" s="1201"/>
      <c r="ERF223" s="1201"/>
      <c r="ERG223" s="1201"/>
      <c r="ERH223" s="1201"/>
      <c r="ERI223" s="1201"/>
      <c r="ERJ223" s="1201"/>
      <c r="ERK223" s="1201"/>
      <c r="ERL223" s="1201"/>
      <c r="ERM223" s="1201"/>
      <c r="ERN223" s="1201"/>
      <c r="ERO223" s="1201"/>
      <c r="ERP223" s="1201"/>
      <c r="ERQ223" s="1201"/>
      <c r="ERR223" s="1201"/>
      <c r="ERS223" s="1201"/>
      <c r="ERT223" s="1201"/>
      <c r="ERU223" s="1201"/>
      <c r="ERV223" s="1201"/>
      <c r="ERW223" s="1201"/>
      <c r="ERX223" s="1201"/>
      <c r="ERY223" s="1201"/>
      <c r="ERZ223" s="1201"/>
      <c r="ESA223" s="1201"/>
      <c r="ESB223" s="1201"/>
      <c r="ESC223" s="1201"/>
      <c r="ESD223" s="1201"/>
      <c r="ESE223" s="1201"/>
      <c r="ESF223" s="1201"/>
      <c r="ESG223" s="1201"/>
      <c r="ESH223" s="1201"/>
      <c r="ESI223" s="1201"/>
      <c r="ESJ223" s="1201"/>
      <c r="ESK223" s="1201"/>
      <c r="ESL223" s="1201"/>
      <c r="ESM223" s="1201"/>
      <c r="ESN223" s="1201"/>
      <c r="ESO223" s="1201"/>
      <c r="ESP223" s="1201"/>
      <c r="ESQ223" s="1201"/>
      <c r="ESR223" s="1201"/>
      <c r="ESS223" s="1201"/>
      <c r="EST223" s="1201"/>
      <c r="ESU223" s="1201"/>
      <c r="ESV223" s="1201"/>
      <c r="ESW223" s="1201"/>
      <c r="ESX223" s="1201"/>
      <c r="ESY223" s="1201"/>
      <c r="ESZ223" s="1201"/>
      <c r="ETA223" s="1201"/>
      <c r="ETB223" s="1201"/>
      <c r="ETC223" s="1201"/>
      <c r="ETD223" s="1201"/>
      <c r="ETE223" s="1201"/>
      <c r="ETF223" s="1201"/>
      <c r="ETG223" s="1201"/>
      <c r="ETH223" s="1201"/>
      <c r="ETI223" s="1201"/>
      <c r="ETJ223" s="1201"/>
      <c r="ETK223" s="1201"/>
      <c r="ETL223" s="1201"/>
      <c r="ETM223" s="1201"/>
      <c r="ETN223" s="1201"/>
      <c r="ETO223" s="1201"/>
      <c r="ETP223" s="1201"/>
      <c r="ETQ223" s="1201"/>
      <c r="ETR223" s="1201"/>
      <c r="ETS223" s="1201"/>
      <c r="ETT223" s="1201"/>
      <c r="ETU223" s="1201"/>
      <c r="ETV223" s="1201"/>
      <c r="ETW223" s="1201"/>
      <c r="ETX223" s="1201"/>
      <c r="ETY223" s="1201"/>
      <c r="ETZ223" s="1201"/>
      <c r="EUA223" s="1201"/>
      <c r="EUB223" s="1201"/>
      <c r="EUC223" s="1201"/>
      <c r="EUD223" s="1201"/>
      <c r="EUE223" s="1201"/>
      <c r="EUF223" s="1201"/>
      <c r="EUG223" s="1201"/>
      <c r="EUH223" s="1201"/>
      <c r="EUI223" s="1201"/>
      <c r="EUJ223" s="1201"/>
      <c r="EUK223" s="1201"/>
      <c r="EUL223" s="1201"/>
      <c r="EUM223" s="1201"/>
      <c r="EUN223" s="1201"/>
      <c r="EUO223" s="1201"/>
      <c r="EUP223" s="1201"/>
      <c r="EUQ223" s="1201"/>
      <c r="EUR223" s="1201"/>
      <c r="EUS223" s="1201"/>
      <c r="EUT223" s="1201"/>
      <c r="EUU223" s="1201"/>
      <c r="EUV223" s="1201"/>
      <c r="EUW223" s="1201"/>
      <c r="EUX223" s="1201"/>
      <c r="EUY223" s="1201"/>
      <c r="EUZ223" s="1201"/>
      <c r="EVA223" s="1201"/>
      <c r="EVB223" s="1201"/>
      <c r="EVC223" s="1201"/>
      <c r="EVD223" s="1201"/>
      <c r="EVE223" s="1201"/>
      <c r="EVF223" s="1201"/>
      <c r="EVG223" s="1201"/>
      <c r="EVH223" s="1201"/>
      <c r="EVI223" s="1201"/>
      <c r="EVJ223" s="1201"/>
      <c r="EVK223" s="1201"/>
      <c r="EVL223" s="1201"/>
      <c r="EVM223" s="1201"/>
      <c r="EVN223" s="1201"/>
      <c r="EVO223" s="1201"/>
      <c r="EVP223" s="1201"/>
      <c r="EVQ223" s="1201"/>
      <c r="EVR223" s="1201"/>
      <c r="EVS223" s="1201"/>
      <c r="EVT223" s="1201"/>
      <c r="EVU223" s="1201"/>
      <c r="EVV223" s="1201"/>
      <c r="EVW223" s="1201"/>
      <c r="EVX223" s="1201"/>
      <c r="EVY223" s="1201"/>
      <c r="EVZ223" s="1201"/>
      <c r="EWA223" s="1201"/>
      <c r="EWB223" s="1201"/>
      <c r="EWC223" s="1201"/>
      <c r="EWD223" s="1201"/>
      <c r="EWE223" s="1201"/>
      <c r="EWF223" s="1201"/>
      <c r="EWG223" s="1201"/>
      <c r="EWH223" s="1201"/>
      <c r="EWI223" s="1201"/>
      <c r="EWJ223" s="1201"/>
      <c r="EWK223" s="1201"/>
      <c r="EWL223" s="1201"/>
      <c r="EWM223" s="1201"/>
      <c r="EWN223" s="1201"/>
      <c r="EWO223" s="1201"/>
      <c r="EWP223" s="1201"/>
      <c r="EWQ223" s="1201"/>
      <c r="EWR223" s="1201"/>
      <c r="EWS223" s="1201"/>
      <c r="EWT223" s="1201"/>
      <c r="EWU223" s="1201"/>
      <c r="EWV223" s="1201"/>
      <c r="EWW223" s="1201"/>
      <c r="EWX223" s="1201"/>
      <c r="EWY223" s="1201"/>
      <c r="EWZ223" s="1201"/>
      <c r="EXA223" s="1201"/>
      <c r="EXB223" s="1201"/>
      <c r="EXC223" s="1201"/>
      <c r="EXD223" s="1201"/>
      <c r="EXE223" s="1201"/>
      <c r="EXF223" s="1201"/>
      <c r="EXG223" s="1201"/>
      <c r="EXH223" s="1201"/>
      <c r="EXI223" s="1201"/>
      <c r="EXJ223" s="1201"/>
      <c r="EXK223" s="1201"/>
      <c r="EXL223" s="1201"/>
      <c r="EXM223" s="1201"/>
      <c r="EXN223" s="1201"/>
      <c r="EXO223" s="1201"/>
      <c r="EXP223" s="1201"/>
      <c r="EXQ223" s="1201"/>
      <c r="EXR223" s="1201"/>
      <c r="EXS223" s="1201"/>
      <c r="EXT223" s="1201"/>
      <c r="EXU223" s="1201"/>
      <c r="EXV223" s="1201"/>
      <c r="EXW223" s="1201"/>
      <c r="EXX223" s="1201"/>
      <c r="EXY223" s="1201"/>
      <c r="EXZ223" s="1201"/>
      <c r="EYA223" s="1201"/>
      <c r="EYB223" s="1201"/>
      <c r="EYC223" s="1201"/>
      <c r="EYD223" s="1201"/>
      <c r="EYE223" s="1201"/>
      <c r="EYF223" s="1201"/>
      <c r="EYG223" s="1201"/>
      <c r="EYH223" s="1201"/>
      <c r="EYI223" s="1201"/>
      <c r="EYJ223" s="1201"/>
      <c r="EYK223" s="1201"/>
      <c r="EYL223" s="1201"/>
      <c r="EYM223" s="1201"/>
      <c r="EYN223" s="1201"/>
      <c r="EYO223" s="1201"/>
      <c r="EYP223" s="1201"/>
      <c r="EYQ223" s="1201"/>
      <c r="EYR223" s="1201"/>
      <c r="EYS223" s="1201"/>
      <c r="EYT223" s="1201"/>
      <c r="EYU223" s="1201"/>
      <c r="EYV223" s="1201"/>
      <c r="EYW223" s="1201"/>
      <c r="EYX223" s="1201"/>
      <c r="EYY223" s="1201"/>
      <c r="EYZ223" s="1201"/>
      <c r="EZA223" s="1201"/>
      <c r="EZB223" s="1201"/>
      <c r="EZC223" s="1201"/>
      <c r="EZD223" s="1201"/>
      <c r="EZE223" s="1201"/>
      <c r="EZF223" s="1201"/>
      <c r="EZG223" s="1201"/>
      <c r="EZH223" s="1201"/>
      <c r="EZI223" s="1201"/>
      <c r="EZJ223" s="1201"/>
      <c r="EZK223" s="1201"/>
      <c r="EZL223" s="1201"/>
      <c r="EZM223" s="1201"/>
      <c r="EZN223" s="1201"/>
      <c r="EZO223" s="1201"/>
      <c r="EZP223" s="1201"/>
      <c r="EZQ223" s="1201"/>
      <c r="EZR223" s="1201"/>
      <c r="EZS223" s="1201"/>
      <c r="EZT223" s="1201"/>
      <c r="EZU223" s="1201"/>
      <c r="EZV223" s="1201"/>
      <c r="EZW223" s="1201"/>
      <c r="EZX223" s="1201"/>
      <c r="EZY223" s="1201"/>
      <c r="EZZ223" s="1201"/>
      <c r="FAA223" s="1201"/>
      <c r="FAB223" s="1201"/>
      <c r="FAC223" s="1201"/>
      <c r="FAD223" s="1201"/>
      <c r="FAE223" s="1201"/>
      <c r="FAF223" s="1201"/>
      <c r="FAG223" s="1201"/>
      <c r="FAH223" s="1201"/>
      <c r="FAI223" s="1201"/>
      <c r="FAJ223" s="1201"/>
      <c r="FAK223" s="1201"/>
      <c r="FAL223" s="1201"/>
      <c r="FAM223" s="1201"/>
      <c r="FAN223" s="1201"/>
      <c r="FAO223" s="1201"/>
      <c r="FAP223" s="1201"/>
      <c r="FAQ223" s="1201"/>
      <c r="FAR223" s="1201"/>
      <c r="FAS223" s="1201"/>
      <c r="FAT223" s="1201"/>
      <c r="FAU223" s="1201"/>
      <c r="FAV223" s="1201"/>
      <c r="FAW223" s="1201"/>
      <c r="FAX223" s="1201"/>
      <c r="FAY223" s="1201"/>
      <c r="FAZ223" s="1201"/>
      <c r="FBA223" s="1201"/>
      <c r="FBB223" s="1201"/>
      <c r="FBC223" s="1201"/>
      <c r="FBD223" s="1201"/>
      <c r="FBE223" s="1201"/>
      <c r="FBF223" s="1201"/>
      <c r="FBG223" s="1201"/>
      <c r="FBH223" s="1201"/>
      <c r="FBI223" s="1201"/>
      <c r="FBJ223" s="1201"/>
      <c r="FBK223" s="1201"/>
      <c r="FBL223" s="1201"/>
      <c r="FBM223" s="1201"/>
      <c r="FBN223" s="1201"/>
      <c r="FBO223" s="1201"/>
      <c r="FBP223" s="1201"/>
      <c r="FBQ223" s="1201"/>
      <c r="FBR223" s="1201"/>
      <c r="FBS223" s="1201"/>
      <c r="FBT223" s="1201"/>
      <c r="FBU223" s="1201"/>
      <c r="FBV223" s="1201"/>
      <c r="FBW223" s="1201"/>
      <c r="FBX223" s="1201"/>
      <c r="FBY223" s="1201"/>
      <c r="FBZ223" s="1201"/>
      <c r="FCA223" s="1201"/>
      <c r="FCB223" s="1201"/>
      <c r="FCC223" s="1201"/>
      <c r="FCD223" s="1201"/>
      <c r="FCE223" s="1201"/>
      <c r="FCF223" s="1201"/>
      <c r="FCG223" s="1201"/>
      <c r="FCH223" s="1201"/>
      <c r="FCI223" s="1201"/>
      <c r="FCJ223" s="1201"/>
      <c r="FCK223" s="1201"/>
      <c r="FCL223" s="1201"/>
      <c r="FCM223" s="1201"/>
      <c r="FCN223" s="1201"/>
      <c r="FCO223" s="1201"/>
      <c r="FCP223" s="1201"/>
      <c r="FCQ223" s="1201"/>
      <c r="FCR223" s="1201"/>
      <c r="FCS223" s="1201"/>
      <c r="FCT223" s="1201"/>
      <c r="FCU223" s="1201"/>
      <c r="FCV223" s="1201"/>
      <c r="FCW223" s="1201"/>
      <c r="FCX223" s="1201"/>
      <c r="FCY223" s="1201"/>
      <c r="FCZ223" s="1201"/>
      <c r="FDA223" s="1201"/>
      <c r="FDB223" s="1201"/>
      <c r="FDC223" s="1201"/>
      <c r="FDD223" s="1201"/>
      <c r="FDE223" s="1201"/>
      <c r="FDF223" s="1201"/>
      <c r="FDG223" s="1201"/>
      <c r="FDH223" s="1201"/>
      <c r="FDI223" s="1201"/>
      <c r="FDJ223" s="1201"/>
      <c r="FDK223" s="1201"/>
      <c r="FDL223" s="1201"/>
      <c r="FDM223" s="1201"/>
      <c r="FDN223" s="1201"/>
      <c r="FDO223" s="1201"/>
      <c r="FDP223" s="1201"/>
      <c r="FDQ223" s="1201"/>
      <c r="FDR223" s="1201"/>
      <c r="FDS223" s="1201"/>
      <c r="FDT223" s="1201"/>
      <c r="FDU223" s="1201"/>
      <c r="FDV223" s="1201"/>
      <c r="FDW223" s="1201"/>
      <c r="FDX223" s="1201"/>
      <c r="FDY223" s="1201"/>
      <c r="FDZ223" s="1201"/>
      <c r="FEA223" s="1201"/>
      <c r="FEB223" s="1201"/>
      <c r="FEC223" s="1201"/>
      <c r="FED223" s="1201"/>
      <c r="FEE223" s="1201"/>
      <c r="FEF223" s="1201"/>
      <c r="FEG223" s="1201"/>
      <c r="FEH223" s="1201"/>
      <c r="FEI223" s="1201"/>
      <c r="FEJ223" s="1201"/>
      <c r="FEK223" s="1201"/>
      <c r="FEL223" s="1201"/>
      <c r="FEM223" s="1201"/>
      <c r="FEN223" s="1201"/>
      <c r="FEO223" s="1201"/>
      <c r="FEP223" s="1201"/>
      <c r="FEQ223" s="1201"/>
      <c r="FER223" s="1201"/>
      <c r="FES223" s="1201"/>
      <c r="FET223" s="1201"/>
      <c r="FEU223" s="1201"/>
      <c r="FEV223" s="1201"/>
      <c r="FEW223" s="1201"/>
      <c r="FEX223" s="1201"/>
      <c r="FEY223" s="1201"/>
      <c r="FEZ223" s="1201"/>
      <c r="FFA223" s="1201"/>
      <c r="FFB223" s="1201"/>
      <c r="FFC223" s="1201"/>
      <c r="FFD223" s="1201"/>
      <c r="FFE223" s="1201"/>
      <c r="FFF223" s="1201"/>
      <c r="FFG223" s="1201"/>
      <c r="FFH223" s="1201"/>
      <c r="FFI223" s="1201"/>
      <c r="FFJ223" s="1201"/>
      <c r="FFK223" s="1201"/>
      <c r="FFL223" s="1201"/>
      <c r="FFM223" s="1201"/>
      <c r="FFN223" s="1201"/>
      <c r="FFO223" s="1201"/>
      <c r="FFP223" s="1201"/>
      <c r="FFQ223" s="1201"/>
      <c r="FFR223" s="1201"/>
      <c r="FFS223" s="1201"/>
      <c r="FFT223" s="1201"/>
      <c r="FFU223" s="1201"/>
      <c r="FFV223" s="1201"/>
      <c r="FFW223" s="1201"/>
      <c r="FFX223" s="1201"/>
      <c r="FFY223" s="1201"/>
      <c r="FFZ223" s="1201"/>
      <c r="FGA223" s="1201"/>
      <c r="FGB223" s="1201"/>
      <c r="FGC223" s="1201"/>
      <c r="FGD223" s="1201"/>
      <c r="FGE223" s="1201"/>
      <c r="FGF223" s="1201"/>
      <c r="FGG223" s="1201"/>
      <c r="FGH223" s="1201"/>
      <c r="FGI223" s="1201"/>
      <c r="FGJ223" s="1201"/>
      <c r="FGK223" s="1201"/>
      <c r="FGL223" s="1201"/>
      <c r="FGM223" s="1201"/>
      <c r="FGN223" s="1201"/>
      <c r="FGO223" s="1201"/>
      <c r="FGP223" s="1201"/>
      <c r="FGQ223" s="1201"/>
      <c r="FGR223" s="1201"/>
      <c r="FGS223" s="1201"/>
      <c r="FGT223" s="1201"/>
      <c r="FGU223" s="1201"/>
      <c r="FGV223" s="1201"/>
      <c r="FGW223" s="1201"/>
      <c r="FGX223" s="1201"/>
      <c r="FGY223" s="1201"/>
      <c r="FGZ223" s="1201"/>
      <c r="FHA223" s="1201"/>
      <c r="FHB223" s="1201"/>
      <c r="FHC223" s="1201"/>
      <c r="FHD223" s="1201"/>
      <c r="FHE223" s="1201"/>
      <c r="FHF223" s="1201"/>
      <c r="FHG223" s="1201"/>
      <c r="FHH223" s="1201"/>
      <c r="FHI223" s="1201"/>
      <c r="FHJ223" s="1201"/>
      <c r="FHK223" s="1201"/>
      <c r="FHL223" s="1201"/>
      <c r="FHM223" s="1201"/>
      <c r="FHN223" s="1201"/>
      <c r="FHO223" s="1201"/>
      <c r="FHP223" s="1201"/>
      <c r="FHQ223" s="1201"/>
      <c r="FHR223" s="1201"/>
      <c r="FHS223" s="1201"/>
      <c r="FHT223" s="1201"/>
      <c r="FHU223" s="1201"/>
      <c r="FHV223" s="1201"/>
      <c r="FHW223" s="1201"/>
      <c r="FHX223" s="1201"/>
      <c r="FHY223" s="1201"/>
      <c r="FHZ223" s="1201"/>
      <c r="FIA223" s="1201"/>
      <c r="FIB223" s="1201"/>
      <c r="FIC223" s="1201"/>
      <c r="FID223" s="1201"/>
      <c r="FIE223" s="1201"/>
      <c r="FIF223" s="1201"/>
      <c r="FIG223" s="1201"/>
      <c r="FIH223" s="1201"/>
      <c r="FII223" s="1201"/>
      <c r="FIJ223" s="1201"/>
      <c r="FIK223" s="1201"/>
      <c r="FIL223" s="1201"/>
      <c r="FIM223" s="1201"/>
      <c r="FIN223" s="1201"/>
      <c r="FIO223" s="1201"/>
      <c r="FIP223" s="1201"/>
      <c r="FIQ223" s="1201"/>
      <c r="FIR223" s="1201"/>
      <c r="FIS223" s="1201"/>
      <c r="FIT223" s="1201"/>
      <c r="FIU223" s="1201"/>
      <c r="FIV223" s="1201"/>
      <c r="FIW223" s="1201"/>
      <c r="FIX223" s="1201"/>
      <c r="FIY223" s="1201"/>
      <c r="FIZ223" s="1201"/>
      <c r="FJA223" s="1201"/>
      <c r="FJB223" s="1201"/>
      <c r="FJC223" s="1201"/>
      <c r="FJD223" s="1201"/>
      <c r="FJE223" s="1201"/>
      <c r="FJF223" s="1201"/>
      <c r="FJG223" s="1201"/>
      <c r="FJH223" s="1201"/>
      <c r="FJI223" s="1201"/>
      <c r="FJJ223" s="1201"/>
      <c r="FJK223" s="1201"/>
      <c r="FJL223" s="1201"/>
      <c r="FJM223" s="1201"/>
      <c r="FJN223" s="1201"/>
      <c r="FJO223" s="1201"/>
      <c r="FJP223" s="1201"/>
      <c r="FJQ223" s="1201"/>
      <c r="FJR223" s="1201"/>
      <c r="FJS223" s="1201"/>
      <c r="FJT223" s="1201"/>
      <c r="FJU223" s="1201"/>
      <c r="FJV223" s="1201"/>
      <c r="FJW223" s="1201"/>
      <c r="FJX223" s="1201"/>
      <c r="FJY223" s="1201"/>
      <c r="FJZ223" s="1201"/>
      <c r="FKA223" s="1201"/>
      <c r="FKB223" s="1201"/>
      <c r="FKC223" s="1201"/>
      <c r="FKD223" s="1201"/>
      <c r="FKE223" s="1201"/>
      <c r="FKF223" s="1201"/>
      <c r="FKG223" s="1201"/>
      <c r="FKH223" s="1201"/>
      <c r="FKI223" s="1201"/>
      <c r="FKJ223" s="1201"/>
      <c r="FKK223" s="1201"/>
      <c r="FKL223" s="1201"/>
      <c r="FKM223" s="1201"/>
      <c r="FKN223" s="1201"/>
      <c r="FKO223" s="1201"/>
      <c r="FKP223" s="1201"/>
      <c r="FKQ223" s="1201"/>
      <c r="FKR223" s="1201"/>
      <c r="FKS223" s="1201"/>
      <c r="FKT223" s="1201"/>
      <c r="FKU223" s="1201"/>
      <c r="FKV223" s="1201"/>
      <c r="FKW223" s="1201"/>
      <c r="FKX223" s="1201"/>
      <c r="FKY223" s="1201"/>
      <c r="FKZ223" s="1201"/>
      <c r="FLA223" s="1201"/>
      <c r="FLB223" s="1201"/>
      <c r="FLC223" s="1201"/>
      <c r="FLD223" s="1201"/>
      <c r="FLE223" s="1201"/>
      <c r="FLF223" s="1201"/>
      <c r="FLG223" s="1201"/>
      <c r="FLH223" s="1201"/>
      <c r="FLI223" s="1201"/>
      <c r="FLJ223" s="1201"/>
      <c r="FLK223" s="1201"/>
      <c r="FLL223" s="1201"/>
      <c r="FLM223" s="1201"/>
      <c r="FLN223" s="1201"/>
      <c r="FLO223" s="1201"/>
      <c r="FLP223" s="1201"/>
      <c r="FLQ223" s="1201"/>
      <c r="FLR223" s="1201"/>
      <c r="FLS223" s="1201"/>
      <c r="FLT223" s="1201"/>
      <c r="FLU223" s="1201"/>
      <c r="FLV223" s="1201"/>
      <c r="FLW223" s="1201"/>
      <c r="FLX223" s="1201"/>
      <c r="FLY223" s="1201"/>
      <c r="FLZ223" s="1201"/>
      <c r="FMA223" s="1201"/>
      <c r="FMB223" s="1201"/>
      <c r="FMC223" s="1201"/>
      <c r="FMD223" s="1201"/>
      <c r="FME223" s="1201"/>
      <c r="FMF223" s="1201"/>
      <c r="FMG223" s="1201"/>
      <c r="FMH223" s="1201"/>
      <c r="FMI223" s="1201"/>
      <c r="FMJ223" s="1201"/>
      <c r="FMK223" s="1201"/>
      <c r="FML223" s="1201"/>
      <c r="FMM223" s="1201"/>
      <c r="FMN223" s="1201"/>
      <c r="FMO223" s="1201"/>
      <c r="FMP223" s="1201"/>
      <c r="FMQ223" s="1201"/>
      <c r="FMR223" s="1201"/>
      <c r="FMS223" s="1201"/>
      <c r="FMT223" s="1201"/>
      <c r="FMU223" s="1201"/>
      <c r="FMV223" s="1201"/>
      <c r="FMW223" s="1201"/>
      <c r="FMX223" s="1201"/>
      <c r="FMY223" s="1201"/>
      <c r="FMZ223" s="1201"/>
      <c r="FNA223" s="1201"/>
      <c r="FNB223" s="1201"/>
      <c r="FNC223" s="1201"/>
      <c r="FND223" s="1201"/>
      <c r="FNE223" s="1201"/>
      <c r="FNF223" s="1201"/>
      <c r="FNG223" s="1201"/>
      <c r="FNH223" s="1201"/>
      <c r="FNI223" s="1201"/>
      <c r="FNJ223" s="1201"/>
      <c r="FNK223" s="1201"/>
      <c r="FNL223" s="1201"/>
      <c r="FNM223" s="1201"/>
      <c r="FNN223" s="1201"/>
      <c r="FNO223" s="1201"/>
      <c r="FNP223" s="1201"/>
      <c r="FNQ223" s="1201"/>
      <c r="FNR223" s="1201"/>
      <c r="FNS223" s="1201"/>
      <c r="FNT223" s="1201"/>
      <c r="FNU223" s="1201"/>
      <c r="FNV223" s="1201"/>
      <c r="FNW223" s="1201"/>
      <c r="FNX223" s="1201"/>
      <c r="FNY223" s="1201"/>
      <c r="FNZ223" s="1201"/>
      <c r="FOA223" s="1201"/>
      <c r="FOB223" s="1201"/>
      <c r="FOC223" s="1201"/>
      <c r="FOD223" s="1201"/>
      <c r="FOE223" s="1201"/>
      <c r="FOF223" s="1201"/>
      <c r="FOG223" s="1201"/>
      <c r="FOH223" s="1201"/>
      <c r="FOI223" s="1201"/>
      <c r="FOJ223" s="1201"/>
      <c r="FOK223" s="1201"/>
      <c r="FOL223" s="1201"/>
      <c r="FOM223" s="1201"/>
      <c r="FON223" s="1201"/>
      <c r="FOO223" s="1201"/>
      <c r="FOP223" s="1201"/>
      <c r="FOQ223" s="1201"/>
      <c r="FOR223" s="1201"/>
      <c r="FOS223" s="1201"/>
      <c r="FOT223" s="1201"/>
      <c r="FOU223" s="1201"/>
      <c r="FOV223" s="1201"/>
      <c r="FOW223" s="1201"/>
      <c r="FOX223" s="1201"/>
      <c r="FOY223" s="1201"/>
      <c r="FOZ223" s="1201"/>
      <c r="FPA223" s="1201"/>
      <c r="FPB223" s="1201"/>
      <c r="FPC223" s="1201"/>
      <c r="FPD223" s="1201"/>
      <c r="FPE223" s="1201"/>
      <c r="FPF223" s="1201"/>
      <c r="FPG223" s="1201"/>
      <c r="FPH223" s="1201"/>
      <c r="FPI223" s="1201"/>
      <c r="FPJ223" s="1201"/>
      <c r="FPK223" s="1201"/>
      <c r="FPL223" s="1201"/>
      <c r="FPM223" s="1201"/>
      <c r="FPN223" s="1201"/>
      <c r="FPO223" s="1201"/>
      <c r="FPP223" s="1201"/>
      <c r="FPQ223" s="1201"/>
      <c r="FPR223" s="1201"/>
      <c r="FPS223" s="1201"/>
      <c r="FPT223" s="1201"/>
      <c r="FPU223" s="1201"/>
      <c r="FPV223" s="1201"/>
      <c r="FPW223" s="1201"/>
      <c r="FPX223" s="1201"/>
      <c r="FPY223" s="1201"/>
      <c r="FPZ223" s="1201"/>
      <c r="FQA223" s="1201"/>
      <c r="FQB223" s="1201"/>
      <c r="FQC223" s="1201"/>
      <c r="FQD223" s="1201"/>
      <c r="FQE223" s="1201"/>
      <c r="FQF223" s="1201"/>
      <c r="FQG223" s="1201"/>
      <c r="FQH223" s="1201"/>
      <c r="FQI223" s="1201"/>
      <c r="FQJ223" s="1201"/>
      <c r="FQK223" s="1201"/>
      <c r="FQL223" s="1201"/>
      <c r="FQM223" s="1201"/>
      <c r="FQN223" s="1201"/>
      <c r="FQO223" s="1201"/>
      <c r="FQP223" s="1201"/>
      <c r="FQQ223" s="1201"/>
      <c r="FQR223" s="1201"/>
      <c r="FQS223" s="1201"/>
      <c r="FQT223" s="1201"/>
      <c r="FQU223" s="1201"/>
      <c r="FQV223" s="1201"/>
      <c r="FQW223" s="1201"/>
      <c r="FQX223" s="1201"/>
      <c r="FQY223" s="1201"/>
      <c r="FQZ223" s="1201"/>
      <c r="FRA223" s="1201"/>
      <c r="FRB223" s="1201"/>
      <c r="FRC223" s="1201"/>
      <c r="FRD223" s="1201"/>
      <c r="FRE223" s="1201"/>
      <c r="FRF223" s="1201"/>
      <c r="FRG223" s="1201"/>
      <c r="FRH223" s="1201"/>
      <c r="FRI223" s="1201"/>
      <c r="FRJ223" s="1201"/>
      <c r="FRK223" s="1201"/>
      <c r="FRL223" s="1201"/>
      <c r="FRM223" s="1201"/>
      <c r="FRN223" s="1201"/>
      <c r="FRO223" s="1201"/>
      <c r="FRP223" s="1201"/>
      <c r="FRQ223" s="1201"/>
      <c r="FRR223" s="1201"/>
      <c r="FRS223" s="1201"/>
      <c r="FRT223" s="1201"/>
      <c r="FRU223" s="1201"/>
      <c r="FRV223" s="1201"/>
      <c r="FRW223" s="1201"/>
      <c r="FRX223" s="1201"/>
      <c r="FRY223" s="1201"/>
      <c r="FRZ223" s="1201"/>
      <c r="FSA223" s="1201"/>
      <c r="FSB223" s="1201"/>
      <c r="FSC223" s="1201"/>
      <c r="FSD223" s="1201"/>
      <c r="FSE223" s="1201"/>
      <c r="FSF223" s="1201"/>
      <c r="FSG223" s="1201"/>
      <c r="FSH223" s="1201"/>
      <c r="FSI223" s="1201"/>
      <c r="FSJ223" s="1201"/>
      <c r="FSK223" s="1201"/>
      <c r="FSL223" s="1201"/>
      <c r="FSM223" s="1201"/>
      <c r="FSN223" s="1201"/>
      <c r="FSO223" s="1201"/>
      <c r="FSP223" s="1201"/>
      <c r="FSQ223" s="1201"/>
      <c r="FSR223" s="1201"/>
      <c r="FSS223" s="1201"/>
      <c r="FST223" s="1201"/>
      <c r="FSU223" s="1201"/>
      <c r="FSV223" s="1201"/>
      <c r="FSW223" s="1201"/>
      <c r="FSX223" s="1201"/>
      <c r="FSY223" s="1201"/>
      <c r="FSZ223" s="1201"/>
      <c r="FTA223" s="1201"/>
      <c r="FTB223" s="1201"/>
      <c r="FTC223" s="1201"/>
      <c r="FTD223" s="1201"/>
      <c r="FTE223" s="1201"/>
      <c r="FTF223" s="1201"/>
      <c r="FTG223" s="1201"/>
      <c r="FTH223" s="1201"/>
      <c r="FTI223" s="1201"/>
      <c r="FTJ223" s="1201"/>
      <c r="FTK223" s="1201"/>
      <c r="FTL223" s="1201"/>
      <c r="FTM223" s="1201"/>
      <c r="FTN223" s="1201"/>
      <c r="FTO223" s="1201"/>
      <c r="FTP223" s="1201"/>
      <c r="FTQ223" s="1201"/>
      <c r="FTR223" s="1201"/>
      <c r="FTS223" s="1201"/>
      <c r="FTT223" s="1201"/>
      <c r="FTU223" s="1201"/>
      <c r="FTV223" s="1201"/>
      <c r="FTW223" s="1201"/>
      <c r="FTX223" s="1201"/>
      <c r="FTY223" s="1201"/>
      <c r="FTZ223" s="1201"/>
      <c r="FUA223" s="1201"/>
      <c r="FUB223" s="1201"/>
      <c r="FUC223" s="1201"/>
      <c r="FUD223" s="1201"/>
      <c r="FUE223" s="1201"/>
      <c r="FUF223" s="1201"/>
      <c r="FUG223" s="1201"/>
      <c r="FUH223" s="1201"/>
      <c r="FUI223" s="1201"/>
      <c r="FUJ223" s="1201"/>
      <c r="FUK223" s="1201"/>
      <c r="FUL223" s="1201"/>
      <c r="FUM223" s="1201"/>
      <c r="FUN223" s="1201"/>
      <c r="FUO223" s="1201"/>
      <c r="FUP223" s="1201"/>
      <c r="FUQ223" s="1201"/>
      <c r="FUR223" s="1201"/>
      <c r="FUS223" s="1201"/>
      <c r="FUT223" s="1201"/>
      <c r="FUU223" s="1201"/>
      <c r="FUV223" s="1201"/>
      <c r="FUW223" s="1201"/>
      <c r="FUX223" s="1201"/>
      <c r="FUY223" s="1201"/>
      <c r="FUZ223" s="1201"/>
      <c r="FVA223" s="1201"/>
      <c r="FVB223" s="1201"/>
      <c r="FVC223" s="1201"/>
      <c r="FVD223" s="1201"/>
      <c r="FVE223" s="1201"/>
      <c r="FVF223" s="1201"/>
      <c r="FVG223" s="1201"/>
      <c r="FVH223" s="1201"/>
      <c r="FVI223" s="1201"/>
      <c r="FVJ223" s="1201"/>
      <c r="FVK223" s="1201"/>
      <c r="FVL223" s="1201"/>
      <c r="FVM223" s="1201"/>
      <c r="FVN223" s="1201"/>
      <c r="FVO223" s="1201"/>
      <c r="FVP223" s="1201"/>
      <c r="FVQ223" s="1201"/>
      <c r="FVR223" s="1201"/>
      <c r="FVS223" s="1201"/>
      <c r="FVT223" s="1201"/>
      <c r="FVU223" s="1201"/>
      <c r="FVV223" s="1201"/>
      <c r="FVW223" s="1201"/>
      <c r="FVX223" s="1201"/>
      <c r="FVY223" s="1201"/>
      <c r="FVZ223" s="1201"/>
      <c r="FWA223" s="1201"/>
      <c r="FWB223" s="1201"/>
      <c r="FWC223" s="1201"/>
      <c r="FWD223" s="1201"/>
      <c r="FWE223" s="1201"/>
      <c r="FWF223" s="1201"/>
      <c r="FWG223" s="1201"/>
      <c r="FWH223" s="1201"/>
      <c r="FWI223" s="1201"/>
      <c r="FWJ223" s="1201"/>
      <c r="FWK223" s="1201"/>
      <c r="FWL223" s="1201"/>
      <c r="FWM223" s="1201"/>
      <c r="FWN223" s="1201"/>
      <c r="FWO223" s="1201"/>
      <c r="FWP223" s="1201"/>
      <c r="FWQ223" s="1201"/>
      <c r="FWR223" s="1201"/>
      <c r="FWS223" s="1201"/>
      <c r="FWT223" s="1201"/>
      <c r="FWU223" s="1201"/>
      <c r="FWV223" s="1201"/>
      <c r="FWW223" s="1201"/>
      <c r="FWX223" s="1201"/>
      <c r="FWY223" s="1201"/>
      <c r="FWZ223" s="1201"/>
      <c r="FXA223" s="1201"/>
      <c r="FXB223" s="1201"/>
      <c r="FXC223" s="1201"/>
      <c r="FXD223" s="1201"/>
      <c r="FXE223" s="1201"/>
      <c r="FXF223" s="1201"/>
      <c r="FXG223" s="1201"/>
      <c r="FXH223" s="1201"/>
      <c r="FXI223" s="1201"/>
      <c r="FXJ223" s="1201"/>
      <c r="FXK223" s="1201"/>
      <c r="FXL223" s="1201"/>
      <c r="FXM223" s="1201"/>
      <c r="FXN223" s="1201"/>
      <c r="FXO223" s="1201"/>
      <c r="FXP223" s="1201"/>
      <c r="FXQ223" s="1201"/>
      <c r="FXR223" s="1201"/>
      <c r="FXS223" s="1201"/>
      <c r="FXT223" s="1201"/>
      <c r="FXU223" s="1201"/>
      <c r="FXV223" s="1201"/>
      <c r="FXW223" s="1201"/>
      <c r="FXX223" s="1201"/>
      <c r="FXY223" s="1201"/>
      <c r="FXZ223" s="1201"/>
      <c r="FYA223" s="1201"/>
      <c r="FYB223" s="1201"/>
      <c r="FYC223" s="1201"/>
      <c r="FYD223" s="1201"/>
      <c r="FYE223" s="1201"/>
      <c r="FYF223" s="1201"/>
      <c r="FYG223" s="1201"/>
      <c r="FYH223" s="1201"/>
      <c r="FYI223" s="1201"/>
      <c r="FYJ223" s="1201"/>
      <c r="FYK223" s="1201"/>
      <c r="FYL223" s="1201"/>
      <c r="FYM223" s="1201"/>
      <c r="FYN223" s="1201"/>
      <c r="FYO223" s="1201"/>
      <c r="FYP223" s="1201"/>
      <c r="FYQ223" s="1201"/>
      <c r="FYR223" s="1201"/>
      <c r="FYS223" s="1201"/>
      <c r="FYT223" s="1201"/>
      <c r="FYU223" s="1201"/>
      <c r="FYV223" s="1201"/>
      <c r="FYW223" s="1201"/>
      <c r="FYX223" s="1201"/>
      <c r="FYY223" s="1201"/>
      <c r="FYZ223" s="1201"/>
      <c r="FZA223" s="1201"/>
      <c r="FZB223" s="1201"/>
      <c r="FZC223" s="1201"/>
      <c r="FZD223" s="1201"/>
      <c r="FZE223" s="1201"/>
      <c r="FZF223" s="1201"/>
      <c r="FZG223" s="1201"/>
      <c r="FZH223" s="1201"/>
      <c r="FZI223" s="1201"/>
      <c r="FZJ223" s="1201"/>
      <c r="FZK223" s="1201"/>
      <c r="FZL223" s="1201"/>
      <c r="FZM223" s="1201"/>
      <c r="FZN223" s="1201"/>
      <c r="FZO223" s="1201"/>
      <c r="FZP223" s="1201"/>
      <c r="FZQ223" s="1201"/>
      <c r="FZR223" s="1201"/>
      <c r="FZS223" s="1201"/>
      <c r="FZT223" s="1201"/>
      <c r="FZU223" s="1201"/>
      <c r="FZV223" s="1201"/>
      <c r="FZW223" s="1201"/>
      <c r="FZX223" s="1201"/>
      <c r="FZY223" s="1201"/>
      <c r="FZZ223" s="1201"/>
      <c r="GAA223" s="1201"/>
      <c r="GAB223" s="1201"/>
      <c r="GAC223" s="1201"/>
      <c r="GAD223" s="1201"/>
      <c r="GAE223" s="1201"/>
      <c r="GAF223" s="1201"/>
      <c r="GAG223" s="1201"/>
      <c r="GAH223" s="1201"/>
      <c r="GAI223" s="1201"/>
      <c r="GAJ223" s="1201"/>
      <c r="GAK223" s="1201"/>
      <c r="GAL223" s="1201"/>
      <c r="GAM223" s="1201"/>
      <c r="GAN223" s="1201"/>
      <c r="GAO223" s="1201"/>
      <c r="GAP223" s="1201"/>
      <c r="GAQ223" s="1201"/>
      <c r="GAR223" s="1201"/>
      <c r="GAS223" s="1201"/>
      <c r="GAT223" s="1201"/>
      <c r="GAU223" s="1201"/>
      <c r="GAV223" s="1201"/>
      <c r="GAW223" s="1201"/>
      <c r="GAX223" s="1201"/>
      <c r="GAY223" s="1201"/>
      <c r="GAZ223" s="1201"/>
      <c r="GBA223" s="1201"/>
      <c r="GBB223" s="1201"/>
      <c r="GBC223" s="1201"/>
      <c r="GBD223" s="1201"/>
      <c r="GBE223" s="1201"/>
      <c r="GBF223" s="1201"/>
      <c r="GBG223" s="1201"/>
      <c r="GBH223" s="1201"/>
      <c r="GBI223" s="1201"/>
      <c r="GBJ223" s="1201"/>
      <c r="GBK223" s="1201"/>
      <c r="GBL223" s="1201"/>
      <c r="GBM223" s="1201"/>
      <c r="GBN223" s="1201"/>
      <c r="GBO223" s="1201"/>
      <c r="GBP223" s="1201"/>
      <c r="GBQ223" s="1201"/>
      <c r="GBR223" s="1201"/>
      <c r="GBS223" s="1201"/>
      <c r="GBT223" s="1201"/>
      <c r="GBU223" s="1201"/>
      <c r="GBV223" s="1201"/>
      <c r="GBW223" s="1201"/>
      <c r="GBX223" s="1201"/>
      <c r="GBY223" s="1201"/>
      <c r="GBZ223" s="1201"/>
      <c r="GCA223" s="1201"/>
      <c r="GCB223" s="1201"/>
      <c r="GCC223" s="1201"/>
      <c r="GCD223" s="1201"/>
      <c r="GCE223" s="1201"/>
      <c r="GCF223" s="1201"/>
      <c r="GCG223" s="1201"/>
      <c r="GCH223" s="1201"/>
      <c r="GCI223" s="1201"/>
      <c r="GCJ223" s="1201"/>
      <c r="GCK223" s="1201"/>
      <c r="GCL223" s="1201"/>
      <c r="GCM223" s="1201"/>
      <c r="GCN223" s="1201"/>
      <c r="GCO223" s="1201"/>
      <c r="GCP223" s="1201"/>
      <c r="GCQ223" s="1201"/>
      <c r="GCR223" s="1201"/>
      <c r="GCS223" s="1201"/>
      <c r="GCT223" s="1201"/>
      <c r="GCU223" s="1201"/>
      <c r="GCV223" s="1201"/>
      <c r="GCW223" s="1201"/>
      <c r="GCX223" s="1201"/>
      <c r="GCY223" s="1201"/>
      <c r="GCZ223" s="1201"/>
      <c r="GDA223" s="1201"/>
      <c r="GDB223" s="1201"/>
      <c r="GDC223" s="1201"/>
      <c r="GDD223" s="1201"/>
      <c r="GDE223" s="1201"/>
      <c r="GDF223" s="1201"/>
      <c r="GDG223" s="1201"/>
      <c r="GDH223" s="1201"/>
      <c r="GDI223" s="1201"/>
      <c r="GDJ223" s="1201"/>
      <c r="GDK223" s="1201"/>
      <c r="GDL223" s="1201"/>
      <c r="GDM223" s="1201"/>
      <c r="GDN223" s="1201"/>
      <c r="GDO223" s="1201"/>
      <c r="GDP223" s="1201"/>
      <c r="GDQ223" s="1201"/>
      <c r="GDR223" s="1201"/>
      <c r="GDS223" s="1201"/>
      <c r="GDT223" s="1201"/>
      <c r="GDU223" s="1201"/>
      <c r="GDV223" s="1201"/>
      <c r="GDW223" s="1201"/>
      <c r="GDX223" s="1201"/>
      <c r="GDY223" s="1201"/>
      <c r="GDZ223" s="1201"/>
      <c r="GEA223" s="1201"/>
      <c r="GEB223" s="1201"/>
      <c r="GEC223" s="1201"/>
      <c r="GED223" s="1201"/>
      <c r="GEE223" s="1201"/>
      <c r="GEF223" s="1201"/>
      <c r="GEG223" s="1201"/>
      <c r="GEH223" s="1201"/>
      <c r="GEI223" s="1201"/>
      <c r="GEJ223" s="1201"/>
      <c r="GEK223" s="1201"/>
      <c r="GEL223" s="1201"/>
      <c r="GEM223" s="1201"/>
      <c r="GEN223" s="1201"/>
      <c r="GEO223" s="1201"/>
      <c r="GEP223" s="1201"/>
      <c r="GEQ223" s="1201"/>
      <c r="GER223" s="1201"/>
      <c r="GES223" s="1201"/>
      <c r="GET223" s="1201"/>
      <c r="GEU223" s="1201"/>
      <c r="GEV223" s="1201"/>
      <c r="GEW223" s="1201"/>
      <c r="GEX223" s="1201"/>
      <c r="GEY223" s="1201"/>
      <c r="GEZ223" s="1201"/>
      <c r="GFA223" s="1201"/>
      <c r="GFB223" s="1201"/>
      <c r="GFC223" s="1201"/>
      <c r="GFD223" s="1201"/>
      <c r="GFE223" s="1201"/>
      <c r="GFF223" s="1201"/>
      <c r="GFG223" s="1201"/>
      <c r="GFH223" s="1201"/>
      <c r="GFI223" s="1201"/>
      <c r="GFJ223" s="1201"/>
      <c r="GFK223" s="1201"/>
      <c r="GFL223" s="1201"/>
      <c r="GFM223" s="1201"/>
      <c r="GFN223" s="1201"/>
      <c r="GFO223" s="1201"/>
      <c r="GFP223" s="1201"/>
      <c r="GFQ223" s="1201"/>
      <c r="GFR223" s="1201"/>
      <c r="GFS223" s="1201"/>
      <c r="GFT223" s="1201"/>
      <c r="GFU223" s="1201"/>
      <c r="GFV223" s="1201"/>
      <c r="GFW223" s="1201"/>
      <c r="GFX223" s="1201"/>
      <c r="GFY223" s="1201"/>
      <c r="GFZ223" s="1201"/>
      <c r="GGA223" s="1201"/>
      <c r="GGB223" s="1201"/>
      <c r="GGC223" s="1201"/>
      <c r="GGD223" s="1201"/>
      <c r="GGE223" s="1201"/>
      <c r="GGF223" s="1201"/>
      <c r="GGG223" s="1201"/>
      <c r="GGH223" s="1201"/>
      <c r="GGI223" s="1201"/>
      <c r="GGJ223" s="1201"/>
      <c r="GGK223" s="1201"/>
      <c r="GGL223" s="1201"/>
      <c r="GGM223" s="1201"/>
      <c r="GGN223" s="1201"/>
      <c r="GGO223" s="1201"/>
      <c r="GGP223" s="1201"/>
      <c r="GGQ223" s="1201"/>
      <c r="GGR223" s="1201"/>
      <c r="GGS223" s="1201"/>
      <c r="GGT223" s="1201"/>
      <c r="GGU223" s="1201"/>
      <c r="GGV223" s="1201"/>
      <c r="GGW223" s="1201"/>
      <c r="GGX223" s="1201"/>
      <c r="GGY223" s="1201"/>
      <c r="GGZ223" s="1201"/>
      <c r="GHA223" s="1201"/>
      <c r="GHB223" s="1201"/>
      <c r="GHC223" s="1201"/>
      <c r="GHD223" s="1201"/>
      <c r="GHE223" s="1201"/>
      <c r="GHF223" s="1201"/>
      <c r="GHG223" s="1201"/>
      <c r="GHH223" s="1201"/>
      <c r="GHI223" s="1201"/>
      <c r="GHJ223" s="1201"/>
      <c r="GHK223" s="1201"/>
      <c r="GHL223" s="1201"/>
      <c r="GHM223" s="1201"/>
      <c r="GHN223" s="1201"/>
      <c r="GHO223" s="1201"/>
      <c r="GHP223" s="1201"/>
      <c r="GHQ223" s="1201"/>
      <c r="GHR223" s="1201"/>
      <c r="GHS223" s="1201"/>
      <c r="GHT223" s="1201"/>
      <c r="GHU223" s="1201"/>
      <c r="GHV223" s="1201"/>
      <c r="GHW223" s="1201"/>
      <c r="GHX223" s="1201"/>
      <c r="GHY223" s="1201"/>
      <c r="GHZ223" s="1201"/>
      <c r="GIA223" s="1201"/>
      <c r="GIB223" s="1201"/>
      <c r="GIC223" s="1201"/>
      <c r="GID223" s="1201"/>
      <c r="GIE223" s="1201"/>
      <c r="GIF223" s="1201"/>
      <c r="GIG223" s="1201"/>
      <c r="GIH223" s="1201"/>
      <c r="GII223" s="1201"/>
      <c r="GIJ223" s="1201"/>
      <c r="GIK223" s="1201"/>
      <c r="GIL223" s="1201"/>
      <c r="GIM223" s="1201"/>
      <c r="GIN223" s="1201"/>
      <c r="GIO223" s="1201"/>
      <c r="GIP223" s="1201"/>
      <c r="GIQ223" s="1201"/>
      <c r="GIR223" s="1201"/>
      <c r="GIS223" s="1201"/>
      <c r="GIT223" s="1201"/>
      <c r="GIU223" s="1201"/>
      <c r="GIV223" s="1201"/>
      <c r="GIW223" s="1201"/>
      <c r="GIX223" s="1201"/>
      <c r="GIY223" s="1201"/>
      <c r="GIZ223" s="1201"/>
      <c r="GJA223" s="1201"/>
      <c r="GJB223" s="1201"/>
      <c r="GJC223" s="1201"/>
      <c r="GJD223" s="1201"/>
      <c r="GJE223" s="1201"/>
      <c r="GJF223" s="1201"/>
      <c r="GJG223" s="1201"/>
      <c r="GJH223" s="1201"/>
      <c r="GJI223" s="1201"/>
      <c r="GJJ223" s="1201"/>
      <c r="GJK223" s="1201"/>
      <c r="GJL223" s="1201"/>
      <c r="GJM223" s="1201"/>
      <c r="GJN223" s="1201"/>
      <c r="GJO223" s="1201"/>
      <c r="GJP223" s="1201"/>
      <c r="GJQ223" s="1201"/>
      <c r="GJR223" s="1201"/>
      <c r="GJS223" s="1201"/>
      <c r="GJT223" s="1201"/>
      <c r="GJU223" s="1201"/>
      <c r="GJV223" s="1201"/>
      <c r="GJW223" s="1201"/>
      <c r="GJX223" s="1201"/>
      <c r="GJY223" s="1201"/>
      <c r="GJZ223" s="1201"/>
      <c r="GKA223" s="1201"/>
      <c r="GKB223" s="1201"/>
      <c r="GKC223" s="1201"/>
      <c r="GKD223" s="1201"/>
      <c r="GKE223" s="1201"/>
      <c r="GKF223" s="1201"/>
      <c r="GKG223" s="1201"/>
      <c r="GKH223" s="1201"/>
      <c r="GKI223" s="1201"/>
      <c r="GKJ223" s="1201"/>
      <c r="GKK223" s="1201"/>
      <c r="GKL223" s="1201"/>
      <c r="GKM223" s="1201"/>
      <c r="GKN223" s="1201"/>
      <c r="GKO223" s="1201"/>
      <c r="GKP223" s="1201"/>
      <c r="GKQ223" s="1201"/>
      <c r="GKR223" s="1201"/>
      <c r="GKS223" s="1201"/>
      <c r="GKT223" s="1201"/>
      <c r="GKU223" s="1201"/>
      <c r="GKV223" s="1201"/>
      <c r="GKW223" s="1201"/>
      <c r="GKX223" s="1201"/>
      <c r="GKY223" s="1201"/>
      <c r="GKZ223" s="1201"/>
      <c r="GLA223" s="1201"/>
      <c r="GLB223" s="1201"/>
      <c r="GLC223" s="1201"/>
      <c r="GLD223" s="1201"/>
      <c r="GLE223" s="1201"/>
      <c r="GLF223" s="1201"/>
      <c r="GLG223" s="1201"/>
      <c r="GLH223" s="1201"/>
      <c r="GLI223" s="1201"/>
      <c r="GLJ223" s="1201"/>
      <c r="GLK223" s="1201"/>
      <c r="GLL223" s="1201"/>
      <c r="GLM223" s="1201"/>
      <c r="GLN223" s="1201"/>
      <c r="GLO223" s="1201"/>
      <c r="GLP223" s="1201"/>
      <c r="GLQ223" s="1201"/>
      <c r="GLR223" s="1201"/>
      <c r="GLS223" s="1201"/>
      <c r="GLT223" s="1201"/>
      <c r="GLU223" s="1201"/>
      <c r="GLV223" s="1201"/>
      <c r="GLW223" s="1201"/>
      <c r="GLX223" s="1201"/>
      <c r="GLY223" s="1201"/>
      <c r="GLZ223" s="1201"/>
      <c r="GMA223" s="1201"/>
      <c r="GMB223" s="1201"/>
      <c r="GMC223" s="1201"/>
      <c r="GMD223" s="1201"/>
      <c r="GME223" s="1201"/>
      <c r="GMF223" s="1201"/>
      <c r="GMG223" s="1201"/>
      <c r="GMH223" s="1201"/>
      <c r="GMI223" s="1201"/>
      <c r="GMJ223" s="1201"/>
      <c r="GMK223" s="1201"/>
      <c r="GML223" s="1201"/>
      <c r="GMM223" s="1201"/>
      <c r="GMN223" s="1201"/>
      <c r="GMO223" s="1201"/>
      <c r="GMP223" s="1201"/>
      <c r="GMQ223" s="1201"/>
      <c r="GMR223" s="1201"/>
      <c r="GMS223" s="1201"/>
      <c r="GMT223" s="1201"/>
      <c r="GMU223" s="1201"/>
      <c r="GMV223" s="1201"/>
      <c r="GMW223" s="1201"/>
      <c r="GMX223" s="1201"/>
      <c r="GMY223" s="1201"/>
      <c r="GMZ223" s="1201"/>
      <c r="GNA223" s="1201"/>
      <c r="GNB223" s="1201"/>
      <c r="GNC223" s="1201"/>
      <c r="GND223" s="1201"/>
      <c r="GNE223" s="1201"/>
      <c r="GNF223" s="1201"/>
      <c r="GNG223" s="1201"/>
      <c r="GNH223" s="1201"/>
      <c r="GNI223" s="1201"/>
      <c r="GNJ223" s="1201"/>
      <c r="GNK223" s="1201"/>
      <c r="GNL223" s="1201"/>
      <c r="GNM223" s="1201"/>
      <c r="GNN223" s="1201"/>
      <c r="GNO223" s="1201"/>
      <c r="GNP223" s="1201"/>
      <c r="GNQ223" s="1201"/>
      <c r="GNR223" s="1201"/>
      <c r="GNS223" s="1201"/>
      <c r="GNT223" s="1201"/>
      <c r="GNU223" s="1201"/>
      <c r="GNV223" s="1201"/>
      <c r="GNW223" s="1201"/>
      <c r="GNX223" s="1201"/>
      <c r="GNY223" s="1201"/>
      <c r="GNZ223" s="1201"/>
      <c r="GOA223" s="1201"/>
      <c r="GOB223" s="1201"/>
      <c r="GOC223" s="1201"/>
      <c r="GOD223" s="1201"/>
      <c r="GOE223" s="1201"/>
      <c r="GOF223" s="1201"/>
      <c r="GOG223" s="1201"/>
      <c r="GOH223" s="1201"/>
      <c r="GOI223" s="1201"/>
      <c r="GOJ223" s="1201"/>
      <c r="GOK223" s="1201"/>
      <c r="GOL223" s="1201"/>
      <c r="GOM223" s="1201"/>
      <c r="GON223" s="1201"/>
      <c r="GOO223" s="1201"/>
      <c r="GOP223" s="1201"/>
      <c r="GOQ223" s="1201"/>
      <c r="GOR223" s="1201"/>
      <c r="GOS223" s="1201"/>
      <c r="GOT223" s="1201"/>
      <c r="GOU223" s="1201"/>
      <c r="GOV223" s="1201"/>
      <c r="GOW223" s="1201"/>
      <c r="GOX223" s="1201"/>
      <c r="GOY223" s="1201"/>
      <c r="GOZ223" s="1201"/>
      <c r="GPA223" s="1201"/>
      <c r="GPB223" s="1201"/>
      <c r="GPC223" s="1201"/>
      <c r="GPD223" s="1201"/>
      <c r="GPE223" s="1201"/>
      <c r="GPF223" s="1201"/>
      <c r="GPG223" s="1201"/>
      <c r="GPH223" s="1201"/>
      <c r="GPI223" s="1201"/>
      <c r="GPJ223" s="1201"/>
      <c r="GPK223" s="1201"/>
      <c r="GPL223" s="1201"/>
      <c r="GPM223" s="1201"/>
      <c r="GPN223" s="1201"/>
      <c r="GPO223" s="1201"/>
      <c r="GPP223" s="1201"/>
      <c r="GPQ223" s="1201"/>
      <c r="GPR223" s="1201"/>
      <c r="GPS223" s="1201"/>
      <c r="GPT223" s="1201"/>
      <c r="GPU223" s="1201"/>
      <c r="GPV223" s="1201"/>
      <c r="GPW223" s="1201"/>
      <c r="GPX223" s="1201"/>
      <c r="GPY223" s="1201"/>
      <c r="GPZ223" s="1201"/>
      <c r="GQA223" s="1201"/>
      <c r="GQB223" s="1201"/>
      <c r="GQC223" s="1201"/>
      <c r="GQD223" s="1201"/>
      <c r="GQE223" s="1201"/>
      <c r="GQF223" s="1201"/>
      <c r="GQG223" s="1201"/>
      <c r="GQH223" s="1201"/>
      <c r="GQI223" s="1201"/>
      <c r="GQJ223" s="1201"/>
      <c r="GQK223" s="1201"/>
      <c r="GQL223" s="1201"/>
      <c r="GQM223" s="1201"/>
      <c r="GQN223" s="1201"/>
      <c r="GQO223" s="1201"/>
      <c r="GQP223" s="1201"/>
      <c r="GQQ223" s="1201"/>
      <c r="GQR223" s="1201"/>
      <c r="GQS223" s="1201"/>
      <c r="GQT223" s="1201"/>
      <c r="GQU223" s="1201"/>
      <c r="GQV223" s="1201"/>
      <c r="GQW223" s="1201"/>
      <c r="GQX223" s="1201"/>
      <c r="GQY223" s="1201"/>
      <c r="GQZ223" s="1201"/>
      <c r="GRA223" s="1201"/>
      <c r="GRB223" s="1201"/>
      <c r="GRC223" s="1201"/>
      <c r="GRD223" s="1201"/>
      <c r="GRE223" s="1201"/>
      <c r="GRF223" s="1201"/>
      <c r="GRG223" s="1201"/>
      <c r="GRH223" s="1201"/>
      <c r="GRI223" s="1201"/>
      <c r="GRJ223" s="1201"/>
      <c r="GRK223" s="1201"/>
      <c r="GRL223" s="1201"/>
      <c r="GRM223" s="1201"/>
      <c r="GRN223" s="1201"/>
      <c r="GRO223" s="1201"/>
      <c r="GRP223" s="1201"/>
      <c r="GRQ223" s="1201"/>
      <c r="GRR223" s="1201"/>
      <c r="GRS223" s="1201"/>
      <c r="GRT223" s="1201"/>
      <c r="GRU223" s="1201"/>
      <c r="GRV223" s="1201"/>
      <c r="GRW223" s="1201"/>
      <c r="GRX223" s="1201"/>
      <c r="GRY223" s="1201"/>
      <c r="GRZ223" s="1201"/>
      <c r="GSA223" s="1201"/>
      <c r="GSB223" s="1201"/>
      <c r="GSC223" s="1201"/>
      <c r="GSD223" s="1201"/>
      <c r="GSE223" s="1201"/>
      <c r="GSF223" s="1201"/>
      <c r="GSG223" s="1201"/>
      <c r="GSH223" s="1201"/>
      <c r="GSI223" s="1201"/>
      <c r="GSJ223" s="1201"/>
      <c r="GSK223" s="1201"/>
      <c r="GSL223" s="1201"/>
      <c r="GSM223" s="1201"/>
      <c r="GSN223" s="1201"/>
      <c r="GSO223" s="1201"/>
      <c r="GSP223" s="1201"/>
      <c r="GSQ223" s="1201"/>
      <c r="GSR223" s="1201"/>
      <c r="GSS223" s="1201"/>
      <c r="GST223" s="1201"/>
      <c r="GSU223" s="1201"/>
      <c r="GSV223" s="1201"/>
      <c r="GSW223" s="1201"/>
      <c r="GSX223" s="1201"/>
      <c r="GSY223" s="1201"/>
      <c r="GSZ223" s="1201"/>
      <c r="GTA223" s="1201"/>
      <c r="GTB223" s="1201"/>
      <c r="GTC223" s="1201"/>
      <c r="GTD223" s="1201"/>
      <c r="GTE223" s="1201"/>
      <c r="GTF223" s="1201"/>
      <c r="GTG223" s="1201"/>
      <c r="GTH223" s="1201"/>
      <c r="GTI223" s="1201"/>
      <c r="GTJ223" s="1201"/>
      <c r="GTK223" s="1201"/>
      <c r="GTL223" s="1201"/>
      <c r="GTM223" s="1201"/>
      <c r="GTN223" s="1201"/>
      <c r="GTO223" s="1201"/>
      <c r="GTP223" s="1201"/>
      <c r="GTQ223" s="1201"/>
      <c r="GTR223" s="1201"/>
      <c r="GTS223" s="1201"/>
      <c r="GTT223" s="1201"/>
      <c r="GTU223" s="1201"/>
      <c r="GTV223" s="1201"/>
      <c r="GTW223" s="1201"/>
      <c r="GTX223" s="1201"/>
      <c r="GTY223" s="1201"/>
      <c r="GTZ223" s="1201"/>
      <c r="GUA223" s="1201"/>
      <c r="GUB223" s="1201"/>
      <c r="GUC223" s="1201"/>
      <c r="GUD223" s="1201"/>
      <c r="GUE223" s="1201"/>
      <c r="GUF223" s="1201"/>
      <c r="GUG223" s="1201"/>
      <c r="GUH223" s="1201"/>
      <c r="GUI223" s="1201"/>
      <c r="GUJ223" s="1201"/>
      <c r="GUK223" s="1201"/>
      <c r="GUL223" s="1201"/>
      <c r="GUM223" s="1201"/>
      <c r="GUN223" s="1201"/>
      <c r="GUO223" s="1201"/>
      <c r="GUP223" s="1201"/>
      <c r="GUQ223" s="1201"/>
      <c r="GUR223" s="1201"/>
      <c r="GUS223" s="1201"/>
      <c r="GUT223" s="1201"/>
      <c r="GUU223" s="1201"/>
      <c r="GUV223" s="1201"/>
      <c r="GUW223" s="1201"/>
      <c r="GUX223" s="1201"/>
      <c r="GUY223" s="1201"/>
      <c r="GUZ223" s="1201"/>
      <c r="GVA223" s="1201"/>
      <c r="GVB223" s="1201"/>
      <c r="GVC223" s="1201"/>
      <c r="GVD223" s="1201"/>
      <c r="GVE223" s="1201"/>
      <c r="GVF223" s="1201"/>
      <c r="GVG223" s="1201"/>
      <c r="GVH223" s="1201"/>
      <c r="GVI223" s="1201"/>
      <c r="GVJ223" s="1201"/>
      <c r="GVK223" s="1201"/>
      <c r="GVL223" s="1201"/>
      <c r="GVM223" s="1201"/>
      <c r="GVN223" s="1201"/>
      <c r="GVO223" s="1201"/>
      <c r="GVP223" s="1201"/>
      <c r="GVQ223" s="1201"/>
      <c r="GVR223" s="1201"/>
      <c r="GVS223" s="1201"/>
      <c r="GVT223" s="1201"/>
      <c r="GVU223" s="1201"/>
      <c r="GVV223" s="1201"/>
      <c r="GVW223" s="1201"/>
      <c r="GVX223" s="1201"/>
      <c r="GVY223" s="1201"/>
      <c r="GVZ223" s="1201"/>
      <c r="GWA223" s="1201"/>
      <c r="GWB223" s="1201"/>
      <c r="GWC223" s="1201"/>
      <c r="GWD223" s="1201"/>
      <c r="GWE223" s="1201"/>
      <c r="GWF223" s="1201"/>
      <c r="GWG223" s="1201"/>
      <c r="GWH223" s="1201"/>
      <c r="GWI223" s="1201"/>
      <c r="GWJ223" s="1201"/>
      <c r="GWK223" s="1201"/>
      <c r="GWL223" s="1201"/>
      <c r="GWM223" s="1201"/>
      <c r="GWN223" s="1201"/>
      <c r="GWO223" s="1201"/>
      <c r="GWP223" s="1201"/>
      <c r="GWQ223" s="1201"/>
      <c r="GWR223" s="1201"/>
      <c r="GWS223" s="1201"/>
      <c r="GWT223" s="1201"/>
      <c r="GWU223" s="1201"/>
      <c r="GWV223" s="1201"/>
      <c r="GWW223" s="1201"/>
      <c r="GWX223" s="1201"/>
      <c r="GWY223" s="1201"/>
      <c r="GWZ223" s="1201"/>
      <c r="GXA223" s="1201"/>
      <c r="GXB223" s="1201"/>
      <c r="GXC223" s="1201"/>
      <c r="GXD223" s="1201"/>
      <c r="GXE223" s="1201"/>
      <c r="GXF223" s="1201"/>
      <c r="GXG223" s="1201"/>
      <c r="GXH223" s="1201"/>
      <c r="GXI223" s="1201"/>
      <c r="GXJ223" s="1201"/>
      <c r="GXK223" s="1201"/>
      <c r="GXL223" s="1201"/>
      <c r="GXM223" s="1201"/>
      <c r="GXN223" s="1201"/>
      <c r="GXO223" s="1201"/>
      <c r="GXP223" s="1201"/>
      <c r="GXQ223" s="1201"/>
      <c r="GXR223" s="1201"/>
      <c r="GXS223" s="1201"/>
      <c r="GXT223" s="1201"/>
      <c r="GXU223" s="1201"/>
      <c r="GXV223" s="1201"/>
      <c r="GXW223" s="1201"/>
      <c r="GXX223" s="1201"/>
      <c r="GXY223" s="1201"/>
      <c r="GXZ223" s="1201"/>
      <c r="GYA223" s="1201"/>
      <c r="GYB223" s="1201"/>
      <c r="GYC223" s="1201"/>
      <c r="GYD223" s="1201"/>
      <c r="GYE223" s="1201"/>
      <c r="GYF223" s="1201"/>
      <c r="GYG223" s="1201"/>
      <c r="GYH223" s="1201"/>
      <c r="GYI223" s="1201"/>
      <c r="GYJ223" s="1201"/>
      <c r="GYK223" s="1201"/>
      <c r="GYL223" s="1201"/>
      <c r="GYM223" s="1201"/>
      <c r="GYN223" s="1201"/>
      <c r="GYO223" s="1201"/>
      <c r="GYP223" s="1201"/>
      <c r="GYQ223" s="1201"/>
      <c r="GYR223" s="1201"/>
      <c r="GYS223" s="1201"/>
      <c r="GYT223" s="1201"/>
      <c r="GYU223" s="1201"/>
      <c r="GYV223" s="1201"/>
      <c r="GYW223" s="1201"/>
      <c r="GYX223" s="1201"/>
      <c r="GYY223" s="1201"/>
      <c r="GYZ223" s="1201"/>
      <c r="GZA223" s="1201"/>
      <c r="GZB223" s="1201"/>
      <c r="GZC223" s="1201"/>
      <c r="GZD223" s="1201"/>
      <c r="GZE223" s="1201"/>
      <c r="GZF223" s="1201"/>
      <c r="GZG223" s="1201"/>
      <c r="GZH223" s="1201"/>
      <c r="GZI223" s="1201"/>
      <c r="GZJ223" s="1201"/>
      <c r="GZK223" s="1201"/>
      <c r="GZL223" s="1201"/>
      <c r="GZM223" s="1201"/>
      <c r="GZN223" s="1201"/>
      <c r="GZO223" s="1201"/>
      <c r="GZP223" s="1201"/>
      <c r="GZQ223" s="1201"/>
      <c r="GZR223" s="1201"/>
      <c r="GZS223" s="1201"/>
      <c r="GZT223" s="1201"/>
      <c r="GZU223" s="1201"/>
      <c r="GZV223" s="1201"/>
      <c r="GZW223" s="1201"/>
      <c r="GZX223" s="1201"/>
      <c r="GZY223" s="1201"/>
      <c r="GZZ223" s="1201"/>
      <c r="HAA223" s="1201"/>
      <c r="HAB223" s="1201"/>
      <c r="HAC223" s="1201"/>
      <c r="HAD223" s="1201"/>
      <c r="HAE223" s="1201"/>
      <c r="HAF223" s="1201"/>
      <c r="HAG223" s="1201"/>
      <c r="HAH223" s="1201"/>
      <c r="HAI223" s="1201"/>
      <c r="HAJ223" s="1201"/>
      <c r="HAK223" s="1201"/>
      <c r="HAL223" s="1201"/>
      <c r="HAM223" s="1201"/>
      <c r="HAN223" s="1201"/>
      <c r="HAO223" s="1201"/>
      <c r="HAP223" s="1201"/>
      <c r="HAQ223" s="1201"/>
      <c r="HAR223" s="1201"/>
      <c r="HAS223" s="1201"/>
      <c r="HAT223" s="1201"/>
      <c r="HAU223" s="1201"/>
      <c r="HAV223" s="1201"/>
      <c r="HAW223" s="1201"/>
      <c r="HAX223" s="1201"/>
      <c r="HAY223" s="1201"/>
      <c r="HAZ223" s="1201"/>
      <c r="HBA223" s="1201"/>
      <c r="HBB223" s="1201"/>
      <c r="HBC223" s="1201"/>
      <c r="HBD223" s="1201"/>
      <c r="HBE223" s="1201"/>
      <c r="HBF223" s="1201"/>
      <c r="HBG223" s="1201"/>
      <c r="HBH223" s="1201"/>
      <c r="HBI223" s="1201"/>
      <c r="HBJ223" s="1201"/>
      <c r="HBK223" s="1201"/>
      <c r="HBL223" s="1201"/>
      <c r="HBM223" s="1201"/>
      <c r="HBN223" s="1201"/>
      <c r="HBO223" s="1201"/>
      <c r="HBP223" s="1201"/>
      <c r="HBQ223" s="1201"/>
      <c r="HBR223" s="1201"/>
      <c r="HBS223" s="1201"/>
      <c r="HBT223" s="1201"/>
      <c r="HBU223" s="1201"/>
      <c r="HBV223" s="1201"/>
      <c r="HBW223" s="1201"/>
      <c r="HBX223" s="1201"/>
      <c r="HBY223" s="1201"/>
      <c r="HBZ223" s="1201"/>
      <c r="HCA223" s="1201"/>
      <c r="HCB223" s="1201"/>
      <c r="HCC223" s="1201"/>
      <c r="HCD223" s="1201"/>
      <c r="HCE223" s="1201"/>
      <c r="HCF223" s="1201"/>
      <c r="HCG223" s="1201"/>
      <c r="HCH223" s="1201"/>
      <c r="HCI223" s="1201"/>
      <c r="HCJ223" s="1201"/>
      <c r="HCK223" s="1201"/>
      <c r="HCL223" s="1201"/>
      <c r="HCM223" s="1201"/>
      <c r="HCN223" s="1201"/>
      <c r="HCO223" s="1201"/>
      <c r="HCP223" s="1201"/>
      <c r="HCQ223" s="1201"/>
      <c r="HCR223" s="1201"/>
      <c r="HCS223" s="1201"/>
      <c r="HCT223" s="1201"/>
      <c r="HCU223" s="1201"/>
      <c r="HCV223" s="1201"/>
      <c r="HCW223" s="1201"/>
      <c r="HCX223" s="1201"/>
      <c r="HCY223" s="1201"/>
      <c r="HCZ223" s="1201"/>
      <c r="HDA223" s="1201"/>
      <c r="HDB223" s="1201"/>
      <c r="HDC223" s="1201"/>
      <c r="HDD223" s="1201"/>
      <c r="HDE223" s="1201"/>
      <c r="HDF223" s="1201"/>
      <c r="HDG223" s="1201"/>
      <c r="HDH223" s="1201"/>
      <c r="HDI223" s="1201"/>
      <c r="HDJ223" s="1201"/>
      <c r="HDK223" s="1201"/>
      <c r="HDL223" s="1201"/>
      <c r="HDM223" s="1201"/>
      <c r="HDN223" s="1201"/>
      <c r="HDO223" s="1201"/>
      <c r="HDP223" s="1201"/>
      <c r="HDQ223" s="1201"/>
      <c r="HDR223" s="1201"/>
      <c r="HDS223" s="1201"/>
      <c r="HDT223" s="1201"/>
      <c r="HDU223" s="1201"/>
      <c r="HDV223" s="1201"/>
      <c r="HDW223" s="1201"/>
      <c r="HDX223" s="1201"/>
      <c r="HDY223" s="1201"/>
      <c r="HDZ223" s="1201"/>
      <c r="HEA223" s="1201"/>
      <c r="HEB223" s="1201"/>
      <c r="HEC223" s="1201"/>
      <c r="HED223" s="1201"/>
      <c r="HEE223" s="1201"/>
      <c r="HEF223" s="1201"/>
      <c r="HEG223" s="1201"/>
      <c r="HEH223" s="1201"/>
      <c r="HEI223" s="1201"/>
      <c r="HEJ223" s="1201"/>
      <c r="HEK223" s="1201"/>
      <c r="HEL223" s="1201"/>
      <c r="HEM223" s="1201"/>
      <c r="HEN223" s="1201"/>
      <c r="HEO223" s="1201"/>
      <c r="HEP223" s="1201"/>
      <c r="HEQ223" s="1201"/>
      <c r="HER223" s="1201"/>
      <c r="HES223" s="1201"/>
      <c r="HET223" s="1201"/>
      <c r="HEU223" s="1201"/>
      <c r="HEV223" s="1201"/>
      <c r="HEW223" s="1201"/>
      <c r="HEX223" s="1201"/>
      <c r="HEY223" s="1201"/>
      <c r="HEZ223" s="1201"/>
      <c r="HFA223" s="1201"/>
      <c r="HFB223" s="1201"/>
      <c r="HFC223" s="1201"/>
      <c r="HFD223" s="1201"/>
      <c r="HFE223" s="1201"/>
      <c r="HFF223" s="1201"/>
      <c r="HFG223" s="1201"/>
      <c r="HFH223" s="1201"/>
      <c r="HFI223" s="1201"/>
      <c r="HFJ223" s="1201"/>
      <c r="HFK223" s="1201"/>
      <c r="HFL223" s="1201"/>
      <c r="HFM223" s="1201"/>
      <c r="HFN223" s="1201"/>
      <c r="HFO223" s="1201"/>
      <c r="HFP223" s="1201"/>
      <c r="HFQ223" s="1201"/>
      <c r="HFR223" s="1201"/>
      <c r="HFS223" s="1201"/>
      <c r="HFT223" s="1201"/>
      <c r="HFU223" s="1201"/>
      <c r="HFV223" s="1201"/>
      <c r="HFW223" s="1201"/>
      <c r="HFX223" s="1201"/>
      <c r="HFY223" s="1201"/>
      <c r="HFZ223" s="1201"/>
      <c r="HGA223" s="1201"/>
      <c r="HGB223" s="1201"/>
      <c r="HGC223" s="1201"/>
      <c r="HGD223" s="1201"/>
      <c r="HGE223" s="1201"/>
      <c r="HGF223" s="1201"/>
      <c r="HGG223" s="1201"/>
      <c r="HGH223" s="1201"/>
      <c r="HGI223" s="1201"/>
      <c r="HGJ223" s="1201"/>
      <c r="HGK223" s="1201"/>
      <c r="HGL223" s="1201"/>
      <c r="HGM223" s="1201"/>
      <c r="HGN223" s="1201"/>
      <c r="HGO223" s="1201"/>
      <c r="HGP223" s="1201"/>
      <c r="HGQ223" s="1201"/>
      <c r="HGR223" s="1201"/>
      <c r="HGS223" s="1201"/>
      <c r="HGT223" s="1201"/>
      <c r="HGU223" s="1201"/>
      <c r="HGV223" s="1201"/>
      <c r="HGW223" s="1201"/>
      <c r="HGX223" s="1201"/>
      <c r="HGY223" s="1201"/>
      <c r="HGZ223" s="1201"/>
      <c r="HHA223" s="1201"/>
      <c r="HHB223" s="1201"/>
      <c r="HHC223" s="1201"/>
      <c r="HHD223" s="1201"/>
      <c r="HHE223" s="1201"/>
      <c r="HHF223" s="1201"/>
      <c r="HHG223" s="1201"/>
      <c r="HHH223" s="1201"/>
      <c r="HHI223" s="1201"/>
      <c r="HHJ223" s="1201"/>
      <c r="HHK223" s="1201"/>
      <c r="HHL223" s="1201"/>
      <c r="HHM223" s="1201"/>
      <c r="HHN223" s="1201"/>
      <c r="HHO223" s="1201"/>
      <c r="HHP223" s="1201"/>
      <c r="HHQ223" s="1201"/>
      <c r="HHR223" s="1201"/>
      <c r="HHS223" s="1201"/>
      <c r="HHT223" s="1201"/>
      <c r="HHU223" s="1201"/>
      <c r="HHV223" s="1201"/>
      <c r="HHW223" s="1201"/>
      <c r="HHX223" s="1201"/>
      <c r="HHY223" s="1201"/>
      <c r="HHZ223" s="1201"/>
      <c r="HIA223" s="1201"/>
      <c r="HIB223" s="1201"/>
      <c r="HIC223" s="1201"/>
      <c r="HID223" s="1201"/>
      <c r="HIE223" s="1201"/>
      <c r="HIF223" s="1201"/>
      <c r="HIG223" s="1201"/>
      <c r="HIH223" s="1201"/>
      <c r="HII223" s="1201"/>
      <c r="HIJ223" s="1201"/>
      <c r="HIK223" s="1201"/>
      <c r="HIL223" s="1201"/>
      <c r="HIM223" s="1201"/>
      <c r="HIN223" s="1201"/>
      <c r="HIO223" s="1201"/>
      <c r="HIP223" s="1201"/>
      <c r="HIQ223" s="1201"/>
      <c r="HIR223" s="1201"/>
      <c r="HIS223" s="1201"/>
      <c r="HIT223" s="1201"/>
      <c r="HIU223" s="1201"/>
      <c r="HIV223" s="1201"/>
      <c r="HIW223" s="1201"/>
      <c r="HIX223" s="1201"/>
      <c r="HIY223" s="1201"/>
      <c r="HIZ223" s="1201"/>
      <c r="HJA223" s="1201"/>
      <c r="HJB223" s="1201"/>
      <c r="HJC223" s="1201"/>
      <c r="HJD223" s="1201"/>
      <c r="HJE223" s="1201"/>
      <c r="HJF223" s="1201"/>
      <c r="HJG223" s="1201"/>
      <c r="HJH223" s="1201"/>
      <c r="HJI223" s="1201"/>
      <c r="HJJ223" s="1201"/>
      <c r="HJK223" s="1201"/>
      <c r="HJL223" s="1201"/>
      <c r="HJM223" s="1201"/>
      <c r="HJN223" s="1201"/>
      <c r="HJO223" s="1201"/>
      <c r="HJP223" s="1201"/>
      <c r="HJQ223" s="1201"/>
      <c r="HJR223" s="1201"/>
      <c r="HJS223" s="1201"/>
      <c r="HJT223" s="1201"/>
      <c r="HJU223" s="1201"/>
      <c r="HJV223" s="1201"/>
      <c r="HJW223" s="1201"/>
      <c r="HJX223" s="1201"/>
      <c r="HJY223" s="1201"/>
      <c r="HJZ223" s="1201"/>
      <c r="HKA223" s="1201"/>
      <c r="HKB223" s="1201"/>
      <c r="HKC223" s="1201"/>
      <c r="HKD223" s="1201"/>
      <c r="HKE223" s="1201"/>
      <c r="HKF223" s="1201"/>
      <c r="HKG223" s="1201"/>
      <c r="HKH223" s="1201"/>
      <c r="HKI223" s="1201"/>
      <c r="HKJ223" s="1201"/>
      <c r="HKK223" s="1201"/>
      <c r="HKL223" s="1201"/>
      <c r="HKM223" s="1201"/>
      <c r="HKN223" s="1201"/>
      <c r="HKO223" s="1201"/>
      <c r="HKP223" s="1201"/>
      <c r="HKQ223" s="1201"/>
      <c r="HKR223" s="1201"/>
      <c r="HKS223" s="1201"/>
      <c r="HKT223" s="1201"/>
      <c r="HKU223" s="1201"/>
      <c r="HKV223" s="1201"/>
      <c r="HKW223" s="1201"/>
      <c r="HKX223" s="1201"/>
      <c r="HKY223" s="1201"/>
      <c r="HKZ223" s="1201"/>
      <c r="HLA223" s="1201"/>
      <c r="HLB223" s="1201"/>
      <c r="HLC223" s="1201"/>
      <c r="HLD223" s="1201"/>
      <c r="HLE223" s="1201"/>
      <c r="HLF223" s="1201"/>
      <c r="HLG223" s="1201"/>
      <c r="HLH223" s="1201"/>
      <c r="HLI223" s="1201"/>
      <c r="HLJ223" s="1201"/>
      <c r="HLK223" s="1201"/>
      <c r="HLL223" s="1201"/>
      <c r="HLM223" s="1201"/>
      <c r="HLN223" s="1201"/>
      <c r="HLO223" s="1201"/>
      <c r="HLP223" s="1201"/>
      <c r="HLQ223" s="1201"/>
      <c r="HLR223" s="1201"/>
      <c r="HLS223" s="1201"/>
      <c r="HLT223" s="1201"/>
      <c r="HLU223" s="1201"/>
      <c r="HLV223" s="1201"/>
      <c r="HLW223" s="1201"/>
      <c r="HLX223" s="1201"/>
      <c r="HLY223" s="1201"/>
      <c r="HLZ223" s="1201"/>
      <c r="HMA223" s="1201"/>
      <c r="HMB223" s="1201"/>
      <c r="HMC223" s="1201"/>
      <c r="HMD223" s="1201"/>
      <c r="HME223" s="1201"/>
      <c r="HMF223" s="1201"/>
      <c r="HMG223" s="1201"/>
      <c r="HMH223" s="1201"/>
      <c r="HMI223" s="1201"/>
      <c r="HMJ223" s="1201"/>
      <c r="HMK223" s="1201"/>
      <c r="HML223" s="1201"/>
      <c r="HMM223" s="1201"/>
      <c r="HMN223" s="1201"/>
      <c r="HMO223" s="1201"/>
      <c r="HMP223" s="1201"/>
      <c r="HMQ223" s="1201"/>
      <c r="HMR223" s="1201"/>
      <c r="HMS223" s="1201"/>
      <c r="HMT223" s="1201"/>
      <c r="HMU223" s="1201"/>
      <c r="HMV223" s="1201"/>
      <c r="HMW223" s="1201"/>
      <c r="HMX223" s="1201"/>
      <c r="HMY223" s="1201"/>
      <c r="HMZ223" s="1201"/>
      <c r="HNA223" s="1201"/>
      <c r="HNB223" s="1201"/>
      <c r="HNC223" s="1201"/>
      <c r="HND223" s="1201"/>
      <c r="HNE223" s="1201"/>
      <c r="HNF223" s="1201"/>
      <c r="HNG223" s="1201"/>
      <c r="HNH223" s="1201"/>
      <c r="HNI223" s="1201"/>
      <c r="HNJ223" s="1201"/>
      <c r="HNK223" s="1201"/>
      <c r="HNL223" s="1201"/>
      <c r="HNM223" s="1201"/>
      <c r="HNN223" s="1201"/>
      <c r="HNO223" s="1201"/>
      <c r="HNP223" s="1201"/>
      <c r="HNQ223" s="1201"/>
      <c r="HNR223" s="1201"/>
      <c r="HNS223" s="1201"/>
      <c r="HNT223" s="1201"/>
      <c r="HNU223" s="1201"/>
      <c r="HNV223" s="1201"/>
      <c r="HNW223" s="1201"/>
      <c r="HNX223" s="1201"/>
      <c r="HNY223" s="1201"/>
      <c r="HNZ223" s="1201"/>
      <c r="HOA223" s="1201"/>
      <c r="HOB223" s="1201"/>
      <c r="HOC223" s="1201"/>
      <c r="HOD223" s="1201"/>
      <c r="HOE223" s="1201"/>
      <c r="HOF223" s="1201"/>
      <c r="HOG223" s="1201"/>
      <c r="HOH223" s="1201"/>
      <c r="HOI223" s="1201"/>
      <c r="HOJ223" s="1201"/>
      <c r="HOK223" s="1201"/>
      <c r="HOL223" s="1201"/>
      <c r="HOM223" s="1201"/>
      <c r="HON223" s="1201"/>
      <c r="HOO223" s="1201"/>
      <c r="HOP223" s="1201"/>
      <c r="HOQ223" s="1201"/>
      <c r="HOR223" s="1201"/>
      <c r="HOS223" s="1201"/>
      <c r="HOT223" s="1201"/>
      <c r="HOU223" s="1201"/>
      <c r="HOV223" s="1201"/>
      <c r="HOW223" s="1201"/>
      <c r="HOX223" s="1201"/>
      <c r="HOY223" s="1201"/>
      <c r="HOZ223" s="1201"/>
      <c r="HPA223" s="1201"/>
      <c r="HPB223" s="1201"/>
      <c r="HPC223" s="1201"/>
      <c r="HPD223" s="1201"/>
      <c r="HPE223" s="1201"/>
      <c r="HPF223" s="1201"/>
      <c r="HPG223" s="1201"/>
      <c r="HPH223" s="1201"/>
      <c r="HPI223" s="1201"/>
      <c r="HPJ223" s="1201"/>
      <c r="HPK223" s="1201"/>
      <c r="HPL223" s="1201"/>
      <c r="HPM223" s="1201"/>
      <c r="HPN223" s="1201"/>
      <c r="HPO223" s="1201"/>
      <c r="HPP223" s="1201"/>
      <c r="HPQ223" s="1201"/>
      <c r="HPR223" s="1201"/>
      <c r="HPS223" s="1201"/>
      <c r="HPT223" s="1201"/>
      <c r="HPU223" s="1201"/>
      <c r="HPV223" s="1201"/>
      <c r="HPW223" s="1201"/>
      <c r="HPX223" s="1201"/>
      <c r="HPY223" s="1201"/>
      <c r="HPZ223" s="1201"/>
      <c r="HQA223" s="1201"/>
      <c r="HQB223" s="1201"/>
      <c r="HQC223" s="1201"/>
      <c r="HQD223" s="1201"/>
      <c r="HQE223" s="1201"/>
      <c r="HQF223" s="1201"/>
      <c r="HQG223" s="1201"/>
      <c r="HQH223" s="1201"/>
      <c r="HQI223" s="1201"/>
      <c r="HQJ223" s="1201"/>
      <c r="HQK223" s="1201"/>
      <c r="HQL223" s="1201"/>
      <c r="HQM223" s="1201"/>
      <c r="HQN223" s="1201"/>
      <c r="HQO223" s="1201"/>
      <c r="HQP223" s="1201"/>
      <c r="HQQ223" s="1201"/>
      <c r="HQR223" s="1201"/>
      <c r="HQS223" s="1201"/>
      <c r="HQT223" s="1201"/>
      <c r="HQU223" s="1201"/>
      <c r="HQV223" s="1201"/>
      <c r="HQW223" s="1201"/>
      <c r="HQX223" s="1201"/>
      <c r="HQY223" s="1201"/>
      <c r="HQZ223" s="1201"/>
      <c r="HRA223" s="1201"/>
      <c r="HRB223" s="1201"/>
      <c r="HRC223" s="1201"/>
      <c r="HRD223" s="1201"/>
      <c r="HRE223" s="1201"/>
      <c r="HRF223" s="1201"/>
      <c r="HRG223" s="1201"/>
      <c r="HRH223" s="1201"/>
      <c r="HRI223" s="1201"/>
      <c r="HRJ223" s="1201"/>
      <c r="HRK223" s="1201"/>
      <c r="HRL223" s="1201"/>
      <c r="HRM223" s="1201"/>
      <c r="HRN223" s="1201"/>
      <c r="HRO223" s="1201"/>
      <c r="HRP223" s="1201"/>
      <c r="HRQ223" s="1201"/>
      <c r="HRR223" s="1201"/>
      <c r="HRS223" s="1201"/>
      <c r="HRT223" s="1201"/>
      <c r="HRU223" s="1201"/>
      <c r="HRV223" s="1201"/>
      <c r="HRW223" s="1201"/>
      <c r="HRX223" s="1201"/>
      <c r="HRY223" s="1201"/>
      <c r="HRZ223" s="1201"/>
      <c r="HSA223" s="1201"/>
      <c r="HSB223" s="1201"/>
      <c r="HSC223" s="1201"/>
      <c r="HSD223" s="1201"/>
      <c r="HSE223" s="1201"/>
      <c r="HSF223" s="1201"/>
      <c r="HSG223" s="1201"/>
      <c r="HSH223" s="1201"/>
      <c r="HSI223" s="1201"/>
      <c r="HSJ223" s="1201"/>
      <c r="HSK223" s="1201"/>
      <c r="HSL223" s="1201"/>
      <c r="HSM223" s="1201"/>
      <c r="HSN223" s="1201"/>
      <c r="HSO223" s="1201"/>
      <c r="HSP223" s="1201"/>
      <c r="HSQ223" s="1201"/>
      <c r="HSR223" s="1201"/>
      <c r="HSS223" s="1201"/>
      <c r="HST223" s="1201"/>
      <c r="HSU223" s="1201"/>
      <c r="HSV223" s="1201"/>
      <c r="HSW223" s="1201"/>
      <c r="HSX223" s="1201"/>
      <c r="HSY223" s="1201"/>
      <c r="HSZ223" s="1201"/>
      <c r="HTA223" s="1201"/>
      <c r="HTB223" s="1201"/>
      <c r="HTC223" s="1201"/>
      <c r="HTD223" s="1201"/>
      <c r="HTE223" s="1201"/>
      <c r="HTF223" s="1201"/>
      <c r="HTG223" s="1201"/>
      <c r="HTH223" s="1201"/>
      <c r="HTI223" s="1201"/>
      <c r="HTJ223" s="1201"/>
      <c r="HTK223" s="1201"/>
      <c r="HTL223" s="1201"/>
      <c r="HTM223" s="1201"/>
      <c r="HTN223" s="1201"/>
      <c r="HTO223" s="1201"/>
      <c r="HTP223" s="1201"/>
      <c r="HTQ223" s="1201"/>
      <c r="HTR223" s="1201"/>
      <c r="HTS223" s="1201"/>
      <c r="HTT223" s="1201"/>
      <c r="HTU223" s="1201"/>
      <c r="HTV223" s="1201"/>
      <c r="HTW223" s="1201"/>
      <c r="HTX223" s="1201"/>
      <c r="HTY223" s="1201"/>
      <c r="HTZ223" s="1201"/>
      <c r="HUA223" s="1201"/>
      <c r="HUB223" s="1201"/>
      <c r="HUC223" s="1201"/>
      <c r="HUD223" s="1201"/>
      <c r="HUE223" s="1201"/>
      <c r="HUF223" s="1201"/>
      <c r="HUG223" s="1201"/>
      <c r="HUH223" s="1201"/>
      <c r="HUI223" s="1201"/>
      <c r="HUJ223" s="1201"/>
      <c r="HUK223" s="1201"/>
      <c r="HUL223" s="1201"/>
      <c r="HUM223" s="1201"/>
      <c r="HUN223" s="1201"/>
      <c r="HUO223" s="1201"/>
      <c r="HUP223" s="1201"/>
      <c r="HUQ223" s="1201"/>
      <c r="HUR223" s="1201"/>
      <c r="HUS223" s="1201"/>
      <c r="HUT223" s="1201"/>
      <c r="HUU223" s="1201"/>
      <c r="HUV223" s="1201"/>
      <c r="HUW223" s="1201"/>
      <c r="HUX223" s="1201"/>
      <c r="HUY223" s="1201"/>
      <c r="HUZ223" s="1201"/>
      <c r="HVA223" s="1201"/>
      <c r="HVB223" s="1201"/>
      <c r="HVC223" s="1201"/>
      <c r="HVD223" s="1201"/>
      <c r="HVE223" s="1201"/>
      <c r="HVF223" s="1201"/>
      <c r="HVG223" s="1201"/>
      <c r="HVH223" s="1201"/>
      <c r="HVI223" s="1201"/>
      <c r="HVJ223" s="1201"/>
      <c r="HVK223" s="1201"/>
      <c r="HVL223" s="1201"/>
      <c r="HVM223" s="1201"/>
      <c r="HVN223" s="1201"/>
      <c r="HVO223" s="1201"/>
      <c r="HVP223" s="1201"/>
      <c r="HVQ223" s="1201"/>
      <c r="HVR223" s="1201"/>
      <c r="HVS223" s="1201"/>
      <c r="HVT223" s="1201"/>
      <c r="HVU223" s="1201"/>
      <c r="HVV223" s="1201"/>
      <c r="HVW223" s="1201"/>
      <c r="HVX223" s="1201"/>
      <c r="HVY223" s="1201"/>
      <c r="HVZ223" s="1201"/>
      <c r="HWA223" s="1201"/>
      <c r="HWB223" s="1201"/>
      <c r="HWC223" s="1201"/>
      <c r="HWD223" s="1201"/>
      <c r="HWE223" s="1201"/>
      <c r="HWF223" s="1201"/>
      <c r="HWG223" s="1201"/>
      <c r="HWH223" s="1201"/>
      <c r="HWI223" s="1201"/>
      <c r="HWJ223" s="1201"/>
      <c r="HWK223" s="1201"/>
      <c r="HWL223" s="1201"/>
      <c r="HWM223" s="1201"/>
      <c r="HWN223" s="1201"/>
      <c r="HWO223" s="1201"/>
      <c r="HWP223" s="1201"/>
      <c r="HWQ223" s="1201"/>
      <c r="HWR223" s="1201"/>
      <c r="HWS223" s="1201"/>
      <c r="HWT223" s="1201"/>
      <c r="HWU223" s="1201"/>
      <c r="HWV223" s="1201"/>
      <c r="HWW223" s="1201"/>
      <c r="HWX223" s="1201"/>
      <c r="HWY223" s="1201"/>
      <c r="HWZ223" s="1201"/>
      <c r="HXA223" s="1201"/>
      <c r="HXB223" s="1201"/>
      <c r="HXC223" s="1201"/>
      <c r="HXD223" s="1201"/>
      <c r="HXE223" s="1201"/>
      <c r="HXF223" s="1201"/>
      <c r="HXG223" s="1201"/>
      <c r="HXH223" s="1201"/>
      <c r="HXI223" s="1201"/>
      <c r="HXJ223" s="1201"/>
      <c r="HXK223" s="1201"/>
      <c r="HXL223" s="1201"/>
      <c r="HXM223" s="1201"/>
      <c r="HXN223" s="1201"/>
      <c r="HXO223" s="1201"/>
      <c r="HXP223" s="1201"/>
      <c r="HXQ223" s="1201"/>
      <c r="HXR223" s="1201"/>
      <c r="HXS223" s="1201"/>
      <c r="HXT223" s="1201"/>
      <c r="HXU223" s="1201"/>
      <c r="HXV223" s="1201"/>
      <c r="HXW223" s="1201"/>
      <c r="HXX223" s="1201"/>
      <c r="HXY223" s="1201"/>
      <c r="HXZ223" s="1201"/>
      <c r="HYA223" s="1201"/>
      <c r="HYB223" s="1201"/>
      <c r="HYC223" s="1201"/>
      <c r="HYD223" s="1201"/>
      <c r="HYE223" s="1201"/>
      <c r="HYF223" s="1201"/>
      <c r="HYG223" s="1201"/>
      <c r="HYH223" s="1201"/>
      <c r="HYI223" s="1201"/>
      <c r="HYJ223" s="1201"/>
      <c r="HYK223" s="1201"/>
      <c r="HYL223" s="1201"/>
      <c r="HYM223" s="1201"/>
      <c r="HYN223" s="1201"/>
      <c r="HYO223" s="1201"/>
      <c r="HYP223" s="1201"/>
      <c r="HYQ223" s="1201"/>
      <c r="HYR223" s="1201"/>
      <c r="HYS223" s="1201"/>
      <c r="HYT223" s="1201"/>
      <c r="HYU223" s="1201"/>
      <c r="HYV223" s="1201"/>
      <c r="HYW223" s="1201"/>
      <c r="HYX223" s="1201"/>
      <c r="HYY223" s="1201"/>
      <c r="HYZ223" s="1201"/>
      <c r="HZA223" s="1201"/>
      <c r="HZB223" s="1201"/>
      <c r="HZC223" s="1201"/>
      <c r="HZD223" s="1201"/>
      <c r="HZE223" s="1201"/>
      <c r="HZF223" s="1201"/>
      <c r="HZG223" s="1201"/>
      <c r="HZH223" s="1201"/>
      <c r="HZI223" s="1201"/>
      <c r="HZJ223" s="1201"/>
      <c r="HZK223" s="1201"/>
      <c r="HZL223" s="1201"/>
      <c r="HZM223" s="1201"/>
      <c r="HZN223" s="1201"/>
      <c r="HZO223" s="1201"/>
      <c r="HZP223" s="1201"/>
      <c r="HZQ223" s="1201"/>
      <c r="HZR223" s="1201"/>
      <c r="HZS223" s="1201"/>
      <c r="HZT223" s="1201"/>
      <c r="HZU223" s="1201"/>
      <c r="HZV223" s="1201"/>
      <c r="HZW223" s="1201"/>
      <c r="HZX223" s="1201"/>
      <c r="HZY223" s="1201"/>
      <c r="HZZ223" s="1201"/>
      <c r="IAA223" s="1201"/>
      <c r="IAB223" s="1201"/>
      <c r="IAC223" s="1201"/>
      <c r="IAD223" s="1201"/>
      <c r="IAE223" s="1201"/>
      <c r="IAF223" s="1201"/>
      <c r="IAG223" s="1201"/>
      <c r="IAH223" s="1201"/>
      <c r="IAI223" s="1201"/>
      <c r="IAJ223" s="1201"/>
      <c r="IAK223" s="1201"/>
      <c r="IAL223" s="1201"/>
      <c r="IAM223" s="1201"/>
      <c r="IAN223" s="1201"/>
      <c r="IAO223" s="1201"/>
      <c r="IAP223" s="1201"/>
      <c r="IAQ223" s="1201"/>
      <c r="IAR223" s="1201"/>
      <c r="IAS223" s="1201"/>
      <c r="IAT223" s="1201"/>
      <c r="IAU223" s="1201"/>
      <c r="IAV223" s="1201"/>
      <c r="IAW223" s="1201"/>
      <c r="IAX223" s="1201"/>
      <c r="IAY223" s="1201"/>
      <c r="IAZ223" s="1201"/>
      <c r="IBA223" s="1201"/>
      <c r="IBB223" s="1201"/>
      <c r="IBC223" s="1201"/>
      <c r="IBD223" s="1201"/>
      <c r="IBE223" s="1201"/>
      <c r="IBF223" s="1201"/>
      <c r="IBG223" s="1201"/>
      <c r="IBH223" s="1201"/>
      <c r="IBI223" s="1201"/>
      <c r="IBJ223" s="1201"/>
      <c r="IBK223" s="1201"/>
      <c r="IBL223" s="1201"/>
      <c r="IBM223" s="1201"/>
      <c r="IBN223" s="1201"/>
      <c r="IBO223" s="1201"/>
      <c r="IBP223" s="1201"/>
      <c r="IBQ223" s="1201"/>
      <c r="IBR223" s="1201"/>
      <c r="IBS223" s="1201"/>
      <c r="IBT223" s="1201"/>
      <c r="IBU223" s="1201"/>
      <c r="IBV223" s="1201"/>
      <c r="IBW223" s="1201"/>
      <c r="IBX223" s="1201"/>
      <c r="IBY223" s="1201"/>
      <c r="IBZ223" s="1201"/>
      <c r="ICA223" s="1201"/>
      <c r="ICB223" s="1201"/>
      <c r="ICC223" s="1201"/>
      <c r="ICD223" s="1201"/>
      <c r="ICE223" s="1201"/>
      <c r="ICF223" s="1201"/>
      <c r="ICG223" s="1201"/>
      <c r="ICH223" s="1201"/>
      <c r="ICI223" s="1201"/>
      <c r="ICJ223" s="1201"/>
      <c r="ICK223" s="1201"/>
      <c r="ICL223" s="1201"/>
      <c r="ICM223" s="1201"/>
      <c r="ICN223" s="1201"/>
      <c r="ICO223" s="1201"/>
      <c r="ICP223" s="1201"/>
      <c r="ICQ223" s="1201"/>
      <c r="ICR223" s="1201"/>
      <c r="ICS223" s="1201"/>
      <c r="ICT223" s="1201"/>
      <c r="ICU223" s="1201"/>
      <c r="ICV223" s="1201"/>
      <c r="ICW223" s="1201"/>
      <c r="ICX223" s="1201"/>
      <c r="ICY223" s="1201"/>
      <c r="ICZ223" s="1201"/>
      <c r="IDA223" s="1201"/>
      <c r="IDB223" s="1201"/>
      <c r="IDC223" s="1201"/>
      <c r="IDD223" s="1201"/>
      <c r="IDE223" s="1201"/>
      <c r="IDF223" s="1201"/>
      <c r="IDG223" s="1201"/>
      <c r="IDH223" s="1201"/>
      <c r="IDI223" s="1201"/>
      <c r="IDJ223" s="1201"/>
      <c r="IDK223" s="1201"/>
      <c r="IDL223" s="1201"/>
      <c r="IDM223" s="1201"/>
      <c r="IDN223" s="1201"/>
      <c r="IDO223" s="1201"/>
      <c r="IDP223" s="1201"/>
      <c r="IDQ223" s="1201"/>
      <c r="IDR223" s="1201"/>
      <c r="IDS223" s="1201"/>
      <c r="IDT223" s="1201"/>
      <c r="IDU223" s="1201"/>
      <c r="IDV223" s="1201"/>
      <c r="IDW223" s="1201"/>
      <c r="IDX223" s="1201"/>
      <c r="IDY223" s="1201"/>
      <c r="IDZ223" s="1201"/>
      <c r="IEA223" s="1201"/>
      <c r="IEB223" s="1201"/>
      <c r="IEC223" s="1201"/>
      <c r="IED223" s="1201"/>
      <c r="IEE223" s="1201"/>
      <c r="IEF223" s="1201"/>
      <c r="IEG223" s="1201"/>
      <c r="IEH223" s="1201"/>
      <c r="IEI223" s="1201"/>
      <c r="IEJ223" s="1201"/>
      <c r="IEK223" s="1201"/>
      <c r="IEL223" s="1201"/>
      <c r="IEM223" s="1201"/>
      <c r="IEN223" s="1201"/>
      <c r="IEO223" s="1201"/>
      <c r="IEP223" s="1201"/>
      <c r="IEQ223" s="1201"/>
      <c r="IER223" s="1201"/>
      <c r="IES223" s="1201"/>
      <c r="IET223" s="1201"/>
      <c r="IEU223" s="1201"/>
      <c r="IEV223" s="1201"/>
      <c r="IEW223" s="1201"/>
      <c r="IEX223" s="1201"/>
      <c r="IEY223" s="1201"/>
      <c r="IEZ223" s="1201"/>
      <c r="IFA223" s="1201"/>
      <c r="IFB223" s="1201"/>
      <c r="IFC223" s="1201"/>
      <c r="IFD223" s="1201"/>
      <c r="IFE223" s="1201"/>
      <c r="IFF223" s="1201"/>
      <c r="IFG223" s="1201"/>
      <c r="IFH223" s="1201"/>
      <c r="IFI223" s="1201"/>
      <c r="IFJ223" s="1201"/>
      <c r="IFK223" s="1201"/>
      <c r="IFL223" s="1201"/>
      <c r="IFM223" s="1201"/>
      <c r="IFN223" s="1201"/>
      <c r="IFO223" s="1201"/>
      <c r="IFP223" s="1201"/>
      <c r="IFQ223" s="1201"/>
      <c r="IFR223" s="1201"/>
      <c r="IFS223" s="1201"/>
      <c r="IFT223" s="1201"/>
      <c r="IFU223" s="1201"/>
      <c r="IFV223" s="1201"/>
      <c r="IFW223" s="1201"/>
      <c r="IFX223" s="1201"/>
      <c r="IFY223" s="1201"/>
      <c r="IFZ223" s="1201"/>
      <c r="IGA223" s="1201"/>
      <c r="IGB223" s="1201"/>
      <c r="IGC223" s="1201"/>
      <c r="IGD223" s="1201"/>
      <c r="IGE223" s="1201"/>
      <c r="IGF223" s="1201"/>
      <c r="IGG223" s="1201"/>
      <c r="IGH223" s="1201"/>
      <c r="IGI223" s="1201"/>
      <c r="IGJ223" s="1201"/>
      <c r="IGK223" s="1201"/>
      <c r="IGL223" s="1201"/>
      <c r="IGM223" s="1201"/>
      <c r="IGN223" s="1201"/>
      <c r="IGO223" s="1201"/>
      <c r="IGP223" s="1201"/>
      <c r="IGQ223" s="1201"/>
      <c r="IGR223" s="1201"/>
      <c r="IGS223" s="1201"/>
      <c r="IGT223" s="1201"/>
      <c r="IGU223" s="1201"/>
      <c r="IGV223" s="1201"/>
      <c r="IGW223" s="1201"/>
      <c r="IGX223" s="1201"/>
      <c r="IGY223" s="1201"/>
      <c r="IGZ223" s="1201"/>
      <c r="IHA223" s="1201"/>
      <c r="IHB223" s="1201"/>
      <c r="IHC223" s="1201"/>
      <c r="IHD223" s="1201"/>
      <c r="IHE223" s="1201"/>
      <c r="IHF223" s="1201"/>
      <c r="IHG223" s="1201"/>
      <c r="IHH223" s="1201"/>
      <c r="IHI223" s="1201"/>
      <c r="IHJ223" s="1201"/>
      <c r="IHK223" s="1201"/>
      <c r="IHL223" s="1201"/>
      <c r="IHM223" s="1201"/>
      <c r="IHN223" s="1201"/>
      <c r="IHO223" s="1201"/>
      <c r="IHP223" s="1201"/>
      <c r="IHQ223" s="1201"/>
      <c r="IHR223" s="1201"/>
      <c r="IHS223" s="1201"/>
      <c r="IHT223" s="1201"/>
      <c r="IHU223" s="1201"/>
      <c r="IHV223" s="1201"/>
      <c r="IHW223" s="1201"/>
      <c r="IHX223" s="1201"/>
      <c r="IHY223" s="1201"/>
      <c r="IHZ223" s="1201"/>
      <c r="IIA223" s="1201"/>
      <c r="IIB223" s="1201"/>
      <c r="IIC223" s="1201"/>
      <c r="IID223" s="1201"/>
      <c r="IIE223" s="1201"/>
      <c r="IIF223" s="1201"/>
      <c r="IIG223" s="1201"/>
      <c r="IIH223" s="1201"/>
      <c r="III223" s="1201"/>
      <c r="IIJ223" s="1201"/>
      <c r="IIK223" s="1201"/>
      <c r="IIL223" s="1201"/>
      <c r="IIM223" s="1201"/>
      <c r="IIN223" s="1201"/>
      <c r="IIO223" s="1201"/>
      <c r="IIP223" s="1201"/>
      <c r="IIQ223" s="1201"/>
      <c r="IIR223" s="1201"/>
      <c r="IIS223" s="1201"/>
      <c r="IIT223" s="1201"/>
      <c r="IIU223" s="1201"/>
      <c r="IIV223" s="1201"/>
      <c r="IIW223" s="1201"/>
      <c r="IIX223" s="1201"/>
      <c r="IIY223" s="1201"/>
      <c r="IIZ223" s="1201"/>
      <c r="IJA223" s="1201"/>
      <c r="IJB223" s="1201"/>
      <c r="IJC223" s="1201"/>
      <c r="IJD223" s="1201"/>
      <c r="IJE223" s="1201"/>
      <c r="IJF223" s="1201"/>
      <c r="IJG223" s="1201"/>
      <c r="IJH223" s="1201"/>
      <c r="IJI223" s="1201"/>
      <c r="IJJ223" s="1201"/>
      <c r="IJK223" s="1201"/>
      <c r="IJL223" s="1201"/>
      <c r="IJM223" s="1201"/>
      <c r="IJN223" s="1201"/>
      <c r="IJO223" s="1201"/>
      <c r="IJP223" s="1201"/>
      <c r="IJQ223" s="1201"/>
      <c r="IJR223" s="1201"/>
      <c r="IJS223" s="1201"/>
      <c r="IJT223" s="1201"/>
      <c r="IJU223" s="1201"/>
      <c r="IJV223" s="1201"/>
      <c r="IJW223" s="1201"/>
      <c r="IJX223" s="1201"/>
      <c r="IJY223" s="1201"/>
      <c r="IJZ223" s="1201"/>
      <c r="IKA223" s="1201"/>
      <c r="IKB223" s="1201"/>
      <c r="IKC223" s="1201"/>
      <c r="IKD223" s="1201"/>
      <c r="IKE223" s="1201"/>
      <c r="IKF223" s="1201"/>
      <c r="IKG223" s="1201"/>
      <c r="IKH223" s="1201"/>
      <c r="IKI223" s="1201"/>
      <c r="IKJ223" s="1201"/>
      <c r="IKK223" s="1201"/>
      <c r="IKL223" s="1201"/>
      <c r="IKM223" s="1201"/>
      <c r="IKN223" s="1201"/>
      <c r="IKO223" s="1201"/>
      <c r="IKP223" s="1201"/>
      <c r="IKQ223" s="1201"/>
      <c r="IKR223" s="1201"/>
      <c r="IKS223" s="1201"/>
      <c r="IKT223" s="1201"/>
      <c r="IKU223" s="1201"/>
      <c r="IKV223" s="1201"/>
      <c r="IKW223" s="1201"/>
      <c r="IKX223" s="1201"/>
      <c r="IKY223" s="1201"/>
      <c r="IKZ223" s="1201"/>
      <c r="ILA223" s="1201"/>
      <c r="ILB223" s="1201"/>
      <c r="ILC223" s="1201"/>
      <c r="ILD223" s="1201"/>
      <c r="ILE223" s="1201"/>
      <c r="ILF223" s="1201"/>
      <c r="ILG223" s="1201"/>
      <c r="ILH223" s="1201"/>
      <c r="ILI223" s="1201"/>
      <c r="ILJ223" s="1201"/>
      <c r="ILK223" s="1201"/>
      <c r="ILL223" s="1201"/>
      <c r="ILM223" s="1201"/>
      <c r="ILN223" s="1201"/>
      <c r="ILO223" s="1201"/>
      <c r="ILP223" s="1201"/>
      <c r="ILQ223" s="1201"/>
      <c r="ILR223" s="1201"/>
      <c r="ILS223" s="1201"/>
      <c r="ILT223" s="1201"/>
      <c r="ILU223" s="1201"/>
      <c r="ILV223" s="1201"/>
      <c r="ILW223" s="1201"/>
      <c r="ILX223" s="1201"/>
      <c r="ILY223" s="1201"/>
      <c r="ILZ223" s="1201"/>
      <c r="IMA223" s="1201"/>
      <c r="IMB223" s="1201"/>
      <c r="IMC223" s="1201"/>
      <c r="IMD223" s="1201"/>
      <c r="IME223" s="1201"/>
      <c r="IMF223" s="1201"/>
      <c r="IMG223" s="1201"/>
      <c r="IMH223" s="1201"/>
      <c r="IMI223" s="1201"/>
      <c r="IMJ223" s="1201"/>
      <c r="IMK223" s="1201"/>
      <c r="IML223" s="1201"/>
      <c r="IMM223" s="1201"/>
      <c r="IMN223" s="1201"/>
      <c r="IMO223" s="1201"/>
      <c r="IMP223" s="1201"/>
      <c r="IMQ223" s="1201"/>
      <c r="IMR223" s="1201"/>
      <c r="IMS223" s="1201"/>
      <c r="IMT223" s="1201"/>
      <c r="IMU223" s="1201"/>
      <c r="IMV223" s="1201"/>
      <c r="IMW223" s="1201"/>
      <c r="IMX223" s="1201"/>
      <c r="IMY223" s="1201"/>
      <c r="IMZ223" s="1201"/>
      <c r="INA223" s="1201"/>
      <c r="INB223" s="1201"/>
      <c r="INC223" s="1201"/>
      <c r="IND223" s="1201"/>
      <c r="INE223" s="1201"/>
      <c r="INF223" s="1201"/>
      <c r="ING223" s="1201"/>
      <c r="INH223" s="1201"/>
      <c r="INI223" s="1201"/>
      <c r="INJ223" s="1201"/>
      <c r="INK223" s="1201"/>
      <c r="INL223" s="1201"/>
      <c r="INM223" s="1201"/>
      <c r="INN223" s="1201"/>
      <c r="INO223" s="1201"/>
      <c r="INP223" s="1201"/>
      <c r="INQ223" s="1201"/>
      <c r="INR223" s="1201"/>
      <c r="INS223" s="1201"/>
      <c r="INT223" s="1201"/>
      <c r="INU223" s="1201"/>
      <c r="INV223" s="1201"/>
      <c r="INW223" s="1201"/>
      <c r="INX223" s="1201"/>
      <c r="INY223" s="1201"/>
      <c r="INZ223" s="1201"/>
      <c r="IOA223" s="1201"/>
      <c r="IOB223" s="1201"/>
      <c r="IOC223" s="1201"/>
      <c r="IOD223" s="1201"/>
      <c r="IOE223" s="1201"/>
      <c r="IOF223" s="1201"/>
      <c r="IOG223" s="1201"/>
      <c r="IOH223" s="1201"/>
      <c r="IOI223" s="1201"/>
      <c r="IOJ223" s="1201"/>
      <c r="IOK223" s="1201"/>
      <c r="IOL223" s="1201"/>
      <c r="IOM223" s="1201"/>
      <c r="ION223" s="1201"/>
      <c r="IOO223" s="1201"/>
      <c r="IOP223" s="1201"/>
      <c r="IOQ223" s="1201"/>
      <c r="IOR223" s="1201"/>
      <c r="IOS223" s="1201"/>
      <c r="IOT223" s="1201"/>
      <c r="IOU223" s="1201"/>
      <c r="IOV223" s="1201"/>
      <c r="IOW223" s="1201"/>
      <c r="IOX223" s="1201"/>
      <c r="IOY223" s="1201"/>
      <c r="IOZ223" s="1201"/>
      <c r="IPA223" s="1201"/>
      <c r="IPB223" s="1201"/>
      <c r="IPC223" s="1201"/>
      <c r="IPD223" s="1201"/>
      <c r="IPE223" s="1201"/>
      <c r="IPF223" s="1201"/>
      <c r="IPG223" s="1201"/>
      <c r="IPH223" s="1201"/>
      <c r="IPI223" s="1201"/>
      <c r="IPJ223" s="1201"/>
      <c r="IPK223" s="1201"/>
      <c r="IPL223" s="1201"/>
      <c r="IPM223" s="1201"/>
      <c r="IPN223" s="1201"/>
      <c r="IPO223" s="1201"/>
      <c r="IPP223" s="1201"/>
      <c r="IPQ223" s="1201"/>
      <c r="IPR223" s="1201"/>
      <c r="IPS223" s="1201"/>
      <c r="IPT223" s="1201"/>
      <c r="IPU223" s="1201"/>
      <c r="IPV223" s="1201"/>
      <c r="IPW223" s="1201"/>
      <c r="IPX223" s="1201"/>
      <c r="IPY223" s="1201"/>
      <c r="IPZ223" s="1201"/>
      <c r="IQA223" s="1201"/>
      <c r="IQB223" s="1201"/>
      <c r="IQC223" s="1201"/>
      <c r="IQD223" s="1201"/>
      <c r="IQE223" s="1201"/>
      <c r="IQF223" s="1201"/>
      <c r="IQG223" s="1201"/>
      <c r="IQH223" s="1201"/>
      <c r="IQI223" s="1201"/>
      <c r="IQJ223" s="1201"/>
      <c r="IQK223" s="1201"/>
      <c r="IQL223" s="1201"/>
      <c r="IQM223" s="1201"/>
      <c r="IQN223" s="1201"/>
      <c r="IQO223" s="1201"/>
      <c r="IQP223" s="1201"/>
      <c r="IQQ223" s="1201"/>
      <c r="IQR223" s="1201"/>
      <c r="IQS223" s="1201"/>
      <c r="IQT223" s="1201"/>
      <c r="IQU223" s="1201"/>
      <c r="IQV223" s="1201"/>
      <c r="IQW223" s="1201"/>
      <c r="IQX223" s="1201"/>
      <c r="IQY223" s="1201"/>
      <c r="IQZ223" s="1201"/>
      <c r="IRA223" s="1201"/>
      <c r="IRB223" s="1201"/>
      <c r="IRC223" s="1201"/>
      <c r="IRD223" s="1201"/>
      <c r="IRE223" s="1201"/>
      <c r="IRF223" s="1201"/>
      <c r="IRG223" s="1201"/>
      <c r="IRH223" s="1201"/>
      <c r="IRI223" s="1201"/>
      <c r="IRJ223" s="1201"/>
      <c r="IRK223" s="1201"/>
      <c r="IRL223" s="1201"/>
      <c r="IRM223" s="1201"/>
      <c r="IRN223" s="1201"/>
      <c r="IRO223" s="1201"/>
      <c r="IRP223" s="1201"/>
      <c r="IRQ223" s="1201"/>
      <c r="IRR223" s="1201"/>
      <c r="IRS223" s="1201"/>
      <c r="IRT223" s="1201"/>
      <c r="IRU223" s="1201"/>
      <c r="IRV223" s="1201"/>
      <c r="IRW223" s="1201"/>
      <c r="IRX223" s="1201"/>
      <c r="IRY223" s="1201"/>
      <c r="IRZ223" s="1201"/>
      <c r="ISA223" s="1201"/>
      <c r="ISB223" s="1201"/>
      <c r="ISC223" s="1201"/>
      <c r="ISD223" s="1201"/>
      <c r="ISE223" s="1201"/>
      <c r="ISF223" s="1201"/>
      <c r="ISG223" s="1201"/>
      <c r="ISH223" s="1201"/>
      <c r="ISI223" s="1201"/>
      <c r="ISJ223" s="1201"/>
      <c r="ISK223" s="1201"/>
      <c r="ISL223" s="1201"/>
      <c r="ISM223" s="1201"/>
      <c r="ISN223" s="1201"/>
      <c r="ISO223" s="1201"/>
      <c r="ISP223" s="1201"/>
      <c r="ISQ223" s="1201"/>
      <c r="ISR223" s="1201"/>
      <c r="ISS223" s="1201"/>
      <c r="IST223" s="1201"/>
      <c r="ISU223" s="1201"/>
      <c r="ISV223" s="1201"/>
      <c r="ISW223" s="1201"/>
      <c r="ISX223" s="1201"/>
      <c r="ISY223" s="1201"/>
      <c r="ISZ223" s="1201"/>
      <c r="ITA223" s="1201"/>
      <c r="ITB223" s="1201"/>
      <c r="ITC223" s="1201"/>
      <c r="ITD223" s="1201"/>
      <c r="ITE223" s="1201"/>
      <c r="ITF223" s="1201"/>
      <c r="ITG223" s="1201"/>
      <c r="ITH223" s="1201"/>
      <c r="ITI223" s="1201"/>
      <c r="ITJ223" s="1201"/>
      <c r="ITK223" s="1201"/>
      <c r="ITL223" s="1201"/>
      <c r="ITM223" s="1201"/>
      <c r="ITN223" s="1201"/>
      <c r="ITO223" s="1201"/>
      <c r="ITP223" s="1201"/>
      <c r="ITQ223" s="1201"/>
      <c r="ITR223" s="1201"/>
      <c r="ITS223" s="1201"/>
      <c r="ITT223" s="1201"/>
      <c r="ITU223" s="1201"/>
      <c r="ITV223" s="1201"/>
      <c r="ITW223" s="1201"/>
      <c r="ITX223" s="1201"/>
      <c r="ITY223" s="1201"/>
      <c r="ITZ223" s="1201"/>
      <c r="IUA223" s="1201"/>
      <c r="IUB223" s="1201"/>
      <c r="IUC223" s="1201"/>
      <c r="IUD223" s="1201"/>
      <c r="IUE223" s="1201"/>
      <c r="IUF223" s="1201"/>
      <c r="IUG223" s="1201"/>
      <c r="IUH223" s="1201"/>
      <c r="IUI223" s="1201"/>
      <c r="IUJ223" s="1201"/>
      <c r="IUK223" s="1201"/>
      <c r="IUL223" s="1201"/>
      <c r="IUM223" s="1201"/>
      <c r="IUN223" s="1201"/>
      <c r="IUO223" s="1201"/>
      <c r="IUP223" s="1201"/>
      <c r="IUQ223" s="1201"/>
      <c r="IUR223" s="1201"/>
      <c r="IUS223" s="1201"/>
      <c r="IUT223" s="1201"/>
      <c r="IUU223" s="1201"/>
      <c r="IUV223" s="1201"/>
      <c r="IUW223" s="1201"/>
      <c r="IUX223" s="1201"/>
      <c r="IUY223" s="1201"/>
      <c r="IUZ223" s="1201"/>
      <c r="IVA223" s="1201"/>
      <c r="IVB223" s="1201"/>
      <c r="IVC223" s="1201"/>
      <c r="IVD223" s="1201"/>
      <c r="IVE223" s="1201"/>
      <c r="IVF223" s="1201"/>
      <c r="IVG223" s="1201"/>
      <c r="IVH223" s="1201"/>
      <c r="IVI223" s="1201"/>
      <c r="IVJ223" s="1201"/>
      <c r="IVK223" s="1201"/>
      <c r="IVL223" s="1201"/>
      <c r="IVM223" s="1201"/>
      <c r="IVN223" s="1201"/>
      <c r="IVO223" s="1201"/>
      <c r="IVP223" s="1201"/>
      <c r="IVQ223" s="1201"/>
      <c r="IVR223" s="1201"/>
      <c r="IVS223" s="1201"/>
      <c r="IVT223" s="1201"/>
      <c r="IVU223" s="1201"/>
      <c r="IVV223" s="1201"/>
      <c r="IVW223" s="1201"/>
      <c r="IVX223" s="1201"/>
      <c r="IVY223" s="1201"/>
      <c r="IVZ223" s="1201"/>
      <c r="IWA223" s="1201"/>
      <c r="IWB223" s="1201"/>
      <c r="IWC223" s="1201"/>
      <c r="IWD223" s="1201"/>
      <c r="IWE223" s="1201"/>
      <c r="IWF223" s="1201"/>
      <c r="IWG223" s="1201"/>
      <c r="IWH223" s="1201"/>
      <c r="IWI223" s="1201"/>
      <c r="IWJ223" s="1201"/>
      <c r="IWK223" s="1201"/>
      <c r="IWL223" s="1201"/>
      <c r="IWM223" s="1201"/>
      <c r="IWN223" s="1201"/>
      <c r="IWO223" s="1201"/>
      <c r="IWP223" s="1201"/>
      <c r="IWQ223" s="1201"/>
      <c r="IWR223" s="1201"/>
      <c r="IWS223" s="1201"/>
      <c r="IWT223" s="1201"/>
      <c r="IWU223" s="1201"/>
      <c r="IWV223" s="1201"/>
      <c r="IWW223" s="1201"/>
      <c r="IWX223" s="1201"/>
      <c r="IWY223" s="1201"/>
      <c r="IWZ223" s="1201"/>
      <c r="IXA223" s="1201"/>
      <c r="IXB223" s="1201"/>
      <c r="IXC223" s="1201"/>
      <c r="IXD223" s="1201"/>
      <c r="IXE223" s="1201"/>
      <c r="IXF223" s="1201"/>
      <c r="IXG223" s="1201"/>
      <c r="IXH223" s="1201"/>
      <c r="IXI223" s="1201"/>
      <c r="IXJ223" s="1201"/>
      <c r="IXK223" s="1201"/>
      <c r="IXL223" s="1201"/>
      <c r="IXM223" s="1201"/>
      <c r="IXN223" s="1201"/>
      <c r="IXO223" s="1201"/>
      <c r="IXP223" s="1201"/>
      <c r="IXQ223" s="1201"/>
      <c r="IXR223" s="1201"/>
      <c r="IXS223" s="1201"/>
      <c r="IXT223" s="1201"/>
      <c r="IXU223" s="1201"/>
      <c r="IXV223" s="1201"/>
      <c r="IXW223" s="1201"/>
      <c r="IXX223" s="1201"/>
      <c r="IXY223" s="1201"/>
      <c r="IXZ223" s="1201"/>
      <c r="IYA223" s="1201"/>
      <c r="IYB223" s="1201"/>
      <c r="IYC223" s="1201"/>
      <c r="IYD223" s="1201"/>
      <c r="IYE223" s="1201"/>
      <c r="IYF223" s="1201"/>
      <c r="IYG223" s="1201"/>
      <c r="IYH223" s="1201"/>
      <c r="IYI223" s="1201"/>
      <c r="IYJ223" s="1201"/>
      <c r="IYK223" s="1201"/>
      <c r="IYL223" s="1201"/>
      <c r="IYM223" s="1201"/>
      <c r="IYN223" s="1201"/>
      <c r="IYO223" s="1201"/>
      <c r="IYP223" s="1201"/>
      <c r="IYQ223" s="1201"/>
      <c r="IYR223" s="1201"/>
      <c r="IYS223" s="1201"/>
      <c r="IYT223" s="1201"/>
      <c r="IYU223" s="1201"/>
      <c r="IYV223" s="1201"/>
      <c r="IYW223" s="1201"/>
      <c r="IYX223" s="1201"/>
      <c r="IYY223" s="1201"/>
      <c r="IYZ223" s="1201"/>
      <c r="IZA223" s="1201"/>
      <c r="IZB223" s="1201"/>
      <c r="IZC223" s="1201"/>
      <c r="IZD223" s="1201"/>
      <c r="IZE223" s="1201"/>
      <c r="IZF223" s="1201"/>
      <c r="IZG223" s="1201"/>
      <c r="IZH223" s="1201"/>
      <c r="IZI223" s="1201"/>
      <c r="IZJ223" s="1201"/>
      <c r="IZK223" s="1201"/>
      <c r="IZL223" s="1201"/>
      <c r="IZM223" s="1201"/>
      <c r="IZN223" s="1201"/>
      <c r="IZO223" s="1201"/>
      <c r="IZP223" s="1201"/>
      <c r="IZQ223" s="1201"/>
      <c r="IZR223" s="1201"/>
      <c r="IZS223" s="1201"/>
      <c r="IZT223" s="1201"/>
      <c r="IZU223" s="1201"/>
      <c r="IZV223" s="1201"/>
      <c r="IZW223" s="1201"/>
      <c r="IZX223" s="1201"/>
      <c r="IZY223" s="1201"/>
      <c r="IZZ223" s="1201"/>
      <c r="JAA223" s="1201"/>
      <c r="JAB223" s="1201"/>
      <c r="JAC223" s="1201"/>
      <c r="JAD223" s="1201"/>
      <c r="JAE223" s="1201"/>
      <c r="JAF223" s="1201"/>
      <c r="JAG223" s="1201"/>
      <c r="JAH223" s="1201"/>
      <c r="JAI223" s="1201"/>
      <c r="JAJ223" s="1201"/>
      <c r="JAK223" s="1201"/>
      <c r="JAL223" s="1201"/>
      <c r="JAM223" s="1201"/>
      <c r="JAN223" s="1201"/>
      <c r="JAO223" s="1201"/>
      <c r="JAP223" s="1201"/>
      <c r="JAQ223" s="1201"/>
      <c r="JAR223" s="1201"/>
      <c r="JAS223" s="1201"/>
      <c r="JAT223" s="1201"/>
      <c r="JAU223" s="1201"/>
      <c r="JAV223" s="1201"/>
      <c r="JAW223" s="1201"/>
      <c r="JAX223" s="1201"/>
      <c r="JAY223" s="1201"/>
      <c r="JAZ223" s="1201"/>
      <c r="JBA223" s="1201"/>
      <c r="JBB223" s="1201"/>
      <c r="JBC223" s="1201"/>
      <c r="JBD223" s="1201"/>
      <c r="JBE223" s="1201"/>
      <c r="JBF223" s="1201"/>
      <c r="JBG223" s="1201"/>
      <c r="JBH223" s="1201"/>
      <c r="JBI223" s="1201"/>
      <c r="JBJ223" s="1201"/>
      <c r="JBK223" s="1201"/>
      <c r="JBL223" s="1201"/>
      <c r="JBM223" s="1201"/>
      <c r="JBN223" s="1201"/>
      <c r="JBO223" s="1201"/>
      <c r="JBP223" s="1201"/>
      <c r="JBQ223" s="1201"/>
      <c r="JBR223" s="1201"/>
      <c r="JBS223" s="1201"/>
      <c r="JBT223" s="1201"/>
      <c r="JBU223" s="1201"/>
      <c r="JBV223" s="1201"/>
      <c r="JBW223" s="1201"/>
      <c r="JBX223" s="1201"/>
      <c r="JBY223" s="1201"/>
      <c r="JBZ223" s="1201"/>
      <c r="JCA223" s="1201"/>
      <c r="JCB223" s="1201"/>
      <c r="JCC223" s="1201"/>
      <c r="JCD223" s="1201"/>
      <c r="JCE223" s="1201"/>
      <c r="JCF223" s="1201"/>
      <c r="JCG223" s="1201"/>
      <c r="JCH223" s="1201"/>
      <c r="JCI223" s="1201"/>
      <c r="JCJ223" s="1201"/>
      <c r="JCK223" s="1201"/>
      <c r="JCL223" s="1201"/>
      <c r="JCM223" s="1201"/>
      <c r="JCN223" s="1201"/>
      <c r="JCO223" s="1201"/>
      <c r="JCP223" s="1201"/>
      <c r="JCQ223" s="1201"/>
      <c r="JCR223" s="1201"/>
      <c r="JCS223" s="1201"/>
      <c r="JCT223" s="1201"/>
      <c r="JCU223" s="1201"/>
      <c r="JCV223" s="1201"/>
      <c r="JCW223" s="1201"/>
      <c r="JCX223" s="1201"/>
      <c r="JCY223" s="1201"/>
      <c r="JCZ223" s="1201"/>
      <c r="JDA223" s="1201"/>
      <c r="JDB223" s="1201"/>
      <c r="JDC223" s="1201"/>
      <c r="JDD223" s="1201"/>
      <c r="JDE223" s="1201"/>
      <c r="JDF223" s="1201"/>
      <c r="JDG223" s="1201"/>
      <c r="JDH223" s="1201"/>
      <c r="JDI223" s="1201"/>
      <c r="JDJ223" s="1201"/>
      <c r="JDK223" s="1201"/>
      <c r="JDL223" s="1201"/>
      <c r="JDM223" s="1201"/>
      <c r="JDN223" s="1201"/>
      <c r="JDO223" s="1201"/>
      <c r="JDP223" s="1201"/>
      <c r="JDQ223" s="1201"/>
      <c r="JDR223" s="1201"/>
      <c r="JDS223" s="1201"/>
      <c r="JDT223" s="1201"/>
      <c r="JDU223" s="1201"/>
      <c r="JDV223" s="1201"/>
      <c r="JDW223" s="1201"/>
      <c r="JDX223" s="1201"/>
      <c r="JDY223" s="1201"/>
      <c r="JDZ223" s="1201"/>
      <c r="JEA223" s="1201"/>
      <c r="JEB223" s="1201"/>
      <c r="JEC223" s="1201"/>
      <c r="JED223" s="1201"/>
      <c r="JEE223" s="1201"/>
      <c r="JEF223" s="1201"/>
      <c r="JEG223" s="1201"/>
      <c r="JEH223" s="1201"/>
      <c r="JEI223" s="1201"/>
      <c r="JEJ223" s="1201"/>
      <c r="JEK223" s="1201"/>
      <c r="JEL223" s="1201"/>
      <c r="JEM223" s="1201"/>
      <c r="JEN223" s="1201"/>
      <c r="JEO223" s="1201"/>
      <c r="JEP223" s="1201"/>
      <c r="JEQ223" s="1201"/>
      <c r="JER223" s="1201"/>
      <c r="JES223" s="1201"/>
      <c r="JET223" s="1201"/>
      <c r="JEU223" s="1201"/>
      <c r="JEV223" s="1201"/>
      <c r="JEW223" s="1201"/>
      <c r="JEX223" s="1201"/>
      <c r="JEY223" s="1201"/>
      <c r="JEZ223" s="1201"/>
      <c r="JFA223" s="1201"/>
      <c r="JFB223" s="1201"/>
      <c r="JFC223" s="1201"/>
      <c r="JFD223" s="1201"/>
      <c r="JFE223" s="1201"/>
      <c r="JFF223" s="1201"/>
      <c r="JFG223" s="1201"/>
      <c r="JFH223" s="1201"/>
      <c r="JFI223" s="1201"/>
      <c r="JFJ223" s="1201"/>
      <c r="JFK223" s="1201"/>
      <c r="JFL223" s="1201"/>
      <c r="JFM223" s="1201"/>
      <c r="JFN223" s="1201"/>
      <c r="JFO223" s="1201"/>
      <c r="JFP223" s="1201"/>
      <c r="JFQ223" s="1201"/>
      <c r="JFR223" s="1201"/>
      <c r="JFS223" s="1201"/>
      <c r="JFT223" s="1201"/>
      <c r="JFU223" s="1201"/>
      <c r="JFV223" s="1201"/>
      <c r="JFW223" s="1201"/>
      <c r="JFX223" s="1201"/>
      <c r="JFY223" s="1201"/>
      <c r="JFZ223" s="1201"/>
      <c r="JGA223" s="1201"/>
      <c r="JGB223" s="1201"/>
      <c r="JGC223" s="1201"/>
      <c r="JGD223" s="1201"/>
      <c r="JGE223" s="1201"/>
      <c r="JGF223" s="1201"/>
      <c r="JGG223" s="1201"/>
      <c r="JGH223" s="1201"/>
      <c r="JGI223" s="1201"/>
      <c r="JGJ223" s="1201"/>
      <c r="JGK223" s="1201"/>
      <c r="JGL223" s="1201"/>
      <c r="JGM223" s="1201"/>
      <c r="JGN223" s="1201"/>
      <c r="JGO223" s="1201"/>
      <c r="JGP223" s="1201"/>
      <c r="JGQ223" s="1201"/>
      <c r="JGR223" s="1201"/>
      <c r="JGS223" s="1201"/>
      <c r="JGT223" s="1201"/>
      <c r="JGU223" s="1201"/>
      <c r="JGV223" s="1201"/>
      <c r="JGW223" s="1201"/>
      <c r="JGX223" s="1201"/>
      <c r="JGY223" s="1201"/>
      <c r="JGZ223" s="1201"/>
      <c r="JHA223" s="1201"/>
      <c r="JHB223" s="1201"/>
      <c r="JHC223" s="1201"/>
      <c r="JHD223" s="1201"/>
      <c r="JHE223" s="1201"/>
      <c r="JHF223" s="1201"/>
      <c r="JHG223" s="1201"/>
      <c r="JHH223" s="1201"/>
      <c r="JHI223" s="1201"/>
      <c r="JHJ223" s="1201"/>
      <c r="JHK223" s="1201"/>
      <c r="JHL223" s="1201"/>
      <c r="JHM223" s="1201"/>
      <c r="JHN223" s="1201"/>
      <c r="JHO223" s="1201"/>
      <c r="JHP223" s="1201"/>
      <c r="JHQ223" s="1201"/>
      <c r="JHR223" s="1201"/>
      <c r="JHS223" s="1201"/>
      <c r="JHT223" s="1201"/>
      <c r="JHU223" s="1201"/>
      <c r="JHV223" s="1201"/>
      <c r="JHW223" s="1201"/>
      <c r="JHX223" s="1201"/>
      <c r="JHY223" s="1201"/>
      <c r="JHZ223" s="1201"/>
      <c r="JIA223" s="1201"/>
      <c r="JIB223" s="1201"/>
      <c r="JIC223" s="1201"/>
      <c r="JID223" s="1201"/>
      <c r="JIE223" s="1201"/>
      <c r="JIF223" s="1201"/>
      <c r="JIG223" s="1201"/>
      <c r="JIH223" s="1201"/>
      <c r="JII223" s="1201"/>
      <c r="JIJ223" s="1201"/>
      <c r="JIK223" s="1201"/>
      <c r="JIL223" s="1201"/>
      <c r="JIM223" s="1201"/>
      <c r="JIN223" s="1201"/>
      <c r="JIO223" s="1201"/>
      <c r="JIP223" s="1201"/>
      <c r="JIQ223" s="1201"/>
      <c r="JIR223" s="1201"/>
      <c r="JIS223" s="1201"/>
      <c r="JIT223" s="1201"/>
      <c r="JIU223" s="1201"/>
      <c r="JIV223" s="1201"/>
      <c r="JIW223" s="1201"/>
      <c r="JIX223" s="1201"/>
      <c r="JIY223" s="1201"/>
      <c r="JIZ223" s="1201"/>
      <c r="JJA223" s="1201"/>
      <c r="JJB223" s="1201"/>
      <c r="JJC223" s="1201"/>
      <c r="JJD223" s="1201"/>
      <c r="JJE223" s="1201"/>
      <c r="JJF223" s="1201"/>
      <c r="JJG223" s="1201"/>
      <c r="JJH223" s="1201"/>
      <c r="JJI223" s="1201"/>
      <c r="JJJ223" s="1201"/>
      <c r="JJK223" s="1201"/>
      <c r="JJL223" s="1201"/>
      <c r="JJM223" s="1201"/>
      <c r="JJN223" s="1201"/>
      <c r="JJO223" s="1201"/>
      <c r="JJP223" s="1201"/>
      <c r="JJQ223" s="1201"/>
      <c r="JJR223" s="1201"/>
      <c r="JJS223" s="1201"/>
      <c r="JJT223" s="1201"/>
      <c r="JJU223" s="1201"/>
      <c r="JJV223" s="1201"/>
      <c r="JJW223" s="1201"/>
      <c r="JJX223" s="1201"/>
      <c r="JJY223" s="1201"/>
      <c r="JJZ223" s="1201"/>
      <c r="JKA223" s="1201"/>
      <c r="JKB223" s="1201"/>
      <c r="JKC223" s="1201"/>
      <c r="JKD223" s="1201"/>
      <c r="JKE223" s="1201"/>
      <c r="JKF223" s="1201"/>
      <c r="JKG223" s="1201"/>
      <c r="JKH223" s="1201"/>
      <c r="JKI223" s="1201"/>
      <c r="JKJ223" s="1201"/>
      <c r="JKK223" s="1201"/>
      <c r="JKL223" s="1201"/>
      <c r="JKM223" s="1201"/>
      <c r="JKN223" s="1201"/>
      <c r="JKO223" s="1201"/>
      <c r="JKP223" s="1201"/>
      <c r="JKQ223" s="1201"/>
      <c r="JKR223" s="1201"/>
      <c r="JKS223" s="1201"/>
      <c r="JKT223" s="1201"/>
      <c r="JKU223" s="1201"/>
      <c r="JKV223" s="1201"/>
      <c r="JKW223" s="1201"/>
      <c r="JKX223" s="1201"/>
      <c r="JKY223" s="1201"/>
      <c r="JKZ223" s="1201"/>
      <c r="JLA223" s="1201"/>
      <c r="JLB223" s="1201"/>
      <c r="JLC223" s="1201"/>
      <c r="JLD223" s="1201"/>
      <c r="JLE223" s="1201"/>
      <c r="JLF223" s="1201"/>
      <c r="JLG223" s="1201"/>
      <c r="JLH223" s="1201"/>
      <c r="JLI223" s="1201"/>
      <c r="JLJ223" s="1201"/>
      <c r="JLK223" s="1201"/>
      <c r="JLL223" s="1201"/>
      <c r="JLM223" s="1201"/>
      <c r="JLN223" s="1201"/>
      <c r="JLO223" s="1201"/>
      <c r="JLP223" s="1201"/>
      <c r="JLQ223" s="1201"/>
      <c r="JLR223" s="1201"/>
      <c r="JLS223" s="1201"/>
      <c r="JLT223" s="1201"/>
      <c r="JLU223" s="1201"/>
      <c r="JLV223" s="1201"/>
      <c r="JLW223" s="1201"/>
      <c r="JLX223" s="1201"/>
      <c r="JLY223" s="1201"/>
      <c r="JLZ223" s="1201"/>
      <c r="JMA223" s="1201"/>
      <c r="JMB223" s="1201"/>
      <c r="JMC223" s="1201"/>
      <c r="JMD223" s="1201"/>
      <c r="JME223" s="1201"/>
      <c r="JMF223" s="1201"/>
      <c r="JMG223" s="1201"/>
      <c r="JMH223" s="1201"/>
      <c r="JMI223" s="1201"/>
      <c r="JMJ223" s="1201"/>
      <c r="JMK223" s="1201"/>
      <c r="JML223" s="1201"/>
      <c r="JMM223" s="1201"/>
      <c r="JMN223" s="1201"/>
      <c r="JMO223" s="1201"/>
      <c r="JMP223" s="1201"/>
      <c r="JMQ223" s="1201"/>
      <c r="JMR223" s="1201"/>
      <c r="JMS223" s="1201"/>
      <c r="JMT223" s="1201"/>
      <c r="JMU223" s="1201"/>
      <c r="JMV223" s="1201"/>
      <c r="JMW223" s="1201"/>
      <c r="JMX223" s="1201"/>
      <c r="JMY223" s="1201"/>
      <c r="JMZ223" s="1201"/>
      <c r="JNA223" s="1201"/>
      <c r="JNB223" s="1201"/>
      <c r="JNC223" s="1201"/>
      <c r="JND223" s="1201"/>
      <c r="JNE223" s="1201"/>
      <c r="JNF223" s="1201"/>
      <c r="JNG223" s="1201"/>
      <c r="JNH223" s="1201"/>
      <c r="JNI223" s="1201"/>
      <c r="JNJ223" s="1201"/>
      <c r="JNK223" s="1201"/>
      <c r="JNL223" s="1201"/>
      <c r="JNM223" s="1201"/>
      <c r="JNN223" s="1201"/>
      <c r="JNO223" s="1201"/>
      <c r="JNP223" s="1201"/>
      <c r="JNQ223" s="1201"/>
      <c r="JNR223" s="1201"/>
      <c r="JNS223" s="1201"/>
      <c r="JNT223" s="1201"/>
      <c r="JNU223" s="1201"/>
      <c r="JNV223" s="1201"/>
      <c r="JNW223" s="1201"/>
      <c r="JNX223" s="1201"/>
      <c r="JNY223" s="1201"/>
      <c r="JNZ223" s="1201"/>
      <c r="JOA223" s="1201"/>
      <c r="JOB223" s="1201"/>
      <c r="JOC223" s="1201"/>
      <c r="JOD223" s="1201"/>
      <c r="JOE223" s="1201"/>
      <c r="JOF223" s="1201"/>
      <c r="JOG223" s="1201"/>
      <c r="JOH223" s="1201"/>
      <c r="JOI223" s="1201"/>
      <c r="JOJ223" s="1201"/>
      <c r="JOK223" s="1201"/>
      <c r="JOL223" s="1201"/>
      <c r="JOM223" s="1201"/>
      <c r="JON223" s="1201"/>
      <c r="JOO223" s="1201"/>
      <c r="JOP223" s="1201"/>
      <c r="JOQ223" s="1201"/>
      <c r="JOR223" s="1201"/>
      <c r="JOS223" s="1201"/>
      <c r="JOT223" s="1201"/>
      <c r="JOU223" s="1201"/>
      <c r="JOV223" s="1201"/>
      <c r="JOW223" s="1201"/>
      <c r="JOX223" s="1201"/>
      <c r="JOY223" s="1201"/>
      <c r="JOZ223" s="1201"/>
      <c r="JPA223" s="1201"/>
      <c r="JPB223" s="1201"/>
      <c r="JPC223" s="1201"/>
      <c r="JPD223" s="1201"/>
      <c r="JPE223" s="1201"/>
      <c r="JPF223" s="1201"/>
      <c r="JPG223" s="1201"/>
      <c r="JPH223" s="1201"/>
      <c r="JPI223" s="1201"/>
      <c r="JPJ223" s="1201"/>
      <c r="JPK223" s="1201"/>
      <c r="JPL223" s="1201"/>
      <c r="JPM223" s="1201"/>
      <c r="JPN223" s="1201"/>
      <c r="JPO223" s="1201"/>
      <c r="JPP223" s="1201"/>
      <c r="JPQ223" s="1201"/>
      <c r="JPR223" s="1201"/>
      <c r="JPS223" s="1201"/>
      <c r="JPT223" s="1201"/>
      <c r="JPU223" s="1201"/>
      <c r="JPV223" s="1201"/>
      <c r="JPW223" s="1201"/>
      <c r="JPX223" s="1201"/>
      <c r="JPY223" s="1201"/>
      <c r="JPZ223" s="1201"/>
      <c r="JQA223" s="1201"/>
      <c r="JQB223" s="1201"/>
      <c r="JQC223" s="1201"/>
      <c r="JQD223" s="1201"/>
      <c r="JQE223" s="1201"/>
      <c r="JQF223" s="1201"/>
      <c r="JQG223" s="1201"/>
      <c r="JQH223" s="1201"/>
      <c r="JQI223" s="1201"/>
      <c r="JQJ223" s="1201"/>
      <c r="JQK223" s="1201"/>
      <c r="JQL223" s="1201"/>
      <c r="JQM223" s="1201"/>
      <c r="JQN223" s="1201"/>
      <c r="JQO223" s="1201"/>
      <c r="JQP223" s="1201"/>
      <c r="JQQ223" s="1201"/>
      <c r="JQR223" s="1201"/>
      <c r="JQS223" s="1201"/>
      <c r="JQT223" s="1201"/>
      <c r="JQU223" s="1201"/>
      <c r="JQV223" s="1201"/>
      <c r="JQW223" s="1201"/>
      <c r="JQX223" s="1201"/>
      <c r="JQY223" s="1201"/>
      <c r="JQZ223" s="1201"/>
      <c r="JRA223" s="1201"/>
      <c r="JRB223" s="1201"/>
      <c r="JRC223" s="1201"/>
      <c r="JRD223" s="1201"/>
      <c r="JRE223" s="1201"/>
      <c r="JRF223" s="1201"/>
      <c r="JRG223" s="1201"/>
      <c r="JRH223" s="1201"/>
      <c r="JRI223" s="1201"/>
      <c r="JRJ223" s="1201"/>
      <c r="JRK223" s="1201"/>
      <c r="JRL223" s="1201"/>
      <c r="JRM223" s="1201"/>
      <c r="JRN223" s="1201"/>
      <c r="JRO223" s="1201"/>
      <c r="JRP223" s="1201"/>
      <c r="JRQ223" s="1201"/>
      <c r="JRR223" s="1201"/>
      <c r="JRS223" s="1201"/>
      <c r="JRT223" s="1201"/>
      <c r="JRU223" s="1201"/>
      <c r="JRV223" s="1201"/>
      <c r="JRW223" s="1201"/>
      <c r="JRX223" s="1201"/>
      <c r="JRY223" s="1201"/>
      <c r="JRZ223" s="1201"/>
      <c r="JSA223" s="1201"/>
      <c r="JSB223" s="1201"/>
      <c r="JSC223" s="1201"/>
      <c r="JSD223" s="1201"/>
      <c r="JSE223" s="1201"/>
      <c r="JSF223" s="1201"/>
      <c r="JSG223" s="1201"/>
      <c r="JSH223" s="1201"/>
      <c r="JSI223" s="1201"/>
      <c r="JSJ223" s="1201"/>
      <c r="JSK223" s="1201"/>
      <c r="JSL223" s="1201"/>
      <c r="JSM223" s="1201"/>
      <c r="JSN223" s="1201"/>
      <c r="JSO223" s="1201"/>
      <c r="JSP223" s="1201"/>
      <c r="JSQ223" s="1201"/>
      <c r="JSR223" s="1201"/>
      <c r="JSS223" s="1201"/>
      <c r="JST223" s="1201"/>
      <c r="JSU223" s="1201"/>
      <c r="JSV223" s="1201"/>
      <c r="JSW223" s="1201"/>
      <c r="JSX223" s="1201"/>
      <c r="JSY223" s="1201"/>
      <c r="JSZ223" s="1201"/>
      <c r="JTA223" s="1201"/>
      <c r="JTB223" s="1201"/>
      <c r="JTC223" s="1201"/>
      <c r="JTD223" s="1201"/>
      <c r="JTE223" s="1201"/>
      <c r="JTF223" s="1201"/>
      <c r="JTG223" s="1201"/>
      <c r="JTH223" s="1201"/>
      <c r="JTI223" s="1201"/>
      <c r="JTJ223" s="1201"/>
      <c r="JTK223" s="1201"/>
      <c r="JTL223" s="1201"/>
      <c r="JTM223" s="1201"/>
      <c r="JTN223" s="1201"/>
      <c r="JTO223" s="1201"/>
      <c r="JTP223" s="1201"/>
      <c r="JTQ223" s="1201"/>
      <c r="JTR223" s="1201"/>
      <c r="JTS223" s="1201"/>
      <c r="JTT223" s="1201"/>
      <c r="JTU223" s="1201"/>
      <c r="JTV223" s="1201"/>
      <c r="JTW223" s="1201"/>
      <c r="JTX223" s="1201"/>
      <c r="JTY223" s="1201"/>
      <c r="JTZ223" s="1201"/>
      <c r="JUA223" s="1201"/>
      <c r="JUB223" s="1201"/>
      <c r="JUC223" s="1201"/>
      <c r="JUD223" s="1201"/>
      <c r="JUE223" s="1201"/>
      <c r="JUF223" s="1201"/>
      <c r="JUG223" s="1201"/>
      <c r="JUH223" s="1201"/>
      <c r="JUI223" s="1201"/>
      <c r="JUJ223" s="1201"/>
      <c r="JUK223" s="1201"/>
      <c r="JUL223" s="1201"/>
      <c r="JUM223" s="1201"/>
      <c r="JUN223" s="1201"/>
      <c r="JUO223" s="1201"/>
      <c r="JUP223" s="1201"/>
      <c r="JUQ223" s="1201"/>
      <c r="JUR223" s="1201"/>
      <c r="JUS223" s="1201"/>
      <c r="JUT223" s="1201"/>
      <c r="JUU223" s="1201"/>
      <c r="JUV223" s="1201"/>
      <c r="JUW223" s="1201"/>
      <c r="JUX223" s="1201"/>
      <c r="JUY223" s="1201"/>
      <c r="JUZ223" s="1201"/>
      <c r="JVA223" s="1201"/>
      <c r="JVB223" s="1201"/>
      <c r="JVC223" s="1201"/>
      <c r="JVD223" s="1201"/>
      <c r="JVE223" s="1201"/>
      <c r="JVF223" s="1201"/>
      <c r="JVG223" s="1201"/>
      <c r="JVH223" s="1201"/>
      <c r="JVI223" s="1201"/>
      <c r="JVJ223" s="1201"/>
      <c r="JVK223" s="1201"/>
      <c r="JVL223" s="1201"/>
      <c r="JVM223" s="1201"/>
      <c r="JVN223" s="1201"/>
      <c r="JVO223" s="1201"/>
      <c r="JVP223" s="1201"/>
      <c r="JVQ223" s="1201"/>
      <c r="JVR223" s="1201"/>
      <c r="JVS223" s="1201"/>
      <c r="JVT223" s="1201"/>
      <c r="JVU223" s="1201"/>
      <c r="JVV223" s="1201"/>
      <c r="JVW223" s="1201"/>
      <c r="JVX223" s="1201"/>
      <c r="JVY223" s="1201"/>
      <c r="JVZ223" s="1201"/>
      <c r="JWA223" s="1201"/>
      <c r="JWB223" s="1201"/>
      <c r="JWC223" s="1201"/>
      <c r="JWD223" s="1201"/>
      <c r="JWE223" s="1201"/>
      <c r="JWF223" s="1201"/>
      <c r="JWG223" s="1201"/>
      <c r="JWH223" s="1201"/>
      <c r="JWI223" s="1201"/>
      <c r="JWJ223" s="1201"/>
      <c r="JWK223" s="1201"/>
      <c r="JWL223" s="1201"/>
      <c r="JWM223" s="1201"/>
      <c r="JWN223" s="1201"/>
      <c r="JWO223" s="1201"/>
      <c r="JWP223" s="1201"/>
      <c r="JWQ223" s="1201"/>
      <c r="JWR223" s="1201"/>
      <c r="JWS223" s="1201"/>
      <c r="JWT223" s="1201"/>
      <c r="JWU223" s="1201"/>
      <c r="JWV223" s="1201"/>
      <c r="JWW223" s="1201"/>
      <c r="JWX223" s="1201"/>
      <c r="JWY223" s="1201"/>
      <c r="JWZ223" s="1201"/>
      <c r="JXA223" s="1201"/>
      <c r="JXB223" s="1201"/>
      <c r="JXC223" s="1201"/>
      <c r="JXD223" s="1201"/>
      <c r="JXE223" s="1201"/>
      <c r="JXF223" s="1201"/>
      <c r="JXG223" s="1201"/>
      <c r="JXH223" s="1201"/>
      <c r="JXI223" s="1201"/>
      <c r="JXJ223" s="1201"/>
      <c r="JXK223" s="1201"/>
      <c r="JXL223" s="1201"/>
      <c r="JXM223" s="1201"/>
      <c r="JXN223" s="1201"/>
      <c r="JXO223" s="1201"/>
      <c r="JXP223" s="1201"/>
      <c r="JXQ223" s="1201"/>
      <c r="JXR223" s="1201"/>
      <c r="JXS223" s="1201"/>
      <c r="JXT223" s="1201"/>
      <c r="JXU223" s="1201"/>
      <c r="JXV223" s="1201"/>
      <c r="JXW223" s="1201"/>
      <c r="JXX223" s="1201"/>
      <c r="JXY223" s="1201"/>
      <c r="JXZ223" s="1201"/>
      <c r="JYA223" s="1201"/>
      <c r="JYB223" s="1201"/>
      <c r="JYC223" s="1201"/>
      <c r="JYD223" s="1201"/>
      <c r="JYE223" s="1201"/>
      <c r="JYF223" s="1201"/>
      <c r="JYG223" s="1201"/>
      <c r="JYH223" s="1201"/>
      <c r="JYI223" s="1201"/>
      <c r="JYJ223" s="1201"/>
      <c r="JYK223" s="1201"/>
      <c r="JYL223" s="1201"/>
      <c r="JYM223" s="1201"/>
      <c r="JYN223" s="1201"/>
      <c r="JYO223" s="1201"/>
      <c r="JYP223" s="1201"/>
      <c r="JYQ223" s="1201"/>
      <c r="JYR223" s="1201"/>
      <c r="JYS223" s="1201"/>
      <c r="JYT223" s="1201"/>
      <c r="JYU223" s="1201"/>
      <c r="JYV223" s="1201"/>
      <c r="JYW223" s="1201"/>
      <c r="JYX223" s="1201"/>
      <c r="JYY223" s="1201"/>
      <c r="JYZ223" s="1201"/>
      <c r="JZA223" s="1201"/>
      <c r="JZB223" s="1201"/>
      <c r="JZC223" s="1201"/>
      <c r="JZD223" s="1201"/>
      <c r="JZE223" s="1201"/>
      <c r="JZF223" s="1201"/>
      <c r="JZG223" s="1201"/>
      <c r="JZH223" s="1201"/>
      <c r="JZI223" s="1201"/>
      <c r="JZJ223" s="1201"/>
      <c r="JZK223" s="1201"/>
      <c r="JZL223" s="1201"/>
      <c r="JZM223" s="1201"/>
      <c r="JZN223" s="1201"/>
      <c r="JZO223" s="1201"/>
      <c r="JZP223" s="1201"/>
      <c r="JZQ223" s="1201"/>
      <c r="JZR223" s="1201"/>
      <c r="JZS223" s="1201"/>
      <c r="JZT223" s="1201"/>
      <c r="JZU223" s="1201"/>
      <c r="JZV223" s="1201"/>
      <c r="JZW223" s="1201"/>
      <c r="JZX223" s="1201"/>
      <c r="JZY223" s="1201"/>
      <c r="JZZ223" s="1201"/>
      <c r="KAA223" s="1201"/>
      <c r="KAB223" s="1201"/>
      <c r="KAC223" s="1201"/>
      <c r="KAD223" s="1201"/>
      <c r="KAE223" s="1201"/>
      <c r="KAF223" s="1201"/>
      <c r="KAG223" s="1201"/>
      <c r="KAH223" s="1201"/>
      <c r="KAI223" s="1201"/>
      <c r="KAJ223" s="1201"/>
      <c r="KAK223" s="1201"/>
      <c r="KAL223" s="1201"/>
      <c r="KAM223" s="1201"/>
      <c r="KAN223" s="1201"/>
      <c r="KAO223" s="1201"/>
      <c r="KAP223" s="1201"/>
      <c r="KAQ223" s="1201"/>
      <c r="KAR223" s="1201"/>
      <c r="KAS223" s="1201"/>
      <c r="KAT223" s="1201"/>
      <c r="KAU223" s="1201"/>
      <c r="KAV223" s="1201"/>
      <c r="KAW223" s="1201"/>
      <c r="KAX223" s="1201"/>
      <c r="KAY223" s="1201"/>
      <c r="KAZ223" s="1201"/>
      <c r="KBA223" s="1201"/>
      <c r="KBB223" s="1201"/>
      <c r="KBC223" s="1201"/>
      <c r="KBD223" s="1201"/>
      <c r="KBE223" s="1201"/>
      <c r="KBF223" s="1201"/>
      <c r="KBG223" s="1201"/>
      <c r="KBH223" s="1201"/>
      <c r="KBI223" s="1201"/>
      <c r="KBJ223" s="1201"/>
      <c r="KBK223" s="1201"/>
      <c r="KBL223" s="1201"/>
      <c r="KBM223" s="1201"/>
      <c r="KBN223" s="1201"/>
      <c r="KBO223" s="1201"/>
      <c r="KBP223" s="1201"/>
      <c r="KBQ223" s="1201"/>
      <c r="KBR223" s="1201"/>
      <c r="KBS223" s="1201"/>
      <c r="KBT223" s="1201"/>
      <c r="KBU223" s="1201"/>
      <c r="KBV223" s="1201"/>
      <c r="KBW223" s="1201"/>
      <c r="KBX223" s="1201"/>
      <c r="KBY223" s="1201"/>
      <c r="KBZ223" s="1201"/>
      <c r="KCA223" s="1201"/>
      <c r="KCB223" s="1201"/>
      <c r="KCC223" s="1201"/>
      <c r="KCD223" s="1201"/>
      <c r="KCE223" s="1201"/>
      <c r="KCF223" s="1201"/>
      <c r="KCG223" s="1201"/>
      <c r="KCH223" s="1201"/>
      <c r="KCI223" s="1201"/>
      <c r="KCJ223" s="1201"/>
      <c r="KCK223" s="1201"/>
      <c r="KCL223" s="1201"/>
      <c r="KCM223" s="1201"/>
      <c r="KCN223" s="1201"/>
      <c r="KCO223" s="1201"/>
      <c r="KCP223" s="1201"/>
      <c r="KCQ223" s="1201"/>
      <c r="KCR223" s="1201"/>
      <c r="KCS223" s="1201"/>
      <c r="KCT223" s="1201"/>
      <c r="KCU223" s="1201"/>
      <c r="KCV223" s="1201"/>
      <c r="KCW223" s="1201"/>
      <c r="KCX223" s="1201"/>
      <c r="KCY223" s="1201"/>
      <c r="KCZ223" s="1201"/>
      <c r="KDA223" s="1201"/>
      <c r="KDB223" s="1201"/>
      <c r="KDC223" s="1201"/>
      <c r="KDD223" s="1201"/>
      <c r="KDE223" s="1201"/>
      <c r="KDF223" s="1201"/>
      <c r="KDG223" s="1201"/>
      <c r="KDH223" s="1201"/>
      <c r="KDI223" s="1201"/>
      <c r="KDJ223" s="1201"/>
      <c r="KDK223" s="1201"/>
      <c r="KDL223" s="1201"/>
      <c r="KDM223" s="1201"/>
      <c r="KDN223" s="1201"/>
      <c r="KDO223" s="1201"/>
      <c r="KDP223" s="1201"/>
      <c r="KDQ223" s="1201"/>
      <c r="KDR223" s="1201"/>
      <c r="KDS223" s="1201"/>
      <c r="KDT223" s="1201"/>
      <c r="KDU223" s="1201"/>
      <c r="KDV223" s="1201"/>
      <c r="KDW223" s="1201"/>
      <c r="KDX223" s="1201"/>
      <c r="KDY223" s="1201"/>
      <c r="KDZ223" s="1201"/>
      <c r="KEA223" s="1201"/>
      <c r="KEB223" s="1201"/>
      <c r="KEC223" s="1201"/>
      <c r="KED223" s="1201"/>
      <c r="KEE223" s="1201"/>
      <c r="KEF223" s="1201"/>
      <c r="KEG223" s="1201"/>
      <c r="KEH223" s="1201"/>
      <c r="KEI223" s="1201"/>
      <c r="KEJ223" s="1201"/>
      <c r="KEK223" s="1201"/>
      <c r="KEL223" s="1201"/>
      <c r="KEM223" s="1201"/>
      <c r="KEN223" s="1201"/>
      <c r="KEO223" s="1201"/>
      <c r="KEP223" s="1201"/>
      <c r="KEQ223" s="1201"/>
      <c r="KER223" s="1201"/>
      <c r="KES223" s="1201"/>
      <c r="KET223" s="1201"/>
      <c r="KEU223" s="1201"/>
      <c r="KEV223" s="1201"/>
      <c r="KEW223" s="1201"/>
      <c r="KEX223" s="1201"/>
      <c r="KEY223" s="1201"/>
      <c r="KEZ223" s="1201"/>
      <c r="KFA223" s="1201"/>
      <c r="KFB223" s="1201"/>
      <c r="KFC223" s="1201"/>
      <c r="KFD223" s="1201"/>
      <c r="KFE223" s="1201"/>
      <c r="KFF223" s="1201"/>
      <c r="KFG223" s="1201"/>
      <c r="KFH223" s="1201"/>
      <c r="KFI223" s="1201"/>
      <c r="KFJ223" s="1201"/>
      <c r="KFK223" s="1201"/>
      <c r="KFL223" s="1201"/>
      <c r="KFM223" s="1201"/>
      <c r="KFN223" s="1201"/>
      <c r="KFO223" s="1201"/>
      <c r="KFP223" s="1201"/>
      <c r="KFQ223" s="1201"/>
      <c r="KFR223" s="1201"/>
      <c r="KFS223" s="1201"/>
      <c r="KFT223" s="1201"/>
      <c r="KFU223" s="1201"/>
      <c r="KFV223" s="1201"/>
      <c r="KFW223" s="1201"/>
      <c r="KFX223" s="1201"/>
      <c r="KFY223" s="1201"/>
      <c r="KFZ223" s="1201"/>
      <c r="KGA223" s="1201"/>
      <c r="KGB223" s="1201"/>
      <c r="KGC223" s="1201"/>
      <c r="KGD223" s="1201"/>
      <c r="KGE223" s="1201"/>
      <c r="KGF223" s="1201"/>
      <c r="KGG223" s="1201"/>
      <c r="KGH223" s="1201"/>
      <c r="KGI223" s="1201"/>
      <c r="KGJ223" s="1201"/>
      <c r="KGK223" s="1201"/>
      <c r="KGL223" s="1201"/>
      <c r="KGM223" s="1201"/>
      <c r="KGN223" s="1201"/>
      <c r="KGO223" s="1201"/>
      <c r="KGP223" s="1201"/>
      <c r="KGQ223" s="1201"/>
      <c r="KGR223" s="1201"/>
      <c r="KGS223" s="1201"/>
      <c r="KGT223" s="1201"/>
      <c r="KGU223" s="1201"/>
      <c r="KGV223" s="1201"/>
      <c r="KGW223" s="1201"/>
      <c r="KGX223" s="1201"/>
      <c r="KGY223" s="1201"/>
      <c r="KGZ223" s="1201"/>
      <c r="KHA223" s="1201"/>
      <c r="KHB223" s="1201"/>
      <c r="KHC223" s="1201"/>
      <c r="KHD223" s="1201"/>
      <c r="KHE223" s="1201"/>
      <c r="KHF223" s="1201"/>
      <c r="KHG223" s="1201"/>
      <c r="KHH223" s="1201"/>
      <c r="KHI223" s="1201"/>
      <c r="KHJ223" s="1201"/>
      <c r="KHK223" s="1201"/>
      <c r="KHL223" s="1201"/>
      <c r="KHM223" s="1201"/>
      <c r="KHN223" s="1201"/>
      <c r="KHO223" s="1201"/>
      <c r="KHP223" s="1201"/>
      <c r="KHQ223" s="1201"/>
      <c r="KHR223" s="1201"/>
      <c r="KHS223" s="1201"/>
      <c r="KHT223" s="1201"/>
      <c r="KHU223" s="1201"/>
      <c r="KHV223" s="1201"/>
      <c r="KHW223" s="1201"/>
      <c r="KHX223" s="1201"/>
      <c r="KHY223" s="1201"/>
      <c r="KHZ223" s="1201"/>
      <c r="KIA223" s="1201"/>
      <c r="KIB223" s="1201"/>
      <c r="KIC223" s="1201"/>
      <c r="KID223" s="1201"/>
      <c r="KIE223" s="1201"/>
      <c r="KIF223" s="1201"/>
      <c r="KIG223" s="1201"/>
      <c r="KIH223" s="1201"/>
      <c r="KII223" s="1201"/>
      <c r="KIJ223" s="1201"/>
      <c r="KIK223" s="1201"/>
      <c r="KIL223" s="1201"/>
      <c r="KIM223" s="1201"/>
      <c r="KIN223" s="1201"/>
      <c r="KIO223" s="1201"/>
      <c r="KIP223" s="1201"/>
      <c r="KIQ223" s="1201"/>
      <c r="KIR223" s="1201"/>
      <c r="KIS223" s="1201"/>
      <c r="KIT223" s="1201"/>
      <c r="KIU223" s="1201"/>
      <c r="KIV223" s="1201"/>
      <c r="KIW223" s="1201"/>
      <c r="KIX223" s="1201"/>
      <c r="KIY223" s="1201"/>
      <c r="KIZ223" s="1201"/>
      <c r="KJA223" s="1201"/>
      <c r="KJB223" s="1201"/>
      <c r="KJC223" s="1201"/>
      <c r="KJD223" s="1201"/>
      <c r="KJE223" s="1201"/>
      <c r="KJF223" s="1201"/>
      <c r="KJG223" s="1201"/>
      <c r="KJH223" s="1201"/>
      <c r="KJI223" s="1201"/>
      <c r="KJJ223" s="1201"/>
      <c r="KJK223" s="1201"/>
      <c r="KJL223" s="1201"/>
      <c r="KJM223" s="1201"/>
      <c r="KJN223" s="1201"/>
      <c r="KJO223" s="1201"/>
      <c r="KJP223" s="1201"/>
      <c r="KJQ223" s="1201"/>
      <c r="KJR223" s="1201"/>
      <c r="KJS223" s="1201"/>
      <c r="KJT223" s="1201"/>
      <c r="KJU223" s="1201"/>
      <c r="KJV223" s="1201"/>
      <c r="KJW223" s="1201"/>
      <c r="KJX223" s="1201"/>
      <c r="KJY223" s="1201"/>
      <c r="KJZ223" s="1201"/>
      <c r="KKA223" s="1201"/>
      <c r="KKB223" s="1201"/>
      <c r="KKC223" s="1201"/>
      <c r="KKD223" s="1201"/>
      <c r="KKE223" s="1201"/>
      <c r="KKF223" s="1201"/>
      <c r="KKG223" s="1201"/>
      <c r="KKH223" s="1201"/>
      <c r="KKI223" s="1201"/>
      <c r="KKJ223" s="1201"/>
      <c r="KKK223" s="1201"/>
      <c r="KKL223" s="1201"/>
      <c r="KKM223" s="1201"/>
      <c r="KKN223" s="1201"/>
      <c r="KKO223" s="1201"/>
      <c r="KKP223" s="1201"/>
      <c r="KKQ223" s="1201"/>
      <c r="KKR223" s="1201"/>
      <c r="KKS223" s="1201"/>
      <c r="KKT223" s="1201"/>
      <c r="KKU223" s="1201"/>
      <c r="KKV223" s="1201"/>
      <c r="KKW223" s="1201"/>
      <c r="KKX223" s="1201"/>
      <c r="KKY223" s="1201"/>
      <c r="KKZ223" s="1201"/>
      <c r="KLA223" s="1201"/>
      <c r="KLB223" s="1201"/>
      <c r="KLC223" s="1201"/>
      <c r="KLD223" s="1201"/>
      <c r="KLE223" s="1201"/>
      <c r="KLF223" s="1201"/>
      <c r="KLG223" s="1201"/>
      <c r="KLH223" s="1201"/>
      <c r="KLI223" s="1201"/>
      <c r="KLJ223" s="1201"/>
      <c r="KLK223" s="1201"/>
      <c r="KLL223" s="1201"/>
      <c r="KLM223" s="1201"/>
      <c r="KLN223" s="1201"/>
      <c r="KLO223" s="1201"/>
      <c r="KLP223" s="1201"/>
      <c r="KLQ223" s="1201"/>
      <c r="KLR223" s="1201"/>
      <c r="KLS223" s="1201"/>
      <c r="KLT223" s="1201"/>
      <c r="KLU223" s="1201"/>
      <c r="KLV223" s="1201"/>
      <c r="KLW223" s="1201"/>
      <c r="KLX223" s="1201"/>
      <c r="KLY223" s="1201"/>
      <c r="KLZ223" s="1201"/>
      <c r="KMA223" s="1201"/>
      <c r="KMB223" s="1201"/>
      <c r="KMC223" s="1201"/>
      <c r="KMD223" s="1201"/>
      <c r="KME223" s="1201"/>
      <c r="KMF223" s="1201"/>
      <c r="KMG223" s="1201"/>
      <c r="KMH223" s="1201"/>
      <c r="KMI223" s="1201"/>
      <c r="KMJ223" s="1201"/>
      <c r="KMK223" s="1201"/>
      <c r="KML223" s="1201"/>
      <c r="KMM223" s="1201"/>
      <c r="KMN223" s="1201"/>
      <c r="KMO223" s="1201"/>
      <c r="KMP223" s="1201"/>
      <c r="KMQ223" s="1201"/>
      <c r="KMR223" s="1201"/>
      <c r="KMS223" s="1201"/>
      <c r="KMT223" s="1201"/>
      <c r="KMU223" s="1201"/>
      <c r="KMV223" s="1201"/>
      <c r="KMW223" s="1201"/>
      <c r="KMX223" s="1201"/>
      <c r="KMY223" s="1201"/>
      <c r="KMZ223" s="1201"/>
      <c r="KNA223" s="1201"/>
      <c r="KNB223" s="1201"/>
      <c r="KNC223" s="1201"/>
      <c r="KND223" s="1201"/>
      <c r="KNE223" s="1201"/>
      <c r="KNF223" s="1201"/>
      <c r="KNG223" s="1201"/>
      <c r="KNH223" s="1201"/>
      <c r="KNI223" s="1201"/>
      <c r="KNJ223" s="1201"/>
      <c r="KNK223" s="1201"/>
      <c r="KNL223" s="1201"/>
      <c r="KNM223" s="1201"/>
      <c r="KNN223" s="1201"/>
      <c r="KNO223" s="1201"/>
      <c r="KNP223" s="1201"/>
      <c r="KNQ223" s="1201"/>
      <c r="KNR223" s="1201"/>
      <c r="KNS223" s="1201"/>
      <c r="KNT223" s="1201"/>
      <c r="KNU223" s="1201"/>
      <c r="KNV223" s="1201"/>
      <c r="KNW223" s="1201"/>
      <c r="KNX223" s="1201"/>
      <c r="KNY223" s="1201"/>
      <c r="KNZ223" s="1201"/>
      <c r="KOA223" s="1201"/>
      <c r="KOB223" s="1201"/>
      <c r="KOC223" s="1201"/>
      <c r="KOD223" s="1201"/>
      <c r="KOE223" s="1201"/>
      <c r="KOF223" s="1201"/>
      <c r="KOG223" s="1201"/>
      <c r="KOH223" s="1201"/>
      <c r="KOI223" s="1201"/>
      <c r="KOJ223" s="1201"/>
      <c r="KOK223" s="1201"/>
      <c r="KOL223" s="1201"/>
      <c r="KOM223" s="1201"/>
      <c r="KON223" s="1201"/>
      <c r="KOO223" s="1201"/>
      <c r="KOP223" s="1201"/>
      <c r="KOQ223" s="1201"/>
      <c r="KOR223" s="1201"/>
      <c r="KOS223" s="1201"/>
      <c r="KOT223" s="1201"/>
      <c r="KOU223" s="1201"/>
      <c r="KOV223" s="1201"/>
      <c r="KOW223" s="1201"/>
      <c r="KOX223" s="1201"/>
      <c r="KOY223" s="1201"/>
      <c r="KOZ223" s="1201"/>
      <c r="KPA223" s="1201"/>
      <c r="KPB223" s="1201"/>
      <c r="KPC223" s="1201"/>
      <c r="KPD223" s="1201"/>
      <c r="KPE223" s="1201"/>
      <c r="KPF223" s="1201"/>
      <c r="KPG223" s="1201"/>
      <c r="KPH223" s="1201"/>
      <c r="KPI223" s="1201"/>
      <c r="KPJ223" s="1201"/>
      <c r="KPK223" s="1201"/>
      <c r="KPL223" s="1201"/>
      <c r="KPM223" s="1201"/>
      <c r="KPN223" s="1201"/>
      <c r="KPO223" s="1201"/>
      <c r="KPP223" s="1201"/>
      <c r="KPQ223" s="1201"/>
      <c r="KPR223" s="1201"/>
      <c r="KPS223" s="1201"/>
      <c r="KPT223" s="1201"/>
      <c r="KPU223" s="1201"/>
      <c r="KPV223" s="1201"/>
      <c r="KPW223" s="1201"/>
      <c r="KPX223" s="1201"/>
      <c r="KPY223" s="1201"/>
      <c r="KPZ223" s="1201"/>
      <c r="KQA223" s="1201"/>
      <c r="KQB223" s="1201"/>
      <c r="KQC223" s="1201"/>
      <c r="KQD223" s="1201"/>
      <c r="KQE223" s="1201"/>
      <c r="KQF223" s="1201"/>
      <c r="KQG223" s="1201"/>
      <c r="KQH223" s="1201"/>
      <c r="KQI223" s="1201"/>
      <c r="KQJ223" s="1201"/>
      <c r="KQK223" s="1201"/>
      <c r="KQL223" s="1201"/>
      <c r="KQM223" s="1201"/>
      <c r="KQN223" s="1201"/>
      <c r="KQO223" s="1201"/>
      <c r="KQP223" s="1201"/>
      <c r="KQQ223" s="1201"/>
      <c r="KQR223" s="1201"/>
      <c r="KQS223" s="1201"/>
      <c r="KQT223" s="1201"/>
      <c r="KQU223" s="1201"/>
      <c r="KQV223" s="1201"/>
      <c r="KQW223" s="1201"/>
      <c r="KQX223" s="1201"/>
      <c r="KQY223" s="1201"/>
      <c r="KQZ223" s="1201"/>
      <c r="KRA223" s="1201"/>
      <c r="KRB223" s="1201"/>
      <c r="KRC223" s="1201"/>
      <c r="KRD223" s="1201"/>
      <c r="KRE223" s="1201"/>
      <c r="KRF223" s="1201"/>
      <c r="KRG223" s="1201"/>
      <c r="KRH223" s="1201"/>
      <c r="KRI223" s="1201"/>
      <c r="KRJ223" s="1201"/>
      <c r="KRK223" s="1201"/>
      <c r="KRL223" s="1201"/>
      <c r="KRM223" s="1201"/>
      <c r="KRN223" s="1201"/>
      <c r="KRO223" s="1201"/>
      <c r="KRP223" s="1201"/>
      <c r="KRQ223" s="1201"/>
      <c r="KRR223" s="1201"/>
      <c r="KRS223" s="1201"/>
      <c r="KRT223" s="1201"/>
      <c r="KRU223" s="1201"/>
      <c r="KRV223" s="1201"/>
      <c r="KRW223" s="1201"/>
      <c r="KRX223" s="1201"/>
      <c r="KRY223" s="1201"/>
      <c r="KRZ223" s="1201"/>
      <c r="KSA223" s="1201"/>
      <c r="KSB223" s="1201"/>
      <c r="KSC223" s="1201"/>
      <c r="KSD223" s="1201"/>
      <c r="KSE223" s="1201"/>
      <c r="KSF223" s="1201"/>
      <c r="KSG223" s="1201"/>
      <c r="KSH223" s="1201"/>
      <c r="KSI223" s="1201"/>
      <c r="KSJ223" s="1201"/>
      <c r="KSK223" s="1201"/>
      <c r="KSL223" s="1201"/>
      <c r="KSM223" s="1201"/>
      <c r="KSN223" s="1201"/>
      <c r="KSO223" s="1201"/>
      <c r="KSP223" s="1201"/>
      <c r="KSQ223" s="1201"/>
      <c r="KSR223" s="1201"/>
      <c r="KSS223" s="1201"/>
      <c r="KST223" s="1201"/>
      <c r="KSU223" s="1201"/>
      <c r="KSV223" s="1201"/>
      <c r="KSW223" s="1201"/>
      <c r="KSX223" s="1201"/>
      <c r="KSY223" s="1201"/>
      <c r="KSZ223" s="1201"/>
      <c r="KTA223" s="1201"/>
      <c r="KTB223" s="1201"/>
      <c r="KTC223" s="1201"/>
      <c r="KTD223" s="1201"/>
      <c r="KTE223" s="1201"/>
      <c r="KTF223" s="1201"/>
      <c r="KTG223" s="1201"/>
      <c r="KTH223" s="1201"/>
      <c r="KTI223" s="1201"/>
      <c r="KTJ223" s="1201"/>
      <c r="KTK223" s="1201"/>
      <c r="KTL223" s="1201"/>
      <c r="KTM223" s="1201"/>
      <c r="KTN223" s="1201"/>
      <c r="KTO223" s="1201"/>
      <c r="KTP223" s="1201"/>
      <c r="KTQ223" s="1201"/>
      <c r="KTR223" s="1201"/>
      <c r="KTS223" s="1201"/>
      <c r="KTT223" s="1201"/>
      <c r="KTU223" s="1201"/>
      <c r="KTV223" s="1201"/>
      <c r="KTW223" s="1201"/>
      <c r="KTX223" s="1201"/>
      <c r="KTY223" s="1201"/>
      <c r="KTZ223" s="1201"/>
      <c r="KUA223" s="1201"/>
      <c r="KUB223" s="1201"/>
      <c r="KUC223" s="1201"/>
      <c r="KUD223" s="1201"/>
      <c r="KUE223" s="1201"/>
      <c r="KUF223" s="1201"/>
      <c r="KUG223" s="1201"/>
      <c r="KUH223" s="1201"/>
      <c r="KUI223" s="1201"/>
      <c r="KUJ223" s="1201"/>
      <c r="KUK223" s="1201"/>
      <c r="KUL223" s="1201"/>
      <c r="KUM223" s="1201"/>
      <c r="KUN223" s="1201"/>
      <c r="KUO223" s="1201"/>
      <c r="KUP223" s="1201"/>
      <c r="KUQ223" s="1201"/>
      <c r="KUR223" s="1201"/>
      <c r="KUS223" s="1201"/>
      <c r="KUT223" s="1201"/>
      <c r="KUU223" s="1201"/>
      <c r="KUV223" s="1201"/>
      <c r="KUW223" s="1201"/>
      <c r="KUX223" s="1201"/>
      <c r="KUY223" s="1201"/>
      <c r="KUZ223" s="1201"/>
      <c r="KVA223" s="1201"/>
      <c r="KVB223" s="1201"/>
      <c r="KVC223" s="1201"/>
      <c r="KVD223" s="1201"/>
      <c r="KVE223" s="1201"/>
      <c r="KVF223" s="1201"/>
      <c r="KVG223" s="1201"/>
      <c r="KVH223" s="1201"/>
      <c r="KVI223" s="1201"/>
      <c r="KVJ223" s="1201"/>
      <c r="KVK223" s="1201"/>
      <c r="KVL223" s="1201"/>
      <c r="KVM223" s="1201"/>
      <c r="KVN223" s="1201"/>
      <c r="KVO223" s="1201"/>
      <c r="KVP223" s="1201"/>
      <c r="KVQ223" s="1201"/>
      <c r="KVR223" s="1201"/>
      <c r="KVS223" s="1201"/>
      <c r="KVT223" s="1201"/>
      <c r="KVU223" s="1201"/>
      <c r="KVV223" s="1201"/>
      <c r="KVW223" s="1201"/>
      <c r="KVX223" s="1201"/>
      <c r="KVY223" s="1201"/>
      <c r="KVZ223" s="1201"/>
      <c r="KWA223" s="1201"/>
      <c r="KWB223" s="1201"/>
      <c r="KWC223" s="1201"/>
      <c r="KWD223" s="1201"/>
      <c r="KWE223" s="1201"/>
      <c r="KWF223" s="1201"/>
      <c r="KWG223" s="1201"/>
      <c r="KWH223" s="1201"/>
      <c r="KWI223" s="1201"/>
      <c r="KWJ223" s="1201"/>
      <c r="KWK223" s="1201"/>
      <c r="KWL223" s="1201"/>
      <c r="KWM223" s="1201"/>
      <c r="KWN223" s="1201"/>
      <c r="KWO223" s="1201"/>
      <c r="KWP223" s="1201"/>
      <c r="KWQ223" s="1201"/>
      <c r="KWR223" s="1201"/>
      <c r="KWS223" s="1201"/>
      <c r="KWT223" s="1201"/>
      <c r="KWU223" s="1201"/>
      <c r="KWV223" s="1201"/>
      <c r="KWW223" s="1201"/>
      <c r="KWX223" s="1201"/>
      <c r="KWY223" s="1201"/>
      <c r="KWZ223" s="1201"/>
      <c r="KXA223" s="1201"/>
      <c r="KXB223" s="1201"/>
      <c r="KXC223" s="1201"/>
      <c r="KXD223" s="1201"/>
      <c r="KXE223" s="1201"/>
      <c r="KXF223" s="1201"/>
      <c r="KXG223" s="1201"/>
      <c r="KXH223" s="1201"/>
      <c r="KXI223" s="1201"/>
      <c r="KXJ223" s="1201"/>
      <c r="KXK223" s="1201"/>
      <c r="KXL223" s="1201"/>
      <c r="KXM223" s="1201"/>
      <c r="KXN223" s="1201"/>
      <c r="KXO223" s="1201"/>
      <c r="KXP223" s="1201"/>
      <c r="KXQ223" s="1201"/>
      <c r="KXR223" s="1201"/>
      <c r="KXS223" s="1201"/>
      <c r="KXT223" s="1201"/>
      <c r="KXU223" s="1201"/>
      <c r="KXV223" s="1201"/>
      <c r="KXW223" s="1201"/>
      <c r="KXX223" s="1201"/>
      <c r="KXY223" s="1201"/>
      <c r="KXZ223" s="1201"/>
      <c r="KYA223" s="1201"/>
      <c r="KYB223" s="1201"/>
      <c r="KYC223" s="1201"/>
      <c r="KYD223" s="1201"/>
      <c r="KYE223" s="1201"/>
      <c r="KYF223" s="1201"/>
      <c r="KYG223" s="1201"/>
      <c r="KYH223" s="1201"/>
      <c r="KYI223" s="1201"/>
      <c r="KYJ223" s="1201"/>
      <c r="KYK223" s="1201"/>
      <c r="KYL223" s="1201"/>
      <c r="KYM223" s="1201"/>
      <c r="KYN223" s="1201"/>
      <c r="KYO223" s="1201"/>
      <c r="KYP223" s="1201"/>
      <c r="KYQ223" s="1201"/>
      <c r="KYR223" s="1201"/>
      <c r="KYS223" s="1201"/>
      <c r="KYT223" s="1201"/>
      <c r="KYU223" s="1201"/>
      <c r="KYV223" s="1201"/>
      <c r="KYW223" s="1201"/>
      <c r="KYX223" s="1201"/>
      <c r="KYY223" s="1201"/>
      <c r="KYZ223" s="1201"/>
      <c r="KZA223" s="1201"/>
      <c r="KZB223" s="1201"/>
      <c r="KZC223" s="1201"/>
      <c r="KZD223" s="1201"/>
      <c r="KZE223" s="1201"/>
      <c r="KZF223" s="1201"/>
      <c r="KZG223" s="1201"/>
      <c r="KZH223" s="1201"/>
      <c r="KZI223" s="1201"/>
      <c r="KZJ223" s="1201"/>
      <c r="KZK223" s="1201"/>
      <c r="KZL223" s="1201"/>
      <c r="KZM223" s="1201"/>
      <c r="KZN223" s="1201"/>
      <c r="KZO223" s="1201"/>
      <c r="KZP223" s="1201"/>
      <c r="KZQ223" s="1201"/>
      <c r="KZR223" s="1201"/>
      <c r="KZS223" s="1201"/>
      <c r="KZT223" s="1201"/>
      <c r="KZU223" s="1201"/>
      <c r="KZV223" s="1201"/>
      <c r="KZW223" s="1201"/>
      <c r="KZX223" s="1201"/>
      <c r="KZY223" s="1201"/>
      <c r="KZZ223" s="1201"/>
      <c r="LAA223" s="1201"/>
      <c r="LAB223" s="1201"/>
      <c r="LAC223" s="1201"/>
      <c r="LAD223" s="1201"/>
      <c r="LAE223" s="1201"/>
      <c r="LAF223" s="1201"/>
      <c r="LAG223" s="1201"/>
      <c r="LAH223" s="1201"/>
      <c r="LAI223" s="1201"/>
      <c r="LAJ223" s="1201"/>
      <c r="LAK223" s="1201"/>
      <c r="LAL223" s="1201"/>
      <c r="LAM223" s="1201"/>
      <c r="LAN223" s="1201"/>
      <c r="LAO223" s="1201"/>
      <c r="LAP223" s="1201"/>
      <c r="LAQ223" s="1201"/>
      <c r="LAR223" s="1201"/>
      <c r="LAS223" s="1201"/>
      <c r="LAT223" s="1201"/>
      <c r="LAU223" s="1201"/>
      <c r="LAV223" s="1201"/>
      <c r="LAW223" s="1201"/>
      <c r="LAX223" s="1201"/>
      <c r="LAY223" s="1201"/>
      <c r="LAZ223" s="1201"/>
      <c r="LBA223" s="1201"/>
      <c r="LBB223" s="1201"/>
      <c r="LBC223" s="1201"/>
      <c r="LBD223" s="1201"/>
      <c r="LBE223" s="1201"/>
      <c r="LBF223" s="1201"/>
      <c r="LBG223" s="1201"/>
      <c r="LBH223" s="1201"/>
      <c r="LBI223" s="1201"/>
      <c r="LBJ223" s="1201"/>
      <c r="LBK223" s="1201"/>
      <c r="LBL223" s="1201"/>
      <c r="LBM223" s="1201"/>
      <c r="LBN223" s="1201"/>
      <c r="LBO223" s="1201"/>
      <c r="LBP223" s="1201"/>
      <c r="LBQ223" s="1201"/>
      <c r="LBR223" s="1201"/>
      <c r="LBS223" s="1201"/>
      <c r="LBT223" s="1201"/>
      <c r="LBU223" s="1201"/>
      <c r="LBV223" s="1201"/>
      <c r="LBW223" s="1201"/>
      <c r="LBX223" s="1201"/>
      <c r="LBY223" s="1201"/>
      <c r="LBZ223" s="1201"/>
      <c r="LCA223" s="1201"/>
      <c r="LCB223" s="1201"/>
      <c r="LCC223" s="1201"/>
      <c r="LCD223" s="1201"/>
      <c r="LCE223" s="1201"/>
      <c r="LCF223" s="1201"/>
      <c r="LCG223" s="1201"/>
      <c r="LCH223" s="1201"/>
      <c r="LCI223" s="1201"/>
      <c r="LCJ223" s="1201"/>
      <c r="LCK223" s="1201"/>
      <c r="LCL223" s="1201"/>
      <c r="LCM223" s="1201"/>
      <c r="LCN223" s="1201"/>
      <c r="LCO223" s="1201"/>
      <c r="LCP223" s="1201"/>
      <c r="LCQ223" s="1201"/>
      <c r="LCR223" s="1201"/>
      <c r="LCS223" s="1201"/>
      <c r="LCT223" s="1201"/>
      <c r="LCU223" s="1201"/>
      <c r="LCV223" s="1201"/>
      <c r="LCW223" s="1201"/>
      <c r="LCX223" s="1201"/>
      <c r="LCY223" s="1201"/>
      <c r="LCZ223" s="1201"/>
      <c r="LDA223" s="1201"/>
      <c r="LDB223" s="1201"/>
      <c r="LDC223" s="1201"/>
      <c r="LDD223" s="1201"/>
      <c r="LDE223" s="1201"/>
      <c r="LDF223" s="1201"/>
      <c r="LDG223" s="1201"/>
      <c r="LDH223" s="1201"/>
      <c r="LDI223" s="1201"/>
      <c r="LDJ223" s="1201"/>
      <c r="LDK223" s="1201"/>
      <c r="LDL223" s="1201"/>
      <c r="LDM223" s="1201"/>
      <c r="LDN223" s="1201"/>
      <c r="LDO223" s="1201"/>
      <c r="LDP223" s="1201"/>
      <c r="LDQ223" s="1201"/>
      <c r="LDR223" s="1201"/>
      <c r="LDS223" s="1201"/>
      <c r="LDT223" s="1201"/>
      <c r="LDU223" s="1201"/>
      <c r="LDV223" s="1201"/>
      <c r="LDW223" s="1201"/>
      <c r="LDX223" s="1201"/>
      <c r="LDY223" s="1201"/>
      <c r="LDZ223" s="1201"/>
      <c r="LEA223" s="1201"/>
      <c r="LEB223" s="1201"/>
      <c r="LEC223" s="1201"/>
      <c r="LED223" s="1201"/>
      <c r="LEE223" s="1201"/>
      <c r="LEF223" s="1201"/>
      <c r="LEG223" s="1201"/>
      <c r="LEH223" s="1201"/>
      <c r="LEI223" s="1201"/>
      <c r="LEJ223" s="1201"/>
      <c r="LEK223" s="1201"/>
      <c r="LEL223" s="1201"/>
      <c r="LEM223" s="1201"/>
      <c r="LEN223" s="1201"/>
      <c r="LEO223" s="1201"/>
      <c r="LEP223" s="1201"/>
      <c r="LEQ223" s="1201"/>
      <c r="LER223" s="1201"/>
      <c r="LES223" s="1201"/>
      <c r="LET223" s="1201"/>
      <c r="LEU223" s="1201"/>
      <c r="LEV223" s="1201"/>
      <c r="LEW223" s="1201"/>
      <c r="LEX223" s="1201"/>
      <c r="LEY223" s="1201"/>
      <c r="LEZ223" s="1201"/>
      <c r="LFA223" s="1201"/>
      <c r="LFB223" s="1201"/>
      <c r="LFC223" s="1201"/>
      <c r="LFD223" s="1201"/>
      <c r="LFE223" s="1201"/>
      <c r="LFF223" s="1201"/>
      <c r="LFG223" s="1201"/>
      <c r="LFH223" s="1201"/>
      <c r="LFI223" s="1201"/>
      <c r="LFJ223" s="1201"/>
      <c r="LFK223" s="1201"/>
      <c r="LFL223" s="1201"/>
      <c r="LFM223" s="1201"/>
      <c r="LFN223" s="1201"/>
      <c r="LFO223" s="1201"/>
      <c r="LFP223" s="1201"/>
      <c r="LFQ223" s="1201"/>
      <c r="LFR223" s="1201"/>
      <c r="LFS223" s="1201"/>
      <c r="LFT223" s="1201"/>
      <c r="LFU223" s="1201"/>
      <c r="LFV223" s="1201"/>
      <c r="LFW223" s="1201"/>
      <c r="LFX223" s="1201"/>
      <c r="LFY223" s="1201"/>
      <c r="LFZ223" s="1201"/>
      <c r="LGA223" s="1201"/>
      <c r="LGB223" s="1201"/>
      <c r="LGC223" s="1201"/>
      <c r="LGD223" s="1201"/>
      <c r="LGE223" s="1201"/>
      <c r="LGF223" s="1201"/>
      <c r="LGG223" s="1201"/>
      <c r="LGH223" s="1201"/>
      <c r="LGI223" s="1201"/>
      <c r="LGJ223" s="1201"/>
      <c r="LGK223" s="1201"/>
      <c r="LGL223" s="1201"/>
      <c r="LGM223" s="1201"/>
      <c r="LGN223" s="1201"/>
      <c r="LGO223" s="1201"/>
      <c r="LGP223" s="1201"/>
      <c r="LGQ223" s="1201"/>
      <c r="LGR223" s="1201"/>
      <c r="LGS223" s="1201"/>
      <c r="LGT223" s="1201"/>
      <c r="LGU223" s="1201"/>
      <c r="LGV223" s="1201"/>
      <c r="LGW223" s="1201"/>
      <c r="LGX223" s="1201"/>
      <c r="LGY223" s="1201"/>
      <c r="LGZ223" s="1201"/>
      <c r="LHA223" s="1201"/>
      <c r="LHB223" s="1201"/>
      <c r="LHC223" s="1201"/>
      <c r="LHD223" s="1201"/>
      <c r="LHE223" s="1201"/>
      <c r="LHF223" s="1201"/>
      <c r="LHG223" s="1201"/>
      <c r="LHH223" s="1201"/>
      <c r="LHI223" s="1201"/>
      <c r="LHJ223" s="1201"/>
      <c r="LHK223" s="1201"/>
      <c r="LHL223" s="1201"/>
      <c r="LHM223" s="1201"/>
      <c r="LHN223" s="1201"/>
      <c r="LHO223" s="1201"/>
      <c r="LHP223" s="1201"/>
      <c r="LHQ223" s="1201"/>
      <c r="LHR223" s="1201"/>
      <c r="LHS223" s="1201"/>
      <c r="LHT223" s="1201"/>
      <c r="LHU223" s="1201"/>
      <c r="LHV223" s="1201"/>
      <c r="LHW223" s="1201"/>
      <c r="LHX223" s="1201"/>
      <c r="LHY223" s="1201"/>
      <c r="LHZ223" s="1201"/>
      <c r="LIA223" s="1201"/>
      <c r="LIB223" s="1201"/>
      <c r="LIC223" s="1201"/>
      <c r="LID223" s="1201"/>
      <c r="LIE223" s="1201"/>
      <c r="LIF223" s="1201"/>
      <c r="LIG223" s="1201"/>
      <c r="LIH223" s="1201"/>
      <c r="LII223" s="1201"/>
      <c r="LIJ223" s="1201"/>
      <c r="LIK223" s="1201"/>
      <c r="LIL223" s="1201"/>
      <c r="LIM223" s="1201"/>
      <c r="LIN223" s="1201"/>
      <c r="LIO223" s="1201"/>
      <c r="LIP223" s="1201"/>
      <c r="LIQ223" s="1201"/>
      <c r="LIR223" s="1201"/>
      <c r="LIS223" s="1201"/>
      <c r="LIT223" s="1201"/>
      <c r="LIU223" s="1201"/>
      <c r="LIV223" s="1201"/>
      <c r="LIW223" s="1201"/>
      <c r="LIX223" s="1201"/>
      <c r="LIY223" s="1201"/>
      <c r="LIZ223" s="1201"/>
      <c r="LJA223" s="1201"/>
      <c r="LJB223" s="1201"/>
      <c r="LJC223" s="1201"/>
      <c r="LJD223" s="1201"/>
      <c r="LJE223" s="1201"/>
      <c r="LJF223" s="1201"/>
      <c r="LJG223" s="1201"/>
      <c r="LJH223" s="1201"/>
      <c r="LJI223" s="1201"/>
      <c r="LJJ223" s="1201"/>
      <c r="LJK223" s="1201"/>
      <c r="LJL223" s="1201"/>
      <c r="LJM223" s="1201"/>
      <c r="LJN223" s="1201"/>
      <c r="LJO223" s="1201"/>
      <c r="LJP223" s="1201"/>
      <c r="LJQ223" s="1201"/>
      <c r="LJR223" s="1201"/>
      <c r="LJS223" s="1201"/>
      <c r="LJT223" s="1201"/>
      <c r="LJU223" s="1201"/>
      <c r="LJV223" s="1201"/>
      <c r="LJW223" s="1201"/>
      <c r="LJX223" s="1201"/>
      <c r="LJY223" s="1201"/>
      <c r="LJZ223" s="1201"/>
      <c r="LKA223" s="1201"/>
      <c r="LKB223" s="1201"/>
      <c r="LKC223" s="1201"/>
      <c r="LKD223" s="1201"/>
      <c r="LKE223" s="1201"/>
      <c r="LKF223" s="1201"/>
      <c r="LKG223" s="1201"/>
      <c r="LKH223" s="1201"/>
      <c r="LKI223" s="1201"/>
      <c r="LKJ223" s="1201"/>
      <c r="LKK223" s="1201"/>
      <c r="LKL223" s="1201"/>
      <c r="LKM223" s="1201"/>
      <c r="LKN223" s="1201"/>
      <c r="LKO223" s="1201"/>
      <c r="LKP223" s="1201"/>
      <c r="LKQ223" s="1201"/>
      <c r="LKR223" s="1201"/>
      <c r="LKS223" s="1201"/>
      <c r="LKT223" s="1201"/>
      <c r="LKU223" s="1201"/>
      <c r="LKV223" s="1201"/>
      <c r="LKW223" s="1201"/>
      <c r="LKX223" s="1201"/>
      <c r="LKY223" s="1201"/>
      <c r="LKZ223" s="1201"/>
      <c r="LLA223" s="1201"/>
      <c r="LLB223" s="1201"/>
      <c r="LLC223" s="1201"/>
      <c r="LLD223" s="1201"/>
      <c r="LLE223" s="1201"/>
      <c r="LLF223" s="1201"/>
      <c r="LLG223" s="1201"/>
      <c r="LLH223" s="1201"/>
      <c r="LLI223" s="1201"/>
      <c r="LLJ223" s="1201"/>
      <c r="LLK223" s="1201"/>
      <c r="LLL223" s="1201"/>
      <c r="LLM223" s="1201"/>
      <c r="LLN223" s="1201"/>
      <c r="LLO223" s="1201"/>
      <c r="LLP223" s="1201"/>
      <c r="LLQ223" s="1201"/>
      <c r="LLR223" s="1201"/>
      <c r="LLS223" s="1201"/>
      <c r="LLT223" s="1201"/>
      <c r="LLU223" s="1201"/>
      <c r="LLV223" s="1201"/>
      <c r="LLW223" s="1201"/>
      <c r="LLX223" s="1201"/>
      <c r="LLY223" s="1201"/>
      <c r="LLZ223" s="1201"/>
      <c r="LMA223" s="1201"/>
      <c r="LMB223" s="1201"/>
      <c r="LMC223" s="1201"/>
      <c r="LMD223" s="1201"/>
      <c r="LME223" s="1201"/>
      <c r="LMF223" s="1201"/>
      <c r="LMG223" s="1201"/>
      <c r="LMH223" s="1201"/>
      <c r="LMI223" s="1201"/>
      <c r="LMJ223" s="1201"/>
      <c r="LMK223" s="1201"/>
      <c r="LML223" s="1201"/>
      <c r="LMM223" s="1201"/>
      <c r="LMN223" s="1201"/>
      <c r="LMO223" s="1201"/>
      <c r="LMP223" s="1201"/>
      <c r="LMQ223" s="1201"/>
      <c r="LMR223" s="1201"/>
      <c r="LMS223" s="1201"/>
      <c r="LMT223" s="1201"/>
      <c r="LMU223" s="1201"/>
      <c r="LMV223" s="1201"/>
      <c r="LMW223" s="1201"/>
      <c r="LMX223" s="1201"/>
      <c r="LMY223" s="1201"/>
      <c r="LMZ223" s="1201"/>
      <c r="LNA223" s="1201"/>
      <c r="LNB223" s="1201"/>
      <c r="LNC223" s="1201"/>
      <c r="LND223" s="1201"/>
      <c r="LNE223" s="1201"/>
      <c r="LNF223" s="1201"/>
      <c r="LNG223" s="1201"/>
      <c r="LNH223" s="1201"/>
      <c r="LNI223" s="1201"/>
      <c r="LNJ223" s="1201"/>
      <c r="LNK223" s="1201"/>
      <c r="LNL223" s="1201"/>
      <c r="LNM223" s="1201"/>
      <c r="LNN223" s="1201"/>
      <c r="LNO223" s="1201"/>
      <c r="LNP223" s="1201"/>
      <c r="LNQ223" s="1201"/>
      <c r="LNR223" s="1201"/>
      <c r="LNS223" s="1201"/>
      <c r="LNT223" s="1201"/>
      <c r="LNU223" s="1201"/>
      <c r="LNV223" s="1201"/>
      <c r="LNW223" s="1201"/>
      <c r="LNX223" s="1201"/>
      <c r="LNY223" s="1201"/>
      <c r="LNZ223" s="1201"/>
      <c r="LOA223" s="1201"/>
      <c r="LOB223" s="1201"/>
      <c r="LOC223" s="1201"/>
      <c r="LOD223" s="1201"/>
      <c r="LOE223" s="1201"/>
      <c r="LOF223" s="1201"/>
      <c r="LOG223" s="1201"/>
      <c r="LOH223" s="1201"/>
      <c r="LOI223" s="1201"/>
      <c r="LOJ223" s="1201"/>
      <c r="LOK223" s="1201"/>
      <c r="LOL223" s="1201"/>
      <c r="LOM223" s="1201"/>
      <c r="LON223" s="1201"/>
      <c r="LOO223" s="1201"/>
      <c r="LOP223" s="1201"/>
      <c r="LOQ223" s="1201"/>
      <c r="LOR223" s="1201"/>
      <c r="LOS223" s="1201"/>
      <c r="LOT223" s="1201"/>
      <c r="LOU223" s="1201"/>
      <c r="LOV223" s="1201"/>
      <c r="LOW223" s="1201"/>
      <c r="LOX223" s="1201"/>
      <c r="LOY223" s="1201"/>
      <c r="LOZ223" s="1201"/>
      <c r="LPA223" s="1201"/>
      <c r="LPB223" s="1201"/>
      <c r="LPC223" s="1201"/>
      <c r="LPD223" s="1201"/>
      <c r="LPE223" s="1201"/>
      <c r="LPF223" s="1201"/>
      <c r="LPG223" s="1201"/>
      <c r="LPH223" s="1201"/>
      <c r="LPI223" s="1201"/>
      <c r="LPJ223" s="1201"/>
      <c r="LPK223" s="1201"/>
      <c r="LPL223" s="1201"/>
      <c r="LPM223" s="1201"/>
      <c r="LPN223" s="1201"/>
      <c r="LPO223" s="1201"/>
      <c r="LPP223" s="1201"/>
      <c r="LPQ223" s="1201"/>
      <c r="LPR223" s="1201"/>
      <c r="LPS223" s="1201"/>
      <c r="LPT223" s="1201"/>
      <c r="LPU223" s="1201"/>
      <c r="LPV223" s="1201"/>
      <c r="LPW223" s="1201"/>
      <c r="LPX223" s="1201"/>
      <c r="LPY223" s="1201"/>
      <c r="LPZ223" s="1201"/>
      <c r="LQA223" s="1201"/>
      <c r="LQB223" s="1201"/>
      <c r="LQC223" s="1201"/>
      <c r="LQD223" s="1201"/>
      <c r="LQE223" s="1201"/>
      <c r="LQF223" s="1201"/>
      <c r="LQG223" s="1201"/>
      <c r="LQH223" s="1201"/>
      <c r="LQI223" s="1201"/>
      <c r="LQJ223" s="1201"/>
      <c r="LQK223" s="1201"/>
      <c r="LQL223" s="1201"/>
      <c r="LQM223" s="1201"/>
      <c r="LQN223" s="1201"/>
      <c r="LQO223" s="1201"/>
      <c r="LQP223" s="1201"/>
      <c r="LQQ223" s="1201"/>
      <c r="LQR223" s="1201"/>
      <c r="LQS223" s="1201"/>
      <c r="LQT223" s="1201"/>
      <c r="LQU223" s="1201"/>
      <c r="LQV223" s="1201"/>
      <c r="LQW223" s="1201"/>
      <c r="LQX223" s="1201"/>
      <c r="LQY223" s="1201"/>
      <c r="LQZ223" s="1201"/>
      <c r="LRA223" s="1201"/>
      <c r="LRB223" s="1201"/>
      <c r="LRC223" s="1201"/>
      <c r="LRD223" s="1201"/>
      <c r="LRE223" s="1201"/>
      <c r="LRF223" s="1201"/>
      <c r="LRG223" s="1201"/>
      <c r="LRH223" s="1201"/>
      <c r="LRI223" s="1201"/>
      <c r="LRJ223" s="1201"/>
      <c r="LRK223" s="1201"/>
      <c r="LRL223" s="1201"/>
      <c r="LRM223" s="1201"/>
      <c r="LRN223" s="1201"/>
      <c r="LRO223" s="1201"/>
      <c r="LRP223" s="1201"/>
      <c r="LRQ223" s="1201"/>
      <c r="LRR223" s="1201"/>
      <c r="LRS223" s="1201"/>
      <c r="LRT223" s="1201"/>
      <c r="LRU223" s="1201"/>
      <c r="LRV223" s="1201"/>
      <c r="LRW223" s="1201"/>
      <c r="LRX223" s="1201"/>
      <c r="LRY223" s="1201"/>
      <c r="LRZ223" s="1201"/>
      <c r="LSA223" s="1201"/>
      <c r="LSB223" s="1201"/>
      <c r="LSC223" s="1201"/>
      <c r="LSD223" s="1201"/>
      <c r="LSE223" s="1201"/>
      <c r="LSF223" s="1201"/>
      <c r="LSG223" s="1201"/>
      <c r="LSH223" s="1201"/>
      <c r="LSI223" s="1201"/>
      <c r="LSJ223" s="1201"/>
      <c r="LSK223" s="1201"/>
      <c r="LSL223" s="1201"/>
      <c r="LSM223" s="1201"/>
      <c r="LSN223" s="1201"/>
      <c r="LSO223" s="1201"/>
      <c r="LSP223" s="1201"/>
      <c r="LSQ223" s="1201"/>
      <c r="LSR223" s="1201"/>
      <c r="LSS223" s="1201"/>
      <c r="LST223" s="1201"/>
      <c r="LSU223" s="1201"/>
      <c r="LSV223" s="1201"/>
      <c r="LSW223" s="1201"/>
      <c r="LSX223" s="1201"/>
      <c r="LSY223" s="1201"/>
      <c r="LSZ223" s="1201"/>
      <c r="LTA223" s="1201"/>
      <c r="LTB223" s="1201"/>
      <c r="LTC223" s="1201"/>
      <c r="LTD223" s="1201"/>
      <c r="LTE223" s="1201"/>
      <c r="LTF223" s="1201"/>
      <c r="LTG223" s="1201"/>
      <c r="LTH223" s="1201"/>
      <c r="LTI223" s="1201"/>
      <c r="LTJ223" s="1201"/>
      <c r="LTK223" s="1201"/>
      <c r="LTL223" s="1201"/>
      <c r="LTM223" s="1201"/>
      <c r="LTN223" s="1201"/>
      <c r="LTO223" s="1201"/>
      <c r="LTP223" s="1201"/>
      <c r="LTQ223" s="1201"/>
      <c r="LTR223" s="1201"/>
      <c r="LTS223" s="1201"/>
      <c r="LTT223" s="1201"/>
      <c r="LTU223" s="1201"/>
      <c r="LTV223" s="1201"/>
      <c r="LTW223" s="1201"/>
      <c r="LTX223" s="1201"/>
      <c r="LTY223" s="1201"/>
      <c r="LTZ223" s="1201"/>
      <c r="LUA223" s="1201"/>
      <c r="LUB223" s="1201"/>
      <c r="LUC223" s="1201"/>
      <c r="LUD223" s="1201"/>
      <c r="LUE223" s="1201"/>
      <c r="LUF223" s="1201"/>
      <c r="LUG223" s="1201"/>
      <c r="LUH223" s="1201"/>
      <c r="LUI223" s="1201"/>
      <c r="LUJ223" s="1201"/>
      <c r="LUK223" s="1201"/>
      <c r="LUL223" s="1201"/>
      <c r="LUM223" s="1201"/>
      <c r="LUN223" s="1201"/>
      <c r="LUO223" s="1201"/>
      <c r="LUP223" s="1201"/>
      <c r="LUQ223" s="1201"/>
      <c r="LUR223" s="1201"/>
      <c r="LUS223" s="1201"/>
      <c r="LUT223" s="1201"/>
      <c r="LUU223" s="1201"/>
      <c r="LUV223" s="1201"/>
      <c r="LUW223" s="1201"/>
      <c r="LUX223" s="1201"/>
      <c r="LUY223" s="1201"/>
      <c r="LUZ223" s="1201"/>
      <c r="LVA223" s="1201"/>
      <c r="LVB223" s="1201"/>
      <c r="LVC223" s="1201"/>
      <c r="LVD223" s="1201"/>
      <c r="LVE223" s="1201"/>
      <c r="LVF223" s="1201"/>
      <c r="LVG223" s="1201"/>
      <c r="LVH223" s="1201"/>
      <c r="LVI223" s="1201"/>
      <c r="LVJ223" s="1201"/>
      <c r="LVK223" s="1201"/>
      <c r="LVL223" s="1201"/>
      <c r="LVM223" s="1201"/>
      <c r="LVN223" s="1201"/>
      <c r="LVO223" s="1201"/>
      <c r="LVP223" s="1201"/>
      <c r="LVQ223" s="1201"/>
      <c r="LVR223" s="1201"/>
      <c r="LVS223" s="1201"/>
      <c r="LVT223" s="1201"/>
      <c r="LVU223" s="1201"/>
      <c r="LVV223" s="1201"/>
      <c r="LVW223" s="1201"/>
      <c r="LVX223" s="1201"/>
      <c r="LVY223" s="1201"/>
      <c r="LVZ223" s="1201"/>
      <c r="LWA223" s="1201"/>
      <c r="LWB223" s="1201"/>
      <c r="LWC223" s="1201"/>
      <c r="LWD223" s="1201"/>
      <c r="LWE223" s="1201"/>
      <c r="LWF223" s="1201"/>
      <c r="LWG223" s="1201"/>
      <c r="LWH223" s="1201"/>
      <c r="LWI223" s="1201"/>
      <c r="LWJ223" s="1201"/>
      <c r="LWK223" s="1201"/>
      <c r="LWL223" s="1201"/>
      <c r="LWM223" s="1201"/>
      <c r="LWN223" s="1201"/>
      <c r="LWO223" s="1201"/>
      <c r="LWP223" s="1201"/>
      <c r="LWQ223" s="1201"/>
      <c r="LWR223" s="1201"/>
      <c r="LWS223" s="1201"/>
      <c r="LWT223" s="1201"/>
      <c r="LWU223" s="1201"/>
      <c r="LWV223" s="1201"/>
      <c r="LWW223" s="1201"/>
      <c r="LWX223" s="1201"/>
      <c r="LWY223" s="1201"/>
      <c r="LWZ223" s="1201"/>
      <c r="LXA223" s="1201"/>
      <c r="LXB223" s="1201"/>
      <c r="LXC223" s="1201"/>
      <c r="LXD223" s="1201"/>
      <c r="LXE223" s="1201"/>
      <c r="LXF223" s="1201"/>
      <c r="LXG223" s="1201"/>
      <c r="LXH223" s="1201"/>
      <c r="LXI223" s="1201"/>
      <c r="LXJ223" s="1201"/>
      <c r="LXK223" s="1201"/>
      <c r="LXL223" s="1201"/>
      <c r="LXM223" s="1201"/>
      <c r="LXN223" s="1201"/>
      <c r="LXO223" s="1201"/>
      <c r="LXP223" s="1201"/>
      <c r="LXQ223" s="1201"/>
      <c r="LXR223" s="1201"/>
      <c r="LXS223" s="1201"/>
      <c r="LXT223" s="1201"/>
      <c r="LXU223" s="1201"/>
      <c r="LXV223" s="1201"/>
      <c r="LXW223" s="1201"/>
      <c r="LXX223" s="1201"/>
      <c r="LXY223" s="1201"/>
      <c r="LXZ223" s="1201"/>
      <c r="LYA223" s="1201"/>
      <c r="LYB223" s="1201"/>
      <c r="LYC223" s="1201"/>
      <c r="LYD223" s="1201"/>
      <c r="LYE223" s="1201"/>
      <c r="LYF223" s="1201"/>
      <c r="LYG223" s="1201"/>
      <c r="LYH223" s="1201"/>
      <c r="LYI223" s="1201"/>
      <c r="LYJ223" s="1201"/>
      <c r="LYK223" s="1201"/>
      <c r="LYL223" s="1201"/>
      <c r="LYM223" s="1201"/>
      <c r="LYN223" s="1201"/>
      <c r="LYO223" s="1201"/>
      <c r="LYP223" s="1201"/>
      <c r="LYQ223" s="1201"/>
      <c r="LYR223" s="1201"/>
      <c r="LYS223" s="1201"/>
      <c r="LYT223" s="1201"/>
      <c r="LYU223" s="1201"/>
      <c r="LYV223" s="1201"/>
      <c r="LYW223" s="1201"/>
      <c r="LYX223" s="1201"/>
      <c r="LYY223" s="1201"/>
      <c r="LYZ223" s="1201"/>
      <c r="LZA223" s="1201"/>
      <c r="LZB223" s="1201"/>
      <c r="LZC223" s="1201"/>
      <c r="LZD223" s="1201"/>
      <c r="LZE223" s="1201"/>
      <c r="LZF223" s="1201"/>
      <c r="LZG223" s="1201"/>
      <c r="LZH223" s="1201"/>
      <c r="LZI223" s="1201"/>
      <c r="LZJ223" s="1201"/>
      <c r="LZK223" s="1201"/>
      <c r="LZL223" s="1201"/>
      <c r="LZM223" s="1201"/>
      <c r="LZN223" s="1201"/>
      <c r="LZO223" s="1201"/>
      <c r="LZP223" s="1201"/>
      <c r="LZQ223" s="1201"/>
      <c r="LZR223" s="1201"/>
      <c r="LZS223" s="1201"/>
      <c r="LZT223" s="1201"/>
      <c r="LZU223" s="1201"/>
      <c r="LZV223" s="1201"/>
      <c r="LZW223" s="1201"/>
      <c r="LZX223" s="1201"/>
      <c r="LZY223" s="1201"/>
      <c r="LZZ223" s="1201"/>
      <c r="MAA223" s="1201"/>
      <c r="MAB223" s="1201"/>
      <c r="MAC223" s="1201"/>
      <c r="MAD223" s="1201"/>
      <c r="MAE223" s="1201"/>
      <c r="MAF223" s="1201"/>
      <c r="MAG223" s="1201"/>
      <c r="MAH223" s="1201"/>
      <c r="MAI223" s="1201"/>
      <c r="MAJ223" s="1201"/>
      <c r="MAK223" s="1201"/>
      <c r="MAL223" s="1201"/>
      <c r="MAM223" s="1201"/>
      <c r="MAN223" s="1201"/>
      <c r="MAO223" s="1201"/>
      <c r="MAP223" s="1201"/>
      <c r="MAQ223" s="1201"/>
      <c r="MAR223" s="1201"/>
      <c r="MAS223" s="1201"/>
      <c r="MAT223" s="1201"/>
      <c r="MAU223" s="1201"/>
      <c r="MAV223" s="1201"/>
      <c r="MAW223" s="1201"/>
      <c r="MAX223" s="1201"/>
      <c r="MAY223" s="1201"/>
      <c r="MAZ223" s="1201"/>
      <c r="MBA223" s="1201"/>
      <c r="MBB223" s="1201"/>
      <c r="MBC223" s="1201"/>
      <c r="MBD223" s="1201"/>
      <c r="MBE223" s="1201"/>
      <c r="MBF223" s="1201"/>
      <c r="MBG223" s="1201"/>
      <c r="MBH223" s="1201"/>
      <c r="MBI223" s="1201"/>
      <c r="MBJ223" s="1201"/>
      <c r="MBK223" s="1201"/>
      <c r="MBL223" s="1201"/>
      <c r="MBM223" s="1201"/>
      <c r="MBN223" s="1201"/>
      <c r="MBO223" s="1201"/>
      <c r="MBP223" s="1201"/>
      <c r="MBQ223" s="1201"/>
      <c r="MBR223" s="1201"/>
      <c r="MBS223" s="1201"/>
      <c r="MBT223" s="1201"/>
      <c r="MBU223" s="1201"/>
      <c r="MBV223" s="1201"/>
      <c r="MBW223" s="1201"/>
      <c r="MBX223" s="1201"/>
      <c r="MBY223" s="1201"/>
      <c r="MBZ223" s="1201"/>
      <c r="MCA223" s="1201"/>
      <c r="MCB223" s="1201"/>
      <c r="MCC223" s="1201"/>
      <c r="MCD223" s="1201"/>
      <c r="MCE223" s="1201"/>
      <c r="MCF223" s="1201"/>
      <c r="MCG223" s="1201"/>
      <c r="MCH223" s="1201"/>
      <c r="MCI223" s="1201"/>
      <c r="MCJ223" s="1201"/>
      <c r="MCK223" s="1201"/>
      <c r="MCL223" s="1201"/>
      <c r="MCM223" s="1201"/>
      <c r="MCN223" s="1201"/>
      <c r="MCO223" s="1201"/>
      <c r="MCP223" s="1201"/>
      <c r="MCQ223" s="1201"/>
      <c r="MCR223" s="1201"/>
      <c r="MCS223" s="1201"/>
      <c r="MCT223" s="1201"/>
      <c r="MCU223" s="1201"/>
      <c r="MCV223" s="1201"/>
      <c r="MCW223" s="1201"/>
      <c r="MCX223" s="1201"/>
      <c r="MCY223" s="1201"/>
      <c r="MCZ223" s="1201"/>
      <c r="MDA223" s="1201"/>
      <c r="MDB223" s="1201"/>
      <c r="MDC223" s="1201"/>
      <c r="MDD223" s="1201"/>
      <c r="MDE223" s="1201"/>
      <c r="MDF223" s="1201"/>
      <c r="MDG223" s="1201"/>
      <c r="MDH223" s="1201"/>
      <c r="MDI223" s="1201"/>
      <c r="MDJ223" s="1201"/>
      <c r="MDK223" s="1201"/>
      <c r="MDL223" s="1201"/>
      <c r="MDM223" s="1201"/>
      <c r="MDN223" s="1201"/>
      <c r="MDO223" s="1201"/>
      <c r="MDP223" s="1201"/>
      <c r="MDQ223" s="1201"/>
      <c r="MDR223" s="1201"/>
      <c r="MDS223" s="1201"/>
      <c r="MDT223" s="1201"/>
      <c r="MDU223" s="1201"/>
      <c r="MDV223" s="1201"/>
      <c r="MDW223" s="1201"/>
      <c r="MDX223" s="1201"/>
      <c r="MDY223" s="1201"/>
      <c r="MDZ223" s="1201"/>
      <c r="MEA223" s="1201"/>
      <c r="MEB223" s="1201"/>
      <c r="MEC223" s="1201"/>
      <c r="MED223" s="1201"/>
      <c r="MEE223" s="1201"/>
      <c r="MEF223" s="1201"/>
      <c r="MEG223" s="1201"/>
      <c r="MEH223" s="1201"/>
      <c r="MEI223" s="1201"/>
      <c r="MEJ223" s="1201"/>
      <c r="MEK223" s="1201"/>
      <c r="MEL223" s="1201"/>
      <c r="MEM223" s="1201"/>
      <c r="MEN223" s="1201"/>
      <c r="MEO223" s="1201"/>
      <c r="MEP223" s="1201"/>
      <c r="MEQ223" s="1201"/>
      <c r="MER223" s="1201"/>
      <c r="MES223" s="1201"/>
      <c r="MET223" s="1201"/>
      <c r="MEU223" s="1201"/>
      <c r="MEV223" s="1201"/>
      <c r="MEW223" s="1201"/>
      <c r="MEX223" s="1201"/>
      <c r="MEY223" s="1201"/>
      <c r="MEZ223" s="1201"/>
      <c r="MFA223" s="1201"/>
      <c r="MFB223" s="1201"/>
      <c r="MFC223" s="1201"/>
      <c r="MFD223" s="1201"/>
      <c r="MFE223" s="1201"/>
      <c r="MFF223" s="1201"/>
      <c r="MFG223" s="1201"/>
      <c r="MFH223" s="1201"/>
      <c r="MFI223" s="1201"/>
      <c r="MFJ223" s="1201"/>
      <c r="MFK223" s="1201"/>
      <c r="MFL223" s="1201"/>
      <c r="MFM223" s="1201"/>
      <c r="MFN223" s="1201"/>
      <c r="MFO223" s="1201"/>
      <c r="MFP223" s="1201"/>
      <c r="MFQ223" s="1201"/>
      <c r="MFR223" s="1201"/>
      <c r="MFS223" s="1201"/>
      <c r="MFT223" s="1201"/>
      <c r="MFU223" s="1201"/>
      <c r="MFV223" s="1201"/>
      <c r="MFW223" s="1201"/>
      <c r="MFX223" s="1201"/>
      <c r="MFY223" s="1201"/>
      <c r="MFZ223" s="1201"/>
      <c r="MGA223" s="1201"/>
      <c r="MGB223" s="1201"/>
      <c r="MGC223" s="1201"/>
      <c r="MGD223" s="1201"/>
      <c r="MGE223" s="1201"/>
      <c r="MGF223" s="1201"/>
      <c r="MGG223" s="1201"/>
      <c r="MGH223" s="1201"/>
      <c r="MGI223" s="1201"/>
      <c r="MGJ223" s="1201"/>
      <c r="MGK223" s="1201"/>
      <c r="MGL223" s="1201"/>
      <c r="MGM223" s="1201"/>
      <c r="MGN223" s="1201"/>
      <c r="MGO223" s="1201"/>
      <c r="MGP223" s="1201"/>
      <c r="MGQ223" s="1201"/>
      <c r="MGR223" s="1201"/>
      <c r="MGS223" s="1201"/>
      <c r="MGT223" s="1201"/>
      <c r="MGU223" s="1201"/>
      <c r="MGV223" s="1201"/>
      <c r="MGW223" s="1201"/>
      <c r="MGX223" s="1201"/>
      <c r="MGY223" s="1201"/>
      <c r="MGZ223" s="1201"/>
      <c r="MHA223" s="1201"/>
      <c r="MHB223" s="1201"/>
      <c r="MHC223" s="1201"/>
      <c r="MHD223" s="1201"/>
      <c r="MHE223" s="1201"/>
      <c r="MHF223" s="1201"/>
      <c r="MHG223" s="1201"/>
      <c r="MHH223" s="1201"/>
      <c r="MHI223" s="1201"/>
      <c r="MHJ223" s="1201"/>
      <c r="MHK223" s="1201"/>
      <c r="MHL223" s="1201"/>
      <c r="MHM223" s="1201"/>
      <c r="MHN223" s="1201"/>
      <c r="MHO223" s="1201"/>
      <c r="MHP223" s="1201"/>
      <c r="MHQ223" s="1201"/>
      <c r="MHR223" s="1201"/>
      <c r="MHS223" s="1201"/>
      <c r="MHT223" s="1201"/>
      <c r="MHU223" s="1201"/>
      <c r="MHV223" s="1201"/>
      <c r="MHW223" s="1201"/>
      <c r="MHX223" s="1201"/>
      <c r="MHY223" s="1201"/>
      <c r="MHZ223" s="1201"/>
      <c r="MIA223" s="1201"/>
      <c r="MIB223" s="1201"/>
      <c r="MIC223" s="1201"/>
      <c r="MID223" s="1201"/>
      <c r="MIE223" s="1201"/>
      <c r="MIF223" s="1201"/>
      <c r="MIG223" s="1201"/>
      <c r="MIH223" s="1201"/>
      <c r="MII223" s="1201"/>
      <c r="MIJ223" s="1201"/>
      <c r="MIK223" s="1201"/>
      <c r="MIL223" s="1201"/>
      <c r="MIM223" s="1201"/>
      <c r="MIN223" s="1201"/>
      <c r="MIO223" s="1201"/>
      <c r="MIP223" s="1201"/>
      <c r="MIQ223" s="1201"/>
      <c r="MIR223" s="1201"/>
      <c r="MIS223" s="1201"/>
      <c r="MIT223" s="1201"/>
      <c r="MIU223" s="1201"/>
      <c r="MIV223" s="1201"/>
      <c r="MIW223" s="1201"/>
      <c r="MIX223" s="1201"/>
      <c r="MIY223" s="1201"/>
      <c r="MIZ223" s="1201"/>
      <c r="MJA223" s="1201"/>
      <c r="MJB223" s="1201"/>
      <c r="MJC223" s="1201"/>
      <c r="MJD223" s="1201"/>
      <c r="MJE223" s="1201"/>
      <c r="MJF223" s="1201"/>
      <c r="MJG223" s="1201"/>
      <c r="MJH223" s="1201"/>
      <c r="MJI223" s="1201"/>
      <c r="MJJ223" s="1201"/>
      <c r="MJK223" s="1201"/>
      <c r="MJL223" s="1201"/>
      <c r="MJM223" s="1201"/>
      <c r="MJN223" s="1201"/>
      <c r="MJO223" s="1201"/>
      <c r="MJP223" s="1201"/>
      <c r="MJQ223" s="1201"/>
      <c r="MJR223" s="1201"/>
      <c r="MJS223" s="1201"/>
      <c r="MJT223" s="1201"/>
      <c r="MJU223" s="1201"/>
      <c r="MJV223" s="1201"/>
      <c r="MJW223" s="1201"/>
      <c r="MJX223" s="1201"/>
      <c r="MJY223" s="1201"/>
      <c r="MJZ223" s="1201"/>
      <c r="MKA223" s="1201"/>
      <c r="MKB223" s="1201"/>
      <c r="MKC223" s="1201"/>
      <c r="MKD223" s="1201"/>
      <c r="MKE223" s="1201"/>
      <c r="MKF223" s="1201"/>
      <c r="MKG223" s="1201"/>
      <c r="MKH223" s="1201"/>
      <c r="MKI223" s="1201"/>
      <c r="MKJ223" s="1201"/>
      <c r="MKK223" s="1201"/>
      <c r="MKL223" s="1201"/>
      <c r="MKM223" s="1201"/>
      <c r="MKN223" s="1201"/>
      <c r="MKO223" s="1201"/>
      <c r="MKP223" s="1201"/>
      <c r="MKQ223" s="1201"/>
      <c r="MKR223" s="1201"/>
      <c r="MKS223" s="1201"/>
      <c r="MKT223" s="1201"/>
      <c r="MKU223" s="1201"/>
      <c r="MKV223" s="1201"/>
      <c r="MKW223" s="1201"/>
      <c r="MKX223" s="1201"/>
      <c r="MKY223" s="1201"/>
      <c r="MKZ223" s="1201"/>
      <c r="MLA223" s="1201"/>
      <c r="MLB223" s="1201"/>
      <c r="MLC223" s="1201"/>
      <c r="MLD223" s="1201"/>
      <c r="MLE223" s="1201"/>
      <c r="MLF223" s="1201"/>
      <c r="MLG223" s="1201"/>
      <c r="MLH223" s="1201"/>
      <c r="MLI223" s="1201"/>
      <c r="MLJ223" s="1201"/>
      <c r="MLK223" s="1201"/>
      <c r="MLL223" s="1201"/>
      <c r="MLM223" s="1201"/>
      <c r="MLN223" s="1201"/>
      <c r="MLO223" s="1201"/>
      <c r="MLP223" s="1201"/>
      <c r="MLQ223" s="1201"/>
      <c r="MLR223" s="1201"/>
      <c r="MLS223" s="1201"/>
      <c r="MLT223" s="1201"/>
      <c r="MLU223" s="1201"/>
      <c r="MLV223" s="1201"/>
      <c r="MLW223" s="1201"/>
      <c r="MLX223" s="1201"/>
      <c r="MLY223" s="1201"/>
      <c r="MLZ223" s="1201"/>
      <c r="MMA223" s="1201"/>
      <c r="MMB223" s="1201"/>
      <c r="MMC223" s="1201"/>
      <c r="MMD223" s="1201"/>
      <c r="MME223" s="1201"/>
      <c r="MMF223" s="1201"/>
      <c r="MMG223" s="1201"/>
      <c r="MMH223" s="1201"/>
      <c r="MMI223" s="1201"/>
      <c r="MMJ223" s="1201"/>
      <c r="MMK223" s="1201"/>
      <c r="MML223" s="1201"/>
      <c r="MMM223" s="1201"/>
      <c r="MMN223" s="1201"/>
      <c r="MMO223" s="1201"/>
      <c r="MMP223" s="1201"/>
      <c r="MMQ223" s="1201"/>
      <c r="MMR223" s="1201"/>
      <c r="MMS223" s="1201"/>
      <c r="MMT223" s="1201"/>
      <c r="MMU223" s="1201"/>
      <c r="MMV223" s="1201"/>
      <c r="MMW223" s="1201"/>
      <c r="MMX223" s="1201"/>
      <c r="MMY223" s="1201"/>
      <c r="MMZ223" s="1201"/>
      <c r="MNA223" s="1201"/>
      <c r="MNB223" s="1201"/>
      <c r="MNC223" s="1201"/>
      <c r="MND223" s="1201"/>
      <c r="MNE223" s="1201"/>
      <c r="MNF223" s="1201"/>
      <c r="MNG223" s="1201"/>
      <c r="MNH223" s="1201"/>
      <c r="MNI223" s="1201"/>
      <c r="MNJ223" s="1201"/>
      <c r="MNK223" s="1201"/>
      <c r="MNL223" s="1201"/>
      <c r="MNM223" s="1201"/>
      <c r="MNN223" s="1201"/>
      <c r="MNO223" s="1201"/>
      <c r="MNP223" s="1201"/>
      <c r="MNQ223" s="1201"/>
      <c r="MNR223" s="1201"/>
      <c r="MNS223" s="1201"/>
      <c r="MNT223" s="1201"/>
      <c r="MNU223" s="1201"/>
      <c r="MNV223" s="1201"/>
      <c r="MNW223" s="1201"/>
      <c r="MNX223" s="1201"/>
      <c r="MNY223" s="1201"/>
      <c r="MNZ223" s="1201"/>
      <c r="MOA223" s="1201"/>
      <c r="MOB223" s="1201"/>
      <c r="MOC223" s="1201"/>
      <c r="MOD223" s="1201"/>
      <c r="MOE223" s="1201"/>
      <c r="MOF223" s="1201"/>
      <c r="MOG223" s="1201"/>
      <c r="MOH223" s="1201"/>
      <c r="MOI223" s="1201"/>
      <c r="MOJ223" s="1201"/>
      <c r="MOK223" s="1201"/>
      <c r="MOL223" s="1201"/>
      <c r="MOM223" s="1201"/>
      <c r="MON223" s="1201"/>
      <c r="MOO223" s="1201"/>
      <c r="MOP223" s="1201"/>
      <c r="MOQ223" s="1201"/>
      <c r="MOR223" s="1201"/>
      <c r="MOS223" s="1201"/>
      <c r="MOT223" s="1201"/>
      <c r="MOU223" s="1201"/>
      <c r="MOV223" s="1201"/>
      <c r="MOW223" s="1201"/>
      <c r="MOX223" s="1201"/>
      <c r="MOY223" s="1201"/>
      <c r="MOZ223" s="1201"/>
      <c r="MPA223" s="1201"/>
      <c r="MPB223" s="1201"/>
      <c r="MPC223" s="1201"/>
      <c r="MPD223" s="1201"/>
      <c r="MPE223" s="1201"/>
      <c r="MPF223" s="1201"/>
      <c r="MPG223" s="1201"/>
      <c r="MPH223" s="1201"/>
      <c r="MPI223" s="1201"/>
      <c r="MPJ223" s="1201"/>
      <c r="MPK223" s="1201"/>
      <c r="MPL223" s="1201"/>
      <c r="MPM223" s="1201"/>
      <c r="MPN223" s="1201"/>
      <c r="MPO223" s="1201"/>
      <c r="MPP223" s="1201"/>
      <c r="MPQ223" s="1201"/>
      <c r="MPR223" s="1201"/>
      <c r="MPS223" s="1201"/>
      <c r="MPT223" s="1201"/>
      <c r="MPU223" s="1201"/>
      <c r="MPV223" s="1201"/>
      <c r="MPW223" s="1201"/>
      <c r="MPX223" s="1201"/>
      <c r="MPY223" s="1201"/>
      <c r="MPZ223" s="1201"/>
      <c r="MQA223" s="1201"/>
      <c r="MQB223" s="1201"/>
      <c r="MQC223" s="1201"/>
      <c r="MQD223" s="1201"/>
      <c r="MQE223" s="1201"/>
      <c r="MQF223" s="1201"/>
      <c r="MQG223" s="1201"/>
      <c r="MQH223" s="1201"/>
      <c r="MQI223" s="1201"/>
      <c r="MQJ223" s="1201"/>
      <c r="MQK223" s="1201"/>
      <c r="MQL223" s="1201"/>
      <c r="MQM223" s="1201"/>
      <c r="MQN223" s="1201"/>
      <c r="MQO223" s="1201"/>
      <c r="MQP223" s="1201"/>
      <c r="MQQ223" s="1201"/>
      <c r="MQR223" s="1201"/>
      <c r="MQS223" s="1201"/>
      <c r="MQT223" s="1201"/>
      <c r="MQU223" s="1201"/>
      <c r="MQV223" s="1201"/>
      <c r="MQW223" s="1201"/>
      <c r="MQX223" s="1201"/>
      <c r="MQY223" s="1201"/>
      <c r="MQZ223" s="1201"/>
      <c r="MRA223" s="1201"/>
      <c r="MRB223" s="1201"/>
      <c r="MRC223" s="1201"/>
      <c r="MRD223" s="1201"/>
      <c r="MRE223" s="1201"/>
      <c r="MRF223" s="1201"/>
      <c r="MRG223" s="1201"/>
      <c r="MRH223" s="1201"/>
      <c r="MRI223" s="1201"/>
      <c r="MRJ223" s="1201"/>
      <c r="MRK223" s="1201"/>
      <c r="MRL223" s="1201"/>
      <c r="MRM223" s="1201"/>
      <c r="MRN223" s="1201"/>
      <c r="MRO223" s="1201"/>
      <c r="MRP223" s="1201"/>
      <c r="MRQ223" s="1201"/>
      <c r="MRR223" s="1201"/>
      <c r="MRS223" s="1201"/>
      <c r="MRT223" s="1201"/>
      <c r="MRU223" s="1201"/>
      <c r="MRV223" s="1201"/>
      <c r="MRW223" s="1201"/>
      <c r="MRX223" s="1201"/>
      <c r="MRY223" s="1201"/>
      <c r="MRZ223" s="1201"/>
      <c r="MSA223" s="1201"/>
      <c r="MSB223" s="1201"/>
      <c r="MSC223" s="1201"/>
      <c r="MSD223" s="1201"/>
      <c r="MSE223" s="1201"/>
      <c r="MSF223" s="1201"/>
      <c r="MSG223" s="1201"/>
      <c r="MSH223" s="1201"/>
      <c r="MSI223" s="1201"/>
      <c r="MSJ223" s="1201"/>
      <c r="MSK223" s="1201"/>
      <c r="MSL223" s="1201"/>
      <c r="MSM223" s="1201"/>
      <c r="MSN223" s="1201"/>
      <c r="MSO223" s="1201"/>
      <c r="MSP223" s="1201"/>
      <c r="MSQ223" s="1201"/>
      <c r="MSR223" s="1201"/>
      <c r="MSS223" s="1201"/>
      <c r="MST223" s="1201"/>
      <c r="MSU223" s="1201"/>
      <c r="MSV223" s="1201"/>
      <c r="MSW223" s="1201"/>
      <c r="MSX223" s="1201"/>
      <c r="MSY223" s="1201"/>
      <c r="MSZ223" s="1201"/>
      <c r="MTA223" s="1201"/>
      <c r="MTB223" s="1201"/>
      <c r="MTC223" s="1201"/>
      <c r="MTD223" s="1201"/>
      <c r="MTE223" s="1201"/>
      <c r="MTF223" s="1201"/>
      <c r="MTG223" s="1201"/>
      <c r="MTH223" s="1201"/>
      <c r="MTI223" s="1201"/>
      <c r="MTJ223" s="1201"/>
      <c r="MTK223" s="1201"/>
      <c r="MTL223" s="1201"/>
      <c r="MTM223" s="1201"/>
      <c r="MTN223" s="1201"/>
      <c r="MTO223" s="1201"/>
      <c r="MTP223" s="1201"/>
      <c r="MTQ223" s="1201"/>
      <c r="MTR223" s="1201"/>
      <c r="MTS223" s="1201"/>
      <c r="MTT223" s="1201"/>
      <c r="MTU223" s="1201"/>
      <c r="MTV223" s="1201"/>
      <c r="MTW223" s="1201"/>
      <c r="MTX223" s="1201"/>
      <c r="MTY223" s="1201"/>
      <c r="MTZ223" s="1201"/>
      <c r="MUA223" s="1201"/>
      <c r="MUB223" s="1201"/>
      <c r="MUC223" s="1201"/>
      <c r="MUD223" s="1201"/>
      <c r="MUE223" s="1201"/>
      <c r="MUF223" s="1201"/>
      <c r="MUG223" s="1201"/>
      <c r="MUH223" s="1201"/>
      <c r="MUI223" s="1201"/>
      <c r="MUJ223" s="1201"/>
      <c r="MUK223" s="1201"/>
      <c r="MUL223" s="1201"/>
      <c r="MUM223" s="1201"/>
      <c r="MUN223" s="1201"/>
      <c r="MUO223" s="1201"/>
      <c r="MUP223" s="1201"/>
      <c r="MUQ223" s="1201"/>
      <c r="MUR223" s="1201"/>
      <c r="MUS223" s="1201"/>
      <c r="MUT223" s="1201"/>
      <c r="MUU223" s="1201"/>
      <c r="MUV223" s="1201"/>
      <c r="MUW223" s="1201"/>
      <c r="MUX223" s="1201"/>
      <c r="MUY223" s="1201"/>
      <c r="MUZ223" s="1201"/>
      <c r="MVA223" s="1201"/>
      <c r="MVB223" s="1201"/>
      <c r="MVC223" s="1201"/>
      <c r="MVD223" s="1201"/>
      <c r="MVE223" s="1201"/>
      <c r="MVF223" s="1201"/>
      <c r="MVG223" s="1201"/>
      <c r="MVH223" s="1201"/>
      <c r="MVI223" s="1201"/>
      <c r="MVJ223" s="1201"/>
      <c r="MVK223" s="1201"/>
      <c r="MVL223" s="1201"/>
      <c r="MVM223" s="1201"/>
      <c r="MVN223" s="1201"/>
      <c r="MVO223" s="1201"/>
      <c r="MVP223" s="1201"/>
      <c r="MVQ223" s="1201"/>
      <c r="MVR223" s="1201"/>
      <c r="MVS223" s="1201"/>
      <c r="MVT223" s="1201"/>
      <c r="MVU223" s="1201"/>
      <c r="MVV223" s="1201"/>
      <c r="MVW223" s="1201"/>
      <c r="MVX223" s="1201"/>
      <c r="MVY223" s="1201"/>
      <c r="MVZ223" s="1201"/>
      <c r="MWA223" s="1201"/>
      <c r="MWB223" s="1201"/>
      <c r="MWC223" s="1201"/>
      <c r="MWD223" s="1201"/>
      <c r="MWE223" s="1201"/>
      <c r="MWF223" s="1201"/>
      <c r="MWG223" s="1201"/>
      <c r="MWH223" s="1201"/>
      <c r="MWI223" s="1201"/>
      <c r="MWJ223" s="1201"/>
      <c r="MWK223" s="1201"/>
      <c r="MWL223" s="1201"/>
      <c r="MWM223" s="1201"/>
      <c r="MWN223" s="1201"/>
      <c r="MWO223" s="1201"/>
      <c r="MWP223" s="1201"/>
      <c r="MWQ223" s="1201"/>
      <c r="MWR223" s="1201"/>
      <c r="MWS223" s="1201"/>
      <c r="MWT223" s="1201"/>
      <c r="MWU223" s="1201"/>
      <c r="MWV223" s="1201"/>
      <c r="MWW223" s="1201"/>
      <c r="MWX223" s="1201"/>
      <c r="MWY223" s="1201"/>
      <c r="MWZ223" s="1201"/>
      <c r="MXA223" s="1201"/>
      <c r="MXB223" s="1201"/>
      <c r="MXC223" s="1201"/>
      <c r="MXD223" s="1201"/>
      <c r="MXE223" s="1201"/>
      <c r="MXF223" s="1201"/>
      <c r="MXG223" s="1201"/>
      <c r="MXH223" s="1201"/>
      <c r="MXI223" s="1201"/>
      <c r="MXJ223" s="1201"/>
      <c r="MXK223" s="1201"/>
      <c r="MXL223" s="1201"/>
      <c r="MXM223" s="1201"/>
      <c r="MXN223" s="1201"/>
      <c r="MXO223" s="1201"/>
      <c r="MXP223" s="1201"/>
      <c r="MXQ223" s="1201"/>
      <c r="MXR223" s="1201"/>
      <c r="MXS223" s="1201"/>
      <c r="MXT223" s="1201"/>
      <c r="MXU223" s="1201"/>
      <c r="MXV223" s="1201"/>
      <c r="MXW223" s="1201"/>
      <c r="MXX223" s="1201"/>
      <c r="MXY223" s="1201"/>
      <c r="MXZ223" s="1201"/>
      <c r="MYA223" s="1201"/>
      <c r="MYB223" s="1201"/>
      <c r="MYC223" s="1201"/>
      <c r="MYD223" s="1201"/>
      <c r="MYE223" s="1201"/>
      <c r="MYF223" s="1201"/>
      <c r="MYG223" s="1201"/>
      <c r="MYH223" s="1201"/>
      <c r="MYI223" s="1201"/>
      <c r="MYJ223" s="1201"/>
      <c r="MYK223" s="1201"/>
      <c r="MYL223" s="1201"/>
      <c r="MYM223" s="1201"/>
      <c r="MYN223" s="1201"/>
      <c r="MYO223" s="1201"/>
      <c r="MYP223" s="1201"/>
      <c r="MYQ223" s="1201"/>
      <c r="MYR223" s="1201"/>
      <c r="MYS223" s="1201"/>
      <c r="MYT223" s="1201"/>
      <c r="MYU223" s="1201"/>
      <c r="MYV223" s="1201"/>
      <c r="MYW223" s="1201"/>
      <c r="MYX223" s="1201"/>
      <c r="MYY223" s="1201"/>
      <c r="MYZ223" s="1201"/>
      <c r="MZA223" s="1201"/>
      <c r="MZB223" s="1201"/>
      <c r="MZC223" s="1201"/>
      <c r="MZD223" s="1201"/>
      <c r="MZE223" s="1201"/>
      <c r="MZF223" s="1201"/>
      <c r="MZG223" s="1201"/>
      <c r="MZH223" s="1201"/>
      <c r="MZI223" s="1201"/>
      <c r="MZJ223" s="1201"/>
      <c r="MZK223" s="1201"/>
      <c r="MZL223" s="1201"/>
      <c r="MZM223" s="1201"/>
      <c r="MZN223" s="1201"/>
      <c r="MZO223" s="1201"/>
      <c r="MZP223" s="1201"/>
      <c r="MZQ223" s="1201"/>
      <c r="MZR223" s="1201"/>
      <c r="MZS223" s="1201"/>
      <c r="MZT223" s="1201"/>
      <c r="MZU223" s="1201"/>
      <c r="MZV223" s="1201"/>
      <c r="MZW223" s="1201"/>
      <c r="MZX223" s="1201"/>
      <c r="MZY223" s="1201"/>
      <c r="MZZ223" s="1201"/>
      <c r="NAA223" s="1201"/>
      <c r="NAB223" s="1201"/>
      <c r="NAC223" s="1201"/>
      <c r="NAD223" s="1201"/>
      <c r="NAE223" s="1201"/>
      <c r="NAF223" s="1201"/>
      <c r="NAG223" s="1201"/>
      <c r="NAH223" s="1201"/>
      <c r="NAI223" s="1201"/>
      <c r="NAJ223" s="1201"/>
      <c r="NAK223" s="1201"/>
      <c r="NAL223" s="1201"/>
      <c r="NAM223" s="1201"/>
      <c r="NAN223" s="1201"/>
      <c r="NAO223" s="1201"/>
      <c r="NAP223" s="1201"/>
      <c r="NAQ223" s="1201"/>
      <c r="NAR223" s="1201"/>
      <c r="NAS223" s="1201"/>
      <c r="NAT223" s="1201"/>
      <c r="NAU223" s="1201"/>
      <c r="NAV223" s="1201"/>
      <c r="NAW223" s="1201"/>
      <c r="NAX223" s="1201"/>
      <c r="NAY223" s="1201"/>
      <c r="NAZ223" s="1201"/>
      <c r="NBA223" s="1201"/>
      <c r="NBB223" s="1201"/>
      <c r="NBC223" s="1201"/>
      <c r="NBD223" s="1201"/>
      <c r="NBE223" s="1201"/>
      <c r="NBF223" s="1201"/>
      <c r="NBG223" s="1201"/>
      <c r="NBH223" s="1201"/>
      <c r="NBI223" s="1201"/>
      <c r="NBJ223" s="1201"/>
      <c r="NBK223" s="1201"/>
      <c r="NBL223" s="1201"/>
      <c r="NBM223" s="1201"/>
      <c r="NBN223" s="1201"/>
      <c r="NBO223" s="1201"/>
      <c r="NBP223" s="1201"/>
      <c r="NBQ223" s="1201"/>
      <c r="NBR223" s="1201"/>
      <c r="NBS223" s="1201"/>
      <c r="NBT223" s="1201"/>
      <c r="NBU223" s="1201"/>
      <c r="NBV223" s="1201"/>
      <c r="NBW223" s="1201"/>
      <c r="NBX223" s="1201"/>
      <c r="NBY223" s="1201"/>
      <c r="NBZ223" s="1201"/>
      <c r="NCA223" s="1201"/>
      <c r="NCB223" s="1201"/>
      <c r="NCC223" s="1201"/>
      <c r="NCD223" s="1201"/>
      <c r="NCE223" s="1201"/>
      <c r="NCF223" s="1201"/>
      <c r="NCG223" s="1201"/>
      <c r="NCH223" s="1201"/>
      <c r="NCI223" s="1201"/>
      <c r="NCJ223" s="1201"/>
      <c r="NCK223" s="1201"/>
      <c r="NCL223" s="1201"/>
      <c r="NCM223" s="1201"/>
      <c r="NCN223" s="1201"/>
      <c r="NCO223" s="1201"/>
      <c r="NCP223" s="1201"/>
      <c r="NCQ223" s="1201"/>
      <c r="NCR223" s="1201"/>
      <c r="NCS223" s="1201"/>
      <c r="NCT223" s="1201"/>
      <c r="NCU223" s="1201"/>
      <c r="NCV223" s="1201"/>
      <c r="NCW223" s="1201"/>
      <c r="NCX223" s="1201"/>
      <c r="NCY223" s="1201"/>
      <c r="NCZ223" s="1201"/>
      <c r="NDA223" s="1201"/>
      <c r="NDB223" s="1201"/>
      <c r="NDC223" s="1201"/>
      <c r="NDD223" s="1201"/>
      <c r="NDE223" s="1201"/>
      <c r="NDF223" s="1201"/>
      <c r="NDG223" s="1201"/>
      <c r="NDH223" s="1201"/>
      <c r="NDI223" s="1201"/>
      <c r="NDJ223" s="1201"/>
      <c r="NDK223" s="1201"/>
      <c r="NDL223" s="1201"/>
      <c r="NDM223" s="1201"/>
      <c r="NDN223" s="1201"/>
      <c r="NDO223" s="1201"/>
      <c r="NDP223" s="1201"/>
      <c r="NDQ223" s="1201"/>
      <c r="NDR223" s="1201"/>
      <c r="NDS223" s="1201"/>
      <c r="NDT223" s="1201"/>
      <c r="NDU223" s="1201"/>
      <c r="NDV223" s="1201"/>
      <c r="NDW223" s="1201"/>
      <c r="NDX223" s="1201"/>
      <c r="NDY223" s="1201"/>
      <c r="NDZ223" s="1201"/>
      <c r="NEA223" s="1201"/>
      <c r="NEB223" s="1201"/>
      <c r="NEC223" s="1201"/>
      <c r="NED223" s="1201"/>
      <c r="NEE223" s="1201"/>
      <c r="NEF223" s="1201"/>
      <c r="NEG223" s="1201"/>
      <c r="NEH223" s="1201"/>
      <c r="NEI223" s="1201"/>
      <c r="NEJ223" s="1201"/>
      <c r="NEK223" s="1201"/>
      <c r="NEL223" s="1201"/>
      <c r="NEM223" s="1201"/>
      <c r="NEN223" s="1201"/>
      <c r="NEO223" s="1201"/>
      <c r="NEP223" s="1201"/>
      <c r="NEQ223" s="1201"/>
      <c r="NER223" s="1201"/>
      <c r="NES223" s="1201"/>
      <c r="NET223" s="1201"/>
      <c r="NEU223" s="1201"/>
      <c r="NEV223" s="1201"/>
      <c r="NEW223" s="1201"/>
      <c r="NEX223" s="1201"/>
      <c r="NEY223" s="1201"/>
      <c r="NEZ223" s="1201"/>
      <c r="NFA223" s="1201"/>
      <c r="NFB223" s="1201"/>
      <c r="NFC223" s="1201"/>
      <c r="NFD223" s="1201"/>
      <c r="NFE223" s="1201"/>
      <c r="NFF223" s="1201"/>
      <c r="NFG223" s="1201"/>
      <c r="NFH223" s="1201"/>
      <c r="NFI223" s="1201"/>
      <c r="NFJ223" s="1201"/>
      <c r="NFK223" s="1201"/>
      <c r="NFL223" s="1201"/>
      <c r="NFM223" s="1201"/>
      <c r="NFN223" s="1201"/>
      <c r="NFO223" s="1201"/>
      <c r="NFP223" s="1201"/>
      <c r="NFQ223" s="1201"/>
      <c r="NFR223" s="1201"/>
      <c r="NFS223" s="1201"/>
      <c r="NFT223" s="1201"/>
      <c r="NFU223" s="1201"/>
      <c r="NFV223" s="1201"/>
      <c r="NFW223" s="1201"/>
      <c r="NFX223" s="1201"/>
      <c r="NFY223" s="1201"/>
      <c r="NFZ223" s="1201"/>
      <c r="NGA223" s="1201"/>
      <c r="NGB223" s="1201"/>
      <c r="NGC223" s="1201"/>
      <c r="NGD223" s="1201"/>
      <c r="NGE223" s="1201"/>
      <c r="NGF223" s="1201"/>
      <c r="NGG223" s="1201"/>
      <c r="NGH223" s="1201"/>
      <c r="NGI223" s="1201"/>
      <c r="NGJ223" s="1201"/>
      <c r="NGK223" s="1201"/>
      <c r="NGL223" s="1201"/>
      <c r="NGM223" s="1201"/>
      <c r="NGN223" s="1201"/>
      <c r="NGO223" s="1201"/>
      <c r="NGP223" s="1201"/>
      <c r="NGQ223" s="1201"/>
      <c r="NGR223" s="1201"/>
      <c r="NGS223" s="1201"/>
      <c r="NGT223" s="1201"/>
      <c r="NGU223" s="1201"/>
      <c r="NGV223" s="1201"/>
      <c r="NGW223" s="1201"/>
      <c r="NGX223" s="1201"/>
      <c r="NGY223" s="1201"/>
      <c r="NGZ223" s="1201"/>
      <c r="NHA223" s="1201"/>
      <c r="NHB223" s="1201"/>
      <c r="NHC223" s="1201"/>
      <c r="NHD223" s="1201"/>
      <c r="NHE223" s="1201"/>
      <c r="NHF223" s="1201"/>
      <c r="NHG223" s="1201"/>
      <c r="NHH223" s="1201"/>
      <c r="NHI223" s="1201"/>
      <c r="NHJ223" s="1201"/>
      <c r="NHK223" s="1201"/>
      <c r="NHL223" s="1201"/>
      <c r="NHM223" s="1201"/>
      <c r="NHN223" s="1201"/>
      <c r="NHO223" s="1201"/>
      <c r="NHP223" s="1201"/>
      <c r="NHQ223" s="1201"/>
      <c r="NHR223" s="1201"/>
      <c r="NHS223" s="1201"/>
      <c r="NHT223" s="1201"/>
      <c r="NHU223" s="1201"/>
      <c r="NHV223" s="1201"/>
      <c r="NHW223" s="1201"/>
      <c r="NHX223" s="1201"/>
      <c r="NHY223" s="1201"/>
      <c r="NHZ223" s="1201"/>
      <c r="NIA223" s="1201"/>
      <c r="NIB223" s="1201"/>
      <c r="NIC223" s="1201"/>
      <c r="NID223" s="1201"/>
      <c r="NIE223" s="1201"/>
      <c r="NIF223" s="1201"/>
      <c r="NIG223" s="1201"/>
      <c r="NIH223" s="1201"/>
      <c r="NII223" s="1201"/>
      <c r="NIJ223" s="1201"/>
      <c r="NIK223" s="1201"/>
      <c r="NIL223" s="1201"/>
      <c r="NIM223" s="1201"/>
      <c r="NIN223" s="1201"/>
      <c r="NIO223" s="1201"/>
      <c r="NIP223" s="1201"/>
      <c r="NIQ223" s="1201"/>
      <c r="NIR223" s="1201"/>
      <c r="NIS223" s="1201"/>
      <c r="NIT223" s="1201"/>
      <c r="NIU223" s="1201"/>
      <c r="NIV223" s="1201"/>
      <c r="NIW223" s="1201"/>
      <c r="NIX223" s="1201"/>
      <c r="NIY223" s="1201"/>
      <c r="NIZ223" s="1201"/>
      <c r="NJA223" s="1201"/>
      <c r="NJB223" s="1201"/>
      <c r="NJC223" s="1201"/>
      <c r="NJD223" s="1201"/>
      <c r="NJE223" s="1201"/>
      <c r="NJF223" s="1201"/>
      <c r="NJG223" s="1201"/>
      <c r="NJH223" s="1201"/>
      <c r="NJI223" s="1201"/>
      <c r="NJJ223" s="1201"/>
      <c r="NJK223" s="1201"/>
      <c r="NJL223" s="1201"/>
      <c r="NJM223" s="1201"/>
      <c r="NJN223" s="1201"/>
      <c r="NJO223" s="1201"/>
      <c r="NJP223" s="1201"/>
      <c r="NJQ223" s="1201"/>
      <c r="NJR223" s="1201"/>
      <c r="NJS223" s="1201"/>
      <c r="NJT223" s="1201"/>
      <c r="NJU223" s="1201"/>
      <c r="NJV223" s="1201"/>
      <c r="NJW223" s="1201"/>
      <c r="NJX223" s="1201"/>
      <c r="NJY223" s="1201"/>
      <c r="NJZ223" s="1201"/>
      <c r="NKA223" s="1201"/>
      <c r="NKB223" s="1201"/>
      <c r="NKC223" s="1201"/>
      <c r="NKD223" s="1201"/>
      <c r="NKE223" s="1201"/>
      <c r="NKF223" s="1201"/>
      <c r="NKG223" s="1201"/>
      <c r="NKH223" s="1201"/>
      <c r="NKI223" s="1201"/>
      <c r="NKJ223" s="1201"/>
      <c r="NKK223" s="1201"/>
      <c r="NKL223" s="1201"/>
      <c r="NKM223" s="1201"/>
      <c r="NKN223" s="1201"/>
      <c r="NKO223" s="1201"/>
      <c r="NKP223" s="1201"/>
      <c r="NKQ223" s="1201"/>
      <c r="NKR223" s="1201"/>
      <c r="NKS223" s="1201"/>
      <c r="NKT223" s="1201"/>
      <c r="NKU223" s="1201"/>
      <c r="NKV223" s="1201"/>
      <c r="NKW223" s="1201"/>
      <c r="NKX223" s="1201"/>
      <c r="NKY223" s="1201"/>
      <c r="NKZ223" s="1201"/>
      <c r="NLA223" s="1201"/>
      <c r="NLB223" s="1201"/>
      <c r="NLC223" s="1201"/>
      <c r="NLD223" s="1201"/>
      <c r="NLE223" s="1201"/>
      <c r="NLF223" s="1201"/>
      <c r="NLG223" s="1201"/>
      <c r="NLH223" s="1201"/>
      <c r="NLI223" s="1201"/>
      <c r="NLJ223" s="1201"/>
      <c r="NLK223" s="1201"/>
      <c r="NLL223" s="1201"/>
      <c r="NLM223" s="1201"/>
      <c r="NLN223" s="1201"/>
      <c r="NLO223" s="1201"/>
      <c r="NLP223" s="1201"/>
      <c r="NLQ223" s="1201"/>
      <c r="NLR223" s="1201"/>
      <c r="NLS223" s="1201"/>
      <c r="NLT223" s="1201"/>
      <c r="NLU223" s="1201"/>
      <c r="NLV223" s="1201"/>
      <c r="NLW223" s="1201"/>
      <c r="NLX223" s="1201"/>
      <c r="NLY223" s="1201"/>
      <c r="NLZ223" s="1201"/>
      <c r="NMA223" s="1201"/>
      <c r="NMB223" s="1201"/>
      <c r="NMC223" s="1201"/>
      <c r="NMD223" s="1201"/>
      <c r="NME223" s="1201"/>
      <c r="NMF223" s="1201"/>
      <c r="NMG223" s="1201"/>
      <c r="NMH223" s="1201"/>
      <c r="NMI223" s="1201"/>
      <c r="NMJ223" s="1201"/>
      <c r="NMK223" s="1201"/>
      <c r="NML223" s="1201"/>
      <c r="NMM223" s="1201"/>
      <c r="NMN223" s="1201"/>
      <c r="NMO223" s="1201"/>
      <c r="NMP223" s="1201"/>
      <c r="NMQ223" s="1201"/>
      <c r="NMR223" s="1201"/>
      <c r="NMS223" s="1201"/>
      <c r="NMT223" s="1201"/>
      <c r="NMU223" s="1201"/>
      <c r="NMV223" s="1201"/>
      <c r="NMW223" s="1201"/>
      <c r="NMX223" s="1201"/>
      <c r="NMY223" s="1201"/>
      <c r="NMZ223" s="1201"/>
      <c r="NNA223" s="1201"/>
      <c r="NNB223" s="1201"/>
      <c r="NNC223" s="1201"/>
      <c r="NND223" s="1201"/>
      <c r="NNE223" s="1201"/>
      <c r="NNF223" s="1201"/>
      <c r="NNG223" s="1201"/>
      <c r="NNH223" s="1201"/>
      <c r="NNI223" s="1201"/>
      <c r="NNJ223" s="1201"/>
      <c r="NNK223" s="1201"/>
      <c r="NNL223" s="1201"/>
      <c r="NNM223" s="1201"/>
      <c r="NNN223" s="1201"/>
      <c r="NNO223" s="1201"/>
      <c r="NNP223" s="1201"/>
      <c r="NNQ223" s="1201"/>
      <c r="NNR223" s="1201"/>
      <c r="NNS223" s="1201"/>
      <c r="NNT223" s="1201"/>
      <c r="NNU223" s="1201"/>
      <c r="NNV223" s="1201"/>
      <c r="NNW223" s="1201"/>
      <c r="NNX223" s="1201"/>
      <c r="NNY223" s="1201"/>
      <c r="NNZ223" s="1201"/>
      <c r="NOA223" s="1201"/>
      <c r="NOB223" s="1201"/>
      <c r="NOC223" s="1201"/>
      <c r="NOD223" s="1201"/>
      <c r="NOE223" s="1201"/>
      <c r="NOF223" s="1201"/>
      <c r="NOG223" s="1201"/>
      <c r="NOH223" s="1201"/>
      <c r="NOI223" s="1201"/>
      <c r="NOJ223" s="1201"/>
      <c r="NOK223" s="1201"/>
      <c r="NOL223" s="1201"/>
      <c r="NOM223" s="1201"/>
      <c r="NON223" s="1201"/>
      <c r="NOO223" s="1201"/>
      <c r="NOP223" s="1201"/>
      <c r="NOQ223" s="1201"/>
      <c r="NOR223" s="1201"/>
      <c r="NOS223" s="1201"/>
      <c r="NOT223" s="1201"/>
      <c r="NOU223" s="1201"/>
      <c r="NOV223" s="1201"/>
      <c r="NOW223" s="1201"/>
      <c r="NOX223" s="1201"/>
      <c r="NOY223" s="1201"/>
      <c r="NOZ223" s="1201"/>
      <c r="NPA223" s="1201"/>
      <c r="NPB223" s="1201"/>
      <c r="NPC223" s="1201"/>
      <c r="NPD223" s="1201"/>
      <c r="NPE223" s="1201"/>
      <c r="NPF223" s="1201"/>
      <c r="NPG223" s="1201"/>
      <c r="NPH223" s="1201"/>
      <c r="NPI223" s="1201"/>
      <c r="NPJ223" s="1201"/>
      <c r="NPK223" s="1201"/>
      <c r="NPL223" s="1201"/>
      <c r="NPM223" s="1201"/>
      <c r="NPN223" s="1201"/>
      <c r="NPO223" s="1201"/>
      <c r="NPP223" s="1201"/>
      <c r="NPQ223" s="1201"/>
      <c r="NPR223" s="1201"/>
      <c r="NPS223" s="1201"/>
      <c r="NPT223" s="1201"/>
      <c r="NPU223" s="1201"/>
      <c r="NPV223" s="1201"/>
      <c r="NPW223" s="1201"/>
      <c r="NPX223" s="1201"/>
      <c r="NPY223" s="1201"/>
      <c r="NPZ223" s="1201"/>
      <c r="NQA223" s="1201"/>
      <c r="NQB223" s="1201"/>
      <c r="NQC223" s="1201"/>
      <c r="NQD223" s="1201"/>
      <c r="NQE223" s="1201"/>
      <c r="NQF223" s="1201"/>
      <c r="NQG223" s="1201"/>
      <c r="NQH223" s="1201"/>
      <c r="NQI223" s="1201"/>
      <c r="NQJ223" s="1201"/>
      <c r="NQK223" s="1201"/>
      <c r="NQL223" s="1201"/>
      <c r="NQM223" s="1201"/>
      <c r="NQN223" s="1201"/>
      <c r="NQO223" s="1201"/>
      <c r="NQP223" s="1201"/>
      <c r="NQQ223" s="1201"/>
      <c r="NQR223" s="1201"/>
      <c r="NQS223" s="1201"/>
      <c r="NQT223" s="1201"/>
      <c r="NQU223" s="1201"/>
      <c r="NQV223" s="1201"/>
      <c r="NQW223" s="1201"/>
      <c r="NQX223" s="1201"/>
      <c r="NQY223" s="1201"/>
      <c r="NQZ223" s="1201"/>
      <c r="NRA223" s="1201"/>
      <c r="NRB223" s="1201"/>
      <c r="NRC223" s="1201"/>
      <c r="NRD223" s="1201"/>
      <c r="NRE223" s="1201"/>
      <c r="NRF223" s="1201"/>
      <c r="NRG223" s="1201"/>
      <c r="NRH223" s="1201"/>
      <c r="NRI223" s="1201"/>
      <c r="NRJ223" s="1201"/>
      <c r="NRK223" s="1201"/>
      <c r="NRL223" s="1201"/>
      <c r="NRM223" s="1201"/>
      <c r="NRN223" s="1201"/>
      <c r="NRO223" s="1201"/>
      <c r="NRP223" s="1201"/>
      <c r="NRQ223" s="1201"/>
      <c r="NRR223" s="1201"/>
      <c r="NRS223" s="1201"/>
      <c r="NRT223" s="1201"/>
      <c r="NRU223" s="1201"/>
      <c r="NRV223" s="1201"/>
      <c r="NRW223" s="1201"/>
      <c r="NRX223" s="1201"/>
      <c r="NRY223" s="1201"/>
      <c r="NRZ223" s="1201"/>
      <c r="NSA223" s="1201"/>
      <c r="NSB223" s="1201"/>
      <c r="NSC223" s="1201"/>
      <c r="NSD223" s="1201"/>
      <c r="NSE223" s="1201"/>
      <c r="NSF223" s="1201"/>
      <c r="NSG223" s="1201"/>
      <c r="NSH223" s="1201"/>
      <c r="NSI223" s="1201"/>
      <c r="NSJ223" s="1201"/>
      <c r="NSK223" s="1201"/>
      <c r="NSL223" s="1201"/>
      <c r="NSM223" s="1201"/>
      <c r="NSN223" s="1201"/>
      <c r="NSO223" s="1201"/>
      <c r="NSP223" s="1201"/>
      <c r="NSQ223" s="1201"/>
      <c r="NSR223" s="1201"/>
      <c r="NSS223" s="1201"/>
      <c r="NST223" s="1201"/>
      <c r="NSU223" s="1201"/>
      <c r="NSV223" s="1201"/>
      <c r="NSW223" s="1201"/>
      <c r="NSX223" s="1201"/>
      <c r="NSY223" s="1201"/>
      <c r="NSZ223" s="1201"/>
      <c r="NTA223" s="1201"/>
      <c r="NTB223" s="1201"/>
      <c r="NTC223" s="1201"/>
      <c r="NTD223" s="1201"/>
      <c r="NTE223" s="1201"/>
      <c r="NTF223" s="1201"/>
      <c r="NTG223" s="1201"/>
      <c r="NTH223" s="1201"/>
      <c r="NTI223" s="1201"/>
      <c r="NTJ223" s="1201"/>
      <c r="NTK223" s="1201"/>
      <c r="NTL223" s="1201"/>
      <c r="NTM223" s="1201"/>
      <c r="NTN223" s="1201"/>
      <c r="NTO223" s="1201"/>
      <c r="NTP223" s="1201"/>
      <c r="NTQ223" s="1201"/>
      <c r="NTR223" s="1201"/>
      <c r="NTS223" s="1201"/>
      <c r="NTT223" s="1201"/>
      <c r="NTU223" s="1201"/>
      <c r="NTV223" s="1201"/>
      <c r="NTW223" s="1201"/>
      <c r="NTX223" s="1201"/>
      <c r="NTY223" s="1201"/>
      <c r="NTZ223" s="1201"/>
      <c r="NUA223" s="1201"/>
      <c r="NUB223" s="1201"/>
      <c r="NUC223" s="1201"/>
      <c r="NUD223" s="1201"/>
      <c r="NUE223" s="1201"/>
      <c r="NUF223" s="1201"/>
      <c r="NUG223" s="1201"/>
      <c r="NUH223" s="1201"/>
      <c r="NUI223" s="1201"/>
      <c r="NUJ223" s="1201"/>
      <c r="NUK223" s="1201"/>
      <c r="NUL223" s="1201"/>
      <c r="NUM223" s="1201"/>
      <c r="NUN223" s="1201"/>
      <c r="NUO223" s="1201"/>
      <c r="NUP223" s="1201"/>
      <c r="NUQ223" s="1201"/>
      <c r="NUR223" s="1201"/>
      <c r="NUS223" s="1201"/>
      <c r="NUT223" s="1201"/>
      <c r="NUU223" s="1201"/>
      <c r="NUV223" s="1201"/>
      <c r="NUW223" s="1201"/>
      <c r="NUX223" s="1201"/>
      <c r="NUY223" s="1201"/>
      <c r="NUZ223" s="1201"/>
      <c r="NVA223" s="1201"/>
      <c r="NVB223" s="1201"/>
      <c r="NVC223" s="1201"/>
      <c r="NVD223" s="1201"/>
      <c r="NVE223" s="1201"/>
      <c r="NVF223" s="1201"/>
      <c r="NVG223" s="1201"/>
      <c r="NVH223" s="1201"/>
      <c r="NVI223" s="1201"/>
      <c r="NVJ223" s="1201"/>
      <c r="NVK223" s="1201"/>
      <c r="NVL223" s="1201"/>
      <c r="NVM223" s="1201"/>
      <c r="NVN223" s="1201"/>
      <c r="NVO223" s="1201"/>
      <c r="NVP223" s="1201"/>
      <c r="NVQ223" s="1201"/>
      <c r="NVR223" s="1201"/>
      <c r="NVS223" s="1201"/>
      <c r="NVT223" s="1201"/>
      <c r="NVU223" s="1201"/>
      <c r="NVV223" s="1201"/>
      <c r="NVW223" s="1201"/>
      <c r="NVX223" s="1201"/>
      <c r="NVY223" s="1201"/>
      <c r="NVZ223" s="1201"/>
      <c r="NWA223" s="1201"/>
      <c r="NWB223" s="1201"/>
      <c r="NWC223" s="1201"/>
      <c r="NWD223" s="1201"/>
      <c r="NWE223" s="1201"/>
      <c r="NWF223" s="1201"/>
      <c r="NWG223" s="1201"/>
      <c r="NWH223" s="1201"/>
      <c r="NWI223" s="1201"/>
      <c r="NWJ223" s="1201"/>
      <c r="NWK223" s="1201"/>
      <c r="NWL223" s="1201"/>
      <c r="NWM223" s="1201"/>
      <c r="NWN223" s="1201"/>
      <c r="NWO223" s="1201"/>
      <c r="NWP223" s="1201"/>
      <c r="NWQ223" s="1201"/>
      <c r="NWR223" s="1201"/>
      <c r="NWS223" s="1201"/>
      <c r="NWT223" s="1201"/>
      <c r="NWU223" s="1201"/>
      <c r="NWV223" s="1201"/>
      <c r="NWW223" s="1201"/>
      <c r="NWX223" s="1201"/>
      <c r="NWY223" s="1201"/>
      <c r="NWZ223" s="1201"/>
      <c r="NXA223" s="1201"/>
      <c r="NXB223" s="1201"/>
      <c r="NXC223" s="1201"/>
      <c r="NXD223" s="1201"/>
      <c r="NXE223" s="1201"/>
      <c r="NXF223" s="1201"/>
      <c r="NXG223" s="1201"/>
      <c r="NXH223" s="1201"/>
      <c r="NXI223" s="1201"/>
      <c r="NXJ223" s="1201"/>
      <c r="NXK223" s="1201"/>
      <c r="NXL223" s="1201"/>
      <c r="NXM223" s="1201"/>
      <c r="NXN223" s="1201"/>
      <c r="NXO223" s="1201"/>
      <c r="NXP223" s="1201"/>
      <c r="NXQ223" s="1201"/>
      <c r="NXR223" s="1201"/>
      <c r="NXS223" s="1201"/>
      <c r="NXT223" s="1201"/>
      <c r="NXU223" s="1201"/>
      <c r="NXV223" s="1201"/>
      <c r="NXW223" s="1201"/>
      <c r="NXX223" s="1201"/>
      <c r="NXY223" s="1201"/>
      <c r="NXZ223" s="1201"/>
      <c r="NYA223" s="1201"/>
      <c r="NYB223" s="1201"/>
      <c r="NYC223" s="1201"/>
      <c r="NYD223" s="1201"/>
      <c r="NYE223" s="1201"/>
      <c r="NYF223" s="1201"/>
      <c r="NYG223" s="1201"/>
      <c r="NYH223" s="1201"/>
      <c r="NYI223" s="1201"/>
      <c r="NYJ223" s="1201"/>
      <c r="NYK223" s="1201"/>
      <c r="NYL223" s="1201"/>
      <c r="NYM223" s="1201"/>
      <c r="NYN223" s="1201"/>
      <c r="NYO223" s="1201"/>
      <c r="NYP223" s="1201"/>
      <c r="NYQ223" s="1201"/>
      <c r="NYR223" s="1201"/>
      <c r="NYS223" s="1201"/>
      <c r="NYT223" s="1201"/>
      <c r="NYU223" s="1201"/>
      <c r="NYV223" s="1201"/>
      <c r="NYW223" s="1201"/>
      <c r="NYX223" s="1201"/>
      <c r="NYY223" s="1201"/>
      <c r="NYZ223" s="1201"/>
      <c r="NZA223" s="1201"/>
      <c r="NZB223" s="1201"/>
      <c r="NZC223" s="1201"/>
      <c r="NZD223" s="1201"/>
      <c r="NZE223" s="1201"/>
      <c r="NZF223" s="1201"/>
      <c r="NZG223" s="1201"/>
      <c r="NZH223" s="1201"/>
      <c r="NZI223" s="1201"/>
      <c r="NZJ223" s="1201"/>
      <c r="NZK223" s="1201"/>
      <c r="NZL223" s="1201"/>
      <c r="NZM223" s="1201"/>
      <c r="NZN223" s="1201"/>
      <c r="NZO223" s="1201"/>
      <c r="NZP223" s="1201"/>
      <c r="NZQ223" s="1201"/>
      <c r="NZR223" s="1201"/>
      <c r="NZS223" s="1201"/>
      <c r="NZT223" s="1201"/>
      <c r="NZU223" s="1201"/>
      <c r="NZV223" s="1201"/>
      <c r="NZW223" s="1201"/>
      <c r="NZX223" s="1201"/>
      <c r="NZY223" s="1201"/>
      <c r="NZZ223" s="1201"/>
      <c r="OAA223" s="1201"/>
      <c r="OAB223" s="1201"/>
      <c r="OAC223" s="1201"/>
      <c r="OAD223" s="1201"/>
      <c r="OAE223" s="1201"/>
      <c r="OAF223" s="1201"/>
      <c r="OAG223" s="1201"/>
      <c r="OAH223" s="1201"/>
      <c r="OAI223" s="1201"/>
      <c r="OAJ223" s="1201"/>
      <c r="OAK223" s="1201"/>
      <c r="OAL223" s="1201"/>
      <c r="OAM223" s="1201"/>
      <c r="OAN223" s="1201"/>
      <c r="OAO223" s="1201"/>
      <c r="OAP223" s="1201"/>
      <c r="OAQ223" s="1201"/>
      <c r="OAR223" s="1201"/>
      <c r="OAS223" s="1201"/>
      <c r="OAT223" s="1201"/>
      <c r="OAU223" s="1201"/>
      <c r="OAV223" s="1201"/>
      <c r="OAW223" s="1201"/>
      <c r="OAX223" s="1201"/>
      <c r="OAY223" s="1201"/>
      <c r="OAZ223" s="1201"/>
      <c r="OBA223" s="1201"/>
      <c r="OBB223" s="1201"/>
      <c r="OBC223" s="1201"/>
      <c r="OBD223" s="1201"/>
      <c r="OBE223" s="1201"/>
      <c r="OBF223" s="1201"/>
      <c r="OBG223" s="1201"/>
      <c r="OBH223" s="1201"/>
      <c r="OBI223" s="1201"/>
      <c r="OBJ223" s="1201"/>
      <c r="OBK223" s="1201"/>
      <c r="OBL223" s="1201"/>
      <c r="OBM223" s="1201"/>
      <c r="OBN223" s="1201"/>
      <c r="OBO223" s="1201"/>
      <c r="OBP223" s="1201"/>
      <c r="OBQ223" s="1201"/>
      <c r="OBR223" s="1201"/>
      <c r="OBS223" s="1201"/>
      <c r="OBT223" s="1201"/>
      <c r="OBU223" s="1201"/>
      <c r="OBV223" s="1201"/>
      <c r="OBW223" s="1201"/>
      <c r="OBX223" s="1201"/>
      <c r="OBY223" s="1201"/>
      <c r="OBZ223" s="1201"/>
      <c r="OCA223" s="1201"/>
      <c r="OCB223" s="1201"/>
      <c r="OCC223" s="1201"/>
      <c r="OCD223" s="1201"/>
      <c r="OCE223" s="1201"/>
      <c r="OCF223" s="1201"/>
      <c r="OCG223" s="1201"/>
      <c r="OCH223" s="1201"/>
      <c r="OCI223" s="1201"/>
      <c r="OCJ223" s="1201"/>
      <c r="OCK223" s="1201"/>
      <c r="OCL223" s="1201"/>
      <c r="OCM223" s="1201"/>
      <c r="OCN223" s="1201"/>
      <c r="OCO223" s="1201"/>
      <c r="OCP223" s="1201"/>
      <c r="OCQ223" s="1201"/>
      <c r="OCR223" s="1201"/>
      <c r="OCS223" s="1201"/>
      <c r="OCT223" s="1201"/>
      <c r="OCU223" s="1201"/>
      <c r="OCV223" s="1201"/>
      <c r="OCW223" s="1201"/>
      <c r="OCX223" s="1201"/>
      <c r="OCY223" s="1201"/>
      <c r="OCZ223" s="1201"/>
      <c r="ODA223" s="1201"/>
      <c r="ODB223" s="1201"/>
      <c r="ODC223" s="1201"/>
      <c r="ODD223" s="1201"/>
      <c r="ODE223" s="1201"/>
      <c r="ODF223" s="1201"/>
      <c r="ODG223" s="1201"/>
      <c r="ODH223" s="1201"/>
      <c r="ODI223" s="1201"/>
      <c r="ODJ223" s="1201"/>
      <c r="ODK223" s="1201"/>
      <c r="ODL223" s="1201"/>
      <c r="ODM223" s="1201"/>
      <c r="ODN223" s="1201"/>
      <c r="ODO223" s="1201"/>
      <c r="ODP223" s="1201"/>
      <c r="ODQ223" s="1201"/>
      <c r="ODR223" s="1201"/>
      <c r="ODS223" s="1201"/>
      <c r="ODT223" s="1201"/>
      <c r="ODU223" s="1201"/>
      <c r="ODV223" s="1201"/>
      <c r="ODW223" s="1201"/>
      <c r="ODX223" s="1201"/>
      <c r="ODY223" s="1201"/>
      <c r="ODZ223" s="1201"/>
      <c r="OEA223" s="1201"/>
      <c r="OEB223" s="1201"/>
      <c r="OEC223" s="1201"/>
      <c r="OED223" s="1201"/>
      <c r="OEE223" s="1201"/>
      <c r="OEF223" s="1201"/>
      <c r="OEG223" s="1201"/>
      <c r="OEH223" s="1201"/>
      <c r="OEI223" s="1201"/>
      <c r="OEJ223" s="1201"/>
      <c r="OEK223" s="1201"/>
      <c r="OEL223" s="1201"/>
      <c r="OEM223" s="1201"/>
      <c r="OEN223" s="1201"/>
      <c r="OEO223" s="1201"/>
      <c r="OEP223" s="1201"/>
      <c r="OEQ223" s="1201"/>
      <c r="OER223" s="1201"/>
      <c r="OES223" s="1201"/>
      <c r="OET223" s="1201"/>
      <c r="OEU223" s="1201"/>
      <c r="OEV223" s="1201"/>
      <c r="OEW223" s="1201"/>
      <c r="OEX223" s="1201"/>
      <c r="OEY223" s="1201"/>
      <c r="OEZ223" s="1201"/>
      <c r="OFA223" s="1201"/>
      <c r="OFB223" s="1201"/>
      <c r="OFC223" s="1201"/>
      <c r="OFD223" s="1201"/>
      <c r="OFE223" s="1201"/>
      <c r="OFF223" s="1201"/>
      <c r="OFG223" s="1201"/>
      <c r="OFH223" s="1201"/>
      <c r="OFI223" s="1201"/>
      <c r="OFJ223" s="1201"/>
      <c r="OFK223" s="1201"/>
      <c r="OFL223" s="1201"/>
      <c r="OFM223" s="1201"/>
      <c r="OFN223" s="1201"/>
      <c r="OFO223" s="1201"/>
      <c r="OFP223" s="1201"/>
      <c r="OFQ223" s="1201"/>
      <c r="OFR223" s="1201"/>
      <c r="OFS223" s="1201"/>
      <c r="OFT223" s="1201"/>
      <c r="OFU223" s="1201"/>
      <c r="OFV223" s="1201"/>
      <c r="OFW223" s="1201"/>
      <c r="OFX223" s="1201"/>
      <c r="OFY223" s="1201"/>
      <c r="OFZ223" s="1201"/>
      <c r="OGA223" s="1201"/>
      <c r="OGB223" s="1201"/>
      <c r="OGC223" s="1201"/>
      <c r="OGD223" s="1201"/>
      <c r="OGE223" s="1201"/>
      <c r="OGF223" s="1201"/>
      <c r="OGG223" s="1201"/>
      <c r="OGH223" s="1201"/>
      <c r="OGI223" s="1201"/>
      <c r="OGJ223" s="1201"/>
      <c r="OGK223" s="1201"/>
      <c r="OGL223" s="1201"/>
      <c r="OGM223" s="1201"/>
      <c r="OGN223" s="1201"/>
      <c r="OGO223" s="1201"/>
      <c r="OGP223" s="1201"/>
      <c r="OGQ223" s="1201"/>
      <c r="OGR223" s="1201"/>
      <c r="OGS223" s="1201"/>
      <c r="OGT223" s="1201"/>
      <c r="OGU223" s="1201"/>
      <c r="OGV223" s="1201"/>
      <c r="OGW223" s="1201"/>
      <c r="OGX223" s="1201"/>
      <c r="OGY223" s="1201"/>
      <c r="OGZ223" s="1201"/>
      <c r="OHA223" s="1201"/>
      <c r="OHB223" s="1201"/>
      <c r="OHC223" s="1201"/>
      <c r="OHD223" s="1201"/>
      <c r="OHE223" s="1201"/>
      <c r="OHF223" s="1201"/>
      <c r="OHG223" s="1201"/>
      <c r="OHH223" s="1201"/>
      <c r="OHI223" s="1201"/>
      <c r="OHJ223" s="1201"/>
      <c r="OHK223" s="1201"/>
      <c r="OHL223" s="1201"/>
      <c r="OHM223" s="1201"/>
      <c r="OHN223" s="1201"/>
      <c r="OHO223" s="1201"/>
      <c r="OHP223" s="1201"/>
      <c r="OHQ223" s="1201"/>
      <c r="OHR223" s="1201"/>
      <c r="OHS223" s="1201"/>
      <c r="OHT223" s="1201"/>
      <c r="OHU223" s="1201"/>
      <c r="OHV223" s="1201"/>
      <c r="OHW223" s="1201"/>
      <c r="OHX223" s="1201"/>
      <c r="OHY223" s="1201"/>
      <c r="OHZ223" s="1201"/>
      <c r="OIA223" s="1201"/>
      <c r="OIB223" s="1201"/>
      <c r="OIC223" s="1201"/>
      <c r="OID223" s="1201"/>
      <c r="OIE223" s="1201"/>
      <c r="OIF223" s="1201"/>
      <c r="OIG223" s="1201"/>
      <c r="OIH223" s="1201"/>
      <c r="OII223" s="1201"/>
      <c r="OIJ223" s="1201"/>
      <c r="OIK223" s="1201"/>
      <c r="OIL223" s="1201"/>
      <c r="OIM223" s="1201"/>
      <c r="OIN223" s="1201"/>
      <c r="OIO223" s="1201"/>
      <c r="OIP223" s="1201"/>
      <c r="OIQ223" s="1201"/>
      <c r="OIR223" s="1201"/>
      <c r="OIS223" s="1201"/>
      <c r="OIT223" s="1201"/>
      <c r="OIU223" s="1201"/>
      <c r="OIV223" s="1201"/>
      <c r="OIW223" s="1201"/>
      <c r="OIX223" s="1201"/>
      <c r="OIY223" s="1201"/>
      <c r="OIZ223" s="1201"/>
      <c r="OJA223" s="1201"/>
      <c r="OJB223" s="1201"/>
      <c r="OJC223" s="1201"/>
      <c r="OJD223" s="1201"/>
      <c r="OJE223" s="1201"/>
      <c r="OJF223" s="1201"/>
      <c r="OJG223" s="1201"/>
      <c r="OJH223" s="1201"/>
      <c r="OJI223" s="1201"/>
      <c r="OJJ223" s="1201"/>
      <c r="OJK223" s="1201"/>
      <c r="OJL223" s="1201"/>
      <c r="OJM223" s="1201"/>
      <c r="OJN223" s="1201"/>
      <c r="OJO223" s="1201"/>
      <c r="OJP223" s="1201"/>
      <c r="OJQ223" s="1201"/>
      <c r="OJR223" s="1201"/>
      <c r="OJS223" s="1201"/>
      <c r="OJT223" s="1201"/>
      <c r="OJU223" s="1201"/>
      <c r="OJV223" s="1201"/>
      <c r="OJW223" s="1201"/>
      <c r="OJX223" s="1201"/>
      <c r="OJY223" s="1201"/>
      <c r="OJZ223" s="1201"/>
      <c r="OKA223" s="1201"/>
      <c r="OKB223" s="1201"/>
      <c r="OKC223" s="1201"/>
      <c r="OKD223" s="1201"/>
      <c r="OKE223" s="1201"/>
      <c r="OKF223" s="1201"/>
      <c r="OKG223" s="1201"/>
      <c r="OKH223" s="1201"/>
      <c r="OKI223" s="1201"/>
      <c r="OKJ223" s="1201"/>
      <c r="OKK223" s="1201"/>
      <c r="OKL223" s="1201"/>
      <c r="OKM223" s="1201"/>
      <c r="OKN223" s="1201"/>
      <c r="OKO223" s="1201"/>
      <c r="OKP223" s="1201"/>
      <c r="OKQ223" s="1201"/>
      <c r="OKR223" s="1201"/>
      <c r="OKS223" s="1201"/>
      <c r="OKT223" s="1201"/>
      <c r="OKU223" s="1201"/>
      <c r="OKV223" s="1201"/>
      <c r="OKW223" s="1201"/>
      <c r="OKX223" s="1201"/>
      <c r="OKY223" s="1201"/>
      <c r="OKZ223" s="1201"/>
      <c r="OLA223" s="1201"/>
      <c r="OLB223" s="1201"/>
      <c r="OLC223" s="1201"/>
      <c r="OLD223" s="1201"/>
      <c r="OLE223" s="1201"/>
      <c r="OLF223" s="1201"/>
      <c r="OLG223" s="1201"/>
      <c r="OLH223" s="1201"/>
      <c r="OLI223" s="1201"/>
      <c r="OLJ223" s="1201"/>
      <c r="OLK223" s="1201"/>
      <c r="OLL223" s="1201"/>
      <c r="OLM223" s="1201"/>
      <c r="OLN223" s="1201"/>
      <c r="OLO223" s="1201"/>
      <c r="OLP223" s="1201"/>
      <c r="OLQ223" s="1201"/>
      <c r="OLR223" s="1201"/>
      <c r="OLS223" s="1201"/>
      <c r="OLT223" s="1201"/>
      <c r="OLU223" s="1201"/>
      <c r="OLV223" s="1201"/>
      <c r="OLW223" s="1201"/>
      <c r="OLX223" s="1201"/>
      <c r="OLY223" s="1201"/>
      <c r="OLZ223" s="1201"/>
      <c r="OMA223" s="1201"/>
      <c r="OMB223" s="1201"/>
      <c r="OMC223" s="1201"/>
      <c r="OMD223" s="1201"/>
      <c r="OME223" s="1201"/>
      <c r="OMF223" s="1201"/>
      <c r="OMG223" s="1201"/>
      <c r="OMH223" s="1201"/>
      <c r="OMI223" s="1201"/>
      <c r="OMJ223" s="1201"/>
      <c r="OMK223" s="1201"/>
      <c r="OML223" s="1201"/>
      <c r="OMM223" s="1201"/>
      <c r="OMN223" s="1201"/>
      <c r="OMO223" s="1201"/>
      <c r="OMP223" s="1201"/>
      <c r="OMQ223" s="1201"/>
      <c r="OMR223" s="1201"/>
      <c r="OMS223" s="1201"/>
      <c r="OMT223" s="1201"/>
      <c r="OMU223" s="1201"/>
      <c r="OMV223" s="1201"/>
      <c r="OMW223" s="1201"/>
      <c r="OMX223" s="1201"/>
      <c r="OMY223" s="1201"/>
      <c r="OMZ223" s="1201"/>
      <c r="ONA223" s="1201"/>
      <c r="ONB223" s="1201"/>
      <c r="ONC223" s="1201"/>
      <c r="OND223" s="1201"/>
      <c r="ONE223" s="1201"/>
      <c r="ONF223" s="1201"/>
      <c r="ONG223" s="1201"/>
      <c r="ONH223" s="1201"/>
      <c r="ONI223" s="1201"/>
      <c r="ONJ223" s="1201"/>
      <c r="ONK223" s="1201"/>
      <c r="ONL223" s="1201"/>
      <c r="ONM223" s="1201"/>
      <c r="ONN223" s="1201"/>
      <c r="ONO223" s="1201"/>
      <c r="ONP223" s="1201"/>
      <c r="ONQ223" s="1201"/>
      <c r="ONR223" s="1201"/>
      <c r="ONS223" s="1201"/>
      <c r="ONT223" s="1201"/>
      <c r="ONU223" s="1201"/>
      <c r="ONV223" s="1201"/>
      <c r="ONW223" s="1201"/>
      <c r="ONX223" s="1201"/>
      <c r="ONY223" s="1201"/>
      <c r="ONZ223" s="1201"/>
      <c r="OOA223" s="1201"/>
      <c r="OOB223" s="1201"/>
      <c r="OOC223" s="1201"/>
      <c r="OOD223" s="1201"/>
      <c r="OOE223" s="1201"/>
      <c r="OOF223" s="1201"/>
      <c r="OOG223" s="1201"/>
      <c r="OOH223" s="1201"/>
      <c r="OOI223" s="1201"/>
      <c r="OOJ223" s="1201"/>
      <c r="OOK223" s="1201"/>
      <c r="OOL223" s="1201"/>
      <c r="OOM223" s="1201"/>
      <c r="OON223" s="1201"/>
      <c r="OOO223" s="1201"/>
      <c r="OOP223" s="1201"/>
      <c r="OOQ223" s="1201"/>
      <c r="OOR223" s="1201"/>
      <c r="OOS223" s="1201"/>
      <c r="OOT223" s="1201"/>
      <c r="OOU223" s="1201"/>
      <c r="OOV223" s="1201"/>
      <c r="OOW223" s="1201"/>
      <c r="OOX223" s="1201"/>
      <c r="OOY223" s="1201"/>
      <c r="OOZ223" s="1201"/>
      <c r="OPA223" s="1201"/>
      <c r="OPB223" s="1201"/>
      <c r="OPC223" s="1201"/>
      <c r="OPD223" s="1201"/>
      <c r="OPE223" s="1201"/>
      <c r="OPF223" s="1201"/>
      <c r="OPG223" s="1201"/>
      <c r="OPH223" s="1201"/>
      <c r="OPI223" s="1201"/>
      <c r="OPJ223" s="1201"/>
      <c r="OPK223" s="1201"/>
      <c r="OPL223" s="1201"/>
      <c r="OPM223" s="1201"/>
      <c r="OPN223" s="1201"/>
      <c r="OPO223" s="1201"/>
      <c r="OPP223" s="1201"/>
      <c r="OPQ223" s="1201"/>
      <c r="OPR223" s="1201"/>
      <c r="OPS223" s="1201"/>
      <c r="OPT223" s="1201"/>
      <c r="OPU223" s="1201"/>
      <c r="OPV223" s="1201"/>
      <c r="OPW223" s="1201"/>
      <c r="OPX223" s="1201"/>
      <c r="OPY223" s="1201"/>
      <c r="OPZ223" s="1201"/>
      <c r="OQA223" s="1201"/>
      <c r="OQB223" s="1201"/>
      <c r="OQC223" s="1201"/>
      <c r="OQD223" s="1201"/>
      <c r="OQE223" s="1201"/>
      <c r="OQF223" s="1201"/>
      <c r="OQG223" s="1201"/>
      <c r="OQH223" s="1201"/>
      <c r="OQI223" s="1201"/>
      <c r="OQJ223" s="1201"/>
      <c r="OQK223" s="1201"/>
      <c r="OQL223" s="1201"/>
      <c r="OQM223" s="1201"/>
      <c r="OQN223" s="1201"/>
      <c r="OQO223" s="1201"/>
      <c r="OQP223" s="1201"/>
      <c r="OQQ223" s="1201"/>
      <c r="OQR223" s="1201"/>
      <c r="OQS223" s="1201"/>
      <c r="OQT223" s="1201"/>
      <c r="OQU223" s="1201"/>
      <c r="OQV223" s="1201"/>
      <c r="OQW223" s="1201"/>
      <c r="OQX223" s="1201"/>
      <c r="OQY223" s="1201"/>
      <c r="OQZ223" s="1201"/>
      <c r="ORA223" s="1201"/>
      <c r="ORB223" s="1201"/>
      <c r="ORC223" s="1201"/>
      <c r="ORD223" s="1201"/>
      <c r="ORE223" s="1201"/>
      <c r="ORF223" s="1201"/>
      <c r="ORG223" s="1201"/>
      <c r="ORH223" s="1201"/>
      <c r="ORI223" s="1201"/>
      <c r="ORJ223" s="1201"/>
      <c r="ORK223" s="1201"/>
      <c r="ORL223" s="1201"/>
      <c r="ORM223" s="1201"/>
      <c r="ORN223" s="1201"/>
      <c r="ORO223" s="1201"/>
      <c r="ORP223" s="1201"/>
      <c r="ORQ223" s="1201"/>
      <c r="ORR223" s="1201"/>
      <c r="ORS223" s="1201"/>
      <c r="ORT223" s="1201"/>
      <c r="ORU223" s="1201"/>
      <c r="ORV223" s="1201"/>
      <c r="ORW223" s="1201"/>
      <c r="ORX223" s="1201"/>
      <c r="ORY223" s="1201"/>
      <c r="ORZ223" s="1201"/>
      <c r="OSA223" s="1201"/>
      <c r="OSB223" s="1201"/>
      <c r="OSC223" s="1201"/>
      <c r="OSD223" s="1201"/>
      <c r="OSE223" s="1201"/>
      <c r="OSF223" s="1201"/>
      <c r="OSG223" s="1201"/>
      <c r="OSH223" s="1201"/>
      <c r="OSI223" s="1201"/>
      <c r="OSJ223" s="1201"/>
      <c r="OSK223" s="1201"/>
      <c r="OSL223" s="1201"/>
      <c r="OSM223" s="1201"/>
      <c r="OSN223" s="1201"/>
      <c r="OSO223" s="1201"/>
      <c r="OSP223" s="1201"/>
      <c r="OSQ223" s="1201"/>
      <c r="OSR223" s="1201"/>
      <c r="OSS223" s="1201"/>
      <c r="OST223" s="1201"/>
      <c r="OSU223" s="1201"/>
      <c r="OSV223" s="1201"/>
      <c r="OSW223" s="1201"/>
      <c r="OSX223" s="1201"/>
      <c r="OSY223" s="1201"/>
      <c r="OSZ223" s="1201"/>
      <c r="OTA223" s="1201"/>
      <c r="OTB223" s="1201"/>
      <c r="OTC223" s="1201"/>
      <c r="OTD223" s="1201"/>
      <c r="OTE223" s="1201"/>
      <c r="OTF223" s="1201"/>
      <c r="OTG223" s="1201"/>
      <c r="OTH223" s="1201"/>
      <c r="OTI223" s="1201"/>
      <c r="OTJ223" s="1201"/>
      <c r="OTK223" s="1201"/>
      <c r="OTL223" s="1201"/>
      <c r="OTM223" s="1201"/>
      <c r="OTN223" s="1201"/>
      <c r="OTO223" s="1201"/>
      <c r="OTP223" s="1201"/>
      <c r="OTQ223" s="1201"/>
      <c r="OTR223" s="1201"/>
      <c r="OTS223" s="1201"/>
      <c r="OTT223" s="1201"/>
      <c r="OTU223" s="1201"/>
      <c r="OTV223" s="1201"/>
      <c r="OTW223" s="1201"/>
      <c r="OTX223" s="1201"/>
      <c r="OTY223" s="1201"/>
      <c r="OTZ223" s="1201"/>
      <c r="OUA223" s="1201"/>
      <c r="OUB223" s="1201"/>
      <c r="OUC223" s="1201"/>
      <c r="OUD223" s="1201"/>
      <c r="OUE223" s="1201"/>
      <c r="OUF223" s="1201"/>
      <c r="OUG223" s="1201"/>
      <c r="OUH223" s="1201"/>
      <c r="OUI223" s="1201"/>
      <c r="OUJ223" s="1201"/>
      <c r="OUK223" s="1201"/>
      <c r="OUL223" s="1201"/>
      <c r="OUM223" s="1201"/>
      <c r="OUN223" s="1201"/>
      <c r="OUO223" s="1201"/>
      <c r="OUP223" s="1201"/>
      <c r="OUQ223" s="1201"/>
      <c r="OUR223" s="1201"/>
      <c r="OUS223" s="1201"/>
      <c r="OUT223" s="1201"/>
      <c r="OUU223" s="1201"/>
      <c r="OUV223" s="1201"/>
      <c r="OUW223" s="1201"/>
      <c r="OUX223" s="1201"/>
      <c r="OUY223" s="1201"/>
      <c r="OUZ223" s="1201"/>
      <c r="OVA223" s="1201"/>
      <c r="OVB223" s="1201"/>
      <c r="OVC223" s="1201"/>
      <c r="OVD223" s="1201"/>
      <c r="OVE223" s="1201"/>
      <c r="OVF223" s="1201"/>
      <c r="OVG223" s="1201"/>
      <c r="OVH223" s="1201"/>
      <c r="OVI223" s="1201"/>
      <c r="OVJ223" s="1201"/>
      <c r="OVK223" s="1201"/>
      <c r="OVL223" s="1201"/>
      <c r="OVM223" s="1201"/>
      <c r="OVN223" s="1201"/>
      <c r="OVO223" s="1201"/>
      <c r="OVP223" s="1201"/>
      <c r="OVQ223" s="1201"/>
      <c r="OVR223" s="1201"/>
      <c r="OVS223" s="1201"/>
      <c r="OVT223" s="1201"/>
      <c r="OVU223" s="1201"/>
      <c r="OVV223" s="1201"/>
      <c r="OVW223" s="1201"/>
      <c r="OVX223" s="1201"/>
      <c r="OVY223" s="1201"/>
      <c r="OVZ223" s="1201"/>
      <c r="OWA223" s="1201"/>
      <c r="OWB223" s="1201"/>
      <c r="OWC223" s="1201"/>
      <c r="OWD223" s="1201"/>
      <c r="OWE223" s="1201"/>
      <c r="OWF223" s="1201"/>
      <c r="OWG223" s="1201"/>
      <c r="OWH223" s="1201"/>
      <c r="OWI223" s="1201"/>
      <c r="OWJ223" s="1201"/>
      <c r="OWK223" s="1201"/>
      <c r="OWL223" s="1201"/>
      <c r="OWM223" s="1201"/>
      <c r="OWN223" s="1201"/>
      <c r="OWO223" s="1201"/>
      <c r="OWP223" s="1201"/>
      <c r="OWQ223" s="1201"/>
      <c r="OWR223" s="1201"/>
      <c r="OWS223" s="1201"/>
      <c r="OWT223" s="1201"/>
      <c r="OWU223" s="1201"/>
      <c r="OWV223" s="1201"/>
      <c r="OWW223" s="1201"/>
      <c r="OWX223" s="1201"/>
      <c r="OWY223" s="1201"/>
      <c r="OWZ223" s="1201"/>
      <c r="OXA223" s="1201"/>
      <c r="OXB223" s="1201"/>
      <c r="OXC223" s="1201"/>
      <c r="OXD223" s="1201"/>
      <c r="OXE223" s="1201"/>
      <c r="OXF223" s="1201"/>
      <c r="OXG223" s="1201"/>
      <c r="OXH223" s="1201"/>
      <c r="OXI223" s="1201"/>
      <c r="OXJ223" s="1201"/>
      <c r="OXK223" s="1201"/>
      <c r="OXL223" s="1201"/>
      <c r="OXM223" s="1201"/>
      <c r="OXN223" s="1201"/>
      <c r="OXO223" s="1201"/>
      <c r="OXP223" s="1201"/>
      <c r="OXQ223" s="1201"/>
      <c r="OXR223" s="1201"/>
      <c r="OXS223" s="1201"/>
      <c r="OXT223" s="1201"/>
      <c r="OXU223" s="1201"/>
      <c r="OXV223" s="1201"/>
      <c r="OXW223" s="1201"/>
      <c r="OXX223" s="1201"/>
      <c r="OXY223" s="1201"/>
      <c r="OXZ223" s="1201"/>
      <c r="OYA223" s="1201"/>
      <c r="OYB223" s="1201"/>
      <c r="OYC223" s="1201"/>
      <c r="OYD223" s="1201"/>
      <c r="OYE223" s="1201"/>
      <c r="OYF223" s="1201"/>
      <c r="OYG223" s="1201"/>
      <c r="OYH223" s="1201"/>
      <c r="OYI223" s="1201"/>
      <c r="OYJ223" s="1201"/>
      <c r="OYK223" s="1201"/>
      <c r="OYL223" s="1201"/>
      <c r="OYM223" s="1201"/>
      <c r="OYN223" s="1201"/>
      <c r="OYO223" s="1201"/>
      <c r="OYP223" s="1201"/>
      <c r="OYQ223" s="1201"/>
      <c r="OYR223" s="1201"/>
      <c r="OYS223" s="1201"/>
      <c r="OYT223" s="1201"/>
      <c r="OYU223" s="1201"/>
      <c r="OYV223" s="1201"/>
      <c r="OYW223" s="1201"/>
      <c r="OYX223" s="1201"/>
      <c r="OYY223" s="1201"/>
      <c r="OYZ223" s="1201"/>
      <c r="OZA223" s="1201"/>
      <c r="OZB223" s="1201"/>
      <c r="OZC223" s="1201"/>
      <c r="OZD223" s="1201"/>
      <c r="OZE223" s="1201"/>
      <c r="OZF223" s="1201"/>
      <c r="OZG223" s="1201"/>
      <c r="OZH223" s="1201"/>
      <c r="OZI223" s="1201"/>
      <c r="OZJ223" s="1201"/>
      <c r="OZK223" s="1201"/>
      <c r="OZL223" s="1201"/>
      <c r="OZM223" s="1201"/>
      <c r="OZN223" s="1201"/>
      <c r="OZO223" s="1201"/>
      <c r="OZP223" s="1201"/>
      <c r="OZQ223" s="1201"/>
      <c r="OZR223" s="1201"/>
      <c r="OZS223" s="1201"/>
      <c r="OZT223" s="1201"/>
      <c r="OZU223" s="1201"/>
      <c r="OZV223" s="1201"/>
      <c r="OZW223" s="1201"/>
      <c r="OZX223" s="1201"/>
      <c r="OZY223" s="1201"/>
      <c r="OZZ223" s="1201"/>
      <c r="PAA223" s="1201"/>
      <c r="PAB223" s="1201"/>
      <c r="PAC223" s="1201"/>
      <c r="PAD223" s="1201"/>
      <c r="PAE223" s="1201"/>
      <c r="PAF223" s="1201"/>
      <c r="PAG223" s="1201"/>
      <c r="PAH223" s="1201"/>
      <c r="PAI223" s="1201"/>
      <c r="PAJ223" s="1201"/>
      <c r="PAK223" s="1201"/>
      <c r="PAL223" s="1201"/>
      <c r="PAM223" s="1201"/>
      <c r="PAN223" s="1201"/>
      <c r="PAO223" s="1201"/>
      <c r="PAP223" s="1201"/>
      <c r="PAQ223" s="1201"/>
      <c r="PAR223" s="1201"/>
      <c r="PAS223" s="1201"/>
      <c r="PAT223" s="1201"/>
      <c r="PAU223" s="1201"/>
      <c r="PAV223" s="1201"/>
      <c r="PAW223" s="1201"/>
      <c r="PAX223" s="1201"/>
      <c r="PAY223" s="1201"/>
      <c r="PAZ223" s="1201"/>
      <c r="PBA223" s="1201"/>
      <c r="PBB223" s="1201"/>
      <c r="PBC223" s="1201"/>
      <c r="PBD223" s="1201"/>
      <c r="PBE223" s="1201"/>
      <c r="PBF223" s="1201"/>
      <c r="PBG223" s="1201"/>
      <c r="PBH223" s="1201"/>
      <c r="PBI223" s="1201"/>
      <c r="PBJ223" s="1201"/>
      <c r="PBK223" s="1201"/>
      <c r="PBL223" s="1201"/>
      <c r="PBM223" s="1201"/>
      <c r="PBN223" s="1201"/>
      <c r="PBO223" s="1201"/>
      <c r="PBP223" s="1201"/>
      <c r="PBQ223" s="1201"/>
      <c r="PBR223" s="1201"/>
      <c r="PBS223" s="1201"/>
      <c r="PBT223" s="1201"/>
      <c r="PBU223" s="1201"/>
      <c r="PBV223" s="1201"/>
      <c r="PBW223" s="1201"/>
      <c r="PBX223" s="1201"/>
      <c r="PBY223" s="1201"/>
      <c r="PBZ223" s="1201"/>
      <c r="PCA223" s="1201"/>
      <c r="PCB223" s="1201"/>
      <c r="PCC223" s="1201"/>
      <c r="PCD223" s="1201"/>
      <c r="PCE223" s="1201"/>
      <c r="PCF223" s="1201"/>
      <c r="PCG223" s="1201"/>
      <c r="PCH223" s="1201"/>
      <c r="PCI223" s="1201"/>
      <c r="PCJ223" s="1201"/>
      <c r="PCK223" s="1201"/>
      <c r="PCL223" s="1201"/>
      <c r="PCM223" s="1201"/>
      <c r="PCN223" s="1201"/>
      <c r="PCO223" s="1201"/>
      <c r="PCP223" s="1201"/>
      <c r="PCQ223" s="1201"/>
      <c r="PCR223" s="1201"/>
      <c r="PCS223" s="1201"/>
      <c r="PCT223" s="1201"/>
      <c r="PCU223" s="1201"/>
      <c r="PCV223" s="1201"/>
      <c r="PCW223" s="1201"/>
      <c r="PCX223" s="1201"/>
      <c r="PCY223" s="1201"/>
      <c r="PCZ223" s="1201"/>
      <c r="PDA223" s="1201"/>
      <c r="PDB223" s="1201"/>
      <c r="PDC223" s="1201"/>
      <c r="PDD223" s="1201"/>
      <c r="PDE223" s="1201"/>
      <c r="PDF223" s="1201"/>
      <c r="PDG223" s="1201"/>
      <c r="PDH223" s="1201"/>
      <c r="PDI223" s="1201"/>
      <c r="PDJ223" s="1201"/>
      <c r="PDK223" s="1201"/>
      <c r="PDL223" s="1201"/>
      <c r="PDM223" s="1201"/>
      <c r="PDN223" s="1201"/>
      <c r="PDO223" s="1201"/>
      <c r="PDP223" s="1201"/>
      <c r="PDQ223" s="1201"/>
      <c r="PDR223" s="1201"/>
      <c r="PDS223" s="1201"/>
      <c r="PDT223" s="1201"/>
      <c r="PDU223" s="1201"/>
      <c r="PDV223" s="1201"/>
      <c r="PDW223" s="1201"/>
      <c r="PDX223" s="1201"/>
      <c r="PDY223" s="1201"/>
      <c r="PDZ223" s="1201"/>
      <c r="PEA223" s="1201"/>
      <c r="PEB223" s="1201"/>
      <c r="PEC223" s="1201"/>
      <c r="PED223" s="1201"/>
      <c r="PEE223" s="1201"/>
      <c r="PEF223" s="1201"/>
      <c r="PEG223" s="1201"/>
      <c r="PEH223" s="1201"/>
      <c r="PEI223" s="1201"/>
      <c r="PEJ223" s="1201"/>
      <c r="PEK223" s="1201"/>
      <c r="PEL223" s="1201"/>
      <c r="PEM223" s="1201"/>
      <c r="PEN223" s="1201"/>
      <c r="PEO223" s="1201"/>
      <c r="PEP223" s="1201"/>
      <c r="PEQ223" s="1201"/>
      <c r="PER223" s="1201"/>
      <c r="PES223" s="1201"/>
      <c r="PET223" s="1201"/>
      <c r="PEU223" s="1201"/>
      <c r="PEV223" s="1201"/>
      <c r="PEW223" s="1201"/>
      <c r="PEX223" s="1201"/>
      <c r="PEY223" s="1201"/>
      <c r="PEZ223" s="1201"/>
      <c r="PFA223" s="1201"/>
      <c r="PFB223" s="1201"/>
      <c r="PFC223" s="1201"/>
      <c r="PFD223" s="1201"/>
      <c r="PFE223" s="1201"/>
      <c r="PFF223" s="1201"/>
      <c r="PFG223" s="1201"/>
      <c r="PFH223" s="1201"/>
      <c r="PFI223" s="1201"/>
      <c r="PFJ223" s="1201"/>
      <c r="PFK223" s="1201"/>
      <c r="PFL223" s="1201"/>
      <c r="PFM223" s="1201"/>
      <c r="PFN223" s="1201"/>
      <c r="PFO223" s="1201"/>
      <c r="PFP223" s="1201"/>
      <c r="PFQ223" s="1201"/>
      <c r="PFR223" s="1201"/>
      <c r="PFS223" s="1201"/>
      <c r="PFT223" s="1201"/>
      <c r="PFU223" s="1201"/>
      <c r="PFV223" s="1201"/>
      <c r="PFW223" s="1201"/>
      <c r="PFX223" s="1201"/>
      <c r="PFY223" s="1201"/>
      <c r="PFZ223" s="1201"/>
      <c r="PGA223" s="1201"/>
      <c r="PGB223" s="1201"/>
      <c r="PGC223" s="1201"/>
      <c r="PGD223" s="1201"/>
      <c r="PGE223" s="1201"/>
      <c r="PGF223" s="1201"/>
      <c r="PGG223" s="1201"/>
      <c r="PGH223" s="1201"/>
      <c r="PGI223" s="1201"/>
      <c r="PGJ223" s="1201"/>
      <c r="PGK223" s="1201"/>
      <c r="PGL223" s="1201"/>
      <c r="PGM223" s="1201"/>
      <c r="PGN223" s="1201"/>
      <c r="PGO223" s="1201"/>
      <c r="PGP223" s="1201"/>
      <c r="PGQ223" s="1201"/>
      <c r="PGR223" s="1201"/>
      <c r="PGS223" s="1201"/>
      <c r="PGT223" s="1201"/>
      <c r="PGU223" s="1201"/>
      <c r="PGV223" s="1201"/>
      <c r="PGW223" s="1201"/>
      <c r="PGX223" s="1201"/>
      <c r="PGY223" s="1201"/>
      <c r="PGZ223" s="1201"/>
      <c r="PHA223" s="1201"/>
      <c r="PHB223" s="1201"/>
      <c r="PHC223" s="1201"/>
      <c r="PHD223" s="1201"/>
      <c r="PHE223" s="1201"/>
      <c r="PHF223" s="1201"/>
      <c r="PHG223" s="1201"/>
      <c r="PHH223" s="1201"/>
      <c r="PHI223" s="1201"/>
      <c r="PHJ223" s="1201"/>
      <c r="PHK223" s="1201"/>
      <c r="PHL223" s="1201"/>
      <c r="PHM223" s="1201"/>
      <c r="PHN223" s="1201"/>
      <c r="PHO223" s="1201"/>
      <c r="PHP223" s="1201"/>
      <c r="PHQ223" s="1201"/>
      <c r="PHR223" s="1201"/>
      <c r="PHS223" s="1201"/>
      <c r="PHT223" s="1201"/>
      <c r="PHU223" s="1201"/>
      <c r="PHV223" s="1201"/>
      <c r="PHW223" s="1201"/>
      <c r="PHX223" s="1201"/>
      <c r="PHY223" s="1201"/>
      <c r="PHZ223" s="1201"/>
      <c r="PIA223" s="1201"/>
      <c r="PIB223" s="1201"/>
      <c r="PIC223" s="1201"/>
      <c r="PID223" s="1201"/>
      <c r="PIE223" s="1201"/>
      <c r="PIF223" s="1201"/>
      <c r="PIG223" s="1201"/>
      <c r="PIH223" s="1201"/>
      <c r="PII223" s="1201"/>
      <c r="PIJ223" s="1201"/>
      <c r="PIK223" s="1201"/>
      <c r="PIL223" s="1201"/>
      <c r="PIM223" s="1201"/>
      <c r="PIN223" s="1201"/>
      <c r="PIO223" s="1201"/>
      <c r="PIP223" s="1201"/>
      <c r="PIQ223" s="1201"/>
      <c r="PIR223" s="1201"/>
      <c r="PIS223" s="1201"/>
      <c r="PIT223" s="1201"/>
      <c r="PIU223" s="1201"/>
      <c r="PIV223" s="1201"/>
      <c r="PIW223" s="1201"/>
      <c r="PIX223" s="1201"/>
      <c r="PIY223" s="1201"/>
      <c r="PIZ223" s="1201"/>
      <c r="PJA223" s="1201"/>
      <c r="PJB223" s="1201"/>
      <c r="PJC223" s="1201"/>
      <c r="PJD223" s="1201"/>
      <c r="PJE223" s="1201"/>
      <c r="PJF223" s="1201"/>
      <c r="PJG223" s="1201"/>
      <c r="PJH223" s="1201"/>
      <c r="PJI223" s="1201"/>
      <c r="PJJ223" s="1201"/>
      <c r="PJK223" s="1201"/>
      <c r="PJL223" s="1201"/>
      <c r="PJM223" s="1201"/>
      <c r="PJN223" s="1201"/>
      <c r="PJO223" s="1201"/>
      <c r="PJP223" s="1201"/>
      <c r="PJQ223" s="1201"/>
      <c r="PJR223" s="1201"/>
      <c r="PJS223" s="1201"/>
      <c r="PJT223" s="1201"/>
      <c r="PJU223" s="1201"/>
      <c r="PJV223" s="1201"/>
      <c r="PJW223" s="1201"/>
      <c r="PJX223" s="1201"/>
      <c r="PJY223" s="1201"/>
      <c r="PJZ223" s="1201"/>
      <c r="PKA223" s="1201"/>
      <c r="PKB223" s="1201"/>
      <c r="PKC223" s="1201"/>
      <c r="PKD223" s="1201"/>
      <c r="PKE223" s="1201"/>
      <c r="PKF223" s="1201"/>
      <c r="PKG223" s="1201"/>
      <c r="PKH223" s="1201"/>
      <c r="PKI223" s="1201"/>
      <c r="PKJ223" s="1201"/>
      <c r="PKK223" s="1201"/>
      <c r="PKL223" s="1201"/>
      <c r="PKM223" s="1201"/>
      <c r="PKN223" s="1201"/>
      <c r="PKO223" s="1201"/>
      <c r="PKP223" s="1201"/>
      <c r="PKQ223" s="1201"/>
      <c r="PKR223" s="1201"/>
      <c r="PKS223" s="1201"/>
      <c r="PKT223" s="1201"/>
      <c r="PKU223" s="1201"/>
      <c r="PKV223" s="1201"/>
      <c r="PKW223" s="1201"/>
      <c r="PKX223" s="1201"/>
      <c r="PKY223" s="1201"/>
      <c r="PKZ223" s="1201"/>
      <c r="PLA223" s="1201"/>
      <c r="PLB223" s="1201"/>
      <c r="PLC223" s="1201"/>
      <c r="PLD223" s="1201"/>
      <c r="PLE223" s="1201"/>
      <c r="PLF223" s="1201"/>
      <c r="PLG223" s="1201"/>
      <c r="PLH223" s="1201"/>
      <c r="PLI223" s="1201"/>
      <c r="PLJ223" s="1201"/>
      <c r="PLK223" s="1201"/>
      <c r="PLL223" s="1201"/>
      <c r="PLM223" s="1201"/>
      <c r="PLN223" s="1201"/>
      <c r="PLO223" s="1201"/>
      <c r="PLP223" s="1201"/>
      <c r="PLQ223" s="1201"/>
      <c r="PLR223" s="1201"/>
      <c r="PLS223" s="1201"/>
      <c r="PLT223" s="1201"/>
      <c r="PLU223" s="1201"/>
      <c r="PLV223" s="1201"/>
      <c r="PLW223" s="1201"/>
      <c r="PLX223" s="1201"/>
      <c r="PLY223" s="1201"/>
      <c r="PLZ223" s="1201"/>
      <c r="PMA223" s="1201"/>
      <c r="PMB223" s="1201"/>
      <c r="PMC223" s="1201"/>
      <c r="PMD223" s="1201"/>
      <c r="PME223" s="1201"/>
      <c r="PMF223" s="1201"/>
      <c r="PMG223" s="1201"/>
      <c r="PMH223" s="1201"/>
      <c r="PMI223" s="1201"/>
      <c r="PMJ223" s="1201"/>
      <c r="PMK223" s="1201"/>
      <c r="PML223" s="1201"/>
      <c r="PMM223" s="1201"/>
      <c r="PMN223" s="1201"/>
      <c r="PMO223" s="1201"/>
      <c r="PMP223" s="1201"/>
      <c r="PMQ223" s="1201"/>
      <c r="PMR223" s="1201"/>
      <c r="PMS223" s="1201"/>
      <c r="PMT223" s="1201"/>
      <c r="PMU223" s="1201"/>
      <c r="PMV223" s="1201"/>
      <c r="PMW223" s="1201"/>
      <c r="PMX223" s="1201"/>
      <c r="PMY223" s="1201"/>
      <c r="PMZ223" s="1201"/>
      <c r="PNA223" s="1201"/>
      <c r="PNB223" s="1201"/>
      <c r="PNC223" s="1201"/>
      <c r="PND223" s="1201"/>
      <c r="PNE223" s="1201"/>
      <c r="PNF223" s="1201"/>
      <c r="PNG223" s="1201"/>
      <c r="PNH223" s="1201"/>
      <c r="PNI223" s="1201"/>
      <c r="PNJ223" s="1201"/>
      <c r="PNK223" s="1201"/>
      <c r="PNL223" s="1201"/>
      <c r="PNM223" s="1201"/>
      <c r="PNN223" s="1201"/>
      <c r="PNO223" s="1201"/>
      <c r="PNP223" s="1201"/>
      <c r="PNQ223" s="1201"/>
      <c r="PNR223" s="1201"/>
      <c r="PNS223" s="1201"/>
      <c r="PNT223" s="1201"/>
      <c r="PNU223" s="1201"/>
      <c r="PNV223" s="1201"/>
      <c r="PNW223" s="1201"/>
      <c r="PNX223" s="1201"/>
      <c r="PNY223" s="1201"/>
      <c r="PNZ223" s="1201"/>
      <c r="POA223" s="1201"/>
      <c r="POB223" s="1201"/>
      <c r="POC223" s="1201"/>
      <c r="POD223" s="1201"/>
      <c r="POE223" s="1201"/>
      <c r="POF223" s="1201"/>
      <c r="POG223" s="1201"/>
      <c r="POH223" s="1201"/>
      <c r="POI223" s="1201"/>
      <c r="POJ223" s="1201"/>
      <c r="POK223" s="1201"/>
      <c r="POL223" s="1201"/>
      <c r="POM223" s="1201"/>
      <c r="PON223" s="1201"/>
      <c r="POO223" s="1201"/>
      <c r="POP223" s="1201"/>
      <c r="POQ223" s="1201"/>
      <c r="POR223" s="1201"/>
      <c r="POS223" s="1201"/>
      <c r="POT223" s="1201"/>
      <c r="POU223" s="1201"/>
      <c r="POV223" s="1201"/>
      <c r="POW223" s="1201"/>
      <c r="POX223" s="1201"/>
      <c r="POY223" s="1201"/>
      <c r="POZ223" s="1201"/>
      <c r="PPA223" s="1201"/>
      <c r="PPB223" s="1201"/>
      <c r="PPC223" s="1201"/>
      <c r="PPD223" s="1201"/>
      <c r="PPE223" s="1201"/>
      <c r="PPF223" s="1201"/>
      <c r="PPG223" s="1201"/>
      <c r="PPH223" s="1201"/>
      <c r="PPI223" s="1201"/>
      <c r="PPJ223" s="1201"/>
      <c r="PPK223" s="1201"/>
      <c r="PPL223" s="1201"/>
      <c r="PPM223" s="1201"/>
      <c r="PPN223" s="1201"/>
      <c r="PPO223" s="1201"/>
      <c r="PPP223" s="1201"/>
      <c r="PPQ223" s="1201"/>
      <c r="PPR223" s="1201"/>
      <c r="PPS223" s="1201"/>
      <c r="PPT223" s="1201"/>
      <c r="PPU223" s="1201"/>
      <c r="PPV223" s="1201"/>
      <c r="PPW223" s="1201"/>
      <c r="PPX223" s="1201"/>
      <c r="PPY223" s="1201"/>
      <c r="PPZ223" s="1201"/>
      <c r="PQA223" s="1201"/>
      <c r="PQB223" s="1201"/>
      <c r="PQC223" s="1201"/>
      <c r="PQD223" s="1201"/>
      <c r="PQE223" s="1201"/>
      <c r="PQF223" s="1201"/>
      <c r="PQG223" s="1201"/>
      <c r="PQH223" s="1201"/>
      <c r="PQI223" s="1201"/>
      <c r="PQJ223" s="1201"/>
      <c r="PQK223" s="1201"/>
      <c r="PQL223" s="1201"/>
      <c r="PQM223" s="1201"/>
      <c r="PQN223" s="1201"/>
      <c r="PQO223" s="1201"/>
      <c r="PQP223" s="1201"/>
      <c r="PQQ223" s="1201"/>
      <c r="PQR223" s="1201"/>
      <c r="PQS223" s="1201"/>
      <c r="PQT223" s="1201"/>
      <c r="PQU223" s="1201"/>
      <c r="PQV223" s="1201"/>
      <c r="PQW223" s="1201"/>
      <c r="PQX223" s="1201"/>
      <c r="PQY223" s="1201"/>
      <c r="PQZ223" s="1201"/>
      <c r="PRA223" s="1201"/>
      <c r="PRB223" s="1201"/>
      <c r="PRC223" s="1201"/>
      <c r="PRD223" s="1201"/>
      <c r="PRE223" s="1201"/>
      <c r="PRF223" s="1201"/>
      <c r="PRG223" s="1201"/>
      <c r="PRH223" s="1201"/>
      <c r="PRI223" s="1201"/>
      <c r="PRJ223" s="1201"/>
      <c r="PRK223" s="1201"/>
      <c r="PRL223" s="1201"/>
      <c r="PRM223" s="1201"/>
      <c r="PRN223" s="1201"/>
      <c r="PRO223" s="1201"/>
      <c r="PRP223" s="1201"/>
      <c r="PRQ223" s="1201"/>
      <c r="PRR223" s="1201"/>
      <c r="PRS223" s="1201"/>
      <c r="PRT223" s="1201"/>
      <c r="PRU223" s="1201"/>
      <c r="PRV223" s="1201"/>
      <c r="PRW223" s="1201"/>
      <c r="PRX223" s="1201"/>
      <c r="PRY223" s="1201"/>
      <c r="PRZ223" s="1201"/>
      <c r="PSA223" s="1201"/>
      <c r="PSB223" s="1201"/>
      <c r="PSC223" s="1201"/>
      <c r="PSD223" s="1201"/>
      <c r="PSE223" s="1201"/>
      <c r="PSF223" s="1201"/>
      <c r="PSG223" s="1201"/>
      <c r="PSH223" s="1201"/>
      <c r="PSI223" s="1201"/>
      <c r="PSJ223" s="1201"/>
      <c r="PSK223" s="1201"/>
      <c r="PSL223" s="1201"/>
      <c r="PSM223" s="1201"/>
      <c r="PSN223" s="1201"/>
      <c r="PSO223" s="1201"/>
      <c r="PSP223" s="1201"/>
      <c r="PSQ223" s="1201"/>
      <c r="PSR223" s="1201"/>
      <c r="PSS223" s="1201"/>
      <c r="PST223" s="1201"/>
      <c r="PSU223" s="1201"/>
      <c r="PSV223" s="1201"/>
      <c r="PSW223" s="1201"/>
      <c r="PSX223" s="1201"/>
      <c r="PSY223" s="1201"/>
      <c r="PSZ223" s="1201"/>
      <c r="PTA223" s="1201"/>
      <c r="PTB223" s="1201"/>
      <c r="PTC223" s="1201"/>
      <c r="PTD223" s="1201"/>
      <c r="PTE223" s="1201"/>
      <c r="PTF223" s="1201"/>
      <c r="PTG223" s="1201"/>
      <c r="PTH223" s="1201"/>
      <c r="PTI223" s="1201"/>
      <c r="PTJ223" s="1201"/>
      <c r="PTK223" s="1201"/>
      <c r="PTL223" s="1201"/>
      <c r="PTM223" s="1201"/>
      <c r="PTN223" s="1201"/>
      <c r="PTO223" s="1201"/>
      <c r="PTP223" s="1201"/>
      <c r="PTQ223" s="1201"/>
      <c r="PTR223" s="1201"/>
      <c r="PTS223" s="1201"/>
      <c r="PTT223" s="1201"/>
      <c r="PTU223" s="1201"/>
      <c r="PTV223" s="1201"/>
      <c r="PTW223" s="1201"/>
      <c r="PTX223" s="1201"/>
      <c r="PTY223" s="1201"/>
      <c r="PTZ223" s="1201"/>
      <c r="PUA223" s="1201"/>
      <c r="PUB223" s="1201"/>
      <c r="PUC223" s="1201"/>
      <c r="PUD223" s="1201"/>
      <c r="PUE223" s="1201"/>
      <c r="PUF223" s="1201"/>
      <c r="PUG223" s="1201"/>
      <c r="PUH223" s="1201"/>
      <c r="PUI223" s="1201"/>
      <c r="PUJ223" s="1201"/>
      <c r="PUK223" s="1201"/>
      <c r="PUL223" s="1201"/>
      <c r="PUM223" s="1201"/>
      <c r="PUN223" s="1201"/>
      <c r="PUO223" s="1201"/>
      <c r="PUP223" s="1201"/>
      <c r="PUQ223" s="1201"/>
      <c r="PUR223" s="1201"/>
      <c r="PUS223" s="1201"/>
      <c r="PUT223" s="1201"/>
      <c r="PUU223" s="1201"/>
      <c r="PUV223" s="1201"/>
      <c r="PUW223" s="1201"/>
      <c r="PUX223" s="1201"/>
      <c r="PUY223" s="1201"/>
      <c r="PUZ223" s="1201"/>
      <c r="PVA223" s="1201"/>
      <c r="PVB223" s="1201"/>
      <c r="PVC223" s="1201"/>
      <c r="PVD223" s="1201"/>
      <c r="PVE223" s="1201"/>
      <c r="PVF223" s="1201"/>
      <c r="PVG223" s="1201"/>
      <c r="PVH223" s="1201"/>
      <c r="PVI223" s="1201"/>
      <c r="PVJ223" s="1201"/>
      <c r="PVK223" s="1201"/>
      <c r="PVL223" s="1201"/>
      <c r="PVM223" s="1201"/>
      <c r="PVN223" s="1201"/>
      <c r="PVO223" s="1201"/>
      <c r="PVP223" s="1201"/>
      <c r="PVQ223" s="1201"/>
      <c r="PVR223" s="1201"/>
      <c r="PVS223" s="1201"/>
      <c r="PVT223" s="1201"/>
      <c r="PVU223" s="1201"/>
      <c r="PVV223" s="1201"/>
      <c r="PVW223" s="1201"/>
      <c r="PVX223" s="1201"/>
      <c r="PVY223" s="1201"/>
      <c r="PVZ223" s="1201"/>
      <c r="PWA223" s="1201"/>
      <c r="PWB223" s="1201"/>
      <c r="PWC223" s="1201"/>
      <c r="PWD223" s="1201"/>
      <c r="PWE223" s="1201"/>
      <c r="PWF223" s="1201"/>
      <c r="PWG223" s="1201"/>
      <c r="PWH223" s="1201"/>
      <c r="PWI223" s="1201"/>
      <c r="PWJ223" s="1201"/>
      <c r="PWK223" s="1201"/>
      <c r="PWL223" s="1201"/>
      <c r="PWM223" s="1201"/>
      <c r="PWN223" s="1201"/>
      <c r="PWO223" s="1201"/>
      <c r="PWP223" s="1201"/>
      <c r="PWQ223" s="1201"/>
      <c r="PWR223" s="1201"/>
      <c r="PWS223" s="1201"/>
      <c r="PWT223" s="1201"/>
      <c r="PWU223" s="1201"/>
      <c r="PWV223" s="1201"/>
      <c r="PWW223" s="1201"/>
      <c r="PWX223" s="1201"/>
      <c r="PWY223" s="1201"/>
      <c r="PWZ223" s="1201"/>
      <c r="PXA223" s="1201"/>
      <c r="PXB223" s="1201"/>
      <c r="PXC223" s="1201"/>
      <c r="PXD223" s="1201"/>
      <c r="PXE223" s="1201"/>
      <c r="PXF223" s="1201"/>
      <c r="PXG223" s="1201"/>
      <c r="PXH223" s="1201"/>
      <c r="PXI223" s="1201"/>
      <c r="PXJ223" s="1201"/>
      <c r="PXK223" s="1201"/>
      <c r="PXL223" s="1201"/>
      <c r="PXM223" s="1201"/>
      <c r="PXN223" s="1201"/>
      <c r="PXO223" s="1201"/>
      <c r="PXP223" s="1201"/>
      <c r="PXQ223" s="1201"/>
      <c r="PXR223" s="1201"/>
      <c r="PXS223" s="1201"/>
      <c r="PXT223" s="1201"/>
      <c r="PXU223" s="1201"/>
      <c r="PXV223" s="1201"/>
      <c r="PXW223" s="1201"/>
      <c r="PXX223" s="1201"/>
      <c r="PXY223" s="1201"/>
      <c r="PXZ223" s="1201"/>
      <c r="PYA223" s="1201"/>
      <c r="PYB223" s="1201"/>
      <c r="PYC223" s="1201"/>
      <c r="PYD223" s="1201"/>
      <c r="PYE223" s="1201"/>
      <c r="PYF223" s="1201"/>
      <c r="PYG223" s="1201"/>
      <c r="PYH223" s="1201"/>
      <c r="PYI223" s="1201"/>
      <c r="PYJ223" s="1201"/>
      <c r="PYK223" s="1201"/>
      <c r="PYL223" s="1201"/>
      <c r="PYM223" s="1201"/>
      <c r="PYN223" s="1201"/>
      <c r="PYO223" s="1201"/>
      <c r="PYP223" s="1201"/>
      <c r="PYQ223" s="1201"/>
      <c r="PYR223" s="1201"/>
      <c r="PYS223" s="1201"/>
      <c r="PYT223" s="1201"/>
      <c r="PYU223" s="1201"/>
      <c r="PYV223" s="1201"/>
      <c r="PYW223" s="1201"/>
      <c r="PYX223" s="1201"/>
      <c r="PYY223" s="1201"/>
      <c r="PYZ223" s="1201"/>
      <c r="PZA223" s="1201"/>
      <c r="PZB223" s="1201"/>
      <c r="PZC223" s="1201"/>
      <c r="PZD223" s="1201"/>
      <c r="PZE223" s="1201"/>
      <c r="PZF223" s="1201"/>
      <c r="PZG223" s="1201"/>
      <c r="PZH223" s="1201"/>
      <c r="PZI223" s="1201"/>
      <c r="PZJ223" s="1201"/>
      <c r="PZK223" s="1201"/>
      <c r="PZL223" s="1201"/>
      <c r="PZM223" s="1201"/>
      <c r="PZN223" s="1201"/>
      <c r="PZO223" s="1201"/>
      <c r="PZP223" s="1201"/>
      <c r="PZQ223" s="1201"/>
      <c r="PZR223" s="1201"/>
      <c r="PZS223" s="1201"/>
      <c r="PZT223" s="1201"/>
      <c r="PZU223" s="1201"/>
      <c r="PZV223" s="1201"/>
      <c r="PZW223" s="1201"/>
      <c r="PZX223" s="1201"/>
      <c r="PZY223" s="1201"/>
      <c r="PZZ223" s="1201"/>
      <c r="QAA223" s="1201"/>
      <c r="QAB223" s="1201"/>
      <c r="QAC223" s="1201"/>
      <c r="QAD223" s="1201"/>
      <c r="QAE223" s="1201"/>
      <c r="QAF223" s="1201"/>
      <c r="QAG223" s="1201"/>
      <c r="QAH223" s="1201"/>
      <c r="QAI223" s="1201"/>
      <c r="QAJ223" s="1201"/>
      <c r="QAK223" s="1201"/>
      <c r="QAL223" s="1201"/>
      <c r="QAM223" s="1201"/>
      <c r="QAN223" s="1201"/>
      <c r="QAO223" s="1201"/>
      <c r="QAP223" s="1201"/>
      <c r="QAQ223" s="1201"/>
      <c r="QAR223" s="1201"/>
      <c r="QAS223" s="1201"/>
      <c r="QAT223" s="1201"/>
      <c r="QAU223" s="1201"/>
      <c r="QAV223" s="1201"/>
      <c r="QAW223" s="1201"/>
      <c r="QAX223" s="1201"/>
      <c r="QAY223" s="1201"/>
      <c r="QAZ223" s="1201"/>
      <c r="QBA223" s="1201"/>
      <c r="QBB223" s="1201"/>
      <c r="QBC223" s="1201"/>
      <c r="QBD223" s="1201"/>
      <c r="QBE223" s="1201"/>
      <c r="QBF223" s="1201"/>
      <c r="QBG223" s="1201"/>
      <c r="QBH223" s="1201"/>
      <c r="QBI223" s="1201"/>
      <c r="QBJ223" s="1201"/>
      <c r="QBK223" s="1201"/>
      <c r="QBL223" s="1201"/>
      <c r="QBM223" s="1201"/>
      <c r="QBN223" s="1201"/>
      <c r="QBO223" s="1201"/>
      <c r="QBP223" s="1201"/>
      <c r="QBQ223" s="1201"/>
      <c r="QBR223" s="1201"/>
      <c r="QBS223" s="1201"/>
      <c r="QBT223" s="1201"/>
      <c r="QBU223" s="1201"/>
      <c r="QBV223" s="1201"/>
      <c r="QBW223" s="1201"/>
      <c r="QBX223" s="1201"/>
      <c r="QBY223" s="1201"/>
      <c r="QBZ223" s="1201"/>
      <c r="QCA223" s="1201"/>
      <c r="QCB223" s="1201"/>
      <c r="QCC223" s="1201"/>
      <c r="QCD223" s="1201"/>
      <c r="QCE223" s="1201"/>
      <c r="QCF223" s="1201"/>
      <c r="QCG223" s="1201"/>
      <c r="QCH223" s="1201"/>
      <c r="QCI223" s="1201"/>
      <c r="QCJ223" s="1201"/>
      <c r="QCK223" s="1201"/>
      <c r="QCL223" s="1201"/>
      <c r="QCM223" s="1201"/>
      <c r="QCN223" s="1201"/>
      <c r="QCO223" s="1201"/>
      <c r="QCP223" s="1201"/>
      <c r="QCQ223" s="1201"/>
      <c r="QCR223" s="1201"/>
      <c r="QCS223" s="1201"/>
      <c r="QCT223" s="1201"/>
      <c r="QCU223" s="1201"/>
      <c r="QCV223" s="1201"/>
      <c r="QCW223" s="1201"/>
      <c r="QCX223" s="1201"/>
      <c r="QCY223" s="1201"/>
      <c r="QCZ223" s="1201"/>
      <c r="QDA223" s="1201"/>
      <c r="QDB223" s="1201"/>
      <c r="QDC223" s="1201"/>
      <c r="QDD223" s="1201"/>
      <c r="QDE223" s="1201"/>
      <c r="QDF223" s="1201"/>
      <c r="QDG223" s="1201"/>
      <c r="QDH223" s="1201"/>
      <c r="QDI223" s="1201"/>
      <c r="QDJ223" s="1201"/>
      <c r="QDK223" s="1201"/>
      <c r="QDL223" s="1201"/>
      <c r="QDM223" s="1201"/>
      <c r="QDN223" s="1201"/>
      <c r="QDO223" s="1201"/>
      <c r="QDP223" s="1201"/>
      <c r="QDQ223" s="1201"/>
      <c r="QDR223" s="1201"/>
      <c r="QDS223" s="1201"/>
      <c r="QDT223" s="1201"/>
      <c r="QDU223" s="1201"/>
      <c r="QDV223" s="1201"/>
      <c r="QDW223" s="1201"/>
      <c r="QDX223" s="1201"/>
      <c r="QDY223" s="1201"/>
      <c r="QDZ223" s="1201"/>
      <c r="QEA223" s="1201"/>
      <c r="QEB223" s="1201"/>
      <c r="QEC223" s="1201"/>
      <c r="QED223" s="1201"/>
      <c r="QEE223" s="1201"/>
      <c r="QEF223" s="1201"/>
      <c r="QEG223" s="1201"/>
      <c r="QEH223" s="1201"/>
      <c r="QEI223" s="1201"/>
      <c r="QEJ223" s="1201"/>
      <c r="QEK223" s="1201"/>
      <c r="QEL223" s="1201"/>
      <c r="QEM223" s="1201"/>
      <c r="QEN223" s="1201"/>
      <c r="QEO223" s="1201"/>
      <c r="QEP223" s="1201"/>
      <c r="QEQ223" s="1201"/>
      <c r="QER223" s="1201"/>
      <c r="QES223" s="1201"/>
      <c r="QET223" s="1201"/>
      <c r="QEU223" s="1201"/>
      <c r="QEV223" s="1201"/>
      <c r="QEW223" s="1201"/>
      <c r="QEX223" s="1201"/>
      <c r="QEY223" s="1201"/>
      <c r="QEZ223" s="1201"/>
      <c r="QFA223" s="1201"/>
      <c r="QFB223" s="1201"/>
      <c r="QFC223" s="1201"/>
      <c r="QFD223" s="1201"/>
      <c r="QFE223" s="1201"/>
      <c r="QFF223" s="1201"/>
      <c r="QFG223" s="1201"/>
      <c r="QFH223" s="1201"/>
      <c r="QFI223" s="1201"/>
      <c r="QFJ223" s="1201"/>
      <c r="QFK223" s="1201"/>
      <c r="QFL223" s="1201"/>
      <c r="QFM223" s="1201"/>
      <c r="QFN223" s="1201"/>
      <c r="QFO223" s="1201"/>
      <c r="QFP223" s="1201"/>
      <c r="QFQ223" s="1201"/>
      <c r="QFR223" s="1201"/>
      <c r="QFS223" s="1201"/>
      <c r="QFT223" s="1201"/>
      <c r="QFU223" s="1201"/>
      <c r="QFV223" s="1201"/>
      <c r="QFW223" s="1201"/>
      <c r="QFX223" s="1201"/>
      <c r="QFY223" s="1201"/>
      <c r="QFZ223" s="1201"/>
      <c r="QGA223" s="1201"/>
      <c r="QGB223" s="1201"/>
      <c r="QGC223" s="1201"/>
      <c r="QGD223" s="1201"/>
      <c r="QGE223" s="1201"/>
      <c r="QGF223" s="1201"/>
      <c r="QGG223" s="1201"/>
      <c r="QGH223" s="1201"/>
      <c r="QGI223" s="1201"/>
      <c r="QGJ223" s="1201"/>
      <c r="QGK223" s="1201"/>
      <c r="QGL223" s="1201"/>
      <c r="QGM223" s="1201"/>
      <c r="QGN223" s="1201"/>
      <c r="QGO223" s="1201"/>
      <c r="QGP223" s="1201"/>
      <c r="QGQ223" s="1201"/>
      <c r="QGR223" s="1201"/>
      <c r="QGS223" s="1201"/>
      <c r="QGT223" s="1201"/>
      <c r="QGU223" s="1201"/>
      <c r="QGV223" s="1201"/>
      <c r="QGW223" s="1201"/>
      <c r="QGX223" s="1201"/>
      <c r="QGY223" s="1201"/>
      <c r="QGZ223" s="1201"/>
      <c r="QHA223" s="1201"/>
      <c r="QHB223" s="1201"/>
      <c r="QHC223" s="1201"/>
      <c r="QHD223" s="1201"/>
      <c r="QHE223" s="1201"/>
      <c r="QHF223" s="1201"/>
      <c r="QHG223" s="1201"/>
      <c r="QHH223" s="1201"/>
      <c r="QHI223" s="1201"/>
      <c r="QHJ223" s="1201"/>
      <c r="QHK223" s="1201"/>
      <c r="QHL223" s="1201"/>
      <c r="QHM223" s="1201"/>
      <c r="QHN223" s="1201"/>
      <c r="QHO223" s="1201"/>
      <c r="QHP223" s="1201"/>
      <c r="QHQ223" s="1201"/>
      <c r="QHR223" s="1201"/>
      <c r="QHS223" s="1201"/>
      <c r="QHT223" s="1201"/>
      <c r="QHU223" s="1201"/>
      <c r="QHV223" s="1201"/>
      <c r="QHW223" s="1201"/>
      <c r="QHX223" s="1201"/>
      <c r="QHY223" s="1201"/>
      <c r="QHZ223" s="1201"/>
      <c r="QIA223" s="1201"/>
      <c r="QIB223" s="1201"/>
      <c r="QIC223" s="1201"/>
      <c r="QID223" s="1201"/>
      <c r="QIE223" s="1201"/>
      <c r="QIF223" s="1201"/>
      <c r="QIG223" s="1201"/>
      <c r="QIH223" s="1201"/>
      <c r="QII223" s="1201"/>
      <c r="QIJ223" s="1201"/>
      <c r="QIK223" s="1201"/>
      <c r="QIL223" s="1201"/>
      <c r="QIM223" s="1201"/>
      <c r="QIN223" s="1201"/>
      <c r="QIO223" s="1201"/>
      <c r="QIP223" s="1201"/>
      <c r="QIQ223" s="1201"/>
      <c r="QIR223" s="1201"/>
      <c r="QIS223" s="1201"/>
      <c r="QIT223" s="1201"/>
      <c r="QIU223" s="1201"/>
      <c r="QIV223" s="1201"/>
      <c r="QIW223" s="1201"/>
      <c r="QIX223" s="1201"/>
      <c r="QIY223" s="1201"/>
      <c r="QIZ223" s="1201"/>
      <c r="QJA223" s="1201"/>
      <c r="QJB223" s="1201"/>
      <c r="QJC223" s="1201"/>
      <c r="QJD223" s="1201"/>
      <c r="QJE223" s="1201"/>
      <c r="QJF223" s="1201"/>
      <c r="QJG223" s="1201"/>
      <c r="QJH223" s="1201"/>
      <c r="QJI223" s="1201"/>
      <c r="QJJ223" s="1201"/>
      <c r="QJK223" s="1201"/>
      <c r="QJL223" s="1201"/>
      <c r="QJM223" s="1201"/>
      <c r="QJN223" s="1201"/>
      <c r="QJO223" s="1201"/>
      <c r="QJP223" s="1201"/>
      <c r="QJQ223" s="1201"/>
      <c r="QJR223" s="1201"/>
      <c r="QJS223" s="1201"/>
      <c r="QJT223" s="1201"/>
      <c r="QJU223" s="1201"/>
      <c r="QJV223" s="1201"/>
      <c r="QJW223" s="1201"/>
      <c r="QJX223" s="1201"/>
      <c r="QJY223" s="1201"/>
      <c r="QJZ223" s="1201"/>
      <c r="QKA223" s="1201"/>
      <c r="QKB223" s="1201"/>
      <c r="QKC223" s="1201"/>
      <c r="QKD223" s="1201"/>
      <c r="QKE223" s="1201"/>
      <c r="QKF223" s="1201"/>
      <c r="QKG223" s="1201"/>
      <c r="QKH223" s="1201"/>
      <c r="QKI223" s="1201"/>
      <c r="QKJ223" s="1201"/>
      <c r="QKK223" s="1201"/>
      <c r="QKL223" s="1201"/>
      <c r="QKM223" s="1201"/>
      <c r="QKN223" s="1201"/>
      <c r="QKO223" s="1201"/>
      <c r="QKP223" s="1201"/>
      <c r="QKQ223" s="1201"/>
      <c r="QKR223" s="1201"/>
      <c r="QKS223" s="1201"/>
      <c r="QKT223" s="1201"/>
      <c r="QKU223" s="1201"/>
      <c r="QKV223" s="1201"/>
      <c r="QKW223" s="1201"/>
      <c r="QKX223" s="1201"/>
      <c r="QKY223" s="1201"/>
      <c r="QKZ223" s="1201"/>
      <c r="QLA223" s="1201"/>
      <c r="QLB223" s="1201"/>
      <c r="QLC223" s="1201"/>
      <c r="QLD223" s="1201"/>
      <c r="QLE223" s="1201"/>
      <c r="QLF223" s="1201"/>
      <c r="QLG223" s="1201"/>
      <c r="QLH223" s="1201"/>
      <c r="QLI223" s="1201"/>
      <c r="QLJ223" s="1201"/>
      <c r="QLK223" s="1201"/>
      <c r="QLL223" s="1201"/>
      <c r="QLM223" s="1201"/>
      <c r="QLN223" s="1201"/>
      <c r="QLO223" s="1201"/>
      <c r="QLP223" s="1201"/>
      <c r="QLQ223" s="1201"/>
      <c r="QLR223" s="1201"/>
      <c r="QLS223" s="1201"/>
      <c r="QLT223" s="1201"/>
      <c r="QLU223" s="1201"/>
      <c r="QLV223" s="1201"/>
      <c r="QLW223" s="1201"/>
      <c r="QLX223" s="1201"/>
      <c r="QLY223" s="1201"/>
      <c r="QLZ223" s="1201"/>
      <c r="QMA223" s="1201"/>
      <c r="QMB223" s="1201"/>
      <c r="QMC223" s="1201"/>
      <c r="QMD223" s="1201"/>
      <c r="QME223" s="1201"/>
      <c r="QMF223" s="1201"/>
      <c r="QMG223" s="1201"/>
      <c r="QMH223" s="1201"/>
      <c r="QMI223" s="1201"/>
      <c r="QMJ223" s="1201"/>
      <c r="QMK223" s="1201"/>
      <c r="QML223" s="1201"/>
      <c r="QMM223" s="1201"/>
      <c r="QMN223" s="1201"/>
      <c r="QMO223" s="1201"/>
      <c r="QMP223" s="1201"/>
      <c r="QMQ223" s="1201"/>
      <c r="QMR223" s="1201"/>
      <c r="QMS223" s="1201"/>
      <c r="QMT223" s="1201"/>
      <c r="QMU223" s="1201"/>
      <c r="QMV223" s="1201"/>
      <c r="QMW223" s="1201"/>
      <c r="QMX223" s="1201"/>
      <c r="QMY223" s="1201"/>
      <c r="QMZ223" s="1201"/>
      <c r="QNA223" s="1201"/>
      <c r="QNB223" s="1201"/>
      <c r="QNC223" s="1201"/>
      <c r="QND223" s="1201"/>
      <c r="QNE223" s="1201"/>
      <c r="QNF223" s="1201"/>
      <c r="QNG223" s="1201"/>
      <c r="QNH223" s="1201"/>
      <c r="QNI223" s="1201"/>
      <c r="QNJ223" s="1201"/>
      <c r="QNK223" s="1201"/>
      <c r="QNL223" s="1201"/>
      <c r="QNM223" s="1201"/>
      <c r="QNN223" s="1201"/>
      <c r="QNO223" s="1201"/>
      <c r="QNP223" s="1201"/>
      <c r="QNQ223" s="1201"/>
      <c r="QNR223" s="1201"/>
      <c r="QNS223" s="1201"/>
      <c r="QNT223" s="1201"/>
      <c r="QNU223" s="1201"/>
      <c r="QNV223" s="1201"/>
      <c r="QNW223" s="1201"/>
      <c r="QNX223" s="1201"/>
      <c r="QNY223" s="1201"/>
      <c r="QNZ223" s="1201"/>
      <c r="QOA223" s="1201"/>
      <c r="QOB223" s="1201"/>
      <c r="QOC223" s="1201"/>
      <c r="QOD223" s="1201"/>
      <c r="QOE223" s="1201"/>
      <c r="QOF223" s="1201"/>
      <c r="QOG223" s="1201"/>
      <c r="QOH223" s="1201"/>
      <c r="QOI223" s="1201"/>
      <c r="QOJ223" s="1201"/>
      <c r="QOK223" s="1201"/>
      <c r="QOL223" s="1201"/>
      <c r="QOM223" s="1201"/>
      <c r="QON223" s="1201"/>
      <c r="QOO223" s="1201"/>
      <c r="QOP223" s="1201"/>
      <c r="QOQ223" s="1201"/>
      <c r="QOR223" s="1201"/>
      <c r="QOS223" s="1201"/>
      <c r="QOT223" s="1201"/>
      <c r="QOU223" s="1201"/>
      <c r="QOV223" s="1201"/>
      <c r="QOW223" s="1201"/>
      <c r="QOX223" s="1201"/>
      <c r="QOY223" s="1201"/>
      <c r="QOZ223" s="1201"/>
      <c r="QPA223" s="1201"/>
      <c r="QPB223" s="1201"/>
      <c r="QPC223" s="1201"/>
      <c r="QPD223" s="1201"/>
      <c r="QPE223" s="1201"/>
      <c r="QPF223" s="1201"/>
      <c r="QPG223" s="1201"/>
      <c r="QPH223" s="1201"/>
      <c r="QPI223" s="1201"/>
      <c r="QPJ223" s="1201"/>
      <c r="QPK223" s="1201"/>
      <c r="QPL223" s="1201"/>
      <c r="QPM223" s="1201"/>
      <c r="QPN223" s="1201"/>
      <c r="QPO223" s="1201"/>
      <c r="QPP223" s="1201"/>
      <c r="QPQ223" s="1201"/>
      <c r="QPR223" s="1201"/>
      <c r="QPS223" s="1201"/>
      <c r="QPT223" s="1201"/>
      <c r="QPU223" s="1201"/>
      <c r="QPV223" s="1201"/>
      <c r="QPW223" s="1201"/>
      <c r="QPX223" s="1201"/>
      <c r="QPY223" s="1201"/>
      <c r="QPZ223" s="1201"/>
      <c r="QQA223" s="1201"/>
      <c r="QQB223" s="1201"/>
      <c r="QQC223" s="1201"/>
      <c r="QQD223" s="1201"/>
      <c r="QQE223" s="1201"/>
      <c r="QQF223" s="1201"/>
      <c r="QQG223" s="1201"/>
      <c r="QQH223" s="1201"/>
      <c r="QQI223" s="1201"/>
      <c r="QQJ223" s="1201"/>
      <c r="QQK223" s="1201"/>
      <c r="QQL223" s="1201"/>
      <c r="QQM223" s="1201"/>
      <c r="QQN223" s="1201"/>
      <c r="QQO223" s="1201"/>
      <c r="QQP223" s="1201"/>
      <c r="QQQ223" s="1201"/>
      <c r="QQR223" s="1201"/>
      <c r="QQS223" s="1201"/>
      <c r="QQT223" s="1201"/>
      <c r="QQU223" s="1201"/>
      <c r="QQV223" s="1201"/>
      <c r="QQW223" s="1201"/>
      <c r="QQX223" s="1201"/>
      <c r="QQY223" s="1201"/>
      <c r="QQZ223" s="1201"/>
      <c r="QRA223" s="1201"/>
      <c r="QRB223" s="1201"/>
      <c r="QRC223" s="1201"/>
      <c r="QRD223" s="1201"/>
      <c r="QRE223" s="1201"/>
      <c r="QRF223" s="1201"/>
      <c r="QRG223" s="1201"/>
      <c r="QRH223" s="1201"/>
      <c r="QRI223" s="1201"/>
      <c r="QRJ223" s="1201"/>
      <c r="QRK223" s="1201"/>
      <c r="QRL223" s="1201"/>
      <c r="QRM223" s="1201"/>
      <c r="QRN223" s="1201"/>
      <c r="QRO223" s="1201"/>
      <c r="QRP223" s="1201"/>
      <c r="QRQ223" s="1201"/>
      <c r="QRR223" s="1201"/>
      <c r="QRS223" s="1201"/>
      <c r="QRT223" s="1201"/>
      <c r="QRU223" s="1201"/>
      <c r="QRV223" s="1201"/>
      <c r="QRW223" s="1201"/>
      <c r="QRX223" s="1201"/>
      <c r="QRY223" s="1201"/>
      <c r="QRZ223" s="1201"/>
      <c r="QSA223" s="1201"/>
      <c r="QSB223" s="1201"/>
      <c r="QSC223" s="1201"/>
      <c r="QSD223" s="1201"/>
      <c r="QSE223" s="1201"/>
      <c r="QSF223" s="1201"/>
      <c r="QSG223" s="1201"/>
      <c r="QSH223" s="1201"/>
      <c r="QSI223" s="1201"/>
      <c r="QSJ223" s="1201"/>
      <c r="QSK223" s="1201"/>
      <c r="QSL223" s="1201"/>
      <c r="QSM223" s="1201"/>
      <c r="QSN223" s="1201"/>
      <c r="QSO223" s="1201"/>
      <c r="QSP223" s="1201"/>
      <c r="QSQ223" s="1201"/>
      <c r="QSR223" s="1201"/>
      <c r="QSS223" s="1201"/>
      <c r="QST223" s="1201"/>
      <c r="QSU223" s="1201"/>
      <c r="QSV223" s="1201"/>
      <c r="QSW223" s="1201"/>
      <c r="QSX223" s="1201"/>
      <c r="QSY223" s="1201"/>
      <c r="QSZ223" s="1201"/>
      <c r="QTA223" s="1201"/>
      <c r="QTB223" s="1201"/>
      <c r="QTC223" s="1201"/>
      <c r="QTD223" s="1201"/>
      <c r="QTE223" s="1201"/>
      <c r="QTF223" s="1201"/>
      <c r="QTG223" s="1201"/>
      <c r="QTH223" s="1201"/>
      <c r="QTI223" s="1201"/>
      <c r="QTJ223" s="1201"/>
      <c r="QTK223" s="1201"/>
      <c r="QTL223" s="1201"/>
      <c r="QTM223" s="1201"/>
      <c r="QTN223" s="1201"/>
      <c r="QTO223" s="1201"/>
      <c r="QTP223" s="1201"/>
      <c r="QTQ223" s="1201"/>
      <c r="QTR223" s="1201"/>
      <c r="QTS223" s="1201"/>
      <c r="QTT223" s="1201"/>
      <c r="QTU223" s="1201"/>
      <c r="QTV223" s="1201"/>
      <c r="QTW223" s="1201"/>
      <c r="QTX223" s="1201"/>
      <c r="QTY223" s="1201"/>
      <c r="QTZ223" s="1201"/>
      <c r="QUA223" s="1201"/>
      <c r="QUB223" s="1201"/>
      <c r="QUC223" s="1201"/>
      <c r="QUD223" s="1201"/>
      <c r="QUE223" s="1201"/>
      <c r="QUF223" s="1201"/>
      <c r="QUG223" s="1201"/>
      <c r="QUH223" s="1201"/>
      <c r="QUI223" s="1201"/>
      <c r="QUJ223" s="1201"/>
      <c r="QUK223" s="1201"/>
      <c r="QUL223" s="1201"/>
      <c r="QUM223" s="1201"/>
      <c r="QUN223" s="1201"/>
      <c r="QUO223" s="1201"/>
      <c r="QUP223" s="1201"/>
      <c r="QUQ223" s="1201"/>
      <c r="QUR223" s="1201"/>
      <c r="QUS223" s="1201"/>
      <c r="QUT223" s="1201"/>
      <c r="QUU223" s="1201"/>
      <c r="QUV223" s="1201"/>
      <c r="QUW223" s="1201"/>
      <c r="QUX223" s="1201"/>
      <c r="QUY223" s="1201"/>
      <c r="QUZ223" s="1201"/>
      <c r="QVA223" s="1201"/>
      <c r="QVB223" s="1201"/>
      <c r="QVC223" s="1201"/>
      <c r="QVD223" s="1201"/>
      <c r="QVE223" s="1201"/>
      <c r="QVF223" s="1201"/>
      <c r="QVG223" s="1201"/>
      <c r="QVH223" s="1201"/>
      <c r="QVI223" s="1201"/>
      <c r="QVJ223" s="1201"/>
      <c r="QVK223" s="1201"/>
      <c r="QVL223" s="1201"/>
      <c r="QVM223" s="1201"/>
      <c r="QVN223" s="1201"/>
      <c r="QVO223" s="1201"/>
      <c r="QVP223" s="1201"/>
      <c r="QVQ223" s="1201"/>
      <c r="QVR223" s="1201"/>
      <c r="QVS223" s="1201"/>
      <c r="QVT223" s="1201"/>
      <c r="QVU223" s="1201"/>
      <c r="QVV223" s="1201"/>
      <c r="QVW223" s="1201"/>
      <c r="QVX223" s="1201"/>
      <c r="QVY223" s="1201"/>
      <c r="QVZ223" s="1201"/>
      <c r="QWA223" s="1201"/>
      <c r="QWB223" s="1201"/>
      <c r="QWC223" s="1201"/>
      <c r="QWD223" s="1201"/>
      <c r="QWE223" s="1201"/>
      <c r="QWF223" s="1201"/>
      <c r="QWG223" s="1201"/>
      <c r="QWH223" s="1201"/>
      <c r="QWI223" s="1201"/>
      <c r="QWJ223" s="1201"/>
      <c r="QWK223" s="1201"/>
      <c r="QWL223" s="1201"/>
      <c r="QWM223" s="1201"/>
      <c r="QWN223" s="1201"/>
      <c r="QWO223" s="1201"/>
      <c r="QWP223" s="1201"/>
      <c r="QWQ223" s="1201"/>
      <c r="QWR223" s="1201"/>
      <c r="QWS223" s="1201"/>
      <c r="QWT223" s="1201"/>
      <c r="QWU223" s="1201"/>
      <c r="QWV223" s="1201"/>
      <c r="QWW223" s="1201"/>
      <c r="QWX223" s="1201"/>
      <c r="QWY223" s="1201"/>
      <c r="QWZ223" s="1201"/>
      <c r="QXA223" s="1201"/>
      <c r="QXB223" s="1201"/>
      <c r="QXC223" s="1201"/>
      <c r="QXD223" s="1201"/>
      <c r="QXE223" s="1201"/>
      <c r="QXF223" s="1201"/>
      <c r="QXG223" s="1201"/>
      <c r="QXH223" s="1201"/>
      <c r="QXI223" s="1201"/>
      <c r="QXJ223" s="1201"/>
      <c r="QXK223" s="1201"/>
      <c r="QXL223" s="1201"/>
      <c r="QXM223" s="1201"/>
      <c r="QXN223" s="1201"/>
      <c r="QXO223" s="1201"/>
      <c r="QXP223" s="1201"/>
      <c r="QXQ223" s="1201"/>
      <c r="QXR223" s="1201"/>
      <c r="QXS223" s="1201"/>
      <c r="QXT223" s="1201"/>
      <c r="QXU223" s="1201"/>
      <c r="QXV223" s="1201"/>
      <c r="QXW223" s="1201"/>
      <c r="QXX223" s="1201"/>
      <c r="QXY223" s="1201"/>
      <c r="QXZ223" s="1201"/>
      <c r="QYA223" s="1201"/>
      <c r="QYB223" s="1201"/>
      <c r="QYC223" s="1201"/>
      <c r="QYD223" s="1201"/>
      <c r="QYE223" s="1201"/>
      <c r="QYF223" s="1201"/>
      <c r="QYG223" s="1201"/>
      <c r="QYH223" s="1201"/>
      <c r="QYI223" s="1201"/>
      <c r="QYJ223" s="1201"/>
      <c r="QYK223" s="1201"/>
      <c r="QYL223" s="1201"/>
      <c r="QYM223" s="1201"/>
      <c r="QYN223" s="1201"/>
      <c r="QYO223" s="1201"/>
      <c r="QYP223" s="1201"/>
      <c r="QYQ223" s="1201"/>
      <c r="QYR223" s="1201"/>
      <c r="QYS223" s="1201"/>
      <c r="QYT223" s="1201"/>
      <c r="QYU223" s="1201"/>
      <c r="QYV223" s="1201"/>
      <c r="QYW223" s="1201"/>
      <c r="QYX223" s="1201"/>
      <c r="QYY223" s="1201"/>
      <c r="QYZ223" s="1201"/>
      <c r="QZA223" s="1201"/>
      <c r="QZB223" s="1201"/>
      <c r="QZC223" s="1201"/>
      <c r="QZD223" s="1201"/>
      <c r="QZE223" s="1201"/>
      <c r="QZF223" s="1201"/>
      <c r="QZG223" s="1201"/>
      <c r="QZH223" s="1201"/>
      <c r="QZI223" s="1201"/>
      <c r="QZJ223" s="1201"/>
      <c r="QZK223" s="1201"/>
      <c r="QZL223" s="1201"/>
      <c r="QZM223" s="1201"/>
      <c r="QZN223" s="1201"/>
      <c r="QZO223" s="1201"/>
      <c r="QZP223" s="1201"/>
      <c r="QZQ223" s="1201"/>
      <c r="QZR223" s="1201"/>
      <c r="QZS223" s="1201"/>
      <c r="QZT223" s="1201"/>
      <c r="QZU223" s="1201"/>
      <c r="QZV223" s="1201"/>
      <c r="QZW223" s="1201"/>
      <c r="QZX223" s="1201"/>
      <c r="QZY223" s="1201"/>
      <c r="QZZ223" s="1201"/>
      <c r="RAA223" s="1201"/>
      <c r="RAB223" s="1201"/>
      <c r="RAC223" s="1201"/>
      <c r="RAD223" s="1201"/>
      <c r="RAE223" s="1201"/>
      <c r="RAF223" s="1201"/>
      <c r="RAG223" s="1201"/>
      <c r="RAH223" s="1201"/>
      <c r="RAI223" s="1201"/>
      <c r="RAJ223" s="1201"/>
      <c r="RAK223" s="1201"/>
      <c r="RAL223" s="1201"/>
      <c r="RAM223" s="1201"/>
      <c r="RAN223" s="1201"/>
      <c r="RAO223" s="1201"/>
      <c r="RAP223" s="1201"/>
      <c r="RAQ223" s="1201"/>
      <c r="RAR223" s="1201"/>
      <c r="RAS223" s="1201"/>
      <c r="RAT223" s="1201"/>
      <c r="RAU223" s="1201"/>
      <c r="RAV223" s="1201"/>
      <c r="RAW223" s="1201"/>
      <c r="RAX223" s="1201"/>
      <c r="RAY223" s="1201"/>
      <c r="RAZ223" s="1201"/>
      <c r="RBA223" s="1201"/>
      <c r="RBB223" s="1201"/>
      <c r="RBC223" s="1201"/>
      <c r="RBD223" s="1201"/>
      <c r="RBE223" s="1201"/>
      <c r="RBF223" s="1201"/>
      <c r="RBG223" s="1201"/>
      <c r="RBH223" s="1201"/>
      <c r="RBI223" s="1201"/>
      <c r="RBJ223" s="1201"/>
      <c r="RBK223" s="1201"/>
      <c r="RBL223" s="1201"/>
      <c r="RBM223" s="1201"/>
      <c r="RBN223" s="1201"/>
      <c r="RBO223" s="1201"/>
      <c r="RBP223" s="1201"/>
      <c r="RBQ223" s="1201"/>
      <c r="RBR223" s="1201"/>
      <c r="RBS223" s="1201"/>
      <c r="RBT223" s="1201"/>
      <c r="RBU223" s="1201"/>
      <c r="RBV223" s="1201"/>
      <c r="RBW223" s="1201"/>
      <c r="RBX223" s="1201"/>
      <c r="RBY223" s="1201"/>
      <c r="RBZ223" s="1201"/>
      <c r="RCA223" s="1201"/>
      <c r="RCB223" s="1201"/>
      <c r="RCC223" s="1201"/>
      <c r="RCD223" s="1201"/>
      <c r="RCE223" s="1201"/>
      <c r="RCF223" s="1201"/>
      <c r="RCG223" s="1201"/>
      <c r="RCH223" s="1201"/>
      <c r="RCI223" s="1201"/>
      <c r="RCJ223" s="1201"/>
      <c r="RCK223" s="1201"/>
      <c r="RCL223" s="1201"/>
      <c r="RCM223" s="1201"/>
      <c r="RCN223" s="1201"/>
      <c r="RCO223" s="1201"/>
      <c r="RCP223" s="1201"/>
      <c r="RCQ223" s="1201"/>
      <c r="RCR223" s="1201"/>
      <c r="RCS223" s="1201"/>
      <c r="RCT223" s="1201"/>
      <c r="RCU223" s="1201"/>
      <c r="RCV223" s="1201"/>
      <c r="RCW223" s="1201"/>
      <c r="RCX223" s="1201"/>
      <c r="RCY223" s="1201"/>
      <c r="RCZ223" s="1201"/>
      <c r="RDA223" s="1201"/>
      <c r="RDB223" s="1201"/>
      <c r="RDC223" s="1201"/>
      <c r="RDD223" s="1201"/>
      <c r="RDE223" s="1201"/>
      <c r="RDF223" s="1201"/>
      <c r="RDG223" s="1201"/>
      <c r="RDH223" s="1201"/>
      <c r="RDI223" s="1201"/>
      <c r="RDJ223" s="1201"/>
      <c r="RDK223" s="1201"/>
      <c r="RDL223" s="1201"/>
      <c r="RDM223" s="1201"/>
      <c r="RDN223" s="1201"/>
      <c r="RDO223" s="1201"/>
      <c r="RDP223" s="1201"/>
      <c r="RDQ223" s="1201"/>
      <c r="RDR223" s="1201"/>
      <c r="RDS223" s="1201"/>
      <c r="RDT223" s="1201"/>
      <c r="RDU223" s="1201"/>
      <c r="RDV223" s="1201"/>
      <c r="RDW223" s="1201"/>
      <c r="RDX223" s="1201"/>
      <c r="RDY223" s="1201"/>
      <c r="RDZ223" s="1201"/>
      <c r="REA223" s="1201"/>
      <c r="REB223" s="1201"/>
      <c r="REC223" s="1201"/>
      <c r="RED223" s="1201"/>
      <c r="REE223" s="1201"/>
      <c r="REF223" s="1201"/>
      <c r="REG223" s="1201"/>
      <c r="REH223" s="1201"/>
      <c r="REI223" s="1201"/>
      <c r="REJ223" s="1201"/>
      <c r="REK223" s="1201"/>
      <c r="REL223" s="1201"/>
      <c r="REM223" s="1201"/>
      <c r="REN223" s="1201"/>
      <c r="REO223" s="1201"/>
      <c r="REP223" s="1201"/>
      <c r="REQ223" s="1201"/>
      <c r="RER223" s="1201"/>
      <c r="RES223" s="1201"/>
      <c r="RET223" s="1201"/>
      <c r="REU223" s="1201"/>
      <c r="REV223" s="1201"/>
      <c r="REW223" s="1201"/>
      <c r="REX223" s="1201"/>
      <c r="REY223" s="1201"/>
      <c r="REZ223" s="1201"/>
      <c r="RFA223" s="1201"/>
      <c r="RFB223" s="1201"/>
      <c r="RFC223" s="1201"/>
      <c r="RFD223" s="1201"/>
      <c r="RFE223" s="1201"/>
      <c r="RFF223" s="1201"/>
      <c r="RFG223" s="1201"/>
      <c r="RFH223" s="1201"/>
      <c r="RFI223" s="1201"/>
      <c r="RFJ223" s="1201"/>
      <c r="RFK223" s="1201"/>
      <c r="RFL223" s="1201"/>
      <c r="RFM223" s="1201"/>
      <c r="RFN223" s="1201"/>
      <c r="RFO223" s="1201"/>
      <c r="RFP223" s="1201"/>
      <c r="RFQ223" s="1201"/>
      <c r="RFR223" s="1201"/>
      <c r="RFS223" s="1201"/>
      <c r="RFT223" s="1201"/>
      <c r="RFU223" s="1201"/>
      <c r="RFV223" s="1201"/>
      <c r="RFW223" s="1201"/>
      <c r="RFX223" s="1201"/>
      <c r="RFY223" s="1201"/>
      <c r="RFZ223" s="1201"/>
      <c r="RGA223" s="1201"/>
      <c r="RGB223" s="1201"/>
      <c r="RGC223" s="1201"/>
      <c r="RGD223" s="1201"/>
      <c r="RGE223" s="1201"/>
      <c r="RGF223" s="1201"/>
      <c r="RGG223" s="1201"/>
      <c r="RGH223" s="1201"/>
      <c r="RGI223" s="1201"/>
      <c r="RGJ223" s="1201"/>
      <c r="RGK223" s="1201"/>
      <c r="RGL223" s="1201"/>
      <c r="RGM223" s="1201"/>
      <c r="RGN223" s="1201"/>
      <c r="RGO223" s="1201"/>
      <c r="RGP223" s="1201"/>
      <c r="RGQ223" s="1201"/>
      <c r="RGR223" s="1201"/>
      <c r="RGS223" s="1201"/>
      <c r="RGT223" s="1201"/>
      <c r="RGU223" s="1201"/>
      <c r="RGV223" s="1201"/>
      <c r="RGW223" s="1201"/>
      <c r="RGX223" s="1201"/>
      <c r="RGY223" s="1201"/>
      <c r="RGZ223" s="1201"/>
      <c r="RHA223" s="1201"/>
      <c r="RHB223" s="1201"/>
      <c r="RHC223" s="1201"/>
      <c r="RHD223" s="1201"/>
      <c r="RHE223" s="1201"/>
      <c r="RHF223" s="1201"/>
      <c r="RHG223" s="1201"/>
      <c r="RHH223" s="1201"/>
      <c r="RHI223" s="1201"/>
      <c r="RHJ223" s="1201"/>
      <c r="RHK223" s="1201"/>
      <c r="RHL223" s="1201"/>
      <c r="RHM223" s="1201"/>
      <c r="RHN223" s="1201"/>
      <c r="RHO223" s="1201"/>
      <c r="RHP223" s="1201"/>
      <c r="RHQ223" s="1201"/>
      <c r="RHR223" s="1201"/>
      <c r="RHS223" s="1201"/>
      <c r="RHT223" s="1201"/>
      <c r="RHU223" s="1201"/>
      <c r="RHV223" s="1201"/>
      <c r="RHW223" s="1201"/>
      <c r="RHX223" s="1201"/>
      <c r="RHY223" s="1201"/>
      <c r="RHZ223" s="1201"/>
      <c r="RIA223" s="1201"/>
      <c r="RIB223" s="1201"/>
      <c r="RIC223" s="1201"/>
      <c r="RID223" s="1201"/>
      <c r="RIE223" s="1201"/>
      <c r="RIF223" s="1201"/>
      <c r="RIG223" s="1201"/>
      <c r="RIH223" s="1201"/>
      <c r="RII223" s="1201"/>
      <c r="RIJ223" s="1201"/>
      <c r="RIK223" s="1201"/>
      <c r="RIL223" s="1201"/>
      <c r="RIM223" s="1201"/>
      <c r="RIN223" s="1201"/>
      <c r="RIO223" s="1201"/>
      <c r="RIP223" s="1201"/>
      <c r="RIQ223" s="1201"/>
      <c r="RIR223" s="1201"/>
      <c r="RIS223" s="1201"/>
      <c r="RIT223" s="1201"/>
      <c r="RIU223" s="1201"/>
      <c r="RIV223" s="1201"/>
      <c r="RIW223" s="1201"/>
      <c r="RIX223" s="1201"/>
      <c r="RIY223" s="1201"/>
      <c r="RIZ223" s="1201"/>
      <c r="RJA223" s="1201"/>
      <c r="RJB223" s="1201"/>
      <c r="RJC223" s="1201"/>
      <c r="RJD223" s="1201"/>
      <c r="RJE223" s="1201"/>
      <c r="RJF223" s="1201"/>
      <c r="RJG223" s="1201"/>
      <c r="RJH223" s="1201"/>
      <c r="RJI223" s="1201"/>
      <c r="RJJ223" s="1201"/>
      <c r="RJK223" s="1201"/>
      <c r="RJL223" s="1201"/>
      <c r="RJM223" s="1201"/>
      <c r="RJN223" s="1201"/>
      <c r="RJO223" s="1201"/>
      <c r="RJP223" s="1201"/>
      <c r="RJQ223" s="1201"/>
      <c r="RJR223" s="1201"/>
      <c r="RJS223" s="1201"/>
      <c r="RJT223" s="1201"/>
      <c r="RJU223" s="1201"/>
      <c r="RJV223" s="1201"/>
      <c r="RJW223" s="1201"/>
      <c r="RJX223" s="1201"/>
      <c r="RJY223" s="1201"/>
      <c r="RJZ223" s="1201"/>
      <c r="RKA223" s="1201"/>
      <c r="RKB223" s="1201"/>
      <c r="RKC223" s="1201"/>
      <c r="RKD223" s="1201"/>
      <c r="RKE223" s="1201"/>
      <c r="RKF223" s="1201"/>
      <c r="RKG223" s="1201"/>
      <c r="RKH223" s="1201"/>
      <c r="RKI223" s="1201"/>
      <c r="RKJ223" s="1201"/>
      <c r="RKK223" s="1201"/>
      <c r="RKL223" s="1201"/>
      <c r="RKM223" s="1201"/>
      <c r="RKN223" s="1201"/>
      <c r="RKO223" s="1201"/>
      <c r="RKP223" s="1201"/>
      <c r="RKQ223" s="1201"/>
      <c r="RKR223" s="1201"/>
      <c r="RKS223" s="1201"/>
      <c r="RKT223" s="1201"/>
      <c r="RKU223" s="1201"/>
      <c r="RKV223" s="1201"/>
      <c r="RKW223" s="1201"/>
      <c r="RKX223" s="1201"/>
      <c r="RKY223" s="1201"/>
      <c r="RKZ223" s="1201"/>
      <c r="RLA223" s="1201"/>
      <c r="RLB223" s="1201"/>
      <c r="RLC223" s="1201"/>
      <c r="RLD223" s="1201"/>
      <c r="RLE223" s="1201"/>
      <c r="RLF223" s="1201"/>
      <c r="RLG223" s="1201"/>
      <c r="RLH223" s="1201"/>
      <c r="RLI223" s="1201"/>
      <c r="RLJ223" s="1201"/>
      <c r="RLK223" s="1201"/>
      <c r="RLL223" s="1201"/>
      <c r="RLM223" s="1201"/>
      <c r="RLN223" s="1201"/>
      <c r="RLO223" s="1201"/>
      <c r="RLP223" s="1201"/>
      <c r="RLQ223" s="1201"/>
      <c r="RLR223" s="1201"/>
      <c r="RLS223" s="1201"/>
      <c r="RLT223" s="1201"/>
      <c r="RLU223" s="1201"/>
      <c r="RLV223" s="1201"/>
      <c r="RLW223" s="1201"/>
      <c r="RLX223" s="1201"/>
      <c r="RLY223" s="1201"/>
      <c r="RLZ223" s="1201"/>
      <c r="RMA223" s="1201"/>
      <c r="RMB223" s="1201"/>
      <c r="RMC223" s="1201"/>
      <c r="RMD223" s="1201"/>
      <c r="RME223" s="1201"/>
      <c r="RMF223" s="1201"/>
      <c r="RMG223" s="1201"/>
      <c r="RMH223" s="1201"/>
      <c r="RMI223" s="1201"/>
      <c r="RMJ223" s="1201"/>
      <c r="RMK223" s="1201"/>
      <c r="RML223" s="1201"/>
      <c r="RMM223" s="1201"/>
      <c r="RMN223" s="1201"/>
      <c r="RMO223" s="1201"/>
      <c r="RMP223" s="1201"/>
      <c r="RMQ223" s="1201"/>
      <c r="RMR223" s="1201"/>
      <c r="RMS223" s="1201"/>
      <c r="RMT223" s="1201"/>
      <c r="RMU223" s="1201"/>
      <c r="RMV223" s="1201"/>
      <c r="RMW223" s="1201"/>
      <c r="RMX223" s="1201"/>
      <c r="RMY223" s="1201"/>
      <c r="RMZ223" s="1201"/>
      <c r="RNA223" s="1201"/>
      <c r="RNB223" s="1201"/>
      <c r="RNC223" s="1201"/>
      <c r="RND223" s="1201"/>
      <c r="RNE223" s="1201"/>
      <c r="RNF223" s="1201"/>
      <c r="RNG223" s="1201"/>
      <c r="RNH223" s="1201"/>
      <c r="RNI223" s="1201"/>
      <c r="RNJ223" s="1201"/>
      <c r="RNK223" s="1201"/>
      <c r="RNL223" s="1201"/>
      <c r="RNM223" s="1201"/>
      <c r="RNN223" s="1201"/>
      <c r="RNO223" s="1201"/>
      <c r="RNP223" s="1201"/>
      <c r="RNQ223" s="1201"/>
      <c r="RNR223" s="1201"/>
      <c r="RNS223" s="1201"/>
      <c r="RNT223" s="1201"/>
      <c r="RNU223" s="1201"/>
      <c r="RNV223" s="1201"/>
      <c r="RNW223" s="1201"/>
      <c r="RNX223" s="1201"/>
      <c r="RNY223" s="1201"/>
      <c r="RNZ223" s="1201"/>
      <c r="ROA223" s="1201"/>
      <c r="ROB223" s="1201"/>
      <c r="ROC223" s="1201"/>
      <c r="ROD223" s="1201"/>
      <c r="ROE223" s="1201"/>
      <c r="ROF223" s="1201"/>
      <c r="ROG223" s="1201"/>
      <c r="ROH223" s="1201"/>
      <c r="ROI223" s="1201"/>
      <c r="ROJ223" s="1201"/>
      <c r="ROK223" s="1201"/>
      <c r="ROL223" s="1201"/>
      <c r="ROM223" s="1201"/>
      <c r="RON223" s="1201"/>
      <c r="ROO223" s="1201"/>
      <c r="ROP223" s="1201"/>
      <c r="ROQ223" s="1201"/>
      <c r="ROR223" s="1201"/>
      <c r="ROS223" s="1201"/>
      <c r="ROT223" s="1201"/>
      <c r="ROU223" s="1201"/>
      <c r="ROV223" s="1201"/>
      <c r="ROW223" s="1201"/>
      <c r="ROX223" s="1201"/>
      <c r="ROY223" s="1201"/>
      <c r="ROZ223" s="1201"/>
      <c r="RPA223" s="1201"/>
      <c r="RPB223" s="1201"/>
      <c r="RPC223" s="1201"/>
      <c r="RPD223" s="1201"/>
      <c r="RPE223" s="1201"/>
      <c r="RPF223" s="1201"/>
      <c r="RPG223" s="1201"/>
      <c r="RPH223" s="1201"/>
      <c r="RPI223" s="1201"/>
      <c r="RPJ223" s="1201"/>
      <c r="RPK223" s="1201"/>
      <c r="RPL223" s="1201"/>
      <c r="RPM223" s="1201"/>
      <c r="RPN223" s="1201"/>
      <c r="RPO223" s="1201"/>
      <c r="RPP223" s="1201"/>
      <c r="RPQ223" s="1201"/>
      <c r="RPR223" s="1201"/>
      <c r="RPS223" s="1201"/>
      <c r="RPT223" s="1201"/>
      <c r="RPU223" s="1201"/>
      <c r="RPV223" s="1201"/>
      <c r="RPW223" s="1201"/>
      <c r="RPX223" s="1201"/>
      <c r="RPY223" s="1201"/>
      <c r="RPZ223" s="1201"/>
      <c r="RQA223" s="1201"/>
      <c r="RQB223" s="1201"/>
      <c r="RQC223" s="1201"/>
      <c r="RQD223" s="1201"/>
      <c r="RQE223" s="1201"/>
      <c r="RQF223" s="1201"/>
      <c r="RQG223" s="1201"/>
      <c r="RQH223" s="1201"/>
      <c r="RQI223" s="1201"/>
      <c r="RQJ223" s="1201"/>
      <c r="RQK223" s="1201"/>
      <c r="RQL223" s="1201"/>
      <c r="RQM223" s="1201"/>
      <c r="RQN223" s="1201"/>
      <c r="RQO223" s="1201"/>
      <c r="RQP223" s="1201"/>
      <c r="RQQ223" s="1201"/>
      <c r="RQR223" s="1201"/>
      <c r="RQS223" s="1201"/>
      <c r="RQT223" s="1201"/>
      <c r="RQU223" s="1201"/>
      <c r="RQV223" s="1201"/>
      <c r="RQW223" s="1201"/>
      <c r="RQX223" s="1201"/>
      <c r="RQY223" s="1201"/>
      <c r="RQZ223" s="1201"/>
      <c r="RRA223" s="1201"/>
      <c r="RRB223" s="1201"/>
      <c r="RRC223" s="1201"/>
      <c r="RRD223" s="1201"/>
      <c r="RRE223" s="1201"/>
      <c r="RRF223" s="1201"/>
      <c r="RRG223" s="1201"/>
      <c r="RRH223" s="1201"/>
      <c r="RRI223" s="1201"/>
      <c r="RRJ223" s="1201"/>
      <c r="RRK223" s="1201"/>
      <c r="RRL223" s="1201"/>
      <c r="RRM223" s="1201"/>
      <c r="RRN223" s="1201"/>
      <c r="RRO223" s="1201"/>
      <c r="RRP223" s="1201"/>
      <c r="RRQ223" s="1201"/>
      <c r="RRR223" s="1201"/>
      <c r="RRS223" s="1201"/>
      <c r="RRT223" s="1201"/>
      <c r="RRU223" s="1201"/>
      <c r="RRV223" s="1201"/>
      <c r="RRW223" s="1201"/>
      <c r="RRX223" s="1201"/>
      <c r="RRY223" s="1201"/>
      <c r="RRZ223" s="1201"/>
      <c r="RSA223" s="1201"/>
      <c r="RSB223" s="1201"/>
      <c r="RSC223" s="1201"/>
      <c r="RSD223" s="1201"/>
      <c r="RSE223" s="1201"/>
      <c r="RSF223" s="1201"/>
      <c r="RSG223" s="1201"/>
      <c r="RSH223" s="1201"/>
      <c r="RSI223" s="1201"/>
      <c r="RSJ223" s="1201"/>
      <c r="RSK223" s="1201"/>
      <c r="RSL223" s="1201"/>
      <c r="RSM223" s="1201"/>
      <c r="RSN223" s="1201"/>
      <c r="RSO223" s="1201"/>
      <c r="RSP223" s="1201"/>
      <c r="RSQ223" s="1201"/>
      <c r="RSR223" s="1201"/>
      <c r="RSS223" s="1201"/>
      <c r="RST223" s="1201"/>
      <c r="RSU223" s="1201"/>
      <c r="RSV223" s="1201"/>
      <c r="RSW223" s="1201"/>
      <c r="RSX223" s="1201"/>
      <c r="RSY223" s="1201"/>
      <c r="RSZ223" s="1201"/>
      <c r="RTA223" s="1201"/>
      <c r="RTB223" s="1201"/>
      <c r="RTC223" s="1201"/>
      <c r="RTD223" s="1201"/>
      <c r="RTE223" s="1201"/>
      <c r="RTF223" s="1201"/>
      <c r="RTG223" s="1201"/>
      <c r="RTH223" s="1201"/>
      <c r="RTI223" s="1201"/>
      <c r="RTJ223" s="1201"/>
      <c r="RTK223" s="1201"/>
      <c r="RTL223" s="1201"/>
      <c r="RTM223" s="1201"/>
      <c r="RTN223" s="1201"/>
      <c r="RTO223" s="1201"/>
      <c r="RTP223" s="1201"/>
      <c r="RTQ223" s="1201"/>
      <c r="RTR223" s="1201"/>
      <c r="RTS223" s="1201"/>
      <c r="RTT223" s="1201"/>
      <c r="RTU223" s="1201"/>
      <c r="RTV223" s="1201"/>
      <c r="RTW223" s="1201"/>
      <c r="RTX223" s="1201"/>
      <c r="RTY223" s="1201"/>
      <c r="RTZ223" s="1201"/>
      <c r="RUA223" s="1201"/>
      <c r="RUB223" s="1201"/>
      <c r="RUC223" s="1201"/>
      <c r="RUD223" s="1201"/>
      <c r="RUE223" s="1201"/>
      <c r="RUF223" s="1201"/>
      <c r="RUG223" s="1201"/>
      <c r="RUH223" s="1201"/>
      <c r="RUI223" s="1201"/>
      <c r="RUJ223" s="1201"/>
      <c r="RUK223" s="1201"/>
      <c r="RUL223" s="1201"/>
      <c r="RUM223" s="1201"/>
      <c r="RUN223" s="1201"/>
      <c r="RUO223" s="1201"/>
      <c r="RUP223" s="1201"/>
      <c r="RUQ223" s="1201"/>
      <c r="RUR223" s="1201"/>
      <c r="RUS223" s="1201"/>
      <c r="RUT223" s="1201"/>
      <c r="RUU223" s="1201"/>
      <c r="RUV223" s="1201"/>
      <c r="RUW223" s="1201"/>
      <c r="RUX223" s="1201"/>
      <c r="RUY223" s="1201"/>
      <c r="RUZ223" s="1201"/>
      <c r="RVA223" s="1201"/>
      <c r="RVB223" s="1201"/>
      <c r="RVC223" s="1201"/>
      <c r="RVD223" s="1201"/>
      <c r="RVE223" s="1201"/>
      <c r="RVF223" s="1201"/>
      <c r="RVG223" s="1201"/>
      <c r="RVH223" s="1201"/>
      <c r="RVI223" s="1201"/>
      <c r="RVJ223" s="1201"/>
      <c r="RVK223" s="1201"/>
      <c r="RVL223" s="1201"/>
      <c r="RVM223" s="1201"/>
      <c r="RVN223" s="1201"/>
      <c r="RVO223" s="1201"/>
      <c r="RVP223" s="1201"/>
      <c r="RVQ223" s="1201"/>
      <c r="RVR223" s="1201"/>
      <c r="RVS223" s="1201"/>
      <c r="RVT223" s="1201"/>
      <c r="RVU223" s="1201"/>
      <c r="RVV223" s="1201"/>
      <c r="RVW223" s="1201"/>
      <c r="RVX223" s="1201"/>
      <c r="RVY223" s="1201"/>
      <c r="RVZ223" s="1201"/>
      <c r="RWA223" s="1201"/>
      <c r="RWB223" s="1201"/>
      <c r="RWC223" s="1201"/>
      <c r="RWD223" s="1201"/>
      <c r="RWE223" s="1201"/>
      <c r="RWF223" s="1201"/>
      <c r="RWG223" s="1201"/>
      <c r="RWH223" s="1201"/>
      <c r="RWI223" s="1201"/>
      <c r="RWJ223" s="1201"/>
      <c r="RWK223" s="1201"/>
      <c r="RWL223" s="1201"/>
      <c r="RWM223" s="1201"/>
      <c r="RWN223" s="1201"/>
      <c r="RWO223" s="1201"/>
      <c r="RWP223" s="1201"/>
      <c r="RWQ223" s="1201"/>
      <c r="RWR223" s="1201"/>
      <c r="RWS223" s="1201"/>
      <c r="RWT223" s="1201"/>
      <c r="RWU223" s="1201"/>
      <c r="RWV223" s="1201"/>
      <c r="RWW223" s="1201"/>
      <c r="RWX223" s="1201"/>
      <c r="RWY223" s="1201"/>
      <c r="RWZ223" s="1201"/>
      <c r="RXA223" s="1201"/>
      <c r="RXB223" s="1201"/>
      <c r="RXC223" s="1201"/>
      <c r="RXD223" s="1201"/>
      <c r="RXE223" s="1201"/>
      <c r="RXF223" s="1201"/>
      <c r="RXG223" s="1201"/>
      <c r="RXH223" s="1201"/>
      <c r="RXI223" s="1201"/>
      <c r="RXJ223" s="1201"/>
      <c r="RXK223" s="1201"/>
      <c r="RXL223" s="1201"/>
      <c r="RXM223" s="1201"/>
      <c r="RXN223" s="1201"/>
      <c r="RXO223" s="1201"/>
      <c r="RXP223" s="1201"/>
      <c r="RXQ223" s="1201"/>
      <c r="RXR223" s="1201"/>
      <c r="RXS223" s="1201"/>
      <c r="RXT223" s="1201"/>
      <c r="RXU223" s="1201"/>
      <c r="RXV223" s="1201"/>
      <c r="RXW223" s="1201"/>
      <c r="RXX223" s="1201"/>
      <c r="RXY223" s="1201"/>
      <c r="RXZ223" s="1201"/>
      <c r="RYA223" s="1201"/>
      <c r="RYB223" s="1201"/>
      <c r="RYC223" s="1201"/>
      <c r="RYD223" s="1201"/>
      <c r="RYE223" s="1201"/>
      <c r="RYF223" s="1201"/>
      <c r="RYG223" s="1201"/>
      <c r="RYH223" s="1201"/>
      <c r="RYI223" s="1201"/>
      <c r="RYJ223" s="1201"/>
      <c r="RYK223" s="1201"/>
      <c r="RYL223" s="1201"/>
      <c r="RYM223" s="1201"/>
      <c r="RYN223" s="1201"/>
      <c r="RYO223" s="1201"/>
      <c r="RYP223" s="1201"/>
      <c r="RYQ223" s="1201"/>
      <c r="RYR223" s="1201"/>
      <c r="RYS223" s="1201"/>
      <c r="RYT223" s="1201"/>
      <c r="RYU223" s="1201"/>
      <c r="RYV223" s="1201"/>
      <c r="RYW223" s="1201"/>
      <c r="RYX223" s="1201"/>
      <c r="RYY223" s="1201"/>
      <c r="RYZ223" s="1201"/>
      <c r="RZA223" s="1201"/>
      <c r="RZB223" s="1201"/>
      <c r="RZC223" s="1201"/>
      <c r="RZD223" s="1201"/>
      <c r="RZE223" s="1201"/>
      <c r="RZF223" s="1201"/>
      <c r="RZG223" s="1201"/>
      <c r="RZH223" s="1201"/>
      <c r="RZI223" s="1201"/>
      <c r="RZJ223" s="1201"/>
      <c r="RZK223" s="1201"/>
      <c r="RZL223" s="1201"/>
      <c r="RZM223" s="1201"/>
      <c r="RZN223" s="1201"/>
      <c r="RZO223" s="1201"/>
      <c r="RZP223" s="1201"/>
      <c r="RZQ223" s="1201"/>
      <c r="RZR223" s="1201"/>
      <c r="RZS223" s="1201"/>
      <c r="RZT223" s="1201"/>
      <c r="RZU223" s="1201"/>
      <c r="RZV223" s="1201"/>
      <c r="RZW223" s="1201"/>
      <c r="RZX223" s="1201"/>
      <c r="RZY223" s="1201"/>
      <c r="RZZ223" s="1201"/>
      <c r="SAA223" s="1201"/>
      <c r="SAB223" s="1201"/>
      <c r="SAC223" s="1201"/>
      <c r="SAD223" s="1201"/>
      <c r="SAE223" s="1201"/>
      <c r="SAF223" s="1201"/>
      <c r="SAG223" s="1201"/>
      <c r="SAH223" s="1201"/>
      <c r="SAI223" s="1201"/>
      <c r="SAJ223" s="1201"/>
      <c r="SAK223" s="1201"/>
      <c r="SAL223" s="1201"/>
      <c r="SAM223" s="1201"/>
      <c r="SAN223" s="1201"/>
      <c r="SAO223" s="1201"/>
      <c r="SAP223" s="1201"/>
      <c r="SAQ223" s="1201"/>
      <c r="SAR223" s="1201"/>
      <c r="SAS223" s="1201"/>
      <c r="SAT223" s="1201"/>
      <c r="SAU223" s="1201"/>
      <c r="SAV223" s="1201"/>
      <c r="SAW223" s="1201"/>
      <c r="SAX223" s="1201"/>
      <c r="SAY223" s="1201"/>
      <c r="SAZ223" s="1201"/>
      <c r="SBA223" s="1201"/>
      <c r="SBB223" s="1201"/>
      <c r="SBC223" s="1201"/>
      <c r="SBD223" s="1201"/>
      <c r="SBE223" s="1201"/>
      <c r="SBF223" s="1201"/>
      <c r="SBG223" s="1201"/>
      <c r="SBH223" s="1201"/>
      <c r="SBI223" s="1201"/>
      <c r="SBJ223" s="1201"/>
      <c r="SBK223" s="1201"/>
      <c r="SBL223" s="1201"/>
      <c r="SBM223" s="1201"/>
      <c r="SBN223" s="1201"/>
      <c r="SBO223" s="1201"/>
      <c r="SBP223" s="1201"/>
      <c r="SBQ223" s="1201"/>
      <c r="SBR223" s="1201"/>
      <c r="SBS223" s="1201"/>
      <c r="SBT223" s="1201"/>
      <c r="SBU223" s="1201"/>
      <c r="SBV223" s="1201"/>
      <c r="SBW223" s="1201"/>
      <c r="SBX223" s="1201"/>
      <c r="SBY223" s="1201"/>
      <c r="SBZ223" s="1201"/>
      <c r="SCA223" s="1201"/>
      <c r="SCB223" s="1201"/>
      <c r="SCC223" s="1201"/>
      <c r="SCD223" s="1201"/>
      <c r="SCE223" s="1201"/>
      <c r="SCF223" s="1201"/>
      <c r="SCG223" s="1201"/>
      <c r="SCH223" s="1201"/>
      <c r="SCI223" s="1201"/>
      <c r="SCJ223" s="1201"/>
      <c r="SCK223" s="1201"/>
      <c r="SCL223" s="1201"/>
      <c r="SCM223" s="1201"/>
      <c r="SCN223" s="1201"/>
      <c r="SCO223" s="1201"/>
      <c r="SCP223" s="1201"/>
      <c r="SCQ223" s="1201"/>
      <c r="SCR223" s="1201"/>
      <c r="SCS223" s="1201"/>
      <c r="SCT223" s="1201"/>
      <c r="SCU223" s="1201"/>
      <c r="SCV223" s="1201"/>
      <c r="SCW223" s="1201"/>
      <c r="SCX223" s="1201"/>
      <c r="SCY223" s="1201"/>
      <c r="SCZ223" s="1201"/>
      <c r="SDA223" s="1201"/>
      <c r="SDB223" s="1201"/>
      <c r="SDC223" s="1201"/>
      <c r="SDD223" s="1201"/>
      <c r="SDE223" s="1201"/>
      <c r="SDF223" s="1201"/>
      <c r="SDG223" s="1201"/>
      <c r="SDH223" s="1201"/>
      <c r="SDI223" s="1201"/>
      <c r="SDJ223" s="1201"/>
      <c r="SDK223" s="1201"/>
      <c r="SDL223" s="1201"/>
      <c r="SDM223" s="1201"/>
      <c r="SDN223" s="1201"/>
      <c r="SDO223" s="1201"/>
      <c r="SDP223" s="1201"/>
      <c r="SDQ223" s="1201"/>
      <c r="SDR223" s="1201"/>
      <c r="SDS223" s="1201"/>
      <c r="SDT223" s="1201"/>
      <c r="SDU223" s="1201"/>
      <c r="SDV223" s="1201"/>
      <c r="SDW223" s="1201"/>
      <c r="SDX223" s="1201"/>
      <c r="SDY223" s="1201"/>
      <c r="SDZ223" s="1201"/>
      <c r="SEA223" s="1201"/>
      <c r="SEB223" s="1201"/>
      <c r="SEC223" s="1201"/>
      <c r="SED223" s="1201"/>
      <c r="SEE223" s="1201"/>
      <c r="SEF223" s="1201"/>
      <c r="SEG223" s="1201"/>
      <c r="SEH223" s="1201"/>
      <c r="SEI223" s="1201"/>
      <c r="SEJ223" s="1201"/>
      <c r="SEK223" s="1201"/>
      <c r="SEL223" s="1201"/>
      <c r="SEM223" s="1201"/>
      <c r="SEN223" s="1201"/>
      <c r="SEO223" s="1201"/>
      <c r="SEP223" s="1201"/>
      <c r="SEQ223" s="1201"/>
      <c r="SER223" s="1201"/>
      <c r="SES223" s="1201"/>
      <c r="SET223" s="1201"/>
      <c r="SEU223" s="1201"/>
      <c r="SEV223" s="1201"/>
      <c r="SEW223" s="1201"/>
      <c r="SEX223" s="1201"/>
      <c r="SEY223" s="1201"/>
      <c r="SEZ223" s="1201"/>
      <c r="SFA223" s="1201"/>
      <c r="SFB223" s="1201"/>
      <c r="SFC223" s="1201"/>
      <c r="SFD223" s="1201"/>
      <c r="SFE223" s="1201"/>
      <c r="SFF223" s="1201"/>
      <c r="SFG223" s="1201"/>
      <c r="SFH223" s="1201"/>
      <c r="SFI223" s="1201"/>
      <c r="SFJ223" s="1201"/>
      <c r="SFK223" s="1201"/>
      <c r="SFL223" s="1201"/>
      <c r="SFM223" s="1201"/>
      <c r="SFN223" s="1201"/>
      <c r="SFO223" s="1201"/>
      <c r="SFP223" s="1201"/>
      <c r="SFQ223" s="1201"/>
      <c r="SFR223" s="1201"/>
      <c r="SFS223" s="1201"/>
      <c r="SFT223" s="1201"/>
      <c r="SFU223" s="1201"/>
      <c r="SFV223" s="1201"/>
      <c r="SFW223" s="1201"/>
      <c r="SFX223" s="1201"/>
      <c r="SFY223" s="1201"/>
      <c r="SFZ223" s="1201"/>
      <c r="SGA223" s="1201"/>
      <c r="SGB223" s="1201"/>
      <c r="SGC223" s="1201"/>
      <c r="SGD223" s="1201"/>
      <c r="SGE223" s="1201"/>
      <c r="SGF223" s="1201"/>
      <c r="SGG223" s="1201"/>
      <c r="SGH223" s="1201"/>
      <c r="SGI223" s="1201"/>
      <c r="SGJ223" s="1201"/>
      <c r="SGK223" s="1201"/>
      <c r="SGL223" s="1201"/>
      <c r="SGM223" s="1201"/>
      <c r="SGN223" s="1201"/>
      <c r="SGO223" s="1201"/>
      <c r="SGP223" s="1201"/>
      <c r="SGQ223" s="1201"/>
      <c r="SGR223" s="1201"/>
      <c r="SGS223" s="1201"/>
      <c r="SGT223" s="1201"/>
      <c r="SGU223" s="1201"/>
      <c r="SGV223" s="1201"/>
      <c r="SGW223" s="1201"/>
      <c r="SGX223" s="1201"/>
      <c r="SGY223" s="1201"/>
      <c r="SGZ223" s="1201"/>
      <c r="SHA223" s="1201"/>
      <c r="SHB223" s="1201"/>
      <c r="SHC223" s="1201"/>
      <c r="SHD223" s="1201"/>
      <c r="SHE223" s="1201"/>
      <c r="SHF223" s="1201"/>
      <c r="SHG223" s="1201"/>
      <c r="SHH223" s="1201"/>
      <c r="SHI223" s="1201"/>
      <c r="SHJ223" s="1201"/>
      <c r="SHK223" s="1201"/>
      <c r="SHL223" s="1201"/>
      <c r="SHM223" s="1201"/>
      <c r="SHN223" s="1201"/>
      <c r="SHO223" s="1201"/>
      <c r="SHP223" s="1201"/>
      <c r="SHQ223" s="1201"/>
      <c r="SHR223" s="1201"/>
      <c r="SHS223" s="1201"/>
      <c r="SHT223" s="1201"/>
      <c r="SHU223" s="1201"/>
      <c r="SHV223" s="1201"/>
      <c r="SHW223" s="1201"/>
      <c r="SHX223" s="1201"/>
      <c r="SHY223" s="1201"/>
      <c r="SHZ223" s="1201"/>
      <c r="SIA223" s="1201"/>
      <c r="SIB223" s="1201"/>
      <c r="SIC223" s="1201"/>
      <c r="SID223" s="1201"/>
      <c r="SIE223" s="1201"/>
      <c r="SIF223" s="1201"/>
      <c r="SIG223" s="1201"/>
      <c r="SIH223" s="1201"/>
      <c r="SII223" s="1201"/>
      <c r="SIJ223" s="1201"/>
      <c r="SIK223" s="1201"/>
      <c r="SIL223" s="1201"/>
      <c r="SIM223" s="1201"/>
      <c r="SIN223" s="1201"/>
      <c r="SIO223" s="1201"/>
      <c r="SIP223" s="1201"/>
      <c r="SIQ223" s="1201"/>
      <c r="SIR223" s="1201"/>
      <c r="SIS223" s="1201"/>
      <c r="SIT223" s="1201"/>
      <c r="SIU223" s="1201"/>
      <c r="SIV223" s="1201"/>
      <c r="SIW223" s="1201"/>
      <c r="SIX223" s="1201"/>
      <c r="SIY223" s="1201"/>
      <c r="SIZ223" s="1201"/>
      <c r="SJA223" s="1201"/>
      <c r="SJB223" s="1201"/>
      <c r="SJC223" s="1201"/>
      <c r="SJD223" s="1201"/>
      <c r="SJE223" s="1201"/>
      <c r="SJF223" s="1201"/>
      <c r="SJG223" s="1201"/>
      <c r="SJH223" s="1201"/>
      <c r="SJI223" s="1201"/>
      <c r="SJJ223" s="1201"/>
      <c r="SJK223" s="1201"/>
      <c r="SJL223" s="1201"/>
      <c r="SJM223" s="1201"/>
      <c r="SJN223" s="1201"/>
      <c r="SJO223" s="1201"/>
      <c r="SJP223" s="1201"/>
      <c r="SJQ223" s="1201"/>
      <c r="SJR223" s="1201"/>
      <c r="SJS223" s="1201"/>
      <c r="SJT223" s="1201"/>
      <c r="SJU223" s="1201"/>
      <c r="SJV223" s="1201"/>
      <c r="SJW223" s="1201"/>
      <c r="SJX223" s="1201"/>
      <c r="SJY223" s="1201"/>
      <c r="SJZ223" s="1201"/>
      <c r="SKA223" s="1201"/>
      <c r="SKB223" s="1201"/>
      <c r="SKC223" s="1201"/>
      <c r="SKD223" s="1201"/>
      <c r="SKE223" s="1201"/>
      <c r="SKF223" s="1201"/>
      <c r="SKG223" s="1201"/>
      <c r="SKH223" s="1201"/>
      <c r="SKI223" s="1201"/>
      <c r="SKJ223" s="1201"/>
      <c r="SKK223" s="1201"/>
      <c r="SKL223" s="1201"/>
      <c r="SKM223" s="1201"/>
      <c r="SKN223" s="1201"/>
      <c r="SKO223" s="1201"/>
      <c r="SKP223" s="1201"/>
      <c r="SKQ223" s="1201"/>
      <c r="SKR223" s="1201"/>
      <c r="SKS223" s="1201"/>
      <c r="SKT223" s="1201"/>
      <c r="SKU223" s="1201"/>
      <c r="SKV223" s="1201"/>
      <c r="SKW223" s="1201"/>
      <c r="SKX223" s="1201"/>
      <c r="SKY223" s="1201"/>
      <c r="SKZ223" s="1201"/>
      <c r="SLA223" s="1201"/>
      <c r="SLB223" s="1201"/>
      <c r="SLC223" s="1201"/>
      <c r="SLD223" s="1201"/>
      <c r="SLE223" s="1201"/>
      <c r="SLF223" s="1201"/>
      <c r="SLG223" s="1201"/>
      <c r="SLH223" s="1201"/>
      <c r="SLI223" s="1201"/>
      <c r="SLJ223" s="1201"/>
      <c r="SLK223" s="1201"/>
      <c r="SLL223" s="1201"/>
      <c r="SLM223" s="1201"/>
      <c r="SLN223" s="1201"/>
      <c r="SLO223" s="1201"/>
      <c r="SLP223" s="1201"/>
      <c r="SLQ223" s="1201"/>
      <c r="SLR223" s="1201"/>
      <c r="SLS223" s="1201"/>
      <c r="SLT223" s="1201"/>
      <c r="SLU223" s="1201"/>
      <c r="SLV223" s="1201"/>
      <c r="SLW223" s="1201"/>
      <c r="SLX223" s="1201"/>
      <c r="SLY223" s="1201"/>
      <c r="SLZ223" s="1201"/>
      <c r="SMA223" s="1201"/>
      <c r="SMB223" s="1201"/>
      <c r="SMC223" s="1201"/>
      <c r="SMD223" s="1201"/>
      <c r="SME223" s="1201"/>
      <c r="SMF223" s="1201"/>
      <c r="SMG223" s="1201"/>
      <c r="SMH223" s="1201"/>
      <c r="SMI223" s="1201"/>
      <c r="SMJ223" s="1201"/>
      <c r="SMK223" s="1201"/>
      <c r="SML223" s="1201"/>
      <c r="SMM223" s="1201"/>
      <c r="SMN223" s="1201"/>
      <c r="SMO223" s="1201"/>
      <c r="SMP223" s="1201"/>
      <c r="SMQ223" s="1201"/>
      <c r="SMR223" s="1201"/>
      <c r="SMS223" s="1201"/>
      <c r="SMT223" s="1201"/>
      <c r="SMU223" s="1201"/>
      <c r="SMV223" s="1201"/>
      <c r="SMW223" s="1201"/>
      <c r="SMX223" s="1201"/>
      <c r="SMY223" s="1201"/>
      <c r="SMZ223" s="1201"/>
      <c r="SNA223" s="1201"/>
      <c r="SNB223" s="1201"/>
      <c r="SNC223" s="1201"/>
      <c r="SND223" s="1201"/>
      <c r="SNE223" s="1201"/>
      <c r="SNF223" s="1201"/>
      <c r="SNG223" s="1201"/>
      <c r="SNH223" s="1201"/>
      <c r="SNI223" s="1201"/>
      <c r="SNJ223" s="1201"/>
      <c r="SNK223" s="1201"/>
      <c r="SNL223" s="1201"/>
      <c r="SNM223" s="1201"/>
      <c r="SNN223" s="1201"/>
      <c r="SNO223" s="1201"/>
      <c r="SNP223" s="1201"/>
      <c r="SNQ223" s="1201"/>
      <c r="SNR223" s="1201"/>
      <c r="SNS223" s="1201"/>
      <c r="SNT223" s="1201"/>
      <c r="SNU223" s="1201"/>
      <c r="SNV223" s="1201"/>
      <c r="SNW223" s="1201"/>
      <c r="SNX223" s="1201"/>
      <c r="SNY223" s="1201"/>
      <c r="SNZ223" s="1201"/>
      <c r="SOA223" s="1201"/>
      <c r="SOB223" s="1201"/>
      <c r="SOC223" s="1201"/>
      <c r="SOD223" s="1201"/>
      <c r="SOE223" s="1201"/>
      <c r="SOF223" s="1201"/>
      <c r="SOG223" s="1201"/>
      <c r="SOH223" s="1201"/>
      <c r="SOI223" s="1201"/>
      <c r="SOJ223" s="1201"/>
      <c r="SOK223" s="1201"/>
      <c r="SOL223" s="1201"/>
      <c r="SOM223" s="1201"/>
      <c r="SON223" s="1201"/>
      <c r="SOO223" s="1201"/>
      <c r="SOP223" s="1201"/>
      <c r="SOQ223" s="1201"/>
      <c r="SOR223" s="1201"/>
      <c r="SOS223" s="1201"/>
      <c r="SOT223" s="1201"/>
      <c r="SOU223" s="1201"/>
      <c r="SOV223" s="1201"/>
      <c r="SOW223" s="1201"/>
      <c r="SOX223" s="1201"/>
      <c r="SOY223" s="1201"/>
      <c r="SOZ223" s="1201"/>
      <c r="SPA223" s="1201"/>
      <c r="SPB223" s="1201"/>
      <c r="SPC223" s="1201"/>
      <c r="SPD223" s="1201"/>
      <c r="SPE223" s="1201"/>
      <c r="SPF223" s="1201"/>
      <c r="SPG223" s="1201"/>
      <c r="SPH223" s="1201"/>
      <c r="SPI223" s="1201"/>
      <c r="SPJ223" s="1201"/>
      <c r="SPK223" s="1201"/>
      <c r="SPL223" s="1201"/>
      <c r="SPM223" s="1201"/>
      <c r="SPN223" s="1201"/>
      <c r="SPO223" s="1201"/>
      <c r="SPP223" s="1201"/>
      <c r="SPQ223" s="1201"/>
      <c r="SPR223" s="1201"/>
      <c r="SPS223" s="1201"/>
      <c r="SPT223" s="1201"/>
      <c r="SPU223" s="1201"/>
      <c r="SPV223" s="1201"/>
      <c r="SPW223" s="1201"/>
      <c r="SPX223" s="1201"/>
      <c r="SPY223" s="1201"/>
      <c r="SPZ223" s="1201"/>
      <c r="SQA223" s="1201"/>
      <c r="SQB223" s="1201"/>
      <c r="SQC223" s="1201"/>
      <c r="SQD223" s="1201"/>
      <c r="SQE223" s="1201"/>
      <c r="SQF223" s="1201"/>
      <c r="SQG223" s="1201"/>
      <c r="SQH223" s="1201"/>
      <c r="SQI223" s="1201"/>
      <c r="SQJ223" s="1201"/>
      <c r="SQK223" s="1201"/>
      <c r="SQL223" s="1201"/>
      <c r="SQM223" s="1201"/>
      <c r="SQN223" s="1201"/>
      <c r="SQO223" s="1201"/>
      <c r="SQP223" s="1201"/>
      <c r="SQQ223" s="1201"/>
      <c r="SQR223" s="1201"/>
      <c r="SQS223" s="1201"/>
      <c r="SQT223" s="1201"/>
      <c r="SQU223" s="1201"/>
      <c r="SQV223" s="1201"/>
      <c r="SQW223" s="1201"/>
      <c r="SQX223" s="1201"/>
      <c r="SQY223" s="1201"/>
      <c r="SQZ223" s="1201"/>
      <c r="SRA223" s="1201"/>
      <c r="SRB223" s="1201"/>
      <c r="SRC223" s="1201"/>
      <c r="SRD223" s="1201"/>
      <c r="SRE223" s="1201"/>
      <c r="SRF223" s="1201"/>
      <c r="SRG223" s="1201"/>
      <c r="SRH223" s="1201"/>
      <c r="SRI223" s="1201"/>
      <c r="SRJ223" s="1201"/>
      <c r="SRK223" s="1201"/>
      <c r="SRL223" s="1201"/>
      <c r="SRM223" s="1201"/>
      <c r="SRN223" s="1201"/>
      <c r="SRO223" s="1201"/>
      <c r="SRP223" s="1201"/>
      <c r="SRQ223" s="1201"/>
      <c r="SRR223" s="1201"/>
      <c r="SRS223" s="1201"/>
      <c r="SRT223" s="1201"/>
      <c r="SRU223" s="1201"/>
      <c r="SRV223" s="1201"/>
      <c r="SRW223" s="1201"/>
      <c r="SRX223" s="1201"/>
      <c r="SRY223" s="1201"/>
      <c r="SRZ223" s="1201"/>
      <c r="SSA223" s="1201"/>
      <c r="SSB223" s="1201"/>
      <c r="SSC223" s="1201"/>
      <c r="SSD223" s="1201"/>
      <c r="SSE223" s="1201"/>
      <c r="SSF223" s="1201"/>
      <c r="SSG223" s="1201"/>
      <c r="SSH223" s="1201"/>
      <c r="SSI223" s="1201"/>
      <c r="SSJ223" s="1201"/>
      <c r="SSK223" s="1201"/>
      <c r="SSL223" s="1201"/>
      <c r="SSM223" s="1201"/>
      <c r="SSN223" s="1201"/>
      <c r="SSO223" s="1201"/>
      <c r="SSP223" s="1201"/>
      <c r="SSQ223" s="1201"/>
      <c r="SSR223" s="1201"/>
      <c r="SSS223" s="1201"/>
      <c r="SST223" s="1201"/>
      <c r="SSU223" s="1201"/>
      <c r="SSV223" s="1201"/>
      <c r="SSW223" s="1201"/>
      <c r="SSX223" s="1201"/>
      <c r="SSY223" s="1201"/>
      <c r="SSZ223" s="1201"/>
      <c r="STA223" s="1201"/>
      <c r="STB223" s="1201"/>
      <c r="STC223" s="1201"/>
      <c r="STD223" s="1201"/>
      <c r="STE223" s="1201"/>
      <c r="STF223" s="1201"/>
      <c r="STG223" s="1201"/>
      <c r="STH223" s="1201"/>
      <c r="STI223" s="1201"/>
      <c r="STJ223" s="1201"/>
      <c r="STK223" s="1201"/>
      <c r="STL223" s="1201"/>
      <c r="STM223" s="1201"/>
      <c r="STN223" s="1201"/>
      <c r="STO223" s="1201"/>
      <c r="STP223" s="1201"/>
      <c r="STQ223" s="1201"/>
      <c r="STR223" s="1201"/>
      <c r="STS223" s="1201"/>
      <c r="STT223" s="1201"/>
      <c r="STU223" s="1201"/>
      <c r="STV223" s="1201"/>
      <c r="STW223" s="1201"/>
      <c r="STX223" s="1201"/>
      <c r="STY223" s="1201"/>
      <c r="STZ223" s="1201"/>
      <c r="SUA223" s="1201"/>
      <c r="SUB223" s="1201"/>
      <c r="SUC223" s="1201"/>
      <c r="SUD223" s="1201"/>
      <c r="SUE223" s="1201"/>
      <c r="SUF223" s="1201"/>
      <c r="SUG223" s="1201"/>
      <c r="SUH223" s="1201"/>
      <c r="SUI223" s="1201"/>
      <c r="SUJ223" s="1201"/>
      <c r="SUK223" s="1201"/>
      <c r="SUL223" s="1201"/>
      <c r="SUM223" s="1201"/>
      <c r="SUN223" s="1201"/>
      <c r="SUO223" s="1201"/>
      <c r="SUP223" s="1201"/>
      <c r="SUQ223" s="1201"/>
      <c r="SUR223" s="1201"/>
      <c r="SUS223" s="1201"/>
      <c r="SUT223" s="1201"/>
      <c r="SUU223" s="1201"/>
      <c r="SUV223" s="1201"/>
      <c r="SUW223" s="1201"/>
      <c r="SUX223" s="1201"/>
      <c r="SUY223" s="1201"/>
      <c r="SUZ223" s="1201"/>
      <c r="SVA223" s="1201"/>
      <c r="SVB223" s="1201"/>
      <c r="SVC223" s="1201"/>
      <c r="SVD223" s="1201"/>
      <c r="SVE223" s="1201"/>
      <c r="SVF223" s="1201"/>
      <c r="SVG223" s="1201"/>
      <c r="SVH223" s="1201"/>
      <c r="SVI223" s="1201"/>
      <c r="SVJ223" s="1201"/>
      <c r="SVK223" s="1201"/>
      <c r="SVL223" s="1201"/>
      <c r="SVM223" s="1201"/>
      <c r="SVN223" s="1201"/>
      <c r="SVO223" s="1201"/>
      <c r="SVP223" s="1201"/>
      <c r="SVQ223" s="1201"/>
      <c r="SVR223" s="1201"/>
      <c r="SVS223" s="1201"/>
      <c r="SVT223" s="1201"/>
      <c r="SVU223" s="1201"/>
      <c r="SVV223" s="1201"/>
      <c r="SVW223" s="1201"/>
      <c r="SVX223" s="1201"/>
      <c r="SVY223" s="1201"/>
      <c r="SVZ223" s="1201"/>
      <c r="SWA223" s="1201"/>
      <c r="SWB223" s="1201"/>
      <c r="SWC223" s="1201"/>
      <c r="SWD223" s="1201"/>
      <c r="SWE223" s="1201"/>
      <c r="SWF223" s="1201"/>
      <c r="SWG223" s="1201"/>
      <c r="SWH223" s="1201"/>
      <c r="SWI223" s="1201"/>
      <c r="SWJ223" s="1201"/>
      <c r="SWK223" s="1201"/>
      <c r="SWL223" s="1201"/>
      <c r="SWM223" s="1201"/>
      <c r="SWN223" s="1201"/>
      <c r="SWO223" s="1201"/>
      <c r="SWP223" s="1201"/>
      <c r="SWQ223" s="1201"/>
      <c r="SWR223" s="1201"/>
      <c r="SWS223" s="1201"/>
      <c r="SWT223" s="1201"/>
      <c r="SWU223" s="1201"/>
      <c r="SWV223" s="1201"/>
      <c r="SWW223" s="1201"/>
      <c r="SWX223" s="1201"/>
      <c r="SWY223" s="1201"/>
      <c r="SWZ223" s="1201"/>
      <c r="SXA223" s="1201"/>
      <c r="SXB223" s="1201"/>
      <c r="SXC223" s="1201"/>
      <c r="SXD223" s="1201"/>
      <c r="SXE223" s="1201"/>
      <c r="SXF223" s="1201"/>
      <c r="SXG223" s="1201"/>
      <c r="SXH223" s="1201"/>
      <c r="SXI223" s="1201"/>
      <c r="SXJ223" s="1201"/>
      <c r="SXK223" s="1201"/>
      <c r="SXL223" s="1201"/>
      <c r="SXM223" s="1201"/>
      <c r="SXN223" s="1201"/>
      <c r="SXO223" s="1201"/>
      <c r="SXP223" s="1201"/>
      <c r="SXQ223" s="1201"/>
      <c r="SXR223" s="1201"/>
      <c r="SXS223" s="1201"/>
      <c r="SXT223" s="1201"/>
      <c r="SXU223" s="1201"/>
      <c r="SXV223" s="1201"/>
      <c r="SXW223" s="1201"/>
      <c r="SXX223" s="1201"/>
      <c r="SXY223" s="1201"/>
      <c r="SXZ223" s="1201"/>
      <c r="SYA223" s="1201"/>
      <c r="SYB223" s="1201"/>
      <c r="SYC223" s="1201"/>
      <c r="SYD223" s="1201"/>
      <c r="SYE223" s="1201"/>
      <c r="SYF223" s="1201"/>
      <c r="SYG223" s="1201"/>
      <c r="SYH223" s="1201"/>
      <c r="SYI223" s="1201"/>
      <c r="SYJ223" s="1201"/>
      <c r="SYK223" s="1201"/>
      <c r="SYL223" s="1201"/>
      <c r="SYM223" s="1201"/>
      <c r="SYN223" s="1201"/>
      <c r="SYO223" s="1201"/>
      <c r="SYP223" s="1201"/>
      <c r="SYQ223" s="1201"/>
      <c r="SYR223" s="1201"/>
      <c r="SYS223" s="1201"/>
      <c r="SYT223" s="1201"/>
      <c r="SYU223" s="1201"/>
      <c r="SYV223" s="1201"/>
      <c r="SYW223" s="1201"/>
      <c r="SYX223" s="1201"/>
      <c r="SYY223" s="1201"/>
      <c r="SYZ223" s="1201"/>
      <c r="SZA223" s="1201"/>
      <c r="SZB223" s="1201"/>
      <c r="SZC223" s="1201"/>
      <c r="SZD223" s="1201"/>
      <c r="SZE223" s="1201"/>
      <c r="SZF223" s="1201"/>
      <c r="SZG223" s="1201"/>
      <c r="SZH223" s="1201"/>
      <c r="SZI223" s="1201"/>
      <c r="SZJ223" s="1201"/>
      <c r="SZK223" s="1201"/>
      <c r="SZL223" s="1201"/>
      <c r="SZM223" s="1201"/>
      <c r="SZN223" s="1201"/>
      <c r="SZO223" s="1201"/>
      <c r="SZP223" s="1201"/>
      <c r="SZQ223" s="1201"/>
      <c r="SZR223" s="1201"/>
      <c r="SZS223" s="1201"/>
      <c r="SZT223" s="1201"/>
      <c r="SZU223" s="1201"/>
      <c r="SZV223" s="1201"/>
      <c r="SZW223" s="1201"/>
      <c r="SZX223" s="1201"/>
      <c r="SZY223" s="1201"/>
      <c r="SZZ223" s="1201"/>
      <c r="TAA223" s="1201"/>
      <c r="TAB223" s="1201"/>
      <c r="TAC223" s="1201"/>
      <c r="TAD223" s="1201"/>
      <c r="TAE223" s="1201"/>
      <c r="TAF223" s="1201"/>
      <c r="TAG223" s="1201"/>
      <c r="TAH223" s="1201"/>
      <c r="TAI223" s="1201"/>
      <c r="TAJ223" s="1201"/>
      <c r="TAK223" s="1201"/>
      <c r="TAL223" s="1201"/>
      <c r="TAM223" s="1201"/>
      <c r="TAN223" s="1201"/>
      <c r="TAO223" s="1201"/>
      <c r="TAP223" s="1201"/>
      <c r="TAQ223" s="1201"/>
      <c r="TAR223" s="1201"/>
      <c r="TAS223" s="1201"/>
      <c r="TAT223" s="1201"/>
      <c r="TAU223" s="1201"/>
      <c r="TAV223" s="1201"/>
      <c r="TAW223" s="1201"/>
      <c r="TAX223" s="1201"/>
      <c r="TAY223" s="1201"/>
      <c r="TAZ223" s="1201"/>
      <c r="TBA223" s="1201"/>
      <c r="TBB223" s="1201"/>
      <c r="TBC223" s="1201"/>
      <c r="TBD223" s="1201"/>
      <c r="TBE223" s="1201"/>
      <c r="TBF223" s="1201"/>
      <c r="TBG223" s="1201"/>
      <c r="TBH223" s="1201"/>
      <c r="TBI223" s="1201"/>
      <c r="TBJ223" s="1201"/>
      <c r="TBK223" s="1201"/>
      <c r="TBL223" s="1201"/>
      <c r="TBM223" s="1201"/>
      <c r="TBN223" s="1201"/>
      <c r="TBO223" s="1201"/>
      <c r="TBP223" s="1201"/>
      <c r="TBQ223" s="1201"/>
      <c r="TBR223" s="1201"/>
      <c r="TBS223" s="1201"/>
      <c r="TBT223" s="1201"/>
      <c r="TBU223" s="1201"/>
      <c r="TBV223" s="1201"/>
      <c r="TBW223" s="1201"/>
      <c r="TBX223" s="1201"/>
      <c r="TBY223" s="1201"/>
      <c r="TBZ223" s="1201"/>
      <c r="TCA223" s="1201"/>
      <c r="TCB223" s="1201"/>
      <c r="TCC223" s="1201"/>
      <c r="TCD223" s="1201"/>
      <c r="TCE223" s="1201"/>
      <c r="TCF223" s="1201"/>
      <c r="TCG223" s="1201"/>
      <c r="TCH223" s="1201"/>
      <c r="TCI223" s="1201"/>
      <c r="TCJ223" s="1201"/>
      <c r="TCK223" s="1201"/>
      <c r="TCL223" s="1201"/>
      <c r="TCM223" s="1201"/>
      <c r="TCN223" s="1201"/>
      <c r="TCO223" s="1201"/>
      <c r="TCP223" s="1201"/>
      <c r="TCQ223" s="1201"/>
      <c r="TCR223" s="1201"/>
      <c r="TCS223" s="1201"/>
      <c r="TCT223" s="1201"/>
      <c r="TCU223" s="1201"/>
      <c r="TCV223" s="1201"/>
      <c r="TCW223" s="1201"/>
      <c r="TCX223" s="1201"/>
      <c r="TCY223" s="1201"/>
      <c r="TCZ223" s="1201"/>
      <c r="TDA223" s="1201"/>
      <c r="TDB223" s="1201"/>
      <c r="TDC223" s="1201"/>
      <c r="TDD223" s="1201"/>
      <c r="TDE223" s="1201"/>
      <c r="TDF223" s="1201"/>
      <c r="TDG223" s="1201"/>
      <c r="TDH223" s="1201"/>
      <c r="TDI223" s="1201"/>
      <c r="TDJ223" s="1201"/>
      <c r="TDK223" s="1201"/>
      <c r="TDL223" s="1201"/>
      <c r="TDM223" s="1201"/>
      <c r="TDN223" s="1201"/>
      <c r="TDO223" s="1201"/>
      <c r="TDP223" s="1201"/>
      <c r="TDQ223" s="1201"/>
      <c r="TDR223" s="1201"/>
      <c r="TDS223" s="1201"/>
      <c r="TDT223" s="1201"/>
      <c r="TDU223" s="1201"/>
      <c r="TDV223" s="1201"/>
      <c r="TDW223" s="1201"/>
      <c r="TDX223" s="1201"/>
      <c r="TDY223" s="1201"/>
      <c r="TDZ223" s="1201"/>
      <c r="TEA223" s="1201"/>
      <c r="TEB223" s="1201"/>
      <c r="TEC223" s="1201"/>
      <c r="TED223" s="1201"/>
      <c r="TEE223" s="1201"/>
      <c r="TEF223" s="1201"/>
      <c r="TEG223" s="1201"/>
      <c r="TEH223" s="1201"/>
      <c r="TEI223" s="1201"/>
      <c r="TEJ223" s="1201"/>
      <c r="TEK223" s="1201"/>
      <c r="TEL223" s="1201"/>
      <c r="TEM223" s="1201"/>
      <c r="TEN223" s="1201"/>
      <c r="TEO223" s="1201"/>
      <c r="TEP223" s="1201"/>
      <c r="TEQ223" s="1201"/>
      <c r="TER223" s="1201"/>
      <c r="TES223" s="1201"/>
      <c r="TET223" s="1201"/>
      <c r="TEU223" s="1201"/>
      <c r="TEV223" s="1201"/>
      <c r="TEW223" s="1201"/>
      <c r="TEX223" s="1201"/>
      <c r="TEY223" s="1201"/>
      <c r="TEZ223" s="1201"/>
      <c r="TFA223" s="1201"/>
      <c r="TFB223" s="1201"/>
      <c r="TFC223" s="1201"/>
      <c r="TFD223" s="1201"/>
      <c r="TFE223" s="1201"/>
      <c r="TFF223" s="1201"/>
      <c r="TFG223" s="1201"/>
      <c r="TFH223" s="1201"/>
      <c r="TFI223" s="1201"/>
      <c r="TFJ223" s="1201"/>
      <c r="TFK223" s="1201"/>
      <c r="TFL223" s="1201"/>
      <c r="TFM223" s="1201"/>
      <c r="TFN223" s="1201"/>
      <c r="TFO223" s="1201"/>
      <c r="TFP223" s="1201"/>
      <c r="TFQ223" s="1201"/>
      <c r="TFR223" s="1201"/>
      <c r="TFS223" s="1201"/>
      <c r="TFT223" s="1201"/>
      <c r="TFU223" s="1201"/>
      <c r="TFV223" s="1201"/>
      <c r="TFW223" s="1201"/>
      <c r="TFX223" s="1201"/>
      <c r="TFY223" s="1201"/>
      <c r="TFZ223" s="1201"/>
      <c r="TGA223" s="1201"/>
      <c r="TGB223" s="1201"/>
      <c r="TGC223" s="1201"/>
      <c r="TGD223" s="1201"/>
      <c r="TGE223" s="1201"/>
      <c r="TGF223" s="1201"/>
      <c r="TGG223" s="1201"/>
      <c r="TGH223" s="1201"/>
      <c r="TGI223" s="1201"/>
      <c r="TGJ223" s="1201"/>
      <c r="TGK223" s="1201"/>
      <c r="TGL223" s="1201"/>
      <c r="TGM223" s="1201"/>
      <c r="TGN223" s="1201"/>
      <c r="TGO223" s="1201"/>
      <c r="TGP223" s="1201"/>
      <c r="TGQ223" s="1201"/>
      <c r="TGR223" s="1201"/>
      <c r="TGS223" s="1201"/>
      <c r="TGT223" s="1201"/>
      <c r="TGU223" s="1201"/>
      <c r="TGV223" s="1201"/>
      <c r="TGW223" s="1201"/>
      <c r="TGX223" s="1201"/>
      <c r="TGY223" s="1201"/>
      <c r="TGZ223" s="1201"/>
      <c r="THA223" s="1201"/>
      <c r="THB223" s="1201"/>
      <c r="THC223" s="1201"/>
      <c r="THD223" s="1201"/>
      <c r="THE223" s="1201"/>
      <c r="THF223" s="1201"/>
      <c r="THG223" s="1201"/>
      <c r="THH223" s="1201"/>
      <c r="THI223" s="1201"/>
      <c r="THJ223" s="1201"/>
      <c r="THK223" s="1201"/>
      <c r="THL223" s="1201"/>
      <c r="THM223" s="1201"/>
      <c r="THN223" s="1201"/>
      <c r="THO223" s="1201"/>
      <c r="THP223" s="1201"/>
      <c r="THQ223" s="1201"/>
      <c r="THR223" s="1201"/>
      <c r="THS223" s="1201"/>
      <c r="THT223" s="1201"/>
      <c r="THU223" s="1201"/>
      <c r="THV223" s="1201"/>
      <c r="THW223" s="1201"/>
      <c r="THX223" s="1201"/>
      <c r="THY223" s="1201"/>
      <c r="THZ223" s="1201"/>
      <c r="TIA223" s="1201"/>
      <c r="TIB223" s="1201"/>
      <c r="TIC223" s="1201"/>
      <c r="TID223" s="1201"/>
      <c r="TIE223" s="1201"/>
      <c r="TIF223" s="1201"/>
      <c r="TIG223" s="1201"/>
      <c r="TIH223" s="1201"/>
      <c r="TII223" s="1201"/>
      <c r="TIJ223" s="1201"/>
      <c r="TIK223" s="1201"/>
      <c r="TIL223" s="1201"/>
      <c r="TIM223" s="1201"/>
      <c r="TIN223" s="1201"/>
      <c r="TIO223" s="1201"/>
      <c r="TIP223" s="1201"/>
      <c r="TIQ223" s="1201"/>
      <c r="TIR223" s="1201"/>
      <c r="TIS223" s="1201"/>
      <c r="TIT223" s="1201"/>
      <c r="TIU223" s="1201"/>
      <c r="TIV223" s="1201"/>
      <c r="TIW223" s="1201"/>
      <c r="TIX223" s="1201"/>
      <c r="TIY223" s="1201"/>
      <c r="TIZ223" s="1201"/>
      <c r="TJA223" s="1201"/>
      <c r="TJB223" s="1201"/>
      <c r="TJC223" s="1201"/>
      <c r="TJD223" s="1201"/>
      <c r="TJE223" s="1201"/>
      <c r="TJF223" s="1201"/>
      <c r="TJG223" s="1201"/>
      <c r="TJH223" s="1201"/>
      <c r="TJI223" s="1201"/>
      <c r="TJJ223" s="1201"/>
      <c r="TJK223" s="1201"/>
      <c r="TJL223" s="1201"/>
      <c r="TJM223" s="1201"/>
      <c r="TJN223" s="1201"/>
      <c r="TJO223" s="1201"/>
      <c r="TJP223" s="1201"/>
      <c r="TJQ223" s="1201"/>
      <c r="TJR223" s="1201"/>
      <c r="TJS223" s="1201"/>
      <c r="TJT223" s="1201"/>
      <c r="TJU223" s="1201"/>
      <c r="TJV223" s="1201"/>
      <c r="TJW223" s="1201"/>
      <c r="TJX223" s="1201"/>
      <c r="TJY223" s="1201"/>
      <c r="TJZ223" s="1201"/>
      <c r="TKA223" s="1201"/>
      <c r="TKB223" s="1201"/>
      <c r="TKC223" s="1201"/>
      <c r="TKD223" s="1201"/>
      <c r="TKE223" s="1201"/>
      <c r="TKF223" s="1201"/>
      <c r="TKG223" s="1201"/>
      <c r="TKH223" s="1201"/>
      <c r="TKI223" s="1201"/>
      <c r="TKJ223" s="1201"/>
      <c r="TKK223" s="1201"/>
      <c r="TKL223" s="1201"/>
      <c r="TKM223" s="1201"/>
      <c r="TKN223" s="1201"/>
      <c r="TKO223" s="1201"/>
      <c r="TKP223" s="1201"/>
      <c r="TKQ223" s="1201"/>
      <c r="TKR223" s="1201"/>
      <c r="TKS223" s="1201"/>
      <c r="TKT223" s="1201"/>
      <c r="TKU223" s="1201"/>
      <c r="TKV223" s="1201"/>
      <c r="TKW223" s="1201"/>
      <c r="TKX223" s="1201"/>
      <c r="TKY223" s="1201"/>
      <c r="TKZ223" s="1201"/>
      <c r="TLA223" s="1201"/>
      <c r="TLB223" s="1201"/>
      <c r="TLC223" s="1201"/>
      <c r="TLD223" s="1201"/>
      <c r="TLE223" s="1201"/>
      <c r="TLF223" s="1201"/>
      <c r="TLG223" s="1201"/>
      <c r="TLH223" s="1201"/>
      <c r="TLI223" s="1201"/>
      <c r="TLJ223" s="1201"/>
      <c r="TLK223" s="1201"/>
      <c r="TLL223" s="1201"/>
      <c r="TLM223" s="1201"/>
      <c r="TLN223" s="1201"/>
      <c r="TLO223" s="1201"/>
      <c r="TLP223" s="1201"/>
      <c r="TLQ223" s="1201"/>
      <c r="TLR223" s="1201"/>
      <c r="TLS223" s="1201"/>
      <c r="TLT223" s="1201"/>
      <c r="TLU223" s="1201"/>
      <c r="TLV223" s="1201"/>
      <c r="TLW223" s="1201"/>
      <c r="TLX223" s="1201"/>
      <c r="TLY223" s="1201"/>
      <c r="TLZ223" s="1201"/>
      <c r="TMA223" s="1201"/>
      <c r="TMB223" s="1201"/>
      <c r="TMC223" s="1201"/>
      <c r="TMD223" s="1201"/>
      <c r="TME223" s="1201"/>
      <c r="TMF223" s="1201"/>
      <c r="TMG223" s="1201"/>
      <c r="TMH223" s="1201"/>
      <c r="TMI223" s="1201"/>
      <c r="TMJ223" s="1201"/>
      <c r="TMK223" s="1201"/>
      <c r="TML223" s="1201"/>
      <c r="TMM223" s="1201"/>
      <c r="TMN223" s="1201"/>
      <c r="TMO223" s="1201"/>
      <c r="TMP223" s="1201"/>
      <c r="TMQ223" s="1201"/>
      <c r="TMR223" s="1201"/>
      <c r="TMS223" s="1201"/>
      <c r="TMT223" s="1201"/>
      <c r="TMU223" s="1201"/>
      <c r="TMV223" s="1201"/>
      <c r="TMW223" s="1201"/>
      <c r="TMX223" s="1201"/>
      <c r="TMY223" s="1201"/>
      <c r="TMZ223" s="1201"/>
      <c r="TNA223" s="1201"/>
      <c r="TNB223" s="1201"/>
      <c r="TNC223" s="1201"/>
      <c r="TND223" s="1201"/>
      <c r="TNE223" s="1201"/>
      <c r="TNF223" s="1201"/>
      <c r="TNG223" s="1201"/>
      <c r="TNH223" s="1201"/>
      <c r="TNI223" s="1201"/>
      <c r="TNJ223" s="1201"/>
      <c r="TNK223" s="1201"/>
      <c r="TNL223" s="1201"/>
      <c r="TNM223" s="1201"/>
      <c r="TNN223" s="1201"/>
      <c r="TNO223" s="1201"/>
      <c r="TNP223" s="1201"/>
      <c r="TNQ223" s="1201"/>
      <c r="TNR223" s="1201"/>
      <c r="TNS223" s="1201"/>
      <c r="TNT223" s="1201"/>
      <c r="TNU223" s="1201"/>
      <c r="TNV223" s="1201"/>
      <c r="TNW223" s="1201"/>
      <c r="TNX223" s="1201"/>
      <c r="TNY223" s="1201"/>
      <c r="TNZ223" s="1201"/>
      <c r="TOA223" s="1201"/>
      <c r="TOB223" s="1201"/>
      <c r="TOC223" s="1201"/>
      <c r="TOD223" s="1201"/>
      <c r="TOE223" s="1201"/>
      <c r="TOF223" s="1201"/>
      <c r="TOG223" s="1201"/>
      <c r="TOH223" s="1201"/>
      <c r="TOI223" s="1201"/>
      <c r="TOJ223" s="1201"/>
      <c r="TOK223" s="1201"/>
      <c r="TOL223" s="1201"/>
      <c r="TOM223" s="1201"/>
      <c r="TON223" s="1201"/>
      <c r="TOO223" s="1201"/>
      <c r="TOP223" s="1201"/>
      <c r="TOQ223" s="1201"/>
      <c r="TOR223" s="1201"/>
      <c r="TOS223" s="1201"/>
      <c r="TOT223" s="1201"/>
      <c r="TOU223" s="1201"/>
      <c r="TOV223" s="1201"/>
      <c r="TOW223" s="1201"/>
      <c r="TOX223" s="1201"/>
      <c r="TOY223" s="1201"/>
      <c r="TOZ223" s="1201"/>
      <c r="TPA223" s="1201"/>
      <c r="TPB223" s="1201"/>
      <c r="TPC223" s="1201"/>
      <c r="TPD223" s="1201"/>
      <c r="TPE223" s="1201"/>
      <c r="TPF223" s="1201"/>
      <c r="TPG223" s="1201"/>
      <c r="TPH223" s="1201"/>
      <c r="TPI223" s="1201"/>
      <c r="TPJ223" s="1201"/>
      <c r="TPK223" s="1201"/>
      <c r="TPL223" s="1201"/>
      <c r="TPM223" s="1201"/>
      <c r="TPN223" s="1201"/>
      <c r="TPO223" s="1201"/>
      <c r="TPP223" s="1201"/>
      <c r="TPQ223" s="1201"/>
      <c r="TPR223" s="1201"/>
      <c r="TPS223" s="1201"/>
      <c r="TPT223" s="1201"/>
      <c r="TPU223" s="1201"/>
      <c r="TPV223" s="1201"/>
      <c r="TPW223" s="1201"/>
      <c r="TPX223" s="1201"/>
      <c r="TPY223" s="1201"/>
      <c r="TPZ223" s="1201"/>
      <c r="TQA223" s="1201"/>
      <c r="TQB223" s="1201"/>
      <c r="TQC223" s="1201"/>
      <c r="TQD223" s="1201"/>
      <c r="TQE223" s="1201"/>
      <c r="TQF223" s="1201"/>
      <c r="TQG223" s="1201"/>
      <c r="TQH223" s="1201"/>
      <c r="TQI223" s="1201"/>
      <c r="TQJ223" s="1201"/>
      <c r="TQK223" s="1201"/>
      <c r="TQL223" s="1201"/>
      <c r="TQM223" s="1201"/>
      <c r="TQN223" s="1201"/>
      <c r="TQO223" s="1201"/>
      <c r="TQP223" s="1201"/>
      <c r="TQQ223" s="1201"/>
      <c r="TQR223" s="1201"/>
      <c r="TQS223" s="1201"/>
      <c r="TQT223" s="1201"/>
      <c r="TQU223" s="1201"/>
      <c r="TQV223" s="1201"/>
      <c r="TQW223" s="1201"/>
      <c r="TQX223" s="1201"/>
      <c r="TQY223" s="1201"/>
      <c r="TQZ223" s="1201"/>
      <c r="TRA223" s="1201"/>
      <c r="TRB223" s="1201"/>
      <c r="TRC223" s="1201"/>
      <c r="TRD223" s="1201"/>
      <c r="TRE223" s="1201"/>
      <c r="TRF223" s="1201"/>
      <c r="TRG223" s="1201"/>
      <c r="TRH223" s="1201"/>
      <c r="TRI223" s="1201"/>
      <c r="TRJ223" s="1201"/>
      <c r="TRK223" s="1201"/>
      <c r="TRL223" s="1201"/>
      <c r="TRM223" s="1201"/>
      <c r="TRN223" s="1201"/>
      <c r="TRO223" s="1201"/>
      <c r="TRP223" s="1201"/>
      <c r="TRQ223" s="1201"/>
      <c r="TRR223" s="1201"/>
      <c r="TRS223" s="1201"/>
      <c r="TRT223" s="1201"/>
      <c r="TRU223" s="1201"/>
      <c r="TRV223" s="1201"/>
      <c r="TRW223" s="1201"/>
      <c r="TRX223" s="1201"/>
      <c r="TRY223" s="1201"/>
      <c r="TRZ223" s="1201"/>
      <c r="TSA223" s="1201"/>
      <c r="TSB223" s="1201"/>
      <c r="TSC223" s="1201"/>
      <c r="TSD223" s="1201"/>
      <c r="TSE223" s="1201"/>
      <c r="TSF223" s="1201"/>
      <c r="TSG223" s="1201"/>
      <c r="TSH223" s="1201"/>
      <c r="TSI223" s="1201"/>
      <c r="TSJ223" s="1201"/>
      <c r="TSK223" s="1201"/>
      <c r="TSL223" s="1201"/>
      <c r="TSM223" s="1201"/>
      <c r="TSN223" s="1201"/>
      <c r="TSO223" s="1201"/>
      <c r="TSP223" s="1201"/>
      <c r="TSQ223" s="1201"/>
      <c r="TSR223" s="1201"/>
      <c r="TSS223" s="1201"/>
      <c r="TST223" s="1201"/>
      <c r="TSU223" s="1201"/>
      <c r="TSV223" s="1201"/>
      <c r="TSW223" s="1201"/>
      <c r="TSX223" s="1201"/>
      <c r="TSY223" s="1201"/>
      <c r="TSZ223" s="1201"/>
      <c r="TTA223" s="1201"/>
      <c r="TTB223" s="1201"/>
      <c r="TTC223" s="1201"/>
      <c r="TTD223" s="1201"/>
      <c r="TTE223" s="1201"/>
      <c r="TTF223" s="1201"/>
      <c r="TTG223" s="1201"/>
      <c r="TTH223" s="1201"/>
      <c r="TTI223" s="1201"/>
      <c r="TTJ223" s="1201"/>
      <c r="TTK223" s="1201"/>
      <c r="TTL223" s="1201"/>
      <c r="TTM223" s="1201"/>
      <c r="TTN223" s="1201"/>
      <c r="TTO223" s="1201"/>
      <c r="TTP223" s="1201"/>
      <c r="TTQ223" s="1201"/>
      <c r="TTR223" s="1201"/>
      <c r="TTS223" s="1201"/>
      <c r="TTT223" s="1201"/>
      <c r="TTU223" s="1201"/>
      <c r="TTV223" s="1201"/>
      <c r="TTW223" s="1201"/>
      <c r="TTX223" s="1201"/>
      <c r="TTY223" s="1201"/>
      <c r="TTZ223" s="1201"/>
      <c r="TUA223" s="1201"/>
      <c r="TUB223" s="1201"/>
      <c r="TUC223" s="1201"/>
      <c r="TUD223" s="1201"/>
      <c r="TUE223" s="1201"/>
      <c r="TUF223" s="1201"/>
      <c r="TUG223" s="1201"/>
      <c r="TUH223" s="1201"/>
      <c r="TUI223" s="1201"/>
      <c r="TUJ223" s="1201"/>
      <c r="TUK223" s="1201"/>
      <c r="TUL223" s="1201"/>
      <c r="TUM223" s="1201"/>
      <c r="TUN223" s="1201"/>
      <c r="TUO223" s="1201"/>
      <c r="TUP223" s="1201"/>
      <c r="TUQ223" s="1201"/>
      <c r="TUR223" s="1201"/>
      <c r="TUS223" s="1201"/>
      <c r="TUT223" s="1201"/>
      <c r="TUU223" s="1201"/>
      <c r="TUV223" s="1201"/>
      <c r="TUW223" s="1201"/>
      <c r="TUX223" s="1201"/>
      <c r="TUY223" s="1201"/>
      <c r="TUZ223" s="1201"/>
      <c r="TVA223" s="1201"/>
      <c r="TVB223" s="1201"/>
      <c r="TVC223" s="1201"/>
      <c r="TVD223" s="1201"/>
      <c r="TVE223" s="1201"/>
      <c r="TVF223" s="1201"/>
      <c r="TVG223" s="1201"/>
      <c r="TVH223" s="1201"/>
      <c r="TVI223" s="1201"/>
      <c r="TVJ223" s="1201"/>
      <c r="TVK223" s="1201"/>
      <c r="TVL223" s="1201"/>
      <c r="TVM223" s="1201"/>
      <c r="TVN223" s="1201"/>
      <c r="TVO223" s="1201"/>
      <c r="TVP223" s="1201"/>
      <c r="TVQ223" s="1201"/>
      <c r="TVR223" s="1201"/>
      <c r="TVS223" s="1201"/>
      <c r="TVT223" s="1201"/>
      <c r="TVU223" s="1201"/>
      <c r="TVV223" s="1201"/>
      <c r="TVW223" s="1201"/>
      <c r="TVX223" s="1201"/>
      <c r="TVY223" s="1201"/>
      <c r="TVZ223" s="1201"/>
      <c r="TWA223" s="1201"/>
      <c r="TWB223" s="1201"/>
      <c r="TWC223" s="1201"/>
      <c r="TWD223" s="1201"/>
      <c r="TWE223" s="1201"/>
      <c r="TWF223" s="1201"/>
      <c r="TWG223" s="1201"/>
      <c r="TWH223" s="1201"/>
      <c r="TWI223" s="1201"/>
      <c r="TWJ223" s="1201"/>
      <c r="TWK223" s="1201"/>
      <c r="TWL223" s="1201"/>
      <c r="TWM223" s="1201"/>
      <c r="TWN223" s="1201"/>
      <c r="TWO223" s="1201"/>
      <c r="TWP223" s="1201"/>
      <c r="TWQ223" s="1201"/>
      <c r="TWR223" s="1201"/>
      <c r="TWS223" s="1201"/>
      <c r="TWT223" s="1201"/>
      <c r="TWU223" s="1201"/>
      <c r="TWV223" s="1201"/>
      <c r="TWW223" s="1201"/>
      <c r="TWX223" s="1201"/>
      <c r="TWY223" s="1201"/>
      <c r="TWZ223" s="1201"/>
      <c r="TXA223" s="1201"/>
      <c r="TXB223" s="1201"/>
      <c r="TXC223" s="1201"/>
      <c r="TXD223" s="1201"/>
      <c r="TXE223" s="1201"/>
      <c r="TXF223" s="1201"/>
      <c r="TXG223" s="1201"/>
      <c r="TXH223" s="1201"/>
      <c r="TXI223" s="1201"/>
      <c r="TXJ223" s="1201"/>
      <c r="TXK223" s="1201"/>
      <c r="TXL223" s="1201"/>
      <c r="TXM223" s="1201"/>
      <c r="TXN223" s="1201"/>
      <c r="TXO223" s="1201"/>
      <c r="TXP223" s="1201"/>
      <c r="TXQ223" s="1201"/>
      <c r="TXR223" s="1201"/>
      <c r="TXS223" s="1201"/>
      <c r="TXT223" s="1201"/>
      <c r="TXU223" s="1201"/>
      <c r="TXV223" s="1201"/>
      <c r="TXW223" s="1201"/>
      <c r="TXX223" s="1201"/>
      <c r="TXY223" s="1201"/>
      <c r="TXZ223" s="1201"/>
      <c r="TYA223" s="1201"/>
      <c r="TYB223" s="1201"/>
      <c r="TYC223" s="1201"/>
      <c r="TYD223" s="1201"/>
      <c r="TYE223" s="1201"/>
      <c r="TYF223" s="1201"/>
      <c r="TYG223" s="1201"/>
      <c r="TYH223" s="1201"/>
      <c r="TYI223" s="1201"/>
      <c r="TYJ223" s="1201"/>
      <c r="TYK223" s="1201"/>
      <c r="TYL223" s="1201"/>
      <c r="TYM223" s="1201"/>
      <c r="TYN223" s="1201"/>
      <c r="TYO223" s="1201"/>
      <c r="TYP223" s="1201"/>
      <c r="TYQ223" s="1201"/>
      <c r="TYR223" s="1201"/>
      <c r="TYS223" s="1201"/>
      <c r="TYT223" s="1201"/>
      <c r="TYU223" s="1201"/>
      <c r="TYV223" s="1201"/>
      <c r="TYW223" s="1201"/>
      <c r="TYX223" s="1201"/>
      <c r="TYY223" s="1201"/>
      <c r="TYZ223" s="1201"/>
      <c r="TZA223" s="1201"/>
      <c r="TZB223" s="1201"/>
      <c r="TZC223" s="1201"/>
      <c r="TZD223" s="1201"/>
      <c r="TZE223" s="1201"/>
      <c r="TZF223" s="1201"/>
      <c r="TZG223" s="1201"/>
      <c r="TZH223" s="1201"/>
      <c r="TZI223" s="1201"/>
      <c r="TZJ223" s="1201"/>
      <c r="TZK223" s="1201"/>
      <c r="TZL223" s="1201"/>
      <c r="TZM223" s="1201"/>
      <c r="TZN223" s="1201"/>
      <c r="TZO223" s="1201"/>
      <c r="TZP223" s="1201"/>
      <c r="TZQ223" s="1201"/>
      <c r="TZR223" s="1201"/>
      <c r="TZS223" s="1201"/>
      <c r="TZT223" s="1201"/>
      <c r="TZU223" s="1201"/>
      <c r="TZV223" s="1201"/>
      <c r="TZW223" s="1201"/>
      <c r="TZX223" s="1201"/>
      <c r="TZY223" s="1201"/>
      <c r="TZZ223" s="1201"/>
      <c r="UAA223" s="1201"/>
      <c r="UAB223" s="1201"/>
      <c r="UAC223" s="1201"/>
      <c r="UAD223" s="1201"/>
      <c r="UAE223" s="1201"/>
      <c r="UAF223" s="1201"/>
      <c r="UAG223" s="1201"/>
      <c r="UAH223" s="1201"/>
      <c r="UAI223" s="1201"/>
      <c r="UAJ223" s="1201"/>
      <c r="UAK223" s="1201"/>
      <c r="UAL223" s="1201"/>
      <c r="UAM223" s="1201"/>
      <c r="UAN223" s="1201"/>
      <c r="UAO223" s="1201"/>
      <c r="UAP223" s="1201"/>
      <c r="UAQ223" s="1201"/>
      <c r="UAR223" s="1201"/>
      <c r="UAS223" s="1201"/>
      <c r="UAT223" s="1201"/>
      <c r="UAU223" s="1201"/>
      <c r="UAV223" s="1201"/>
      <c r="UAW223" s="1201"/>
      <c r="UAX223" s="1201"/>
      <c r="UAY223" s="1201"/>
      <c r="UAZ223" s="1201"/>
      <c r="UBA223" s="1201"/>
      <c r="UBB223" s="1201"/>
      <c r="UBC223" s="1201"/>
      <c r="UBD223" s="1201"/>
      <c r="UBE223" s="1201"/>
      <c r="UBF223" s="1201"/>
      <c r="UBG223" s="1201"/>
      <c r="UBH223" s="1201"/>
      <c r="UBI223" s="1201"/>
      <c r="UBJ223" s="1201"/>
      <c r="UBK223" s="1201"/>
      <c r="UBL223" s="1201"/>
      <c r="UBM223" s="1201"/>
      <c r="UBN223" s="1201"/>
      <c r="UBO223" s="1201"/>
      <c r="UBP223" s="1201"/>
      <c r="UBQ223" s="1201"/>
      <c r="UBR223" s="1201"/>
      <c r="UBS223" s="1201"/>
      <c r="UBT223" s="1201"/>
      <c r="UBU223" s="1201"/>
      <c r="UBV223" s="1201"/>
      <c r="UBW223" s="1201"/>
      <c r="UBX223" s="1201"/>
      <c r="UBY223" s="1201"/>
      <c r="UBZ223" s="1201"/>
      <c r="UCA223" s="1201"/>
      <c r="UCB223" s="1201"/>
      <c r="UCC223" s="1201"/>
      <c r="UCD223" s="1201"/>
      <c r="UCE223" s="1201"/>
      <c r="UCF223" s="1201"/>
      <c r="UCG223" s="1201"/>
      <c r="UCH223" s="1201"/>
      <c r="UCI223" s="1201"/>
      <c r="UCJ223" s="1201"/>
      <c r="UCK223" s="1201"/>
      <c r="UCL223" s="1201"/>
      <c r="UCM223" s="1201"/>
      <c r="UCN223" s="1201"/>
      <c r="UCO223" s="1201"/>
      <c r="UCP223" s="1201"/>
      <c r="UCQ223" s="1201"/>
      <c r="UCR223" s="1201"/>
      <c r="UCS223" s="1201"/>
      <c r="UCT223" s="1201"/>
      <c r="UCU223" s="1201"/>
      <c r="UCV223" s="1201"/>
      <c r="UCW223" s="1201"/>
      <c r="UCX223" s="1201"/>
      <c r="UCY223" s="1201"/>
      <c r="UCZ223" s="1201"/>
      <c r="UDA223" s="1201"/>
      <c r="UDB223" s="1201"/>
      <c r="UDC223" s="1201"/>
      <c r="UDD223" s="1201"/>
      <c r="UDE223" s="1201"/>
      <c r="UDF223" s="1201"/>
      <c r="UDG223" s="1201"/>
      <c r="UDH223" s="1201"/>
      <c r="UDI223" s="1201"/>
      <c r="UDJ223" s="1201"/>
      <c r="UDK223" s="1201"/>
      <c r="UDL223" s="1201"/>
      <c r="UDM223" s="1201"/>
      <c r="UDN223" s="1201"/>
      <c r="UDO223" s="1201"/>
      <c r="UDP223" s="1201"/>
      <c r="UDQ223" s="1201"/>
      <c r="UDR223" s="1201"/>
      <c r="UDS223" s="1201"/>
      <c r="UDT223" s="1201"/>
      <c r="UDU223" s="1201"/>
      <c r="UDV223" s="1201"/>
      <c r="UDW223" s="1201"/>
      <c r="UDX223" s="1201"/>
      <c r="UDY223" s="1201"/>
      <c r="UDZ223" s="1201"/>
      <c r="UEA223" s="1201"/>
      <c r="UEB223" s="1201"/>
      <c r="UEC223" s="1201"/>
      <c r="UED223" s="1201"/>
      <c r="UEE223" s="1201"/>
      <c r="UEF223" s="1201"/>
      <c r="UEG223" s="1201"/>
      <c r="UEH223" s="1201"/>
      <c r="UEI223" s="1201"/>
      <c r="UEJ223" s="1201"/>
      <c r="UEK223" s="1201"/>
      <c r="UEL223" s="1201"/>
      <c r="UEM223" s="1201"/>
      <c r="UEN223" s="1201"/>
      <c r="UEO223" s="1201"/>
      <c r="UEP223" s="1201"/>
      <c r="UEQ223" s="1201"/>
      <c r="UER223" s="1201"/>
      <c r="UES223" s="1201"/>
      <c r="UET223" s="1201"/>
      <c r="UEU223" s="1201"/>
      <c r="UEV223" s="1201"/>
      <c r="UEW223" s="1201"/>
      <c r="UEX223" s="1201"/>
      <c r="UEY223" s="1201"/>
      <c r="UEZ223" s="1201"/>
      <c r="UFA223" s="1201"/>
      <c r="UFB223" s="1201"/>
      <c r="UFC223" s="1201"/>
      <c r="UFD223" s="1201"/>
      <c r="UFE223" s="1201"/>
      <c r="UFF223" s="1201"/>
      <c r="UFG223" s="1201"/>
      <c r="UFH223" s="1201"/>
      <c r="UFI223" s="1201"/>
      <c r="UFJ223" s="1201"/>
      <c r="UFK223" s="1201"/>
      <c r="UFL223" s="1201"/>
      <c r="UFM223" s="1201"/>
      <c r="UFN223" s="1201"/>
      <c r="UFO223" s="1201"/>
      <c r="UFP223" s="1201"/>
      <c r="UFQ223" s="1201"/>
      <c r="UFR223" s="1201"/>
      <c r="UFS223" s="1201"/>
      <c r="UFT223" s="1201"/>
      <c r="UFU223" s="1201"/>
      <c r="UFV223" s="1201"/>
      <c r="UFW223" s="1201"/>
      <c r="UFX223" s="1201"/>
      <c r="UFY223" s="1201"/>
      <c r="UFZ223" s="1201"/>
      <c r="UGA223" s="1201"/>
      <c r="UGB223" s="1201"/>
      <c r="UGC223" s="1201"/>
      <c r="UGD223" s="1201"/>
      <c r="UGE223" s="1201"/>
      <c r="UGF223" s="1201"/>
      <c r="UGG223" s="1201"/>
      <c r="UGH223" s="1201"/>
      <c r="UGI223" s="1201"/>
      <c r="UGJ223" s="1201"/>
      <c r="UGK223" s="1201"/>
      <c r="UGL223" s="1201"/>
      <c r="UGM223" s="1201"/>
      <c r="UGN223" s="1201"/>
      <c r="UGO223" s="1201"/>
      <c r="UGP223" s="1201"/>
      <c r="UGQ223" s="1201"/>
      <c r="UGR223" s="1201"/>
      <c r="UGS223" s="1201"/>
      <c r="UGT223" s="1201"/>
      <c r="UGU223" s="1201"/>
      <c r="UGV223" s="1201"/>
      <c r="UGW223" s="1201"/>
      <c r="UGX223" s="1201"/>
      <c r="UGY223" s="1201"/>
      <c r="UGZ223" s="1201"/>
      <c r="UHA223" s="1201"/>
      <c r="UHB223" s="1201"/>
      <c r="UHC223" s="1201"/>
      <c r="UHD223" s="1201"/>
      <c r="UHE223" s="1201"/>
      <c r="UHF223" s="1201"/>
      <c r="UHG223" s="1201"/>
      <c r="UHH223" s="1201"/>
      <c r="UHI223" s="1201"/>
      <c r="UHJ223" s="1201"/>
      <c r="UHK223" s="1201"/>
      <c r="UHL223" s="1201"/>
      <c r="UHM223" s="1201"/>
      <c r="UHN223" s="1201"/>
      <c r="UHO223" s="1201"/>
      <c r="UHP223" s="1201"/>
      <c r="UHQ223" s="1201"/>
      <c r="UHR223" s="1201"/>
      <c r="UHS223" s="1201"/>
      <c r="UHT223" s="1201"/>
      <c r="UHU223" s="1201"/>
      <c r="UHV223" s="1201"/>
      <c r="UHW223" s="1201"/>
      <c r="UHX223" s="1201"/>
      <c r="UHY223" s="1201"/>
      <c r="UHZ223" s="1201"/>
      <c r="UIA223" s="1201"/>
      <c r="UIB223" s="1201"/>
      <c r="UIC223" s="1201"/>
      <c r="UID223" s="1201"/>
      <c r="UIE223" s="1201"/>
      <c r="UIF223" s="1201"/>
      <c r="UIG223" s="1201"/>
      <c r="UIH223" s="1201"/>
      <c r="UII223" s="1201"/>
      <c r="UIJ223" s="1201"/>
      <c r="UIK223" s="1201"/>
      <c r="UIL223" s="1201"/>
      <c r="UIM223" s="1201"/>
      <c r="UIN223" s="1201"/>
      <c r="UIO223" s="1201"/>
      <c r="UIP223" s="1201"/>
      <c r="UIQ223" s="1201"/>
      <c r="UIR223" s="1201"/>
      <c r="UIS223" s="1201"/>
      <c r="UIT223" s="1201"/>
      <c r="UIU223" s="1201"/>
      <c r="UIV223" s="1201"/>
      <c r="UIW223" s="1201"/>
      <c r="UIX223" s="1201"/>
      <c r="UIY223" s="1201"/>
      <c r="UIZ223" s="1201"/>
      <c r="UJA223" s="1201"/>
      <c r="UJB223" s="1201"/>
      <c r="UJC223" s="1201"/>
      <c r="UJD223" s="1201"/>
      <c r="UJE223" s="1201"/>
      <c r="UJF223" s="1201"/>
      <c r="UJG223" s="1201"/>
      <c r="UJH223" s="1201"/>
      <c r="UJI223" s="1201"/>
      <c r="UJJ223" s="1201"/>
      <c r="UJK223" s="1201"/>
      <c r="UJL223" s="1201"/>
      <c r="UJM223" s="1201"/>
      <c r="UJN223" s="1201"/>
      <c r="UJO223" s="1201"/>
      <c r="UJP223" s="1201"/>
      <c r="UJQ223" s="1201"/>
      <c r="UJR223" s="1201"/>
      <c r="UJS223" s="1201"/>
      <c r="UJT223" s="1201"/>
      <c r="UJU223" s="1201"/>
      <c r="UJV223" s="1201"/>
      <c r="UJW223" s="1201"/>
      <c r="UJX223" s="1201"/>
      <c r="UJY223" s="1201"/>
      <c r="UJZ223" s="1201"/>
      <c r="UKA223" s="1201"/>
      <c r="UKB223" s="1201"/>
      <c r="UKC223" s="1201"/>
      <c r="UKD223" s="1201"/>
      <c r="UKE223" s="1201"/>
      <c r="UKF223" s="1201"/>
      <c r="UKG223" s="1201"/>
      <c r="UKH223" s="1201"/>
      <c r="UKI223" s="1201"/>
      <c r="UKJ223" s="1201"/>
      <c r="UKK223" s="1201"/>
      <c r="UKL223" s="1201"/>
      <c r="UKM223" s="1201"/>
      <c r="UKN223" s="1201"/>
      <c r="UKO223" s="1201"/>
      <c r="UKP223" s="1201"/>
      <c r="UKQ223" s="1201"/>
      <c r="UKR223" s="1201"/>
      <c r="UKS223" s="1201"/>
      <c r="UKT223" s="1201"/>
      <c r="UKU223" s="1201"/>
      <c r="UKV223" s="1201"/>
      <c r="UKW223" s="1201"/>
      <c r="UKX223" s="1201"/>
      <c r="UKY223" s="1201"/>
      <c r="UKZ223" s="1201"/>
      <c r="ULA223" s="1201"/>
      <c r="ULB223" s="1201"/>
      <c r="ULC223" s="1201"/>
      <c r="ULD223" s="1201"/>
      <c r="ULE223" s="1201"/>
      <c r="ULF223" s="1201"/>
      <c r="ULG223" s="1201"/>
      <c r="ULH223" s="1201"/>
      <c r="ULI223" s="1201"/>
      <c r="ULJ223" s="1201"/>
      <c r="ULK223" s="1201"/>
      <c r="ULL223" s="1201"/>
      <c r="ULM223" s="1201"/>
      <c r="ULN223" s="1201"/>
      <c r="ULO223" s="1201"/>
      <c r="ULP223" s="1201"/>
      <c r="ULQ223" s="1201"/>
      <c r="ULR223" s="1201"/>
      <c r="ULS223" s="1201"/>
      <c r="ULT223" s="1201"/>
      <c r="ULU223" s="1201"/>
      <c r="ULV223" s="1201"/>
      <c r="ULW223" s="1201"/>
      <c r="ULX223" s="1201"/>
      <c r="ULY223" s="1201"/>
      <c r="ULZ223" s="1201"/>
      <c r="UMA223" s="1201"/>
      <c r="UMB223" s="1201"/>
      <c r="UMC223" s="1201"/>
      <c r="UMD223" s="1201"/>
      <c r="UME223" s="1201"/>
      <c r="UMF223" s="1201"/>
      <c r="UMG223" s="1201"/>
      <c r="UMH223" s="1201"/>
      <c r="UMI223" s="1201"/>
      <c r="UMJ223" s="1201"/>
      <c r="UMK223" s="1201"/>
      <c r="UML223" s="1201"/>
      <c r="UMM223" s="1201"/>
      <c r="UMN223" s="1201"/>
      <c r="UMO223" s="1201"/>
      <c r="UMP223" s="1201"/>
      <c r="UMQ223" s="1201"/>
      <c r="UMR223" s="1201"/>
      <c r="UMS223" s="1201"/>
      <c r="UMT223" s="1201"/>
      <c r="UMU223" s="1201"/>
      <c r="UMV223" s="1201"/>
      <c r="UMW223" s="1201"/>
      <c r="UMX223" s="1201"/>
      <c r="UMY223" s="1201"/>
      <c r="UMZ223" s="1201"/>
      <c r="UNA223" s="1201"/>
      <c r="UNB223" s="1201"/>
      <c r="UNC223" s="1201"/>
      <c r="UND223" s="1201"/>
      <c r="UNE223" s="1201"/>
      <c r="UNF223" s="1201"/>
      <c r="UNG223" s="1201"/>
      <c r="UNH223" s="1201"/>
      <c r="UNI223" s="1201"/>
      <c r="UNJ223" s="1201"/>
      <c r="UNK223" s="1201"/>
      <c r="UNL223" s="1201"/>
      <c r="UNM223" s="1201"/>
      <c r="UNN223" s="1201"/>
      <c r="UNO223" s="1201"/>
      <c r="UNP223" s="1201"/>
      <c r="UNQ223" s="1201"/>
      <c r="UNR223" s="1201"/>
      <c r="UNS223" s="1201"/>
      <c r="UNT223" s="1201"/>
      <c r="UNU223" s="1201"/>
      <c r="UNV223" s="1201"/>
      <c r="UNW223" s="1201"/>
      <c r="UNX223" s="1201"/>
      <c r="UNY223" s="1201"/>
      <c r="UNZ223" s="1201"/>
      <c r="UOA223" s="1201"/>
      <c r="UOB223" s="1201"/>
      <c r="UOC223" s="1201"/>
      <c r="UOD223" s="1201"/>
      <c r="UOE223" s="1201"/>
      <c r="UOF223" s="1201"/>
      <c r="UOG223" s="1201"/>
      <c r="UOH223" s="1201"/>
      <c r="UOI223" s="1201"/>
      <c r="UOJ223" s="1201"/>
      <c r="UOK223" s="1201"/>
      <c r="UOL223" s="1201"/>
      <c r="UOM223" s="1201"/>
      <c r="UON223" s="1201"/>
      <c r="UOO223" s="1201"/>
      <c r="UOP223" s="1201"/>
      <c r="UOQ223" s="1201"/>
      <c r="UOR223" s="1201"/>
      <c r="UOS223" s="1201"/>
      <c r="UOT223" s="1201"/>
      <c r="UOU223" s="1201"/>
      <c r="UOV223" s="1201"/>
      <c r="UOW223" s="1201"/>
      <c r="UOX223" s="1201"/>
      <c r="UOY223" s="1201"/>
      <c r="UOZ223" s="1201"/>
      <c r="UPA223" s="1201"/>
      <c r="UPB223" s="1201"/>
      <c r="UPC223" s="1201"/>
      <c r="UPD223" s="1201"/>
      <c r="UPE223" s="1201"/>
      <c r="UPF223" s="1201"/>
      <c r="UPG223" s="1201"/>
      <c r="UPH223" s="1201"/>
      <c r="UPI223" s="1201"/>
      <c r="UPJ223" s="1201"/>
      <c r="UPK223" s="1201"/>
      <c r="UPL223" s="1201"/>
      <c r="UPM223" s="1201"/>
      <c r="UPN223" s="1201"/>
      <c r="UPO223" s="1201"/>
      <c r="UPP223" s="1201"/>
      <c r="UPQ223" s="1201"/>
      <c r="UPR223" s="1201"/>
      <c r="UPS223" s="1201"/>
      <c r="UPT223" s="1201"/>
      <c r="UPU223" s="1201"/>
      <c r="UPV223" s="1201"/>
      <c r="UPW223" s="1201"/>
      <c r="UPX223" s="1201"/>
      <c r="UPY223" s="1201"/>
      <c r="UPZ223" s="1201"/>
      <c r="UQA223" s="1201"/>
      <c r="UQB223" s="1201"/>
      <c r="UQC223" s="1201"/>
      <c r="UQD223" s="1201"/>
      <c r="UQE223" s="1201"/>
      <c r="UQF223" s="1201"/>
      <c r="UQG223" s="1201"/>
      <c r="UQH223" s="1201"/>
      <c r="UQI223" s="1201"/>
      <c r="UQJ223" s="1201"/>
      <c r="UQK223" s="1201"/>
      <c r="UQL223" s="1201"/>
      <c r="UQM223" s="1201"/>
      <c r="UQN223" s="1201"/>
      <c r="UQO223" s="1201"/>
      <c r="UQP223" s="1201"/>
      <c r="UQQ223" s="1201"/>
      <c r="UQR223" s="1201"/>
      <c r="UQS223" s="1201"/>
      <c r="UQT223" s="1201"/>
      <c r="UQU223" s="1201"/>
      <c r="UQV223" s="1201"/>
      <c r="UQW223" s="1201"/>
      <c r="UQX223" s="1201"/>
      <c r="UQY223" s="1201"/>
      <c r="UQZ223" s="1201"/>
      <c r="URA223" s="1201"/>
      <c r="URB223" s="1201"/>
      <c r="URC223" s="1201"/>
      <c r="URD223" s="1201"/>
      <c r="URE223" s="1201"/>
      <c r="URF223" s="1201"/>
      <c r="URG223" s="1201"/>
      <c r="URH223" s="1201"/>
      <c r="URI223" s="1201"/>
      <c r="URJ223" s="1201"/>
      <c r="URK223" s="1201"/>
      <c r="URL223" s="1201"/>
      <c r="URM223" s="1201"/>
      <c r="URN223" s="1201"/>
      <c r="URO223" s="1201"/>
      <c r="URP223" s="1201"/>
      <c r="URQ223" s="1201"/>
      <c r="URR223" s="1201"/>
      <c r="URS223" s="1201"/>
      <c r="URT223" s="1201"/>
      <c r="URU223" s="1201"/>
      <c r="URV223" s="1201"/>
      <c r="URW223" s="1201"/>
      <c r="URX223" s="1201"/>
      <c r="URY223" s="1201"/>
      <c r="URZ223" s="1201"/>
      <c r="USA223" s="1201"/>
      <c r="USB223" s="1201"/>
      <c r="USC223" s="1201"/>
      <c r="USD223" s="1201"/>
      <c r="USE223" s="1201"/>
      <c r="USF223" s="1201"/>
      <c r="USG223" s="1201"/>
      <c r="USH223" s="1201"/>
      <c r="USI223" s="1201"/>
      <c r="USJ223" s="1201"/>
      <c r="USK223" s="1201"/>
      <c r="USL223" s="1201"/>
      <c r="USM223" s="1201"/>
      <c r="USN223" s="1201"/>
      <c r="USO223" s="1201"/>
      <c r="USP223" s="1201"/>
      <c r="USQ223" s="1201"/>
      <c r="USR223" s="1201"/>
      <c r="USS223" s="1201"/>
      <c r="UST223" s="1201"/>
      <c r="USU223" s="1201"/>
      <c r="USV223" s="1201"/>
      <c r="USW223" s="1201"/>
      <c r="USX223" s="1201"/>
      <c r="USY223" s="1201"/>
      <c r="USZ223" s="1201"/>
      <c r="UTA223" s="1201"/>
      <c r="UTB223" s="1201"/>
      <c r="UTC223" s="1201"/>
      <c r="UTD223" s="1201"/>
      <c r="UTE223" s="1201"/>
      <c r="UTF223" s="1201"/>
      <c r="UTG223" s="1201"/>
      <c r="UTH223" s="1201"/>
      <c r="UTI223" s="1201"/>
      <c r="UTJ223" s="1201"/>
      <c r="UTK223" s="1201"/>
      <c r="UTL223" s="1201"/>
      <c r="UTM223" s="1201"/>
      <c r="UTN223" s="1201"/>
      <c r="UTO223" s="1201"/>
      <c r="UTP223" s="1201"/>
      <c r="UTQ223" s="1201"/>
      <c r="UTR223" s="1201"/>
      <c r="UTS223" s="1201"/>
      <c r="UTT223" s="1201"/>
      <c r="UTU223" s="1201"/>
      <c r="UTV223" s="1201"/>
      <c r="UTW223" s="1201"/>
      <c r="UTX223" s="1201"/>
      <c r="UTY223" s="1201"/>
      <c r="UTZ223" s="1201"/>
      <c r="UUA223" s="1201"/>
      <c r="UUB223" s="1201"/>
      <c r="UUC223" s="1201"/>
      <c r="UUD223" s="1201"/>
      <c r="UUE223" s="1201"/>
      <c r="UUF223" s="1201"/>
      <c r="UUG223" s="1201"/>
      <c r="UUH223" s="1201"/>
      <c r="UUI223" s="1201"/>
      <c r="UUJ223" s="1201"/>
      <c r="UUK223" s="1201"/>
      <c r="UUL223" s="1201"/>
      <c r="UUM223" s="1201"/>
      <c r="UUN223" s="1201"/>
      <c r="UUO223" s="1201"/>
      <c r="UUP223" s="1201"/>
      <c r="UUQ223" s="1201"/>
      <c r="UUR223" s="1201"/>
      <c r="UUS223" s="1201"/>
      <c r="UUT223" s="1201"/>
      <c r="UUU223" s="1201"/>
      <c r="UUV223" s="1201"/>
      <c r="UUW223" s="1201"/>
      <c r="UUX223" s="1201"/>
      <c r="UUY223" s="1201"/>
      <c r="UUZ223" s="1201"/>
      <c r="UVA223" s="1201"/>
      <c r="UVB223" s="1201"/>
      <c r="UVC223" s="1201"/>
      <c r="UVD223" s="1201"/>
      <c r="UVE223" s="1201"/>
      <c r="UVF223" s="1201"/>
      <c r="UVG223" s="1201"/>
      <c r="UVH223" s="1201"/>
      <c r="UVI223" s="1201"/>
      <c r="UVJ223" s="1201"/>
      <c r="UVK223" s="1201"/>
      <c r="UVL223" s="1201"/>
      <c r="UVM223" s="1201"/>
      <c r="UVN223" s="1201"/>
      <c r="UVO223" s="1201"/>
      <c r="UVP223" s="1201"/>
      <c r="UVQ223" s="1201"/>
      <c r="UVR223" s="1201"/>
      <c r="UVS223" s="1201"/>
      <c r="UVT223" s="1201"/>
      <c r="UVU223" s="1201"/>
      <c r="UVV223" s="1201"/>
      <c r="UVW223" s="1201"/>
      <c r="UVX223" s="1201"/>
      <c r="UVY223" s="1201"/>
      <c r="UVZ223" s="1201"/>
      <c r="UWA223" s="1201"/>
      <c r="UWB223" s="1201"/>
      <c r="UWC223" s="1201"/>
      <c r="UWD223" s="1201"/>
      <c r="UWE223" s="1201"/>
      <c r="UWF223" s="1201"/>
      <c r="UWG223" s="1201"/>
      <c r="UWH223" s="1201"/>
      <c r="UWI223" s="1201"/>
      <c r="UWJ223" s="1201"/>
      <c r="UWK223" s="1201"/>
      <c r="UWL223" s="1201"/>
      <c r="UWM223" s="1201"/>
      <c r="UWN223" s="1201"/>
      <c r="UWO223" s="1201"/>
      <c r="UWP223" s="1201"/>
      <c r="UWQ223" s="1201"/>
      <c r="UWR223" s="1201"/>
      <c r="UWS223" s="1201"/>
      <c r="UWT223" s="1201"/>
      <c r="UWU223" s="1201"/>
      <c r="UWV223" s="1201"/>
      <c r="UWW223" s="1201"/>
      <c r="UWX223" s="1201"/>
      <c r="UWY223" s="1201"/>
      <c r="UWZ223" s="1201"/>
      <c r="UXA223" s="1201"/>
      <c r="UXB223" s="1201"/>
      <c r="UXC223" s="1201"/>
      <c r="UXD223" s="1201"/>
      <c r="UXE223" s="1201"/>
      <c r="UXF223" s="1201"/>
      <c r="UXG223" s="1201"/>
      <c r="UXH223" s="1201"/>
      <c r="UXI223" s="1201"/>
      <c r="UXJ223" s="1201"/>
      <c r="UXK223" s="1201"/>
      <c r="UXL223" s="1201"/>
      <c r="UXM223" s="1201"/>
      <c r="UXN223" s="1201"/>
      <c r="UXO223" s="1201"/>
      <c r="UXP223" s="1201"/>
      <c r="UXQ223" s="1201"/>
      <c r="UXR223" s="1201"/>
      <c r="UXS223" s="1201"/>
      <c r="UXT223" s="1201"/>
      <c r="UXU223" s="1201"/>
      <c r="UXV223" s="1201"/>
      <c r="UXW223" s="1201"/>
      <c r="UXX223" s="1201"/>
      <c r="UXY223" s="1201"/>
      <c r="UXZ223" s="1201"/>
      <c r="UYA223" s="1201"/>
      <c r="UYB223" s="1201"/>
      <c r="UYC223" s="1201"/>
      <c r="UYD223" s="1201"/>
      <c r="UYE223" s="1201"/>
      <c r="UYF223" s="1201"/>
      <c r="UYG223" s="1201"/>
      <c r="UYH223" s="1201"/>
      <c r="UYI223" s="1201"/>
      <c r="UYJ223" s="1201"/>
      <c r="UYK223" s="1201"/>
      <c r="UYL223" s="1201"/>
      <c r="UYM223" s="1201"/>
      <c r="UYN223" s="1201"/>
      <c r="UYO223" s="1201"/>
      <c r="UYP223" s="1201"/>
      <c r="UYQ223" s="1201"/>
      <c r="UYR223" s="1201"/>
      <c r="UYS223" s="1201"/>
      <c r="UYT223" s="1201"/>
      <c r="UYU223" s="1201"/>
      <c r="UYV223" s="1201"/>
      <c r="UYW223" s="1201"/>
      <c r="UYX223" s="1201"/>
      <c r="UYY223" s="1201"/>
      <c r="UYZ223" s="1201"/>
      <c r="UZA223" s="1201"/>
      <c r="UZB223" s="1201"/>
      <c r="UZC223" s="1201"/>
      <c r="UZD223" s="1201"/>
      <c r="UZE223" s="1201"/>
      <c r="UZF223" s="1201"/>
      <c r="UZG223" s="1201"/>
      <c r="UZH223" s="1201"/>
      <c r="UZI223" s="1201"/>
      <c r="UZJ223" s="1201"/>
      <c r="UZK223" s="1201"/>
      <c r="UZL223" s="1201"/>
      <c r="UZM223" s="1201"/>
      <c r="UZN223" s="1201"/>
      <c r="UZO223" s="1201"/>
      <c r="UZP223" s="1201"/>
      <c r="UZQ223" s="1201"/>
      <c r="UZR223" s="1201"/>
      <c r="UZS223" s="1201"/>
      <c r="UZT223" s="1201"/>
      <c r="UZU223" s="1201"/>
      <c r="UZV223" s="1201"/>
      <c r="UZW223" s="1201"/>
      <c r="UZX223" s="1201"/>
      <c r="UZY223" s="1201"/>
      <c r="UZZ223" s="1201"/>
      <c r="VAA223" s="1201"/>
      <c r="VAB223" s="1201"/>
      <c r="VAC223" s="1201"/>
      <c r="VAD223" s="1201"/>
      <c r="VAE223" s="1201"/>
      <c r="VAF223" s="1201"/>
      <c r="VAG223" s="1201"/>
      <c r="VAH223" s="1201"/>
      <c r="VAI223" s="1201"/>
      <c r="VAJ223" s="1201"/>
      <c r="VAK223" s="1201"/>
      <c r="VAL223" s="1201"/>
      <c r="VAM223" s="1201"/>
      <c r="VAN223" s="1201"/>
      <c r="VAO223" s="1201"/>
      <c r="VAP223" s="1201"/>
      <c r="VAQ223" s="1201"/>
      <c r="VAR223" s="1201"/>
      <c r="VAS223" s="1201"/>
      <c r="VAT223" s="1201"/>
      <c r="VAU223" s="1201"/>
      <c r="VAV223" s="1201"/>
      <c r="VAW223" s="1201"/>
      <c r="VAX223" s="1201"/>
      <c r="VAY223" s="1201"/>
      <c r="VAZ223" s="1201"/>
      <c r="VBA223" s="1201"/>
      <c r="VBB223" s="1201"/>
      <c r="VBC223" s="1201"/>
      <c r="VBD223" s="1201"/>
      <c r="VBE223" s="1201"/>
      <c r="VBF223" s="1201"/>
      <c r="VBG223" s="1201"/>
      <c r="VBH223" s="1201"/>
      <c r="VBI223" s="1201"/>
      <c r="VBJ223" s="1201"/>
      <c r="VBK223" s="1201"/>
      <c r="VBL223" s="1201"/>
      <c r="VBM223" s="1201"/>
      <c r="VBN223" s="1201"/>
      <c r="VBO223" s="1201"/>
      <c r="VBP223" s="1201"/>
      <c r="VBQ223" s="1201"/>
      <c r="VBR223" s="1201"/>
      <c r="VBS223" s="1201"/>
      <c r="VBT223" s="1201"/>
      <c r="VBU223" s="1201"/>
      <c r="VBV223" s="1201"/>
      <c r="VBW223" s="1201"/>
      <c r="VBX223" s="1201"/>
      <c r="VBY223" s="1201"/>
      <c r="VBZ223" s="1201"/>
      <c r="VCA223" s="1201"/>
      <c r="VCB223" s="1201"/>
      <c r="VCC223" s="1201"/>
      <c r="VCD223" s="1201"/>
      <c r="VCE223" s="1201"/>
      <c r="VCF223" s="1201"/>
      <c r="VCG223" s="1201"/>
      <c r="VCH223" s="1201"/>
      <c r="VCI223" s="1201"/>
      <c r="VCJ223" s="1201"/>
      <c r="VCK223" s="1201"/>
      <c r="VCL223" s="1201"/>
      <c r="VCM223" s="1201"/>
      <c r="VCN223" s="1201"/>
      <c r="VCO223" s="1201"/>
      <c r="VCP223" s="1201"/>
      <c r="VCQ223" s="1201"/>
      <c r="VCR223" s="1201"/>
      <c r="VCS223" s="1201"/>
      <c r="VCT223" s="1201"/>
      <c r="VCU223" s="1201"/>
      <c r="VCV223" s="1201"/>
      <c r="VCW223" s="1201"/>
      <c r="VCX223" s="1201"/>
      <c r="VCY223" s="1201"/>
      <c r="VCZ223" s="1201"/>
      <c r="VDA223" s="1201"/>
      <c r="VDB223" s="1201"/>
      <c r="VDC223" s="1201"/>
      <c r="VDD223" s="1201"/>
      <c r="VDE223" s="1201"/>
      <c r="VDF223" s="1201"/>
      <c r="VDG223" s="1201"/>
      <c r="VDH223" s="1201"/>
      <c r="VDI223" s="1201"/>
      <c r="VDJ223" s="1201"/>
      <c r="VDK223" s="1201"/>
      <c r="VDL223" s="1201"/>
      <c r="VDM223" s="1201"/>
      <c r="VDN223" s="1201"/>
      <c r="VDO223" s="1201"/>
      <c r="VDP223" s="1201"/>
      <c r="VDQ223" s="1201"/>
      <c r="VDR223" s="1201"/>
      <c r="VDS223" s="1201"/>
      <c r="VDT223" s="1201"/>
      <c r="VDU223" s="1201"/>
      <c r="VDV223" s="1201"/>
      <c r="VDW223" s="1201"/>
      <c r="VDX223" s="1201"/>
      <c r="VDY223" s="1201"/>
      <c r="VDZ223" s="1201"/>
      <c r="VEA223" s="1201"/>
      <c r="VEB223" s="1201"/>
      <c r="VEC223" s="1201"/>
      <c r="VED223" s="1201"/>
      <c r="VEE223" s="1201"/>
      <c r="VEF223" s="1201"/>
      <c r="VEG223" s="1201"/>
      <c r="VEH223" s="1201"/>
      <c r="VEI223" s="1201"/>
      <c r="VEJ223" s="1201"/>
      <c r="VEK223" s="1201"/>
      <c r="VEL223" s="1201"/>
      <c r="VEM223" s="1201"/>
      <c r="VEN223" s="1201"/>
      <c r="VEO223" s="1201"/>
      <c r="VEP223" s="1201"/>
      <c r="VEQ223" s="1201"/>
      <c r="VER223" s="1201"/>
      <c r="VES223" s="1201"/>
      <c r="VET223" s="1201"/>
      <c r="VEU223" s="1201"/>
      <c r="VEV223" s="1201"/>
      <c r="VEW223" s="1201"/>
      <c r="VEX223" s="1201"/>
      <c r="VEY223" s="1201"/>
      <c r="VEZ223" s="1201"/>
      <c r="VFA223" s="1201"/>
      <c r="VFB223" s="1201"/>
      <c r="VFC223" s="1201"/>
      <c r="VFD223" s="1201"/>
      <c r="VFE223" s="1201"/>
      <c r="VFF223" s="1201"/>
      <c r="VFG223" s="1201"/>
      <c r="VFH223" s="1201"/>
      <c r="VFI223" s="1201"/>
      <c r="VFJ223" s="1201"/>
      <c r="VFK223" s="1201"/>
      <c r="VFL223" s="1201"/>
      <c r="VFM223" s="1201"/>
      <c r="VFN223" s="1201"/>
      <c r="VFO223" s="1201"/>
      <c r="VFP223" s="1201"/>
      <c r="VFQ223" s="1201"/>
      <c r="VFR223" s="1201"/>
      <c r="VFS223" s="1201"/>
      <c r="VFT223" s="1201"/>
      <c r="VFU223" s="1201"/>
      <c r="VFV223" s="1201"/>
      <c r="VFW223" s="1201"/>
      <c r="VFX223" s="1201"/>
      <c r="VFY223" s="1201"/>
      <c r="VFZ223" s="1201"/>
      <c r="VGA223" s="1201"/>
      <c r="VGB223" s="1201"/>
      <c r="VGC223" s="1201"/>
      <c r="VGD223" s="1201"/>
      <c r="VGE223" s="1201"/>
      <c r="VGF223" s="1201"/>
      <c r="VGG223" s="1201"/>
      <c r="VGH223" s="1201"/>
      <c r="VGI223" s="1201"/>
      <c r="VGJ223" s="1201"/>
      <c r="VGK223" s="1201"/>
      <c r="VGL223" s="1201"/>
      <c r="VGM223" s="1201"/>
      <c r="VGN223" s="1201"/>
      <c r="VGO223" s="1201"/>
      <c r="VGP223" s="1201"/>
      <c r="VGQ223" s="1201"/>
      <c r="VGR223" s="1201"/>
      <c r="VGS223" s="1201"/>
      <c r="VGT223" s="1201"/>
      <c r="VGU223" s="1201"/>
      <c r="VGV223" s="1201"/>
      <c r="VGW223" s="1201"/>
      <c r="VGX223" s="1201"/>
      <c r="VGY223" s="1201"/>
      <c r="VGZ223" s="1201"/>
      <c r="VHA223" s="1201"/>
      <c r="VHB223" s="1201"/>
      <c r="VHC223" s="1201"/>
      <c r="VHD223" s="1201"/>
      <c r="VHE223" s="1201"/>
      <c r="VHF223" s="1201"/>
      <c r="VHG223" s="1201"/>
      <c r="VHH223" s="1201"/>
      <c r="VHI223" s="1201"/>
      <c r="VHJ223" s="1201"/>
      <c r="VHK223" s="1201"/>
      <c r="VHL223" s="1201"/>
      <c r="VHM223" s="1201"/>
      <c r="VHN223" s="1201"/>
      <c r="VHO223" s="1201"/>
      <c r="VHP223" s="1201"/>
      <c r="VHQ223" s="1201"/>
      <c r="VHR223" s="1201"/>
      <c r="VHS223" s="1201"/>
      <c r="VHT223" s="1201"/>
      <c r="VHU223" s="1201"/>
      <c r="VHV223" s="1201"/>
      <c r="VHW223" s="1201"/>
      <c r="VHX223" s="1201"/>
      <c r="VHY223" s="1201"/>
      <c r="VHZ223" s="1201"/>
      <c r="VIA223" s="1201"/>
      <c r="VIB223" s="1201"/>
      <c r="VIC223" s="1201"/>
      <c r="VID223" s="1201"/>
      <c r="VIE223" s="1201"/>
      <c r="VIF223" s="1201"/>
      <c r="VIG223" s="1201"/>
      <c r="VIH223" s="1201"/>
      <c r="VII223" s="1201"/>
      <c r="VIJ223" s="1201"/>
      <c r="VIK223" s="1201"/>
      <c r="VIL223" s="1201"/>
      <c r="VIM223" s="1201"/>
      <c r="VIN223" s="1201"/>
      <c r="VIO223" s="1201"/>
      <c r="VIP223" s="1201"/>
      <c r="VIQ223" s="1201"/>
      <c r="VIR223" s="1201"/>
      <c r="VIS223" s="1201"/>
      <c r="VIT223" s="1201"/>
      <c r="VIU223" s="1201"/>
      <c r="VIV223" s="1201"/>
      <c r="VIW223" s="1201"/>
      <c r="VIX223" s="1201"/>
      <c r="VIY223" s="1201"/>
      <c r="VIZ223" s="1201"/>
      <c r="VJA223" s="1201"/>
      <c r="VJB223" s="1201"/>
      <c r="VJC223" s="1201"/>
      <c r="VJD223" s="1201"/>
      <c r="VJE223" s="1201"/>
      <c r="VJF223" s="1201"/>
      <c r="VJG223" s="1201"/>
      <c r="VJH223" s="1201"/>
      <c r="VJI223" s="1201"/>
      <c r="VJJ223" s="1201"/>
      <c r="VJK223" s="1201"/>
      <c r="VJL223" s="1201"/>
      <c r="VJM223" s="1201"/>
      <c r="VJN223" s="1201"/>
      <c r="VJO223" s="1201"/>
      <c r="VJP223" s="1201"/>
      <c r="VJQ223" s="1201"/>
      <c r="VJR223" s="1201"/>
      <c r="VJS223" s="1201"/>
      <c r="VJT223" s="1201"/>
      <c r="VJU223" s="1201"/>
      <c r="VJV223" s="1201"/>
      <c r="VJW223" s="1201"/>
      <c r="VJX223" s="1201"/>
      <c r="VJY223" s="1201"/>
      <c r="VJZ223" s="1201"/>
      <c r="VKA223" s="1201"/>
      <c r="VKB223" s="1201"/>
      <c r="VKC223" s="1201"/>
      <c r="VKD223" s="1201"/>
      <c r="VKE223" s="1201"/>
      <c r="VKF223" s="1201"/>
      <c r="VKG223" s="1201"/>
      <c r="VKH223" s="1201"/>
      <c r="VKI223" s="1201"/>
      <c r="VKJ223" s="1201"/>
      <c r="VKK223" s="1201"/>
      <c r="VKL223" s="1201"/>
      <c r="VKM223" s="1201"/>
      <c r="VKN223" s="1201"/>
      <c r="VKO223" s="1201"/>
      <c r="VKP223" s="1201"/>
      <c r="VKQ223" s="1201"/>
      <c r="VKR223" s="1201"/>
      <c r="VKS223" s="1201"/>
      <c r="VKT223" s="1201"/>
      <c r="VKU223" s="1201"/>
      <c r="VKV223" s="1201"/>
      <c r="VKW223" s="1201"/>
      <c r="VKX223" s="1201"/>
      <c r="VKY223" s="1201"/>
      <c r="VKZ223" s="1201"/>
      <c r="VLA223" s="1201"/>
      <c r="VLB223" s="1201"/>
      <c r="VLC223" s="1201"/>
      <c r="VLD223" s="1201"/>
      <c r="VLE223" s="1201"/>
      <c r="VLF223" s="1201"/>
      <c r="VLG223" s="1201"/>
      <c r="VLH223" s="1201"/>
      <c r="VLI223" s="1201"/>
      <c r="VLJ223" s="1201"/>
      <c r="VLK223" s="1201"/>
      <c r="VLL223" s="1201"/>
      <c r="VLM223" s="1201"/>
      <c r="VLN223" s="1201"/>
      <c r="VLO223" s="1201"/>
      <c r="VLP223" s="1201"/>
      <c r="VLQ223" s="1201"/>
      <c r="VLR223" s="1201"/>
      <c r="VLS223" s="1201"/>
      <c r="VLT223" s="1201"/>
      <c r="VLU223" s="1201"/>
      <c r="VLV223" s="1201"/>
      <c r="VLW223" s="1201"/>
      <c r="VLX223" s="1201"/>
      <c r="VLY223" s="1201"/>
      <c r="VLZ223" s="1201"/>
      <c r="VMA223" s="1201"/>
      <c r="VMB223" s="1201"/>
      <c r="VMC223" s="1201"/>
      <c r="VMD223" s="1201"/>
      <c r="VME223" s="1201"/>
      <c r="VMF223" s="1201"/>
      <c r="VMG223" s="1201"/>
      <c r="VMH223" s="1201"/>
      <c r="VMI223" s="1201"/>
      <c r="VMJ223" s="1201"/>
      <c r="VMK223" s="1201"/>
      <c r="VML223" s="1201"/>
      <c r="VMM223" s="1201"/>
      <c r="VMN223" s="1201"/>
      <c r="VMO223" s="1201"/>
      <c r="VMP223" s="1201"/>
      <c r="VMQ223" s="1201"/>
      <c r="VMR223" s="1201"/>
      <c r="VMS223" s="1201"/>
      <c r="VMT223" s="1201"/>
      <c r="VMU223" s="1201"/>
      <c r="VMV223" s="1201"/>
      <c r="VMW223" s="1201"/>
      <c r="VMX223" s="1201"/>
      <c r="VMY223" s="1201"/>
      <c r="VMZ223" s="1201"/>
      <c r="VNA223" s="1201"/>
      <c r="VNB223" s="1201"/>
      <c r="VNC223" s="1201"/>
      <c r="VND223" s="1201"/>
      <c r="VNE223" s="1201"/>
      <c r="VNF223" s="1201"/>
      <c r="VNG223" s="1201"/>
      <c r="VNH223" s="1201"/>
      <c r="VNI223" s="1201"/>
      <c r="VNJ223" s="1201"/>
      <c r="VNK223" s="1201"/>
      <c r="VNL223" s="1201"/>
      <c r="VNM223" s="1201"/>
      <c r="VNN223" s="1201"/>
      <c r="VNO223" s="1201"/>
      <c r="VNP223" s="1201"/>
      <c r="VNQ223" s="1201"/>
      <c r="VNR223" s="1201"/>
      <c r="VNS223" s="1201"/>
      <c r="VNT223" s="1201"/>
      <c r="VNU223" s="1201"/>
      <c r="VNV223" s="1201"/>
      <c r="VNW223" s="1201"/>
      <c r="VNX223" s="1201"/>
      <c r="VNY223" s="1201"/>
      <c r="VNZ223" s="1201"/>
      <c r="VOA223" s="1201"/>
      <c r="VOB223" s="1201"/>
      <c r="VOC223" s="1201"/>
      <c r="VOD223" s="1201"/>
      <c r="VOE223" s="1201"/>
      <c r="VOF223" s="1201"/>
      <c r="VOG223" s="1201"/>
      <c r="VOH223" s="1201"/>
      <c r="VOI223" s="1201"/>
      <c r="VOJ223" s="1201"/>
      <c r="VOK223" s="1201"/>
      <c r="VOL223" s="1201"/>
      <c r="VOM223" s="1201"/>
      <c r="VON223" s="1201"/>
      <c r="VOO223" s="1201"/>
      <c r="VOP223" s="1201"/>
      <c r="VOQ223" s="1201"/>
      <c r="VOR223" s="1201"/>
      <c r="VOS223" s="1201"/>
      <c r="VOT223" s="1201"/>
      <c r="VOU223" s="1201"/>
      <c r="VOV223" s="1201"/>
      <c r="VOW223" s="1201"/>
      <c r="VOX223" s="1201"/>
      <c r="VOY223" s="1201"/>
      <c r="VOZ223" s="1201"/>
      <c r="VPA223" s="1201"/>
      <c r="VPB223" s="1201"/>
      <c r="VPC223" s="1201"/>
      <c r="VPD223" s="1201"/>
      <c r="VPE223" s="1201"/>
      <c r="VPF223" s="1201"/>
      <c r="VPG223" s="1201"/>
      <c r="VPH223" s="1201"/>
      <c r="VPI223" s="1201"/>
      <c r="VPJ223" s="1201"/>
      <c r="VPK223" s="1201"/>
      <c r="VPL223" s="1201"/>
      <c r="VPM223" s="1201"/>
      <c r="VPN223" s="1201"/>
      <c r="VPO223" s="1201"/>
      <c r="VPP223" s="1201"/>
      <c r="VPQ223" s="1201"/>
      <c r="VPR223" s="1201"/>
      <c r="VPS223" s="1201"/>
      <c r="VPT223" s="1201"/>
      <c r="VPU223" s="1201"/>
      <c r="VPV223" s="1201"/>
      <c r="VPW223" s="1201"/>
      <c r="VPX223" s="1201"/>
      <c r="VPY223" s="1201"/>
      <c r="VPZ223" s="1201"/>
      <c r="VQA223" s="1201"/>
      <c r="VQB223" s="1201"/>
      <c r="VQC223" s="1201"/>
      <c r="VQD223" s="1201"/>
      <c r="VQE223" s="1201"/>
      <c r="VQF223" s="1201"/>
      <c r="VQG223" s="1201"/>
      <c r="VQH223" s="1201"/>
      <c r="VQI223" s="1201"/>
      <c r="VQJ223" s="1201"/>
      <c r="VQK223" s="1201"/>
      <c r="VQL223" s="1201"/>
      <c r="VQM223" s="1201"/>
      <c r="VQN223" s="1201"/>
      <c r="VQO223" s="1201"/>
      <c r="VQP223" s="1201"/>
      <c r="VQQ223" s="1201"/>
      <c r="VQR223" s="1201"/>
      <c r="VQS223" s="1201"/>
      <c r="VQT223" s="1201"/>
      <c r="VQU223" s="1201"/>
      <c r="VQV223" s="1201"/>
      <c r="VQW223" s="1201"/>
      <c r="VQX223" s="1201"/>
      <c r="VQY223" s="1201"/>
      <c r="VQZ223" s="1201"/>
      <c r="VRA223" s="1201"/>
      <c r="VRB223" s="1201"/>
      <c r="VRC223" s="1201"/>
      <c r="VRD223" s="1201"/>
      <c r="VRE223" s="1201"/>
      <c r="VRF223" s="1201"/>
      <c r="VRG223" s="1201"/>
      <c r="VRH223" s="1201"/>
      <c r="VRI223" s="1201"/>
      <c r="VRJ223" s="1201"/>
      <c r="VRK223" s="1201"/>
      <c r="VRL223" s="1201"/>
      <c r="VRM223" s="1201"/>
      <c r="VRN223" s="1201"/>
      <c r="VRO223" s="1201"/>
      <c r="VRP223" s="1201"/>
      <c r="VRQ223" s="1201"/>
      <c r="VRR223" s="1201"/>
      <c r="VRS223" s="1201"/>
      <c r="VRT223" s="1201"/>
      <c r="VRU223" s="1201"/>
      <c r="VRV223" s="1201"/>
      <c r="VRW223" s="1201"/>
      <c r="VRX223" s="1201"/>
      <c r="VRY223" s="1201"/>
      <c r="VRZ223" s="1201"/>
      <c r="VSA223" s="1201"/>
      <c r="VSB223" s="1201"/>
      <c r="VSC223" s="1201"/>
      <c r="VSD223" s="1201"/>
      <c r="VSE223" s="1201"/>
      <c r="VSF223" s="1201"/>
      <c r="VSG223" s="1201"/>
      <c r="VSH223" s="1201"/>
      <c r="VSI223" s="1201"/>
      <c r="VSJ223" s="1201"/>
      <c r="VSK223" s="1201"/>
      <c r="VSL223" s="1201"/>
      <c r="VSM223" s="1201"/>
      <c r="VSN223" s="1201"/>
      <c r="VSO223" s="1201"/>
      <c r="VSP223" s="1201"/>
      <c r="VSQ223" s="1201"/>
      <c r="VSR223" s="1201"/>
      <c r="VSS223" s="1201"/>
      <c r="VST223" s="1201"/>
      <c r="VSU223" s="1201"/>
      <c r="VSV223" s="1201"/>
      <c r="VSW223" s="1201"/>
      <c r="VSX223" s="1201"/>
      <c r="VSY223" s="1201"/>
      <c r="VSZ223" s="1201"/>
      <c r="VTA223" s="1201"/>
      <c r="VTB223" s="1201"/>
      <c r="VTC223" s="1201"/>
      <c r="VTD223" s="1201"/>
      <c r="VTE223" s="1201"/>
      <c r="VTF223" s="1201"/>
      <c r="VTG223" s="1201"/>
      <c r="VTH223" s="1201"/>
      <c r="VTI223" s="1201"/>
      <c r="VTJ223" s="1201"/>
      <c r="VTK223" s="1201"/>
      <c r="VTL223" s="1201"/>
      <c r="VTM223" s="1201"/>
      <c r="VTN223" s="1201"/>
      <c r="VTO223" s="1201"/>
      <c r="VTP223" s="1201"/>
      <c r="VTQ223" s="1201"/>
      <c r="VTR223" s="1201"/>
      <c r="VTS223" s="1201"/>
      <c r="VTT223" s="1201"/>
      <c r="VTU223" s="1201"/>
      <c r="VTV223" s="1201"/>
      <c r="VTW223" s="1201"/>
      <c r="VTX223" s="1201"/>
      <c r="VTY223" s="1201"/>
      <c r="VTZ223" s="1201"/>
      <c r="VUA223" s="1201"/>
      <c r="VUB223" s="1201"/>
      <c r="VUC223" s="1201"/>
      <c r="VUD223" s="1201"/>
      <c r="VUE223" s="1201"/>
      <c r="VUF223" s="1201"/>
      <c r="VUG223" s="1201"/>
      <c r="VUH223" s="1201"/>
      <c r="VUI223" s="1201"/>
      <c r="VUJ223" s="1201"/>
      <c r="VUK223" s="1201"/>
      <c r="VUL223" s="1201"/>
      <c r="VUM223" s="1201"/>
      <c r="VUN223" s="1201"/>
      <c r="VUO223" s="1201"/>
      <c r="VUP223" s="1201"/>
      <c r="VUQ223" s="1201"/>
      <c r="VUR223" s="1201"/>
      <c r="VUS223" s="1201"/>
      <c r="VUT223" s="1201"/>
      <c r="VUU223" s="1201"/>
      <c r="VUV223" s="1201"/>
      <c r="VUW223" s="1201"/>
      <c r="VUX223" s="1201"/>
      <c r="VUY223" s="1201"/>
      <c r="VUZ223" s="1201"/>
      <c r="VVA223" s="1201"/>
      <c r="VVB223" s="1201"/>
      <c r="VVC223" s="1201"/>
      <c r="VVD223" s="1201"/>
      <c r="VVE223" s="1201"/>
      <c r="VVF223" s="1201"/>
      <c r="VVG223" s="1201"/>
      <c r="VVH223" s="1201"/>
      <c r="VVI223" s="1201"/>
      <c r="VVJ223" s="1201"/>
      <c r="VVK223" s="1201"/>
      <c r="VVL223" s="1201"/>
      <c r="VVM223" s="1201"/>
      <c r="VVN223" s="1201"/>
      <c r="VVO223" s="1201"/>
      <c r="VVP223" s="1201"/>
      <c r="VVQ223" s="1201"/>
      <c r="VVR223" s="1201"/>
      <c r="VVS223" s="1201"/>
      <c r="VVT223" s="1201"/>
      <c r="VVU223" s="1201"/>
      <c r="VVV223" s="1201"/>
      <c r="VVW223" s="1201"/>
      <c r="VVX223" s="1201"/>
      <c r="VVY223" s="1201"/>
      <c r="VVZ223" s="1201"/>
      <c r="VWA223" s="1201"/>
      <c r="VWB223" s="1201"/>
      <c r="VWC223" s="1201"/>
      <c r="VWD223" s="1201"/>
      <c r="VWE223" s="1201"/>
      <c r="VWF223" s="1201"/>
      <c r="VWG223" s="1201"/>
      <c r="VWH223" s="1201"/>
      <c r="VWI223" s="1201"/>
      <c r="VWJ223" s="1201"/>
      <c r="VWK223" s="1201"/>
      <c r="VWL223" s="1201"/>
      <c r="VWM223" s="1201"/>
      <c r="VWN223" s="1201"/>
      <c r="VWO223" s="1201"/>
      <c r="VWP223" s="1201"/>
      <c r="VWQ223" s="1201"/>
      <c r="VWR223" s="1201"/>
      <c r="VWS223" s="1201"/>
      <c r="VWT223" s="1201"/>
      <c r="VWU223" s="1201"/>
      <c r="VWV223" s="1201"/>
      <c r="VWW223" s="1201"/>
      <c r="VWX223" s="1201"/>
      <c r="VWY223" s="1201"/>
      <c r="VWZ223" s="1201"/>
      <c r="VXA223" s="1201"/>
      <c r="VXB223" s="1201"/>
      <c r="VXC223" s="1201"/>
      <c r="VXD223" s="1201"/>
      <c r="VXE223" s="1201"/>
      <c r="VXF223" s="1201"/>
      <c r="VXG223" s="1201"/>
      <c r="VXH223" s="1201"/>
      <c r="VXI223" s="1201"/>
      <c r="VXJ223" s="1201"/>
      <c r="VXK223" s="1201"/>
      <c r="VXL223" s="1201"/>
      <c r="VXM223" s="1201"/>
      <c r="VXN223" s="1201"/>
      <c r="VXO223" s="1201"/>
      <c r="VXP223" s="1201"/>
      <c r="VXQ223" s="1201"/>
      <c r="VXR223" s="1201"/>
      <c r="VXS223" s="1201"/>
      <c r="VXT223" s="1201"/>
      <c r="VXU223" s="1201"/>
      <c r="VXV223" s="1201"/>
      <c r="VXW223" s="1201"/>
      <c r="VXX223" s="1201"/>
      <c r="VXY223" s="1201"/>
      <c r="VXZ223" s="1201"/>
      <c r="VYA223" s="1201"/>
      <c r="VYB223" s="1201"/>
      <c r="VYC223" s="1201"/>
      <c r="VYD223" s="1201"/>
      <c r="VYE223" s="1201"/>
      <c r="VYF223" s="1201"/>
      <c r="VYG223" s="1201"/>
      <c r="VYH223" s="1201"/>
      <c r="VYI223" s="1201"/>
      <c r="VYJ223" s="1201"/>
      <c r="VYK223" s="1201"/>
      <c r="VYL223" s="1201"/>
      <c r="VYM223" s="1201"/>
      <c r="VYN223" s="1201"/>
      <c r="VYO223" s="1201"/>
      <c r="VYP223" s="1201"/>
      <c r="VYQ223" s="1201"/>
      <c r="VYR223" s="1201"/>
      <c r="VYS223" s="1201"/>
      <c r="VYT223" s="1201"/>
      <c r="VYU223" s="1201"/>
      <c r="VYV223" s="1201"/>
      <c r="VYW223" s="1201"/>
      <c r="VYX223" s="1201"/>
      <c r="VYY223" s="1201"/>
      <c r="VYZ223" s="1201"/>
      <c r="VZA223" s="1201"/>
      <c r="VZB223" s="1201"/>
      <c r="VZC223" s="1201"/>
      <c r="VZD223" s="1201"/>
      <c r="VZE223" s="1201"/>
      <c r="VZF223" s="1201"/>
      <c r="VZG223" s="1201"/>
      <c r="VZH223" s="1201"/>
      <c r="VZI223" s="1201"/>
      <c r="VZJ223" s="1201"/>
      <c r="VZK223" s="1201"/>
      <c r="VZL223" s="1201"/>
      <c r="VZM223" s="1201"/>
      <c r="VZN223" s="1201"/>
      <c r="VZO223" s="1201"/>
      <c r="VZP223" s="1201"/>
      <c r="VZQ223" s="1201"/>
      <c r="VZR223" s="1201"/>
      <c r="VZS223" s="1201"/>
      <c r="VZT223" s="1201"/>
      <c r="VZU223" s="1201"/>
      <c r="VZV223" s="1201"/>
      <c r="VZW223" s="1201"/>
      <c r="VZX223" s="1201"/>
      <c r="VZY223" s="1201"/>
      <c r="VZZ223" s="1201"/>
      <c r="WAA223" s="1201"/>
      <c r="WAB223" s="1201"/>
      <c r="WAC223" s="1201"/>
      <c r="WAD223" s="1201"/>
      <c r="WAE223" s="1201"/>
      <c r="WAF223" s="1201"/>
      <c r="WAG223" s="1201"/>
      <c r="WAH223" s="1201"/>
      <c r="WAI223" s="1201"/>
      <c r="WAJ223" s="1201"/>
      <c r="WAK223" s="1201"/>
      <c r="WAL223" s="1201"/>
      <c r="WAM223" s="1201"/>
      <c r="WAN223" s="1201"/>
      <c r="WAO223" s="1201"/>
      <c r="WAP223" s="1201"/>
      <c r="WAQ223" s="1201"/>
      <c r="WAR223" s="1201"/>
      <c r="WAS223" s="1201"/>
      <c r="WAT223" s="1201"/>
      <c r="WAU223" s="1201"/>
      <c r="WAV223" s="1201"/>
      <c r="WAW223" s="1201"/>
      <c r="WAX223" s="1201"/>
      <c r="WAY223" s="1201"/>
      <c r="WAZ223" s="1201"/>
      <c r="WBA223" s="1201"/>
      <c r="WBB223" s="1201"/>
      <c r="WBC223" s="1201"/>
      <c r="WBD223" s="1201"/>
      <c r="WBE223" s="1201"/>
      <c r="WBF223" s="1201"/>
      <c r="WBG223" s="1201"/>
      <c r="WBH223" s="1201"/>
      <c r="WBI223" s="1201"/>
      <c r="WBJ223" s="1201"/>
      <c r="WBK223" s="1201"/>
      <c r="WBL223" s="1201"/>
      <c r="WBM223" s="1201"/>
      <c r="WBN223" s="1201"/>
      <c r="WBO223" s="1201"/>
      <c r="WBP223" s="1201"/>
      <c r="WBQ223" s="1201"/>
      <c r="WBR223" s="1201"/>
      <c r="WBS223" s="1201"/>
      <c r="WBT223" s="1201"/>
      <c r="WBU223" s="1201"/>
      <c r="WBV223" s="1201"/>
      <c r="WBW223" s="1201"/>
      <c r="WBX223" s="1201"/>
      <c r="WBY223" s="1201"/>
      <c r="WBZ223" s="1201"/>
      <c r="WCA223" s="1201"/>
      <c r="WCB223" s="1201"/>
      <c r="WCC223" s="1201"/>
      <c r="WCD223" s="1201"/>
      <c r="WCE223" s="1201"/>
      <c r="WCF223" s="1201"/>
      <c r="WCG223" s="1201"/>
      <c r="WCH223" s="1201"/>
      <c r="WCI223" s="1201"/>
      <c r="WCJ223" s="1201"/>
      <c r="WCK223" s="1201"/>
      <c r="WCL223" s="1201"/>
      <c r="WCM223" s="1201"/>
      <c r="WCN223" s="1201"/>
      <c r="WCO223" s="1201"/>
      <c r="WCP223" s="1201"/>
      <c r="WCQ223" s="1201"/>
      <c r="WCR223" s="1201"/>
      <c r="WCS223" s="1201"/>
      <c r="WCT223" s="1201"/>
      <c r="WCU223" s="1201"/>
      <c r="WCV223" s="1201"/>
      <c r="WCW223" s="1201"/>
      <c r="WCX223" s="1201"/>
      <c r="WCY223" s="1201"/>
      <c r="WCZ223" s="1201"/>
      <c r="WDA223" s="1201"/>
      <c r="WDB223" s="1201"/>
      <c r="WDC223" s="1201"/>
      <c r="WDD223" s="1201"/>
      <c r="WDE223" s="1201"/>
      <c r="WDF223" s="1201"/>
      <c r="WDG223" s="1201"/>
      <c r="WDH223" s="1201"/>
      <c r="WDI223" s="1201"/>
      <c r="WDJ223" s="1201"/>
      <c r="WDK223" s="1201"/>
      <c r="WDL223" s="1201"/>
      <c r="WDM223" s="1201"/>
      <c r="WDN223" s="1201"/>
      <c r="WDO223" s="1201"/>
      <c r="WDP223" s="1201"/>
      <c r="WDQ223" s="1201"/>
      <c r="WDR223" s="1201"/>
      <c r="WDS223" s="1201"/>
      <c r="WDT223" s="1201"/>
      <c r="WDU223" s="1201"/>
      <c r="WDV223" s="1201"/>
      <c r="WDW223" s="1201"/>
      <c r="WDX223" s="1201"/>
      <c r="WDY223" s="1201"/>
      <c r="WDZ223" s="1201"/>
      <c r="WEA223" s="1201"/>
      <c r="WEB223" s="1201"/>
      <c r="WEC223" s="1201"/>
      <c r="WED223" s="1201"/>
      <c r="WEE223" s="1201"/>
      <c r="WEF223" s="1201"/>
      <c r="WEG223" s="1201"/>
      <c r="WEH223" s="1201"/>
      <c r="WEI223" s="1201"/>
      <c r="WEJ223" s="1201"/>
      <c r="WEK223" s="1201"/>
      <c r="WEL223" s="1201"/>
      <c r="WEM223" s="1201"/>
      <c r="WEN223" s="1201"/>
      <c r="WEO223" s="1201"/>
      <c r="WEP223" s="1201"/>
      <c r="WEQ223" s="1201"/>
      <c r="WER223" s="1201"/>
      <c r="WES223" s="1201"/>
      <c r="WET223" s="1201"/>
      <c r="WEU223" s="1201"/>
      <c r="WEV223" s="1201"/>
      <c r="WEW223" s="1201"/>
      <c r="WEX223" s="1201"/>
      <c r="WEY223" s="1201"/>
      <c r="WEZ223" s="1201"/>
      <c r="WFA223" s="1201"/>
      <c r="WFB223" s="1201"/>
      <c r="WFC223" s="1201"/>
      <c r="WFD223" s="1201"/>
      <c r="WFE223" s="1201"/>
      <c r="WFF223" s="1201"/>
      <c r="WFG223" s="1201"/>
      <c r="WFH223" s="1201"/>
      <c r="WFI223" s="1201"/>
      <c r="WFJ223" s="1201"/>
      <c r="WFK223" s="1201"/>
      <c r="WFL223" s="1201"/>
      <c r="WFM223" s="1201"/>
      <c r="WFN223" s="1201"/>
      <c r="WFO223" s="1201"/>
      <c r="WFP223" s="1201"/>
      <c r="WFQ223" s="1201"/>
      <c r="WFR223" s="1201"/>
      <c r="WFS223" s="1201"/>
      <c r="WFT223" s="1201"/>
      <c r="WFU223" s="1201"/>
      <c r="WFV223" s="1201"/>
      <c r="WFW223" s="1201"/>
      <c r="WFX223" s="1201"/>
      <c r="WFY223" s="1201"/>
      <c r="WFZ223" s="1201"/>
      <c r="WGA223" s="1201"/>
      <c r="WGB223" s="1201"/>
      <c r="WGC223" s="1201"/>
      <c r="WGD223" s="1201"/>
      <c r="WGE223" s="1201"/>
      <c r="WGF223" s="1201"/>
      <c r="WGG223" s="1201"/>
      <c r="WGH223" s="1201"/>
      <c r="WGI223" s="1201"/>
      <c r="WGJ223" s="1201"/>
      <c r="WGK223" s="1201"/>
      <c r="WGL223" s="1201"/>
      <c r="WGM223" s="1201"/>
      <c r="WGN223" s="1201"/>
      <c r="WGO223" s="1201"/>
      <c r="WGP223" s="1201"/>
      <c r="WGQ223" s="1201"/>
      <c r="WGR223" s="1201"/>
      <c r="WGS223" s="1201"/>
      <c r="WGT223" s="1201"/>
      <c r="WGU223" s="1201"/>
      <c r="WGV223" s="1201"/>
      <c r="WGW223" s="1201"/>
      <c r="WGX223" s="1201"/>
      <c r="WGY223" s="1201"/>
      <c r="WGZ223" s="1201"/>
      <c r="WHA223" s="1201"/>
      <c r="WHB223" s="1201"/>
      <c r="WHC223" s="1201"/>
      <c r="WHD223" s="1201"/>
      <c r="WHE223" s="1201"/>
      <c r="WHF223" s="1201"/>
      <c r="WHG223" s="1201"/>
      <c r="WHH223" s="1201"/>
      <c r="WHI223" s="1201"/>
      <c r="WHJ223" s="1201"/>
      <c r="WHK223" s="1201"/>
      <c r="WHL223" s="1201"/>
      <c r="WHM223" s="1201"/>
      <c r="WHN223" s="1201"/>
      <c r="WHO223" s="1201"/>
      <c r="WHP223" s="1201"/>
      <c r="WHQ223" s="1201"/>
      <c r="WHR223" s="1201"/>
      <c r="WHS223" s="1201"/>
      <c r="WHT223" s="1201"/>
      <c r="WHU223" s="1201"/>
      <c r="WHV223" s="1201"/>
      <c r="WHW223" s="1201"/>
      <c r="WHX223" s="1201"/>
      <c r="WHY223" s="1201"/>
      <c r="WHZ223" s="1201"/>
      <c r="WIA223" s="1201"/>
      <c r="WIB223" s="1201"/>
      <c r="WIC223" s="1201"/>
      <c r="WID223" s="1201"/>
      <c r="WIE223" s="1201"/>
      <c r="WIF223" s="1201"/>
      <c r="WIG223" s="1201"/>
      <c r="WIH223" s="1201"/>
      <c r="WII223" s="1201"/>
      <c r="WIJ223" s="1201"/>
      <c r="WIK223" s="1201"/>
      <c r="WIL223" s="1201"/>
      <c r="WIM223" s="1201"/>
      <c r="WIN223" s="1201"/>
      <c r="WIO223" s="1201"/>
      <c r="WIP223" s="1201"/>
      <c r="WIQ223" s="1201"/>
      <c r="WIR223" s="1201"/>
      <c r="WIS223" s="1201"/>
      <c r="WIT223" s="1201"/>
      <c r="WIU223" s="1201"/>
      <c r="WIV223" s="1201"/>
      <c r="WIW223" s="1201"/>
      <c r="WIX223" s="1201"/>
      <c r="WIY223" s="1201"/>
      <c r="WIZ223" s="1201"/>
      <c r="WJA223" s="1201"/>
      <c r="WJB223" s="1201"/>
      <c r="WJC223" s="1201"/>
      <c r="WJD223" s="1201"/>
      <c r="WJE223" s="1201"/>
      <c r="WJF223" s="1201"/>
      <c r="WJG223" s="1201"/>
      <c r="WJH223" s="1201"/>
      <c r="WJI223" s="1201"/>
      <c r="WJJ223" s="1201"/>
      <c r="WJK223" s="1201"/>
      <c r="WJL223" s="1201"/>
      <c r="WJM223" s="1201"/>
      <c r="WJN223" s="1201"/>
      <c r="WJO223" s="1201"/>
      <c r="WJP223" s="1201"/>
      <c r="WJQ223" s="1201"/>
      <c r="WJR223" s="1201"/>
      <c r="WJS223" s="1201"/>
      <c r="WJT223" s="1201"/>
      <c r="WJU223" s="1201"/>
      <c r="WJV223" s="1201"/>
      <c r="WJW223" s="1201"/>
      <c r="WJX223" s="1201"/>
      <c r="WJY223" s="1201"/>
      <c r="WJZ223" s="1201"/>
      <c r="WKA223" s="1201"/>
      <c r="WKB223" s="1201"/>
      <c r="WKC223" s="1201"/>
      <c r="WKD223" s="1201"/>
      <c r="WKE223" s="1201"/>
      <c r="WKF223" s="1201"/>
      <c r="WKG223" s="1201"/>
      <c r="WKH223" s="1201"/>
      <c r="WKI223" s="1201"/>
      <c r="WKJ223" s="1201"/>
      <c r="WKK223" s="1201"/>
      <c r="WKL223" s="1201"/>
      <c r="WKM223" s="1201"/>
      <c r="WKN223" s="1201"/>
      <c r="WKO223" s="1201"/>
      <c r="WKP223" s="1201"/>
      <c r="WKQ223" s="1201"/>
      <c r="WKR223" s="1201"/>
      <c r="WKS223" s="1201"/>
      <c r="WKT223" s="1201"/>
      <c r="WKU223" s="1201"/>
      <c r="WKV223" s="1201"/>
      <c r="WKW223" s="1201"/>
      <c r="WKX223" s="1201"/>
      <c r="WKY223" s="1201"/>
      <c r="WKZ223" s="1201"/>
      <c r="WLA223" s="1201"/>
      <c r="WLB223" s="1201"/>
      <c r="WLC223" s="1201"/>
      <c r="WLD223" s="1201"/>
      <c r="WLE223" s="1201"/>
      <c r="WLF223" s="1201"/>
      <c r="WLG223" s="1201"/>
      <c r="WLH223" s="1201"/>
      <c r="WLI223" s="1201"/>
      <c r="WLJ223" s="1201"/>
      <c r="WLK223" s="1201"/>
      <c r="WLL223" s="1201"/>
      <c r="WLM223" s="1201"/>
      <c r="WLN223" s="1201"/>
      <c r="WLO223" s="1201"/>
      <c r="WLP223" s="1201"/>
      <c r="WLQ223" s="1201"/>
      <c r="WLR223" s="1201"/>
      <c r="WLS223" s="1201"/>
      <c r="WLT223" s="1201"/>
      <c r="WLU223" s="1201"/>
      <c r="WLV223" s="1201"/>
      <c r="WLW223" s="1201"/>
      <c r="WLX223" s="1201"/>
      <c r="WLY223" s="1201"/>
      <c r="WLZ223" s="1201"/>
      <c r="WMA223" s="1201"/>
      <c r="WMB223" s="1201"/>
      <c r="WMC223" s="1201"/>
      <c r="WMD223" s="1201"/>
      <c r="WME223" s="1201"/>
      <c r="WMF223" s="1201"/>
      <c r="WMG223" s="1201"/>
      <c r="WMH223" s="1201"/>
      <c r="WMI223" s="1201"/>
      <c r="WMJ223" s="1201"/>
      <c r="WMK223" s="1201"/>
      <c r="WML223" s="1201"/>
      <c r="WMM223" s="1201"/>
      <c r="WMN223" s="1201"/>
      <c r="WMO223" s="1201"/>
      <c r="WMP223" s="1201"/>
      <c r="WMQ223" s="1201"/>
      <c r="WMR223" s="1201"/>
      <c r="WMS223" s="1201"/>
      <c r="WMT223" s="1201"/>
      <c r="WMU223" s="1201"/>
      <c r="WMV223" s="1201"/>
      <c r="WMW223" s="1201"/>
      <c r="WMX223" s="1201"/>
      <c r="WMY223" s="1201"/>
      <c r="WMZ223" s="1201"/>
      <c r="WNA223" s="1201"/>
      <c r="WNB223" s="1201"/>
      <c r="WNC223" s="1201"/>
      <c r="WND223" s="1201"/>
      <c r="WNE223" s="1201"/>
      <c r="WNF223" s="1201"/>
      <c r="WNG223" s="1201"/>
      <c r="WNH223" s="1201"/>
      <c r="WNI223" s="1201"/>
      <c r="WNJ223" s="1201"/>
      <c r="WNK223" s="1201"/>
      <c r="WNL223" s="1201"/>
      <c r="WNM223" s="1201"/>
      <c r="WNN223" s="1201"/>
      <c r="WNO223" s="1201"/>
      <c r="WNP223" s="1201"/>
      <c r="WNQ223" s="1201"/>
      <c r="WNR223" s="1201"/>
      <c r="WNS223" s="1201"/>
      <c r="WNT223" s="1201"/>
      <c r="WNU223" s="1201"/>
      <c r="WNV223" s="1201"/>
      <c r="WNW223" s="1201"/>
      <c r="WNX223" s="1201"/>
      <c r="WNY223" s="1201"/>
      <c r="WNZ223" s="1201"/>
      <c r="WOA223" s="1201"/>
      <c r="WOB223" s="1201"/>
      <c r="WOC223" s="1201"/>
      <c r="WOD223" s="1201"/>
      <c r="WOE223" s="1201"/>
      <c r="WOF223" s="1201"/>
      <c r="WOG223" s="1201"/>
      <c r="WOH223" s="1201"/>
      <c r="WOI223" s="1201"/>
      <c r="WOJ223" s="1201"/>
      <c r="WOK223" s="1201"/>
      <c r="WOL223" s="1201"/>
      <c r="WOM223" s="1201"/>
      <c r="WON223" s="1201"/>
      <c r="WOO223" s="1201"/>
      <c r="WOP223" s="1201"/>
      <c r="WOQ223" s="1201"/>
      <c r="WOR223" s="1201"/>
      <c r="WOS223" s="1201"/>
      <c r="WOT223" s="1201"/>
      <c r="WOU223" s="1201"/>
      <c r="WOV223" s="1201"/>
      <c r="WOW223" s="1201"/>
      <c r="WOX223" s="1201"/>
      <c r="WOY223" s="1201"/>
      <c r="WOZ223" s="1201"/>
      <c r="WPA223" s="1201"/>
      <c r="WPB223" s="1201"/>
      <c r="WPC223" s="1201"/>
      <c r="WPD223" s="1201"/>
      <c r="WPE223" s="1201"/>
      <c r="WPF223" s="1201"/>
      <c r="WPG223" s="1201"/>
      <c r="WPH223" s="1201"/>
      <c r="WPI223" s="1201"/>
      <c r="WPJ223" s="1201"/>
      <c r="WPK223" s="1201"/>
      <c r="WPL223" s="1201"/>
      <c r="WPM223" s="1201"/>
      <c r="WPN223" s="1201"/>
      <c r="WPO223" s="1201"/>
      <c r="WPP223" s="1201"/>
      <c r="WPQ223" s="1201"/>
      <c r="WPR223" s="1201"/>
      <c r="WPS223" s="1201"/>
      <c r="WPT223" s="1201"/>
      <c r="WPU223" s="1201"/>
      <c r="WPV223" s="1201"/>
      <c r="WPW223" s="1201"/>
      <c r="WPX223" s="1201"/>
      <c r="WPY223" s="1201"/>
      <c r="WPZ223" s="1201"/>
      <c r="WQA223" s="1201"/>
      <c r="WQB223" s="1201"/>
      <c r="WQC223" s="1201"/>
      <c r="WQD223" s="1201"/>
      <c r="WQE223" s="1201"/>
      <c r="WQF223" s="1201"/>
      <c r="WQG223" s="1201"/>
      <c r="WQH223" s="1201"/>
      <c r="WQI223" s="1201"/>
      <c r="WQJ223" s="1201"/>
      <c r="WQK223" s="1201"/>
      <c r="WQL223" s="1201"/>
      <c r="WQM223" s="1201"/>
      <c r="WQN223" s="1201"/>
      <c r="WQO223" s="1201"/>
      <c r="WQP223" s="1201"/>
      <c r="WQQ223" s="1201"/>
      <c r="WQR223" s="1201"/>
      <c r="WQS223" s="1201"/>
      <c r="WQT223" s="1201"/>
      <c r="WQU223" s="1201"/>
      <c r="WQV223" s="1201"/>
      <c r="WQW223" s="1201"/>
      <c r="WQX223" s="1201"/>
      <c r="WQY223" s="1201"/>
      <c r="WQZ223" s="1201"/>
      <c r="WRA223" s="1201"/>
      <c r="WRB223" s="1201"/>
      <c r="WRC223" s="1201"/>
      <c r="WRD223" s="1201"/>
      <c r="WRE223" s="1201"/>
      <c r="WRF223" s="1201"/>
      <c r="WRG223" s="1201"/>
      <c r="WRH223" s="1201"/>
      <c r="WRI223" s="1201"/>
      <c r="WRJ223" s="1201"/>
      <c r="WRK223" s="1201"/>
      <c r="WRL223" s="1201"/>
      <c r="WRM223" s="1201"/>
      <c r="WRN223" s="1201"/>
      <c r="WRO223" s="1201"/>
      <c r="WRP223" s="1201"/>
      <c r="WRQ223" s="1201"/>
      <c r="WRR223" s="1201"/>
      <c r="WRS223" s="1201"/>
      <c r="WRT223" s="1201"/>
      <c r="WRU223" s="1201"/>
      <c r="WRV223" s="1201"/>
      <c r="WRW223" s="1201"/>
      <c r="WRX223" s="1201"/>
      <c r="WRY223" s="1201"/>
      <c r="WRZ223" s="1201"/>
      <c r="WSA223" s="1201"/>
      <c r="WSB223" s="1201"/>
      <c r="WSC223" s="1201"/>
      <c r="WSD223" s="1201"/>
      <c r="WSE223" s="1201"/>
      <c r="WSF223" s="1201"/>
      <c r="WSG223" s="1201"/>
      <c r="WSH223" s="1201"/>
      <c r="WSI223" s="1201"/>
      <c r="WSJ223" s="1201"/>
      <c r="WSK223" s="1201"/>
      <c r="WSL223" s="1201"/>
      <c r="WSM223" s="1201"/>
      <c r="WSN223" s="1201"/>
      <c r="WSO223" s="1201"/>
      <c r="WSP223" s="1201"/>
      <c r="WSQ223" s="1201"/>
      <c r="WSR223" s="1201"/>
      <c r="WSS223" s="1201"/>
      <c r="WST223" s="1201"/>
      <c r="WSU223" s="1201"/>
      <c r="WSV223" s="1201"/>
      <c r="WSW223" s="1201"/>
      <c r="WSX223" s="1201"/>
      <c r="WSY223" s="1201"/>
      <c r="WSZ223" s="1201"/>
      <c r="WTA223" s="1201"/>
      <c r="WTB223" s="1201"/>
      <c r="WTC223" s="1201"/>
      <c r="WTD223" s="1201"/>
      <c r="WTE223" s="1201"/>
      <c r="WTF223" s="1201"/>
      <c r="WTG223" s="1201"/>
      <c r="WTH223" s="1201"/>
      <c r="WTI223" s="1201"/>
      <c r="WTJ223" s="1201"/>
      <c r="WTK223" s="1201"/>
      <c r="WTL223" s="1201"/>
      <c r="WTM223" s="1201"/>
      <c r="WTN223" s="1201"/>
      <c r="WTO223" s="1201"/>
      <c r="WTP223" s="1201"/>
      <c r="WTQ223" s="1201"/>
      <c r="WTR223" s="1201"/>
      <c r="WTS223" s="1201"/>
      <c r="WTT223" s="1201"/>
      <c r="WTU223" s="1201"/>
      <c r="WTV223" s="1201"/>
      <c r="WTW223" s="1201"/>
      <c r="WTX223" s="1201"/>
      <c r="WTY223" s="1201"/>
      <c r="WTZ223" s="1201"/>
      <c r="WUA223" s="1201"/>
      <c r="WUB223" s="1201"/>
      <c r="WUC223" s="1201"/>
      <c r="WUD223" s="1201"/>
      <c r="WUE223" s="1201"/>
      <c r="WUF223" s="1201"/>
      <c r="WUG223" s="1201"/>
      <c r="WUH223" s="1201"/>
      <c r="WUI223" s="1201"/>
      <c r="WUJ223" s="1201"/>
      <c r="WUK223" s="1201"/>
      <c r="WUL223" s="1201"/>
      <c r="WUM223" s="1201"/>
      <c r="WUN223" s="1201"/>
      <c r="WUO223" s="1201"/>
      <c r="WUP223" s="1201"/>
      <c r="WUQ223" s="1201"/>
      <c r="WUR223" s="1201"/>
      <c r="WUS223" s="1201"/>
      <c r="WUT223" s="1201"/>
      <c r="WUU223" s="1201"/>
      <c r="WUV223" s="1201"/>
      <c r="WUW223" s="1201"/>
      <c r="WUX223" s="1201"/>
      <c r="WUY223" s="1201"/>
      <c r="WUZ223" s="1201"/>
      <c r="WVA223" s="1201"/>
      <c r="WVB223" s="1201"/>
      <c r="WVC223" s="1201"/>
      <c r="WVD223" s="1201"/>
      <c r="WVE223" s="1201"/>
      <c r="WVF223" s="1201"/>
      <c r="WVG223" s="1201"/>
      <c r="WVH223" s="1201"/>
      <c r="WVI223" s="1201"/>
      <c r="WVJ223" s="1201"/>
      <c r="WVK223" s="1201"/>
      <c r="WVL223" s="1201"/>
      <c r="WVM223" s="1201"/>
      <c r="WVN223" s="1201"/>
      <c r="WVO223" s="1201"/>
      <c r="WVP223" s="1201"/>
      <c r="WVQ223" s="1201"/>
      <c r="WVR223" s="1201"/>
      <c r="WVS223" s="1201"/>
      <c r="WVT223" s="1201"/>
      <c r="WVU223" s="1201"/>
      <c r="WVV223" s="1201"/>
      <c r="WVW223" s="1201"/>
      <c r="WVX223" s="1201"/>
      <c r="WVY223" s="1201"/>
      <c r="WVZ223" s="1201"/>
      <c r="WWA223" s="1201"/>
      <c r="WWB223" s="1201"/>
      <c r="WWC223" s="1201"/>
      <c r="WWD223" s="1201"/>
      <c r="WWE223" s="1201"/>
      <c r="WWF223" s="1201"/>
      <c r="WWG223" s="1201"/>
      <c r="WWH223" s="1201"/>
      <c r="WWI223" s="1201"/>
      <c r="WWJ223" s="1201"/>
      <c r="WWK223" s="1201"/>
      <c r="WWL223" s="1201"/>
      <c r="WWM223" s="1201"/>
      <c r="WWN223" s="1201"/>
      <c r="WWO223" s="1201"/>
      <c r="WWP223" s="1201"/>
      <c r="WWQ223" s="1201"/>
      <c r="WWR223" s="1201"/>
      <c r="WWS223" s="1201"/>
      <c r="WWT223" s="1201"/>
      <c r="WWU223" s="1201"/>
      <c r="WWV223" s="1201"/>
      <c r="WWW223" s="1201"/>
      <c r="WWX223" s="1201"/>
      <c r="WWY223" s="1201"/>
      <c r="WWZ223" s="1201"/>
      <c r="WXA223" s="1201"/>
      <c r="WXB223" s="1201"/>
      <c r="WXC223" s="1201"/>
      <c r="WXD223" s="1201"/>
      <c r="WXE223" s="1201"/>
      <c r="WXF223" s="1201"/>
      <c r="WXG223" s="1201"/>
      <c r="WXH223" s="1201"/>
      <c r="WXI223" s="1201"/>
      <c r="WXJ223" s="1201"/>
      <c r="WXK223" s="1201"/>
      <c r="WXL223" s="1201"/>
      <c r="WXM223" s="1201"/>
      <c r="WXN223" s="1201"/>
      <c r="WXO223" s="1201"/>
      <c r="WXP223" s="1201"/>
      <c r="WXQ223" s="1201"/>
      <c r="WXR223" s="1201"/>
      <c r="WXS223" s="1201"/>
      <c r="WXT223" s="1201"/>
      <c r="WXU223" s="1201"/>
      <c r="WXV223" s="1201"/>
      <c r="WXW223" s="1201"/>
      <c r="WXX223" s="1201"/>
      <c r="WXY223" s="1201"/>
      <c r="WXZ223" s="1201"/>
      <c r="WYA223" s="1201"/>
      <c r="WYB223" s="1201"/>
      <c r="WYC223" s="1201"/>
      <c r="WYD223" s="1201"/>
      <c r="WYE223" s="1201"/>
      <c r="WYF223" s="1201"/>
      <c r="WYG223" s="1201"/>
      <c r="WYH223" s="1201"/>
      <c r="WYI223" s="1201"/>
      <c r="WYJ223" s="1201"/>
      <c r="WYK223" s="1201"/>
      <c r="WYL223" s="1201"/>
      <c r="WYM223" s="1201"/>
      <c r="WYN223" s="1201"/>
      <c r="WYO223" s="1201"/>
      <c r="WYP223" s="1201"/>
      <c r="WYQ223" s="1201"/>
      <c r="WYR223" s="1201"/>
      <c r="WYS223" s="1201"/>
      <c r="WYT223" s="1201"/>
      <c r="WYU223" s="1201"/>
      <c r="WYV223" s="1201"/>
      <c r="WYW223" s="1201"/>
      <c r="WYX223" s="1201"/>
      <c r="WYY223" s="1201"/>
      <c r="WYZ223" s="1201"/>
      <c r="WZA223" s="1201"/>
      <c r="WZB223" s="1201"/>
      <c r="WZC223" s="1201"/>
      <c r="WZD223" s="1201"/>
      <c r="WZE223" s="1201"/>
      <c r="WZF223" s="1201"/>
      <c r="WZG223" s="1201"/>
      <c r="WZH223" s="1201"/>
      <c r="WZI223" s="1201"/>
      <c r="WZJ223" s="1201"/>
      <c r="WZK223" s="1201"/>
      <c r="WZL223" s="1201"/>
      <c r="WZM223" s="1201"/>
      <c r="WZN223" s="1201"/>
      <c r="WZO223" s="1201"/>
      <c r="WZP223" s="1201"/>
      <c r="WZQ223" s="1201"/>
      <c r="WZR223" s="1201"/>
      <c r="WZS223" s="1201"/>
      <c r="WZT223" s="1201"/>
      <c r="WZU223" s="1201"/>
      <c r="WZV223" s="1201"/>
      <c r="WZW223" s="1201"/>
      <c r="WZX223" s="1201"/>
      <c r="WZY223" s="1201"/>
      <c r="WZZ223" s="1201"/>
      <c r="XAA223" s="1201"/>
      <c r="XAB223" s="1201"/>
      <c r="XAC223" s="1201"/>
      <c r="XAD223" s="1201"/>
      <c r="XAE223" s="1201"/>
      <c r="XAF223" s="1201"/>
      <c r="XAG223" s="1201"/>
      <c r="XAH223" s="1201"/>
      <c r="XAI223" s="1201"/>
      <c r="XAJ223" s="1201"/>
      <c r="XAK223" s="1201"/>
      <c r="XAL223" s="1201"/>
      <c r="XAM223" s="1201"/>
      <c r="XAN223" s="1201"/>
      <c r="XAO223" s="1201"/>
      <c r="XAP223" s="1201"/>
      <c r="XAQ223" s="1201"/>
      <c r="XAR223" s="1201"/>
      <c r="XAS223" s="1201"/>
      <c r="XAT223" s="1201"/>
      <c r="XAU223" s="1201"/>
      <c r="XAV223" s="1201"/>
      <c r="XAW223" s="1201"/>
      <c r="XAX223" s="1201"/>
      <c r="XAY223" s="1201"/>
      <c r="XAZ223" s="1201"/>
      <c r="XBA223" s="1201"/>
      <c r="XBB223" s="1201"/>
      <c r="XBC223" s="1201"/>
      <c r="XBD223" s="1201"/>
      <c r="XBE223" s="1201"/>
      <c r="XBF223" s="1201"/>
      <c r="XBG223" s="1201"/>
      <c r="XBH223" s="1201"/>
      <c r="XBI223" s="1201"/>
      <c r="XBJ223" s="1201"/>
      <c r="XBK223" s="1201"/>
      <c r="XBL223" s="1201"/>
      <c r="XBM223" s="1201"/>
      <c r="XBN223" s="1201"/>
      <c r="XBO223" s="1201"/>
      <c r="XBP223" s="1201"/>
      <c r="XBQ223" s="1201"/>
      <c r="XBR223" s="1201"/>
      <c r="XBS223" s="1201"/>
      <c r="XBT223" s="1201"/>
      <c r="XBU223" s="1201"/>
      <c r="XBV223" s="1201"/>
      <c r="XBW223" s="1201"/>
      <c r="XBX223" s="1201"/>
      <c r="XBY223" s="1201"/>
      <c r="XBZ223" s="1201"/>
      <c r="XCA223" s="1201"/>
      <c r="XCB223" s="1201"/>
      <c r="XCC223" s="1201"/>
      <c r="XCD223" s="1201"/>
      <c r="XCE223" s="1201"/>
      <c r="XCF223" s="1201"/>
      <c r="XCG223" s="1201"/>
      <c r="XCH223" s="1201"/>
      <c r="XCI223" s="1201"/>
      <c r="XCJ223" s="1201"/>
      <c r="XCK223" s="1201"/>
      <c r="XCL223" s="1201"/>
      <c r="XCM223" s="1201"/>
      <c r="XCN223" s="1201"/>
      <c r="XCO223" s="1201"/>
      <c r="XCP223" s="1201"/>
      <c r="XCQ223" s="1201"/>
      <c r="XCR223" s="1201"/>
      <c r="XCS223" s="1201"/>
      <c r="XCT223" s="1201"/>
      <c r="XCU223" s="1201"/>
      <c r="XCV223" s="1201"/>
      <c r="XCW223" s="1201"/>
      <c r="XCX223" s="1201"/>
      <c r="XCY223" s="1201"/>
      <c r="XCZ223" s="1201"/>
      <c r="XDA223" s="1201"/>
      <c r="XDB223" s="1201"/>
      <c r="XDC223" s="1201"/>
      <c r="XDD223" s="1201"/>
      <c r="XDE223" s="1201"/>
      <c r="XDF223" s="1201"/>
      <c r="XDG223" s="1201"/>
      <c r="XDH223" s="1201"/>
      <c r="XDI223" s="1201"/>
      <c r="XDJ223" s="1201"/>
      <c r="XDK223" s="1201"/>
      <c r="XDL223" s="1201"/>
      <c r="XDM223" s="1201"/>
      <c r="XDN223" s="1201"/>
      <c r="XDO223" s="1201"/>
      <c r="XDP223" s="1201"/>
      <c r="XDQ223" s="1201"/>
      <c r="XDR223" s="1201"/>
      <c r="XDS223" s="1201"/>
      <c r="XDT223" s="1201"/>
      <c r="XDU223" s="1201"/>
      <c r="XDV223" s="1201"/>
      <c r="XDW223" s="1201"/>
      <c r="XDX223" s="1201"/>
      <c r="XDY223" s="1201"/>
      <c r="XDZ223" s="1201"/>
      <c r="XEA223" s="1201"/>
      <c r="XEB223" s="1201"/>
      <c r="XEC223" s="1201"/>
      <c r="XED223" s="1201"/>
      <c r="XEE223" s="1201"/>
      <c r="XEF223" s="1201"/>
      <c r="XEG223" s="1201"/>
      <c r="XEH223" s="1201"/>
      <c r="XEI223" s="1201"/>
      <c r="XEJ223" s="1201"/>
      <c r="XEK223" s="1201"/>
      <c r="XEL223" s="1201"/>
      <c r="XEM223" s="1201"/>
      <c r="XEN223" s="1201"/>
      <c r="XEO223" s="1201"/>
      <c r="XEP223" s="1201"/>
      <c r="XEQ223" s="1201"/>
      <c r="XER223" s="1201"/>
    </row>
    <row r="224" spans="2:16372" s="892" customFormat="1" ht="14" x14ac:dyDescent="0.3">
      <c r="B224" s="2218"/>
      <c r="C224" s="2218"/>
      <c r="D224" s="1775"/>
      <c r="E224" s="1775"/>
      <c r="F224" s="1775"/>
      <c r="G224" s="1775"/>
      <c r="H224" s="1775"/>
      <c r="I224" s="2218"/>
      <c r="J224" s="2218"/>
      <c r="K224" s="2218"/>
      <c r="L224" s="2221"/>
      <c r="M224" s="2219"/>
      <c r="N224" s="1201"/>
      <c r="O224" s="1201"/>
      <c r="P224" s="1201" t="s">
        <v>1927</v>
      </c>
      <c r="Q224" s="1201"/>
      <c r="R224" s="1552">
        <f t="shared" ref="R224:W224" si="4">IF(AND(D25&gt;0,D27=""),(D25*D21),(D25*D27))</f>
        <v>0</v>
      </c>
      <c r="S224" s="1552">
        <f t="shared" si="4"/>
        <v>0</v>
      </c>
      <c r="T224" s="1552">
        <f t="shared" si="4"/>
        <v>0</v>
      </c>
      <c r="U224" s="1552">
        <f t="shared" si="4"/>
        <v>0</v>
      </c>
      <c r="V224" s="1552">
        <f t="shared" si="4"/>
        <v>0</v>
      </c>
      <c r="W224" s="1552">
        <f t="shared" si="4"/>
        <v>0</v>
      </c>
      <c r="X224" s="1201"/>
      <c r="Y224" s="1201"/>
      <c r="Z224" s="1201"/>
      <c r="AA224" s="1201"/>
      <c r="AB224" s="1201"/>
      <c r="AC224" s="1201"/>
      <c r="AD224" s="1201"/>
      <c r="AE224" s="1201"/>
      <c r="AF224" s="1201"/>
      <c r="AG224" s="1750">
        <v>5</v>
      </c>
      <c r="AH224" s="2213" t="s">
        <v>918</v>
      </c>
      <c r="AI224" s="581">
        <v>80.67</v>
      </c>
      <c r="AJ224" s="581">
        <v>10.81</v>
      </c>
      <c r="AK224" s="581">
        <v>3.52</v>
      </c>
      <c r="AL224" s="581">
        <v>0.66</v>
      </c>
      <c r="AM224" s="581"/>
      <c r="AN224" s="581">
        <v>4.34</v>
      </c>
      <c r="AO224" s="581"/>
      <c r="AP224" s="1762">
        <v>9.0227000000000004</v>
      </c>
      <c r="AQ224" s="1271"/>
      <c r="AR224" s="1201"/>
      <c r="AS224" s="1201"/>
      <c r="AT224" s="1201"/>
      <c r="AU224" s="1201"/>
      <c r="AV224" s="1201" t="s">
        <v>229</v>
      </c>
      <c r="AW224" s="1201">
        <v>2</v>
      </c>
      <c r="AX224" s="1201">
        <v>2.46</v>
      </c>
      <c r="AY224" s="892">
        <f>AW224*AX224</f>
        <v>4.92</v>
      </c>
      <c r="AZ224" s="2038">
        <f>AY224/$AY$225</f>
        <v>5.1383275370492218E-3</v>
      </c>
      <c r="BA224" s="1201"/>
      <c r="BB224" s="1201"/>
      <c r="BC224" s="1201"/>
      <c r="BD224" s="1201"/>
      <c r="BE224" s="1201"/>
      <c r="BF224" s="1201"/>
      <c r="BG224" s="1201"/>
      <c r="BH224" s="1201"/>
      <c r="BI224" s="1201"/>
      <c r="BJ224" s="1201"/>
      <c r="BK224" s="1201"/>
      <c r="BL224" s="1201"/>
      <c r="BM224" s="1201"/>
      <c r="BN224" s="1201"/>
      <c r="BO224" s="1201"/>
      <c r="BP224" s="1201"/>
      <c r="BQ224" s="1201"/>
      <c r="BR224" s="1201"/>
      <c r="BS224" s="1201"/>
      <c r="BT224" s="1201"/>
      <c r="BU224" s="1201"/>
      <c r="BV224" s="1201"/>
      <c r="BW224" s="1201"/>
      <c r="BX224" s="1201"/>
      <c r="BY224" s="1201"/>
      <c r="BZ224" s="1201"/>
      <c r="CA224" s="1201"/>
      <c r="CB224" s="1201"/>
      <c r="CC224" s="1201"/>
      <c r="CD224" s="1201"/>
      <c r="CE224" s="1201"/>
      <c r="CF224" s="1201"/>
      <c r="CG224" s="1201"/>
      <c r="CH224" s="1201"/>
      <c r="CI224" s="1201"/>
      <c r="CJ224" s="1201"/>
      <c r="CK224" s="1201"/>
      <c r="CL224" s="1201"/>
      <c r="CM224" s="1201"/>
      <c r="CN224" s="1201"/>
      <c r="CO224" s="1201"/>
      <c r="CP224" s="1201"/>
      <c r="CQ224" s="1201"/>
      <c r="CR224" s="1201"/>
      <c r="CS224" s="1201"/>
      <c r="CT224" s="1201"/>
      <c r="CU224" s="1201"/>
      <c r="CV224" s="1201"/>
      <c r="CW224" s="1201"/>
      <c r="CX224" s="1201"/>
      <c r="CY224" s="1201"/>
      <c r="CZ224" s="1201"/>
      <c r="DA224" s="1201"/>
      <c r="DB224" s="1201"/>
      <c r="DC224" s="1201"/>
      <c r="DD224" s="1201"/>
      <c r="DE224" s="1201"/>
      <c r="DF224" s="1201"/>
      <c r="DG224" s="1201"/>
      <c r="DH224" s="1201"/>
      <c r="DI224" s="1201"/>
      <c r="DJ224" s="1201"/>
      <c r="DK224" s="1201"/>
      <c r="DL224" s="1201"/>
      <c r="DM224" s="1201"/>
      <c r="DN224" s="1201"/>
      <c r="DO224" s="1201"/>
      <c r="DP224" s="1201"/>
      <c r="DQ224" s="1201"/>
      <c r="DR224" s="1201"/>
      <c r="DS224" s="1201"/>
      <c r="DT224" s="1201"/>
      <c r="DU224" s="1201"/>
      <c r="DV224" s="1201"/>
      <c r="DW224" s="1201"/>
      <c r="DX224" s="1201"/>
      <c r="DY224" s="1201"/>
      <c r="DZ224" s="1201"/>
      <c r="EA224" s="1201"/>
      <c r="EB224" s="1201"/>
      <c r="EC224" s="1201"/>
      <c r="ED224" s="1201"/>
      <c r="EE224" s="1201"/>
      <c r="EF224" s="1201"/>
      <c r="EG224" s="1201"/>
      <c r="EH224" s="1201"/>
      <c r="EI224" s="1201"/>
      <c r="EJ224" s="1201"/>
      <c r="EK224" s="1201"/>
      <c r="EL224" s="1201"/>
      <c r="EM224" s="1201"/>
      <c r="EN224" s="1201"/>
      <c r="EO224" s="1201"/>
      <c r="EP224" s="1201"/>
      <c r="EQ224" s="1201"/>
      <c r="ER224" s="1201"/>
      <c r="ES224" s="1201"/>
      <c r="ET224" s="1201"/>
      <c r="EU224" s="1201"/>
      <c r="EV224" s="1201"/>
      <c r="EW224" s="1201"/>
      <c r="EX224" s="1201"/>
      <c r="EY224" s="1201"/>
      <c r="EZ224" s="1201"/>
      <c r="FA224" s="1201"/>
      <c r="FB224" s="1201"/>
      <c r="FC224" s="1201"/>
      <c r="FD224" s="1201"/>
      <c r="FE224" s="1201"/>
      <c r="FF224" s="1201"/>
      <c r="FG224" s="1201"/>
      <c r="FH224" s="1201"/>
      <c r="FI224" s="1201"/>
      <c r="FJ224" s="1201"/>
      <c r="FK224" s="1201"/>
      <c r="FL224" s="1201"/>
      <c r="FM224" s="1201"/>
      <c r="FN224" s="1201"/>
      <c r="FO224" s="1201"/>
      <c r="FP224" s="1201"/>
      <c r="FQ224" s="1201"/>
      <c r="FR224" s="1201"/>
      <c r="FS224" s="1201"/>
      <c r="FT224" s="1201"/>
      <c r="FU224" s="1201"/>
      <c r="FV224" s="1201"/>
      <c r="FW224" s="1201"/>
      <c r="FX224" s="1201"/>
      <c r="FY224" s="1201"/>
      <c r="FZ224" s="1201"/>
      <c r="GA224" s="1201"/>
      <c r="GB224" s="1201"/>
      <c r="GC224" s="1201"/>
      <c r="GD224" s="1201"/>
      <c r="GE224" s="1201"/>
      <c r="GF224" s="1201"/>
      <c r="GG224" s="1201"/>
      <c r="GH224" s="1201"/>
      <c r="GI224" s="1201"/>
      <c r="GJ224" s="1201"/>
      <c r="GK224" s="1201"/>
      <c r="GL224" s="1201"/>
      <c r="GM224" s="1201"/>
      <c r="GN224" s="1201"/>
      <c r="GO224" s="1201"/>
      <c r="GP224" s="1201"/>
      <c r="GQ224" s="1201"/>
      <c r="GR224" s="1201"/>
      <c r="GS224" s="1201"/>
      <c r="GT224" s="1201"/>
      <c r="GU224" s="1201"/>
      <c r="GV224" s="1201"/>
      <c r="GW224" s="1201"/>
      <c r="GX224" s="1201"/>
      <c r="GY224" s="1201"/>
      <c r="GZ224" s="1201"/>
      <c r="HA224" s="1201"/>
      <c r="HB224" s="1201"/>
      <c r="HC224" s="1201"/>
      <c r="HD224" s="1201"/>
      <c r="HE224" s="1201"/>
      <c r="HF224" s="1201"/>
      <c r="HG224" s="1201"/>
      <c r="HH224" s="1201"/>
      <c r="HI224" s="1201"/>
      <c r="HJ224" s="1201"/>
      <c r="HK224" s="1201"/>
      <c r="HL224" s="1201"/>
      <c r="HM224" s="1201"/>
      <c r="HN224" s="1201"/>
      <c r="HO224" s="1201"/>
      <c r="HP224" s="1201"/>
      <c r="HQ224" s="1201"/>
      <c r="HR224" s="1201"/>
      <c r="HS224" s="1201"/>
      <c r="HT224" s="1201"/>
      <c r="HU224" s="1201"/>
      <c r="HV224" s="1201"/>
      <c r="HW224" s="1201"/>
      <c r="HX224" s="1201"/>
      <c r="HY224" s="1201"/>
      <c r="HZ224" s="1201"/>
      <c r="IA224" s="1201"/>
      <c r="IB224" s="1201"/>
      <c r="IC224" s="1201"/>
      <c r="ID224" s="1201"/>
      <c r="IE224" s="1201"/>
      <c r="IF224" s="1201"/>
      <c r="IG224" s="1201"/>
      <c r="IH224" s="1201"/>
      <c r="II224" s="1201"/>
      <c r="IJ224" s="1201"/>
      <c r="IK224" s="1201"/>
      <c r="IL224" s="1201"/>
      <c r="IM224" s="1201"/>
      <c r="IN224" s="1201"/>
      <c r="IO224" s="1201"/>
      <c r="IP224" s="1201"/>
      <c r="IQ224" s="1201"/>
      <c r="IR224" s="1201"/>
      <c r="IS224" s="1201"/>
      <c r="IT224" s="1201"/>
      <c r="IU224" s="1201"/>
      <c r="IV224" s="1201"/>
      <c r="IW224" s="1201"/>
      <c r="IX224" s="1201"/>
      <c r="IY224" s="1201"/>
      <c r="IZ224" s="1201"/>
      <c r="JA224" s="1201"/>
      <c r="JB224" s="1201"/>
      <c r="JC224" s="1201"/>
      <c r="JD224" s="1201"/>
      <c r="JE224" s="1201"/>
      <c r="JF224" s="1201"/>
      <c r="JG224" s="1201"/>
      <c r="JH224" s="1201"/>
      <c r="JI224" s="1201"/>
      <c r="JJ224" s="1201"/>
      <c r="JK224" s="1201"/>
      <c r="JL224" s="1201"/>
      <c r="JM224" s="1201"/>
      <c r="JN224" s="1201"/>
      <c r="JO224" s="1201"/>
      <c r="JP224" s="1201"/>
      <c r="JQ224" s="1201"/>
      <c r="JR224" s="1201"/>
      <c r="JS224" s="1201"/>
      <c r="JT224" s="1201"/>
      <c r="JU224" s="1201"/>
      <c r="JV224" s="1201"/>
      <c r="JW224" s="1201"/>
      <c r="JX224" s="1201"/>
      <c r="JY224" s="1201"/>
      <c r="JZ224" s="1201"/>
      <c r="KA224" s="1201"/>
      <c r="KB224" s="1201"/>
      <c r="KC224" s="1201"/>
      <c r="KD224" s="1201"/>
      <c r="KE224" s="1201"/>
      <c r="KF224" s="1201"/>
      <c r="KG224" s="1201"/>
      <c r="KH224" s="1201"/>
      <c r="KI224" s="1201"/>
      <c r="KJ224" s="1201"/>
      <c r="KK224" s="1201"/>
      <c r="KL224" s="1201"/>
      <c r="KM224" s="1201"/>
      <c r="KN224" s="1201"/>
      <c r="KO224" s="1201"/>
      <c r="KP224" s="1201"/>
      <c r="KQ224" s="1201"/>
      <c r="KR224" s="1201"/>
      <c r="KS224" s="1201"/>
      <c r="KT224" s="1201"/>
      <c r="KU224" s="1201"/>
      <c r="KV224" s="1201"/>
      <c r="KW224" s="1201"/>
      <c r="KX224" s="1201"/>
      <c r="KY224" s="1201"/>
      <c r="KZ224" s="1201"/>
      <c r="LA224" s="1201"/>
      <c r="LB224" s="1201"/>
      <c r="LC224" s="1201"/>
      <c r="LD224" s="1201"/>
      <c r="LE224" s="1201"/>
      <c r="LF224" s="1201"/>
      <c r="LG224" s="1201"/>
      <c r="LH224" s="1201"/>
      <c r="LI224" s="1201"/>
      <c r="LJ224" s="1201"/>
      <c r="LK224" s="1201"/>
      <c r="LL224" s="1201"/>
      <c r="LM224" s="1201"/>
      <c r="LN224" s="1201"/>
      <c r="LO224" s="1201"/>
      <c r="LP224" s="1201"/>
      <c r="LQ224" s="1201"/>
      <c r="LR224" s="1201"/>
      <c r="LS224" s="1201"/>
      <c r="LT224" s="1201"/>
      <c r="LU224" s="1201"/>
      <c r="LV224" s="1201"/>
      <c r="LW224" s="1201"/>
      <c r="LX224" s="1201"/>
      <c r="LY224" s="1201"/>
      <c r="LZ224" s="1201"/>
      <c r="MA224" s="1201"/>
      <c r="MB224" s="1201"/>
      <c r="MC224" s="1201"/>
      <c r="MD224" s="1201"/>
      <c r="ME224" s="1201"/>
      <c r="MF224" s="1201"/>
      <c r="MG224" s="1201"/>
      <c r="MH224" s="1201"/>
      <c r="MI224" s="1201"/>
      <c r="MJ224" s="1201"/>
      <c r="MK224" s="1201"/>
      <c r="ML224" s="1201"/>
      <c r="MM224" s="1201"/>
      <c r="MN224" s="1201"/>
      <c r="MO224" s="1201"/>
      <c r="MP224" s="1201"/>
      <c r="MQ224" s="1201"/>
      <c r="MR224" s="1201"/>
      <c r="MS224" s="1201"/>
      <c r="MT224" s="1201"/>
      <c r="MU224" s="1201"/>
      <c r="MV224" s="1201"/>
      <c r="MW224" s="1201"/>
      <c r="MX224" s="1201"/>
      <c r="MY224" s="1201"/>
      <c r="MZ224" s="1201"/>
      <c r="NA224" s="1201"/>
      <c r="NB224" s="1201"/>
      <c r="NC224" s="1201"/>
      <c r="ND224" s="1201"/>
      <c r="NE224" s="1201"/>
      <c r="NF224" s="1201"/>
      <c r="NG224" s="1201"/>
      <c r="NH224" s="1201"/>
      <c r="NI224" s="1201"/>
      <c r="NJ224" s="1201"/>
      <c r="NK224" s="1201"/>
      <c r="NL224" s="1201"/>
      <c r="NM224" s="1201"/>
      <c r="NN224" s="1201"/>
      <c r="NO224" s="1201"/>
      <c r="NP224" s="1201"/>
      <c r="NQ224" s="1201"/>
      <c r="NR224" s="1201"/>
      <c r="NS224" s="1201"/>
      <c r="NT224" s="1201"/>
      <c r="NU224" s="1201"/>
      <c r="NV224" s="1201"/>
      <c r="NW224" s="1201"/>
      <c r="NX224" s="1201"/>
      <c r="NY224" s="1201"/>
      <c r="NZ224" s="1201"/>
      <c r="OA224" s="1201"/>
      <c r="OB224" s="1201"/>
      <c r="OC224" s="1201"/>
      <c r="OD224" s="1201"/>
      <c r="OE224" s="1201"/>
      <c r="OF224" s="1201"/>
      <c r="OG224" s="1201"/>
      <c r="OH224" s="1201"/>
      <c r="OI224" s="1201"/>
      <c r="OJ224" s="1201"/>
      <c r="OK224" s="1201"/>
      <c r="OL224" s="1201"/>
      <c r="OM224" s="1201"/>
      <c r="ON224" s="1201"/>
      <c r="OO224" s="1201"/>
      <c r="OP224" s="1201"/>
      <c r="OQ224" s="1201"/>
      <c r="OR224" s="1201"/>
      <c r="OS224" s="1201"/>
      <c r="OT224" s="1201"/>
      <c r="OU224" s="1201"/>
      <c r="OV224" s="1201"/>
      <c r="OW224" s="1201"/>
      <c r="OX224" s="1201"/>
      <c r="OY224" s="1201"/>
      <c r="OZ224" s="1201"/>
      <c r="PA224" s="1201"/>
      <c r="PB224" s="1201"/>
      <c r="PC224" s="1201"/>
      <c r="PD224" s="1201"/>
      <c r="PE224" s="1201"/>
      <c r="PF224" s="1201"/>
      <c r="PG224" s="1201"/>
      <c r="PH224" s="1201"/>
      <c r="PI224" s="1201"/>
      <c r="PJ224" s="1201"/>
      <c r="PK224" s="1201"/>
      <c r="PL224" s="1201"/>
      <c r="PM224" s="1201"/>
      <c r="PN224" s="1201"/>
      <c r="PO224" s="1201"/>
      <c r="PP224" s="1201"/>
      <c r="PQ224" s="1201"/>
      <c r="PR224" s="1201"/>
      <c r="PS224" s="1201"/>
      <c r="PT224" s="1201"/>
      <c r="PU224" s="1201"/>
      <c r="PV224" s="1201"/>
      <c r="PW224" s="1201"/>
      <c r="PX224" s="1201"/>
      <c r="PY224" s="1201"/>
      <c r="PZ224" s="1201"/>
      <c r="QA224" s="1201"/>
      <c r="QB224" s="1201"/>
      <c r="QC224" s="1201"/>
      <c r="QD224" s="1201"/>
      <c r="QE224" s="1201"/>
      <c r="QF224" s="1201"/>
      <c r="QG224" s="1201"/>
      <c r="QH224" s="1201"/>
      <c r="QI224" s="1201"/>
      <c r="QJ224" s="1201"/>
      <c r="QK224" s="1201"/>
      <c r="QL224" s="1201"/>
      <c r="QM224" s="1201"/>
      <c r="QN224" s="1201"/>
      <c r="QO224" s="1201"/>
      <c r="QP224" s="1201"/>
      <c r="QQ224" s="1201"/>
      <c r="QR224" s="1201"/>
      <c r="QS224" s="1201"/>
      <c r="QT224" s="1201"/>
      <c r="QU224" s="1201"/>
      <c r="QV224" s="1201"/>
      <c r="QW224" s="1201"/>
      <c r="QX224" s="1201"/>
      <c r="QY224" s="1201"/>
      <c r="QZ224" s="1201"/>
      <c r="RA224" s="1201"/>
      <c r="RB224" s="1201"/>
      <c r="RC224" s="1201"/>
      <c r="RD224" s="1201"/>
      <c r="RE224" s="1201"/>
      <c r="RF224" s="1201"/>
      <c r="RG224" s="1201"/>
      <c r="RH224" s="1201"/>
      <c r="RI224" s="1201"/>
      <c r="RJ224" s="1201"/>
      <c r="RK224" s="1201"/>
      <c r="RL224" s="1201"/>
      <c r="RM224" s="1201"/>
      <c r="RN224" s="1201"/>
      <c r="RO224" s="1201"/>
      <c r="RP224" s="1201"/>
      <c r="RQ224" s="1201"/>
      <c r="RR224" s="1201"/>
      <c r="RS224" s="1201"/>
      <c r="RT224" s="1201"/>
      <c r="RU224" s="1201"/>
      <c r="RV224" s="1201"/>
      <c r="RW224" s="1201"/>
      <c r="RX224" s="1201"/>
      <c r="RY224" s="1201"/>
      <c r="RZ224" s="1201"/>
      <c r="SA224" s="1201"/>
      <c r="SB224" s="1201"/>
      <c r="SC224" s="1201"/>
      <c r="SD224" s="1201"/>
      <c r="SE224" s="1201"/>
      <c r="SF224" s="1201"/>
      <c r="SG224" s="1201"/>
      <c r="SH224" s="1201"/>
      <c r="SI224" s="1201"/>
      <c r="SJ224" s="1201"/>
      <c r="SK224" s="1201"/>
      <c r="SL224" s="1201"/>
      <c r="SM224" s="1201"/>
      <c r="SN224" s="1201"/>
      <c r="SO224" s="1201"/>
      <c r="SP224" s="1201"/>
      <c r="SQ224" s="1201"/>
      <c r="SR224" s="1201"/>
      <c r="SS224" s="1201"/>
      <c r="ST224" s="1201"/>
      <c r="SU224" s="1201"/>
      <c r="SV224" s="1201"/>
      <c r="SW224" s="1201"/>
      <c r="SX224" s="1201"/>
      <c r="SY224" s="1201"/>
      <c r="SZ224" s="1201"/>
      <c r="TA224" s="1201"/>
      <c r="TB224" s="1201"/>
      <c r="TC224" s="1201"/>
      <c r="TD224" s="1201"/>
      <c r="TE224" s="1201"/>
      <c r="TF224" s="1201"/>
      <c r="TG224" s="1201"/>
      <c r="TH224" s="1201"/>
      <c r="TI224" s="1201"/>
      <c r="TJ224" s="1201"/>
      <c r="TK224" s="1201"/>
      <c r="TL224" s="1201"/>
      <c r="TM224" s="1201"/>
      <c r="TN224" s="1201"/>
      <c r="TO224" s="1201"/>
      <c r="TP224" s="1201"/>
      <c r="TQ224" s="1201"/>
      <c r="TR224" s="1201"/>
      <c r="TS224" s="1201"/>
      <c r="TT224" s="1201"/>
      <c r="TU224" s="1201"/>
      <c r="TV224" s="1201"/>
      <c r="TW224" s="1201"/>
      <c r="TX224" s="1201"/>
      <c r="TY224" s="1201"/>
      <c r="TZ224" s="1201"/>
      <c r="UA224" s="1201"/>
      <c r="UB224" s="1201"/>
      <c r="UC224" s="1201"/>
      <c r="UD224" s="1201"/>
      <c r="UE224" s="1201"/>
      <c r="UF224" s="1201"/>
      <c r="UG224" s="1201"/>
      <c r="UH224" s="1201"/>
      <c r="UI224" s="1201"/>
      <c r="UJ224" s="1201"/>
      <c r="UK224" s="1201"/>
      <c r="UL224" s="1201"/>
      <c r="UM224" s="1201"/>
      <c r="UN224" s="1201"/>
      <c r="UO224" s="1201"/>
      <c r="UP224" s="1201"/>
      <c r="UQ224" s="1201"/>
      <c r="UR224" s="1201"/>
      <c r="US224" s="1201"/>
      <c r="UT224" s="1201"/>
      <c r="UU224" s="1201"/>
      <c r="UV224" s="1201"/>
      <c r="UW224" s="1201"/>
      <c r="UX224" s="1201"/>
      <c r="UY224" s="1201"/>
      <c r="UZ224" s="1201"/>
      <c r="VA224" s="1201"/>
      <c r="VB224" s="1201"/>
      <c r="VC224" s="1201"/>
      <c r="VD224" s="1201"/>
      <c r="VE224" s="1201"/>
      <c r="VF224" s="1201"/>
      <c r="VG224" s="1201"/>
      <c r="VH224" s="1201"/>
      <c r="VI224" s="1201"/>
      <c r="VJ224" s="1201"/>
      <c r="VK224" s="1201"/>
      <c r="VL224" s="1201"/>
      <c r="VM224" s="1201"/>
      <c r="VN224" s="1201"/>
      <c r="VO224" s="1201"/>
      <c r="VP224" s="1201"/>
      <c r="VQ224" s="1201"/>
      <c r="VR224" s="1201"/>
      <c r="VS224" s="1201"/>
      <c r="VT224" s="1201"/>
      <c r="VU224" s="1201"/>
      <c r="VV224" s="1201"/>
      <c r="VW224" s="1201"/>
      <c r="VX224" s="1201"/>
      <c r="VY224" s="1201"/>
      <c r="VZ224" s="1201"/>
      <c r="WA224" s="1201"/>
      <c r="WB224" s="1201"/>
      <c r="WC224" s="1201"/>
      <c r="WD224" s="1201"/>
      <c r="WE224" s="1201"/>
      <c r="WF224" s="1201"/>
      <c r="WG224" s="1201"/>
      <c r="WH224" s="1201"/>
      <c r="WI224" s="1201"/>
      <c r="WJ224" s="1201"/>
      <c r="WK224" s="1201"/>
      <c r="WL224" s="1201"/>
      <c r="WM224" s="1201"/>
      <c r="WN224" s="1201"/>
      <c r="WO224" s="1201"/>
      <c r="WP224" s="1201"/>
      <c r="WQ224" s="1201"/>
      <c r="WR224" s="1201"/>
      <c r="WS224" s="1201"/>
      <c r="WT224" s="1201"/>
      <c r="WU224" s="1201"/>
      <c r="WV224" s="1201"/>
      <c r="WW224" s="1201"/>
      <c r="WX224" s="1201"/>
      <c r="WY224" s="1201"/>
      <c r="WZ224" s="1201"/>
      <c r="XA224" s="1201"/>
      <c r="XB224" s="1201"/>
      <c r="XC224" s="1201"/>
      <c r="XD224" s="1201"/>
      <c r="XE224" s="1201"/>
      <c r="XF224" s="1201"/>
      <c r="XG224" s="1201"/>
      <c r="XH224" s="1201"/>
      <c r="XI224" s="1201"/>
      <c r="XJ224" s="1201"/>
      <c r="XK224" s="1201"/>
      <c r="XL224" s="1201"/>
      <c r="XM224" s="1201"/>
      <c r="XN224" s="1201"/>
      <c r="XO224" s="1201"/>
      <c r="XP224" s="1201"/>
      <c r="XQ224" s="1201"/>
      <c r="XR224" s="1201"/>
      <c r="XS224" s="1201"/>
      <c r="XT224" s="1201"/>
      <c r="XU224" s="1201"/>
      <c r="XV224" s="1201"/>
      <c r="XW224" s="1201"/>
      <c r="XX224" s="1201"/>
      <c r="XY224" s="1201"/>
      <c r="XZ224" s="1201"/>
      <c r="YA224" s="1201"/>
      <c r="YB224" s="1201"/>
      <c r="YC224" s="1201"/>
      <c r="YD224" s="1201"/>
      <c r="YE224" s="1201"/>
      <c r="YF224" s="1201"/>
      <c r="YG224" s="1201"/>
      <c r="YH224" s="1201"/>
      <c r="YI224" s="1201"/>
      <c r="YJ224" s="1201"/>
      <c r="YK224" s="1201"/>
      <c r="YL224" s="1201"/>
      <c r="YM224" s="1201"/>
      <c r="YN224" s="1201"/>
      <c r="YO224" s="1201"/>
      <c r="YP224" s="1201"/>
      <c r="YQ224" s="1201"/>
      <c r="YR224" s="1201"/>
      <c r="YS224" s="1201"/>
      <c r="YT224" s="1201"/>
      <c r="YU224" s="1201"/>
      <c r="YV224" s="1201"/>
      <c r="YW224" s="1201"/>
      <c r="YX224" s="1201"/>
      <c r="YY224" s="1201"/>
      <c r="YZ224" s="1201"/>
      <c r="ZA224" s="1201"/>
      <c r="ZB224" s="1201"/>
      <c r="ZC224" s="1201"/>
      <c r="ZD224" s="1201"/>
      <c r="ZE224" s="1201"/>
      <c r="ZF224" s="1201"/>
      <c r="ZG224" s="1201"/>
      <c r="ZH224" s="1201"/>
      <c r="ZI224" s="1201"/>
      <c r="ZJ224" s="1201"/>
      <c r="ZK224" s="1201"/>
      <c r="ZL224" s="1201"/>
      <c r="ZM224" s="1201"/>
      <c r="ZN224" s="1201"/>
      <c r="ZO224" s="1201"/>
      <c r="ZP224" s="1201"/>
      <c r="ZQ224" s="1201"/>
      <c r="ZR224" s="1201"/>
      <c r="ZS224" s="1201"/>
      <c r="ZT224" s="1201"/>
      <c r="ZU224" s="1201"/>
      <c r="ZV224" s="1201"/>
      <c r="ZW224" s="1201"/>
      <c r="ZX224" s="1201"/>
      <c r="ZY224" s="1201"/>
      <c r="ZZ224" s="1201"/>
      <c r="AAA224" s="1201"/>
      <c r="AAB224" s="1201"/>
      <c r="AAC224" s="1201"/>
      <c r="AAD224" s="1201"/>
      <c r="AAE224" s="1201"/>
      <c r="AAF224" s="1201"/>
      <c r="AAG224" s="1201"/>
      <c r="AAH224" s="1201"/>
      <c r="AAI224" s="1201"/>
      <c r="AAJ224" s="1201"/>
      <c r="AAK224" s="1201"/>
      <c r="AAL224" s="1201"/>
      <c r="AAM224" s="1201"/>
      <c r="AAN224" s="1201"/>
      <c r="AAO224" s="1201"/>
      <c r="AAP224" s="1201"/>
      <c r="AAQ224" s="1201"/>
      <c r="AAR224" s="1201"/>
      <c r="AAS224" s="1201"/>
      <c r="AAT224" s="1201"/>
      <c r="AAU224" s="1201"/>
      <c r="AAV224" s="1201"/>
      <c r="AAW224" s="1201"/>
      <c r="AAX224" s="1201"/>
      <c r="AAY224" s="1201"/>
      <c r="AAZ224" s="1201"/>
      <c r="ABA224" s="1201"/>
      <c r="ABB224" s="1201"/>
      <c r="ABC224" s="1201"/>
      <c r="ABD224" s="1201"/>
      <c r="ABE224" s="1201"/>
      <c r="ABF224" s="1201"/>
      <c r="ABG224" s="1201"/>
      <c r="ABH224" s="1201"/>
      <c r="ABI224" s="1201"/>
      <c r="ABJ224" s="1201"/>
      <c r="ABK224" s="1201"/>
      <c r="ABL224" s="1201"/>
      <c r="ABM224" s="1201"/>
      <c r="ABN224" s="1201"/>
      <c r="ABO224" s="1201"/>
      <c r="ABP224" s="1201"/>
      <c r="ABQ224" s="1201"/>
      <c r="ABR224" s="1201"/>
      <c r="ABS224" s="1201"/>
      <c r="ABT224" s="1201"/>
      <c r="ABU224" s="1201"/>
      <c r="ABV224" s="1201"/>
      <c r="ABW224" s="1201"/>
      <c r="ABX224" s="1201"/>
      <c r="ABY224" s="1201"/>
      <c r="ABZ224" s="1201"/>
      <c r="ACA224" s="1201"/>
      <c r="ACB224" s="1201"/>
      <c r="ACC224" s="1201"/>
      <c r="ACD224" s="1201"/>
      <c r="ACE224" s="1201"/>
      <c r="ACF224" s="1201"/>
      <c r="ACG224" s="1201"/>
      <c r="ACH224" s="1201"/>
      <c r="ACI224" s="1201"/>
      <c r="ACJ224" s="1201"/>
      <c r="ACK224" s="1201"/>
      <c r="ACL224" s="1201"/>
      <c r="ACM224" s="1201"/>
      <c r="ACN224" s="1201"/>
      <c r="ACO224" s="1201"/>
      <c r="ACP224" s="1201"/>
      <c r="ACQ224" s="1201"/>
      <c r="ACR224" s="1201"/>
      <c r="ACS224" s="1201"/>
      <c r="ACT224" s="1201"/>
      <c r="ACU224" s="1201"/>
      <c r="ACV224" s="1201"/>
      <c r="ACW224" s="1201"/>
      <c r="ACX224" s="1201"/>
      <c r="ACY224" s="1201"/>
      <c r="ACZ224" s="1201"/>
      <c r="ADA224" s="1201"/>
      <c r="ADB224" s="1201"/>
      <c r="ADC224" s="1201"/>
      <c r="ADD224" s="1201"/>
      <c r="ADE224" s="1201"/>
      <c r="ADF224" s="1201"/>
      <c r="ADG224" s="1201"/>
      <c r="ADH224" s="1201"/>
      <c r="ADI224" s="1201"/>
      <c r="ADJ224" s="1201"/>
      <c r="ADK224" s="1201"/>
      <c r="ADL224" s="1201"/>
      <c r="ADM224" s="1201"/>
      <c r="ADN224" s="1201"/>
      <c r="ADO224" s="1201"/>
      <c r="ADP224" s="1201"/>
      <c r="ADQ224" s="1201"/>
      <c r="ADR224" s="1201"/>
      <c r="ADS224" s="1201"/>
      <c r="ADT224" s="1201"/>
      <c r="ADU224" s="1201"/>
      <c r="ADV224" s="1201"/>
      <c r="ADW224" s="1201"/>
      <c r="ADX224" s="1201"/>
      <c r="ADY224" s="1201"/>
      <c r="ADZ224" s="1201"/>
      <c r="AEA224" s="1201"/>
      <c r="AEB224" s="1201"/>
      <c r="AEC224" s="1201"/>
      <c r="AED224" s="1201"/>
      <c r="AEE224" s="1201"/>
      <c r="AEF224" s="1201"/>
      <c r="AEG224" s="1201"/>
      <c r="AEH224" s="1201"/>
      <c r="AEI224" s="1201"/>
      <c r="AEJ224" s="1201"/>
      <c r="AEK224" s="1201"/>
      <c r="AEL224" s="1201"/>
      <c r="AEM224" s="1201"/>
      <c r="AEN224" s="1201"/>
      <c r="AEO224" s="1201"/>
      <c r="AEP224" s="1201"/>
      <c r="AEQ224" s="1201"/>
      <c r="AER224" s="1201"/>
      <c r="AES224" s="1201"/>
      <c r="AET224" s="1201"/>
      <c r="AEU224" s="1201"/>
      <c r="AEV224" s="1201"/>
      <c r="AEW224" s="1201"/>
      <c r="AEX224" s="1201"/>
      <c r="AEY224" s="1201"/>
      <c r="AEZ224" s="1201"/>
      <c r="AFA224" s="1201"/>
      <c r="AFB224" s="1201"/>
      <c r="AFC224" s="1201"/>
      <c r="AFD224" s="1201"/>
      <c r="AFE224" s="1201"/>
      <c r="AFF224" s="1201"/>
      <c r="AFG224" s="1201"/>
      <c r="AFH224" s="1201"/>
      <c r="AFI224" s="1201"/>
      <c r="AFJ224" s="1201"/>
      <c r="AFK224" s="1201"/>
      <c r="AFL224" s="1201"/>
      <c r="AFM224" s="1201"/>
      <c r="AFN224" s="1201"/>
      <c r="AFO224" s="1201"/>
      <c r="AFP224" s="1201"/>
      <c r="AFQ224" s="1201"/>
      <c r="AFR224" s="1201"/>
      <c r="AFS224" s="1201"/>
      <c r="AFT224" s="1201"/>
      <c r="AFU224" s="1201"/>
      <c r="AFV224" s="1201"/>
      <c r="AFW224" s="1201"/>
      <c r="AFX224" s="1201"/>
      <c r="AFY224" s="1201"/>
      <c r="AFZ224" s="1201"/>
      <c r="AGA224" s="1201"/>
      <c r="AGB224" s="1201"/>
      <c r="AGC224" s="1201"/>
      <c r="AGD224" s="1201"/>
      <c r="AGE224" s="1201"/>
      <c r="AGF224" s="1201"/>
      <c r="AGG224" s="1201"/>
      <c r="AGH224" s="1201"/>
      <c r="AGI224" s="1201"/>
      <c r="AGJ224" s="1201"/>
      <c r="AGK224" s="1201"/>
      <c r="AGL224" s="1201"/>
      <c r="AGM224" s="1201"/>
      <c r="AGN224" s="1201"/>
      <c r="AGO224" s="1201"/>
      <c r="AGP224" s="1201"/>
      <c r="AGQ224" s="1201"/>
      <c r="AGR224" s="1201"/>
      <c r="AGS224" s="1201"/>
      <c r="AGT224" s="1201"/>
      <c r="AGU224" s="1201"/>
      <c r="AGV224" s="1201"/>
      <c r="AGW224" s="1201"/>
      <c r="AGX224" s="1201"/>
      <c r="AGY224" s="1201"/>
      <c r="AGZ224" s="1201"/>
      <c r="AHA224" s="1201"/>
      <c r="AHB224" s="1201"/>
      <c r="AHC224" s="1201"/>
      <c r="AHD224" s="1201"/>
      <c r="AHE224" s="1201"/>
      <c r="AHF224" s="1201"/>
      <c r="AHG224" s="1201"/>
      <c r="AHH224" s="1201"/>
      <c r="AHI224" s="1201"/>
      <c r="AHJ224" s="1201"/>
      <c r="AHK224" s="1201"/>
      <c r="AHL224" s="1201"/>
      <c r="AHM224" s="1201"/>
      <c r="AHN224" s="1201"/>
      <c r="AHO224" s="1201"/>
      <c r="AHP224" s="1201"/>
      <c r="AHQ224" s="1201"/>
      <c r="AHR224" s="1201"/>
      <c r="AHS224" s="1201"/>
      <c r="AHT224" s="1201"/>
      <c r="AHU224" s="1201"/>
      <c r="AHV224" s="1201"/>
      <c r="AHW224" s="1201"/>
      <c r="AHX224" s="1201"/>
      <c r="AHY224" s="1201"/>
      <c r="AHZ224" s="1201"/>
      <c r="AIA224" s="1201"/>
      <c r="AIB224" s="1201"/>
      <c r="AIC224" s="1201"/>
      <c r="AID224" s="1201"/>
      <c r="AIE224" s="1201"/>
      <c r="AIF224" s="1201"/>
      <c r="AIG224" s="1201"/>
      <c r="AIH224" s="1201"/>
      <c r="AII224" s="1201"/>
      <c r="AIJ224" s="1201"/>
      <c r="AIK224" s="1201"/>
      <c r="AIL224" s="1201"/>
      <c r="AIM224" s="1201"/>
      <c r="AIN224" s="1201"/>
      <c r="AIO224" s="1201"/>
      <c r="AIP224" s="1201"/>
      <c r="AIQ224" s="1201"/>
      <c r="AIR224" s="1201"/>
      <c r="AIS224" s="1201"/>
      <c r="AIT224" s="1201"/>
      <c r="AIU224" s="1201"/>
      <c r="AIV224" s="1201"/>
      <c r="AIW224" s="1201"/>
      <c r="AIX224" s="1201"/>
      <c r="AIY224" s="1201"/>
      <c r="AIZ224" s="1201"/>
      <c r="AJA224" s="1201"/>
      <c r="AJB224" s="1201"/>
      <c r="AJC224" s="1201"/>
      <c r="AJD224" s="1201"/>
      <c r="AJE224" s="1201"/>
      <c r="AJF224" s="1201"/>
      <c r="AJG224" s="1201"/>
      <c r="AJH224" s="1201"/>
      <c r="AJI224" s="1201"/>
      <c r="AJJ224" s="1201"/>
      <c r="AJK224" s="1201"/>
      <c r="AJL224" s="1201"/>
      <c r="AJM224" s="1201"/>
      <c r="AJN224" s="1201"/>
      <c r="AJO224" s="1201"/>
      <c r="AJP224" s="1201"/>
      <c r="AJQ224" s="1201"/>
      <c r="AJR224" s="1201"/>
      <c r="AJS224" s="1201"/>
      <c r="AJT224" s="1201"/>
      <c r="AJU224" s="1201"/>
      <c r="AJV224" s="1201"/>
      <c r="AJW224" s="1201"/>
      <c r="AJX224" s="1201"/>
      <c r="AJY224" s="1201"/>
      <c r="AJZ224" s="1201"/>
      <c r="AKA224" s="1201"/>
      <c r="AKB224" s="1201"/>
      <c r="AKC224" s="1201"/>
      <c r="AKD224" s="1201"/>
      <c r="AKE224" s="1201"/>
      <c r="AKF224" s="1201"/>
      <c r="AKG224" s="1201"/>
      <c r="AKH224" s="1201"/>
      <c r="AKI224" s="1201"/>
      <c r="AKJ224" s="1201"/>
      <c r="AKK224" s="1201"/>
      <c r="AKL224" s="1201"/>
      <c r="AKM224" s="1201"/>
      <c r="AKN224" s="1201"/>
      <c r="AKO224" s="1201"/>
      <c r="AKP224" s="1201"/>
      <c r="AKQ224" s="1201"/>
      <c r="AKR224" s="1201"/>
      <c r="AKS224" s="1201"/>
      <c r="AKT224" s="1201"/>
      <c r="AKU224" s="1201"/>
      <c r="AKV224" s="1201"/>
      <c r="AKW224" s="1201"/>
      <c r="AKX224" s="1201"/>
      <c r="AKY224" s="1201"/>
      <c r="AKZ224" s="1201"/>
      <c r="ALA224" s="1201"/>
      <c r="ALB224" s="1201"/>
      <c r="ALC224" s="1201"/>
      <c r="ALD224" s="1201"/>
      <c r="ALE224" s="1201"/>
      <c r="ALF224" s="1201"/>
      <c r="ALG224" s="1201"/>
      <c r="ALH224" s="1201"/>
      <c r="ALI224" s="1201"/>
      <c r="ALJ224" s="1201"/>
      <c r="ALK224" s="1201"/>
      <c r="ALL224" s="1201"/>
      <c r="ALM224" s="1201"/>
      <c r="ALN224" s="1201"/>
      <c r="ALO224" s="1201"/>
      <c r="ALP224" s="1201"/>
      <c r="ALQ224" s="1201"/>
      <c r="ALR224" s="1201"/>
      <c r="ALS224" s="1201"/>
      <c r="ALT224" s="1201"/>
      <c r="ALU224" s="1201"/>
      <c r="ALV224" s="1201"/>
      <c r="ALW224" s="1201"/>
      <c r="ALX224" s="1201"/>
      <c r="ALY224" s="1201"/>
      <c r="ALZ224" s="1201"/>
      <c r="AMA224" s="1201"/>
      <c r="AMB224" s="1201"/>
      <c r="AMC224" s="1201"/>
      <c r="AMD224" s="1201"/>
      <c r="AME224" s="1201"/>
      <c r="AMF224" s="1201"/>
      <c r="AMG224" s="1201"/>
      <c r="AMH224" s="1201"/>
      <c r="AMI224" s="1201"/>
      <c r="AMJ224" s="1201"/>
      <c r="AMK224" s="1201"/>
      <c r="AML224" s="1201"/>
      <c r="AMM224" s="1201"/>
      <c r="AMN224" s="1201"/>
      <c r="AMO224" s="1201"/>
      <c r="AMP224" s="1201"/>
      <c r="AMQ224" s="1201"/>
      <c r="AMR224" s="1201"/>
      <c r="AMS224" s="1201"/>
      <c r="AMT224" s="1201"/>
      <c r="AMU224" s="1201"/>
      <c r="AMV224" s="1201"/>
      <c r="AMW224" s="1201"/>
      <c r="AMX224" s="1201"/>
      <c r="AMY224" s="1201"/>
      <c r="AMZ224" s="1201"/>
      <c r="ANA224" s="1201"/>
      <c r="ANB224" s="1201"/>
      <c r="ANC224" s="1201"/>
      <c r="AND224" s="1201"/>
      <c r="ANE224" s="1201"/>
      <c r="ANF224" s="1201"/>
      <c r="ANG224" s="1201"/>
      <c r="ANH224" s="1201"/>
      <c r="ANI224" s="1201"/>
      <c r="ANJ224" s="1201"/>
      <c r="ANK224" s="1201"/>
      <c r="ANL224" s="1201"/>
      <c r="ANM224" s="1201"/>
      <c r="ANN224" s="1201"/>
      <c r="ANO224" s="1201"/>
      <c r="ANP224" s="1201"/>
      <c r="ANQ224" s="1201"/>
      <c r="ANR224" s="1201"/>
      <c r="ANS224" s="1201"/>
      <c r="ANT224" s="1201"/>
      <c r="ANU224" s="1201"/>
      <c r="ANV224" s="1201"/>
      <c r="ANW224" s="1201"/>
      <c r="ANX224" s="1201"/>
      <c r="ANY224" s="1201"/>
      <c r="ANZ224" s="1201"/>
      <c r="AOA224" s="1201"/>
      <c r="AOB224" s="1201"/>
      <c r="AOC224" s="1201"/>
      <c r="AOD224" s="1201"/>
      <c r="AOE224" s="1201"/>
      <c r="AOF224" s="1201"/>
      <c r="AOG224" s="1201"/>
      <c r="AOH224" s="1201"/>
      <c r="AOI224" s="1201"/>
      <c r="AOJ224" s="1201"/>
      <c r="AOK224" s="1201"/>
      <c r="AOL224" s="1201"/>
      <c r="AOM224" s="1201"/>
      <c r="AON224" s="1201"/>
      <c r="AOO224" s="1201"/>
      <c r="AOP224" s="1201"/>
      <c r="AOQ224" s="1201"/>
      <c r="AOR224" s="1201"/>
      <c r="AOS224" s="1201"/>
      <c r="AOT224" s="1201"/>
      <c r="AOU224" s="1201"/>
      <c r="AOV224" s="1201"/>
      <c r="AOW224" s="1201"/>
      <c r="AOX224" s="1201"/>
      <c r="AOY224" s="1201"/>
      <c r="AOZ224" s="1201"/>
      <c r="APA224" s="1201"/>
      <c r="APB224" s="1201"/>
      <c r="APC224" s="1201"/>
      <c r="APD224" s="1201"/>
      <c r="APE224" s="1201"/>
      <c r="APF224" s="1201"/>
      <c r="APG224" s="1201"/>
      <c r="APH224" s="1201"/>
      <c r="API224" s="1201"/>
      <c r="APJ224" s="1201"/>
      <c r="APK224" s="1201"/>
      <c r="APL224" s="1201"/>
      <c r="APM224" s="1201"/>
      <c r="APN224" s="1201"/>
      <c r="APO224" s="1201"/>
      <c r="APP224" s="1201"/>
      <c r="APQ224" s="1201"/>
      <c r="APR224" s="1201"/>
      <c r="APS224" s="1201"/>
      <c r="APT224" s="1201"/>
      <c r="APU224" s="1201"/>
      <c r="APV224" s="1201"/>
      <c r="APW224" s="1201"/>
      <c r="APX224" s="1201"/>
      <c r="APY224" s="1201"/>
      <c r="APZ224" s="1201"/>
      <c r="AQA224" s="1201"/>
      <c r="AQB224" s="1201"/>
      <c r="AQC224" s="1201"/>
      <c r="AQD224" s="1201"/>
      <c r="AQE224" s="1201"/>
      <c r="AQF224" s="1201"/>
      <c r="AQG224" s="1201"/>
      <c r="AQH224" s="1201"/>
      <c r="AQI224" s="1201"/>
      <c r="AQJ224" s="1201"/>
      <c r="AQK224" s="1201"/>
      <c r="AQL224" s="1201"/>
      <c r="AQM224" s="1201"/>
      <c r="AQN224" s="1201"/>
      <c r="AQO224" s="1201"/>
      <c r="AQP224" s="1201"/>
      <c r="AQQ224" s="1201"/>
      <c r="AQR224" s="1201"/>
      <c r="AQS224" s="1201"/>
      <c r="AQT224" s="1201"/>
      <c r="AQU224" s="1201"/>
      <c r="AQV224" s="1201"/>
      <c r="AQW224" s="1201"/>
      <c r="AQX224" s="1201"/>
      <c r="AQY224" s="1201"/>
      <c r="AQZ224" s="1201"/>
      <c r="ARA224" s="1201"/>
      <c r="ARB224" s="1201"/>
      <c r="ARC224" s="1201"/>
      <c r="ARD224" s="1201"/>
      <c r="ARE224" s="1201"/>
      <c r="ARF224" s="1201"/>
      <c r="ARG224" s="1201"/>
      <c r="ARH224" s="1201"/>
      <c r="ARI224" s="1201"/>
      <c r="ARJ224" s="1201"/>
      <c r="ARK224" s="1201"/>
      <c r="ARL224" s="1201"/>
      <c r="ARM224" s="1201"/>
      <c r="ARN224" s="1201"/>
      <c r="ARO224" s="1201"/>
      <c r="ARP224" s="1201"/>
      <c r="ARQ224" s="1201"/>
      <c r="ARR224" s="1201"/>
      <c r="ARS224" s="1201"/>
      <c r="ART224" s="1201"/>
      <c r="ARU224" s="1201"/>
      <c r="ARV224" s="1201"/>
      <c r="ARW224" s="1201"/>
      <c r="ARX224" s="1201"/>
      <c r="ARY224" s="1201"/>
      <c r="ARZ224" s="1201"/>
      <c r="ASA224" s="1201"/>
      <c r="ASB224" s="1201"/>
      <c r="ASC224" s="1201"/>
      <c r="ASD224" s="1201"/>
      <c r="ASE224" s="1201"/>
      <c r="ASF224" s="1201"/>
      <c r="ASG224" s="1201"/>
      <c r="ASH224" s="1201"/>
      <c r="ASI224" s="1201"/>
      <c r="ASJ224" s="1201"/>
      <c r="ASK224" s="1201"/>
      <c r="ASL224" s="1201"/>
      <c r="ASM224" s="1201"/>
      <c r="ASN224" s="1201"/>
      <c r="ASO224" s="1201"/>
      <c r="ASP224" s="1201"/>
      <c r="ASQ224" s="1201"/>
      <c r="ASR224" s="1201"/>
      <c r="ASS224" s="1201"/>
      <c r="AST224" s="1201"/>
      <c r="ASU224" s="1201"/>
      <c r="ASV224" s="1201"/>
      <c r="ASW224" s="1201"/>
      <c r="ASX224" s="1201"/>
      <c r="ASY224" s="1201"/>
      <c r="ASZ224" s="1201"/>
      <c r="ATA224" s="1201"/>
      <c r="ATB224" s="1201"/>
      <c r="ATC224" s="1201"/>
      <c r="ATD224" s="1201"/>
      <c r="ATE224" s="1201"/>
      <c r="ATF224" s="1201"/>
      <c r="ATG224" s="1201"/>
      <c r="ATH224" s="1201"/>
      <c r="ATI224" s="1201"/>
      <c r="ATJ224" s="1201"/>
      <c r="ATK224" s="1201"/>
      <c r="ATL224" s="1201"/>
      <c r="ATM224" s="1201"/>
      <c r="ATN224" s="1201"/>
      <c r="ATO224" s="1201"/>
      <c r="ATP224" s="1201"/>
      <c r="ATQ224" s="1201"/>
      <c r="ATR224" s="1201"/>
      <c r="ATS224" s="1201"/>
      <c r="ATT224" s="1201"/>
      <c r="ATU224" s="1201"/>
      <c r="ATV224" s="1201"/>
      <c r="ATW224" s="1201"/>
      <c r="ATX224" s="1201"/>
      <c r="ATY224" s="1201"/>
      <c r="ATZ224" s="1201"/>
      <c r="AUA224" s="1201"/>
      <c r="AUB224" s="1201"/>
      <c r="AUC224" s="1201"/>
      <c r="AUD224" s="1201"/>
      <c r="AUE224" s="1201"/>
      <c r="AUF224" s="1201"/>
      <c r="AUG224" s="1201"/>
      <c r="AUH224" s="1201"/>
      <c r="AUI224" s="1201"/>
      <c r="AUJ224" s="1201"/>
      <c r="AUK224" s="1201"/>
      <c r="AUL224" s="1201"/>
      <c r="AUM224" s="1201"/>
      <c r="AUN224" s="1201"/>
      <c r="AUO224" s="1201"/>
      <c r="AUP224" s="1201"/>
      <c r="AUQ224" s="1201"/>
      <c r="AUR224" s="1201"/>
      <c r="AUS224" s="1201"/>
      <c r="AUT224" s="1201"/>
      <c r="AUU224" s="1201"/>
      <c r="AUV224" s="1201"/>
      <c r="AUW224" s="1201"/>
      <c r="AUX224" s="1201"/>
      <c r="AUY224" s="1201"/>
      <c r="AUZ224" s="1201"/>
      <c r="AVA224" s="1201"/>
      <c r="AVB224" s="1201"/>
      <c r="AVC224" s="1201"/>
      <c r="AVD224" s="1201"/>
      <c r="AVE224" s="1201"/>
      <c r="AVF224" s="1201"/>
      <c r="AVG224" s="1201"/>
      <c r="AVH224" s="1201"/>
      <c r="AVI224" s="1201"/>
      <c r="AVJ224" s="1201"/>
      <c r="AVK224" s="1201"/>
      <c r="AVL224" s="1201"/>
      <c r="AVM224" s="1201"/>
      <c r="AVN224" s="1201"/>
      <c r="AVO224" s="1201"/>
      <c r="AVP224" s="1201"/>
      <c r="AVQ224" s="1201"/>
      <c r="AVR224" s="1201"/>
      <c r="AVS224" s="1201"/>
      <c r="AVT224" s="1201"/>
      <c r="AVU224" s="1201"/>
      <c r="AVV224" s="1201"/>
      <c r="AVW224" s="1201"/>
      <c r="AVX224" s="1201"/>
      <c r="AVY224" s="1201"/>
      <c r="AVZ224" s="1201"/>
      <c r="AWA224" s="1201"/>
      <c r="AWB224" s="1201"/>
      <c r="AWC224" s="1201"/>
      <c r="AWD224" s="1201"/>
      <c r="AWE224" s="1201"/>
      <c r="AWF224" s="1201"/>
      <c r="AWG224" s="1201"/>
      <c r="AWH224" s="1201"/>
      <c r="AWI224" s="1201"/>
      <c r="AWJ224" s="1201"/>
      <c r="AWK224" s="1201"/>
      <c r="AWL224" s="1201"/>
      <c r="AWM224" s="1201"/>
      <c r="AWN224" s="1201"/>
      <c r="AWO224" s="1201"/>
      <c r="AWP224" s="1201"/>
      <c r="AWQ224" s="1201"/>
      <c r="AWR224" s="1201"/>
      <c r="AWS224" s="1201"/>
      <c r="AWT224" s="1201"/>
      <c r="AWU224" s="1201"/>
      <c r="AWV224" s="1201"/>
      <c r="AWW224" s="1201"/>
      <c r="AWX224" s="1201"/>
      <c r="AWY224" s="1201"/>
      <c r="AWZ224" s="1201"/>
      <c r="AXA224" s="1201"/>
      <c r="AXB224" s="1201"/>
      <c r="AXC224" s="1201"/>
      <c r="AXD224" s="1201"/>
      <c r="AXE224" s="1201"/>
      <c r="AXF224" s="1201"/>
      <c r="AXG224" s="1201"/>
      <c r="AXH224" s="1201"/>
      <c r="AXI224" s="1201"/>
      <c r="AXJ224" s="1201"/>
      <c r="AXK224" s="1201"/>
      <c r="AXL224" s="1201"/>
      <c r="AXM224" s="1201"/>
      <c r="AXN224" s="1201"/>
      <c r="AXO224" s="1201"/>
      <c r="AXP224" s="1201"/>
      <c r="AXQ224" s="1201"/>
      <c r="AXR224" s="1201"/>
      <c r="AXS224" s="1201"/>
      <c r="AXT224" s="1201"/>
      <c r="AXU224" s="1201"/>
      <c r="AXV224" s="1201"/>
      <c r="AXW224" s="1201"/>
      <c r="AXX224" s="1201"/>
      <c r="AXY224" s="1201"/>
      <c r="AXZ224" s="1201"/>
      <c r="AYA224" s="1201"/>
      <c r="AYB224" s="1201"/>
      <c r="AYC224" s="1201"/>
      <c r="AYD224" s="1201"/>
      <c r="AYE224" s="1201"/>
      <c r="AYF224" s="1201"/>
      <c r="AYG224" s="1201"/>
      <c r="AYH224" s="1201"/>
      <c r="AYI224" s="1201"/>
      <c r="AYJ224" s="1201"/>
      <c r="AYK224" s="1201"/>
      <c r="AYL224" s="1201"/>
      <c r="AYM224" s="1201"/>
      <c r="AYN224" s="1201"/>
      <c r="AYO224" s="1201"/>
      <c r="AYP224" s="1201"/>
      <c r="AYQ224" s="1201"/>
      <c r="AYR224" s="1201"/>
      <c r="AYS224" s="1201"/>
      <c r="AYT224" s="1201"/>
      <c r="AYU224" s="1201"/>
      <c r="AYV224" s="1201"/>
      <c r="AYW224" s="1201"/>
      <c r="AYX224" s="1201"/>
      <c r="AYY224" s="1201"/>
      <c r="AYZ224" s="1201"/>
      <c r="AZA224" s="1201"/>
      <c r="AZB224" s="1201"/>
      <c r="AZC224" s="1201"/>
      <c r="AZD224" s="1201"/>
      <c r="AZE224" s="1201"/>
      <c r="AZF224" s="1201"/>
      <c r="AZG224" s="1201"/>
      <c r="AZH224" s="1201"/>
      <c r="AZI224" s="1201"/>
      <c r="AZJ224" s="1201"/>
      <c r="AZK224" s="1201"/>
      <c r="AZL224" s="1201"/>
      <c r="AZM224" s="1201"/>
      <c r="AZN224" s="1201"/>
      <c r="AZO224" s="1201"/>
      <c r="AZP224" s="1201"/>
      <c r="AZQ224" s="1201"/>
      <c r="AZR224" s="1201"/>
      <c r="AZS224" s="1201"/>
      <c r="AZT224" s="1201"/>
      <c r="AZU224" s="1201"/>
      <c r="AZV224" s="1201"/>
      <c r="AZW224" s="1201"/>
      <c r="AZX224" s="1201"/>
      <c r="AZY224" s="1201"/>
      <c r="AZZ224" s="1201"/>
      <c r="BAA224" s="1201"/>
      <c r="BAB224" s="1201"/>
      <c r="BAC224" s="1201"/>
      <c r="BAD224" s="1201"/>
      <c r="BAE224" s="1201"/>
      <c r="BAF224" s="1201"/>
      <c r="BAG224" s="1201"/>
      <c r="BAH224" s="1201"/>
      <c r="BAI224" s="1201"/>
      <c r="BAJ224" s="1201"/>
      <c r="BAK224" s="1201"/>
      <c r="BAL224" s="1201"/>
      <c r="BAM224" s="1201"/>
      <c r="BAN224" s="1201"/>
      <c r="BAO224" s="1201"/>
      <c r="BAP224" s="1201"/>
      <c r="BAQ224" s="1201"/>
      <c r="BAR224" s="1201"/>
      <c r="BAS224" s="1201"/>
      <c r="BAT224" s="1201"/>
      <c r="BAU224" s="1201"/>
      <c r="BAV224" s="1201"/>
      <c r="BAW224" s="1201"/>
      <c r="BAX224" s="1201"/>
      <c r="BAY224" s="1201"/>
      <c r="BAZ224" s="1201"/>
      <c r="BBA224" s="1201"/>
      <c r="BBB224" s="1201"/>
      <c r="BBC224" s="1201"/>
      <c r="BBD224" s="1201"/>
      <c r="BBE224" s="1201"/>
      <c r="BBF224" s="1201"/>
      <c r="BBG224" s="1201"/>
      <c r="BBH224" s="1201"/>
      <c r="BBI224" s="1201"/>
      <c r="BBJ224" s="1201"/>
      <c r="BBK224" s="1201"/>
      <c r="BBL224" s="1201"/>
      <c r="BBM224" s="1201"/>
      <c r="BBN224" s="1201"/>
      <c r="BBO224" s="1201"/>
      <c r="BBP224" s="1201"/>
      <c r="BBQ224" s="1201"/>
      <c r="BBR224" s="1201"/>
      <c r="BBS224" s="1201"/>
      <c r="BBT224" s="1201"/>
      <c r="BBU224" s="1201"/>
      <c r="BBV224" s="1201"/>
      <c r="BBW224" s="1201"/>
      <c r="BBX224" s="1201"/>
      <c r="BBY224" s="1201"/>
      <c r="BBZ224" s="1201"/>
      <c r="BCA224" s="1201"/>
      <c r="BCB224" s="1201"/>
      <c r="BCC224" s="1201"/>
      <c r="BCD224" s="1201"/>
      <c r="BCE224" s="1201"/>
      <c r="BCF224" s="1201"/>
      <c r="BCG224" s="1201"/>
      <c r="BCH224" s="1201"/>
      <c r="BCI224" s="1201"/>
      <c r="BCJ224" s="1201"/>
      <c r="BCK224" s="1201"/>
      <c r="BCL224" s="1201"/>
      <c r="BCM224" s="1201"/>
      <c r="BCN224" s="1201"/>
      <c r="BCO224" s="1201"/>
      <c r="BCP224" s="1201"/>
      <c r="BCQ224" s="1201"/>
      <c r="BCR224" s="1201"/>
      <c r="BCS224" s="1201"/>
      <c r="BCT224" s="1201"/>
      <c r="BCU224" s="1201"/>
      <c r="BCV224" s="1201"/>
      <c r="BCW224" s="1201"/>
      <c r="BCX224" s="1201"/>
      <c r="BCY224" s="1201"/>
      <c r="BCZ224" s="1201"/>
      <c r="BDA224" s="1201"/>
      <c r="BDB224" s="1201"/>
      <c r="BDC224" s="1201"/>
      <c r="BDD224" s="1201"/>
      <c r="BDE224" s="1201"/>
      <c r="BDF224" s="1201"/>
      <c r="BDG224" s="1201"/>
      <c r="BDH224" s="1201"/>
      <c r="BDI224" s="1201"/>
      <c r="BDJ224" s="1201"/>
      <c r="BDK224" s="1201"/>
      <c r="BDL224" s="1201"/>
      <c r="BDM224" s="1201"/>
      <c r="BDN224" s="1201"/>
      <c r="BDO224" s="1201"/>
      <c r="BDP224" s="1201"/>
      <c r="BDQ224" s="1201"/>
      <c r="BDR224" s="1201"/>
      <c r="BDS224" s="1201"/>
      <c r="BDT224" s="1201"/>
      <c r="BDU224" s="1201"/>
      <c r="BDV224" s="1201"/>
      <c r="BDW224" s="1201"/>
      <c r="BDX224" s="1201"/>
      <c r="BDY224" s="1201"/>
      <c r="BDZ224" s="1201"/>
      <c r="BEA224" s="1201"/>
      <c r="BEB224" s="1201"/>
      <c r="BEC224" s="1201"/>
      <c r="BED224" s="1201"/>
      <c r="BEE224" s="1201"/>
      <c r="BEF224" s="1201"/>
      <c r="BEG224" s="1201"/>
      <c r="BEH224" s="1201"/>
      <c r="BEI224" s="1201"/>
      <c r="BEJ224" s="1201"/>
      <c r="BEK224" s="1201"/>
      <c r="BEL224" s="1201"/>
      <c r="BEM224" s="1201"/>
      <c r="BEN224" s="1201"/>
      <c r="BEO224" s="1201"/>
      <c r="BEP224" s="1201"/>
      <c r="BEQ224" s="1201"/>
      <c r="BER224" s="1201"/>
      <c r="BES224" s="1201"/>
      <c r="BET224" s="1201"/>
      <c r="BEU224" s="1201"/>
      <c r="BEV224" s="1201"/>
      <c r="BEW224" s="1201"/>
      <c r="BEX224" s="1201"/>
      <c r="BEY224" s="1201"/>
      <c r="BEZ224" s="1201"/>
      <c r="BFA224" s="1201"/>
      <c r="BFB224" s="1201"/>
      <c r="BFC224" s="1201"/>
      <c r="BFD224" s="1201"/>
      <c r="BFE224" s="1201"/>
      <c r="BFF224" s="1201"/>
      <c r="BFG224" s="1201"/>
      <c r="BFH224" s="1201"/>
      <c r="BFI224" s="1201"/>
      <c r="BFJ224" s="1201"/>
      <c r="BFK224" s="1201"/>
      <c r="BFL224" s="1201"/>
      <c r="BFM224" s="1201"/>
      <c r="BFN224" s="1201"/>
      <c r="BFO224" s="1201"/>
      <c r="BFP224" s="1201"/>
      <c r="BFQ224" s="1201"/>
      <c r="BFR224" s="1201"/>
      <c r="BFS224" s="1201"/>
      <c r="BFT224" s="1201"/>
      <c r="BFU224" s="1201"/>
      <c r="BFV224" s="1201"/>
      <c r="BFW224" s="1201"/>
      <c r="BFX224" s="1201"/>
      <c r="BFY224" s="1201"/>
      <c r="BFZ224" s="1201"/>
      <c r="BGA224" s="1201"/>
      <c r="BGB224" s="1201"/>
      <c r="BGC224" s="1201"/>
      <c r="BGD224" s="1201"/>
      <c r="BGE224" s="1201"/>
      <c r="BGF224" s="1201"/>
      <c r="BGG224" s="1201"/>
      <c r="BGH224" s="1201"/>
      <c r="BGI224" s="1201"/>
      <c r="BGJ224" s="1201"/>
      <c r="BGK224" s="1201"/>
      <c r="BGL224" s="1201"/>
      <c r="BGM224" s="1201"/>
      <c r="BGN224" s="1201"/>
      <c r="BGO224" s="1201"/>
      <c r="BGP224" s="1201"/>
      <c r="BGQ224" s="1201"/>
      <c r="BGR224" s="1201"/>
      <c r="BGS224" s="1201"/>
      <c r="BGT224" s="1201"/>
      <c r="BGU224" s="1201"/>
      <c r="BGV224" s="1201"/>
      <c r="BGW224" s="1201"/>
      <c r="BGX224" s="1201"/>
      <c r="BGY224" s="1201"/>
      <c r="BGZ224" s="1201"/>
      <c r="BHA224" s="1201"/>
      <c r="BHB224" s="1201"/>
      <c r="BHC224" s="1201"/>
      <c r="BHD224" s="1201"/>
      <c r="BHE224" s="1201"/>
      <c r="BHF224" s="1201"/>
      <c r="BHG224" s="1201"/>
      <c r="BHH224" s="1201"/>
      <c r="BHI224" s="1201"/>
      <c r="BHJ224" s="1201"/>
      <c r="BHK224" s="1201"/>
      <c r="BHL224" s="1201"/>
      <c r="BHM224" s="1201"/>
      <c r="BHN224" s="1201"/>
      <c r="BHO224" s="1201"/>
      <c r="BHP224" s="1201"/>
      <c r="BHQ224" s="1201"/>
      <c r="BHR224" s="1201"/>
      <c r="BHS224" s="1201"/>
      <c r="BHT224" s="1201"/>
      <c r="BHU224" s="1201"/>
      <c r="BHV224" s="1201"/>
      <c r="BHW224" s="1201"/>
      <c r="BHX224" s="1201"/>
      <c r="BHY224" s="1201"/>
      <c r="BHZ224" s="1201"/>
      <c r="BIA224" s="1201"/>
      <c r="BIB224" s="1201"/>
      <c r="BIC224" s="1201"/>
      <c r="BID224" s="1201"/>
      <c r="BIE224" s="1201"/>
      <c r="BIF224" s="1201"/>
      <c r="BIG224" s="1201"/>
      <c r="BIH224" s="1201"/>
      <c r="BII224" s="1201"/>
      <c r="BIJ224" s="1201"/>
      <c r="BIK224" s="1201"/>
      <c r="BIL224" s="1201"/>
      <c r="BIM224" s="1201"/>
      <c r="BIN224" s="1201"/>
      <c r="BIO224" s="1201"/>
      <c r="BIP224" s="1201"/>
      <c r="BIQ224" s="1201"/>
      <c r="BIR224" s="1201"/>
      <c r="BIS224" s="1201"/>
      <c r="BIT224" s="1201"/>
      <c r="BIU224" s="1201"/>
      <c r="BIV224" s="1201"/>
      <c r="BIW224" s="1201"/>
      <c r="BIX224" s="1201"/>
      <c r="BIY224" s="1201"/>
      <c r="BIZ224" s="1201"/>
      <c r="BJA224" s="1201"/>
      <c r="BJB224" s="1201"/>
      <c r="BJC224" s="1201"/>
      <c r="BJD224" s="1201"/>
      <c r="BJE224" s="1201"/>
      <c r="BJF224" s="1201"/>
      <c r="BJG224" s="1201"/>
      <c r="BJH224" s="1201"/>
      <c r="BJI224" s="1201"/>
      <c r="BJJ224" s="1201"/>
      <c r="BJK224" s="1201"/>
      <c r="BJL224" s="1201"/>
      <c r="BJM224" s="1201"/>
      <c r="BJN224" s="1201"/>
      <c r="BJO224" s="1201"/>
      <c r="BJP224" s="1201"/>
      <c r="BJQ224" s="1201"/>
      <c r="BJR224" s="1201"/>
      <c r="BJS224" s="1201"/>
      <c r="BJT224" s="1201"/>
      <c r="BJU224" s="1201"/>
      <c r="BJV224" s="1201"/>
      <c r="BJW224" s="1201"/>
      <c r="BJX224" s="1201"/>
      <c r="BJY224" s="1201"/>
      <c r="BJZ224" s="1201"/>
      <c r="BKA224" s="1201"/>
      <c r="BKB224" s="1201"/>
      <c r="BKC224" s="1201"/>
      <c r="BKD224" s="1201"/>
      <c r="BKE224" s="1201"/>
      <c r="BKF224" s="1201"/>
      <c r="BKG224" s="1201"/>
      <c r="BKH224" s="1201"/>
      <c r="BKI224" s="1201"/>
      <c r="BKJ224" s="1201"/>
      <c r="BKK224" s="1201"/>
      <c r="BKL224" s="1201"/>
      <c r="BKM224" s="1201"/>
      <c r="BKN224" s="1201"/>
      <c r="BKO224" s="1201"/>
      <c r="BKP224" s="1201"/>
      <c r="BKQ224" s="1201"/>
      <c r="BKR224" s="1201"/>
      <c r="BKS224" s="1201"/>
      <c r="BKT224" s="1201"/>
      <c r="BKU224" s="1201"/>
      <c r="BKV224" s="1201"/>
      <c r="BKW224" s="1201"/>
      <c r="BKX224" s="1201"/>
      <c r="BKY224" s="1201"/>
      <c r="BKZ224" s="1201"/>
      <c r="BLA224" s="1201"/>
      <c r="BLB224" s="1201"/>
      <c r="BLC224" s="1201"/>
      <c r="BLD224" s="1201"/>
      <c r="BLE224" s="1201"/>
      <c r="BLF224" s="1201"/>
      <c r="BLG224" s="1201"/>
      <c r="BLH224" s="1201"/>
      <c r="BLI224" s="1201"/>
      <c r="BLJ224" s="1201"/>
      <c r="BLK224" s="1201"/>
      <c r="BLL224" s="1201"/>
      <c r="BLM224" s="1201"/>
      <c r="BLN224" s="1201"/>
      <c r="BLO224" s="1201"/>
      <c r="BLP224" s="1201"/>
      <c r="BLQ224" s="1201"/>
      <c r="BLR224" s="1201"/>
      <c r="BLS224" s="1201"/>
      <c r="BLT224" s="1201"/>
      <c r="BLU224" s="1201"/>
      <c r="BLV224" s="1201"/>
      <c r="BLW224" s="1201"/>
      <c r="BLX224" s="1201"/>
      <c r="BLY224" s="1201"/>
      <c r="BLZ224" s="1201"/>
      <c r="BMA224" s="1201"/>
      <c r="BMB224" s="1201"/>
      <c r="BMC224" s="1201"/>
      <c r="BMD224" s="1201"/>
      <c r="BME224" s="1201"/>
      <c r="BMF224" s="1201"/>
      <c r="BMG224" s="1201"/>
      <c r="BMH224" s="1201"/>
      <c r="BMI224" s="1201"/>
      <c r="BMJ224" s="1201"/>
      <c r="BMK224" s="1201"/>
      <c r="BML224" s="1201"/>
      <c r="BMM224" s="1201"/>
      <c r="BMN224" s="1201"/>
      <c r="BMO224" s="1201"/>
      <c r="BMP224" s="1201"/>
      <c r="BMQ224" s="1201"/>
      <c r="BMR224" s="1201"/>
      <c r="BMS224" s="1201"/>
      <c r="BMT224" s="1201"/>
      <c r="BMU224" s="1201"/>
      <c r="BMV224" s="1201"/>
      <c r="BMW224" s="1201"/>
      <c r="BMX224" s="1201"/>
      <c r="BMY224" s="1201"/>
      <c r="BMZ224" s="1201"/>
      <c r="BNA224" s="1201"/>
      <c r="BNB224" s="1201"/>
      <c r="BNC224" s="1201"/>
      <c r="BND224" s="1201"/>
      <c r="BNE224" s="1201"/>
      <c r="BNF224" s="1201"/>
      <c r="BNG224" s="1201"/>
      <c r="BNH224" s="1201"/>
      <c r="BNI224" s="1201"/>
      <c r="BNJ224" s="1201"/>
      <c r="BNK224" s="1201"/>
      <c r="BNL224" s="1201"/>
      <c r="BNM224" s="1201"/>
      <c r="BNN224" s="1201"/>
      <c r="BNO224" s="1201"/>
      <c r="BNP224" s="1201"/>
      <c r="BNQ224" s="1201"/>
      <c r="BNR224" s="1201"/>
      <c r="BNS224" s="1201"/>
      <c r="BNT224" s="1201"/>
      <c r="BNU224" s="1201"/>
      <c r="BNV224" s="1201"/>
      <c r="BNW224" s="1201"/>
      <c r="BNX224" s="1201"/>
      <c r="BNY224" s="1201"/>
      <c r="BNZ224" s="1201"/>
      <c r="BOA224" s="1201"/>
      <c r="BOB224" s="1201"/>
      <c r="BOC224" s="1201"/>
      <c r="BOD224" s="1201"/>
      <c r="BOE224" s="1201"/>
      <c r="BOF224" s="1201"/>
      <c r="BOG224" s="1201"/>
      <c r="BOH224" s="1201"/>
      <c r="BOI224" s="1201"/>
      <c r="BOJ224" s="1201"/>
      <c r="BOK224" s="1201"/>
      <c r="BOL224" s="1201"/>
      <c r="BOM224" s="1201"/>
      <c r="BON224" s="1201"/>
      <c r="BOO224" s="1201"/>
      <c r="BOP224" s="1201"/>
      <c r="BOQ224" s="1201"/>
      <c r="BOR224" s="1201"/>
      <c r="BOS224" s="1201"/>
      <c r="BOT224" s="1201"/>
      <c r="BOU224" s="1201"/>
      <c r="BOV224" s="1201"/>
      <c r="BOW224" s="1201"/>
      <c r="BOX224" s="1201"/>
      <c r="BOY224" s="1201"/>
      <c r="BOZ224" s="1201"/>
      <c r="BPA224" s="1201"/>
      <c r="BPB224" s="1201"/>
      <c r="BPC224" s="1201"/>
      <c r="BPD224" s="1201"/>
      <c r="BPE224" s="1201"/>
      <c r="BPF224" s="1201"/>
      <c r="BPG224" s="1201"/>
      <c r="BPH224" s="1201"/>
      <c r="BPI224" s="1201"/>
      <c r="BPJ224" s="1201"/>
      <c r="BPK224" s="1201"/>
      <c r="BPL224" s="1201"/>
      <c r="BPM224" s="1201"/>
      <c r="BPN224" s="1201"/>
      <c r="BPO224" s="1201"/>
      <c r="BPP224" s="1201"/>
      <c r="BPQ224" s="1201"/>
      <c r="BPR224" s="1201"/>
      <c r="BPS224" s="1201"/>
      <c r="BPT224" s="1201"/>
      <c r="BPU224" s="1201"/>
      <c r="BPV224" s="1201"/>
      <c r="BPW224" s="1201"/>
      <c r="BPX224" s="1201"/>
      <c r="BPY224" s="1201"/>
      <c r="BPZ224" s="1201"/>
      <c r="BQA224" s="1201"/>
      <c r="BQB224" s="1201"/>
      <c r="BQC224" s="1201"/>
      <c r="BQD224" s="1201"/>
      <c r="BQE224" s="1201"/>
      <c r="BQF224" s="1201"/>
      <c r="BQG224" s="1201"/>
      <c r="BQH224" s="1201"/>
      <c r="BQI224" s="1201"/>
      <c r="BQJ224" s="1201"/>
      <c r="BQK224" s="1201"/>
      <c r="BQL224" s="1201"/>
      <c r="BQM224" s="1201"/>
      <c r="BQN224" s="1201"/>
      <c r="BQO224" s="1201"/>
      <c r="BQP224" s="1201"/>
      <c r="BQQ224" s="1201"/>
      <c r="BQR224" s="1201"/>
      <c r="BQS224" s="1201"/>
      <c r="BQT224" s="1201"/>
      <c r="BQU224" s="1201"/>
      <c r="BQV224" s="1201"/>
      <c r="BQW224" s="1201"/>
      <c r="BQX224" s="1201"/>
      <c r="BQY224" s="1201"/>
      <c r="BQZ224" s="1201"/>
      <c r="BRA224" s="1201"/>
      <c r="BRB224" s="1201"/>
      <c r="BRC224" s="1201"/>
      <c r="BRD224" s="1201"/>
      <c r="BRE224" s="1201"/>
      <c r="BRF224" s="1201"/>
      <c r="BRG224" s="1201"/>
      <c r="BRH224" s="1201"/>
      <c r="BRI224" s="1201"/>
      <c r="BRJ224" s="1201"/>
      <c r="BRK224" s="1201"/>
      <c r="BRL224" s="1201"/>
      <c r="BRM224" s="1201"/>
      <c r="BRN224" s="1201"/>
      <c r="BRO224" s="1201"/>
      <c r="BRP224" s="1201"/>
      <c r="BRQ224" s="1201"/>
      <c r="BRR224" s="1201"/>
      <c r="BRS224" s="1201"/>
      <c r="BRT224" s="1201"/>
      <c r="BRU224" s="1201"/>
      <c r="BRV224" s="1201"/>
      <c r="BRW224" s="1201"/>
      <c r="BRX224" s="1201"/>
      <c r="BRY224" s="1201"/>
      <c r="BRZ224" s="1201"/>
      <c r="BSA224" s="1201"/>
      <c r="BSB224" s="1201"/>
      <c r="BSC224" s="1201"/>
      <c r="BSD224" s="1201"/>
      <c r="BSE224" s="1201"/>
      <c r="BSF224" s="1201"/>
      <c r="BSG224" s="1201"/>
      <c r="BSH224" s="1201"/>
      <c r="BSI224" s="1201"/>
      <c r="BSJ224" s="1201"/>
      <c r="BSK224" s="1201"/>
      <c r="BSL224" s="1201"/>
      <c r="BSM224" s="1201"/>
      <c r="BSN224" s="1201"/>
      <c r="BSO224" s="1201"/>
      <c r="BSP224" s="1201"/>
      <c r="BSQ224" s="1201"/>
      <c r="BSR224" s="1201"/>
      <c r="BSS224" s="1201"/>
      <c r="BST224" s="1201"/>
      <c r="BSU224" s="1201"/>
      <c r="BSV224" s="1201"/>
      <c r="BSW224" s="1201"/>
      <c r="BSX224" s="1201"/>
      <c r="BSY224" s="1201"/>
      <c r="BSZ224" s="1201"/>
      <c r="BTA224" s="1201"/>
      <c r="BTB224" s="1201"/>
      <c r="BTC224" s="1201"/>
      <c r="BTD224" s="1201"/>
      <c r="BTE224" s="1201"/>
      <c r="BTF224" s="1201"/>
      <c r="BTG224" s="1201"/>
      <c r="BTH224" s="1201"/>
      <c r="BTI224" s="1201"/>
      <c r="BTJ224" s="1201"/>
      <c r="BTK224" s="1201"/>
      <c r="BTL224" s="1201"/>
      <c r="BTM224" s="1201"/>
      <c r="BTN224" s="1201"/>
      <c r="BTO224" s="1201"/>
      <c r="BTP224" s="1201"/>
      <c r="BTQ224" s="1201"/>
      <c r="BTR224" s="1201"/>
      <c r="BTS224" s="1201"/>
      <c r="BTT224" s="1201"/>
      <c r="BTU224" s="1201"/>
      <c r="BTV224" s="1201"/>
      <c r="BTW224" s="1201"/>
      <c r="BTX224" s="1201"/>
      <c r="BTY224" s="1201"/>
      <c r="BTZ224" s="1201"/>
      <c r="BUA224" s="1201"/>
      <c r="BUB224" s="1201"/>
      <c r="BUC224" s="1201"/>
      <c r="BUD224" s="1201"/>
      <c r="BUE224" s="1201"/>
      <c r="BUF224" s="1201"/>
      <c r="BUG224" s="1201"/>
      <c r="BUH224" s="1201"/>
      <c r="BUI224" s="1201"/>
      <c r="BUJ224" s="1201"/>
      <c r="BUK224" s="1201"/>
      <c r="BUL224" s="1201"/>
      <c r="BUM224" s="1201"/>
      <c r="BUN224" s="1201"/>
      <c r="BUO224" s="1201"/>
      <c r="BUP224" s="1201"/>
      <c r="BUQ224" s="1201"/>
      <c r="BUR224" s="1201"/>
      <c r="BUS224" s="1201"/>
      <c r="BUT224" s="1201"/>
      <c r="BUU224" s="1201"/>
      <c r="BUV224" s="1201"/>
      <c r="BUW224" s="1201"/>
      <c r="BUX224" s="1201"/>
      <c r="BUY224" s="1201"/>
      <c r="BUZ224" s="1201"/>
      <c r="BVA224" s="1201"/>
      <c r="BVB224" s="1201"/>
      <c r="BVC224" s="1201"/>
      <c r="BVD224" s="1201"/>
      <c r="BVE224" s="1201"/>
      <c r="BVF224" s="1201"/>
      <c r="BVG224" s="1201"/>
      <c r="BVH224" s="1201"/>
      <c r="BVI224" s="1201"/>
      <c r="BVJ224" s="1201"/>
      <c r="BVK224" s="1201"/>
      <c r="BVL224" s="1201"/>
      <c r="BVM224" s="1201"/>
      <c r="BVN224" s="1201"/>
      <c r="BVO224" s="1201"/>
      <c r="BVP224" s="1201"/>
      <c r="BVQ224" s="1201"/>
      <c r="BVR224" s="1201"/>
      <c r="BVS224" s="1201"/>
      <c r="BVT224" s="1201"/>
      <c r="BVU224" s="1201"/>
      <c r="BVV224" s="1201"/>
      <c r="BVW224" s="1201"/>
      <c r="BVX224" s="1201"/>
      <c r="BVY224" s="1201"/>
      <c r="BVZ224" s="1201"/>
      <c r="BWA224" s="1201"/>
      <c r="BWB224" s="1201"/>
      <c r="BWC224" s="1201"/>
      <c r="BWD224" s="1201"/>
      <c r="BWE224" s="1201"/>
      <c r="BWF224" s="1201"/>
      <c r="BWG224" s="1201"/>
      <c r="BWH224" s="1201"/>
      <c r="BWI224" s="1201"/>
      <c r="BWJ224" s="1201"/>
      <c r="BWK224" s="1201"/>
      <c r="BWL224" s="1201"/>
      <c r="BWM224" s="1201"/>
      <c r="BWN224" s="1201"/>
      <c r="BWO224" s="1201"/>
      <c r="BWP224" s="1201"/>
      <c r="BWQ224" s="1201"/>
      <c r="BWR224" s="1201"/>
      <c r="BWS224" s="1201"/>
      <c r="BWT224" s="1201"/>
      <c r="BWU224" s="1201"/>
      <c r="BWV224" s="1201"/>
      <c r="BWW224" s="1201"/>
      <c r="BWX224" s="1201"/>
      <c r="BWY224" s="1201"/>
      <c r="BWZ224" s="1201"/>
      <c r="BXA224" s="1201"/>
      <c r="BXB224" s="1201"/>
      <c r="BXC224" s="1201"/>
      <c r="BXD224" s="1201"/>
      <c r="BXE224" s="1201"/>
      <c r="BXF224" s="1201"/>
      <c r="BXG224" s="1201"/>
      <c r="BXH224" s="1201"/>
      <c r="BXI224" s="1201"/>
      <c r="BXJ224" s="1201"/>
      <c r="BXK224" s="1201"/>
      <c r="BXL224" s="1201"/>
      <c r="BXM224" s="1201"/>
      <c r="BXN224" s="1201"/>
      <c r="BXO224" s="1201"/>
      <c r="BXP224" s="1201"/>
      <c r="BXQ224" s="1201"/>
      <c r="BXR224" s="1201"/>
      <c r="BXS224" s="1201"/>
      <c r="BXT224" s="1201"/>
      <c r="BXU224" s="1201"/>
      <c r="BXV224" s="1201"/>
      <c r="BXW224" s="1201"/>
      <c r="BXX224" s="1201"/>
      <c r="BXY224" s="1201"/>
      <c r="BXZ224" s="1201"/>
      <c r="BYA224" s="1201"/>
      <c r="BYB224" s="1201"/>
      <c r="BYC224" s="1201"/>
      <c r="BYD224" s="1201"/>
      <c r="BYE224" s="1201"/>
      <c r="BYF224" s="1201"/>
      <c r="BYG224" s="1201"/>
      <c r="BYH224" s="1201"/>
      <c r="BYI224" s="1201"/>
      <c r="BYJ224" s="1201"/>
      <c r="BYK224" s="1201"/>
      <c r="BYL224" s="1201"/>
      <c r="BYM224" s="1201"/>
      <c r="BYN224" s="1201"/>
      <c r="BYO224" s="1201"/>
      <c r="BYP224" s="1201"/>
      <c r="BYQ224" s="1201"/>
      <c r="BYR224" s="1201"/>
      <c r="BYS224" s="1201"/>
      <c r="BYT224" s="1201"/>
      <c r="BYU224" s="1201"/>
      <c r="BYV224" s="1201"/>
      <c r="BYW224" s="1201"/>
      <c r="BYX224" s="1201"/>
      <c r="BYY224" s="1201"/>
      <c r="BYZ224" s="1201"/>
      <c r="BZA224" s="1201"/>
      <c r="BZB224" s="1201"/>
      <c r="BZC224" s="1201"/>
      <c r="BZD224" s="1201"/>
      <c r="BZE224" s="1201"/>
      <c r="BZF224" s="1201"/>
      <c r="BZG224" s="1201"/>
      <c r="BZH224" s="1201"/>
      <c r="BZI224" s="1201"/>
      <c r="BZJ224" s="1201"/>
      <c r="BZK224" s="1201"/>
      <c r="BZL224" s="1201"/>
      <c r="BZM224" s="1201"/>
      <c r="BZN224" s="1201"/>
      <c r="BZO224" s="1201"/>
      <c r="BZP224" s="1201"/>
      <c r="BZQ224" s="1201"/>
      <c r="BZR224" s="1201"/>
      <c r="BZS224" s="1201"/>
      <c r="BZT224" s="1201"/>
      <c r="BZU224" s="1201"/>
      <c r="BZV224" s="1201"/>
      <c r="BZW224" s="1201"/>
      <c r="BZX224" s="1201"/>
      <c r="BZY224" s="1201"/>
      <c r="BZZ224" s="1201"/>
      <c r="CAA224" s="1201"/>
      <c r="CAB224" s="1201"/>
      <c r="CAC224" s="1201"/>
      <c r="CAD224" s="1201"/>
      <c r="CAE224" s="1201"/>
      <c r="CAF224" s="1201"/>
      <c r="CAG224" s="1201"/>
      <c r="CAH224" s="1201"/>
      <c r="CAI224" s="1201"/>
      <c r="CAJ224" s="1201"/>
      <c r="CAK224" s="1201"/>
      <c r="CAL224" s="1201"/>
      <c r="CAM224" s="1201"/>
      <c r="CAN224" s="1201"/>
      <c r="CAO224" s="1201"/>
      <c r="CAP224" s="1201"/>
      <c r="CAQ224" s="1201"/>
      <c r="CAR224" s="1201"/>
      <c r="CAS224" s="1201"/>
      <c r="CAT224" s="1201"/>
      <c r="CAU224" s="1201"/>
      <c r="CAV224" s="1201"/>
      <c r="CAW224" s="1201"/>
      <c r="CAX224" s="1201"/>
      <c r="CAY224" s="1201"/>
      <c r="CAZ224" s="1201"/>
      <c r="CBA224" s="1201"/>
      <c r="CBB224" s="1201"/>
      <c r="CBC224" s="1201"/>
      <c r="CBD224" s="1201"/>
      <c r="CBE224" s="1201"/>
      <c r="CBF224" s="1201"/>
      <c r="CBG224" s="1201"/>
      <c r="CBH224" s="1201"/>
      <c r="CBI224" s="1201"/>
      <c r="CBJ224" s="1201"/>
      <c r="CBK224" s="1201"/>
      <c r="CBL224" s="1201"/>
      <c r="CBM224" s="1201"/>
      <c r="CBN224" s="1201"/>
      <c r="CBO224" s="1201"/>
      <c r="CBP224" s="1201"/>
      <c r="CBQ224" s="1201"/>
      <c r="CBR224" s="1201"/>
      <c r="CBS224" s="1201"/>
      <c r="CBT224" s="1201"/>
      <c r="CBU224" s="1201"/>
      <c r="CBV224" s="1201"/>
      <c r="CBW224" s="1201"/>
      <c r="CBX224" s="1201"/>
      <c r="CBY224" s="1201"/>
      <c r="CBZ224" s="1201"/>
      <c r="CCA224" s="1201"/>
      <c r="CCB224" s="1201"/>
      <c r="CCC224" s="1201"/>
      <c r="CCD224" s="1201"/>
      <c r="CCE224" s="1201"/>
      <c r="CCF224" s="1201"/>
      <c r="CCG224" s="1201"/>
      <c r="CCH224" s="1201"/>
      <c r="CCI224" s="1201"/>
      <c r="CCJ224" s="1201"/>
      <c r="CCK224" s="1201"/>
      <c r="CCL224" s="1201"/>
      <c r="CCM224" s="1201"/>
      <c r="CCN224" s="1201"/>
      <c r="CCO224" s="1201"/>
      <c r="CCP224" s="1201"/>
      <c r="CCQ224" s="1201"/>
      <c r="CCR224" s="1201"/>
      <c r="CCS224" s="1201"/>
      <c r="CCT224" s="1201"/>
      <c r="CCU224" s="1201"/>
      <c r="CCV224" s="1201"/>
      <c r="CCW224" s="1201"/>
      <c r="CCX224" s="1201"/>
      <c r="CCY224" s="1201"/>
      <c r="CCZ224" s="1201"/>
      <c r="CDA224" s="1201"/>
      <c r="CDB224" s="1201"/>
      <c r="CDC224" s="1201"/>
      <c r="CDD224" s="1201"/>
      <c r="CDE224" s="1201"/>
      <c r="CDF224" s="1201"/>
      <c r="CDG224" s="1201"/>
      <c r="CDH224" s="1201"/>
      <c r="CDI224" s="1201"/>
      <c r="CDJ224" s="1201"/>
      <c r="CDK224" s="1201"/>
      <c r="CDL224" s="1201"/>
      <c r="CDM224" s="1201"/>
      <c r="CDN224" s="1201"/>
      <c r="CDO224" s="1201"/>
      <c r="CDP224" s="1201"/>
      <c r="CDQ224" s="1201"/>
      <c r="CDR224" s="1201"/>
      <c r="CDS224" s="1201"/>
      <c r="CDT224" s="1201"/>
      <c r="CDU224" s="1201"/>
      <c r="CDV224" s="1201"/>
      <c r="CDW224" s="1201"/>
      <c r="CDX224" s="1201"/>
      <c r="CDY224" s="1201"/>
      <c r="CDZ224" s="1201"/>
      <c r="CEA224" s="1201"/>
      <c r="CEB224" s="1201"/>
      <c r="CEC224" s="1201"/>
      <c r="CED224" s="1201"/>
      <c r="CEE224" s="1201"/>
      <c r="CEF224" s="1201"/>
      <c r="CEG224" s="1201"/>
      <c r="CEH224" s="1201"/>
      <c r="CEI224" s="1201"/>
      <c r="CEJ224" s="1201"/>
      <c r="CEK224" s="1201"/>
      <c r="CEL224" s="1201"/>
      <c r="CEM224" s="1201"/>
      <c r="CEN224" s="1201"/>
      <c r="CEO224" s="1201"/>
      <c r="CEP224" s="1201"/>
      <c r="CEQ224" s="1201"/>
      <c r="CER224" s="1201"/>
      <c r="CES224" s="1201"/>
      <c r="CET224" s="1201"/>
      <c r="CEU224" s="1201"/>
      <c r="CEV224" s="1201"/>
      <c r="CEW224" s="1201"/>
      <c r="CEX224" s="1201"/>
      <c r="CEY224" s="1201"/>
      <c r="CEZ224" s="1201"/>
      <c r="CFA224" s="1201"/>
      <c r="CFB224" s="1201"/>
      <c r="CFC224" s="1201"/>
      <c r="CFD224" s="1201"/>
      <c r="CFE224" s="1201"/>
      <c r="CFF224" s="1201"/>
      <c r="CFG224" s="1201"/>
      <c r="CFH224" s="1201"/>
      <c r="CFI224" s="1201"/>
      <c r="CFJ224" s="1201"/>
      <c r="CFK224" s="1201"/>
      <c r="CFL224" s="1201"/>
      <c r="CFM224" s="1201"/>
      <c r="CFN224" s="1201"/>
      <c r="CFO224" s="1201"/>
      <c r="CFP224" s="1201"/>
      <c r="CFQ224" s="1201"/>
      <c r="CFR224" s="1201"/>
      <c r="CFS224" s="1201"/>
      <c r="CFT224" s="1201"/>
      <c r="CFU224" s="1201"/>
      <c r="CFV224" s="1201"/>
      <c r="CFW224" s="1201"/>
      <c r="CFX224" s="1201"/>
      <c r="CFY224" s="1201"/>
      <c r="CFZ224" s="1201"/>
      <c r="CGA224" s="1201"/>
      <c r="CGB224" s="1201"/>
      <c r="CGC224" s="1201"/>
      <c r="CGD224" s="1201"/>
      <c r="CGE224" s="1201"/>
      <c r="CGF224" s="1201"/>
      <c r="CGG224" s="1201"/>
      <c r="CGH224" s="1201"/>
      <c r="CGI224" s="1201"/>
      <c r="CGJ224" s="1201"/>
      <c r="CGK224" s="1201"/>
      <c r="CGL224" s="1201"/>
      <c r="CGM224" s="1201"/>
      <c r="CGN224" s="1201"/>
      <c r="CGO224" s="1201"/>
      <c r="CGP224" s="1201"/>
      <c r="CGQ224" s="1201"/>
      <c r="CGR224" s="1201"/>
      <c r="CGS224" s="1201"/>
      <c r="CGT224" s="1201"/>
      <c r="CGU224" s="1201"/>
      <c r="CGV224" s="1201"/>
      <c r="CGW224" s="1201"/>
      <c r="CGX224" s="1201"/>
      <c r="CGY224" s="1201"/>
      <c r="CGZ224" s="1201"/>
      <c r="CHA224" s="1201"/>
      <c r="CHB224" s="1201"/>
      <c r="CHC224" s="1201"/>
      <c r="CHD224" s="1201"/>
      <c r="CHE224" s="1201"/>
      <c r="CHF224" s="1201"/>
      <c r="CHG224" s="1201"/>
      <c r="CHH224" s="1201"/>
      <c r="CHI224" s="1201"/>
      <c r="CHJ224" s="1201"/>
      <c r="CHK224" s="1201"/>
      <c r="CHL224" s="1201"/>
      <c r="CHM224" s="1201"/>
      <c r="CHN224" s="1201"/>
      <c r="CHO224" s="1201"/>
      <c r="CHP224" s="1201"/>
      <c r="CHQ224" s="1201"/>
      <c r="CHR224" s="1201"/>
      <c r="CHS224" s="1201"/>
      <c r="CHT224" s="1201"/>
      <c r="CHU224" s="1201"/>
      <c r="CHV224" s="1201"/>
      <c r="CHW224" s="1201"/>
      <c r="CHX224" s="1201"/>
      <c r="CHY224" s="1201"/>
      <c r="CHZ224" s="1201"/>
      <c r="CIA224" s="1201"/>
      <c r="CIB224" s="1201"/>
      <c r="CIC224" s="1201"/>
      <c r="CID224" s="1201"/>
      <c r="CIE224" s="1201"/>
      <c r="CIF224" s="1201"/>
      <c r="CIG224" s="1201"/>
      <c r="CIH224" s="1201"/>
      <c r="CII224" s="1201"/>
      <c r="CIJ224" s="1201"/>
      <c r="CIK224" s="1201"/>
      <c r="CIL224" s="1201"/>
      <c r="CIM224" s="1201"/>
      <c r="CIN224" s="1201"/>
      <c r="CIO224" s="1201"/>
      <c r="CIP224" s="1201"/>
      <c r="CIQ224" s="1201"/>
      <c r="CIR224" s="1201"/>
      <c r="CIS224" s="1201"/>
      <c r="CIT224" s="1201"/>
      <c r="CIU224" s="1201"/>
      <c r="CIV224" s="1201"/>
      <c r="CIW224" s="1201"/>
      <c r="CIX224" s="1201"/>
      <c r="CIY224" s="1201"/>
      <c r="CIZ224" s="1201"/>
      <c r="CJA224" s="1201"/>
      <c r="CJB224" s="1201"/>
      <c r="CJC224" s="1201"/>
      <c r="CJD224" s="1201"/>
      <c r="CJE224" s="1201"/>
      <c r="CJF224" s="1201"/>
      <c r="CJG224" s="1201"/>
      <c r="CJH224" s="1201"/>
      <c r="CJI224" s="1201"/>
      <c r="CJJ224" s="1201"/>
      <c r="CJK224" s="1201"/>
      <c r="CJL224" s="1201"/>
      <c r="CJM224" s="1201"/>
      <c r="CJN224" s="1201"/>
      <c r="CJO224" s="1201"/>
      <c r="CJP224" s="1201"/>
      <c r="CJQ224" s="1201"/>
      <c r="CJR224" s="1201"/>
      <c r="CJS224" s="1201"/>
      <c r="CJT224" s="1201"/>
      <c r="CJU224" s="1201"/>
      <c r="CJV224" s="1201"/>
      <c r="CJW224" s="1201"/>
      <c r="CJX224" s="1201"/>
      <c r="CJY224" s="1201"/>
      <c r="CJZ224" s="1201"/>
      <c r="CKA224" s="1201"/>
      <c r="CKB224" s="1201"/>
      <c r="CKC224" s="1201"/>
      <c r="CKD224" s="1201"/>
      <c r="CKE224" s="1201"/>
      <c r="CKF224" s="1201"/>
      <c r="CKG224" s="1201"/>
      <c r="CKH224" s="1201"/>
      <c r="CKI224" s="1201"/>
      <c r="CKJ224" s="1201"/>
      <c r="CKK224" s="1201"/>
      <c r="CKL224" s="1201"/>
      <c r="CKM224" s="1201"/>
      <c r="CKN224" s="1201"/>
      <c r="CKO224" s="1201"/>
      <c r="CKP224" s="1201"/>
      <c r="CKQ224" s="1201"/>
      <c r="CKR224" s="1201"/>
      <c r="CKS224" s="1201"/>
      <c r="CKT224" s="1201"/>
      <c r="CKU224" s="1201"/>
      <c r="CKV224" s="1201"/>
      <c r="CKW224" s="1201"/>
      <c r="CKX224" s="1201"/>
      <c r="CKY224" s="1201"/>
      <c r="CKZ224" s="1201"/>
      <c r="CLA224" s="1201"/>
      <c r="CLB224" s="1201"/>
      <c r="CLC224" s="1201"/>
      <c r="CLD224" s="1201"/>
      <c r="CLE224" s="1201"/>
      <c r="CLF224" s="1201"/>
      <c r="CLG224" s="1201"/>
      <c r="CLH224" s="1201"/>
      <c r="CLI224" s="1201"/>
      <c r="CLJ224" s="1201"/>
      <c r="CLK224" s="1201"/>
      <c r="CLL224" s="1201"/>
      <c r="CLM224" s="1201"/>
      <c r="CLN224" s="1201"/>
      <c r="CLO224" s="1201"/>
      <c r="CLP224" s="1201"/>
      <c r="CLQ224" s="1201"/>
      <c r="CLR224" s="1201"/>
      <c r="CLS224" s="1201"/>
      <c r="CLT224" s="1201"/>
      <c r="CLU224" s="1201"/>
      <c r="CLV224" s="1201"/>
      <c r="CLW224" s="1201"/>
      <c r="CLX224" s="1201"/>
      <c r="CLY224" s="1201"/>
      <c r="CLZ224" s="1201"/>
      <c r="CMA224" s="1201"/>
      <c r="CMB224" s="1201"/>
      <c r="CMC224" s="1201"/>
      <c r="CMD224" s="1201"/>
      <c r="CME224" s="1201"/>
      <c r="CMF224" s="1201"/>
      <c r="CMG224" s="1201"/>
      <c r="CMH224" s="1201"/>
      <c r="CMI224" s="1201"/>
      <c r="CMJ224" s="1201"/>
      <c r="CMK224" s="1201"/>
      <c r="CML224" s="1201"/>
      <c r="CMM224" s="1201"/>
      <c r="CMN224" s="1201"/>
      <c r="CMO224" s="1201"/>
      <c r="CMP224" s="1201"/>
      <c r="CMQ224" s="1201"/>
      <c r="CMR224" s="1201"/>
      <c r="CMS224" s="1201"/>
      <c r="CMT224" s="1201"/>
      <c r="CMU224" s="1201"/>
      <c r="CMV224" s="1201"/>
      <c r="CMW224" s="1201"/>
      <c r="CMX224" s="1201"/>
      <c r="CMY224" s="1201"/>
      <c r="CMZ224" s="1201"/>
      <c r="CNA224" s="1201"/>
      <c r="CNB224" s="1201"/>
      <c r="CNC224" s="1201"/>
      <c r="CND224" s="1201"/>
      <c r="CNE224" s="1201"/>
      <c r="CNF224" s="1201"/>
      <c r="CNG224" s="1201"/>
      <c r="CNH224" s="1201"/>
      <c r="CNI224" s="1201"/>
      <c r="CNJ224" s="1201"/>
      <c r="CNK224" s="1201"/>
      <c r="CNL224" s="1201"/>
      <c r="CNM224" s="1201"/>
      <c r="CNN224" s="1201"/>
      <c r="CNO224" s="1201"/>
      <c r="CNP224" s="1201"/>
      <c r="CNQ224" s="1201"/>
      <c r="CNR224" s="1201"/>
      <c r="CNS224" s="1201"/>
      <c r="CNT224" s="1201"/>
      <c r="CNU224" s="1201"/>
      <c r="CNV224" s="1201"/>
      <c r="CNW224" s="1201"/>
      <c r="CNX224" s="1201"/>
      <c r="CNY224" s="1201"/>
      <c r="CNZ224" s="1201"/>
      <c r="COA224" s="1201"/>
      <c r="COB224" s="1201"/>
      <c r="COC224" s="1201"/>
      <c r="COD224" s="1201"/>
      <c r="COE224" s="1201"/>
      <c r="COF224" s="1201"/>
      <c r="COG224" s="1201"/>
      <c r="COH224" s="1201"/>
      <c r="COI224" s="1201"/>
      <c r="COJ224" s="1201"/>
      <c r="COK224" s="1201"/>
      <c r="COL224" s="1201"/>
      <c r="COM224" s="1201"/>
      <c r="CON224" s="1201"/>
      <c r="COO224" s="1201"/>
      <c r="COP224" s="1201"/>
      <c r="COQ224" s="1201"/>
      <c r="COR224" s="1201"/>
      <c r="COS224" s="1201"/>
      <c r="COT224" s="1201"/>
      <c r="COU224" s="1201"/>
      <c r="COV224" s="1201"/>
      <c r="COW224" s="1201"/>
      <c r="COX224" s="1201"/>
      <c r="COY224" s="1201"/>
      <c r="COZ224" s="1201"/>
      <c r="CPA224" s="1201"/>
      <c r="CPB224" s="1201"/>
      <c r="CPC224" s="1201"/>
      <c r="CPD224" s="1201"/>
      <c r="CPE224" s="1201"/>
      <c r="CPF224" s="1201"/>
      <c r="CPG224" s="1201"/>
      <c r="CPH224" s="1201"/>
      <c r="CPI224" s="1201"/>
      <c r="CPJ224" s="1201"/>
      <c r="CPK224" s="1201"/>
      <c r="CPL224" s="1201"/>
      <c r="CPM224" s="1201"/>
      <c r="CPN224" s="1201"/>
      <c r="CPO224" s="1201"/>
      <c r="CPP224" s="1201"/>
      <c r="CPQ224" s="1201"/>
      <c r="CPR224" s="1201"/>
      <c r="CPS224" s="1201"/>
      <c r="CPT224" s="1201"/>
      <c r="CPU224" s="1201"/>
      <c r="CPV224" s="1201"/>
      <c r="CPW224" s="1201"/>
      <c r="CPX224" s="1201"/>
      <c r="CPY224" s="1201"/>
      <c r="CPZ224" s="1201"/>
      <c r="CQA224" s="1201"/>
      <c r="CQB224" s="1201"/>
      <c r="CQC224" s="1201"/>
      <c r="CQD224" s="1201"/>
      <c r="CQE224" s="1201"/>
      <c r="CQF224" s="1201"/>
      <c r="CQG224" s="1201"/>
      <c r="CQH224" s="1201"/>
      <c r="CQI224" s="1201"/>
      <c r="CQJ224" s="1201"/>
      <c r="CQK224" s="1201"/>
      <c r="CQL224" s="1201"/>
      <c r="CQM224" s="1201"/>
      <c r="CQN224" s="1201"/>
      <c r="CQO224" s="1201"/>
      <c r="CQP224" s="1201"/>
      <c r="CQQ224" s="1201"/>
      <c r="CQR224" s="1201"/>
      <c r="CQS224" s="1201"/>
      <c r="CQT224" s="1201"/>
      <c r="CQU224" s="1201"/>
      <c r="CQV224" s="1201"/>
      <c r="CQW224" s="1201"/>
      <c r="CQX224" s="1201"/>
      <c r="CQY224" s="1201"/>
      <c r="CQZ224" s="1201"/>
      <c r="CRA224" s="1201"/>
      <c r="CRB224" s="1201"/>
      <c r="CRC224" s="1201"/>
      <c r="CRD224" s="1201"/>
      <c r="CRE224" s="1201"/>
      <c r="CRF224" s="1201"/>
      <c r="CRG224" s="1201"/>
      <c r="CRH224" s="1201"/>
      <c r="CRI224" s="1201"/>
      <c r="CRJ224" s="1201"/>
      <c r="CRK224" s="1201"/>
      <c r="CRL224" s="1201"/>
      <c r="CRM224" s="1201"/>
      <c r="CRN224" s="1201"/>
      <c r="CRO224" s="1201"/>
      <c r="CRP224" s="1201"/>
      <c r="CRQ224" s="1201"/>
      <c r="CRR224" s="1201"/>
      <c r="CRS224" s="1201"/>
      <c r="CRT224" s="1201"/>
      <c r="CRU224" s="1201"/>
      <c r="CRV224" s="1201"/>
      <c r="CRW224" s="1201"/>
      <c r="CRX224" s="1201"/>
      <c r="CRY224" s="1201"/>
      <c r="CRZ224" s="1201"/>
      <c r="CSA224" s="1201"/>
      <c r="CSB224" s="1201"/>
      <c r="CSC224" s="1201"/>
      <c r="CSD224" s="1201"/>
      <c r="CSE224" s="1201"/>
      <c r="CSF224" s="1201"/>
      <c r="CSG224" s="1201"/>
      <c r="CSH224" s="1201"/>
      <c r="CSI224" s="1201"/>
      <c r="CSJ224" s="1201"/>
      <c r="CSK224" s="1201"/>
      <c r="CSL224" s="1201"/>
      <c r="CSM224" s="1201"/>
      <c r="CSN224" s="1201"/>
      <c r="CSO224" s="1201"/>
      <c r="CSP224" s="1201"/>
      <c r="CSQ224" s="1201"/>
      <c r="CSR224" s="1201"/>
      <c r="CSS224" s="1201"/>
      <c r="CST224" s="1201"/>
      <c r="CSU224" s="1201"/>
      <c r="CSV224" s="1201"/>
      <c r="CSW224" s="1201"/>
      <c r="CSX224" s="1201"/>
      <c r="CSY224" s="1201"/>
      <c r="CSZ224" s="1201"/>
      <c r="CTA224" s="1201"/>
      <c r="CTB224" s="1201"/>
      <c r="CTC224" s="1201"/>
      <c r="CTD224" s="1201"/>
      <c r="CTE224" s="1201"/>
      <c r="CTF224" s="1201"/>
      <c r="CTG224" s="1201"/>
      <c r="CTH224" s="1201"/>
      <c r="CTI224" s="1201"/>
      <c r="CTJ224" s="1201"/>
      <c r="CTK224" s="1201"/>
      <c r="CTL224" s="1201"/>
      <c r="CTM224" s="1201"/>
      <c r="CTN224" s="1201"/>
      <c r="CTO224" s="1201"/>
      <c r="CTP224" s="1201"/>
      <c r="CTQ224" s="1201"/>
      <c r="CTR224" s="1201"/>
      <c r="CTS224" s="1201"/>
      <c r="CTT224" s="1201"/>
      <c r="CTU224" s="1201"/>
      <c r="CTV224" s="1201"/>
      <c r="CTW224" s="1201"/>
      <c r="CTX224" s="1201"/>
      <c r="CTY224" s="1201"/>
      <c r="CTZ224" s="1201"/>
      <c r="CUA224" s="1201"/>
      <c r="CUB224" s="1201"/>
      <c r="CUC224" s="1201"/>
      <c r="CUD224" s="1201"/>
      <c r="CUE224" s="1201"/>
      <c r="CUF224" s="1201"/>
      <c r="CUG224" s="1201"/>
      <c r="CUH224" s="1201"/>
      <c r="CUI224" s="1201"/>
      <c r="CUJ224" s="1201"/>
      <c r="CUK224" s="1201"/>
      <c r="CUL224" s="1201"/>
      <c r="CUM224" s="1201"/>
      <c r="CUN224" s="1201"/>
      <c r="CUO224" s="1201"/>
      <c r="CUP224" s="1201"/>
      <c r="CUQ224" s="1201"/>
      <c r="CUR224" s="1201"/>
      <c r="CUS224" s="1201"/>
      <c r="CUT224" s="1201"/>
      <c r="CUU224" s="1201"/>
      <c r="CUV224" s="1201"/>
      <c r="CUW224" s="1201"/>
      <c r="CUX224" s="1201"/>
      <c r="CUY224" s="1201"/>
      <c r="CUZ224" s="1201"/>
      <c r="CVA224" s="1201"/>
      <c r="CVB224" s="1201"/>
      <c r="CVC224" s="1201"/>
      <c r="CVD224" s="1201"/>
      <c r="CVE224" s="1201"/>
      <c r="CVF224" s="1201"/>
      <c r="CVG224" s="1201"/>
      <c r="CVH224" s="1201"/>
      <c r="CVI224" s="1201"/>
      <c r="CVJ224" s="1201"/>
      <c r="CVK224" s="1201"/>
      <c r="CVL224" s="1201"/>
      <c r="CVM224" s="1201"/>
      <c r="CVN224" s="1201"/>
      <c r="CVO224" s="1201"/>
      <c r="CVP224" s="1201"/>
      <c r="CVQ224" s="1201"/>
      <c r="CVR224" s="1201"/>
      <c r="CVS224" s="1201"/>
      <c r="CVT224" s="1201"/>
      <c r="CVU224" s="1201"/>
      <c r="CVV224" s="1201"/>
      <c r="CVW224" s="1201"/>
      <c r="CVX224" s="1201"/>
      <c r="CVY224" s="1201"/>
      <c r="CVZ224" s="1201"/>
      <c r="CWA224" s="1201"/>
      <c r="CWB224" s="1201"/>
      <c r="CWC224" s="1201"/>
      <c r="CWD224" s="1201"/>
      <c r="CWE224" s="1201"/>
      <c r="CWF224" s="1201"/>
      <c r="CWG224" s="1201"/>
      <c r="CWH224" s="1201"/>
      <c r="CWI224" s="1201"/>
      <c r="CWJ224" s="1201"/>
      <c r="CWK224" s="1201"/>
      <c r="CWL224" s="1201"/>
      <c r="CWM224" s="1201"/>
      <c r="CWN224" s="1201"/>
      <c r="CWO224" s="1201"/>
      <c r="CWP224" s="1201"/>
      <c r="CWQ224" s="1201"/>
      <c r="CWR224" s="1201"/>
      <c r="CWS224" s="1201"/>
      <c r="CWT224" s="1201"/>
      <c r="CWU224" s="1201"/>
      <c r="CWV224" s="1201"/>
      <c r="CWW224" s="1201"/>
      <c r="CWX224" s="1201"/>
      <c r="CWY224" s="1201"/>
      <c r="CWZ224" s="1201"/>
      <c r="CXA224" s="1201"/>
      <c r="CXB224" s="1201"/>
      <c r="CXC224" s="1201"/>
      <c r="CXD224" s="1201"/>
      <c r="CXE224" s="1201"/>
      <c r="CXF224" s="1201"/>
      <c r="CXG224" s="1201"/>
      <c r="CXH224" s="1201"/>
      <c r="CXI224" s="1201"/>
      <c r="CXJ224" s="1201"/>
      <c r="CXK224" s="1201"/>
      <c r="CXL224" s="1201"/>
      <c r="CXM224" s="1201"/>
      <c r="CXN224" s="1201"/>
      <c r="CXO224" s="1201"/>
      <c r="CXP224" s="1201"/>
      <c r="CXQ224" s="1201"/>
      <c r="CXR224" s="1201"/>
      <c r="CXS224" s="1201"/>
      <c r="CXT224" s="1201"/>
      <c r="CXU224" s="1201"/>
      <c r="CXV224" s="1201"/>
      <c r="CXW224" s="1201"/>
      <c r="CXX224" s="1201"/>
      <c r="CXY224" s="1201"/>
      <c r="CXZ224" s="1201"/>
      <c r="CYA224" s="1201"/>
      <c r="CYB224" s="1201"/>
      <c r="CYC224" s="1201"/>
      <c r="CYD224" s="1201"/>
      <c r="CYE224" s="1201"/>
      <c r="CYF224" s="1201"/>
      <c r="CYG224" s="1201"/>
      <c r="CYH224" s="1201"/>
      <c r="CYI224" s="1201"/>
      <c r="CYJ224" s="1201"/>
      <c r="CYK224" s="1201"/>
      <c r="CYL224" s="1201"/>
      <c r="CYM224" s="1201"/>
      <c r="CYN224" s="1201"/>
      <c r="CYO224" s="1201"/>
      <c r="CYP224" s="1201"/>
      <c r="CYQ224" s="1201"/>
      <c r="CYR224" s="1201"/>
      <c r="CYS224" s="1201"/>
      <c r="CYT224" s="1201"/>
      <c r="CYU224" s="1201"/>
      <c r="CYV224" s="1201"/>
      <c r="CYW224" s="1201"/>
      <c r="CYX224" s="1201"/>
      <c r="CYY224" s="1201"/>
      <c r="CYZ224" s="1201"/>
      <c r="CZA224" s="1201"/>
      <c r="CZB224" s="1201"/>
      <c r="CZC224" s="1201"/>
      <c r="CZD224" s="1201"/>
      <c r="CZE224" s="1201"/>
      <c r="CZF224" s="1201"/>
      <c r="CZG224" s="1201"/>
      <c r="CZH224" s="1201"/>
      <c r="CZI224" s="1201"/>
      <c r="CZJ224" s="1201"/>
      <c r="CZK224" s="1201"/>
      <c r="CZL224" s="1201"/>
      <c r="CZM224" s="1201"/>
      <c r="CZN224" s="1201"/>
      <c r="CZO224" s="1201"/>
      <c r="CZP224" s="1201"/>
      <c r="CZQ224" s="1201"/>
      <c r="CZR224" s="1201"/>
      <c r="CZS224" s="1201"/>
      <c r="CZT224" s="1201"/>
      <c r="CZU224" s="1201"/>
      <c r="CZV224" s="1201"/>
      <c r="CZW224" s="1201"/>
      <c r="CZX224" s="1201"/>
      <c r="CZY224" s="1201"/>
      <c r="CZZ224" s="1201"/>
      <c r="DAA224" s="1201"/>
      <c r="DAB224" s="1201"/>
      <c r="DAC224" s="1201"/>
      <c r="DAD224" s="1201"/>
      <c r="DAE224" s="1201"/>
      <c r="DAF224" s="1201"/>
      <c r="DAG224" s="1201"/>
      <c r="DAH224" s="1201"/>
      <c r="DAI224" s="1201"/>
      <c r="DAJ224" s="1201"/>
      <c r="DAK224" s="1201"/>
      <c r="DAL224" s="1201"/>
      <c r="DAM224" s="1201"/>
      <c r="DAN224" s="1201"/>
      <c r="DAO224" s="1201"/>
      <c r="DAP224" s="1201"/>
      <c r="DAQ224" s="1201"/>
      <c r="DAR224" s="1201"/>
      <c r="DAS224" s="1201"/>
      <c r="DAT224" s="1201"/>
      <c r="DAU224" s="1201"/>
      <c r="DAV224" s="1201"/>
      <c r="DAW224" s="1201"/>
      <c r="DAX224" s="1201"/>
      <c r="DAY224" s="1201"/>
      <c r="DAZ224" s="1201"/>
      <c r="DBA224" s="1201"/>
      <c r="DBB224" s="1201"/>
      <c r="DBC224" s="1201"/>
      <c r="DBD224" s="1201"/>
      <c r="DBE224" s="1201"/>
      <c r="DBF224" s="1201"/>
      <c r="DBG224" s="1201"/>
      <c r="DBH224" s="1201"/>
      <c r="DBI224" s="1201"/>
      <c r="DBJ224" s="1201"/>
      <c r="DBK224" s="1201"/>
      <c r="DBL224" s="1201"/>
      <c r="DBM224" s="1201"/>
      <c r="DBN224" s="1201"/>
      <c r="DBO224" s="1201"/>
      <c r="DBP224" s="1201"/>
      <c r="DBQ224" s="1201"/>
      <c r="DBR224" s="1201"/>
      <c r="DBS224" s="1201"/>
      <c r="DBT224" s="1201"/>
      <c r="DBU224" s="1201"/>
      <c r="DBV224" s="1201"/>
      <c r="DBW224" s="1201"/>
      <c r="DBX224" s="1201"/>
      <c r="DBY224" s="1201"/>
      <c r="DBZ224" s="1201"/>
      <c r="DCA224" s="1201"/>
      <c r="DCB224" s="1201"/>
      <c r="DCC224" s="1201"/>
      <c r="DCD224" s="1201"/>
      <c r="DCE224" s="1201"/>
      <c r="DCF224" s="1201"/>
      <c r="DCG224" s="1201"/>
      <c r="DCH224" s="1201"/>
      <c r="DCI224" s="1201"/>
      <c r="DCJ224" s="1201"/>
      <c r="DCK224" s="1201"/>
      <c r="DCL224" s="1201"/>
      <c r="DCM224" s="1201"/>
      <c r="DCN224" s="1201"/>
      <c r="DCO224" s="1201"/>
      <c r="DCP224" s="1201"/>
      <c r="DCQ224" s="1201"/>
      <c r="DCR224" s="1201"/>
      <c r="DCS224" s="1201"/>
      <c r="DCT224" s="1201"/>
      <c r="DCU224" s="1201"/>
      <c r="DCV224" s="1201"/>
      <c r="DCW224" s="1201"/>
      <c r="DCX224" s="1201"/>
      <c r="DCY224" s="1201"/>
      <c r="DCZ224" s="1201"/>
      <c r="DDA224" s="1201"/>
      <c r="DDB224" s="1201"/>
      <c r="DDC224" s="1201"/>
      <c r="DDD224" s="1201"/>
      <c r="DDE224" s="1201"/>
      <c r="DDF224" s="1201"/>
      <c r="DDG224" s="1201"/>
      <c r="DDH224" s="1201"/>
      <c r="DDI224" s="1201"/>
      <c r="DDJ224" s="1201"/>
      <c r="DDK224" s="1201"/>
      <c r="DDL224" s="1201"/>
      <c r="DDM224" s="1201"/>
      <c r="DDN224" s="1201"/>
      <c r="DDO224" s="1201"/>
      <c r="DDP224" s="1201"/>
      <c r="DDQ224" s="1201"/>
      <c r="DDR224" s="1201"/>
      <c r="DDS224" s="1201"/>
      <c r="DDT224" s="1201"/>
      <c r="DDU224" s="1201"/>
      <c r="DDV224" s="1201"/>
      <c r="DDW224" s="1201"/>
      <c r="DDX224" s="1201"/>
      <c r="DDY224" s="1201"/>
      <c r="DDZ224" s="1201"/>
      <c r="DEA224" s="1201"/>
      <c r="DEB224" s="1201"/>
      <c r="DEC224" s="1201"/>
      <c r="DED224" s="1201"/>
      <c r="DEE224" s="1201"/>
      <c r="DEF224" s="1201"/>
      <c r="DEG224" s="1201"/>
      <c r="DEH224" s="1201"/>
      <c r="DEI224" s="1201"/>
      <c r="DEJ224" s="1201"/>
      <c r="DEK224" s="1201"/>
      <c r="DEL224" s="1201"/>
      <c r="DEM224" s="1201"/>
      <c r="DEN224" s="1201"/>
      <c r="DEO224" s="1201"/>
      <c r="DEP224" s="1201"/>
      <c r="DEQ224" s="1201"/>
      <c r="DER224" s="1201"/>
      <c r="DES224" s="1201"/>
      <c r="DET224" s="1201"/>
      <c r="DEU224" s="1201"/>
      <c r="DEV224" s="1201"/>
      <c r="DEW224" s="1201"/>
      <c r="DEX224" s="1201"/>
      <c r="DEY224" s="1201"/>
      <c r="DEZ224" s="1201"/>
      <c r="DFA224" s="1201"/>
      <c r="DFB224" s="1201"/>
      <c r="DFC224" s="1201"/>
      <c r="DFD224" s="1201"/>
      <c r="DFE224" s="1201"/>
      <c r="DFF224" s="1201"/>
      <c r="DFG224" s="1201"/>
      <c r="DFH224" s="1201"/>
      <c r="DFI224" s="1201"/>
      <c r="DFJ224" s="1201"/>
      <c r="DFK224" s="1201"/>
      <c r="DFL224" s="1201"/>
      <c r="DFM224" s="1201"/>
      <c r="DFN224" s="1201"/>
      <c r="DFO224" s="1201"/>
      <c r="DFP224" s="1201"/>
      <c r="DFQ224" s="1201"/>
      <c r="DFR224" s="1201"/>
      <c r="DFS224" s="1201"/>
      <c r="DFT224" s="1201"/>
      <c r="DFU224" s="1201"/>
      <c r="DFV224" s="1201"/>
      <c r="DFW224" s="1201"/>
      <c r="DFX224" s="1201"/>
      <c r="DFY224" s="1201"/>
      <c r="DFZ224" s="1201"/>
      <c r="DGA224" s="1201"/>
      <c r="DGB224" s="1201"/>
      <c r="DGC224" s="1201"/>
      <c r="DGD224" s="1201"/>
      <c r="DGE224" s="1201"/>
      <c r="DGF224" s="1201"/>
      <c r="DGG224" s="1201"/>
      <c r="DGH224" s="1201"/>
      <c r="DGI224" s="1201"/>
      <c r="DGJ224" s="1201"/>
      <c r="DGK224" s="1201"/>
      <c r="DGL224" s="1201"/>
      <c r="DGM224" s="1201"/>
      <c r="DGN224" s="1201"/>
      <c r="DGO224" s="1201"/>
      <c r="DGP224" s="1201"/>
      <c r="DGQ224" s="1201"/>
      <c r="DGR224" s="1201"/>
      <c r="DGS224" s="1201"/>
      <c r="DGT224" s="1201"/>
      <c r="DGU224" s="1201"/>
      <c r="DGV224" s="1201"/>
      <c r="DGW224" s="1201"/>
      <c r="DGX224" s="1201"/>
      <c r="DGY224" s="1201"/>
      <c r="DGZ224" s="1201"/>
      <c r="DHA224" s="1201"/>
      <c r="DHB224" s="1201"/>
      <c r="DHC224" s="1201"/>
      <c r="DHD224" s="1201"/>
      <c r="DHE224" s="1201"/>
      <c r="DHF224" s="1201"/>
      <c r="DHG224" s="1201"/>
      <c r="DHH224" s="1201"/>
      <c r="DHI224" s="1201"/>
      <c r="DHJ224" s="1201"/>
      <c r="DHK224" s="1201"/>
      <c r="DHL224" s="1201"/>
      <c r="DHM224" s="1201"/>
      <c r="DHN224" s="1201"/>
      <c r="DHO224" s="1201"/>
      <c r="DHP224" s="1201"/>
      <c r="DHQ224" s="1201"/>
      <c r="DHR224" s="1201"/>
      <c r="DHS224" s="1201"/>
      <c r="DHT224" s="1201"/>
      <c r="DHU224" s="1201"/>
      <c r="DHV224" s="1201"/>
      <c r="DHW224" s="1201"/>
      <c r="DHX224" s="1201"/>
      <c r="DHY224" s="1201"/>
      <c r="DHZ224" s="1201"/>
      <c r="DIA224" s="1201"/>
      <c r="DIB224" s="1201"/>
      <c r="DIC224" s="1201"/>
      <c r="DID224" s="1201"/>
      <c r="DIE224" s="1201"/>
      <c r="DIF224" s="1201"/>
      <c r="DIG224" s="1201"/>
      <c r="DIH224" s="1201"/>
      <c r="DII224" s="1201"/>
      <c r="DIJ224" s="1201"/>
      <c r="DIK224" s="1201"/>
      <c r="DIL224" s="1201"/>
      <c r="DIM224" s="1201"/>
      <c r="DIN224" s="1201"/>
      <c r="DIO224" s="1201"/>
      <c r="DIP224" s="1201"/>
      <c r="DIQ224" s="1201"/>
      <c r="DIR224" s="1201"/>
      <c r="DIS224" s="1201"/>
      <c r="DIT224" s="1201"/>
      <c r="DIU224" s="1201"/>
      <c r="DIV224" s="1201"/>
      <c r="DIW224" s="1201"/>
      <c r="DIX224" s="1201"/>
      <c r="DIY224" s="1201"/>
      <c r="DIZ224" s="1201"/>
      <c r="DJA224" s="1201"/>
      <c r="DJB224" s="1201"/>
      <c r="DJC224" s="1201"/>
      <c r="DJD224" s="1201"/>
      <c r="DJE224" s="1201"/>
      <c r="DJF224" s="1201"/>
      <c r="DJG224" s="1201"/>
      <c r="DJH224" s="1201"/>
      <c r="DJI224" s="1201"/>
      <c r="DJJ224" s="1201"/>
      <c r="DJK224" s="1201"/>
      <c r="DJL224" s="1201"/>
      <c r="DJM224" s="1201"/>
      <c r="DJN224" s="1201"/>
      <c r="DJO224" s="1201"/>
      <c r="DJP224" s="1201"/>
      <c r="DJQ224" s="1201"/>
      <c r="DJR224" s="1201"/>
      <c r="DJS224" s="1201"/>
      <c r="DJT224" s="1201"/>
      <c r="DJU224" s="1201"/>
      <c r="DJV224" s="1201"/>
      <c r="DJW224" s="1201"/>
      <c r="DJX224" s="1201"/>
      <c r="DJY224" s="1201"/>
      <c r="DJZ224" s="1201"/>
      <c r="DKA224" s="1201"/>
      <c r="DKB224" s="1201"/>
      <c r="DKC224" s="1201"/>
      <c r="DKD224" s="1201"/>
      <c r="DKE224" s="1201"/>
      <c r="DKF224" s="1201"/>
      <c r="DKG224" s="1201"/>
      <c r="DKH224" s="1201"/>
      <c r="DKI224" s="1201"/>
      <c r="DKJ224" s="1201"/>
      <c r="DKK224" s="1201"/>
      <c r="DKL224" s="1201"/>
      <c r="DKM224" s="1201"/>
      <c r="DKN224" s="1201"/>
      <c r="DKO224" s="1201"/>
      <c r="DKP224" s="1201"/>
      <c r="DKQ224" s="1201"/>
      <c r="DKR224" s="1201"/>
      <c r="DKS224" s="1201"/>
      <c r="DKT224" s="1201"/>
      <c r="DKU224" s="1201"/>
      <c r="DKV224" s="1201"/>
      <c r="DKW224" s="1201"/>
      <c r="DKX224" s="1201"/>
      <c r="DKY224" s="1201"/>
      <c r="DKZ224" s="1201"/>
      <c r="DLA224" s="1201"/>
      <c r="DLB224" s="1201"/>
      <c r="DLC224" s="1201"/>
      <c r="DLD224" s="1201"/>
      <c r="DLE224" s="1201"/>
      <c r="DLF224" s="1201"/>
      <c r="DLG224" s="1201"/>
      <c r="DLH224" s="1201"/>
      <c r="DLI224" s="1201"/>
      <c r="DLJ224" s="1201"/>
      <c r="DLK224" s="1201"/>
      <c r="DLL224" s="1201"/>
      <c r="DLM224" s="1201"/>
      <c r="DLN224" s="1201"/>
      <c r="DLO224" s="1201"/>
      <c r="DLP224" s="1201"/>
      <c r="DLQ224" s="1201"/>
      <c r="DLR224" s="1201"/>
      <c r="DLS224" s="1201"/>
      <c r="DLT224" s="1201"/>
      <c r="DLU224" s="1201"/>
      <c r="DLV224" s="1201"/>
      <c r="DLW224" s="1201"/>
      <c r="DLX224" s="1201"/>
      <c r="DLY224" s="1201"/>
      <c r="DLZ224" s="1201"/>
      <c r="DMA224" s="1201"/>
      <c r="DMB224" s="1201"/>
      <c r="DMC224" s="1201"/>
      <c r="DMD224" s="1201"/>
      <c r="DME224" s="1201"/>
      <c r="DMF224" s="1201"/>
      <c r="DMG224" s="1201"/>
      <c r="DMH224" s="1201"/>
      <c r="DMI224" s="1201"/>
      <c r="DMJ224" s="1201"/>
      <c r="DMK224" s="1201"/>
      <c r="DML224" s="1201"/>
      <c r="DMM224" s="1201"/>
      <c r="DMN224" s="1201"/>
      <c r="DMO224" s="1201"/>
      <c r="DMP224" s="1201"/>
      <c r="DMQ224" s="1201"/>
      <c r="DMR224" s="1201"/>
      <c r="DMS224" s="1201"/>
      <c r="DMT224" s="1201"/>
      <c r="DMU224" s="1201"/>
      <c r="DMV224" s="1201"/>
      <c r="DMW224" s="1201"/>
      <c r="DMX224" s="1201"/>
      <c r="DMY224" s="1201"/>
      <c r="DMZ224" s="1201"/>
      <c r="DNA224" s="1201"/>
      <c r="DNB224" s="1201"/>
      <c r="DNC224" s="1201"/>
      <c r="DND224" s="1201"/>
      <c r="DNE224" s="1201"/>
      <c r="DNF224" s="1201"/>
      <c r="DNG224" s="1201"/>
      <c r="DNH224" s="1201"/>
      <c r="DNI224" s="1201"/>
      <c r="DNJ224" s="1201"/>
      <c r="DNK224" s="1201"/>
      <c r="DNL224" s="1201"/>
      <c r="DNM224" s="1201"/>
      <c r="DNN224" s="1201"/>
      <c r="DNO224" s="1201"/>
      <c r="DNP224" s="1201"/>
      <c r="DNQ224" s="1201"/>
      <c r="DNR224" s="1201"/>
      <c r="DNS224" s="1201"/>
      <c r="DNT224" s="1201"/>
      <c r="DNU224" s="1201"/>
      <c r="DNV224" s="1201"/>
      <c r="DNW224" s="1201"/>
      <c r="DNX224" s="1201"/>
      <c r="DNY224" s="1201"/>
      <c r="DNZ224" s="1201"/>
      <c r="DOA224" s="1201"/>
      <c r="DOB224" s="1201"/>
      <c r="DOC224" s="1201"/>
      <c r="DOD224" s="1201"/>
      <c r="DOE224" s="1201"/>
      <c r="DOF224" s="1201"/>
      <c r="DOG224" s="1201"/>
      <c r="DOH224" s="1201"/>
      <c r="DOI224" s="1201"/>
      <c r="DOJ224" s="1201"/>
      <c r="DOK224" s="1201"/>
      <c r="DOL224" s="1201"/>
      <c r="DOM224" s="1201"/>
      <c r="DON224" s="1201"/>
      <c r="DOO224" s="1201"/>
      <c r="DOP224" s="1201"/>
      <c r="DOQ224" s="1201"/>
      <c r="DOR224" s="1201"/>
      <c r="DOS224" s="1201"/>
      <c r="DOT224" s="1201"/>
      <c r="DOU224" s="1201"/>
      <c r="DOV224" s="1201"/>
      <c r="DOW224" s="1201"/>
      <c r="DOX224" s="1201"/>
      <c r="DOY224" s="1201"/>
      <c r="DOZ224" s="1201"/>
      <c r="DPA224" s="1201"/>
      <c r="DPB224" s="1201"/>
      <c r="DPC224" s="1201"/>
      <c r="DPD224" s="1201"/>
      <c r="DPE224" s="1201"/>
      <c r="DPF224" s="1201"/>
      <c r="DPG224" s="1201"/>
      <c r="DPH224" s="1201"/>
      <c r="DPI224" s="1201"/>
      <c r="DPJ224" s="1201"/>
      <c r="DPK224" s="1201"/>
      <c r="DPL224" s="1201"/>
      <c r="DPM224" s="1201"/>
      <c r="DPN224" s="1201"/>
      <c r="DPO224" s="1201"/>
      <c r="DPP224" s="1201"/>
      <c r="DPQ224" s="1201"/>
      <c r="DPR224" s="1201"/>
      <c r="DPS224" s="1201"/>
      <c r="DPT224" s="1201"/>
      <c r="DPU224" s="1201"/>
      <c r="DPV224" s="1201"/>
      <c r="DPW224" s="1201"/>
      <c r="DPX224" s="1201"/>
      <c r="DPY224" s="1201"/>
      <c r="DPZ224" s="1201"/>
      <c r="DQA224" s="1201"/>
      <c r="DQB224" s="1201"/>
      <c r="DQC224" s="1201"/>
      <c r="DQD224" s="1201"/>
      <c r="DQE224" s="1201"/>
      <c r="DQF224" s="1201"/>
      <c r="DQG224" s="1201"/>
      <c r="DQH224" s="1201"/>
      <c r="DQI224" s="1201"/>
      <c r="DQJ224" s="1201"/>
      <c r="DQK224" s="1201"/>
      <c r="DQL224" s="1201"/>
      <c r="DQM224" s="1201"/>
      <c r="DQN224" s="1201"/>
      <c r="DQO224" s="1201"/>
      <c r="DQP224" s="1201"/>
      <c r="DQQ224" s="1201"/>
      <c r="DQR224" s="1201"/>
      <c r="DQS224" s="1201"/>
      <c r="DQT224" s="1201"/>
      <c r="DQU224" s="1201"/>
      <c r="DQV224" s="1201"/>
      <c r="DQW224" s="1201"/>
      <c r="DQX224" s="1201"/>
      <c r="DQY224" s="1201"/>
      <c r="DQZ224" s="1201"/>
      <c r="DRA224" s="1201"/>
      <c r="DRB224" s="1201"/>
      <c r="DRC224" s="1201"/>
      <c r="DRD224" s="1201"/>
      <c r="DRE224" s="1201"/>
      <c r="DRF224" s="1201"/>
      <c r="DRG224" s="1201"/>
      <c r="DRH224" s="1201"/>
      <c r="DRI224" s="1201"/>
      <c r="DRJ224" s="1201"/>
      <c r="DRK224" s="1201"/>
      <c r="DRL224" s="1201"/>
      <c r="DRM224" s="1201"/>
      <c r="DRN224" s="1201"/>
      <c r="DRO224" s="1201"/>
      <c r="DRP224" s="1201"/>
      <c r="DRQ224" s="1201"/>
      <c r="DRR224" s="1201"/>
      <c r="DRS224" s="1201"/>
      <c r="DRT224" s="1201"/>
      <c r="DRU224" s="1201"/>
      <c r="DRV224" s="1201"/>
      <c r="DRW224" s="1201"/>
      <c r="DRX224" s="1201"/>
      <c r="DRY224" s="1201"/>
      <c r="DRZ224" s="1201"/>
      <c r="DSA224" s="1201"/>
      <c r="DSB224" s="1201"/>
      <c r="DSC224" s="1201"/>
      <c r="DSD224" s="1201"/>
      <c r="DSE224" s="1201"/>
      <c r="DSF224" s="1201"/>
      <c r="DSG224" s="1201"/>
      <c r="DSH224" s="1201"/>
      <c r="DSI224" s="1201"/>
      <c r="DSJ224" s="1201"/>
      <c r="DSK224" s="1201"/>
      <c r="DSL224" s="1201"/>
      <c r="DSM224" s="1201"/>
      <c r="DSN224" s="1201"/>
      <c r="DSO224" s="1201"/>
      <c r="DSP224" s="1201"/>
      <c r="DSQ224" s="1201"/>
      <c r="DSR224" s="1201"/>
      <c r="DSS224" s="1201"/>
      <c r="DST224" s="1201"/>
      <c r="DSU224" s="1201"/>
      <c r="DSV224" s="1201"/>
      <c r="DSW224" s="1201"/>
      <c r="DSX224" s="1201"/>
      <c r="DSY224" s="1201"/>
      <c r="DSZ224" s="1201"/>
      <c r="DTA224" s="1201"/>
      <c r="DTB224" s="1201"/>
      <c r="DTC224" s="1201"/>
      <c r="DTD224" s="1201"/>
      <c r="DTE224" s="1201"/>
      <c r="DTF224" s="1201"/>
      <c r="DTG224" s="1201"/>
      <c r="DTH224" s="1201"/>
      <c r="DTI224" s="1201"/>
      <c r="DTJ224" s="1201"/>
      <c r="DTK224" s="1201"/>
      <c r="DTL224" s="1201"/>
      <c r="DTM224" s="1201"/>
      <c r="DTN224" s="1201"/>
      <c r="DTO224" s="1201"/>
      <c r="DTP224" s="1201"/>
      <c r="DTQ224" s="1201"/>
      <c r="DTR224" s="1201"/>
      <c r="DTS224" s="1201"/>
      <c r="DTT224" s="1201"/>
      <c r="DTU224" s="1201"/>
      <c r="DTV224" s="1201"/>
      <c r="DTW224" s="1201"/>
      <c r="DTX224" s="1201"/>
      <c r="DTY224" s="1201"/>
      <c r="DTZ224" s="1201"/>
      <c r="DUA224" s="1201"/>
      <c r="DUB224" s="1201"/>
      <c r="DUC224" s="1201"/>
      <c r="DUD224" s="1201"/>
      <c r="DUE224" s="1201"/>
      <c r="DUF224" s="1201"/>
      <c r="DUG224" s="1201"/>
      <c r="DUH224" s="1201"/>
      <c r="DUI224" s="1201"/>
      <c r="DUJ224" s="1201"/>
      <c r="DUK224" s="1201"/>
      <c r="DUL224" s="1201"/>
      <c r="DUM224" s="1201"/>
      <c r="DUN224" s="1201"/>
      <c r="DUO224" s="1201"/>
      <c r="DUP224" s="1201"/>
      <c r="DUQ224" s="1201"/>
      <c r="DUR224" s="1201"/>
      <c r="DUS224" s="1201"/>
      <c r="DUT224" s="1201"/>
      <c r="DUU224" s="1201"/>
      <c r="DUV224" s="1201"/>
      <c r="DUW224" s="1201"/>
      <c r="DUX224" s="1201"/>
      <c r="DUY224" s="1201"/>
      <c r="DUZ224" s="1201"/>
      <c r="DVA224" s="1201"/>
      <c r="DVB224" s="1201"/>
      <c r="DVC224" s="1201"/>
      <c r="DVD224" s="1201"/>
      <c r="DVE224" s="1201"/>
      <c r="DVF224" s="1201"/>
      <c r="DVG224" s="1201"/>
      <c r="DVH224" s="1201"/>
      <c r="DVI224" s="1201"/>
      <c r="DVJ224" s="1201"/>
      <c r="DVK224" s="1201"/>
      <c r="DVL224" s="1201"/>
      <c r="DVM224" s="1201"/>
      <c r="DVN224" s="1201"/>
      <c r="DVO224" s="1201"/>
      <c r="DVP224" s="1201"/>
      <c r="DVQ224" s="1201"/>
      <c r="DVR224" s="1201"/>
      <c r="DVS224" s="1201"/>
      <c r="DVT224" s="1201"/>
      <c r="DVU224" s="1201"/>
      <c r="DVV224" s="1201"/>
      <c r="DVW224" s="1201"/>
      <c r="DVX224" s="1201"/>
      <c r="DVY224" s="1201"/>
      <c r="DVZ224" s="1201"/>
      <c r="DWA224" s="1201"/>
      <c r="DWB224" s="1201"/>
      <c r="DWC224" s="1201"/>
      <c r="DWD224" s="1201"/>
      <c r="DWE224" s="1201"/>
      <c r="DWF224" s="1201"/>
      <c r="DWG224" s="1201"/>
      <c r="DWH224" s="1201"/>
      <c r="DWI224" s="1201"/>
      <c r="DWJ224" s="1201"/>
      <c r="DWK224" s="1201"/>
      <c r="DWL224" s="1201"/>
      <c r="DWM224" s="1201"/>
      <c r="DWN224" s="1201"/>
      <c r="DWO224" s="1201"/>
      <c r="DWP224" s="1201"/>
      <c r="DWQ224" s="1201"/>
      <c r="DWR224" s="1201"/>
      <c r="DWS224" s="1201"/>
      <c r="DWT224" s="1201"/>
      <c r="DWU224" s="1201"/>
      <c r="DWV224" s="1201"/>
      <c r="DWW224" s="1201"/>
      <c r="DWX224" s="1201"/>
      <c r="DWY224" s="1201"/>
      <c r="DWZ224" s="1201"/>
      <c r="DXA224" s="1201"/>
      <c r="DXB224" s="1201"/>
      <c r="DXC224" s="1201"/>
      <c r="DXD224" s="1201"/>
      <c r="DXE224" s="1201"/>
      <c r="DXF224" s="1201"/>
      <c r="DXG224" s="1201"/>
      <c r="DXH224" s="1201"/>
      <c r="DXI224" s="1201"/>
      <c r="DXJ224" s="1201"/>
      <c r="DXK224" s="1201"/>
      <c r="DXL224" s="1201"/>
      <c r="DXM224" s="1201"/>
      <c r="DXN224" s="1201"/>
      <c r="DXO224" s="1201"/>
      <c r="DXP224" s="1201"/>
      <c r="DXQ224" s="1201"/>
      <c r="DXR224" s="1201"/>
      <c r="DXS224" s="1201"/>
      <c r="DXT224" s="1201"/>
      <c r="DXU224" s="1201"/>
      <c r="DXV224" s="1201"/>
      <c r="DXW224" s="1201"/>
      <c r="DXX224" s="1201"/>
      <c r="DXY224" s="1201"/>
      <c r="DXZ224" s="1201"/>
      <c r="DYA224" s="1201"/>
      <c r="DYB224" s="1201"/>
      <c r="DYC224" s="1201"/>
      <c r="DYD224" s="1201"/>
      <c r="DYE224" s="1201"/>
      <c r="DYF224" s="1201"/>
      <c r="DYG224" s="1201"/>
      <c r="DYH224" s="1201"/>
      <c r="DYI224" s="1201"/>
      <c r="DYJ224" s="1201"/>
      <c r="DYK224" s="1201"/>
      <c r="DYL224" s="1201"/>
      <c r="DYM224" s="1201"/>
      <c r="DYN224" s="1201"/>
      <c r="DYO224" s="1201"/>
      <c r="DYP224" s="1201"/>
      <c r="DYQ224" s="1201"/>
      <c r="DYR224" s="1201"/>
      <c r="DYS224" s="1201"/>
      <c r="DYT224" s="1201"/>
      <c r="DYU224" s="1201"/>
      <c r="DYV224" s="1201"/>
      <c r="DYW224" s="1201"/>
      <c r="DYX224" s="1201"/>
      <c r="DYY224" s="1201"/>
      <c r="DYZ224" s="1201"/>
      <c r="DZA224" s="1201"/>
      <c r="DZB224" s="1201"/>
      <c r="DZC224" s="1201"/>
      <c r="DZD224" s="1201"/>
      <c r="DZE224" s="1201"/>
      <c r="DZF224" s="1201"/>
      <c r="DZG224" s="1201"/>
      <c r="DZH224" s="1201"/>
      <c r="DZI224" s="1201"/>
      <c r="DZJ224" s="1201"/>
      <c r="DZK224" s="1201"/>
      <c r="DZL224" s="1201"/>
      <c r="DZM224" s="1201"/>
      <c r="DZN224" s="1201"/>
      <c r="DZO224" s="1201"/>
      <c r="DZP224" s="1201"/>
      <c r="DZQ224" s="1201"/>
      <c r="DZR224" s="1201"/>
      <c r="DZS224" s="1201"/>
      <c r="DZT224" s="1201"/>
      <c r="DZU224" s="1201"/>
      <c r="DZV224" s="1201"/>
      <c r="DZW224" s="1201"/>
      <c r="DZX224" s="1201"/>
      <c r="DZY224" s="1201"/>
      <c r="DZZ224" s="1201"/>
      <c r="EAA224" s="1201"/>
      <c r="EAB224" s="1201"/>
      <c r="EAC224" s="1201"/>
      <c r="EAD224" s="1201"/>
      <c r="EAE224" s="1201"/>
      <c r="EAF224" s="1201"/>
      <c r="EAG224" s="1201"/>
      <c r="EAH224" s="1201"/>
      <c r="EAI224" s="1201"/>
      <c r="EAJ224" s="1201"/>
      <c r="EAK224" s="1201"/>
      <c r="EAL224" s="1201"/>
      <c r="EAM224" s="1201"/>
      <c r="EAN224" s="1201"/>
      <c r="EAO224" s="1201"/>
      <c r="EAP224" s="1201"/>
      <c r="EAQ224" s="1201"/>
      <c r="EAR224" s="1201"/>
      <c r="EAS224" s="1201"/>
      <c r="EAT224" s="1201"/>
      <c r="EAU224" s="1201"/>
      <c r="EAV224" s="1201"/>
      <c r="EAW224" s="1201"/>
      <c r="EAX224" s="1201"/>
      <c r="EAY224" s="1201"/>
      <c r="EAZ224" s="1201"/>
      <c r="EBA224" s="1201"/>
      <c r="EBB224" s="1201"/>
      <c r="EBC224" s="1201"/>
      <c r="EBD224" s="1201"/>
      <c r="EBE224" s="1201"/>
      <c r="EBF224" s="1201"/>
      <c r="EBG224" s="1201"/>
      <c r="EBH224" s="1201"/>
      <c r="EBI224" s="1201"/>
      <c r="EBJ224" s="1201"/>
      <c r="EBK224" s="1201"/>
      <c r="EBL224" s="1201"/>
      <c r="EBM224" s="1201"/>
      <c r="EBN224" s="1201"/>
      <c r="EBO224" s="1201"/>
      <c r="EBP224" s="1201"/>
      <c r="EBQ224" s="1201"/>
      <c r="EBR224" s="1201"/>
      <c r="EBS224" s="1201"/>
      <c r="EBT224" s="1201"/>
      <c r="EBU224" s="1201"/>
      <c r="EBV224" s="1201"/>
      <c r="EBW224" s="1201"/>
      <c r="EBX224" s="1201"/>
      <c r="EBY224" s="1201"/>
      <c r="EBZ224" s="1201"/>
      <c r="ECA224" s="1201"/>
      <c r="ECB224" s="1201"/>
      <c r="ECC224" s="1201"/>
      <c r="ECD224" s="1201"/>
      <c r="ECE224" s="1201"/>
      <c r="ECF224" s="1201"/>
      <c r="ECG224" s="1201"/>
      <c r="ECH224" s="1201"/>
      <c r="ECI224" s="1201"/>
      <c r="ECJ224" s="1201"/>
      <c r="ECK224" s="1201"/>
      <c r="ECL224" s="1201"/>
      <c r="ECM224" s="1201"/>
      <c r="ECN224" s="1201"/>
      <c r="ECO224" s="1201"/>
      <c r="ECP224" s="1201"/>
      <c r="ECQ224" s="1201"/>
      <c r="ECR224" s="1201"/>
      <c r="ECS224" s="1201"/>
      <c r="ECT224" s="1201"/>
      <c r="ECU224" s="1201"/>
      <c r="ECV224" s="1201"/>
      <c r="ECW224" s="1201"/>
      <c r="ECX224" s="1201"/>
      <c r="ECY224" s="1201"/>
      <c r="ECZ224" s="1201"/>
      <c r="EDA224" s="1201"/>
      <c r="EDB224" s="1201"/>
      <c r="EDC224" s="1201"/>
      <c r="EDD224" s="1201"/>
      <c r="EDE224" s="1201"/>
      <c r="EDF224" s="1201"/>
      <c r="EDG224" s="1201"/>
      <c r="EDH224" s="1201"/>
      <c r="EDI224" s="1201"/>
      <c r="EDJ224" s="1201"/>
      <c r="EDK224" s="1201"/>
      <c r="EDL224" s="1201"/>
      <c r="EDM224" s="1201"/>
      <c r="EDN224" s="1201"/>
      <c r="EDO224" s="1201"/>
      <c r="EDP224" s="1201"/>
      <c r="EDQ224" s="1201"/>
      <c r="EDR224" s="1201"/>
      <c r="EDS224" s="1201"/>
      <c r="EDT224" s="1201"/>
      <c r="EDU224" s="1201"/>
      <c r="EDV224" s="1201"/>
      <c r="EDW224" s="1201"/>
      <c r="EDX224" s="1201"/>
      <c r="EDY224" s="1201"/>
      <c r="EDZ224" s="1201"/>
      <c r="EEA224" s="1201"/>
      <c r="EEB224" s="1201"/>
      <c r="EEC224" s="1201"/>
      <c r="EED224" s="1201"/>
      <c r="EEE224" s="1201"/>
      <c r="EEF224" s="1201"/>
      <c r="EEG224" s="1201"/>
      <c r="EEH224" s="1201"/>
      <c r="EEI224" s="1201"/>
      <c r="EEJ224" s="1201"/>
      <c r="EEK224" s="1201"/>
      <c r="EEL224" s="1201"/>
      <c r="EEM224" s="1201"/>
      <c r="EEN224" s="1201"/>
      <c r="EEO224" s="1201"/>
      <c r="EEP224" s="1201"/>
      <c r="EEQ224" s="1201"/>
      <c r="EER224" s="1201"/>
      <c r="EES224" s="1201"/>
      <c r="EET224" s="1201"/>
      <c r="EEU224" s="1201"/>
      <c r="EEV224" s="1201"/>
      <c r="EEW224" s="1201"/>
      <c r="EEX224" s="1201"/>
      <c r="EEY224" s="1201"/>
      <c r="EEZ224" s="1201"/>
      <c r="EFA224" s="1201"/>
      <c r="EFB224" s="1201"/>
      <c r="EFC224" s="1201"/>
      <c r="EFD224" s="1201"/>
      <c r="EFE224" s="1201"/>
      <c r="EFF224" s="1201"/>
      <c r="EFG224" s="1201"/>
      <c r="EFH224" s="1201"/>
      <c r="EFI224" s="1201"/>
      <c r="EFJ224" s="1201"/>
      <c r="EFK224" s="1201"/>
      <c r="EFL224" s="1201"/>
      <c r="EFM224" s="1201"/>
      <c r="EFN224" s="1201"/>
      <c r="EFO224" s="1201"/>
      <c r="EFP224" s="1201"/>
      <c r="EFQ224" s="1201"/>
      <c r="EFR224" s="1201"/>
      <c r="EFS224" s="1201"/>
      <c r="EFT224" s="1201"/>
      <c r="EFU224" s="1201"/>
      <c r="EFV224" s="1201"/>
      <c r="EFW224" s="1201"/>
      <c r="EFX224" s="1201"/>
      <c r="EFY224" s="1201"/>
      <c r="EFZ224" s="1201"/>
      <c r="EGA224" s="1201"/>
      <c r="EGB224" s="1201"/>
      <c r="EGC224" s="1201"/>
      <c r="EGD224" s="1201"/>
      <c r="EGE224" s="1201"/>
      <c r="EGF224" s="1201"/>
      <c r="EGG224" s="1201"/>
      <c r="EGH224" s="1201"/>
      <c r="EGI224" s="1201"/>
      <c r="EGJ224" s="1201"/>
      <c r="EGK224" s="1201"/>
      <c r="EGL224" s="1201"/>
      <c r="EGM224" s="1201"/>
      <c r="EGN224" s="1201"/>
      <c r="EGO224" s="1201"/>
      <c r="EGP224" s="1201"/>
      <c r="EGQ224" s="1201"/>
      <c r="EGR224" s="1201"/>
      <c r="EGS224" s="1201"/>
      <c r="EGT224" s="1201"/>
      <c r="EGU224" s="1201"/>
      <c r="EGV224" s="1201"/>
      <c r="EGW224" s="1201"/>
      <c r="EGX224" s="1201"/>
      <c r="EGY224" s="1201"/>
      <c r="EGZ224" s="1201"/>
      <c r="EHA224" s="1201"/>
      <c r="EHB224" s="1201"/>
      <c r="EHC224" s="1201"/>
      <c r="EHD224" s="1201"/>
      <c r="EHE224" s="1201"/>
      <c r="EHF224" s="1201"/>
      <c r="EHG224" s="1201"/>
      <c r="EHH224" s="1201"/>
      <c r="EHI224" s="1201"/>
      <c r="EHJ224" s="1201"/>
      <c r="EHK224" s="1201"/>
      <c r="EHL224" s="1201"/>
      <c r="EHM224" s="1201"/>
      <c r="EHN224" s="1201"/>
      <c r="EHO224" s="1201"/>
      <c r="EHP224" s="1201"/>
      <c r="EHQ224" s="1201"/>
      <c r="EHR224" s="1201"/>
      <c r="EHS224" s="1201"/>
      <c r="EHT224" s="1201"/>
      <c r="EHU224" s="1201"/>
      <c r="EHV224" s="1201"/>
      <c r="EHW224" s="1201"/>
      <c r="EHX224" s="1201"/>
      <c r="EHY224" s="1201"/>
      <c r="EHZ224" s="1201"/>
      <c r="EIA224" s="1201"/>
      <c r="EIB224" s="1201"/>
      <c r="EIC224" s="1201"/>
      <c r="EID224" s="1201"/>
      <c r="EIE224" s="1201"/>
      <c r="EIF224" s="1201"/>
      <c r="EIG224" s="1201"/>
      <c r="EIH224" s="1201"/>
      <c r="EII224" s="1201"/>
      <c r="EIJ224" s="1201"/>
      <c r="EIK224" s="1201"/>
      <c r="EIL224" s="1201"/>
      <c r="EIM224" s="1201"/>
      <c r="EIN224" s="1201"/>
      <c r="EIO224" s="1201"/>
      <c r="EIP224" s="1201"/>
      <c r="EIQ224" s="1201"/>
      <c r="EIR224" s="1201"/>
      <c r="EIS224" s="1201"/>
      <c r="EIT224" s="1201"/>
      <c r="EIU224" s="1201"/>
      <c r="EIV224" s="1201"/>
      <c r="EIW224" s="1201"/>
      <c r="EIX224" s="1201"/>
      <c r="EIY224" s="1201"/>
      <c r="EIZ224" s="1201"/>
      <c r="EJA224" s="1201"/>
      <c r="EJB224" s="1201"/>
      <c r="EJC224" s="1201"/>
      <c r="EJD224" s="1201"/>
      <c r="EJE224" s="1201"/>
      <c r="EJF224" s="1201"/>
      <c r="EJG224" s="1201"/>
      <c r="EJH224" s="1201"/>
      <c r="EJI224" s="1201"/>
      <c r="EJJ224" s="1201"/>
      <c r="EJK224" s="1201"/>
      <c r="EJL224" s="1201"/>
      <c r="EJM224" s="1201"/>
      <c r="EJN224" s="1201"/>
      <c r="EJO224" s="1201"/>
      <c r="EJP224" s="1201"/>
      <c r="EJQ224" s="1201"/>
      <c r="EJR224" s="1201"/>
      <c r="EJS224" s="1201"/>
      <c r="EJT224" s="1201"/>
      <c r="EJU224" s="1201"/>
      <c r="EJV224" s="1201"/>
      <c r="EJW224" s="1201"/>
      <c r="EJX224" s="1201"/>
      <c r="EJY224" s="1201"/>
      <c r="EJZ224" s="1201"/>
      <c r="EKA224" s="1201"/>
      <c r="EKB224" s="1201"/>
      <c r="EKC224" s="1201"/>
      <c r="EKD224" s="1201"/>
      <c r="EKE224" s="1201"/>
      <c r="EKF224" s="1201"/>
      <c r="EKG224" s="1201"/>
      <c r="EKH224" s="1201"/>
      <c r="EKI224" s="1201"/>
      <c r="EKJ224" s="1201"/>
      <c r="EKK224" s="1201"/>
      <c r="EKL224" s="1201"/>
      <c r="EKM224" s="1201"/>
      <c r="EKN224" s="1201"/>
      <c r="EKO224" s="1201"/>
      <c r="EKP224" s="1201"/>
      <c r="EKQ224" s="1201"/>
      <c r="EKR224" s="1201"/>
      <c r="EKS224" s="1201"/>
      <c r="EKT224" s="1201"/>
      <c r="EKU224" s="1201"/>
      <c r="EKV224" s="1201"/>
      <c r="EKW224" s="1201"/>
      <c r="EKX224" s="1201"/>
      <c r="EKY224" s="1201"/>
      <c r="EKZ224" s="1201"/>
      <c r="ELA224" s="1201"/>
      <c r="ELB224" s="1201"/>
      <c r="ELC224" s="1201"/>
      <c r="ELD224" s="1201"/>
      <c r="ELE224" s="1201"/>
      <c r="ELF224" s="1201"/>
      <c r="ELG224" s="1201"/>
      <c r="ELH224" s="1201"/>
      <c r="ELI224" s="1201"/>
      <c r="ELJ224" s="1201"/>
      <c r="ELK224" s="1201"/>
      <c r="ELL224" s="1201"/>
      <c r="ELM224" s="1201"/>
      <c r="ELN224" s="1201"/>
      <c r="ELO224" s="1201"/>
      <c r="ELP224" s="1201"/>
      <c r="ELQ224" s="1201"/>
      <c r="ELR224" s="1201"/>
      <c r="ELS224" s="1201"/>
      <c r="ELT224" s="1201"/>
      <c r="ELU224" s="1201"/>
      <c r="ELV224" s="1201"/>
      <c r="ELW224" s="1201"/>
      <c r="ELX224" s="1201"/>
      <c r="ELY224" s="1201"/>
      <c r="ELZ224" s="1201"/>
      <c r="EMA224" s="1201"/>
      <c r="EMB224" s="1201"/>
      <c r="EMC224" s="1201"/>
      <c r="EMD224" s="1201"/>
      <c r="EME224" s="1201"/>
      <c r="EMF224" s="1201"/>
      <c r="EMG224" s="1201"/>
      <c r="EMH224" s="1201"/>
      <c r="EMI224" s="1201"/>
      <c r="EMJ224" s="1201"/>
      <c r="EMK224" s="1201"/>
      <c r="EML224" s="1201"/>
      <c r="EMM224" s="1201"/>
      <c r="EMN224" s="1201"/>
      <c r="EMO224" s="1201"/>
      <c r="EMP224" s="1201"/>
      <c r="EMQ224" s="1201"/>
      <c r="EMR224" s="1201"/>
      <c r="EMS224" s="1201"/>
      <c r="EMT224" s="1201"/>
      <c r="EMU224" s="1201"/>
      <c r="EMV224" s="1201"/>
      <c r="EMW224" s="1201"/>
      <c r="EMX224" s="1201"/>
      <c r="EMY224" s="1201"/>
      <c r="EMZ224" s="1201"/>
      <c r="ENA224" s="1201"/>
      <c r="ENB224" s="1201"/>
      <c r="ENC224" s="1201"/>
      <c r="END224" s="1201"/>
      <c r="ENE224" s="1201"/>
      <c r="ENF224" s="1201"/>
      <c r="ENG224" s="1201"/>
      <c r="ENH224" s="1201"/>
      <c r="ENI224" s="1201"/>
      <c r="ENJ224" s="1201"/>
      <c r="ENK224" s="1201"/>
      <c r="ENL224" s="1201"/>
      <c r="ENM224" s="1201"/>
      <c r="ENN224" s="1201"/>
      <c r="ENO224" s="1201"/>
      <c r="ENP224" s="1201"/>
      <c r="ENQ224" s="1201"/>
      <c r="ENR224" s="1201"/>
      <c r="ENS224" s="1201"/>
      <c r="ENT224" s="1201"/>
      <c r="ENU224" s="1201"/>
      <c r="ENV224" s="1201"/>
      <c r="ENW224" s="1201"/>
      <c r="ENX224" s="1201"/>
      <c r="ENY224" s="1201"/>
      <c r="ENZ224" s="1201"/>
      <c r="EOA224" s="1201"/>
      <c r="EOB224" s="1201"/>
      <c r="EOC224" s="1201"/>
      <c r="EOD224" s="1201"/>
      <c r="EOE224" s="1201"/>
      <c r="EOF224" s="1201"/>
      <c r="EOG224" s="1201"/>
      <c r="EOH224" s="1201"/>
      <c r="EOI224" s="1201"/>
      <c r="EOJ224" s="1201"/>
      <c r="EOK224" s="1201"/>
      <c r="EOL224" s="1201"/>
      <c r="EOM224" s="1201"/>
      <c r="EON224" s="1201"/>
      <c r="EOO224" s="1201"/>
      <c r="EOP224" s="1201"/>
      <c r="EOQ224" s="1201"/>
      <c r="EOR224" s="1201"/>
      <c r="EOS224" s="1201"/>
      <c r="EOT224" s="1201"/>
      <c r="EOU224" s="1201"/>
      <c r="EOV224" s="1201"/>
      <c r="EOW224" s="1201"/>
      <c r="EOX224" s="1201"/>
      <c r="EOY224" s="1201"/>
      <c r="EOZ224" s="1201"/>
      <c r="EPA224" s="1201"/>
      <c r="EPB224" s="1201"/>
      <c r="EPC224" s="1201"/>
      <c r="EPD224" s="1201"/>
      <c r="EPE224" s="1201"/>
      <c r="EPF224" s="1201"/>
      <c r="EPG224" s="1201"/>
      <c r="EPH224" s="1201"/>
      <c r="EPI224" s="1201"/>
      <c r="EPJ224" s="1201"/>
      <c r="EPK224" s="1201"/>
      <c r="EPL224" s="1201"/>
      <c r="EPM224" s="1201"/>
      <c r="EPN224" s="1201"/>
      <c r="EPO224" s="1201"/>
      <c r="EPP224" s="1201"/>
      <c r="EPQ224" s="1201"/>
      <c r="EPR224" s="1201"/>
      <c r="EPS224" s="1201"/>
      <c r="EPT224" s="1201"/>
      <c r="EPU224" s="1201"/>
      <c r="EPV224" s="1201"/>
      <c r="EPW224" s="1201"/>
      <c r="EPX224" s="1201"/>
      <c r="EPY224" s="1201"/>
      <c r="EPZ224" s="1201"/>
      <c r="EQA224" s="1201"/>
      <c r="EQB224" s="1201"/>
      <c r="EQC224" s="1201"/>
      <c r="EQD224" s="1201"/>
      <c r="EQE224" s="1201"/>
      <c r="EQF224" s="1201"/>
      <c r="EQG224" s="1201"/>
      <c r="EQH224" s="1201"/>
      <c r="EQI224" s="1201"/>
      <c r="EQJ224" s="1201"/>
      <c r="EQK224" s="1201"/>
      <c r="EQL224" s="1201"/>
      <c r="EQM224" s="1201"/>
      <c r="EQN224" s="1201"/>
      <c r="EQO224" s="1201"/>
      <c r="EQP224" s="1201"/>
      <c r="EQQ224" s="1201"/>
      <c r="EQR224" s="1201"/>
      <c r="EQS224" s="1201"/>
      <c r="EQT224" s="1201"/>
      <c r="EQU224" s="1201"/>
      <c r="EQV224" s="1201"/>
      <c r="EQW224" s="1201"/>
      <c r="EQX224" s="1201"/>
      <c r="EQY224" s="1201"/>
      <c r="EQZ224" s="1201"/>
      <c r="ERA224" s="1201"/>
      <c r="ERB224" s="1201"/>
      <c r="ERC224" s="1201"/>
      <c r="ERD224" s="1201"/>
      <c r="ERE224" s="1201"/>
      <c r="ERF224" s="1201"/>
      <c r="ERG224" s="1201"/>
      <c r="ERH224" s="1201"/>
      <c r="ERI224" s="1201"/>
      <c r="ERJ224" s="1201"/>
      <c r="ERK224" s="1201"/>
      <c r="ERL224" s="1201"/>
      <c r="ERM224" s="1201"/>
      <c r="ERN224" s="1201"/>
      <c r="ERO224" s="1201"/>
      <c r="ERP224" s="1201"/>
      <c r="ERQ224" s="1201"/>
      <c r="ERR224" s="1201"/>
      <c r="ERS224" s="1201"/>
      <c r="ERT224" s="1201"/>
      <c r="ERU224" s="1201"/>
      <c r="ERV224" s="1201"/>
      <c r="ERW224" s="1201"/>
      <c r="ERX224" s="1201"/>
      <c r="ERY224" s="1201"/>
      <c r="ERZ224" s="1201"/>
      <c r="ESA224" s="1201"/>
      <c r="ESB224" s="1201"/>
      <c r="ESC224" s="1201"/>
      <c r="ESD224" s="1201"/>
      <c r="ESE224" s="1201"/>
      <c r="ESF224" s="1201"/>
      <c r="ESG224" s="1201"/>
      <c r="ESH224" s="1201"/>
      <c r="ESI224" s="1201"/>
      <c r="ESJ224" s="1201"/>
      <c r="ESK224" s="1201"/>
      <c r="ESL224" s="1201"/>
      <c r="ESM224" s="1201"/>
      <c r="ESN224" s="1201"/>
      <c r="ESO224" s="1201"/>
      <c r="ESP224" s="1201"/>
      <c r="ESQ224" s="1201"/>
      <c r="ESR224" s="1201"/>
      <c r="ESS224" s="1201"/>
      <c r="EST224" s="1201"/>
      <c r="ESU224" s="1201"/>
      <c r="ESV224" s="1201"/>
      <c r="ESW224" s="1201"/>
      <c r="ESX224" s="1201"/>
      <c r="ESY224" s="1201"/>
      <c r="ESZ224" s="1201"/>
      <c r="ETA224" s="1201"/>
      <c r="ETB224" s="1201"/>
      <c r="ETC224" s="1201"/>
      <c r="ETD224" s="1201"/>
      <c r="ETE224" s="1201"/>
      <c r="ETF224" s="1201"/>
      <c r="ETG224" s="1201"/>
      <c r="ETH224" s="1201"/>
      <c r="ETI224" s="1201"/>
      <c r="ETJ224" s="1201"/>
      <c r="ETK224" s="1201"/>
      <c r="ETL224" s="1201"/>
      <c r="ETM224" s="1201"/>
      <c r="ETN224" s="1201"/>
      <c r="ETO224" s="1201"/>
      <c r="ETP224" s="1201"/>
      <c r="ETQ224" s="1201"/>
      <c r="ETR224" s="1201"/>
      <c r="ETS224" s="1201"/>
      <c r="ETT224" s="1201"/>
      <c r="ETU224" s="1201"/>
      <c r="ETV224" s="1201"/>
      <c r="ETW224" s="1201"/>
      <c r="ETX224" s="1201"/>
      <c r="ETY224" s="1201"/>
      <c r="ETZ224" s="1201"/>
      <c r="EUA224" s="1201"/>
      <c r="EUB224" s="1201"/>
      <c r="EUC224" s="1201"/>
      <c r="EUD224" s="1201"/>
      <c r="EUE224" s="1201"/>
      <c r="EUF224" s="1201"/>
      <c r="EUG224" s="1201"/>
      <c r="EUH224" s="1201"/>
      <c r="EUI224" s="1201"/>
      <c r="EUJ224" s="1201"/>
      <c r="EUK224" s="1201"/>
      <c r="EUL224" s="1201"/>
      <c r="EUM224" s="1201"/>
      <c r="EUN224" s="1201"/>
      <c r="EUO224" s="1201"/>
      <c r="EUP224" s="1201"/>
      <c r="EUQ224" s="1201"/>
      <c r="EUR224" s="1201"/>
      <c r="EUS224" s="1201"/>
      <c r="EUT224" s="1201"/>
      <c r="EUU224" s="1201"/>
      <c r="EUV224" s="1201"/>
      <c r="EUW224" s="1201"/>
      <c r="EUX224" s="1201"/>
      <c r="EUY224" s="1201"/>
      <c r="EUZ224" s="1201"/>
      <c r="EVA224" s="1201"/>
      <c r="EVB224" s="1201"/>
      <c r="EVC224" s="1201"/>
      <c r="EVD224" s="1201"/>
      <c r="EVE224" s="1201"/>
      <c r="EVF224" s="1201"/>
      <c r="EVG224" s="1201"/>
      <c r="EVH224" s="1201"/>
      <c r="EVI224" s="1201"/>
      <c r="EVJ224" s="1201"/>
      <c r="EVK224" s="1201"/>
      <c r="EVL224" s="1201"/>
      <c r="EVM224" s="1201"/>
      <c r="EVN224" s="1201"/>
      <c r="EVO224" s="1201"/>
      <c r="EVP224" s="1201"/>
      <c r="EVQ224" s="1201"/>
      <c r="EVR224" s="1201"/>
      <c r="EVS224" s="1201"/>
      <c r="EVT224" s="1201"/>
      <c r="EVU224" s="1201"/>
      <c r="EVV224" s="1201"/>
      <c r="EVW224" s="1201"/>
      <c r="EVX224" s="1201"/>
      <c r="EVY224" s="1201"/>
      <c r="EVZ224" s="1201"/>
      <c r="EWA224" s="1201"/>
      <c r="EWB224" s="1201"/>
      <c r="EWC224" s="1201"/>
      <c r="EWD224" s="1201"/>
      <c r="EWE224" s="1201"/>
      <c r="EWF224" s="1201"/>
      <c r="EWG224" s="1201"/>
      <c r="EWH224" s="1201"/>
      <c r="EWI224" s="1201"/>
      <c r="EWJ224" s="1201"/>
      <c r="EWK224" s="1201"/>
      <c r="EWL224" s="1201"/>
      <c r="EWM224" s="1201"/>
      <c r="EWN224" s="1201"/>
      <c r="EWO224" s="1201"/>
      <c r="EWP224" s="1201"/>
      <c r="EWQ224" s="1201"/>
      <c r="EWR224" s="1201"/>
      <c r="EWS224" s="1201"/>
      <c r="EWT224" s="1201"/>
      <c r="EWU224" s="1201"/>
      <c r="EWV224" s="1201"/>
      <c r="EWW224" s="1201"/>
      <c r="EWX224" s="1201"/>
      <c r="EWY224" s="1201"/>
      <c r="EWZ224" s="1201"/>
      <c r="EXA224" s="1201"/>
      <c r="EXB224" s="1201"/>
      <c r="EXC224" s="1201"/>
      <c r="EXD224" s="1201"/>
      <c r="EXE224" s="1201"/>
      <c r="EXF224" s="1201"/>
      <c r="EXG224" s="1201"/>
      <c r="EXH224" s="1201"/>
      <c r="EXI224" s="1201"/>
      <c r="EXJ224" s="1201"/>
      <c r="EXK224" s="1201"/>
      <c r="EXL224" s="1201"/>
      <c r="EXM224" s="1201"/>
      <c r="EXN224" s="1201"/>
      <c r="EXO224" s="1201"/>
      <c r="EXP224" s="1201"/>
      <c r="EXQ224" s="1201"/>
      <c r="EXR224" s="1201"/>
      <c r="EXS224" s="1201"/>
      <c r="EXT224" s="1201"/>
      <c r="EXU224" s="1201"/>
      <c r="EXV224" s="1201"/>
      <c r="EXW224" s="1201"/>
      <c r="EXX224" s="1201"/>
      <c r="EXY224" s="1201"/>
      <c r="EXZ224" s="1201"/>
      <c r="EYA224" s="1201"/>
      <c r="EYB224" s="1201"/>
      <c r="EYC224" s="1201"/>
      <c r="EYD224" s="1201"/>
      <c r="EYE224" s="1201"/>
      <c r="EYF224" s="1201"/>
      <c r="EYG224" s="1201"/>
      <c r="EYH224" s="1201"/>
      <c r="EYI224" s="1201"/>
      <c r="EYJ224" s="1201"/>
      <c r="EYK224" s="1201"/>
      <c r="EYL224" s="1201"/>
      <c r="EYM224" s="1201"/>
      <c r="EYN224" s="1201"/>
      <c r="EYO224" s="1201"/>
      <c r="EYP224" s="1201"/>
      <c r="EYQ224" s="1201"/>
      <c r="EYR224" s="1201"/>
      <c r="EYS224" s="1201"/>
      <c r="EYT224" s="1201"/>
      <c r="EYU224" s="1201"/>
      <c r="EYV224" s="1201"/>
      <c r="EYW224" s="1201"/>
      <c r="EYX224" s="1201"/>
      <c r="EYY224" s="1201"/>
      <c r="EYZ224" s="1201"/>
      <c r="EZA224" s="1201"/>
      <c r="EZB224" s="1201"/>
      <c r="EZC224" s="1201"/>
      <c r="EZD224" s="1201"/>
      <c r="EZE224" s="1201"/>
      <c r="EZF224" s="1201"/>
      <c r="EZG224" s="1201"/>
      <c r="EZH224" s="1201"/>
      <c r="EZI224" s="1201"/>
      <c r="EZJ224" s="1201"/>
      <c r="EZK224" s="1201"/>
      <c r="EZL224" s="1201"/>
      <c r="EZM224" s="1201"/>
      <c r="EZN224" s="1201"/>
      <c r="EZO224" s="1201"/>
      <c r="EZP224" s="1201"/>
      <c r="EZQ224" s="1201"/>
      <c r="EZR224" s="1201"/>
      <c r="EZS224" s="1201"/>
      <c r="EZT224" s="1201"/>
      <c r="EZU224" s="1201"/>
      <c r="EZV224" s="1201"/>
      <c r="EZW224" s="1201"/>
      <c r="EZX224" s="1201"/>
      <c r="EZY224" s="1201"/>
      <c r="EZZ224" s="1201"/>
      <c r="FAA224" s="1201"/>
      <c r="FAB224" s="1201"/>
      <c r="FAC224" s="1201"/>
      <c r="FAD224" s="1201"/>
      <c r="FAE224" s="1201"/>
      <c r="FAF224" s="1201"/>
      <c r="FAG224" s="1201"/>
      <c r="FAH224" s="1201"/>
      <c r="FAI224" s="1201"/>
      <c r="FAJ224" s="1201"/>
      <c r="FAK224" s="1201"/>
      <c r="FAL224" s="1201"/>
      <c r="FAM224" s="1201"/>
      <c r="FAN224" s="1201"/>
      <c r="FAO224" s="1201"/>
      <c r="FAP224" s="1201"/>
      <c r="FAQ224" s="1201"/>
      <c r="FAR224" s="1201"/>
      <c r="FAS224" s="1201"/>
      <c r="FAT224" s="1201"/>
      <c r="FAU224" s="1201"/>
      <c r="FAV224" s="1201"/>
      <c r="FAW224" s="1201"/>
      <c r="FAX224" s="1201"/>
      <c r="FAY224" s="1201"/>
      <c r="FAZ224" s="1201"/>
      <c r="FBA224" s="1201"/>
      <c r="FBB224" s="1201"/>
      <c r="FBC224" s="1201"/>
      <c r="FBD224" s="1201"/>
      <c r="FBE224" s="1201"/>
      <c r="FBF224" s="1201"/>
      <c r="FBG224" s="1201"/>
      <c r="FBH224" s="1201"/>
      <c r="FBI224" s="1201"/>
      <c r="FBJ224" s="1201"/>
      <c r="FBK224" s="1201"/>
      <c r="FBL224" s="1201"/>
      <c r="FBM224" s="1201"/>
      <c r="FBN224" s="1201"/>
      <c r="FBO224" s="1201"/>
      <c r="FBP224" s="1201"/>
      <c r="FBQ224" s="1201"/>
      <c r="FBR224" s="1201"/>
      <c r="FBS224" s="1201"/>
      <c r="FBT224" s="1201"/>
      <c r="FBU224" s="1201"/>
      <c r="FBV224" s="1201"/>
      <c r="FBW224" s="1201"/>
      <c r="FBX224" s="1201"/>
      <c r="FBY224" s="1201"/>
      <c r="FBZ224" s="1201"/>
      <c r="FCA224" s="1201"/>
      <c r="FCB224" s="1201"/>
      <c r="FCC224" s="1201"/>
      <c r="FCD224" s="1201"/>
      <c r="FCE224" s="1201"/>
      <c r="FCF224" s="1201"/>
      <c r="FCG224" s="1201"/>
      <c r="FCH224" s="1201"/>
      <c r="FCI224" s="1201"/>
      <c r="FCJ224" s="1201"/>
      <c r="FCK224" s="1201"/>
      <c r="FCL224" s="1201"/>
      <c r="FCM224" s="1201"/>
      <c r="FCN224" s="1201"/>
      <c r="FCO224" s="1201"/>
      <c r="FCP224" s="1201"/>
      <c r="FCQ224" s="1201"/>
      <c r="FCR224" s="1201"/>
      <c r="FCS224" s="1201"/>
      <c r="FCT224" s="1201"/>
      <c r="FCU224" s="1201"/>
      <c r="FCV224" s="1201"/>
      <c r="FCW224" s="1201"/>
      <c r="FCX224" s="1201"/>
      <c r="FCY224" s="1201"/>
      <c r="FCZ224" s="1201"/>
      <c r="FDA224" s="1201"/>
      <c r="FDB224" s="1201"/>
      <c r="FDC224" s="1201"/>
      <c r="FDD224" s="1201"/>
      <c r="FDE224" s="1201"/>
      <c r="FDF224" s="1201"/>
      <c r="FDG224" s="1201"/>
      <c r="FDH224" s="1201"/>
      <c r="FDI224" s="1201"/>
      <c r="FDJ224" s="1201"/>
      <c r="FDK224" s="1201"/>
      <c r="FDL224" s="1201"/>
      <c r="FDM224" s="1201"/>
      <c r="FDN224" s="1201"/>
      <c r="FDO224" s="1201"/>
      <c r="FDP224" s="1201"/>
      <c r="FDQ224" s="1201"/>
      <c r="FDR224" s="1201"/>
      <c r="FDS224" s="1201"/>
      <c r="FDT224" s="1201"/>
      <c r="FDU224" s="1201"/>
      <c r="FDV224" s="1201"/>
      <c r="FDW224" s="1201"/>
      <c r="FDX224" s="1201"/>
      <c r="FDY224" s="1201"/>
      <c r="FDZ224" s="1201"/>
      <c r="FEA224" s="1201"/>
      <c r="FEB224" s="1201"/>
      <c r="FEC224" s="1201"/>
      <c r="FED224" s="1201"/>
      <c r="FEE224" s="1201"/>
      <c r="FEF224" s="1201"/>
      <c r="FEG224" s="1201"/>
      <c r="FEH224" s="1201"/>
      <c r="FEI224" s="1201"/>
      <c r="FEJ224" s="1201"/>
      <c r="FEK224" s="1201"/>
      <c r="FEL224" s="1201"/>
      <c r="FEM224" s="1201"/>
      <c r="FEN224" s="1201"/>
      <c r="FEO224" s="1201"/>
      <c r="FEP224" s="1201"/>
      <c r="FEQ224" s="1201"/>
      <c r="FER224" s="1201"/>
      <c r="FES224" s="1201"/>
      <c r="FET224" s="1201"/>
      <c r="FEU224" s="1201"/>
      <c r="FEV224" s="1201"/>
      <c r="FEW224" s="1201"/>
      <c r="FEX224" s="1201"/>
      <c r="FEY224" s="1201"/>
      <c r="FEZ224" s="1201"/>
      <c r="FFA224" s="1201"/>
      <c r="FFB224" s="1201"/>
      <c r="FFC224" s="1201"/>
      <c r="FFD224" s="1201"/>
      <c r="FFE224" s="1201"/>
      <c r="FFF224" s="1201"/>
      <c r="FFG224" s="1201"/>
      <c r="FFH224" s="1201"/>
      <c r="FFI224" s="1201"/>
      <c r="FFJ224" s="1201"/>
      <c r="FFK224" s="1201"/>
      <c r="FFL224" s="1201"/>
      <c r="FFM224" s="1201"/>
      <c r="FFN224" s="1201"/>
      <c r="FFO224" s="1201"/>
      <c r="FFP224" s="1201"/>
      <c r="FFQ224" s="1201"/>
      <c r="FFR224" s="1201"/>
      <c r="FFS224" s="1201"/>
      <c r="FFT224" s="1201"/>
      <c r="FFU224" s="1201"/>
      <c r="FFV224" s="1201"/>
      <c r="FFW224" s="1201"/>
      <c r="FFX224" s="1201"/>
      <c r="FFY224" s="1201"/>
      <c r="FFZ224" s="1201"/>
      <c r="FGA224" s="1201"/>
      <c r="FGB224" s="1201"/>
      <c r="FGC224" s="1201"/>
      <c r="FGD224" s="1201"/>
      <c r="FGE224" s="1201"/>
      <c r="FGF224" s="1201"/>
      <c r="FGG224" s="1201"/>
      <c r="FGH224" s="1201"/>
      <c r="FGI224" s="1201"/>
      <c r="FGJ224" s="1201"/>
      <c r="FGK224" s="1201"/>
      <c r="FGL224" s="1201"/>
      <c r="FGM224" s="1201"/>
      <c r="FGN224" s="1201"/>
      <c r="FGO224" s="1201"/>
      <c r="FGP224" s="1201"/>
      <c r="FGQ224" s="1201"/>
      <c r="FGR224" s="1201"/>
      <c r="FGS224" s="1201"/>
      <c r="FGT224" s="1201"/>
      <c r="FGU224" s="1201"/>
      <c r="FGV224" s="1201"/>
      <c r="FGW224" s="1201"/>
      <c r="FGX224" s="1201"/>
      <c r="FGY224" s="1201"/>
      <c r="FGZ224" s="1201"/>
      <c r="FHA224" s="1201"/>
      <c r="FHB224" s="1201"/>
      <c r="FHC224" s="1201"/>
      <c r="FHD224" s="1201"/>
      <c r="FHE224" s="1201"/>
      <c r="FHF224" s="1201"/>
      <c r="FHG224" s="1201"/>
      <c r="FHH224" s="1201"/>
      <c r="FHI224" s="1201"/>
      <c r="FHJ224" s="1201"/>
      <c r="FHK224" s="1201"/>
      <c r="FHL224" s="1201"/>
      <c r="FHM224" s="1201"/>
      <c r="FHN224" s="1201"/>
      <c r="FHO224" s="1201"/>
      <c r="FHP224" s="1201"/>
      <c r="FHQ224" s="1201"/>
      <c r="FHR224" s="1201"/>
      <c r="FHS224" s="1201"/>
      <c r="FHT224" s="1201"/>
      <c r="FHU224" s="1201"/>
      <c r="FHV224" s="1201"/>
      <c r="FHW224" s="1201"/>
      <c r="FHX224" s="1201"/>
      <c r="FHY224" s="1201"/>
      <c r="FHZ224" s="1201"/>
      <c r="FIA224" s="1201"/>
      <c r="FIB224" s="1201"/>
      <c r="FIC224" s="1201"/>
      <c r="FID224" s="1201"/>
      <c r="FIE224" s="1201"/>
      <c r="FIF224" s="1201"/>
      <c r="FIG224" s="1201"/>
      <c r="FIH224" s="1201"/>
      <c r="FII224" s="1201"/>
      <c r="FIJ224" s="1201"/>
      <c r="FIK224" s="1201"/>
      <c r="FIL224" s="1201"/>
      <c r="FIM224" s="1201"/>
      <c r="FIN224" s="1201"/>
      <c r="FIO224" s="1201"/>
      <c r="FIP224" s="1201"/>
      <c r="FIQ224" s="1201"/>
      <c r="FIR224" s="1201"/>
      <c r="FIS224" s="1201"/>
      <c r="FIT224" s="1201"/>
      <c r="FIU224" s="1201"/>
      <c r="FIV224" s="1201"/>
      <c r="FIW224" s="1201"/>
      <c r="FIX224" s="1201"/>
      <c r="FIY224" s="1201"/>
      <c r="FIZ224" s="1201"/>
      <c r="FJA224" s="1201"/>
      <c r="FJB224" s="1201"/>
      <c r="FJC224" s="1201"/>
      <c r="FJD224" s="1201"/>
      <c r="FJE224" s="1201"/>
      <c r="FJF224" s="1201"/>
      <c r="FJG224" s="1201"/>
      <c r="FJH224" s="1201"/>
      <c r="FJI224" s="1201"/>
      <c r="FJJ224" s="1201"/>
      <c r="FJK224" s="1201"/>
      <c r="FJL224" s="1201"/>
      <c r="FJM224" s="1201"/>
      <c r="FJN224" s="1201"/>
      <c r="FJO224" s="1201"/>
      <c r="FJP224" s="1201"/>
      <c r="FJQ224" s="1201"/>
      <c r="FJR224" s="1201"/>
      <c r="FJS224" s="1201"/>
      <c r="FJT224" s="1201"/>
      <c r="FJU224" s="1201"/>
      <c r="FJV224" s="1201"/>
      <c r="FJW224" s="1201"/>
      <c r="FJX224" s="1201"/>
      <c r="FJY224" s="1201"/>
      <c r="FJZ224" s="1201"/>
      <c r="FKA224" s="1201"/>
      <c r="FKB224" s="1201"/>
      <c r="FKC224" s="1201"/>
      <c r="FKD224" s="1201"/>
      <c r="FKE224" s="1201"/>
      <c r="FKF224" s="1201"/>
      <c r="FKG224" s="1201"/>
      <c r="FKH224" s="1201"/>
      <c r="FKI224" s="1201"/>
      <c r="FKJ224" s="1201"/>
      <c r="FKK224" s="1201"/>
      <c r="FKL224" s="1201"/>
      <c r="FKM224" s="1201"/>
      <c r="FKN224" s="1201"/>
      <c r="FKO224" s="1201"/>
      <c r="FKP224" s="1201"/>
      <c r="FKQ224" s="1201"/>
      <c r="FKR224" s="1201"/>
      <c r="FKS224" s="1201"/>
      <c r="FKT224" s="1201"/>
      <c r="FKU224" s="1201"/>
      <c r="FKV224" s="1201"/>
      <c r="FKW224" s="1201"/>
      <c r="FKX224" s="1201"/>
      <c r="FKY224" s="1201"/>
      <c r="FKZ224" s="1201"/>
      <c r="FLA224" s="1201"/>
      <c r="FLB224" s="1201"/>
      <c r="FLC224" s="1201"/>
      <c r="FLD224" s="1201"/>
      <c r="FLE224" s="1201"/>
      <c r="FLF224" s="1201"/>
      <c r="FLG224" s="1201"/>
      <c r="FLH224" s="1201"/>
      <c r="FLI224" s="1201"/>
      <c r="FLJ224" s="1201"/>
      <c r="FLK224" s="1201"/>
      <c r="FLL224" s="1201"/>
      <c r="FLM224" s="1201"/>
      <c r="FLN224" s="1201"/>
      <c r="FLO224" s="1201"/>
      <c r="FLP224" s="1201"/>
      <c r="FLQ224" s="1201"/>
      <c r="FLR224" s="1201"/>
      <c r="FLS224" s="1201"/>
      <c r="FLT224" s="1201"/>
      <c r="FLU224" s="1201"/>
      <c r="FLV224" s="1201"/>
      <c r="FLW224" s="1201"/>
      <c r="FLX224" s="1201"/>
      <c r="FLY224" s="1201"/>
      <c r="FLZ224" s="1201"/>
      <c r="FMA224" s="1201"/>
      <c r="FMB224" s="1201"/>
      <c r="FMC224" s="1201"/>
      <c r="FMD224" s="1201"/>
      <c r="FME224" s="1201"/>
      <c r="FMF224" s="1201"/>
      <c r="FMG224" s="1201"/>
      <c r="FMH224" s="1201"/>
      <c r="FMI224" s="1201"/>
      <c r="FMJ224" s="1201"/>
      <c r="FMK224" s="1201"/>
      <c r="FML224" s="1201"/>
      <c r="FMM224" s="1201"/>
      <c r="FMN224" s="1201"/>
      <c r="FMO224" s="1201"/>
      <c r="FMP224" s="1201"/>
      <c r="FMQ224" s="1201"/>
      <c r="FMR224" s="1201"/>
      <c r="FMS224" s="1201"/>
      <c r="FMT224" s="1201"/>
      <c r="FMU224" s="1201"/>
      <c r="FMV224" s="1201"/>
      <c r="FMW224" s="1201"/>
      <c r="FMX224" s="1201"/>
      <c r="FMY224" s="1201"/>
      <c r="FMZ224" s="1201"/>
      <c r="FNA224" s="1201"/>
      <c r="FNB224" s="1201"/>
      <c r="FNC224" s="1201"/>
      <c r="FND224" s="1201"/>
      <c r="FNE224" s="1201"/>
      <c r="FNF224" s="1201"/>
      <c r="FNG224" s="1201"/>
      <c r="FNH224" s="1201"/>
      <c r="FNI224" s="1201"/>
      <c r="FNJ224" s="1201"/>
      <c r="FNK224" s="1201"/>
      <c r="FNL224" s="1201"/>
      <c r="FNM224" s="1201"/>
      <c r="FNN224" s="1201"/>
      <c r="FNO224" s="1201"/>
      <c r="FNP224" s="1201"/>
      <c r="FNQ224" s="1201"/>
      <c r="FNR224" s="1201"/>
      <c r="FNS224" s="1201"/>
      <c r="FNT224" s="1201"/>
      <c r="FNU224" s="1201"/>
      <c r="FNV224" s="1201"/>
      <c r="FNW224" s="1201"/>
      <c r="FNX224" s="1201"/>
      <c r="FNY224" s="1201"/>
      <c r="FNZ224" s="1201"/>
      <c r="FOA224" s="1201"/>
      <c r="FOB224" s="1201"/>
      <c r="FOC224" s="1201"/>
      <c r="FOD224" s="1201"/>
      <c r="FOE224" s="1201"/>
      <c r="FOF224" s="1201"/>
      <c r="FOG224" s="1201"/>
      <c r="FOH224" s="1201"/>
      <c r="FOI224" s="1201"/>
      <c r="FOJ224" s="1201"/>
      <c r="FOK224" s="1201"/>
      <c r="FOL224" s="1201"/>
      <c r="FOM224" s="1201"/>
      <c r="FON224" s="1201"/>
      <c r="FOO224" s="1201"/>
      <c r="FOP224" s="1201"/>
      <c r="FOQ224" s="1201"/>
      <c r="FOR224" s="1201"/>
      <c r="FOS224" s="1201"/>
      <c r="FOT224" s="1201"/>
      <c r="FOU224" s="1201"/>
      <c r="FOV224" s="1201"/>
      <c r="FOW224" s="1201"/>
      <c r="FOX224" s="1201"/>
      <c r="FOY224" s="1201"/>
      <c r="FOZ224" s="1201"/>
      <c r="FPA224" s="1201"/>
      <c r="FPB224" s="1201"/>
      <c r="FPC224" s="1201"/>
      <c r="FPD224" s="1201"/>
      <c r="FPE224" s="1201"/>
      <c r="FPF224" s="1201"/>
      <c r="FPG224" s="1201"/>
      <c r="FPH224" s="1201"/>
      <c r="FPI224" s="1201"/>
      <c r="FPJ224" s="1201"/>
      <c r="FPK224" s="1201"/>
      <c r="FPL224" s="1201"/>
      <c r="FPM224" s="1201"/>
      <c r="FPN224" s="1201"/>
      <c r="FPO224" s="1201"/>
      <c r="FPP224" s="1201"/>
      <c r="FPQ224" s="1201"/>
      <c r="FPR224" s="1201"/>
      <c r="FPS224" s="1201"/>
      <c r="FPT224" s="1201"/>
      <c r="FPU224" s="1201"/>
      <c r="FPV224" s="1201"/>
      <c r="FPW224" s="1201"/>
      <c r="FPX224" s="1201"/>
      <c r="FPY224" s="1201"/>
      <c r="FPZ224" s="1201"/>
      <c r="FQA224" s="1201"/>
      <c r="FQB224" s="1201"/>
      <c r="FQC224" s="1201"/>
      <c r="FQD224" s="1201"/>
      <c r="FQE224" s="1201"/>
      <c r="FQF224" s="1201"/>
      <c r="FQG224" s="1201"/>
      <c r="FQH224" s="1201"/>
      <c r="FQI224" s="1201"/>
      <c r="FQJ224" s="1201"/>
      <c r="FQK224" s="1201"/>
      <c r="FQL224" s="1201"/>
      <c r="FQM224" s="1201"/>
      <c r="FQN224" s="1201"/>
      <c r="FQO224" s="1201"/>
      <c r="FQP224" s="1201"/>
      <c r="FQQ224" s="1201"/>
      <c r="FQR224" s="1201"/>
      <c r="FQS224" s="1201"/>
      <c r="FQT224" s="1201"/>
      <c r="FQU224" s="1201"/>
      <c r="FQV224" s="1201"/>
      <c r="FQW224" s="1201"/>
      <c r="FQX224" s="1201"/>
      <c r="FQY224" s="1201"/>
      <c r="FQZ224" s="1201"/>
      <c r="FRA224" s="1201"/>
      <c r="FRB224" s="1201"/>
      <c r="FRC224" s="1201"/>
      <c r="FRD224" s="1201"/>
      <c r="FRE224" s="1201"/>
      <c r="FRF224" s="1201"/>
      <c r="FRG224" s="1201"/>
      <c r="FRH224" s="1201"/>
      <c r="FRI224" s="1201"/>
      <c r="FRJ224" s="1201"/>
      <c r="FRK224" s="1201"/>
      <c r="FRL224" s="1201"/>
      <c r="FRM224" s="1201"/>
      <c r="FRN224" s="1201"/>
      <c r="FRO224" s="1201"/>
      <c r="FRP224" s="1201"/>
      <c r="FRQ224" s="1201"/>
      <c r="FRR224" s="1201"/>
      <c r="FRS224" s="1201"/>
      <c r="FRT224" s="1201"/>
      <c r="FRU224" s="1201"/>
      <c r="FRV224" s="1201"/>
      <c r="FRW224" s="1201"/>
      <c r="FRX224" s="1201"/>
      <c r="FRY224" s="1201"/>
      <c r="FRZ224" s="1201"/>
      <c r="FSA224" s="1201"/>
      <c r="FSB224" s="1201"/>
      <c r="FSC224" s="1201"/>
      <c r="FSD224" s="1201"/>
      <c r="FSE224" s="1201"/>
      <c r="FSF224" s="1201"/>
      <c r="FSG224" s="1201"/>
      <c r="FSH224" s="1201"/>
      <c r="FSI224" s="1201"/>
      <c r="FSJ224" s="1201"/>
      <c r="FSK224" s="1201"/>
      <c r="FSL224" s="1201"/>
      <c r="FSM224" s="1201"/>
      <c r="FSN224" s="1201"/>
      <c r="FSO224" s="1201"/>
      <c r="FSP224" s="1201"/>
      <c r="FSQ224" s="1201"/>
      <c r="FSR224" s="1201"/>
      <c r="FSS224" s="1201"/>
      <c r="FST224" s="1201"/>
      <c r="FSU224" s="1201"/>
      <c r="FSV224" s="1201"/>
      <c r="FSW224" s="1201"/>
      <c r="FSX224" s="1201"/>
      <c r="FSY224" s="1201"/>
      <c r="FSZ224" s="1201"/>
      <c r="FTA224" s="1201"/>
      <c r="FTB224" s="1201"/>
      <c r="FTC224" s="1201"/>
      <c r="FTD224" s="1201"/>
      <c r="FTE224" s="1201"/>
      <c r="FTF224" s="1201"/>
      <c r="FTG224" s="1201"/>
      <c r="FTH224" s="1201"/>
      <c r="FTI224" s="1201"/>
      <c r="FTJ224" s="1201"/>
      <c r="FTK224" s="1201"/>
      <c r="FTL224" s="1201"/>
      <c r="FTM224" s="1201"/>
      <c r="FTN224" s="1201"/>
      <c r="FTO224" s="1201"/>
      <c r="FTP224" s="1201"/>
      <c r="FTQ224" s="1201"/>
      <c r="FTR224" s="1201"/>
      <c r="FTS224" s="1201"/>
      <c r="FTT224" s="1201"/>
      <c r="FTU224" s="1201"/>
      <c r="FTV224" s="1201"/>
      <c r="FTW224" s="1201"/>
      <c r="FTX224" s="1201"/>
      <c r="FTY224" s="1201"/>
      <c r="FTZ224" s="1201"/>
      <c r="FUA224" s="1201"/>
      <c r="FUB224" s="1201"/>
      <c r="FUC224" s="1201"/>
      <c r="FUD224" s="1201"/>
      <c r="FUE224" s="1201"/>
      <c r="FUF224" s="1201"/>
      <c r="FUG224" s="1201"/>
      <c r="FUH224" s="1201"/>
      <c r="FUI224" s="1201"/>
      <c r="FUJ224" s="1201"/>
      <c r="FUK224" s="1201"/>
      <c r="FUL224" s="1201"/>
      <c r="FUM224" s="1201"/>
      <c r="FUN224" s="1201"/>
      <c r="FUO224" s="1201"/>
      <c r="FUP224" s="1201"/>
      <c r="FUQ224" s="1201"/>
      <c r="FUR224" s="1201"/>
      <c r="FUS224" s="1201"/>
      <c r="FUT224" s="1201"/>
      <c r="FUU224" s="1201"/>
      <c r="FUV224" s="1201"/>
      <c r="FUW224" s="1201"/>
      <c r="FUX224" s="1201"/>
      <c r="FUY224" s="1201"/>
      <c r="FUZ224" s="1201"/>
      <c r="FVA224" s="1201"/>
      <c r="FVB224" s="1201"/>
      <c r="FVC224" s="1201"/>
      <c r="FVD224" s="1201"/>
      <c r="FVE224" s="1201"/>
      <c r="FVF224" s="1201"/>
      <c r="FVG224" s="1201"/>
      <c r="FVH224" s="1201"/>
      <c r="FVI224" s="1201"/>
      <c r="FVJ224" s="1201"/>
      <c r="FVK224" s="1201"/>
      <c r="FVL224" s="1201"/>
      <c r="FVM224" s="1201"/>
      <c r="FVN224" s="1201"/>
      <c r="FVO224" s="1201"/>
      <c r="FVP224" s="1201"/>
      <c r="FVQ224" s="1201"/>
      <c r="FVR224" s="1201"/>
      <c r="FVS224" s="1201"/>
      <c r="FVT224" s="1201"/>
      <c r="FVU224" s="1201"/>
      <c r="FVV224" s="1201"/>
      <c r="FVW224" s="1201"/>
      <c r="FVX224" s="1201"/>
      <c r="FVY224" s="1201"/>
      <c r="FVZ224" s="1201"/>
      <c r="FWA224" s="1201"/>
      <c r="FWB224" s="1201"/>
      <c r="FWC224" s="1201"/>
      <c r="FWD224" s="1201"/>
      <c r="FWE224" s="1201"/>
      <c r="FWF224" s="1201"/>
      <c r="FWG224" s="1201"/>
      <c r="FWH224" s="1201"/>
      <c r="FWI224" s="1201"/>
      <c r="FWJ224" s="1201"/>
      <c r="FWK224" s="1201"/>
      <c r="FWL224" s="1201"/>
      <c r="FWM224" s="1201"/>
      <c r="FWN224" s="1201"/>
      <c r="FWO224" s="1201"/>
      <c r="FWP224" s="1201"/>
      <c r="FWQ224" s="1201"/>
      <c r="FWR224" s="1201"/>
      <c r="FWS224" s="1201"/>
      <c r="FWT224" s="1201"/>
      <c r="FWU224" s="1201"/>
      <c r="FWV224" s="1201"/>
      <c r="FWW224" s="1201"/>
      <c r="FWX224" s="1201"/>
      <c r="FWY224" s="1201"/>
      <c r="FWZ224" s="1201"/>
      <c r="FXA224" s="1201"/>
      <c r="FXB224" s="1201"/>
      <c r="FXC224" s="1201"/>
      <c r="FXD224" s="1201"/>
      <c r="FXE224" s="1201"/>
      <c r="FXF224" s="1201"/>
      <c r="FXG224" s="1201"/>
      <c r="FXH224" s="1201"/>
      <c r="FXI224" s="1201"/>
      <c r="FXJ224" s="1201"/>
      <c r="FXK224" s="1201"/>
      <c r="FXL224" s="1201"/>
      <c r="FXM224" s="1201"/>
      <c r="FXN224" s="1201"/>
      <c r="FXO224" s="1201"/>
      <c r="FXP224" s="1201"/>
      <c r="FXQ224" s="1201"/>
      <c r="FXR224" s="1201"/>
      <c r="FXS224" s="1201"/>
      <c r="FXT224" s="1201"/>
      <c r="FXU224" s="1201"/>
      <c r="FXV224" s="1201"/>
      <c r="FXW224" s="1201"/>
      <c r="FXX224" s="1201"/>
      <c r="FXY224" s="1201"/>
      <c r="FXZ224" s="1201"/>
      <c r="FYA224" s="1201"/>
      <c r="FYB224" s="1201"/>
      <c r="FYC224" s="1201"/>
      <c r="FYD224" s="1201"/>
      <c r="FYE224" s="1201"/>
      <c r="FYF224" s="1201"/>
      <c r="FYG224" s="1201"/>
      <c r="FYH224" s="1201"/>
      <c r="FYI224" s="1201"/>
      <c r="FYJ224" s="1201"/>
      <c r="FYK224" s="1201"/>
      <c r="FYL224" s="1201"/>
      <c r="FYM224" s="1201"/>
      <c r="FYN224" s="1201"/>
      <c r="FYO224" s="1201"/>
      <c r="FYP224" s="1201"/>
      <c r="FYQ224" s="1201"/>
      <c r="FYR224" s="1201"/>
      <c r="FYS224" s="1201"/>
      <c r="FYT224" s="1201"/>
      <c r="FYU224" s="1201"/>
      <c r="FYV224" s="1201"/>
      <c r="FYW224" s="1201"/>
      <c r="FYX224" s="1201"/>
      <c r="FYY224" s="1201"/>
      <c r="FYZ224" s="1201"/>
      <c r="FZA224" s="1201"/>
      <c r="FZB224" s="1201"/>
      <c r="FZC224" s="1201"/>
      <c r="FZD224" s="1201"/>
      <c r="FZE224" s="1201"/>
      <c r="FZF224" s="1201"/>
      <c r="FZG224" s="1201"/>
      <c r="FZH224" s="1201"/>
      <c r="FZI224" s="1201"/>
      <c r="FZJ224" s="1201"/>
      <c r="FZK224" s="1201"/>
      <c r="FZL224" s="1201"/>
      <c r="FZM224" s="1201"/>
      <c r="FZN224" s="1201"/>
      <c r="FZO224" s="1201"/>
      <c r="FZP224" s="1201"/>
      <c r="FZQ224" s="1201"/>
      <c r="FZR224" s="1201"/>
      <c r="FZS224" s="1201"/>
      <c r="FZT224" s="1201"/>
      <c r="FZU224" s="1201"/>
      <c r="FZV224" s="1201"/>
      <c r="FZW224" s="1201"/>
      <c r="FZX224" s="1201"/>
      <c r="FZY224" s="1201"/>
      <c r="FZZ224" s="1201"/>
      <c r="GAA224" s="1201"/>
      <c r="GAB224" s="1201"/>
      <c r="GAC224" s="1201"/>
      <c r="GAD224" s="1201"/>
      <c r="GAE224" s="1201"/>
      <c r="GAF224" s="1201"/>
      <c r="GAG224" s="1201"/>
      <c r="GAH224" s="1201"/>
      <c r="GAI224" s="1201"/>
      <c r="GAJ224" s="1201"/>
      <c r="GAK224" s="1201"/>
      <c r="GAL224" s="1201"/>
      <c r="GAM224" s="1201"/>
      <c r="GAN224" s="1201"/>
      <c r="GAO224" s="1201"/>
      <c r="GAP224" s="1201"/>
      <c r="GAQ224" s="1201"/>
      <c r="GAR224" s="1201"/>
      <c r="GAS224" s="1201"/>
      <c r="GAT224" s="1201"/>
      <c r="GAU224" s="1201"/>
      <c r="GAV224" s="1201"/>
      <c r="GAW224" s="1201"/>
      <c r="GAX224" s="1201"/>
      <c r="GAY224" s="1201"/>
      <c r="GAZ224" s="1201"/>
      <c r="GBA224" s="1201"/>
      <c r="GBB224" s="1201"/>
      <c r="GBC224" s="1201"/>
      <c r="GBD224" s="1201"/>
      <c r="GBE224" s="1201"/>
      <c r="GBF224" s="1201"/>
      <c r="GBG224" s="1201"/>
      <c r="GBH224" s="1201"/>
      <c r="GBI224" s="1201"/>
      <c r="GBJ224" s="1201"/>
      <c r="GBK224" s="1201"/>
      <c r="GBL224" s="1201"/>
      <c r="GBM224" s="1201"/>
      <c r="GBN224" s="1201"/>
      <c r="GBO224" s="1201"/>
      <c r="GBP224" s="1201"/>
      <c r="GBQ224" s="1201"/>
      <c r="GBR224" s="1201"/>
      <c r="GBS224" s="1201"/>
      <c r="GBT224" s="1201"/>
      <c r="GBU224" s="1201"/>
      <c r="GBV224" s="1201"/>
      <c r="GBW224" s="1201"/>
      <c r="GBX224" s="1201"/>
      <c r="GBY224" s="1201"/>
      <c r="GBZ224" s="1201"/>
      <c r="GCA224" s="1201"/>
      <c r="GCB224" s="1201"/>
      <c r="GCC224" s="1201"/>
      <c r="GCD224" s="1201"/>
      <c r="GCE224" s="1201"/>
      <c r="GCF224" s="1201"/>
      <c r="GCG224" s="1201"/>
      <c r="GCH224" s="1201"/>
      <c r="GCI224" s="1201"/>
      <c r="GCJ224" s="1201"/>
      <c r="GCK224" s="1201"/>
      <c r="GCL224" s="1201"/>
      <c r="GCM224" s="1201"/>
      <c r="GCN224" s="1201"/>
      <c r="GCO224" s="1201"/>
      <c r="GCP224" s="1201"/>
      <c r="GCQ224" s="1201"/>
      <c r="GCR224" s="1201"/>
      <c r="GCS224" s="1201"/>
      <c r="GCT224" s="1201"/>
      <c r="GCU224" s="1201"/>
      <c r="GCV224" s="1201"/>
      <c r="GCW224" s="1201"/>
      <c r="GCX224" s="1201"/>
      <c r="GCY224" s="1201"/>
      <c r="GCZ224" s="1201"/>
      <c r="GDA224" s="1201"/>
      <c r="GDB224" s="1201"/>
      <c r="GDC224" s="1201"/>
      <c r="GDD224" s="1201"/>
      <c r="GDE224" s="1201"/>
      <c r="GDF224" s="1201"/>
      <c r="GDG224" s="1201"/>
      <c r="GDH224" s="1201"/>
      <c r="GDI224" s="1201"/>
      <c r="GDJ224" s="1201"/>
      <c r="GDK224" s="1201"/>
      <c r="GDL224" s="1201"/>
      <c r="GDM224" s="1201"/>
      <c r="GDN224" s="1201"/>
      <c r="GDO224" s="1201"/>
      <c r="GDP224" s="1201"/>
      <c r="GDQ224" s="1201"/>
      <c r="GDR224" s="1201"/>
      <c r="GDS224" s="1201"/>
      <c r="GDT224" s="1201"/>
      <c r="GDU224" s="1201"/>
      <c r="GDV224" s="1201"/>
      <c r="GDW224" s="1201"/>
      <c r="GDX224" s="1201"/>
      <c r="GDY224" s="1201"/>
      <c r="GDZ224" s="1201"/>
      <c r="GEA224" s="1201"/>
      <c r="GEB224" s="1201"/>
      <c r="GEC224" s="1201"/>
      <c r="GED224" s="1201"/>
      <c r="GEE224" s="1201"/>
      <c r="GEF224" s="1201"/>
      <c r="GEG224" s="1201"/>
      <c r="GEH224" s="1201"/>
      <c r="GEI224" s="1201"/>
      <c r="GEJ224" s="1201"/>
      <c r="GEK224" s="1201"/>
      <c r="GEL224" s="1201"/>
      <c r="GEM224" s="1201"/>
      <c r="GEN224" s="1201"/>
      <c r="GEO224" s="1201"/>
      <c r="GEP224" s="1201"/>
      <c r="GEQ224" s="1201"/>
      <c r="GER224" s="1201"/>
      <c r="GES224" s="1201"/>
      <c r="GET224" s="1201"/>
      <c r="GEU224" s="1201"/>
      <c r="GEV224" s="1201"/>
      <c r="GEW224" s="1201"/>
      <c r="GEX224" s="1201"/>
      <c r="GEY224" s="1201"/>
      <c r="GEZ224" s="1201"/>
      <c r="GFA224" s="1201"/>
      <c r="GFB224" s="1201"/>
      <c r="GFC224" s="1201"/>
      <c r="GFD224" s="1201"/>
      <c r="GFE224" s="1201"/>
      <c r="GFF224" s="1201"/>
      <c r="GFG224" s="1201"/>
      <c r="GFH224" s="1201"/>
      <c r="GFI224" s="1201"/>
      <c r="GFJ224" s="1201"/>
      <c r="GFK224" s="1201"/>
      <c r="GFL224" s="1201"/>
      <c r="GFM224" s="1201"/>
      <c r="GFN224" s="1201"/>
      <c r="GFO224" s="1201"/>
      <c r="GFP224" s="1201"/>
      <c r="GFQ224" s="1201"/>
      <c r="GFR224" s="1201"/>
      <c r="GFS224" s="1201"/>
      <c r="GFT224" s="1201"/>
      <c r="GFU224" s="1201"/>
      <c r="GFV224" s="1201"/>
      <c r="GFW224" s="1201"/>
      <c r="GFX224" s="1201"/>
      <c r="GFY224" s="1201"/>
      <c r="GFZ224" s="1201"/>
      <c r="GGA224" s="1201"/>
      <c r="GGB224" s="1201"/>
      <c r="GGC224" s="1201"/>
      <c r="GGD224" s="1201"/>
      <c r="GGE224" s="1201"/>
      <c r="GGF224" s="1201"/>
      <c r="GGG224" s="1201"/>
      <c r="GGH224" s="1201"/>
      <c r="GGI224" s="1201"/>
      <c r="GGJ224" s="1201"/>
      <c r="GGK224" s="1201"/>
      <c r="GGL224" s="1201"/>
      <c r="GGM224" s="1201"/>
      <c r="GGN224" s="1201"/>
      <c r="GGO224" s="1201"/>
      <c r="GGP224" s="1201"/>
      <c r="GGQ224" s="1201"/>
      <c r="GGR224" s="1201"/>
      <c r="GGS224" s="1201"/>
      <c r="GGT224" s="1201"/>
      <c r="GGU224" s="1201"/>
      <c r="GGV224" s="1201"/>
      <c r="GGW224" s="1201"/>
      <c r="GGX224" s="1201"/>
      <c r="GGY224" s="1201"/>
      <c r="GGZ224" s="1201"/>
      <c r="GHA224" s="1201"/>
      <c r="GHB224" s="1201"/>
      <c r="GHC224" s="1201"/>
      <c r="GHD224" s="1201"/>
      <c r="GHE224" s="1201"/>
      <c r="GHF224" s="1201"/>
      <c r="GHG224" s="1201"/>
      <c r="GHH224" s="1201"/>
      <c r="GHI224" s="1201"/>
      <c r="GHJ224" s="1201"/>
      <c r="GHK224" s="1201"/>
      <c r="GHL224" s="1201"/>
      <c r="GHM224" s="1201"/>
      <c r="GHN224" s="1201"/>
      <c r="GHO224" s="1201"/>
      <c r="GHP224" s="1201"/>
      <c r="GHQ224" s="1201"/>
      <c r="GHR224" s="1201"/>
      <c r="GHS224" s="1201"/>
      <c r="GHT224" s="1201"/>
      <c r="GHU224" s="1201"/>
      <c r="GHV224" s="1201"/>
      <c r="GHW224" s="1201"/>
      <c r="GHX224" s="1201"/>
      <c r="GHY224" s="1201"/>
      <c r="GHZ224" s="1201"/>
      <c r="GIA224" s="1201"/>
      <c r="GIB224" s="1201"/>
      <c r="GIC224" s="1201"/>
      <c r="GID224" s="1201"/>
      <c r="GIE224" s="1201"/>
      <c r="GIF224" s="1201"/>
      <c r="GIG224" s="1201"/>
      <c r="GIH224" s="1201"/>
      <c r="GII224" s="1201"/>
      <c r="GIJ224" s="1201"/>
      <c r="GIK224" s="1201"/>
      <c r="GIL224" s="1201"/>
      <c r="GIM224" s="1201"/>
      <c r="GIN224" s="1201"/>
      <c r="GIO224" s="1201"/>
      <c r="GIP224" s="1201"/>
      <c r="GIQ224" s="1201"/>
      <c r="GIR224" s="1201"/>
      <c r="GIS224" s="1201"/>
      <c r="GIT224" s="1201"/>
      <c r="GIU224" s="1201"/>
      <c r="GIV224" s="1201"/>
      <c r="GIW224" s="1201"/>
      <c r="GIX224" s="1201"/>
      <c r="GIY224" s="1201"/>
      <c r="GIZ224" s="1201"/>
      <c r="GJA224" s="1201"/>
      <c r="GJB224" s="1201"/>
      <c r="GJC224" s="1201"/>
      <c r="GJD224" s="1201"/>
      <c r="GJE224" s="1201"/>
      <c r="GJF224" s="1201"/>
      <c r="GJG224" s="1201"/>
      <c r="GJH224" s="1201"/>
      <c r="GJI224" s="1201"/>
      <c r="GJJ224" s="1201"/>
      <c r="GJK224" s="1201"/>
      <c r="GJL224" s="1201"/>
      <c r="GJM224" s="1201"/>
      <c r="GJN224" s="1201"/>
      <c r="GJO224" s="1201"/>
      <c r="GJP224" s="1201"/>
      <c r="GJQ224" s="1201"/>
      <c r="GJR224" s="1201"/>
      <c r="GJS224" s="1201"/>
      <c r="GJT224" s="1201"/>
      <c r="GJU224" s="1201"/>
      <c r="GJV224" s="1201"/>
      <c r="GJW224" s="1201"/>
      <c r="GJX224" s="1201"/>
      <c r="GJY224" s="1201"/>
      <c r="GJZ224" s="1201"/>
      <c r="GKA224" s="1201"/>
      <c r="GKB224" s="1201"/>
      <c r="GKC224" s="1201"/>
      <c r="GKD224" s="1201"/>
      <c r="GKE224" s="1201"/>
      <c r="GKF224" s="1201"/>
      <c r="GKG224" s="1201"/>
      <c r="GKH224" s="1201"/>
      <c r="GKI224" s="1201"/>
      <c r="GKJ224" s="1201"/>
      <c r="GKK224" s="1201"/>
      <c r="GKL224" s="1201"/>
      <c r="GKM224" s="1201"/>
      <c r="GKN224" s="1201"/>
      <c r="GKO224" s="1201"/>
      <c r="GKP224" s="1201"/>
      <c r="GKQ224" s="1201"/>
      <c r="GKR224" s="1201"/>
      <c r="GKS224" s="1201"/>
      <c r="GKT224" s="1201"/>
      <c r="GKU224" s="1201"/>
      <c r="GKV224" s="1201"/>
      <c r="GKW224" s="1201"/>
      <c r="GKX224" s="1201"/>
      <c r="GKY224" s="1201"/>
      <c r="GKZ224" s="1201"/>
      <c r="GLA224" s="1201"/>
      <c r="GLB224" s="1201"/>
      <c r="GLC224" s="1201"/>
      <c r="GLD224" s="1201"/>
      <c r="GLE224" s="1201"/>
      <c r="GLF224" s="1201"/>
      <c r="GLG224" s="1201"/>
      <c r="GLH224" s="1201"/>
      <c r="GLI224" s="1201"/>
      <c r="GLJ224" s="1201"/>
      <c r="GLK224" s="1201"/>
      <c r="GLL224" s="1201"/>
      <c r="GLM224" s="1201"/>
      <c r="GLN224" s="1201"/>
      <c r="GLO224" s="1201"/>
      <c r="GLP224" s="1201"/>
      <c r="GLQ224" s="1201"/>
      <c r="GLR224" s="1201"/>
      <c r="GLS224" s="1201"/>
      <c r="GLT224" s="1201"/>
      <c r="GLU224" s="1201"/>
      <c r="GLV224" s="1201"/>
      <c r="GLW224" s="1201"/>
      <c r="GLX224" s="1201"/>
      <c r="GLY224" s="1201"/>
      <c r="GLZ224" s="1201"/>
      <c r="GMA224" s="1201"/>
      <c r="GMB224" s="1201"/>
      <c r="GMC224" s="1201"/>
      <c r="GMD224" s="1201"/>
      <c r="GME224" s="1201"/>
      <c r="GMF224" s="1201"/>
      <c r="GMG224" s="1201"/>
      <c r="GMH224" s="1201"/>
      <c r="GMI224" s="1201"/>
      <c r="GMJ224" s="1201"/>
      <c r="GMK224" s="1201"/>
      <c r="GML224" s="1201"/>
      <c r="GMM224" s="1201"/>
      <c r="GMN224" s="1201"/>
      <c r="GMO224" s="1201"/>
      <c r="GMP224" s="1201"/>
      <c r="GMQ224" s="1201"/>
      <c r="GMR224" s="1201"/>
      <c r="GMS224" s="1201"/>
      <c r="GMT224" s="1201"/>
      <c r="GMU224" s="1201"/>
      <c r="GMV224" s="1201"/>
      <c r="GMW224" s="1201"/>
      <c r="GMX224" s="1201"/>
      <c r="GMY224" s="1201"/>
      <c r="GMZ224" s="1201"/>
      <c r="GNA224" s="1201"/>
      <c r="GNB224" s="1201"/>
      <c r="GNC224" s="1201"/>
      <c r="GND224" s="1201"/>
      <c r="GNE224" s="1201"/>
      <c r="GNF224" s="1201"/>
      <c r="GNG224" s="1201"/>
      <c r="GNH224" s="1201"/>
      <c r="GNI224" s="1201"/>
      <c r="GNJ224" s="1201"/>
      <c r="GNK224" s="1201"/>
      <c r="GNL224" s="1201"/>
      <c r="GNM224" s="1201"/>
      <c r="GNN224" s="1201"/>
      <c r="GNO224" s="1201"/>
      <c r="GNP224" s="1201"/>
      <c r="GNQ224" s="1201"/>
      <c r="GNR224" s="1201"/>
      <c r="GNS224" s="1201"/>
      <c r="GNT224" s="1201"/>
      <c r="GNU224" s="1201"/>
      <c r="GNV224" s="1201"/>
      <c r="GNW224" s="1201"/>
      <c r="GNX224" s="1201"/>
      <c r="GNY224" s="1201"/>
      <c r="GNZ224" s="1201"/>
      <c r="GOA224" s="1201"/>
      <c r="GOB224" s="1201"/>
      <c r="GOC224" s="1201"/>
      <c r="GOD224" s="1201"/>
      <c r="GOE224" s="1201"/>
      <c r="GOF224" s="1201"/>
      <c r="GOG224" s="1201"/>
      <c r="GOH224" s="1201"/>
      <c r="GOI224" s="1201"/>
      <c r="GOJ224" s="1201"/>
      <c r="GOK224" s="1201"/>
      <c r="GOL224" s="1201"/>
      <c r="GOM224" s="1201"/>
      <c r="GON224" s="1201"/>
      <c r="GOO224" s="1201"/>
      <c r="GOP224" s="1201"/>
      <c r="GOQ224" s="1201"/>
      <c r="GOR224" s="1201"/>
      <c r="GOS224" s="1201"/>
      <c r="GOT224" s="1201"/>
      <c r="GOU224" s="1201"/>
      <c r="GOV224" s="1201"/>
      <c r="GOW224" s="1201"/>
      <c r="GOX224" s="1201"/>
      <c r="GOY224" s="1201"/>
      <c r="GOZ224" s="1201"/>
      <c r="GPA224" s="1201"/>
      <c r="GPB224" s="1201"/>
      <c r="GPC224" s="1201"/>
      <c r="GPD224" s="1201"/>
      <c r="GPE224" s="1201"/>
      <c r="GPF224" s="1201"/>
      <c r="GPG224" s="1201"/>
      <c r="GPH224" s="1201"/>
      <c r="GPI224" s="1201"/>
      <c r="GPJ224" s="1201"/>
      <c r="GPK224" s="1201"/>
      <c r="GPL224" s="1201"/>
      <c r="GPM224" s="1201"/>
      <c r="GPN224" s="1201"/>
      <c r="GPO224" s="1201"/>
      <c r="GPP224" s="1201"/>
      <c r="GPQ224" s="1201"/>
      <c r="GPR224" s="1201"/>
      <c r="GPS224" s="1201"/>
      <c r="GPT224" s="1201"/>
      <c r="GPU224" s="1201"/>
      <c r="GPV224" s="1201"/>
      <c r="GPW224" s="1201"/>
      <c r="GPX224" s="1201"/>
      <c r="GPY224" s="1201"/>
      <c r="GPZ224" s="1201"/>
      <c r="GQA224" s="1201"/>
      <c r="GQB224" s="1201"/>
      <c r="GQC224" s="1201"/>
      <c r="GQD224" s="1201"/>
      <c r="GQE224" s="1201"/>
      <c r="GQF224" s="1201"/>
      <c r="GQG224" s="1201"/>
      <c r="GQH224" s="1201"/>
      <c r="GQI224" s="1201"/>
      <c r="GQJ224" s="1201"/>
      <c r="GQK224" s="1201"/>
      <c r="GQL224" s="1201"/>
      <c r="GQM224" s="1201"/>
      <c r="GQN224" s="1201"/>
      <c r="GQO224" s="1201"/>
      <c r="GQP224" s="1201"/>
      <c r="GQQ224" s="1201"/>
      <c r="GQR224" s="1201"/>
      <c r="GQS224" s="1201"/>
      <c r="GQT224" s="1201"/>
      <c r="GQU224" s="1201"/>
      <c r="GQV224" s="1201"/>
      <c r="GQW224" s="1201"/>
      <c r="GQX224" s="1201"/>
      <c r="GQY224" s="1201"/>
      <c r="GQZ224" s="1201"/>
      <c r="GRA224" s="1201"/>
      <c r="GRB224" s="1201"/>
      <c r="GRC224" s="1201"/>
      <c r="GRD224" s="1201"/>
      <c r="GRE224" s="1201"/>
      <c r="GRF224" s="1201"/>
      <c r="GRG224" s="1201"/>
      <c r="GRH224" s="1201"/>
      <c r="GRI224" s="1201"/>
      <c r="GRJ224" s="1201"/>
      <c r="GRK224" s="1201"/>
      <c r="GRL224" s="1201"/>
      <c r="GRM224" s="1201"/>
      <c r="GRN224" s="1201"/>
      <c r="GRO224" s="1201"/>
      <c r="GRP224" s="1201"/>
      <c r="GRQ224" s="1201"/>
      <c r="GRR224" s="1201"/>
      <c r="GRS224" s="1201"/>
      <c r="GRT224" s="1201"/>
      <c r="GRU224" s="1201"/>
      <c r="GRV224" s="1201"/>
      <c r="GRW224" s="1201"/>
      <c r="GRX224" s="1201"/>
      <c r="GRY224" s="1201"/>
      <c r="GRZ224" s="1201"/>
      <c r="GSA224" s="1201"/>
      <c r="GSB224" s="1201"/>
      <c r="GSC224" s="1201"/>
      <c r="GSD224" s="1201"/>
      <c r="GSE224" s="1201"/>
      <c r="GSF224" s="1201"/>
      <c r="GSG224" s="1201"/>
      <c r="GSH224" s="1201"/>
      <c r="GSI224" s="1201"/>
      <c r="GSJ224" s="1201"/>
      <c r="GSK224" s="1201"/>
      <c r="GSL224" s="1201"/>
      <c r="GSM224" s="1201"/>
      <c r="GSN224" s="1201"/>
      <c r="GSO224" s="1201"/>
      <c r="GSP224" s="1201"/>
      <c r="GSQ224" s="1201"/>
      <c r="GSR224" s="1201"/>
      <c r="GSS224" s="1201"/>
      <c r="GST224" s="1201"/>
      <c r="GSU224" s="1201"/>
      <c r="GSV224" s="1201"/>
      <c r="GSW224" s="1201"/>
      <c r="GSX224" s="1201"/>
      <c r="GSY224" s="1201"/>
      <c r="GSZ224" s="1201"/>
      <c r="GTA224" s="1201"/>
      <c r="GTB224" s="1201"/>
      <c r="GTC224" s="1201"/>
      <c r="GTD224" s="1201"/>
      <c r="GTE224" s="1201"/>
      <c r="GTF224" s="1201"/>
      <c r="GTG224" s="1201"/>
      <c r="GTH224" s="1201"/>
      <c r="GTI224" s="1201"/>
      <c r="GTJ224" s="1201"/>
      <c r="GTK224" s="1201"/>
      <c r="GTL224" s="1201"/>
      <c r="GTM224" s="1201"/>
      <c r="GTN224" s="1201"/>
      <c r="GTO224" s="1201"/>
      <c r="GTP224" s="1201"/>
      <c r="GTQ224" s="1201"/>
      <c r="GTR224" s="1201"/>
      <c r="GTS224" s="1201"/>
      <c r="GTT224" s="1201"/>
      <c r="GTU224" s="1201"/>
      <c r="GTV224" s="1201"/>
      <c r="GTW224" s="1201"/>
      <c r="GTX224" s="1201"/>
      <c r="GTY224" s="1201"/>
      <c r="GTZ224" s="1201"/>
      <c r="GUA224" s="1201"/>
      <c r="GUB224" s="1201"/>
      <c r="GUC224" s="1201"/>
      <c r="GUD224" s="1201"/>
      <c r="GUE224" s="1201"/>
      <c r="GUF224" s="1201"/>
      <c r="GUG224" s="1201"/>
      <c r="GUH224" s="1201"/>
      <c r="GUI224" s="1201"/>
      <c r="GUJ224" s="1201"/>
      <c r="GUK224" s="1201"/>
      <c r="GUL224" s="1201"/>
      <c r="GUM224" s="1201"/>
      <c r="GUN224" s="1201"/>
      <c r="GUO224" s="1201"/>
      <c r="GUP224" s="1201"/>
      <c r="GUQ224" s="1201"/>
      <c r="GUR224" s="1201"/>
      <c r="GUS224" s="1201"/>
      <c r="GUT224" s="1201"/>
      <c r="GUU224" s="1201"/>
      <c r="GUV224" s="1201"/>
      <c r="GUW224" s="1201"/>
      <c r="GUX224" s="1201"/>
      <c r="GUY224" s="1201"/>
      <c r="GUZ224" s="1201"/>
      <c r="GVA224" s="1201"/>
      <c r="GVB224" s="1201"/>
      <c r="GVC224" s="1201"/>
      <c r="GVD224" s="1201"/>
      <c r="GVE224" s="1201"/>
      <c r="GVF224" s="1201"/>
      <c r="GVG224" s="1201"/>
      <c r="GVH224" s="1201"/>
      <c r="GVI224" s="1201"/>
      <c r="GVJ224" s="1201"/>
      <c r="GVK224" s="1201"/>
      <c r="GVL224" s="1201"/>
      <c r="GVM224" s="1201"/>
      <c r="GVN224" s="1201"/>
      <c r="GVO224" s="1201"/>
      <c r="GVP224" s="1201"/>
      <c r="GVQ224" s="1201"/>
      <c r="GVR224" s="1201"/>
      <c r="GVS224" s="1201"/>
      <c r="GVT224" s="1201"/>
      <c r="GVU224" s="1201"/>
      <c r="GVV224" s="1201"/>
      <c r="GVW224" s="1201"/>
      <c r="GVX224" s="1201"/>
      <c r="GVY224" s="1201"/>
      <c r="GVZ224" s="1201"/>
      <c r="GWA224" s="1201"/>
      <c r="GWB224" s="1201"/>
      <c r="GWC224" s="1201"/>
      <c r="GWD224" s="1201"/>
      <c r="GWE224" s="1201"/>
      <c r="GWF224" s="1201"/>
      <c r="GWG224" s="1201"/>
      <c r="GWH224" s="1201"/>
      <c r="GWI224" s="1201"/>
      <c r="GWJ224" s="1201"/>
      <c r="GWK224" s="1201"/>
      <c r="GWL224" s="1201"/>
      <c r="GWM224" s="1201"/>
      <c r="GWN224" s="1201"/>
      <c r="GWO224" s="1201"/>
      <c r="GWP224" s="1201"/>
      <c r="GWQ224" s="1201"/>
      <c r="GWR224" s="1201"/>
      <c r="GWS224" s="1201"/>
      <c r="GWT224" s="1201"/>
      <c r="GWU224" s="1201"/>
      <c r="GWV224" s="1201"/>
      <c r="GWW224" s="1201"/>
      <c r="GWX224" s="1201"/>
      <c r="GWY224" s="1201"/>
      <c r="GWZ224" s="1201"/>
      <c r="GXA224" s="1201"/>
      <c r="GXB224" s="1201"/>
      <c r="GXC224" s="1201"/>
      <c r="GXD224" s="1201"/>
      <c r="GXE224" s="1201"/>
      <c r="GXF224" s="1201"/>
      <c r="GXG224" s="1201"/>
      <c r="GXH224" s="1201"/>
      <c r="GXI224" s="1201"/>
      <c r="GXJ224" s="1201"/>
      <c r="GXK224" s="1201"/>
      <c r="GXL224" s="1201"/>
      <c r="GXM224" s="1201"/>
      <c r="GXN224" s="1201"/>
      <c r="GXO224" s="1201"/>
      <c r="GXP224" s="1201"/>
      <c r="GXQ224" s="1201"/>
      <c r="GXR224" s="1201"/>
      <c r="GXS224" s="1201"/>
      <c r="GXT224" s="1201"/>
      <c r="GXU224" s="1201"/>
      <c r="GXV224" s="1201"/>
      <c r="GXW224" s="1201"/>
      <c r="GXX224" s="1201"/>
      <c r="GXY224" s="1201"/>
      <c r="GXZ224" s="1201"/>
      <c r="GYA224" s="1201"/>
      <c r="GYB224" s="1201"/>
      <c r="GYC224" s="1201"/>
      <c r="GYD224" s="1201"/>
      <c r="GYE224" s="1201"/>
      <c r="GYF224" s="1201"/>
      <c r="GYG224" s="1201"/>
      <c r="GYH224" s="1201"/>
      <c r="GYI224" s="1201"/>
      <c r="GYJ224" s="1201"/>
      <c r="GYK224" s="1201"/>
      <c r="GYL224" s="1201"/>
      <c r="GYM224" s="1201"/>
      <c r="GYN224" s="1201"/>
      <c r="GYO224" s="1201"/>
      <c r="GYP224" s="1201"/>
      <c r="GYQ224" s="1201"/>
      <c r="GYR224" s="1201"/>
      <c r="GYS224" s="1201"/>
      <c r="GYT224" s="1201"/>
      <c r="GYU224" s="1201"/>
      <c r="GYV224" s="1201"/>
      <c r="GYW224" s="1201"/>
      <c r="GYX224" s="1201"/>
      <c r="GYY224" s="1201"/>
      <c r="GYZ224" s="1201"/>
      <c r="GZA224" s="1201"/>
      <c r="GZB224" s="1201"/>
      <c r="GZC224" s="1201"/>
      <c r="GZD224" s="1201"/>
      <c r="GZE224" s="1201"/>
      <c r="GZF224" s="1201"/>
      <c r="GZG224" s="1201"/>
      <c r="GZH224" s="1201"/>
      <c r="GZI224" s="1201"/>
      <c r="GZJ224" s="1201"/>
      <c r="GZK224" s="1201"/>
      <c r="GZL224" s="1201"/>
      <c r="GZM224" s="1201"/>
      <c r="GZN224" s="1201"/>
      <c r="GZO224" s="1201"/>
      <c r="GZP224" s="1201"/>
      <c r="GZQ224" s="1201"/>
      <c r="GZR224" s="1201"/>
      <c r="GZS224" s="1201"/>
      <c r="GZT224" s="1201"/>
      <c r="GZU224" s="1201"/>
      <c r="GZV224" s="1201"/>
      <c r="GZW224" s="1201"/>
      <c r="GZX224" s="1201"/>
      <c r="GZY224" s="1201"/>
      <c r="GZZ224" s="1201"/>
      <c r="HAA224" s="1201"/>
      <c r="HAB224" s="1201"/>
      <c r="HAC224" s="1201"/>
      <c r="HAD224" s="1201"/>
      <c r="HAE224" s="1201"/>
      <c r="HAF224" s="1201"/>
      <c r="HAG224" s="1201"/>
      <c r="HAH224" s="1201"/>
      <c r="HAI224" s="1201"/>
      <c r="HAJ224" s="1201"/>
      <c r="HAK224" s="1201"/>
      <c r="HAL224" s="1201"/>
      <c r="HAM224" s="1201"/>
      <c r="HAN224" s="1201"/>
      <c r="HAO224" s="1201"/>
      <c r="HAP224" s="1201"/>
      <c r="HAQ224" s="1201"/>
      <c r="HAR224" s="1201"/>
      <c r="HAS224" s="1201"/>
      <c r="HAT224" s="1201"/>
      <c r="HAU224" s="1201"/>
      <c r="HAV224" s="1201"/>
      <c r="HAW224" s="1201"/>
      <c r="HAX224" s="1201"/>
      <c r="HAY224" s="1201"/>
      <c r="HAZ224" s="1201"/>
      <c r="HBA224" s="1201"/>
      <c r="HBB224" s="1201"/>
      <c r="HBC224" s="1201"/>
      <c r="HBD224" s="1201"/>
      <c r="HBE224" s="1201"/>
      <c r="HBF224" s="1201"/>
      <c r="HBG224" s="1201"/>
      <c r="HBH224" s="1201"/>
      <c r="HBI224" s="1201"/>
      <c r="HBJ224" s="1201"/>
      <c r="HBK224" s="1201"/>
      <c r="HBL224" s="1201"/>
      <c r="HBM224" s="1201"/>
      <c r="HBN224" s="1201"/>
      <c r="HBO224" s="1201"/>
      <c r="HBP224" s="1201"/>
      <c r="HBQ224" s="1201"/>
      <c r="HBR224" s="1201"/>
      <c r="HBS224" s="1201"/>
      <c r="HBT224" s="1201"/>
      <c r="HBU224" s="1201"/>
      <c r="HBV224" s="1201"/>
      <c r="HBW224" s="1201"/>
      <c r="HBX224" s="1201"/>
      <c r="HBY224" s="1201"/>
      <c r="HBZ224" s="1201"/>
      <c r="HCA224" s="1201"/>
      <c r="HCB224" s="1201"/>
      <c r="HCC224" s="1201"/>
      <c r="HCD224" s="1201"/>
      <c r="HCE224" s="1201"/>
      <c r="HCF224" s="1201"/>
      <c r="HCG224" s="1201"/>
      <c r="HCH224" s="1201"/>
      <c r="HCI224" s="1201"/>
      <c r="HCJ224" s="1201"/>
      <c r="HCK224" s="1201"/>
      <c r="HCL224" s="1201"/>
      <c r="HCM224" s="1201"/>
      <c r="HCN224" s="1201"/>
      <c r="HCO224" s="1201"/>
      <c r="HCP224" s="1201"/>
      <c r="HCQ224" s="1201"/>
      <c r="HCR224" s="1201"/>
      <c r="HCS224" s="1201"/>
      <c r="HCT224" s="1201"/>
      <c r="HCU224" s="1201"/>
      <c r="HCV224" s="1201"/>
      <c r="HCW224" s="1201"/>
      <c r="HCX224" s="1201"/>
      <c r="HCY224" s="1201"/>
      <c r="HCZ224" s="1201"/>
      <c r="HDA224" s="1201"/>
      <c r="HDB224" s="1201"/>
      <c r="HDC224" s="1201"/>
      <c r="HDD224" s="1201"/>
      <c r="HDE224" s="1201"/>
      <c r="HDF224" s="1201"/>
      <c r="HDG224" s="1201"/>
      <c r="HDH224" s="1201"/>
      <c r="HDI224" s="1201"/>
      <c r="HDJ224" s="1201"/>
      <c r="HDK224" s="1201"/>
      <c r="HDL224" s="1201"/>
      <c r="HDM224" s="1201"/>
      <c r="HDN224" s="1201"/>
      <c r="HDO224" s="1201"/>
      <c r="HDP224" s="1201"/>
      <c r="HDQ224" s="1201"/>
      <c r="HDR224" s="1201"/>
      <c r="HDS224" s="1201"/>
      <c r="HDT224" s="1201"/>
      <c r="HDU224" s="1201"/>
      <c r="HDV224" s="1201"/>
      <c r="HDW224" s="1201"/>
      <c r="HDX224" s="1201"/>
      <c r="HDY224" s="1201"/>
      <c r="HDZ224" s="1201"/>
      <c r="HEA224" s="1201"/>
      <c r="HEB224" s="1201"/>
      <c r="HEC224" s="1201"/>
      <c r="HED224" s="1201"/>
      <c r="HEE224" s="1201"/>
      <c r="HEF224" s="1201"/>
      <c r="HEG224" s="1201"/>
      <c r="HEH224" s="1201"/>
      <c r="HEI224" s="1201"/>
      <c r="HEJ224" s="1201"/>
      <c r="HEK224" s="1201"/>
      <c r="HEL224" s="1201"/>
      <c r="HEM224" s="1201"/>
      <c r="HEN224" s="1201"/>
      <c r="HEO224" s="1201"/>
      <c r="HEP224" s="1201"/>
      <c r="HEQ224" s="1201"/>
      <c r="HER224" s="1201"/>
      <c r="HES224" s="1201"/>
      <c r="HET224" s="1201"/>
      <c r="HEU224" s="1201"/>
      <c r="HEV224" s="1201"/>
      <c r="HEW224" s="1201"/>
      <c r="HEX224" s="1201"/>
      <c r="HEY224" s="1201"/>
      <c r="HEZ224" s="1201"/>
      <c r="HFA224" s="1201"/>
      <c r="HFB224" s="1201"/>
      <c r="HFC224" s="1201"/>
      <c r="HFD224" s="1201"/>
      <c r="HFE224" s="1201"/>
      <c r="HFF224" s="1201"/>
      <c r="HFG224" s="1201"/>
      <c r="HFH224" s="1201"/>
      <c r="HFI224" s="1201"/>
      <c r="HFJ224" s="1201"/>
      <c r="HFK224" s="1201"/>
      <c r="HFL224" s="1201"/>
      <c r="HFM224" s="1201"/>
      <c r="HFN224" s="1201"/>
      <c r="HFO224" s="1201"/>
      <c r="HFP224" s="1201"/>
      <c r="HFQ224" s="1201"/>
      <c r="HFR224" s="1201"/>
      <c r="HFS224" s="1201"/>
      <c r="HFT224" s="1201"/>
      <c r="HFU224" s="1201"/>
      <c r="HFV224" s="1201"/>
      <c r="HFW224" s="1201"/>
      <c r="HFX224" s="1201"/>
      <c r="HFY224" s="1201"/>
      <c r="HFZ224" s="1201"/>
      <c r="HGA224" s="1201"/>
      <c r="HGB224" s="1201"/>
      <c r="HGC224" s="1201"/>
      <c r="HGD224" s="1201"/>
      <c r="HGE224" s="1201"/>
      <c r="HGF224" s="1201"/>
      <c r="HGG224" s="1201"/>
      <c r="HGH224" s="1201"/>
      <c r="HGI224" s="1201"/>
      <c r="HGJ224" s="1201"/>
      <c r="HGK224" s="1201"/>
      <c r="HGL224" s="1201"/>
      <c r="HGM224" s="1201"/>
      <c r="HGN224" s="1201"/>
      <c r="HGO224" s="1201"/>
      <c r="HGP224" s="1201"/>
      <c r="HGQ224" s="1201"/>
      <c r="HGR224" s="1201"/>
      <c r="HGS224" s="1201"/>
      <c r="HGT224" s="1201"/>
      <c r="HGU224" s="1201"/>
      <c r="HGV224" s="1201"/>
      <c r="HGW224" s="1201"/>
      <c r="HGX224" s="1201"/>
      <c r="HGY224" s="1201"/>
      <c r="HGZ224" s="1201"/>
      <c r="HHA224" s="1201"/>
      <c r="HHB224" s="1201"/>
      <c r="HHC224" s="1201"/>
      <c r="HHD224" s="1201"/>
      <c r="HHE224" s="1201"/>
      <c r="HHF224" s="1201"/>
      <c r="HHG224" s="1201"/>
      <c r="HHH224" s="1201"/>
      <c r="HHI224" s="1201"/>
      <c r="HHJ224" s="1201"/>
      <c r="HHK224" s="1201"/>
      <c r="HHL224" s="1201"/>
      <c r="HHM224" s="1201"/>
      <c r="HHN224" s="1201"/>
      <c r="HHO224" s="1201"/>
      <c r="HHP224" s="1201"/>
      <c r="HHQ224" s="1201"/>
      <c r="HHR224" s="1201"/>
      <c r="HHS224" s="1201"/>
      <c r="HHT224" s="1201"/>
      <c r="HHU224" s="1201"/>
      <c r="HHV224" s="1201"/>
      <c r="HHW224" s="1201"/>
      <c r="HHX224" s="1201"/>
      <c r="HHY224" s="1201"/>
      <c r="HHZ224" s="1201"/>
      <c r="HIA224" s="1201"/>
      <c r="HIB224" s="1201"/>
      <c r="HIC224" s="1201"/>
      <c r="HID224" s="1201"/>
      <c r="HIE224" s="1201"/>
      <c r="HIF224" s="1201"/>
      <c r="HIG224" s="1201"/>
      <c r="HIH224" s="1201"/>
      <c r="HII224" s="1201"/>
      <c r="HIJ224" s="1201"/>
      <c r="HIK224" s="1201"/>
      <c r="HIL224" s="1201"/>
      <c r="HIM224" s="1201"/>
      <c r="HIN224" s="1201"/>
      <c r="HIO224" s="1201"/>
      <c r="HIP224" s="1201"/>
      <c r="HIQ224" s="1201"/>
      <c r="HIR224" s="1201"/>
      <c r="HIS224" s="1201"/>
      <c r="HIT224" s="1201"/>
      <c r="HIU224" s="1201"/>
      <c r="HIV224" s="1201"/>
      <c r="HIW224" s="1201"/>
      <c r="HIX224" s="1201"/>
      <c r="HIY224" s="1201"/>
      <c r="HIZ224" s="1201"/>
      <c r="HJA224" s="1201"/>
      <c r="HJB224" s="1201"/>
      <c r="HJC224" s="1201"/>
      <c r="HJD224" s="1201"/>
      <c r="HJE224" s="1201"/>
      <c r="HJF224" s="1201"/>
      <c r="HJG224" s="1201"/>
      <c r="HJH224" s="1201"/>
      <c r="HJI224" s="1201"/>
      <c r="HJJ224" s="1201"/>
      <c r="HJK224" s="1201"/>
      <c r="HJL224" s="1201"/>
      <c r="HJM224" s="1201"/>
      <c r="HJN224" s="1201"/>
      <c r="HJO224" s="1201"/>
      <c r="HJP224" s="1201"/>
      <c r="HJQ224" s="1201"/>
      <c r="HJR224" s="1201"/>
      <c r="HJS224" s="1201"/>
      <c r="HJT224" s="1201"/>
      <c r="HJU224" s="1201"/>
      <c r="HJV224" s="1201"/>
      <c r="HJW224" s="1201"/>
      <c r="HJX224" s="1201"/>
      <c r="HJY224" s="1201"/>
      <c r="HJZ224" s="1201"/>
      <c r="HKA224" s="1201"/>
      <c r="HKB224" s="1201"/>
      <c r="HKC224" s="1201"/>
      <c r="HKD224" s="1201"/>
      <c r="HKE224" s="1201"/>
      <c r="HKF224" s="1201"/>
      <c r="HKG224" s="1201"/>
      <c r="HKH224" s="1201"/>
      <c r="HKI224" s="1201"/>
      <c r="HKJ224" s="1201"/>
      <c r="HKK224" s="1201"/>
      <c r="HKL224" s="1201"/>
      <c r="HKM224" s="1201"/>
      <c r="HKN224" s="1201"/>
      <c r="HKO224" s="1201"/>
      <c r="HKP224" s="1201"/>
      <c r="HKQ224" s="1201"/>
      <c r="HKR224" s="1201"/>
      <c r="HKS224" s="1201"/>
      <c r="HKT224" s="1201"/>
      <c r="HKU224" s="1201"/>
      <c r="HKV224" s="1201"/>
      <c r="HKW224" s="1201"/>
      <c r="HKX224" s="1201"/>
      <c r="HKY224" s="1201"/>
      <c r="HKZ224" s="1201"/>
      <c r="HLA224" s="1201"/>
      <c r="HLB224" s="1201"/>
      <c r="HLC224" s="1201"/>
      <c r="HLD224" s="1201"/>
      <c r="HLE224" s="1201"/>
      <c r="HLF224" s="1201"/>
      <c r="HLG224" s="1201"/>
      <c r="HLH224" s="1201"/>
      <c r="HLI224" s="1201"/>
      <c r="HLJ224" s="1201"/>
      <c r="HLK224" s="1201"/>
      <c r="HLL224" s="1201"/>
      <c r="HLM224" s="1201"/>
      <c r="HLN224" s="1201"/>
      <c r="HLO224" s="1201"/>
      <c r="HLP224" s="1201"/>
      <c r="HLQ224" s="1201"/>
      <c r="HLR224" s="1201"/>
      <c r="HLS224" s="1201"/>
      <c r="HLT224" s="1201"/>
      <c r="HLU224" s="1201"/>
      <c r="HLV224" s="1201"/>
      <c r="HLW224" s="1201"/>
      <c r="HLX224" s="1201"/>
      <c r="HLY224" s="1201"/>
      <c r="HLZ224" s="1201"/>
      <c r="HMA224" s="1201"/>
      <c r="HMB224" s="1201"/>
      <c r="HMC224" s="1201"/>
      <c r="HMD224" s="1201"/>
      <c r="HME224" s="1201"/>
      <c r="HMF224" s="1201"/>
      <c r="HMG224" s="1201"/>
      <c r="HMH224" s="1201"/>
      <c r="HMI224" s="1201"/>
      <c r="HMJ224" s="1201"/>
      <c r="HMK224" s="1201"/>
      <c r="HML224" s="1201"/>
      <c r="HMM224" s="1201"/>
      <c r="HMN224" s="1201"/>
      <c r="HMO224" s="1201"/>
      <c r="HMP224" s="1201"/>
      <c r="HMQ224" s="1201"/>
      <c r="HMR224" s="1201"/>
      <c r="HMS224" s="1201"/>
      <c r="HMT224" s="1201"/>
      <c r="HMU224" s="1201"/>
      <c r="HMV224" s="1201"/>
      <c r="HMW224" s="1201"/>
      <c r="HMX224" s="1201"/>
      <c r="HMY224" s="1201"/>
      <c r="HMZ224" s="1201"/>
      <c r="HNA224" s="1201"/>
      <c r="HNB224" s="1201"/>
      <c r="HNC224" s="1201"/>
      <c r="HND224" s="1201"/>
      <c r="HNE224" s="1201"/>
      <c r="HNF224" s="1201"/>
      <c r="HNG224" s="1201"/>
      <c r="HNH224" s="1201"/>
      <c r="HNI224" s="1201"/>
      <c r="HNJ224" s="1201"/>
      <c r="HNK224" s="1201"/>
      <c r="HNL224" s="1201"/>
      <c r="HNM224" s="1201"/>
      <c r="HNN224" s="1201"/>
      <c r="HNO224" s="1201"/>
      <c r="HNP224" s="1201"/>
      <c r="HNQ224" s="1201"/>
      <c r="HNR224" s="1201"/>
      <c r="HNS224" s="1201"/>
      <c r="HNT224" s="1201"/>
      <c r="HNU224" s="1201"/>
      <c r="HNV224" s="1201"/>
      <c r="HNW224" s="1201"/>
      <c r="HNX224" s="1201"/>
      <c r="HNY224" s="1201"/>
      <c r="HNZ224" s="1201"/>
      <c r="HOA224" s="1201"/>
      <c r="HOB224" s="1201"/>
      <c r="HOC224" s="1201"/>
      <c r="HOD224" s="1201"/>
      <c r="HOE224" s="1201"/>
      <c r="HOF224" s="1201"/>
      <c r="HOG224" s="1201"/>
      <c r="HOH224" s="1201"/>
      <c r="HOI224" s="1201"/>
      <c r="HOJ224" s="1201"/>
      <c r="HOK224" s="1201"/>
      <c r="HOL224" s="1201"/>
      <c r="HOM224" s="1201"/>
      <c r="HON224" s="1201"/>
      <c r="HOO224" s="1201"/>
      <c r="HOP224" s="1201"/>
      <c r="HOQ224" s="1201"/>
      <c r="HOR224" s="1201"/>
      <c r="HOS224" s="1201"/>
      <c r="HOT224" s="1201"/>
      <c r="HOU224" s="1201"/>
      <c r="HOV224" s="1201"/>
      <c r="HOW224" s="1201"/>
      <c r="HOX224" s="1201"/>
      <c r="HOY224" s="1201"/>
      <c r="HOZ224" s="1201"/>
      <c r="HPA224" s="1201"/>
      <c r="HPB224" s="1201"/>
      <c r="HPC224" s="1201"/>
      <c r="HPD224" s="1201"/>
      <c r="HPE224" s="1201"/>
      <c r="HPF224" s="1201"/>
      <c r="HPG224" s="1201"/>
      <c r="HPH224" s="1201"/>
      <c r="HPI224" s="1201"/>
      <c r="HPJ224" s="1201"/>
      <c r="HPK224" s="1201"/>
      <c r="HPL224" s="1201"/>
      <c r="HPM224" s="1201"/>
      <c r="HPN224" s="1201"/>
      <c r="HPO224" s="1201"/>
      <c r="HPP224" s="1201"/>
      <c r="HPQ224" s="1201"/>
      <c r="HPR224" s="1201"/>
      <c r="HPS224" s="1201"/>
      <c r="HPT224" s="1201"/>
      <c r="HPU224" s="1201"/>
      <c r="HPV224" s="1201"/>
      <c r="HPW224" s="1201"/>
      <c r="HPX224" s="1201"/>
      <c r="HPY224" s="1201"/>
      <c r="HPZ224" s="1201"/>
      <c r="HQA224" s="1201"/>
      <c r="HQB224" s="1201"/>
      <c r="HQC224" s="1201"/>
      <c r="HQD224" s="1201"/>
      <c r="HQE224" s="1201"/>
      <c r="HQF224" s="1201"/>
      <c r="HQG224" s="1201"/>
      <c r="HQH224" s="1201"/>
      <c r="HQI224" s="1201"/>
      <c r="HQJ224" s="1201"/>
      <c r="HQK224" s="1201"/>
      <c r="HQL224" s="1201"/>
      <c r="HQM224" s="1201"/>
      <c r="HQN224" s="1201"/>
      <c r="HQO224" s="1201"/>
      <c r="HQP224" s="1201"/>
      <c r="HQQ224" s="1201"/>
      <c r="HQR224" s="1201"/>
      <c r="HQS224" s="1201"/>
      <c r="HQT224" s="1201"/>
      <c r="HQU224" s="1201"/>
      <c r="HQV224" s="1201"/>
      <c r="HQW224" s="1201"/>
      <c r="HQX224" s="1201"/>
      <c r="HQY224" s="1201"/>
      <c r="HQZ224" s="1201"/>
      <c r="HRA224" s="1201"/>
      <c r="HRB224" s="1201"/>
      <c r="HRC224" s="1201"/>
      <c r="HRD224" s="1201"/>
      <c r="HRE224" s="1201"/>
      <c r="HRF224" s="1201"/>
      <c r="HRG224" s="1201"/>
      <c r="HRH224" s="1201"/>
      <c r="HRI224" s="1201"/>
      <c r="HRJ224" s="1201"/>
      <c r="HRK224" s="1201"/>
      <c r="HRL224" s="1201"/>
      <c r="HRM224" s="1201"/>
      <c r="HRN224" s="1201"/>
      <c r="HRO224" s="1201"/>
      <c r="HRP224" s="1201"/>
      <c r="HRQ224" s="1201"/>
      <c r="HRR224" s="1201"/>
      <c r="HRS224" s="1201"/>
      <c r="HRT224" s="1201"/>
      <c r="HRU224" s="1201"/>
      <c r="HRV224" s="1201"/>
      <c r="HRW224" s="1201"/>
      <c r="HRX224" s="1201"/>
      <c r="HRY224" s="1201"/>
      <c r="HRZ224" s="1201"/>
      <c r="HSA224" s="1201"/>
      <c r="HSB224" s="1201"/>
      <c r="HSC224" s="1201"/>
      <c r="HSD224" s="1201"/>
      <c r="HSE224" s="1201"/>
      <c r="HSF224" s="1201"/>
      <c r="HSG224" s="1201"/>
      <c r="HSH224" s="1201"/>
      <c r="HSI224" s="1201"/>
      <c r="HSJ224" s="1201"/>
      <c r="HSK224" s="1201"/>
      <c r="HSL224" s="1201"/>
      <c r="HSM224" s="1201"/>
      <c r="HSN224" s="1201"/>
      <c r="HSO224" s="1201"/>
      <c r="HSP224" s="1201"/>
      <c r="HSQ224" s="1201"/>
      <c r="HSR224" s="1201"/>
      <c r="HSS224" s="1201"/>
      <c r="HST224" s="1201"/>
      <c r="HSU224" s="1201"/>
      <c r="HSV224" s="1201"/>
      <c r="HSW224" s="1201"/>
      <c r="HSX224" s="1201"/>
      <c r="HSY224" s="1201"/>
      <c r="HSZ224" s="1201"/>
      <c r="HTA224" s="1201"/>
      <c r="HTB224" s="1201"/>
      <c r="HTC224" s="1201"/>
      <c r="HTD224" s="1201"/>
      <c r="HTE224" s="1201"/>
      <c r="HTF224" s="1201"/>
      <c r="HTG224" s="1201"/>
      <c r="HTH224" s="1201"/>
      <c r="HTI224" s="1201"/>
      <c r="HTJ224" s="1201"/>
      <c r="HTK224" s="1201"/>
      <c r="HTL224" s="1201"/>
      <c r="HTM224" s="1201"/>
      <c r="HTN224" s="1201"/>
      <c r="HTO224" s="1201"/>
      <c r="HTP224" s="1201"/>
      <c r="HTQ224" s="1201"/>
      <c r="HTR224" s="1201"/>
      <c r="HTS224" s="1201"/>
      <c r="HTT224" s="1201"/>
      <c r="HTU224" s="1201"/>
      <c r="HTV224" s="1201"/>
      <c r="HTW224" s="1201"/>
      <c r="HTX224" s="1201"/>
      <c r="HTY224" s="1201"/>
      <c r="HTZ224" s="1201"/>
      <c r="HUA224" s="1201"/>
      <c r="HUB224" s="1201"/>
      <c r="HUC224" s="1201"/>
      <c r="HUD224" s="1201"/>
      <c r="HUE224" s="1201"/>
      <c r="HUF224" s="1201"/>
      <c r="HUG224" s="1201"/>
      <c r="HUH224" s="1201"/>
      <c r="HUI224" s="1201"/>
      <c r="HUJ224" s="1201"/>
      <c r="HUK224" s="1201"/>
      <c r="HUL224" s="1201"/>
      <c r="HUM224" s="1201"/>
      <c r="HUN224" s="1201"/>
      <c r="HUO224" s="1201"/>
      <c r="HUP224" s="1201"/>
      <c r="HUQ224" s="1201"/>
      <c r="HUR224" s="1201"/>
      <c r="HUS224" s="1201"/>
      <c r="HUT224" s="1201"/>
      <c r="HUU224" s="1201"/>
      <c r="HUV224" s="1201"/>
      <c r="HUW224" s="1201"/>
      <c r="HUX224" s="1201"/>
      <c r="HUY224" s="1201"/>
      <c r="HUZ224" s="1201"/>
      <c r="HVA224" s="1201"/>
      <c r="HVB224" s="1201"/>
      <c r="HVC224" s="1201"/>
      <c r="HVD224" s="1201"/>
      <c r="HVE224" s="1201"/>
      <c r="HVF224" s="1201"/>
      <c r="HVG224" s="1201"/>
      <c r="HVH224" s="1201"/>
      <c r="HVI224" s="1201"/>
      <c r="HVJ224" s="1201"/>
      <c r="HVK224" s="1201"/>
      <c r="HVL224" s="1201"/>
      <c r="HVM224" s="1201"/>
      <c r="HVN224" s="1201"/>
      <c r="HVO224" s="1201"/>
      <c r="HVP224" s="1201"/>
      <c r="HVQ224" s="1201"/>
      <c r="HVR224" s="1201"/>
      <c r="HVS224" s="1201"/>
      <c r="HVT224" s="1201"/>
      <c r="HVU224" s="1201"/>
      <c r="HVV224" s="1201"/>
      <c r="HVW224" s="1201"/>
      <c r="HVX224" s="1201"/>
      <c r="HVY224" s="1201"/>
      <c r="HVZ224" s="1201"/>
      <c r="HWA224" s="1201"/>
      <c r="HWB224" s="1201"/>
      <c r="HWC224" s="1201"/>
      <c r="HWD224" s="1201"/>
      <c r="HWE224" s="1201"/>
      <c r="HWF224" s="1201"/>
      <c r="HWG224" s="1201"/>
      <c r="HWH224" s="1201"/>
      <c r="HWI224" s="1201"/>
      <c r="HWJ224" s="1201"/>
      <c r="HWK224" s="1201"/>
      <c r="HWL224" s="1201"/>
      <c r="HWM224" s="1201"/>
      <c r="HWN224" s="1201"/>
      <c r="HWO224" s="1201"/>
      <c r="HWP224" s="1201"/>
      <c r="HWQ224" s="1201"/>
      <c r="HWR224" s="1201"/>
      <c r="HWS224" s="1201"/>
      <c r="HWT224" s="1201"/>
      <c r="HWU224" s="1201"/>
      <c r="HWV224" s="1201"/>
      <c r="HWW224" s="1201"/>
      <c r="HWX224" s="1201"/>
      <c r="HWY224" s="1201"/>
      <c r="HWZ224" s="1201"/>
      <c r="HXA224" s="1201"/>
      <c r="HXB224" s="1201"/>
      <c r="HXC224" s="1201"/>
      <c r="HXD224" s="1201"/>
      <c r="HXE224" s="1201"/>
      <c r="HXF224" s="1201"/>
      <c r="HXG224" s="1201"/>
      <c r="HXH224" s="1201"/>
      <c r="HXI224" s="1201"/>
      <c r="HXJ224" s="1201"/>
      <c r="HXK224" s="1201"/>
      <c r="HXL224" s="1201"/>
      <c r="HXM224" s="1201"/>
      <c r="HXN224" s="1201"/>
      <c r="HXO224" s="1201"/>
      <c r="HXP224" s="1201"/>
      <c r="HXQ224" s="1201"/>
      <c r="HXR224" s="1201"/>
      <c r="HXS224" s="1201"/>
      <c r="HXT224" s="1201"/>
      <c r="HXU224" s="1201"/>
      <c r="HXV224" s="1201"/>
      <c r="HXW224" s="1201"/>
      <c r="HXX224" s="1201"/>
      <c r="HXY224" s="1201"/>
      <c r="HXZ224" s="1201"/>
      <c r="HYA224" s="1201"/>
      <c r="HYB224" s="1201"/>
      <c r="HYC224" s="1201"/>
      <c r="HYD224" s="1201"/>
      <c r="HYE224" s="1201"/>
      <c r="HYF224" s="1201"/>
      <c r="HYG224" s="1201"/>
      <c r="HYH224" s="1201"/>
      <c r="HYI224" s="1201"/>
      <c r="HYJ224" s="1201"/>
      <c r="HYK224" s="1201"/>
      <c r="HYL224" s="1201"/>
      <c r="HYM224" s="1201"/>
      <c r="HYN224" s="1201"/>
      <c r="HYO224" s="1201"/>
      <c r="HYP224" s="1201"/>
      <c r="HYQ224" s="1201"/>
      <c r="HYR224" s="1201"/>
      <c r="HYS224" s="1201"/>
      <c r="HYT224" s="1201"/>
      <c r="HYU224" s="1201"/>
      <c r="HYV224" s="1201"/>
      <c r="HYW224" s="1201"/>
      <c r="HYX224" s="1201"/>
      <c r="HYY224" s="1201"/>
      <c r="HYZ224" s="1201"/>
      <c r="HZA224" s="1201"/>
      <c r="HZB224" s="1201"/>
      <c r="HZC224" s="1201"/>
      <c r="HZD224" s="1201"/>
      <c r="HZE224" s="1201"/>
      <c r="HZF224" s="1201"/>
      <c r="HZG224" s="1201"/>
      <c r="HZH224" s="1201"/>
      <c r="HZI224" s="1201"/>
      <c r="HZJ224" s="1201"/>
      <c r="HZK224" s="1201"/>
      <c r="HZL224" s="1201"/>
      <c r="HZM224" s="1201"/>
      <c r="HZN224" s="1201"/>
      <c r="HZO224" s="1201"/>
      <c r="HZP224" s="1201"/>
      <c r="HZQ224" s="1201"/>
      <c r="HZR224" s="1201"/>
      <c r="HZS224" s="1201"/>
      <c r="HZT224" s="1201"/>
      <c r="HZU224" s="1201"/>
      <c r="HZV224" s="1201"/>
      <c r="HZW224" s="1201"/>
      <c r="HZX224" s="1201"/>
      <c r="HZY224" s="1201"/>
      <c r="HZZ224" s="1201"/>
      <c r="IAA224" s="1201"/>
      <c r="IAB224" s="1201"/>
      <c r="IAC224" s="1201"/>
      <c r="IAD224" s="1201"/>
      <c r="IAE224" s="1201"/>
      <c r="IAF224" s="1201"/>
      <c r="IAG224" s="1201"/>
      <c r="IAH224" s="1201"/>
      <c r="IAI224" s="1201"/>
      <c r="IAJ224" s="1201"/>
      <c r="IAK224" s="1201"/>
      <c r="IAL224" s="1201"/>
      <c r="IAM224" s="1201"/>
      <c r="IAN224" s="1201"/>
      <c r="IAO224" s="1201"/>
      <c r="IAP224" s="1201"/>
      <c r="IAQ224" s="1201"/>
      <c r="IAR224" s="1201"/>
      <c r="IAS224" s="1201"/>
      <c r="IAT224" s="1201"/>
      <c r="IAU224" s="1201"/>
      <c r="IAV224" s="1201"/>
      <c r="IAW224" s="1201"/>
      <c r="IAX224" s="1201"/>
      <c r="IAY224" s="1201"/>
      <c r="IAZ224" s="1201"/>
      <c r="IBA224" s="1201"/>
      <c r="IBB224" s="1201"/>
      <c r="IBC224" s="1201"/>
      <c r="IBD224" s="1201"/>
      <c r="IBE224" s="1201"/>
      <c r="IBF224" s="1201"/>
      <c r="IBG224" s="1201"/>
      <c r="IBH224" s="1201"/>
      <c r="IBI224" s="1201"/>
      <c r="IBJ224" s="1201"/>
      <c r="IBK224" s="1201"/>
      <c r="IBL224" s="1201"/>
      <c r="IBM224" s="1201"/>
      <c r="IBN224" s="1201"/>
      <c r="IBO224" s="1201"/>
      <c r="IBP224" s="1201"/>
      <c r="IBQ224" s="1201"/>
      <c r="IBR224" s="1201"/>
      <c r="IBS224" s="1201"/>
      <c r="IBT224" s="1201"/>
      <c r="IBU224" s="1201"/>
      <c r="IBV224" s="1201"/>
      <c r="IBW224" s="1201"/>
      <c r="IBX224" s="1201"/>
      <c r="IBY224" s="1201"/>
      <c r="IBZ224" s="1201"/>
      <c r="ICA224" s="1201"/>
      <c r="ICB224" s="1201"/>
      <c r="ICC224" s="1201"/>
      <c r="ICD224" s="1201"/>
      <c r="ICE224" s="1201"/>
      <c r="ICF224" s="1201"/>
      <c r="ICG224" s="1201"/>
      <c r="ICH224" s="1201"/>
      <c r="ICI224" s="1201"/>
      <c r="ICJ224" s="1201"/>
      <c r="ICK224" s="1201"/>
      <c r="ICL224" s="1201"/>
      <c r="ICM224" s="1201"/>
      <c r="ICN224" s="1201"/>
      <c r="ICO224" s="1201"/>
      <c r="ICP224" s="1201"/>
      <c r="ICQ224" s="1201"/>
      <c r="ICR224" s="1201"/>
      <c r="ICS224" s="1201"/>
      <c r="ICT224" s="1201"/>
      <c r="ICU224" s="1201"/>
      <c r="ICV224" s="1201"/>
      <c r="ICW224" s="1201"/>
      <c r="ICX224" s="1201"/>
      <c r="ICY224" s="1201"/>
      <c r="ICZ224" s="1201"/>
      <c r="IDA224" s="1201"/>
      <c r="IDB224" s="1201"/>
      <c r="IDC224" s="1201"/>
      <c r="IDD224" s="1201"/>
      <c r="IDE224" s="1201"/>
      <c r="IDF224" s="1201"/>
      <c r="IDG224" s="1201"/>
      <c r="IDH224" s="1201"/>
      <c r="IDI224" s="1201"/>
      <c r="IDJ224" s="1201"/>
      <c r="IDK224" s="1201"/>
      <c r="IDL224" s="1201"/>
      <c r="IDM224" s="1201"/>
      <c r="IDN224" s="1201"/>
      <c r="IDO224" s="1201"/>
      <c r="IDP224" s="1201"/>
      <c r="IDQ224" s="1201"/>
      <c r="IDR224" s="1201"/>
      <c r="IDS224" s="1201"/>
      <c r="IDT224" s="1201"/>
      <c r="IDU224" s="1201"/>
      <c r="IDV224" s="1201"/>
      <c r="IDW224" s="1201"/>
      <c r="IDX224" s="1201"/>
      <c r="IDY224" s="1201"/>
      <c r="IDZ224" s="1201"/>
      <c r="IEA224" s="1201"/>
      <c r="IEB224" s="1201"/>
      <c r="IEC224" s="1201"/>
      <c r="IED224" s="1201"/>
      <c r="IEE224" s="1201"/>
      <c r="IEF224" s="1201"/>
      <c r="IEG224" s="1201"/>
      <c r="IEH224" s="1201"/>
      <c r="IEI224" s="1201"/>
      <c r="IEJ224" s="1201"/>
      <c r="IEK224" s="1201"/>
      <c r="IEL224" s="1201"/>
      <c r="IEM224" s="1201"/>
      <c r="IEN224" s="1201"/>
      <c r="IEO224" s="1201"/>
      <c r="IEP224" s="1201"/>
      <c r="IEQ224" s="1201"/>
      <c r="IER224" s="1201"/>
      <c r="IES224" s="1201"/>
      <c r="IET224" s="1201"/>
      <c r="IEU224" s="1201"/>
      <c r="IEV224" s="1201"/>
      <c r="IEW224" s="1201"/>
      <c r="IEX224" s="1201"/>
      <c r="IEY224" s="1201"/>
      <c r="IEZ224" s="1201"/>
      <c r="IFA224" s="1201"/>
      <c r="IFB224" s="1201"/>
      <c r="IFC224" s="1201"/>
      <c r="IFD224" s="1201"/>
      <c r="IFE224" s="1201"/>
      <c r="IFF224" s="1201"/>
      <c r="IFG224" s="1201"/>
      <c r="IFH224" s="1201"/>
      <c r="IFI224" s="1201"/>
      <c r="IFJ224" s="1201"/>
      <c r="IFK224" s="1201"/>
      <c r="IFL224" s="1201"/>
      <c r="IFM224" s="1201"/>
      <c r="IFN224" s="1201"/>
      <c r="IFO224" s="1201"/>
      <c r="IFP224" s="1201"/>
      <c r="IFQ224" s="1201"/>
      <c r="IFR224" s="1201"/>
      <c r="IFS224" s="1201"/>
      <c r="IFT224" s="1201"/>
      <c r="IFU224" s="1201"/>
      <c r="IFV224" s="1201"/>
      <c r="IFW224" s="1201"/>
      <c r="IFX224" s="1201"/>
      <c r="IFY224" s="1201"/>
      <c r="IFZ224" s="1201"/>
      <c r="IGA224" s="1201"/>
      <c r="IGB224" s="1201"/>
      <c r="IGC224" s="1201"/>
      <c r="IGD224" s="1201"/>
      <c r="IGE224" s="1201"/>
      <c r="IGF224" s="1201"/>
      <c r="IGG224" s="1201"/>
      <c r="IGH224" s="1201"/>
      <c r="IGI224" s="1201"/>
      <c r="IGJ224" s="1201"/>
      <c r="IGK224" s="1201"/>
      <c r="IGL224" s="1201"/>
      <c r="IGM224" s="1201"/>
      <c r="IGN224" s="1201"/>
      <c r="IGO224" s="1201"/>
      <c r="IGP224" s="1201"/>
      <c r="IGQ224" s="1201"/>
      <c r="IGR224" s="1201"/>
      <c r="IGS224" s="1201"/>
      <c r="IGT224" s="1201"/>
      <c r="IGU224" s="1201"/>
      <c r="IGV224" s="1201"/>
      <c r="IGW224" s="1201"/>
      <c r="IGX224" s="1201"/>
      <c r="IGY224" s="1201"/>
      <c r="IGZ224" s="1201"/>
      <c r="IHA224" s="1201"/>
      <c r="IHB224" s="1201"/>
      <c r="IHC224" s="1201"/>
      <c r="IHD224" s="1201"/>
      <c r="IHE224" s="1201"/>
      <c r="IHF224" s="1201"/>
      <c r="IHG224" s="1201"/>
      <c r="IHH224" s="1201"/>
      <c r="IHI224" s="1201"/>
      <c r="IHJ224" s="1201"/>
      <c r="IHK224" s="1201"/>
      <c r="IHL224" s="1201"/>
      <c r="IHM224" s="1201"/>
      <c r="IHN224" s="1201"/>
      <c r="IHO224" s="1201"/>
      <c r="IHP224" s="1201"/>
      <c r="IHQ224" s="1201"/>
      <c r="IHR224" s="1201"/>
      <c r="IHS224" s="1201"/>
      <c r="IHT224" s="1201"/>
      <c r="IHU224" s="1201"/>
      <c r="IHV224" s="1201"/>
      <c r="IHW224" s="1201"/>
      <c r="IHX224" s="1201"/>
      <c r="IHY224" s="1201"/>
      <c r="IHZ224" s="1201"/>
      <c r="IIA224" s="1201"/>
      <c r="IIB224" s="1201"/>
      <c r="IIC224" s="1201"/>
      <c r="IID224" s="1201"/>
      <c r="IIE224" s="1201"/>
      <c r="IIF224" s="1201"/>
      <c r="IIG224" s="1201"/>
      <c r="IIH224" s="1201"/>
      <c r="III224" s="1201"/>
      <c r="IIJ224" s="1201"/>
      <c r="IIK224" s="1201"/>
      <c r="IIL224" s="1201"/>
      <c r="IIM224" s="1201"/>
      <c r="IIN224" s="1201"/>
      <c r="IIO224" s="1201"/>
      <c r="IIP224" s="1201"/>
      <c r="IIQ224" s="1201"/>
      <c r="IIR224" s="1201"/>
      <c r="IIS224" s="1201"/>
      <c r="IIT224" s="1201"/>
      <c r="IIU224" s="1201"/>
      <c r="IIV224" s="1201"/>
      <c r="IIW224" s="1201"/>
      <c r="IIX224" s="1201"/>
      <c r="IIY224" s="1201"/>
      <c r="IIZ224" s="1201"/>
      <c r="IJA224" s="1201"/>
      <c r="IJB224" s="1201"/>
      <c r="IJC224" s="1201"/>
      <c r="IJD224" s="1201"/>
      <c r="IJE224" s="1201"/>
      <c r="IJF224" s="1201"/>
      <c r="IJG224" s="1201"/>
      <c r="IJH224" s="1201"/>
      <c r="IJI224" s="1201"/>
      <c r="IJJ224" s="1201"/>
      <c r="IJK224" s="1201"/>
      <c r="IJL224" s="1201"/>
      <c r="IJM224" s="1201"/>
      <c r="IJN224" s="1201"/>
      <c r="IJO224" s="1201"/>
      <c r="IJP224" s="1201"/>
      <c r="IJQ224" s="1201"/>
      <c r="IJR224" s="1201"/>
      <c r="IJS224" s="1201"/>
      <c r="IJT224" s="1201"/>
      <c r="IJU224" s="1201"/>
      <c r="IJV224" s="1201"/>
      <c r="IJW224" s="1201"/>
      <c r="IJX224" s="1201"/>
      <c r="IJY224" s="1201"/>
      <c r="IJZ224" s="1201"/>
      <c r="IKA224" s="1201"/>
      <c r="IKB224" s="1201"/>
      <c r="IKC224" s="1201"/>
      <c r="IKD224" s="1201"/>
      <c r="IKE224" s="1201"/>
      <c r="IKF224" s="1201"/>
      <c r="IKG224" s="1201"/>
      <c r="IKH224" s="1201"/>
      <c r="IKI224" s="1201"/>
      <c r="IKJ224" s="1201"/>
      <c r="IKK224" s="1201"/>
      <c r="IKL224" s="1201"/>
      <c r="IKM224" s="1201"/>
      <c r="IKN224" s="1201"/>
      <c r="IKO224" s="1201"/>
      <c r="IKP224" s="1201"/>
      <c r="IKQ224" s="1201"/>
      <c r="IKR224" s="1201"/>
      <c r="IKS224" s="1201"/>
      <c r="IKT224" s="1201"/>
      <c r="IKU224" s="1201"/>
      <c r="IKV224" s="1201"/>
      <c r="IKW224" s="1201"/>
      <c r="IKX224" s="1201"/>
      <c r="IKY224" s="1201"/>
      <c r="IKZ224" s="1201"/>
      <c r="ILA224" s="1201"/>
      <c r="ILB224" s="1201"/>
      <c r="ILC224" s="1201"/>
      <c r="ILD224" s="1201"/>
      <c r="ILE224" s="1201"/>
      <c r="ILF224" s="1201"/>
      <c r="ILG224" s="1201"/>
      <c r="ILH224" s="1201"/>
      <c r="ILI224" s="1201"/>
      <c r="ILJ224" s="1201"/>
      <c r="ILK224" s="1201"/>
      <c r="ILL224" s="1201"/>
      <c r="ILM224" s="1201"/>
      <c r="ILN224" s="1201"/>
      <c r="ILO224" s="1201"/>
      <c r="ILP224" s="1201"/>
      <c r="ILQ224" s="1201"/>
      <c r="ILR224" s="1201"/>
      <c r="ILS224" s="1201"/>
      <c r="ILT224" s="1201"/>
      <c r="ILU224" s="1201"/>
      <c r="ILV224" s="1201"/>
      <c r="ILW224" s="1201"/>
      <c r="ILX224" s="1201"/>
      <c r="ILY224" s="1201"/>
      <c r="ILZ224" s="1201"/>
      <c r="IMA224" s="1201"/>
      <c r="IMB224" s="1201"/>
      <c r="IMC224" s="1201"/>
      <c r="IMD224" s="1201"/>
      <c r="IME224" s="1201"/>
      <c r="IMF224" s="1201"/>
      <c r="IMG224" s="1201"/>
      <c r="IMH224" s="1201"/>
      <c r="IMI224" s="1201"/>
      <c r="IMJ224" s="1201"/>
      <c r="IMK224" s="1201"/>
      <c r="IML224" s="1201"/>
      <c r="IMM224" s="1201"/>
      <c r="IMN224" s="1201"/>
      <c r="IMO224" s="1201"/>
      <c r="IMP224" s="1201"/>
      <c r="IMQ224" s="1201"/>
      <c r="IMR224" s="1201"/>
      <c r="IMS224" s="1201"/>
      <c r="IMT224" s="1201"/>
      <c r="IMU224" s="1201"/>
      <c r="IMV224" s="1201"/>
      <c r="IMW224" s="1201"/>
      <c r="IMX224" s="1201"/>
      <c r="IMY224" s="1201"/>
      <c r="IMZ224" s="1201"/>
      <c r="INA224" s="1201"/>
      <c r="INB224" s="1201"/>
      <c r="INC224" s="1201"/>
      <c r="IND224" s="1201"/>
      <c r="INE224" s="1201"/>
      <c r="INF224" s="1201"/>
      <c r="ING224" s="1201"/>
      <c r="INH224" s="1201"/>
      <c r="INI224" s="1201"/>
      <c r="INJ224" s="1201"/>
      <c r="INK224" s="1201"/>
      <c r="INL224" s="1201"/>
      <c r="INM224" s="1201"/>
      <c r="INN224" s="1201"/>
      <c r="INO224" s="1201"/>
      <c r="INP224" s="1201"/>
      <c r="INQ224" s="1201"/>
      <c r="INR224" s="1201"/>
      <c r="INS224" s="1201"/>
      <c r="INT224" s="1201"/>
      <c r="INU224" s="1201"/>
      <c r="INV224" s="1201"/>
      <c r="INW224" s="1201"/>
      <c r="INX224" s="1201"/>
      <c r="INY224" s="1201"/>
      <c r="INZ224" s="1201"/>
      <c r="IOA224" s="1201"/>
      <c r="IOB224" s="1201"/>
      <c r="IOC224" s="1201"/>
      <c r="IOD224" s="1201"/>
      <c r="IOE224" s="1201"/>
      <c r="IOF224" s="1201"/>
      <c r="IOG224" s="1201"/>
      <c r="IOH224" s="1201"/>
      <c r="IOI224" s="1201"/>
      <c r="IOJ224" s="1201"/>
      <c r="IOK224" s="1201"/>
      <c r="IOL224" s="1201"/>
      <c r="IOM224" s="1201"/>
      <c r="ION224" s="1201"/>
      <c r="IOO224" s="1201"/>
      <c r="IOP224" s="1201"/>
      <c r="IOQ224" s="1201"/>
      <c r="IOR224" s="1201"/>
      <c r="IOS224" s="1201"/>
      <c r="IOT224" s="1201"/>
      <c r="IOU224" s="1201"/>
      <c r="IOV224" s="1201"/>
      <c r="IOW224" s="1201"/>
      <c r="IOX224" s="1201"/>
      <c r="IOY224" s="1201"/>
      <c r="IOZ224" s="1201"/>
      <c r="IPA224" s="1201"/>
      <c r="IPB224" s="1201"/>
      <c r="IPC224" s="1201"/>
      <c r="IPD224" s="1201"/>
      <c r="IPE224" s="1201"/>
      <c r="IPF224" s="1201"/>
      <c r="IPG224" s="1201"/>
      <c r="IPH224" s="1201"/>
      <c r="IPI224" s="1201"/>
      <c r="IPJ224" s="1201"/>
      <c r="IPK224" s="1201"/>
      <c r="IPL224" s="1201"/>
      <c r="IPM224" s="1201"/>
      <c r="IPN224" s="1201"/>
      <c r="IPO224" s="1201"/>
      <c r="IPP224" s="1201"/>
      <c r="IPQ224" s="1201"/>
      <c r="IPR224" s="1201"/>
      <c r="IPS224" s="1201"/>
      <c r="IPT224" s="1201"/>
      <c r="IPU224" s="1201"/>
      <c r="IPV224" s="1201"/>
      <c r="IPW224" s="1201"/>
      <c r="IPX224" s="1201"/>
      <c r="IPY224" s="1201"/>
      <c r="IPZ224" s="1201"/>
      <c r="IQA224" s="1201"/>
      <c r="IQB224" s="1201"/>
      <c r="IQC224" s="1201"/>
      <c r="IQD224" s="1201"/>
      <c r="IQE224" s="1201"/>
      <c r="IQF224" s="1201"/>
      <c r="IQG224" s="1201"/>
      <c r="IQH224" s="1201"/>
      <c r="IQI224" s="1201"/>
      <c r="IQJ224" s="1201"/>
      <c r="IQK224" s="1201"/>
      <c r="IQL224" s="1201"/>
      <c r="IQM224" s="1201"/>
      <c r="IQN224" s="1201"/>
      <c r="IQO224" s="1201"/>
      <c r="IQP224" s="1201"/>
      <c r="IQQ224" s="1201"/>
      <c r="IQR224" s="1201"/>
      <c r="IQS224" s="1201"/>
      <c r="IQT224" s="1201"/>
      <c r="IQU224" s="1201"/>
      <c r="IQV224" s="1201"/>
      <c r="IQW224" s="1201"/>
      <c r="IQX224" s="1201"/>
      <c r="IQY224" s="1201"/>
      <c r="IQZ224" s="1201"/>
      <c r="IRA224" s="1201"/>
      <c r="IRB224" s="1201"/>
      <c r="IRC224" s="1201"/>
      <c r="IRD224" s="1201"/>
      <c r="IRE224" s="1201"/>
      <c r="IRF224" s="1201"/>
      <c r="IRG224" s="1201"/>
      <c r="IRH224" s="1201"/>
      <c r="IRI224" s="1201"/>
      <c r="IRJ224" s="1201"/>
      <c r="IRK224" s="1201"/>
      <c r="IRL224" s="1201"/>
      <c r="IRM224" s="1201"/>
      <c r="IRN224" s="1201"/>
      <c r="IRO224" s="1201"/>
      <c r="IRP224" s="1201"/>
      <c r="IRQ224" s="1201"/>
      <c r="IRR224" s="1201"/>
      <c r="IRS224" s="1201"/>
      <c r="IRT224" s="1201"/>
      <c r="IRU224" s="1201"/>
      <c r="IRV224" s="1201"/>
      <c r="IRW224" s="1201"/>
      <c r="IRX224" s="1201"/>
      <c r="IRY224" s="1201"/>
      <c r="IRZ224" s="1201"/>
      <c r="ISA224" s="1201"/>
      <c r="ISB224" s="1201"/>
      <c r="ISC224" s="1201"/>
      <c r="ISD224" s="1201"/>
      <c r="ISE224" s="1201"/>
      <c r="ISF224" s="1201"/>
      <c r="ISG224" s="1201"/>
      <c r="ISH224" s="1201"/>
      <c r="ISI224" s="1201"/>
      <c r="ISJ224" s="1201"/>
      <c r="ISK224" s="1201"/>
      <c r="ISL224" s="1201"/>
      <c r="ISM224" s="1201"/>
      <c r="ISN224" s="1201"/>
      <c r="ISO224" s="1201"/>
      <c r="ISP224" s="1201"/>
      <c r="ISQ224" s="1201"/>
      <c r="ISR224" s="1201"/>
      <c r="ISS224" s="1201"/>
      <c r="IST224" s="1201"/>
      <c r="ISU224" s="1201"/>
      <c r="ISV224" s="1201"/>
      <c r="ISW224" s="1201"/>
      <c r="ISX224" s="1201"/>
      <c r="ISY224" s="1201"/>
      <c r="ISZ224" s="1201"/>
      <c r="ITA224" s="1201"/>
      <c r="ITB224" s="1201"/>
      <c r="ITC224" s="1201"/>
      <c r="ITD224" s="1201"/>
      <c r="ITE224" s="1201"/>
      <c r="ITF224" s="1201"/>
      <c r="ITG224" s="1201"/>
      <c r="ITH224" s="1201"/>
      <c r="ITI224" s="1201"/>
      <c r="ITJ224" s="1201"/>
      <c r="ITK224" s="1201"/>
      <c r="ITL224" s="1201"/>
      <c r="ITM224" s="1201"/>
      <c r="ITN224" s="1201"/>
      <c r="ITO224" s="1201"/>
      <c r="ITP224" s="1201"/>
      <c r="ITQ224" s="1201"/>
      <c r="ITR224" s="1201"/>
      <c r="ITS224" s="1201"/>
      <c r="ITT224" s="1201"/>
      <c r="ITU224" s="1201"/>
      <c r="ITV224" s="1201"/>
      <c r="ITW224" s="1201"/>
      <c r="ITX224" s="1201"/>
      <c r="ITY224" s="1201"/>
      <c r="ITZ224" s="1201"/>
      <c r="IUA224" s="1201"/>
      <c r="IUB224" s="1201"/>
      <c r="IUC224" s="1201"/>
      <c r="IUD224" s="1201"/>
      <c r="IUE224" s="1201"/>
      <c r="IUF224" s="1201"/>
      <c r="IUG224" s="1201"/>
      <c r="IUH224" s="1201"/>
      <c r="IUI224" s="1201"/>
      <c r="IUJ224" s="1201"/>
      <c r="IUK224" s="1201"/>
      <c r="IUL224" s="1201"/>
      <c r="IUM224" s="1201"/>
      <c r="IUN224" s="1201"/>
      <c r="IUO224" s="1201"/>
      <c r="IUP224" s="1201"/>
      <c r="IUQ224" s="1201"/>
      <c r="IUR224" s="1201"/>
      <c r="IUS224" s="1201"/>
      <c r="IUT224" s="1201"/>
      <c r="IUU224" s="1201"/>
      <c r="IUV224" s="1201"/>
      <c r="IUW224" s="1201"/>
      <c r="IUX224" s="1201"/>
      <c r="IUY224" s="1201"/>
      <c r="IUZ224" s="1201"/>
      <c r="IVA224" s="1201"/>
      <c r="IVB224" s="1201"/>
      <c r="IVC224" s="1201"/>
      <c r="IVD224" s="1201"/>
      <c r="IVE224" s="1201"/>
      <c r="IVF224" s="1201"/>
      <c r="IVG224" s="1201"/>
      <c r="IVH224" s="1201"/>
      <c r="IVI224" s="1201"/>
      <c r="IVJ224" s="1201"/>
      <c r="IVK224" s="1201"/>
      <c r="IVL224" s="1201"/>
      <c r="IVM224" s="1201"/>
      <c r="IVN224" s="1201"/>
      <c r="IVO224" s="1201"/>
      <c r="IVP224" s="1201"/>
      <c r="IVQ224" s="1201"/>
      <c r="IVR224" s="1201"/>
      <c r="IVS224" s="1201"/>
      <c r="IVT224" s="1201"/>
      <c r="IVU224" s="1201"/>
      <c r="IVV224" s="1201"/>
      <c r="IVW224" s="1201"/>
      <c r="IVX224" s="1201"/>
      <c r="IVY224" s="1201"/>
      <c r="IVZ224" s="1201"/>
      <c r="IWA224" s="1201"/>
      <c r="IWB224" s="1201"/>
      <c r="IWC224" s="1201"/>
      <c r="IWD224" s="1201"/>
      <c r="IWE224" s="1201"/>
      <c r="IWF224" s="1201"/>
      <c r="IWG224" s="1201"/>
      <c r="IWH224" s="1201"/>
      <c r="IWI224" s="1201"/>
      <c r="IWJ224" s="1201"/>
      <c r="IWK224" s="1201"/>
      <c r="IWL224" s="1201"/>
      <c r="IWM224" s="1201"/>
      <c r="IWN224" s="1201"/>
      <c r="IWO224" s="1201"/>
      <c r="IWP224" s="1201"/>
      <c r="IWQ224" s="1201"/>
      <c r="IWR224" s="1201"/>
      <c r="IWS224" s="1201"/>
      <c r="IWT224" s="1201"/>
      <c r="IWU224" s="1201"/>
      <c r="IWV224" s="1201"/>
      <c r="IWW224" s="1201"/>
      <c r="IWX224" s="1201"/>
      <c r="IWY224" s="1201"/>
      <c r="IWZ224" s="1201"/>
      <c r="IXA224" s="1201"/>
      <c r="IXB224" s="1201"/>
      <c r="IXC224" s="1201"/>
      <c r="IXD224" s="1201"/>
      <c r="IXE224" s="1201"/>
      <c r="IXF224" s="1201"/>
      <c r="IXG224" s="1201"/>
      <c r="IXH224" s="1201"/>
      <c r="IXI224" s="1201"/>
      <c r="IXJ224" s="1201"/>
      <c r="IXK224" s="1201"/>
      <c r="IXL224" s="1201"/>
      <c r="IXM224" s="1201"/>
      <c r="IXN224" s="1201"/>
      <c r="IXO224" s="1201"/>
      <c r="IXP224" s="1201"/>
      <c r="IXQ224" s="1201"/>
      <c r="IXR224" s="1201"/>
      <c r="IXS224" s="1201"/>
      <c r="IXT224" s="1201"/>
      <c r="IXU224" s="1201"/>
      <c r="IXV224" s="1201"/>
      <c r="IXW224" s="1201"/>
      <c r="IXX224" s="1201"/>
      <c r="IXY224" s="1201"/>
      <c r="IXZ224" s="1201"/>
      <c r="IYA224" s="1201"/>
      <c r="IYB224" s="1201"/>
      <c r="IYC224" s="1201"/>
      <c r="IYD224" s="1201"/>
      <c r="IYE224" s="1201"/>
      <c r="IYF224" s="1201"/>
      <c r="IYG224" s="1201"/>
      <c r="IYH224" s="1201"/>
      <c r="IYI224" s="1201"/>
      <c r="IYJ224" s="1201"/>
      <c r="IYK224" s="1201"/>
      <c r="IYL224" s="1201"/>
      <c r="IYM224" s="1201"/>
      <c r="IYN224" s="1201"/>
      <c r="IYO224" s="1201"/>
      <c r="IYP224" s="1201"/>
      <c r="IYQ224" s="1201"/>
      <c r="IYR224" s="1201"/>
      <c r="IYS224" s="1201"/>
      <c r="IYT224" s="1201"/>
      <c r="IYU224" s="1201"/>
      <c r="IYV224" s="1201"/>
      <c r="IYW224" s="1201"/>
      <c r="IYX224" s="1201"/>
      <c r="IYY224" s="1201"/>
      <c r="IYZ224" s="1201"/>
      <c r="IZA224" s="1201"/>
      <c r="IZB224" s="1201"/>
      <c r="IZC224" s="1201"/>
      <c r="IZD224" s="1201"/>
      <c r="IZE224" s="1201"/>
      <c r="IZF224" s="1201"/>
      <c r="IZG224" s="1201"/>
      <c r="IZH224" s="1201"/>
      <c r="IZI224" s="1201"/>
      <c r="IZJ224" s="1201"/>
      <c r="IZK224" s="1201"/>
      <c r="IZL224" s="1201"/>
      <c r="IZM224" s="1201"/>
      <c r="IZN224" s="1201"/>
      <c r="IZO224" s="1201"/>
      <c r="IZP224" s="1201"/>
      <c r="IZQ224" s="1201"/>
      <c r="IZR224" s="1201"/>
      <c r="IZS224" s="1201"/>
      <c r="IZT224" s="1201"/>
      <c r="IZU224" s="1201"/>
      <c r="IZV224" s="1201"/>
      <c r="IZW224" s="1201"/>
      <c r="IZX224" s="1201"/>
      <c r="IZY224" s="1201"/>
      <c r="IZZ224" s="1201"/>
      <c r="JAA224" s="1201"/>
      <c r="JAB224" s="1201"/>
      <c r="JAC224" s="1201"/>
      <c r="JAD224" s="1201"/>
      <c r="JAE224" s="1201"/>
      <c r="JAF224" s="1201"/>
      <c r="JAG224" s="1201"/>
      <c r="JAH224" s="1201"/>
      <c r="JAI224" s="1201"/>
      <c r="JAJ224" s="1201"/>
      <c r="JAK224" s="1201"/>
      <c r="JAL224" s="1201"/>
      <c r="JAM224" s="1201"/>
      <c r="JAN224" s="1201"/>
      <c r="JAO224" s="1201"/>
      <c r="JAP224" s="1201"/>
      <c r="JAQ224" s="1201"/>
      <c r="JAR224" s="1201"/>
      <c r="JAS224" s="1201"/>
      <c r="JAT224" s="1201"/>
      <c r="JAU224" s="1201"/>
      <c r="JAV224" s="1201"/>
      <c r="JAW224" s="1201"/>
      <c r="JAX224" s="1201"/>
      <c r="JAY224" s="1201"/>
      <c r="JAZ224" s="1201"/>
      <c r="JBA224" s="1201"/>
      <c r="JBB224" s="1201"/>
      <c r="JBC224" s="1201"/>
      <c r="JBD224" s="1201"/>
      <c r="JBE224" s="1201"/>
      <c r="JBF224" s="1201"/>
      <c r="JBG224" s="1201"/>
      <c r="JBH224" s="1201"/>
      <c r="JBI224" s="1201"/>
      <c r="JBJ224" s="1201"/>
      <c r="JBK224" s="1201"/>
      <c r="JBL224" s="1201"/>
      <c r="JBM224" s="1201"/>
      <c r="JBN224" s="1201"/>
      <c r="JBO224" s="1201"/>
      <c r="JBP224" s="1201"/>
      <c r="JBQ224" s="1201"/>
      <c r="JBR224" s="1201"/>
      <c r="JBS224" s="1201"/>
      <c r="JBT224" s="1201"/>
      <c r="JBU224" s="1201"/>
      <c r="JBV224" s="1201"/>
      <c r="JBW224" s="1201"/>
      <c r="JBX224" s="1201"/>
      <c r="JBY224" s="1201"/>
      <c r="JBZ224" s="1201"/>
      <c r="JCA224" s="1201"/>
      <c r="JCB224" s="1201"/>
      <c r="JCC224" s="1201"/>
      <c r="JCD224" s="1201"/>
      <c r="JCE224" s="1201"/>
      <c r="JCF224" s="1201"/>
      <c r="JCG224" s="1201"/>
      <c r="JCH224" s="1201"/>
      <c r="JCI224" s="1201"/>
      <c r="JCJ224" s="1201"/>
      <c r="JCK224" s="1201"/>
      <c r="JCL224" s="1201"/>
      <c r="JCM224" s="1201"/>
      <c r="JCN224" s="1201"/>
      <c r="JCO224" s="1201"/>
      <c r="JCP224" s="1201"/>
      <c r="JCQ224" s="1201"/>
      <c r="JCR224" s="1201"/>
      <c r="JCS224" s="1201"/>
      <c r="JCT224" s="1201"/>
      <c r="JCU224" s="1201"/>
      <c r="JCV224" s="1201"/>
      <c r="JCW224" s="1201"/>
      <c r="JCX224" s="1201"/>
      <c r="JCY224" s="1201"/>
      <c r="JCZ224" s="1201"/>
      <c r="JDA224" s="1201"/>
      <c r="JDB224" s="1201"/>
      <c r="JDC224" s="1201"/>
      <c r="JDD224" s="1201"/>
      <c r="JDE224" s="1201"/>
      <c r="JDF224" s="1201"/>
      <c r="JDG224" s="1201"/>
      <c r="JDH224" s="1201"/>
      <c r="JDI224" s="1201"/>
      <c r="JDJ224" s="1201"/>
      <c r="JDK224" s="1201"/>
      <c r="JDL224" s="1201"/>
      <c r="JDM224" s="1201"/>
      <c r="JDN224" s="1201"/>
      <c r="JDO224" s="1201"/>
      <c r="JDP224" s="1201"/>
      <c r="JDQ224" s="1201"/>
      <c r="JDR224" s="1201"/>
      <c r="JDS224" s="1201"/>
      <c r="JDT224" s="1201"/>
      <c r="JDU224" s="1201"/>
      <c r="JDV224" s="1201"/>
      <c r="JDW224" s="1201"/>
      <c r="JDX224" s="1201"/>
      <c r="JDY224" s="1201"/>
      <c r="JDZ224" s="1201"/>
      <c r="JEA224" s="1201"/>
      <c r="JEB224" s="1201"/>
      <c r="JEC224" s="1201"/>
      <c r="JED224" s="1201"/>
      <c r="JEE224" s="1201"/>
      <c r="JEF224" s="1201"/>
      <c r="JEG224" s="1201"/>
      <c r="JEH224" s="1201"/>
      <c r="JEI224" s="1201"/>
      <c r="JEJ224" s="1201"/>
      <c r="JEK224" s="1201"/>
      <c r="JEL224" s="1201"/>
      <c r="JEM224" s="1201"/>
      <c r="JEN224" s="1201"/>
      <c r="JEO224" s="1201"/>
      <c r="JEP224" s="1201"/>
      <c r="JEQ224" s="1201"/>
      <c r="JER224" s="1201"/>
      <c r="JES224" s="1201"/>
      <c r="JET224" s="1201"/>
      <c r="JEU224" s="1201"/>
      <c r="JEV224" s="1201"/>
      <c r="JEW224" s="1201"/>
      <c r="JEX224" s="1201"/>
      <c r="JEY224" s="1201"/>
      <c r="JEZ224" s="1201"/>
      <c r="JFA224" s="1201"/>
      <c r="JFB224" s="1201"/>
      <c r="JFC224" s="1201"/>
      <c r="JFD224" s="1201"/>
      <c r="JFE224" s="1201"/>
      <c r="JFF224" s="1201"/>
      <c r="JFG224" s="1201"/>
      <c r="JFH224" s="1201"/>
      <c r="JFI224" s="1201"/>
      <c r="JFJ224" s="1201"/>
      <c r="JFK224" s="1201"/>
      <c r="JFL224" s="1201"/>
      <c r="JFM224" s="1201"/>
      <c r="JFN224" s="1201"/>
      <c r="JFO224" s="1201"/>
      <c r="JFP224" s="1201"/>
      <c r="JFQ224" s="1201"/>
      <c r="JFR224" s="1201"/>
      <c r="JFS224" s="1201"/>
      <c r="JFT224" s="1201"/>
      <c r="JFU224" s="1201"/>
      <c r="JFV224" s="1201"/>
      <c r="JFW224" s="1201"/>
      <c r="JFX224" s="1201"/>
      <c r="JFY224" s="1201"/>
      <c r="JFZ224" s="1201"/>
      <c r="JGA224" s="1201"/>
      <c r="JGB224" s="1201"/>
      <c r="JGC224" s="1201"/>
      <c r="JGD224" s="1201"/>
      <c r="JGE224" s="1201"/>
      <c r="JGF224" s="1201"/>
      <c r="JGG224" s="1201"/>
      <c r="JGH224" s="1201"/>
      <c r="JGI224" s="1201"/>
      <c r="JGJ224" s="1201"/>
      <c r="JGK224" s="1201"/>
      <c r="JGL224" s="1201"/>
      <c r="JGM224" s="1201"/>
      <c r="JGN224" s="1201"/>
      <c r="JGO224" s="1201"/>
      <c r="JGP224" s="1201"/>
      <c r="JGQ224" s="1201"/>
      <c r="JGR224" s="1201"/>
      <c r="JGS224" s="1201"/>
      <c r="JGT224" s="1201"/>
      <c r="JGU224" s="1201"/>
      <c r="JGV224" s="1201"/>
      <c r="JGW224" s="1201"/>
      <c r="JGX224" s="1201"/>
      <c r="JGY224" s="1201"/>
      <c r="JGZ224" s="1201"/>
      <c r="JHA224" s="1201"/>
      <c r="JHB224" s="1201"/>
      <c r="JHC224" s="1201"/>
      <c r="JHD224" s="1201"/>
      <c r="JHE224" s="1201"/>
      <c r="JHF224" s="1201"/>
      <c r="JHG224" s="1201"/>
      <c r="JHH224" s="1201"/>
      <c r="JHI224" s="1201"/>
      <c r="JHJ224" s="1201"/>
      <c r="JHK224" s="1201"/>
      <c r="JHL224" s="1201"/>
      <c r="JHM224" s="1201"/>
      <c r="JHN224" s="1201"/>
      <c r="JHO224" s="1201"/>
      <c r="JHP224" s="1201"/>
      <c r="JHQ224" s="1201"/>
      <c r="JHR224" s="1201"/>
      <c r="JHS224" s="1201"/>
      <c r="JHT224" s="1201"/>
      <c r="JHU224" s="1201"/>
      <c r="JHV224" s="1201"/>
      <c r="JHW224" s="1201"/>
      <c r="JHX224" s="1201"/>
      <c r="JHY224" s="1201"/>
      <c r="JHZ224" s="1201"/>
      <c r="JIA224" s="1201"/>
      <c r="JIB224" s="1201"/>
      <c r="JIC224" s="1201"/>
      <c r="JID224" s="1201"/>
      <c r="JIE224" s="1201"/>
      <c r="JIF224" s="1201"/>
      <c r="JIG224" s="1201"/>
      <c r="JIH224" s="1201"/>
      <c r="JII224" s="1201"/>
      <c r="JIJ224" s="1201"/>
      <c r="JIK224" s="1201"/>
      <c r="JIL224" s="1201"/>
      <c r="JIM224" s="1201"/>
      <c r="JIN224" s="1201"/>
      <c r="JIO224" s="1201"/>
      <c r="JIP224" s="1201"/>
      <c r="JIQ224" s="1201"/>
      <c r="JIR224" s="1201"/>
      <c r="JIS224" s="1201"/>
      <c r="JIT224" s="1201"/>
      <c r="JIU224" s="1201"/>
      <c r="JIV224" s="1201"/>
      <c r="JIW224" s="1201"/>
      <c r="JIX224" s="1201"/>
      <c r="JIY224" s="1201"/>
      <c r="JIZ224" s="1201"/>
      <c r="JJA224" s="1201"/>
      <c r="JJB224" s="1201"/>
      <c r="JJC224" s="1201"/>
      <c r="JJD224" s="1201"/>
      <c r="JJE224" s="1201"/>
      <c r="JJF224" s="1201"/>
      <c r="JJG224" s="1201"/>
      <c r="JJH224" s="1201"/>
      <c r="JJI224" s="1201"/>
      <c r="JJJ224" s="1201"/>
      <c r="JJK224" s="1201"/>
      <c r="JJL224" s="1201"/>
      <c r="JJM224" s="1201"/>
      <c r="JJN224" s="1201"/>
      <c r="JJO224" s="1201"/>
      <c r="JJP224" s="1201"/>
      <c r="JJQ224" s="1201"/>
      <c r="JJR224" s="1201"/>
      <c r="JJS224" s="1201"/>
      <c r="JJT224" s="1201"/>
      <c r="JJU224" s="1201"/>
      <c r="JJV224" s="1201"/>
      <c r="JJW224" s="1201"/>
      <c r="JJX224" s="1201"/>
      <c r="JJY224" s="1201"/>
      <c r="JJZ224" s="1201"/>
      <c r="JKA224" s="1201"/>
      <c r="JKB224" s="1201"/>
      <c r="JKC224" s="1201"/>
      <c r="JKD224" s="1201"/>
      <c r="JKE224" s="1201"/>
      <c r="JKF224" s="1201"/>
      <c r="JKG224" s="1201"/>
      <c r="JKH224" s="1201"/>
      <c r="JKI224" s="1201"/>
      <c r="JKJ224" s="1201"/>
      <c r="JKK224" s="1201"/>
      <c r="JKL224" s="1201"/>
      <c r="JKM224" s="1201"/>
      <c r="JKN224" s="1201"/>
      <c r="JKO224" s="1201"/>
      <c r="JKP224" s="1201"/>
      <c r="JKQ224" s="1201"/>
      <c r="JKR224" s="1201"/>
      <c r="JKS224" s="1201"/>
      <c r="JKT224" s="1201"/>
      <c r="JKU224" s="1201"/>
      <c r="JKV224" s="1201"/>
      <c r="JKW224" s="1201"/>
      <c r="JKX224" s="1201"/>
      <c r="JKY224" s="1201"/>
      <c r="JKZ224" s="1201"/>
      <c r="JLA224" s="1201"/>
      <c r="JLB224" s="1201"/>
      <c r="JLC224" s="1201"/>
      <c r="JLD224" s="1201"/>
      <c r="JLE224" s="1201"/>
      <c r="JLF224" s="1201"/>
      <c r="JLG224" s="1201"/>
      <c r="JLH224" s="1201"/>
      <c r="JLI224" s="1201"/>
      <c r="JLJ224" s="1201"/>
      <c r="JLK224" s="1201"/>
      <c r="JLL224" s="1201"/>
      <c r="JLM224" s="1201"/>
      <c r="JLN224" s="1201"/>
      <c r="JLO224" s="1201"/>
      <c r="JLP224" s="1201"/>
      <c r="JLQ224" s="1201"/>
      <c r="JLR224" s="1201"/>
      <c r="JLS224" s="1201"/>
      <c r="JLT224" s="1201"/>
      <c r="JLU224" s="1201"/>
      <c r="JLV224" s="1201"/>
      <c r="JLW224" s="1201"/>
      <c r="JLX224" s="1201"/>
      <c r="JLY224" s="1201"/>
      <c r="JLZ224" s="1201"/>
      <c r="JMA224" s="1201"/>
      <c r="JMB224" s="1201"/>
      <c r="JMC224" s="1201"/>
      <c r="JMD224" s="1201"/>
      <c r="JME224" s="1201"/>
      <c r="JMF224" s="1201"/>
      <c r="JMG224" s="1201"/>
      <c r="JMH224" s="1201"/>
      <c r="JMI224" s="1201"/>
      <c r="JMJ224" s="1201"/>
      <c r="JMK224" s="1201"/>
      <c r="JML224" s="1201"/>
      <c r="JMM224" s="1201"/>
      <c r="JMN224" s="1201"/>
      <c r="JMO224" s="1201"/>
      <c r="JMP224" s="1201"/>
      <c r="JMQ224" s="1201"/>
      <c r="JMR224" s="1201"/>
      <c r="JMS224" s="1201"/>
      <c r="JMT224" s="1201"/>
      <c r="JMU224" s="1201"/>
      <c r="JMV224" s="1201"/>
      <c r="JMW224" s="1201"/>
      <c r="JMX224" s="1201"/>
      <c r="JMY224" s="1201"/>
      <c r="JMZ224" s="1201"/>
      <c r="JNA224" s="1201"/>
      <c r="JNB224" s="1201"/>
      <c r="JNC224" s="1201"/>
      <c r="JND224" s="1201"/>
      <c r="JNE224" s="1201"/>
      <c r="JNF224" s="1201"/>
      <c r="JNG224" s="1201"/>
      <c r="JNH224" s="1201"/>
      <c r="JNI224" s="1201"/>
      <c r="JNJ224" s="1201"/>
      <c r="JNK224" s="1201"/>
      <c r="JNL224" s="1201"/>
      <c r="JNM224" s="1201"/>
      <c r="JNN224" s="1201"/>
      <c r="JNO224" s="1201"/>
      <c r="JNP224" s="1201"/>
      <c r="JNQ224" s="1201"/>
      <c r="JNR224" s="1201"/>
      <c r="JNS224" s="1201"/>
      <c r="JNT224" s="1201"/>
      <c r="JNU224" s="1201"/>
      <c r="JNV224" s="1201"/>
      <c r="JNW224" s="1201"/>
      <c r="JNX224" s="1201"/>
      <c r="JNY224" s="1201"/>
      <c r="JNZ224" s="1201"/>
      <c r="JOA224" s="1201"/>
      <c r="JOB224" s="1201"/>
      <c r="JOC224" s="1201"/>
      <c r="JOD224" s="1201"/>
      <c r="JOE224" s="1201"/>
      <c r="JOF224" s="1201"/>
      <c r="JOG224" s="1201"/>
      <c r="JOH224" s="1201"/>
      <c r="JOI224" s="1201"/>
      <c r="JOJ224" s="1201"/>
      <c r="JOK224" s="1201"/>
      <c r="JOL224" s="1201"/>
      <c r="JOM224" s="1201"/>
      <c r="JON224" s="1201"/>
      <c r="JOO224" s="1201"/>
      <c r="JOP224" s="1201"/>
      <c r="JOQ224" s="1201"/>
      <c r="JOR224" s="1201"/>
      <c r="JOS224" s="1201"/>
      <c r="JOT224" s="1201"/>
      <c r="JOU224" s="1201"/>
      <c r="JOV224" s="1201"/>
      <c r="JOW224" s="1201"/>
      <c r="JOX224" s="1201"/>
      <c r="JOY224" s="1201"/>
      <c r="JOZ224" s="1201"/>
      <c r="JPA224" s="1201"/>
      <c r="JPB224" s="1201"/>
      <c r="JPC224" s="1201"/>
      <c r="JPD224" s="1201"/>
      <c r="JPE224" s="1201"/>
      <c r="JPF224" s="1201"/>
      <c r="JPG224" s="1201"/>
      <c r="JPH224" s="1201"/>
      <c r="JPI224" s="1201"/>
      <c r="JPJ224" s="1201"/>
      <c r="JPK224" s="1201"/>
      <c r="JPL224" s="1201"/>
      <c r="JPM224" s="1201"/>
      <c r="JPN224" s="1201"/>
      <c r="JPO224" s="1201"/>
      <c r="JPP224" s="1201"/>
      <c r="JPQ224" s="1201"/>
      <c r="JPR224" s="1201"/>
      <c r="JPS224" s="1201"/>
      <c r="JPT224" s="1201"/>
      <c r="JPU224" s="1201"/>
      <c r="JPV224" s="1201"/>
      <c r="JPW224" s="1201"/>
      <c r="JPX224" s="1201"/>
      <c r="JPY224" s="1201"/>
      <c r="JPZ224" s="1201"/>
      <c r="JQA224" s="1201"/>
      <c r="JQB224" s="1201"/>
      <c r="JQC224" s="1201"/>
      <c r="JQD224" s="1201"/>
      <c r="JQE224" s="1201"/>
      <c r="JQF224" s="1201"/>
      <c r="JQG224" s="1201"/>
      <c r="JQH224" s="1201"/>
      <c r="JQI224" s="1201"/>
      <c r="JQJ224" s="1201"/>
      <c r="JQK224" s="1201"/>
      <c r="JQL224" s="1201"/>
      <c r="JQM224" s="1201"/>
      <c r="JQN224" s="1201"/>
      <c r="JQO224" s="1201"/>
      <c r="JQP224" s="1201"/>
      <c r="JQQ224" s="1201"/>
      <c r="JQR224" s="1201"/>
      <c r="JQS224" s="1201"/>
      <c r="JQT224" s="1201"/>
      <c r="JQU224" s="1201"/>
      <c r="JQV224" s="1201"/>
      <c r="JQW224" s="1201"/>
      <c r="JQX224" s="1201"/>
      <c r="JQY224" s="1201"/>
      <c r="JQZ224" s="1201"/>
      <c r="JRA224" s="1201"/>
      <c r="JRB224" s="1201"/>
      <c r="JRC224" s="1201"/>
      <c r="JRD224" s="1201"/>
      <c r="JRE224" s="1201"/>
      <c r="JRF224" s="1201"/>
      <c r="JRG224" s="1201"/>
      <c r="JRH224" s="1201"/>
      <c r="JRI224" s="1201"/>
      <c r="JRJ224" s="1201"/>
      <c r="JRK224" s="1201"/>
      <c r="JRL224" s="1201"/>
      <c r="JRM224" s="1201"/>
      <c r="JRN224" s="1201"/>
      <c r="JRO224" s="1201"/>
      <c r="JRP224" s="1201"/>
      <c r="JRQ224" s="1201"/>
      <c r="JRR224" s="1201"/>
      <c r="JRS224" s="1201"/>
      <c r="JRT224" s="1201"/>
      <c r="JRU224" s="1201"/>
      <c r="JRV224" s="1201"/>
      <c r="JRW224" s="1201"/>
      <c r="JRX224" s="1201"/>
      <c r="JRY224" s="1201"/>
      <c r="JRZ224" s="1201"/>
      <c r="JSA224" s="1201"/>
      <c r="JSB224" s="1201"/>
      <c r="JSC224" s="1201"/>
      <c r="JSD224" s="1201"/>
      <c r="JSE224" s="1201"/>
      <c r="JSF224" s="1201"/>
      <c r="JSG224" s="1201"/>
      <c r="JSH224" s="1201"/>
      <c r="JSI224" s="1201"/>
      <c r="JSJ224" s="1201"/>
      <c r="JSK224" s="1201"/>
      <c r="JSL224" s="1201"/>
      <c r="JSM224" s="1201"/>
      <c r="JSN224" s="1201"/>
      <c r="JSO224" s="1201"/>
      <c r="JSP224" s="1201"/>
      <c r="JSQ224" s="1201"/>
      <c r="JSR224" s="1201"/>
      <c r="JSS224" s="1201"/>
      <c r="JST224" s="1201"/>
      <c r="JSU224" s="1201"/>
      <c r="JSV224" s="1201"/>
      <c r="JSW224" s="1201"/>
      <c r="JSX224" s="1201"/>
      <c r="JSY224" s="1201"/>
      <c r="JSZ224" s="1201"/>
      <c r="JTA224" s="1201"/>
      <c r="JTB224" s="1201"/>
      <c r="JTC224" s="1201"/>
      <c r="JTD224" s="1201"/>
      <c r="JTE224" s="1201"/>
      <c r="JTF224" s="1201"/>
      <c r="JTG224" s="1201"/>
      <c r="JTH224" s="1201"/>
      <c r="JTI224" s="1201"/>
      <c r="JTJ224" s="1201"/>
      <c r="JTK224" s="1201"/>
      <c r="JTL224" s="1201"/>
      <c r="JTM224" s="1201"/>
      <c r="JTN224" s="1201"/>
      <c r="JTO224" s="1201"/>
      <c r="JTP224" s="1201"/>
      <c r="JTQ224" s="1201"/>
      <c r="JTR224" s="1201"/>
      <c r="JTS224" s="1201"/>
      <c r="JTT224" s="1201"/>
      <c r="JTU224" s="1201"/>
      <c r="JTV224" s="1201"/>
      <c r="JTW224" s="1201"/>
      <c r="JTX224" s="1201"/>
      <c r="JTY224" s="1201"/>
      <c r="JTZ224" s="1201"/>
      <c r="JUA224" s="1201"/>
      <c r="JUB224" s="1201"/>
      <c r="JUC224" s="1201"/>
      <c r="JUD224" s="1201"/>
      <c r="JUE224" s="1201"/>
      <c r="JUF224" s="1201"/>
      <c r="JUG224" s="1201"/>
      <c r="JUH224" s="1201"/>
      <c r="JUI224" s="1201"/>
      <c r="JUJ224" s="1201"/>
      <c r="JUK224" s="1201"/>
      <c r="JUL224" s="1201"/>
      <c r="JUM224" s="1201"/>
      <c r="JUN224" s="1201"/>
      <c r="JUO224" s="1201"/>
      <c r="JUP224" s="1201"/>
      <c r="JUQ224" s="1201"/>
      <c r="JUR224" s="1201"/>
      <c r="JUS224" s="1201"/>
      <c r="JUT224" s="1201"/>
      <c r="JUU224" s="1201"/>
      <c r="JUV224" s="1201"/>
      <c r="JUW224" s="1201"/>
      <c r="JUX224" s="1201"/>
      <c r="JUY224" s="1201"/>
      <c r="JUZ224" s="1201"/>
      <c r="JVA224" s="1201"/>
      <c r="JVB224" s="1201"/>
      <c r="JVC224" s="1201"/>
      <c r="JVD224" s="1201"/>
      <c r="JVE224" s="1201"/>
      <c r="JVF224" s="1201"/>
      <c r="JVG224" s="1201"/>
      <c r="JVH224" s="1201"/>
      <c r="JVI224" s="1201"/>
      <c r="JVJ224" s="1201"/>
      <c r="JVK224" s="1201"/>
      <c r="JVL224" s="1201"/>
      <c r="JVM224" s="1201"/>
      <c r="JVN224" s="1201"/>
      <c r="JVO224" s="1201"/>
      <c r="JVP224" s="1201"/>
      <c r="JVQ224" s="1201"/>
      <c r="JVR224" s="1201"/>
      <c r="JVS224" s="1201"/>
      <c r="JVT224" s="1201"/>
      <c r="JVU224" s="1201"/>
      <c r="JVV224" s="1201"/>
      <c r="JVW224" s="1201"/>
      <c r="JVX224" s="1201"/>
      <c r="JVY224" s="1201"/>
      <c r="JVZ224" s="1201"/>
      <c r="JWA224" s="1201"/>
      <c r="JWB224" s="1201"/>
      <c r="JWC224" s="1201"/>
      <c r="JWD224" s="1201"/>
      <c r="JWE224" s="1201"/>
      <c r="JWF224" s="1201"/>
      <c r="JWG224" s="1201"/>
      <c r="JWH224" s="1201"/>
      <c r="JWI224" s="1201"/>
      <c r="JWJ224" s="1201"/>
      <c r="JWK224" s="1201"/>
      <c r="JWL224" s="1201"/>
      <c r="JWM224" s="1201"/>
      <c r="JWN224" s="1201"/>
      <c r="JWO224" s="1201"/>
      <c r="JWP224" s="1201"/>
      <c r="JWQ224" s="1201"/>
      <c r="JWR224" s="1201"/>
      <c r="JWS224" s="1201"/>
      <c r="JWT224" s="1201"/>
      <c r="JWU224" s="1201"/>
      <c r="JWV224" s="1201"/>
      <c r="JWW224" s="1201"/>
      <c r="JWX224" s="1201"/>
      <c r="JWY224" s="1201"/>
      <c r="JWZ224" s="1201"/>
      <c r="JXA224" s="1201"/>
      <c r="JXB224" s="1201"/>
      <c r="JXC224" s="1201"/>
      <c r="JXD224" s="1201"/>
      <c r="JXE224" s="1201"/>
      <c r="JXF224" s="1201"/>
      <c r="JXG224" s="1201"/>
      <c r="JXH224" s="1201"/>
      <c r="JXI224" s="1201"/>
      <c r="JXJ224" s="1201"/>
      <c r="JXK224" s="1201"/>
      <c r="JXL224" s="1201"/>
      <c r="JXM224" s="1201"/>
      <c r="JXN224" s="1201"/>
      <c r="JXO224" s="1201"/>
      <c r="JXP224" s="1201"/>
      <c r="JXQ224" s="1201"/>
      <c r="JXR224" s="1201"/>
      <c r="JXS224" s="1201"/>
      <c r="JXT224" s="1201"/>
      <c r="JXU224" s="1201"/>
      <c r="JXV224" s="1201"/>
      <c r="JXW224" s="1201"/>
      <c r="JXX224" s="1201"/>
      <c r="JXY224" s="1201"/>
      <c r="JXZ224" s="1201"/>
      <c r="JYA224" s="1201"/>
      <c r="JYB224" s="1201"/>
      <c r="JYC224" s="1201"/>
      <c r="JYD224" s="1201"/>
      <c r="JYE224" s="1201"/>
      <c r="JYF224" s="1201"/>
      <c r="JYG224" s="1201"/>
      <c r="JYH224" s="1201"/>
      <c r="JYI224" s="1201"/>
      <c r="JYJ224" s="1201"/>
      <c r="JYK224" s="1201"/>
      <c r="JYL224" s="1201"/>
      <c r="JYM224" s="1201"/>
      <c r="JYN224" s="1201"/>
      <c r="JYO224" s="1201"/>
      <c r="JYP224" s="1201"/>
      <c r="JYQ224" s="1201"/>
      <c r="JYR224" s="1201"/>
      <c r="JYS224" s="1201"/>
      <c r="JYT224" s="1201"/>
      <c r="JYU224" s="1201"/>
      <c r="JYV224" s="1201"/>
      <c r="JYW224" s="1201"/>
      <c r="JYX224" s="1201"/>
      <c r="JYY224" s="1201"/>
      <c r="JYZ224" s="1201"/>
      <c r="JZA224" s="1201"/>
      <c r="JZB224" s="1201"/>
      <c r="JZC224" s="1201"/>
      <c r="JZD224" s="1201"/>
      <c r="JZE224" s="1201"/>
      <c r="JZF224" s="1201"/>
      <c r="JZG224" s="1201"/>
      <c r="JZH224" s="1201"/>
      <c r="JZI224" s="1201"/>
      <c r="JZJ224" s="1201"/>
      <c r="JZK224" s="1201"/>
      <c r="JZL224" s="1201"/>
      <c r="JZM224" s="1201"/>
      <c r="JZN224" s="1201"/>
      <c r="JZO224" s="1201"/>
      <c r="JZP224" s="1201"/>
      <c r="JZQ224" s="1201"/>
      <c r="JZR224" s="1201"/>
      <c r="JZS224" s="1201"/>
      <c r="JZT224" s="1201"/>
      <c r="JZU224" s="1201"/>
      <c r="JZV224" s="1201"/>
      <c r="JZW224" s="1201"/>
      <c r="JZX224" s="1201"/>
      <c r="JZY224" s="1201"/>
      <c r="JZZ224" s="1201"/>
      <c r="KAA224" s="1201"/>
      <c r="KAB224" s="1201"/>
      <c r="KAC224" s="1201"/>
      <c r="KAD224" s="1201"/>
      <c r="KAE224" s="1201"/>
      <c r="KAF224" s="1201"/>
      <c r="KAG224" s="1201"/>
      <c r="KAH224" s="1201"/>
      <c r="KAI224" s="1201"/>
      <c r="KAJ224" s="1201"/>
      <c r="KAK224" s="1201"/>
      <c r="KAL224" s="1201"/>
      <c r="KAM224" s="1201"/>
      <c r="KAN224" s="1201"/>
      <c r="KAO224" s="1201"/>
      <c r="KAP224" s="1201"/>
      <c r="KAQ224" s="1201"/>
      <c r="KAR224" s="1201"/>
      <c r="KAS224" s="1201"/>
      <c r="KAT224" s="1201"/>
      <c r="KAU224" s="1201"/>
      <c r="KAV224" s="1201"/>
      <c r="KAW224" s="1201"/>
      <c r="KAX224" s="1201"/>
      <c r="KAY224" s="1201"/>
      <c r="KAZ224" s="1201"/>
      <c r="KBA224" s="1201"/>
      <c r="KBB224" s="1201"/>
      <c r="KBC224" s="1201"/>
      <c r="KBD224" s="1201"/>
      <c r="KBE224" s="1201"/>
      <c r="KBF224" s="1201"/>
      <c r="KBG224" s="1201"/>
      <c r="KBH224" s="1201"/>
      <c r="KBI224" s="1201"/>
      <c r="KBJ224" s="1201"/>
      <c r="KBK224" s="1201"/>
      <c r="KBL224" s="1201"/>
      <c r="KBM224" s="1201"/>
      <c r="KBN224" s="1201"/>
      <c r="KBO224" s="1201"/>
      <c r="KBP224" s="1201"/>
      <c r="KBQ224" s="1201"/>
      <c r="KBR224" s="1201"/>
      <c r="KBS224" s="1201"/>
      <c r="KBT224" s="1201"/>
      <c r="KBU224" s="1201"/>
      <c r="KBV224" s="1201"/>
      <c r="KBW224" s="1201"/>
      <c r="KBX224" s="1201"/>
      <c r="KBY224" s="1201"/>
      <c r="KBZ224" s="1201"/>
      <c r="KCA224" s="1201"/>
      <c r="KCB224" s="1201"/>
      <c r="KCC224" s="1201"/>
      <c r="KCD224" s="1201"/>
      <c r="KCE224" s="1201"/>
      <c r="KCF224" s="1201"/>
      <c r="KCG224" s="1201"/>
      <c r="KCH224" s="1201"/>
      <c r="KCI224" s="1201"/>
      <c r="KCJ224" s="1201"/>
      <c r="KCK224" s="1201"/>
      <c r="KCL224" s="1201"/>
      <c r="KCM224" s="1201"/>
      <c r="KCN224" s="1201"/>
      <c r="KCO224" s="1201"/>
      <c r="KCP224" s="1201"/>
      <c r="KCQ224" s="1201"/>
      <c r="KCR224" s="1201"/>
      <c r="KCS224" s="1201"/>
      <c r="KCT224" s="1201"/>
      <c r="KCU224" s="1201"/>
      <c r="KCV224" s="1201"/>
      <c r="KCW224" s="1201"/>
      <c r="KCX224" s="1201"/>
      <c r="KCY224" s="1201"/>
      <c r="KCZ224" s="1201"/>
      <c r="KDA224" s="1201"/>
      <c r="KDB224" s="1201"/>
      <c r="KDC224" s="1201"/>
      <c r="KDD224" s="1201"/>
      <c r="KDE224" s="1201"/>
      <c r="KDF224" s="1201"/>
      <c r="KDG224" s="1201"/>
      <c r="KDH224" s="1201"/>
      <c r="KDI224" s="1201"/>
      <c r="KDJ224" s="1201"/>
      <c r="KDK224" s="1201"/>
      <c r="KDL224" s="1201"/>
      <c r="KDM224" s="1201"/>
      <c r="KDN224" s="1201"/>
      <c r="KDO224" s="1201"/>
      <c r="KDP224" s="1201"/>
      <c r="KDQ224" s="1201"/>
      <c r="KDR224" s="1201"/>
      <c r="KDS224" s="1201"/>
      <c r="KDT224" s="1201"/>
      <c r="KDU224" s="1201"/>
      <c r="KDV224" s="1201"/>
      <c r="KDW224" s="1201"/>
      <c r="KDX224" s="1201"/>
      <c r="KDY224" s="1201"/>
      <c r="KDZ224" s="1201"/>
      <c r="KEA224" s="1201"/>
      <c r="KEB224" s="1201"/>
      <c r="KEC224" s="1201"/>
      <c r="KED224" s="1201"/>
      <c r="KEE224" s="1201"/>
      <c r="KEF224" s="1201"/>
      <c r="KEG224" s="1201"/>
      <c r="KEH224" s="1201"/>
      <c r="KEI224" s="1201"/>
      <c r="KEJ224" s="1201"/>
      <c r="KEK224" s="1201"/>
      <c r="KEL224" s="1201"/>
      <c r="KEM224" s="1201"/>
      <c r="KEN224" s="1201"/>
      <c r="KEO224" s="1201"/>
      <c r="KEP224" s="1201"/>
      <c r="KEQ224" s="1201"/>
      <c r="KER224" s="1201"/>
      <c r="KES224" s="1201"/>
      <c r="KET224" s="1201"/>
      <c r="KEU224" s="1201"/>
      <c r="KEV224" s="1201"/>
      <c r="KEW224" s="1201"/>
      <c r="KEX224" s="1201"/>
      <c r="KEY224" s="1201"/>
      <c r="KEZ224" s="1201"/>
      <c r="KFA224" s="1201"/>
      <c r="KFB224" s="1201"/>
      <c r="KFC224" s="1201"/>
      <c r="KFD224" s="1201"/>
      <c r="KFE224" s="1201"/>
      <c r="KFF224" s="1201"/>
      <c r="KFG224" s="1201"/>
      <c r="KFH224" s="1201"/>
      <c r="KFI224" s="1201"/>
      <c r="KFJ224" s="1201"/>
      <c r="KFK224" s="1201"/>
      <c r="KFL224" s="1201"/>
      <c r="KFM224" s="1201"/>
      <c r="KFN224" s="1201"/>
      <c r="KFO224" s="1201"/>
      <c r="KFP224" s="1201"/>
      <c r="KFQ224" s="1201"/>
      <c r="KFR224" s="1201"/>
      <c r="KFS224" s="1201"/>
      <c r="KFT224" s="1201"/>
      <c r="KFU224" s="1201"/>
      <c r="KFV224" s="1201"/>
      <c r="KFW224" s="1201"/>
      <c r="KFX224" s="1201"/>
      <c r="KFY224" s="1201"/>
      <c r="KFZ224" s="1201"/>
      <c r="KGA224" s="1201"/>
      <c r="KGB224" s="1201"/>
      <c r="KGC224" s="1201"/>
      <c r="KGD224" s="1201"/>
      <c r="KGE224" s="1201"/>
      <c r="KGF224" s="1201"/>
      <c r="KGG224" s="1201"/>
      <c r="KGH224" s="1201"/>
      <c r="KGI224" s="1201"/>
      <c r="KGJ224" s="1201"/>
      <c r="KGK224" s="1201"/>
      <c r="KGL224" s="1201"/>
      <c r="KGM224" s="1201"/>
      <c r="KGN224" s="1201"/>
      <c r="KGO224" s="1201"/>
      <c r="KGP224" s="1201"/>
      <c r="KGQ224" s="1201"/>
      <c r="KGR224" s="1201"/>
      <c r="KGS224" s="1201"/>
      <c r="KGT224" s="1201"/>
      <c r="KGU224" s="1201"/>
      <c r="KGV224" s="1201"/>
      <c r="KGW224" s="1201"/>
      <c r="KGX224" s="1201"/>
      <c r="KGY224" s="1201"/>
      <c r="KGZ224" s="1201"/>
      <c r="KHA224" s="1201"/>
      <c r="KHB224" s="1201"/>
      <c r="KHC224" s="1201"/>
      <c r="KHD224" s="1201"/>
      <c r="KHE224" s="1201"/>
      <c r="KHF224" s="1201"/>
      <c r="KHG224" s="1201"/>
      <c r="KHH224" s="1201"/>
      <c r="KHI224" s="1201"/>
      <c r="KHJ224" s="1201"/>
      <c r="KHK224" s="1201"/>
      <c r="KHL224" s="1201"/>
      <c r="KHM224" s="1201"/>
      <c r="KHN224" s="1201"/>
      <c r="KHO224" s="1201"/>
      <c r="KHP224" s="1201"/>
      <c r="KHQ224" s="1201"/>
      <c r="KHR224" s="1201"/>
      <c r="KHS224" s="1201"/>
      <c r="KHT224" s="1201"/>
      <c r="KHU224" s="1201"/>
      <c r="KHV224" s="1201"/>
      <c r="KHW224" s="1201"/>
      <c r="KHX224" s="1201"/>
      <c r="KHY224" s="1201"/>
      <c r="KHZ224" s="1201"/>
      <c r="KIA224" s="1201"/>
      <c r="KIB224" s="1201"/>
      <c r="KIC224" s="1201"/>
      <c r="KID224" s="1201"/>
      <c r="KIE224" s="1201"/>
      <c r="KIF224" s="1201"/>
      <c r="KIG224" s="1201"/>
      <c r="KIH224" s="1201"/>
      <c r="KII224" s="1201"/>
      <c r="KIJ224" s="1201"/>
      <c r="KIK224" s="1201"/>
      <c r="KIL224" s="1201"/>
      <c r="KIM224" s="1201"/>
      <c r="KIN224" s="1201"/>
      <c r="KIO224" s="1201"/>
      <c r="KIP224" s="1201"/>
      <c r="KIQ224" s="1201"/>
      <c r="KIR224" s="1201"/>
      <c r="KIS224" s="1201"/>
      <c r="KIT224" s="1201"/>
      <c r="KIU224" s="1201"/>
      <c r="KIV224" s="1201"/>
      <c r="KIW224" s="1201"/>
      <c r="KIX224" s="1201"/>
      <c r="KIY224" s="1201"/>
      <c r="KIZ224" s="1201"/>
      <c r="KJA224" s="1201"/>
      <c r="KJB224" s="1201"/>
      <c r="KJC224" s="1201"/>
      <c r="KJD224" s="1201"/>
      <c r="KJE224" s="1201"/>
      <c r="KJF224" s="1201"/>
      <c r="KJG224" s="1201"/>
      <c r="KJH224" s="1201"/>
      <c r="KJI224" s="1201"/>
      <c r="KJJ224" s="1201"/>
      <c r="KJK224" s="1201"/>
      <c r="KJL224" s="1201"/>
      <c r="KJM224" s="1201"/>
      <c r="KJN224" s="1201"/>
      <c r="KJO224" s="1201"/>
      <c r="KJP224" s="1201"/>
      <c r="KJQ224" s="1201"/>
      <c r="KJR224" s="1201"/>
      <c r="KJS224" s="1201"/>
      <c r="KJT224" s="1201"/>
      <c r="KJU224" s="1201"/>
      <c r="KJV224" s="1201"/>
      <c r="KJW224" s="1201"/>
      <c r="KJX224" s="1201"/>
      <c r="KJY224" s="1201"/>
      <c r="KJZ224" s="1201"/>
      <c r="KKA224" s="1201"/>
      <c r="KKB224" s="1201"/>
      <c r="KKC224" s="1201"/>
      <c r="KKD224" s="1201"/>
      <c r="KKE224" s="1201"/>
      <c r="KKF224" s="1201"/>
      <c r="KKG224" s="1201"/>
      <c r="KKH224" s="1201"/>
      <c r="KKI224" s="1201"/>
      <c r="KKJ224" s="1201"/>
      <c r="KKK224" s="1201"/>
      <c r="KKL224" s="1201"/>
      <c r="KKM224" s="1201"/>
      <c r="KKN224" s="1201"/>
      <c r="KKO224" s="1201"/>
      <c r="KKP224" s="1201"/>
      <c r="KKQ224" s="1201"/>
      <c r="KKR224" s="1201"/>
      <c r="KKS224" s="1201"/>
      <c r="KKT224" s="1201"/>
      <c r="KKU224" s="1201"/>
      <c r="KKV224" s="1201"/>
      <c r="KKW224" s="1201"/>
      <c r="KKX224" s="1201"/>
      <c r="KKY224" s="1201"/>
      <c r="KKZ224" s="1201"/>
      <c r="KLA224" s="1201"/>
      <c r="KLB224" s="1201"/>
      <c r="KLC224" s="1201"/>
      <c r="KLD224" s="1201"/>
      <c r="KLE224" s="1201"/>
      <c r="KLF224" s="1201"/>
      <c r="KLG224" s="1201"/>
      <c r="KLH224" s="1201"/>
      <c r="KLI224" s="1201"/>
      <c r="KLJ224" s="1201"/>
      <c r="KLK224" s="1201"/>
      <c r="KLL224" s="1201"/>
      <c r="KLM224" s="1201"/>
      <c r="KLN224" s="1201"/>
      <c r="KLO224" s="1201"/>
      <c r="KLP224" s="1201"/>
      <c r="KLQ224" s="1201"/>
      <c r="KLR224" s="1201"/>
      <c r="KLS224" s="1201"/>
      <c r="KLT224" s="1201"/>
      <c r="KLU224" s="1201"/>
      <c r="KLV224" s="1201"/>
      <c r="KLW224" s="1201"/>
      <c r="KLX224" s="1201"/>
      <c r="KLY224" s="1201"/>
      <c r="KLZ224" s="1201"/>
      <c r="KMA224" s="1201"/>
      <c r="KMB224" s="1201"/>
      <c r="KMC224" s="1201"/>
      <c r="KMD224" s="1201"/>
      <c r="KME224" s="1201"/>
      <c r="KMF224" s="1201"/>
      <c r="KMG224" s="1201"/>
      <c r="KMH224" s="1201"/>
      <c r="KMI224" s="1201"/>
      <c r="KMJ224" s="1201"/>
      <c r="KMK224" s="1201"/>
      <c r="KML224" s="1201"/>
      <c r="KMM224" s="1201"/>
      <c r="KMN224" s="1201"/>
      <c r="KMO224" s="1201"/>
      <c r="KMP224" s="1201"/>
      <c r="KMQ224" s="1201"/>
      <c r="KMR224" s="1201"/>
      <c r="KMS224" s="1201"/>
      <c r="KMT224" s="1201"/>
      <c r="KMU224" s="1201"/>
      <c r="KMV224" s="1201"/>
      <c r="KMW224" s="1201"/>
      <c r="KMX224" s="1201"/>
      <c r="KMY224" s="1201"/>
      <c r="KMZ224" s="1201"/>
      <c r="KNA224" s="1201"/>
      <c r="KNB224" s="1201"/>
      <c r="KNC224" s="1201"/>
      <c r="KND224" s="1201"/>
      <c r="KNE224" s="1201"/>
      <c r="KNF224" s="1201"/>
      <c r="KNG224" s="1201"/>
      <c r="KNH224" s="1201"/>
      <c r="KNI224" s="1201"/>
      <c r="KNJ224" s="1201"/>
      <c r="KNK224" s="1201"/>
      <c r="KNL224" s="1201"/>
      <c r="KNM224" s="1201"/>
      <c r="KNN224" s="1201"/>
      <c r="KNO224" s="1201"/>
      <c r="KNP224" s="1201"/>
      <c r="KNQ224" s="1201"/>
      <c r="KNR224" s="1201"/>
      <c r="KNS224" s="1201"/>
      <c r="KNT224" s="1201"/>
      <c r="KNU224" s="1201"/>
      <c r="KNV224" s="1201"/>
      <c r="KNW224" s="1201"/>
      <c r="KNX224" s="1201"/>
      <c r="KNY224" s="1201"/>
      <c r="KNZ224" s="1201"/>
      <c r="KOA224" s="1201"/>
      <c r="KOB224" s="1201"/>
      <c r="KOC224" s="1201"/>
      <c r="KOD224" s="1201"/>
      <c r="KOE224" s="1201"/>
      <c r="KOF224" s="1201"/>
      <c r="KOG224" s="1201"/>
      <c r="KOH224" s="1201"/>
      <c r="KOI224" s="1201"/>
      <c r="KOJ224" s="1201"/>
      <c r="KOK224" s="1201"/>
      <c r="KOL224" s="1201"/>
      <c r="KOM224" s="1201"/>
      <c r="KON224" s="1201"/>
      <c r="KOO224" s="1201"/>
      <c r="KOP224" s="1201"/>
      <c r="KOQ224" s="1201"/>
      <c r="KOR224" s="1201"/>
      <c r="KOS224" s="1201"/>
      <c r="KOT224" s="1201"/>
      <c r="KOU224" s="1201"/>
      <c r="KOV224" s="1201"/>
      <c r="KOW224" s="1201"/>
      <c r="KOX224" s="1201"/>
      <c r="KOY224" s="1201"/>
      <c r="KOZ224" s="1201"/>
      <c r="KPA224" s="1201"/>
      <c r="KPB224" s="1201"/>
      <c r="KPC224" s="1201"/>
      <c r="KPD224" s="1201"/>
      <c r="KPE224" s="1201"/>
      <c r="KPF224" s="1201"/>
      <c r="KPG224" s="1201"/>
      <c r="KPH224" s="1201"/>
      <c r="KPI224" s="1201"/>
      <c r="KPJ224" s="1201"/>
      <c r="KPK224" s="1201"/>
      <c r="KPL224" s="1201"/>
      <c r="KPM224" s="1201"/>
      <c r="KPN224" s="1201"/>
      <c r="KPO224" s="1201"/>
      <c r="KPP224" s="1201"/>
      <c r="KPQ224" s="1201"/>
      <c r="KPR224" s="1201"/>
      <c r="KPS224" s="1201"/>
      <c r="KPT224" s="1201"/>
      <c r="KPU224" s="1201"/>
      <c r="KPV224" s="1201"/>
      <c r="KPW224" s="1201"/>
      <c r="KPX224" s="1201"/>
      <c r="KPY224" s="1201"/>
      <c r="KPZ224" s="1201"/>
      <c r="KQA224" s="1201"/>
      <c r="KQB224" s="1201"/>
      <c r="KQC224" s="1201"/>
      <c r="KQD224" s="1201"/>
      <c r="KQE224" s="1201"/>
      <c r="KQF224" s="1201"/>
      <c r="KQG224" s="1201"/>
      <c r="KQH224" s="1201"/>
      <c r="KQI224" s="1201"/>
      <c r="KQJ224" s="1201"/>
      <c r="KQK224" s="1201"/>
      <c r="KQL224" s="1201"/>
      <c r="KQM224" s="1201"/>
      <c r="KQN224" s="1201"/>
      <c r="KQO224" s="1201"/>
      <c r="KQP224" s="1201"/>
      <c r="KQQ224" s="1201"/>
      <c r="KQR224" s="1201"/>
      <c r="KQS224" s="1201"/>
      <c r="KQT224" s="1201"/>
      <c r="KQU224" s="1201"/>
      <c r="KQV224" s="1201"/>
      <c r="KQW224" s="1201"/>
      <c r="KQX224" s="1201"/>
      <c r="KQY224" s="1201"/>
      <c r="KQZ224" s="1201"/>
      <c r="KRA224" s="1201"/>
      <c r="KRB224" s="1201"/>
      <c r="KRC224" s="1201"/>
      <c r="KRD224" s="1201"/>
      <c r="KRE224" s="1201"/>
      <c r="KRF224" s="1201"/>
      <c r="KRG224" s="1201"/>
      <c r="KRH224" s="1201"/>
      <c r="KRI224" s="1201"/>
      <c r="KRJ224" s="1201"/>
      <c r="KRK224" s="1201"/>
      <c r="KRL224" s="1201"/>
      <c r="KRM224" s="1201"/>
      <c r="KRN224" s="1201"/>
      <c r="KRO224" s="1201"/>
      <c r="KRP224" s="1201"/>
      <c r="KRQ224" s="1201"/>
      <c r="KRR224" s="1201"/>
      <c r="KRS224" s="1201"/>
      <c r="KRT224" s="1201"/>
      <c r="KRU224" s="1201"/>
      <c r="KRV224" s="1201"/>
      <c r="KRW224" s="1201"/>
      <c r="KRX224" s="1201"/>
      <c r="KRY224" s="1201"/>
      <c r="KRZ224" s="1201"/>
      <c r="KSA224" s="1201"/>
      <c r="KSB224" s="1201"/>
      <c r="KSC224" s="1201"/>
      <c r="KSD224" s="1201"/>
      <c r="KSE224" s="1201"/>
      <c r="KSF224" s="1201"/>
      <c r="KSG224" s="1201"/>
      <c r="KSH224" s="1201"/>
      <c r="KSI224" s="1201"/>
      <c r="KSJ224" s="1201"/>
      <c r="KSK224" s="1201"/>
      <c r="KSL224" s="1201"/>
      <c r="KSM224" s="1201"/>
      <c r="KSN224" s="1201"/>
      <c r="KSO224" s="1201"/>
      <c r="KSP224" s="1201"/>
      <c r="KSQ224" s="1201"/>
      <c r="KSR224" s="1201"/>
      <c r="KSS224" s="1201"/>
      <c r="KST224" s="1201"/>
      <c r="KSU224" s="1201"/>
      <c r="KSV224" s="1201"/>
      <c r="KSW224" s="1201"/>
      <c r="KSX224" s="1201"/>
      <c r="KSY224" s="1201"/>
      <c r="KSZ224" s="1201"/>
      <c r="KTA224" s="1201"/>
      <c r="KTB224" s="1201"/>
      <c r="KTC224" s="1201"/>
      <c r="KTD224" s="1201"/>
      <c r="KTE224" s="1201"/>
      <c r="KTF224" s="1201"/>
      <c r="KTG224" s="1201"/>
      <c r="KTH224" s="1201"/>
      <c r="KTI224" s="1201"/>
      <c r="KTJ224" s="1201"/>
      <c r="KTK224" s="1201"/>
      <c r="KTL224" s="1201"/>
      <c r="KTM224" s="1201"/>
      <c r="KTN224" s="1201"/>
      <c r="KTO224" s="1201"/>
      <c r="KTP224" s="1201"/>
      <c r="KTQ224" s="1201"/>
      <c r="KTR224" s="1201"/>
      <c r="KTS224" s="1201"/>
      <c r="KTT224" s="1201"/>
      <c r="KTU224" s="1201"/>
      <c r="KTV224" s="1201"/>
      <c r="KTW224" s="1201"/>
      <c r="KTX224" s="1201"/>
      <c r="KTY224" s="1201"/>
      <c r="KTZ224" s="1201"/>
      <c r="KUA224" s="1201"/>
      <c r="KUB224" s="1201"/>
      <c r="KUC224" s="1201"/>
      <c r="KUD224" s="1201"/>
      <c r="KUE224" s="1201"/>
      <c r="KUF224" s="1201"/>
      <c r="KUG224" s="1201"/>
      <c r="KUH224" s="1201"/>
      <c r="KUI224" s="1201"/>
      <c r="KUJ224" s="1201"/>
      <c r="KUK224" s="1201"/>
      <c r="KUL224" s="1201"/>
      <c r="KUM224" s="1201"/>
      <c r="KUN224" s="1201"/>
      <c r="KUO224" s="1201"/>
      <c r="KUP224" s="1201"/>
      <c r="KUQ224" s="1201"/>
      <c r="KUR224" s="1201"/>
      <c r="KUS224" s="1201"/>
      <c r="KUT224" s="1201"/>
      <c r="KUU224" s="1201"/>
      <c r="KUV224" s="1201"/>
      <c r="KUW224" s="1201"/>
      <c r="KUX224" s="1201"/>
      <c r="KUY224" s="1201"/>
      <c r="KUZ224" s="1201"/>
      <c r="KVA224" s="1201"/>
      <c r="KVB224" s="1201"/>
      <c r="KVC224" s="1201"/>
      <c r="KVD224" s="1201"/>
      <c r="KVE224" s="1201"/>
      <c r="KVF224" s="1201"/>
      <c r="KVG224" s="1201"/>
      <c r="KVH224" s="1201"/>
      <c r="KVI224" s="1201"/>
      <c r="KVJ224" s="1201"/>
      <c r="KVK224" s="1201"/>
      <c r="KVL224" s="1201"/>
      <c r="KVM224" s="1201"/>
      <c r="KVN224" s="1201"/>
      <c r="KVO224" s="1201"/>
      <c r="KVP224" s="1201"/>
      <c r="KVQ224" s="1201"/>
      <c r="KVR224" s="1201"/>
      <c r="KVS224" s="1201"/>
      <c r="KVT224" s="1201"/>
      <c r="KVU224" s="1201"/>
      <c r="KVV224" s="1201"/>
      <c r="KVW224" s="1201"/>
      <c r="KVX224" s="1201"/>
      <c r="KVY224" s="1201"/>
      <c r="KVZ224" s="1201"/>
      <c r="KWA224" s="1201"/>
      <c r="KWB224" s="1201"/>
      <c r="KWC224" s="1201"/>
      <c r="KWD224" s="1201"/>
      <c r="KWE224" s="1201"/>
      <c r="KWF224" s="1201"/>
      <c r="KWG224" s="1201"/>
      <c r="KWH224" s="1201"/>
      <c r="KWI224" s="1201"/>
      <c r="KWJ224" s="1201"/>
      <c r="KWK224" s="1201"/>
      <c r="KWL224" s="1201"/>
      <c r="KWM224" s="1201"/>
      <c r="KWN224" s="1201"/>
      <c r="KWO224" s="1201"/>
      <c r="KWP224" s="1201"/>
      <c r="KWQ224" s="1201"/>
      <c r="KWR224" s="1201"/>
      <c r="KWS224" s="1201"/>
      <c r="KWT224" s="1201"/>
      <c r="KWU224" s="1201"/>
      <c r="KWV224" s="1201"/>
      <c r="KWW224" s="1201"/>
      <c r="KWX224" s="1201"/>
      <c r="KWY224" s="1201"/>
      <c r="KWZ224" s="1201"/>
      <c r="KXA224" s="1201"/>
      <c r="KXB224" s="1201"/>
      <c r="KXC224" s="1201"/>
      <c r="KXD224" s="1201"/>
      <c r="KXE224" s="1201"/>
      <c r="KXF224" s="1201"/>
      <c r="KXG224" s="1201"/>
      <c r="KXH224" s="1201"/>
      <c r="KXI224" s="1201"/>
      <c r="KXJ224" s="1201"/>
      <c r="KXK224" s="1201"/>
      <c r="KXL224" s="1201"/>
      <c r="KXM224" s="1201"/>
      <c r="KXN224" s="1201"/>
      <c r="KXO224" s="1201"/>
      <c r="KXP224" s="1201"/>
      <c r="KXQ224" s="1201"/>
      <c r="KXR224" s="1201"/>
      <c r="KXS224" s="1201"/>
      <c r="KXT224" s="1201"/>
      <c r="KXU224" s="1201"/>
      <c r="KXV224" s="1201"/>
      <c r="KXW224" s="1201"/>
      <c r="KXX224" s="1201"/>
      <c r="KXY224" s="1201"/>
      <c r="KXZ224" s="1201"/>
      <c r="KYA224" s="1201"/>
      <c r="KYB224" s="1201"/>
      <c r="KYC224" s="1201"/>
      <c r="KYD224" s="1201"/>
      <c r="KYE224" s="1201"/>
      <c r="KYF224" s="1201"/>
      <c r="KYG224" s="1201"/>
      <c r="KYH224" s="1201"/>
      <c r="KYI224" s="1201"/>
      <c r="KYJ224" s="1201"/>
      <c r="KYK224" s="1201"/>
      <c r="KYL224" s="1201"/>
      <c r="KYM224" s="1201"/>
      <c r="KYN224" s="1201"/>
      <c r="KYO224" s="1201"/>
      <c r="KYP224" s="1201"/>
      <c r="KYQ224" s="1201"/>
      <c r="KYR224" s="1201"/>
      <c r="KYS224" s="1201"/>
      <c r="KYT224" s="1201"/>
      <c r="KYU224" s="1201"/>
      <c r="KYV224" s="1201"/>
      <c r="KYW224" s="1201"/>
      <c r="KYX224" s="1201"/>
      <c r="KYY224" s="1201"/>
      <c r="KYZ224" s="1201"/>
      <c r="KZA224" s="1201"/>
      <c r="KZB224" s="1201"/>
      <c r="KZC224" s="1201"/>
      <c r="KZD224" s="1201"/>
      <c r="KZE224" s="1201"/>
      <c r="KZF224" s="1201"/>
      <c r="KZG224" s="1201"/>
      <c r="KZH224" s="1201"/>
      <c r="KZI224" s="1201"/>
      <c r="KZJ224" s="1201"/>
      <c r="KZK224" s="1201"/>
      <c r="KZL224" s="1201"/>
      <c r="KZM224" s="1201"/>
      <c r="KZN224" s="1201"/>
      <c r="KZO224" s="1201"/>
      <c r="KZP224" s="1201"/>
      <c r="KZQ224" s="1201"/>
      <c r="KZR224" s="1201"/>
      <c r="KZS224" s="1201"/>
      <c r="KZT224" s="1201"/>
      <c r="KZU224" s="1201"/>
      <c r="KZV224" s="1201"/>
      <c r="KZW224" s="1201"/>
      <c r="KZX224" s="1201"/>
      <c r="KZY224" s="1201"/>
      <c r="KZZ224" s="1201"/>
      <c r="LAA224" s="1201"/>
      <c r="LAB224" s="1201"/>
      <c r="LAC224" s="1201"/>
      <c r="LAD224" s="1201"/>
      <c r="LAE224" s="1201"/>
      <c r="LAF224" s="1201"/>
      <c r="LAG224" s="1201"/>
      <c r="LAH224" s="1201"/>
      <c r="LAI224" s="1201"/>
      <c r="LAJ224" s="1201"/>
      <c r="LAK224" s="1201"/>
      <c r="LAL224" s="1201"/>
      <c r="LAM224" s="1201"/>
      <c r="LAN224" s="1201"/>
      <c r="LAO224" s="1201"/>
      <c r="LAP224" s="1201"/>
      <c r="LAQ224" s="1201"/>
      <c r="LAR224" s="1201"/>
      <c r="LAS224" s="1201"/>
      <c r="LAT224" s="1201"/>
      <c r="LAU224" s="1201"/>
      <c r="LAV224" s="1201"/>
      <c r="LAW224" s="1201"/>
      <c r="LAX224" s="1201"/>
      <c r="LAY224" s="1201"/>
      <c r="LAZ224" s="1201"/>
      <c r="LBA224" s="1201"/>
      <c r="LBB224" s="1201"/>
      <c r="LBC224" s="1201"/>
      <c r="LBD224" s="1201"/>
      <c r="LBE224" s="1201"/>
      <c r="LBF224" s="1201"/>
      <c r="LBG224" s="1201"/>
      <c r="LBH224" s="1201"/>
      <c r="LBI224" s="1201"/>
      <c r="LBJ224" s="1201"/>
      <c r="LBK224" s="1201"/>
      <c r="LBL224" s="1201"/>
      <c r="LBM224" s="1201"/>
      <c r="LBN224" s="1201"/>
      <c r="LBO224" s="1201"/>
      <c r="LBP224" s="1201"/>
      <c r="LBQ224" s="1201"/>
      <c r="LBR224" s="1201"/>
      <c r="LBS224" s="1201"/>
      <c r="LBT224" s="1201"/>
      <c r="LBU224" s="1201"/>
      <c r="LBV224" s="1201"/>
      <c r="LBW224" s="1201"/>
      <c r="LBX224" s="1201"/>
      <c r="LBY224" s="1201"/>
      <c r="LBZ224" s="1201"/>
      <c r="LCA224" s="1201"/>
      <c r="LCB224" s="1201"/>
      <c r="LCC224" s="1201"/>
      <c r="LCD224" s="1201"/>
      <c r="LCE224" s="1201"/>
      <c r="LCF224" s="1201"/>
      <c r="LCG224" s="1201"/>
      <c r="LCH224" s="1201"/>
      <c r="LCI224" s="1201"/>
      <c r="LCJ224" s="1201"/>
      <c r="LCK224" s="1201"/>
      <c r="LCL224" s="1201"/>
      <c r="LCM224" s="1201"/>
      <c r="LCN224" s="1201"/>
      <c r="LCO224" s="1201"/>
      <c r="LCP224" s="1201"/>
      <c r="LCQ224" s="1201"/>
      <c r="LCR224" s="1201"/>
      <c r="LCS224" s="1201"/>
      <c r="LCT224" s="1201"/>
      <c r="LCU224" s="1201"/>
      <c r="LCV224" s="1201"/>
      <c r="LCW224" s="1201"/>
      <c r="LCX224" s="1201"/>
      <c r="LCY224" s="1201"/>
      <c r="LCZ224" s="1201"/>
      <c r="LDA224" s="1201"/>
      <c r="LDB224" s="1201"/>
      <c r="LDC224" s="1201"/>
      <c r="LDD224" s="1201"/>
      <c r="LDE224" s="1201"/>
      <c r="LDF224" s="1201"/>
      <c r="LDG224" s="1201"/>
      <c r="LDH224" s="1201"/>
      <c r="LDI224" s="1201"/>
      <c r="LDJ224" s="1201"/>
      <c r="LDK224" s="1201"/>
      <c r="LDL224" s="1201"/>
      <c r="LDM224" s="1201"/>
      <c r="LDN224" s="1201"/>
      <c r="LDO224" s="1201"/>
      <c r="LDP224" s="1201"/>
      <c r="LDQ224" s="1201"/>
      <c r="LDR224" s="1201"/>
      <c r="LDS224" s="1201"/>
      <c r="LDT224" s="1201"/>
      <c r="LDU224" s="1201"/>
      <c r="LDV224" s="1201"/>
      <c r="LDW224" s="1201"/>
      <c r="LDX224" s="1201"/>
      <c r="LDY224" s="1201"/>
      <c r="LDZ224" s="1201"/>
      <c r="LEA224" s="1201"/>
      <c r="LEB224" s="1201"/>
      <c r="LEC224" s="1201"/>
      <c r="LED224" s="1201"/>
      <c r="LEE224" s="1201"/>
      <c r="LEF224" s="1201"/>
      <c r="LEG224" s="1201"/>
      <c r="LEH224" s="1201"/>
      <c r="LEI224" s="1201"/>
      <c r="LEJ224" s="1201"/>
      <c r="LEK224" s="1201"/>
      <c r="LEL224" s="1201"/>
      <c r="LEM224" s="1201"/>
      <c r="LEN224" s="1201"/>
      <c r="LEO224" s="1201"/>
      <c r="LEP224" s="1201"/>
      <c r="LEQ224" s="1201"/>
      <c r="LER224" s="1201"/>
      <c r="LES224" s="1201"/>
      <c r="LET224" s="1201"/>
      <c r="LEU224" s="1201"/>
      <c r="LEV224" s="1201"/>
      <c r="LEW224" s="1201"/>
      <c r="LEX224" s="1201"/>
      <c r="LEY224" s="1201"/>
      <c r="LEZ224" s="1201"/>
      <c r="LFA224" s="1201"/>
      <c r="LFB224" s="1201"/>
      <c r="LFC224" s="1201"/>
      <c r="LFD224" s="1201"/>
      <c r="LFE224" s="1201"/>
      <c r="LFF224" s="1201"/>
      <c r="LFG224" s="1201"/>
      <c r="LFH224" s="1201"/>
      <c r="LFI224" s="1201"/>
      <c r="LFJ224" s="1201"/>
      <c r="LFK224" s="1201"/>
      <c r="LFL224" s="1201"/>
      <c r="LFM224" s="1201"/>
      <c r="LFN224" s="1201"/>
      <c r="LFO224" s="1201"/>
      <c r="LFP224" s="1201"/>
      <c r="LFQ224" s="1201"/>
      <c r="LFR224" s="1201"/>
      <c r="LFS224" s="1201"/>
      <c r="LFT224" s="1201"/>
      <c r="LFU224" s="1201"/>
      <c r="LFV224" s="1201"/>
      <c r="LFW224" s="1201"/>
      <c r="LFX224" s="1201"/>
      <c r="LFY224" s="1201"/>
      <c r="LFZ224" s="1201"/>
      <c r="LGA224" s="1201"/>
      <c r="LGB224" s="1201"/>
      <c r="LGC224" s="1201"/>
      <c r="LGD224" s="1201"/>
      <c r="LGE224" s="1201"/>
      <c r="LGF224" s="1201"/>
      <c r="LGG224" s="1201"/>
      <c r="LGH224" s="1201"/>
      <c r="LGI224" s="1201"/>
      <c r="LGJ224" s="1201"/>
      <c r="LGK224" s="1201"/>
      <c r="LGL224" s="1201"/>
      <c r="LGM224" s="1201"/>
      <c r="LGN224" s="1201"/>
      <c r="LGO224" s="1201"/>
      <c r="LGP224" s="1201"/>
      <c r="LGQ224" s="1201"/>
      <c r="LGR224" s="1201"/>
      <c r="LGS224" s="1201"/>
      <c r="LGT224" s="1201"/>
      <c r="LGU224" s="1201"/>
      <c r="LGV224" s="1201"/>
      <c r="LGW224" s="1201"/>
      <c r="LGX224" s="1201"/>
      <c r="LGY224" s="1201"/>
      <c r="LGZ224" s="1201"/>
      <c r="LHA224" s="1201"/>
      <c r="LHB224" s="1201"/>
      <c r="LHC224" s="1201"/>
      <c r="LHD224" s="1201"/>
      <c r="LHE224" s="1201"/>
      <c r="LHF224" s="1201"/>
      <c r="LHG224" s="1201"/>
      <c r="LHH224" s="1201"/>
      <c r="LHI224" s="1201"/>
      <c r="LHJ224" s="1201"/>
      <c r="LHK224" s="1201"/>
      <c r="LHL224" s="1201"/>
      <c r="LHM224" s="1201"/>
      <c r="LHN224" s="1201"/>
      <c r="LHO224" s="1201"/>
      <c r="LHP224" s="1201"/>
      <c r="LHQ224" s="1201"/>
      <c r="LHR224" s="1201"/>
      <c r="LHS224" s="1201"/>
      <c r="LHT224" s="1201"/>
      <c r="LHU224" s="1201"/>
      <c r="LHV224" s="1201"/>
      <c r="LHW224" s="1201"/>
      <c r="LHX224" s="1201"/>
      <c r="LHY224" s="1201"/>
      <c r="LHZ224" s="1201"/>
      <c r="LIA224" s="1201"/>
      <c r="LIB224" s="1201"/>
      <c r="LIC224" s="1201"/>
      <c r="LID224" s="1201"/>
      <c r="LIE224" s="1201"/>
      <c r="LIF224" s="1201"/>
      <c r="LIG224" s="1201"/>
      <c r="LIH224" s="1201"/>
      <c r="LII224" s="1201"/>
      <c r="LIJ224" s="1201"/>
      <c r="LIK224" s="1201"/>
      <c r="LIL224" s="1201"/>
      <c r="LIM224" s="1201"/>
      <c r="LIN224" s="1201"/>
      <c r="LIO224" s="1201"/>
      <c r="LIP224" s="1201"/>
      <c r="LIQ224" s="1201"/>
      <c r="LIR224" s="1201"/>
      <c r="LIS224" s="1201"/>
      <c r="LIT224" s="1201"/>
      <c r="LIU224" s="1201"/>
      <c r="LIV224" s="1201"/>
      <c r="LIW224" s="1201"/>
      <c r="LIX224" s="1201"/>
      <c r="LIY224" s="1201"/>
      <c r="LIZ224" s="1201"/>
      <c r="LJA224" s="1201"/>
      <c r="LJB224" s="1201"/>
      <c r="LJC224" s="1201"/>
      <c r="LJD224" s="1201"/>
      <c r="LJE224" s="1201"/>
      <c r="LJF224" s="1201"/>
      <c r="LJG224" s="1201"/>
      <c r="LJH224" s="1201"/>
      <c r="LJI224" s="1201"/>
      <c r="LJJ224" s="1201"/>
      <c r="LJK224" s="1201"/>
      <c r="LJL224" s="1201"/>
      <c r="LJM224" s="1201"/>
      <c r="LJN224" s="1201"/>
      <c r="LJO224" s="1201"/>
      <c r="LJP224" s="1201"/>
      <c r="LJQ224" s="1201"/>
      <c r="LJR224" s="1201"/>
      <c r="LJS224" s="1201"/>
      <c r="LJT224" s="1201"/>
      <c r="LJU224" s="1201"/>
      <c r="LJV224" s="1201"/>
      <c r="LJW224" s="1201"/>
      <c r="LJX224" s="1201"/>
      <c r="LJY224" s="1201"/>
      <c r="LJZ224" s="1201"/>
      <c r="LKA224" s="1201"/>
      <c r="LKB224" s="1201"/>
      <c r="LKC224" s="1201"/>
      <c r="LKD224" s="1201"/>
      <c r="LKE224" s="1201"/>
      <c r="LKF224" s="1201"/>
      <c r="LKG224" s="1201"/>
      <c r="LKH224" s="1201"/>
      <c r="LKI224" s="1201"/>
      <c r="LKJ224" s="1201"/>
      <c r="LKK224" s="1201"/>
      <c r="LKL224" s="1201"/>
      <c r="LKM224" s="1201"/>
      <c r="LKN224" s="1201"/>
      <c r="LKO224" s="1201"/>
      <c r="LKP224" s="1201"/>
      <c r="LKQ224" s="1201"/>
      <c r="LKR224" s="1201"/>
      <c r="LKS224" s="1201"/>
      <c r="LKT224" s="1201"/>
      <c r="LKU224" s="1201"/>
      <c r="LKV224" s="1201"/>
      <c r="LKW224" s="1201"/>
      <c r="LKX224" s="1201"/>
      <c r="LKY224" s="1201"/>
      <c r="LKZ224" s="1201"/>
      <c r="LLA224" s="1201"/>
      <c r="LLB224" s="1201"/>
      <c r="LLC224" s="1201"/>
      <c r="LLD224" s="1201"/>
      <c r="LLE224" s="1201"/>
      <c r="LLF224" s="1201"/>
      <c r="LLG224" s="1201"/>
      <c r="LLH224" s="1201"/>
      <c r="LLI224" s="1201"/>
      <c r="LLJ224" s="1201"/>
      <c r="LLK224" s="1201"/>
      <c r="LLL224" s="1201"/>
      <c r="LLM224" s="1201"/>
      <c r="LLN224" s="1201"/>
      <c r="LLO224" s="1201"/>
      <c r="LLP224" s="1201"/>
      <c r="LLQ224" s="1201"/>
      <c r="LLR224" s="1201"/>
      <c r="LLS224" s="1201"/>
      <c r="LLT224" s="1201"/>
      <c r="LLU224" s="1201"/>
      <c r="LLV224" s="1201"/>
      <c r="LLW224" s="1201"/>
      <c r="LLX224" s="1201"/>
      <c r="LLY224" s="1201"/>
      <c r="LLZ224" s="1201"/>
      <c r="LMA224" s="1201"/>
      <c r="LMB224" s="1201"/>
      <c r="LMC224" s="1201"/>
      <c r="LMD224" s="1201"/>
      <c r="LME224" s="1201"/>
      <c r="LMF224" s="1201"/>
      <c r="LMG224" s="1201"/>
      <c r="LMH224" s="1201"/>
      <c r="LMI224" s="1201"/>
      <c r="LMJ224" s="1201"/>
      <c r="LMK224" s="1201"/>
      <c r="LML224" s="1201"/>
      <c r="LMM224" s="1201"/>
      <c r="LMN224" s="1201"/>
      <c r="LMO224" s="1201"/>
      <c r="LMP224" s="1201"/>
      <c r="LMQ224" s="1201"/>
      <c r="LMR224" s="1201"/>
      <c r="LMS224" s="1201"/>
      <c r="LMT224" s="1201"/>
      <c r="LMU224" s="1201"/>
      <c r="LMV224" s="1201"/>
      <c r="LMW224" s="1201"/>
      <c r="LMX224" s="1201"/>
      <c r="LMY224" s="1201"/>
      <c r="LMZ224" s="1201"/>
      <c r="LNA224" s="1201"/>
      <c r="LNB224" s="1201"/>
      <c r="LNC224" s="1201"/>
      <c r="LND224" s="1201"/>
      <c r="LNE224" s="1201"/>
      <c r="LNF224" s="1201"/>
      <c r="LNG224" s="1201"/>
      <c r="LNH224" s="1201"/>
      <c r="LNI224" s="1201"/>
      <c r="LNJ224" s="1201"/>
      <c r="LNK224" s="1201"/>
      <c r="LNL224" s="1201"/>
      <c r="LNM224" s="1201"/>
      <c r="LNN224" s="1201"/>
      <c r="LNO224" s="1201"/>
      <c r="LNP224" s="1201"/>
      <c r="LNQ224" s="1201"/>
      <c r="LNR224" s="1201"/>
      <c r="LNS224" s="1201"/>
      <c r="LNT224" s="1201"/>
      <c r="LNU224" s="1201"/>
      <c r="LNV224" s="1201"/>
      <c r="LNW224" s="1201"/>
      <c r="LNX224" s="1201"/>
      <c r="LNY224" s="1201"/>
      <c r="LNZ224" s="1201"/>
      <c r="LOA224" s="1201"/>
      <c r="LOB224" s="1201"/>
      <c r="LOC224" s="1201"/>
      <c r="LOD224" s="1201"/>
      <c r="LOE224" s="1201"/>
      <c r="LOF224" s="1201"/>
      <c r="LOG224" s="1201"/>
      <c r="LOH224" s="1201"/>
      <c r="LOI224" s="1201"/>
      <c r="LOJ224" s="1201"/>
      <c r="LOK224" s="1201"/>
      <c r="LOL224" s="1201"/>
      <c r="LOM224" s="1201"/>
      <c r="LON224" s="1201"/>
      <c r="LOO224" s="1201"/>
      <c r="LOP224" s="1201"/>
      <c r="LOQ224" s="1201"/>
      <c r="LOR224" s="1201"/>
      <c r="LOS224" s="1201"/>
      <c r="LOT224" s="1201"/>
      <c r="LOU224" s="1201"/>
      <c r="LOV224" s="1201"/>
      <c r="LOW224" s="1201"/>
      <c r="LOX224" s="1201"/>
      <c r="LOY224" s="1201"/>
      <c r="LOZ224" s="1201"/>
      <c r="LPA224" s="1201"/>
      <c r="LPB224" s="1201"/>
      <c r="LPC224" s="1201"/>
      <c r="LPD224" s="1201"/>
      <c r="LPE224" s="1201"/>
      <c r="LPF224" s="1201"/>
      <c r="LPG224" s="1201"/>
      <c r="LPH224" s="1201"/>
      <c r="LPI224" s="1201"/>
      <c r="LPJ224" s="1201"/>
      <c r="LPK224" s="1201"/>
      <c r="LPL224" s="1201"/>
      <c r="LPM224" s="1201"/>
      <c r="LPN224" s="1201"/>
      <c r="LPO224" s="1201"/>
      <c r="LPP224" s="1201"/>
      <c r="LPQ224" s="1201"/>
      <c r="LPR224" s="1201"/>
      <c r="LPS224" s="1201"/>
      <c r="LPT224" s="1201"/>
      <c r="LPU224" s="1201"/>
      <c r="LPV224" s="1201"/>
      <c r="LPW224" s="1201"/>
      <c r="LPX224" s="1201"/>
      <c r="LPY224" s="1201"/>
      <c r="LPZ224" s="1201"/>
      <c r="LQA224" s="1201"/>
      <c r="LQB224" s="1201"/>
      <c r="LQC224" s="1201"/>
      <c r="LQD224" s="1201"/>
      <c r="LQE224" s="1201"/>
      <c r="LQF224" s="1201"/>
      <c r="LQG224" s="1201"/>
      <c r="LQH224" s="1201"/>
      <c r="LQI224" s="1201"/>
      <c r="LQJ224" s="1201"/>
      <c r="LQK224" s="1201"/>
      <c r="LQL224" s="1201"/>
      <c r="LQM224" s="1201"/>
      <c r="LQN224" s="1201"/>
      <c r="LQO224" s="1201"/>
      <c r="LQP224" s="1201"/>
      <c r="LQQ224" s="1201"/>
      <c r="LQR224" s="1201"/>
      <c r="LQS224" s="1201"/>
      <c r="LQT224" s="1201"/>
      <c r="LQU224" s="1201"/>
      <c r="LQV224" s="1201"/>
      <c r="LQW224" s="1201"/>
      <c r="LQX224" s="1201"/>
      <c r="LQY224" s="1201"/>
      <c r="LQZ224" s="1201"/>
      <c r="LRA224" s="1201"/>
      <c r="LRB224" s="1201"/>
      <c r="LRC224" s="1201"/>
      <c r="LRD224" s="1201"/>
      <c r="LRE224" s="1201"/>
      <c r="LRF224" s="1201"/>
      <c r="LRG224" s="1201"/>
      <c r="LRH224" s="1201"/>
      <c r="LRI224" s="1201"/>
      <c r="LRJ224" s="1201"/>
      <c r="LRK224" s="1201"/>
      <c r="LRL224" s="1201"/>
      <c r="LRM224" s="1201"/>
      <c r="LRN224" s="1201"/>
      <c r="LRO224" s="1201"/>
      <c r="LRP224" s="1201"/>
      <c r="LRQ224" s="1201"/>
      <c r="LRR224" s="1201"/>
      <c r="LRS224" s="1201"/>
      <c r="LRT224" s="1201"/>
      <c r="LRU224" s="1201"/>
      <c r="LRV224" s="1201"/>
      <c r="LRW224" s="1201"/>
      <c r="LRX224" s="1201"/>
      <c r="LRY224" s="1201"/>
      <c r="LRZ224" s="1201"/>
      <c r="LSA224" s="1201"/>
      <c r="LSB224" s="1201"/>
      <c r="LSC224" s="1201"/>
      <c r="LSD224" s="1201"/>
      <c r="LSE224" s="1201"/>
      <c r="LSF224" s="1201"/>
      <c r="LSG224" s="1201"/>
      <c r="LSH224" s="1201"/>
      <c r="LSI224" s="1201"/>
      <c r="LSJ224" s="1201"/>
      <c r="LSK224" s="1201"/>
      <c r="LSL224" s="1201"/>
      <c r="LSM224" s="1201"/>
      <c r="LSN224" s="1201"/>
      <c r="LSO224" s="1201"/>
      <c r="LSP224" s="1201"/>
      <c r="LSQ224" s="1201"/>
      <c r="LSR224" s="1201"/>
      <c r="LSS224" s="1201"/>
      <c r="LST224" s="1201"/>
      <c r="LSU224" s="1201"/>
      <c r="LSV224" s="1201"/>
      <c r="LSW224" s="1201"/>
      <c r="LSX224" s="1201"/>
      <c r="LSY224" s="1201"/>
      <c r="LSZ224" s="1201"/>
      <c r="LTA224" s="1201"/>
      <c r="LTB224" s="1201"/>
      <c r="LTC224" s="1201"/>
      <c r="LTD224" s="1201"/>
      <c r="LTE224" s="1201"/>
      <c r="LTF224" s="1201"/>
      <c r="LTG224" s="1201"/>
      <c r="LTH224" s="1201"/>
      <c r="LTI224" s="1201"/>
      <c r="LTJ224" s="1201"/>
      <c r="LTK224" s="1201"/>
      <c r="LTL224" s="1201"/>
      <c r="LTM224" s="1201"/>
      <c r="LTN224" s="1201"/>
      <c r="LTO224" s="1201"/>
      <c r="LTP224" s="1201"/>
      <c r="LTQ224" s="1201"/>
      <c r="LTR224" s="1201"/>
      <c r="LTS224" s="1201"/>
      <c r="LTT224" s="1201"/>
      <c r="LTU224" s="1201"/>
      <c r="LTV224" s="1201"/>
      <c r="LTW224" s="1201"/>
      <c r="LTX224" s="1201"/>
      <c r="LTY224" s="1201"/>
      <c r="LTZ224" s="1201"/>
      <c r="LUA224" s="1201"/>
      <c r="LUB224" s="1201"/>
      <c r="LUC224" s="1201"/>
      <c r="LUD224" s="1201"/>
      <c r="LUE224" s="1201"/>
      <c r="LUF224" s="1201"/>
      <c r="LUG224" s="1201"/>
      <c r="LUH224" s="1201"/>
      <c r="LUI224" s="1201"/>
      <c r="LUJ224" s="1201"/>
      <c r="LUK224" s="1201"/>
      <c r="LUL224" s="1201"/>
      <c r="LUM224" s="1201"/>
      <c r="LUN224" s="1201"/>
      <c r="LUO224" s="1201"/>
      <c r="LUP224" s="1201"/>
      <c r="LUQ224" s="1201"/>
      <c r="LUR224" s="1201"/>
      <c r="LUS224" s="1201"/>
      <c r="LUT224" s="1201"/>
      <c r="LUU224" s="1201"/>
      <c r="LUV224" s="1201"/>
      <c r="LUW224" s="1201"/>
      <c r="LUX224" s="1201"/>
      <c r="LUY224" s="1201"/>
      <c r="LUZ224" s="1201"/>
      <c r="LVA224" s="1201"/>
      <c r="LVB224" s="1201"/>
      <c r="LVC224" s="1201"/>
      <c r="LVD224" s="1201"/>
      <c r="LVE224" s="1201"/>
      <c r="LVF224" s="1201"/>
      <c r="LVG224" s="1201"/>
      <c r="LVH224" s="1201"/>
      <c r="LVI224" s="1201"/>
      <c r="LVJ224" s="1201"/>
      <c r="LVK224" s="1201"/>
      <c r="LVL224" s="1201"/>
      <c r="LVM224" s="1201"/>
      <c r="LVN224" s="1201"/>
      <c r="LVO224" s="1201"/>
      <c r="LVP224" s="1201"/>
      <c r="LVQ224" s="1201"/>
      <c r="LVR224" s="1201"/>
      <c r="LVS224" s="1201"/>
      <c r="LVT224" s="1201"/>
      <c r="LVU224" s="1201"/>
      <c r="LVV224" s="1201"/>
      <c r="LVW224" s="1201"/>
      <c r="LVX224" s="1201"/>
      <c r="LVY224" s="1201"/>
      <c r="LVZ224" s="1201"/>
      <c r="LWA224" s="1201"/>
      <c r="LWB224" s="1201"/>
      <c r="LWC224" s="1201"/>
      <c r="LWD224" s="1201"/>
      <c r="LWE224" s="1201"/>
      <c r="LWF224" s="1201"/>
      <c r="LWG224" s="1201"/>
      <c r="LWH224" s="1201"/>
      <c r="LWI224" s="1201"/>
      <c r="LWJ224" s="1201"/>
      <c r="LWK224" s="1201"/>
      <c r="LWL224" s="1201"/>
      <c r="LWM224" s="1201"/>
      <c r="LWN224" s="1201"/>
      <c r="LWO224" s="1201"/>
      <c r="LWP224" s="1201"/>
      <c r="LWQ224" s="1201"/>
      <c r="LWR224" s="1201"/>
      <c r="LWS224" s="1201"/>
      <c r="LWT224" s="1201"/>
      <c r="LWU224" s="1201"/>
      <c r="LWV224" s="1201"/>
      <c r="LWW224" s="1201"/>
      <c r="LWX224" s="1201"/>
      <c r="LWY224" s="1201"/>
      <c r="LWZ224" s="1201"/>
      <c r="LXA224" s="1201"/>
      <c r="LXB224" s="1201"/>
      <c r="LXC224" s="1201"/>
      <c r="LXD224" s="1201"/>
      <c r="LXE224" s="1201"/>
      <c r="LXF224" s="1201"/>
      <c r="LXG224" s="1201"/>
      <c r="LXH224" s="1201"/>
      <c r="LXI224" s="1201"/>
      <c r="LXJ224" s="1201"/>
      <c r="LXK224" s="1201"/>
      <c r="LXL224" s="1201"/>
      <c r="LXM224" s="1201"/>
      <c r="LXN224" s="1201"/>
      <c r="LXO224" s="1201"/>
      <c r="LXP224" s="1201"/>
      <c r="LXQ224" s="1201"/>
      <c r="LXR224" s="1201"/>
      <c r="LXS224" s="1201"/>
      <c r="LXT224" s="1201"/>
      <c r="LXU224" s="1201"/>
      <c r="LXV224" s="1201"/>
      <c r="LXW224" s="1201"/>
      <c r="LXX224" s="1201"/>
      <c r="LXY224" s="1201"/>
      <c r="LXZ224" s="1201"/>
      <c r="LYA224" s="1201"/>
      <c r="LYB224" s="1201"/>
      <c r="LYC224" s="1201"/>
      <c r="LYD224" s="1201"/>
      <c r="LYE224" s="1201"/>
      <c r="LYF224" s="1201"/>
      <c r="LYG224" s="1201"/>
      <c r="LYH224" s="1201"/>
      <c r="LYI224" s="1201"/>
      <c r="LYJ224" s="1201"/>
      <c r="LYK224" s="1201"/>
      <c r="LYL224" s="1201"/>
      <c r="LYM224" s="1201"/>
      <c r="LYN224" s="1201"/>
      <c r="LYO224" s="1201"/>
      <c r="LYP224" s="1201"/>
      <c r="LYQ224" s="1201"/>
      <c r="LYR224" s="1201"/>
      <c r="LYS224" s="1201"/>
      <c r="LYT224" s="1201"/>
      <c r="LYU224" s="1201"/>
      <c r="LYV224" s="1201"/>
      <c r="LYW224" s="1201"/>
      <c r="LYX224" s="1201"/>
      <c r="LYY224" s="1201"/>
      <c r="LYZ224" s="1201"/>
      <c r="LZA224" s="1201"/>
      <c r="LZB224" s="1201"/>
      <c r="LZC224" s="1201"/>
      <c r="LZD224" s="1201"/>
      <c r="LZE224" s="1201"/>
      <c r="LZF224" s="1201"/>
      <c r="LZG224" s="1201"/>
      <c r="LZH224" s="1201"/>
      <c r="LZI224" s="1201"/>
      <c r="LZJ224" s="1201"/>
      <c r="LZK224" s="1201"/>
      <c r="LZL224" s="1201"/>
      <c r="LZM224" s="1201"/>
      <c r="LZN224" s="1201"/>
      <c r="LZO224" s="1201"/>
      <c r="LZP224" s="1201"/>
      <c r="LZQ224" s="1201"/>
      <c r="LZR224" s="1201"/>
      <c r="LZS224" s="1201"/>
      <c r="LZT224" s="1201"/>
      <c r="LZU224" s="1201"/>
      <c r="LZV224" s="1201"/>
      <c r="LZW224" s="1201"/>
      <c r="LZX224" s="1201"/>
      <c r="LZY224" s="1201"/>
      <c r="LZZ224" s="1201"/>
      <c r="MAA224" s="1201"/>
      <c r="MAB224" s="1201"/>
      <c r="MAC224" s="1201"/>
      <c r="MAD224" s="1201"/>
      <c r="MAE224" s="1201"/>
      <c r="MAF224" s="1201"/>
      <c r="MAG224" s="1201"/>
      <c r="MAH224" s="1201"/>
      <c r="MAI224" s="1201"/>
      <c r="MAJ224" s="1201"/>
      <c r="MAK224" s="1201"/>
      <c r="MAL224" s="1201"/>
      <c r="MAM224" s="1201"/>
      <c r="MAN224" s="1201"/>
      <c r="MAO224" s="1201"/>
      <c r="MAP224" s="1201"/>
      <c r="MAQ224" s="1201"/>
      <c r="MAR224" s="1201"/>
      <c r="MAS224" s="1201"/>
      <c r="MAT224" s="1201"/>
      <c r="MAU224" s="1201"/>
      <c r="MAV224" s="1201"/>
      <c r="MAW224" s="1201"/>
      <c r="MAX224" s="1201"/>
      <c r="MAY224" s="1201"/>
      <c r="MAZ224" s="1201"/>
      <c r="MBA224" s="1201"/>
      <c r="MBB224" s="1201"/>
      <c r="MBC224" s="1201"/>
      <c r="MBD224" s="1201"/>
      <c r="MBE224" s="1201"/>
      <c r="MBF224" s="1201"/>
      <c r="MBG224" s="1201"/>
      <c r="MBH224" s="1201"/>
      <c r="MBI224" s="1201"/>
      <c r="MBJ224" s="1201"/>
      <c r="MBK224" s="1201"/>
      <c r="MBL224" s="1201"/>
      <c r="MBM224" s="1201"/>
      <c r="MBN224" s="1201"/>
      <c r="MBO224" s="1201"/>
      <c r="MBP224" s="1201"/>
      <c r="MBQ224" s="1201"/>
      <c r="MBR224" s="1201"/>
      <c r="MBS224" s="1201"/>
      <c r="MBT224" s="1201"/>
      <c r="MBU224" s="1201"/>
      <c r="MBV224" s="1201"/>
      <c r="MBW224" s="1201"/>
      <c r="MBX224" s="1201"/>
      <c r="MBY224" s="1201"/>
      <c r="MBZ224" s="1201"/>
      <c r="MCA224" s="1201"/>
      <c r="MCB224" s="1201"/>
      <c r="MCC224" s="1201"/>
      <c r="MCD224" s="1201"/>
      <c r="MCE224" s="1201"/>
      <c r="MCF224" s="1201"/>
      <c r="MCG224" s="1201"/>
      <c r="MCH224" s="1201"/>
      <c r="MCI224" s="1201"/>
      <c r="MCJ224" s="1201"/>
      <c r="MCK224" s="1201"/>
      <c r="MCL224" s="1201"/>
      <c r="MCM224" s="1201"/>
      <c r="MCN224" s="1201"/>
      <c r="MCO224" s="1201"/>
      <c r="MCP224" s="1201"/>
      <c r="MCQ224" s="1201"/>
      <c r="MCR224" s="1201"/>
      <c r="MCS224" s="1201"/>
      <c r="MCT224" s="1201"/>
      <c r="MCU224" s="1201"/>
      <c r="MCV224" s="1201"/>
      <c r="MCW224" s="1201"/>
      <c r="MCX224" s="1201"/>
      <c r="MCY224" s="1201"/>
      <c r="MCZ224" s="1201"/>
      <c r="MDA224" s="1201"/>
      <c r="MDB224" s="1201"/>
      <c r="MDC224" s="1201"/>
      <c r="MDD224" s="1201"/>
      <c r="MDE224" s="1201"/>
      <c r="MDF224" s="1201"/>
      <c r="MDG224" s="1201"/>
      <c r="MDH224" s="1201"/>
      <c r="MDI224" s="1201"/>
      <c r="MDJ224" s="1201"/>
      <c r="MDK224" s="1201"/>
      <c r="MDL224" s="1201"/>
      <c r="MDM224" s="1201"/>
      <c r="MDN224" s="1201"/>
      <c r="MDO224" s="1201"/>
      <c r="MDP224" s="1201"/>
      <c r="MDQ224" s="1201"/>
      <c r="MDR224" s="1201"/>
      <c r="MDS224" s="1201"/>
      <c r="MDT224" s="1201"/>
      <c r="MDU224" s="1201"/>
      <c r="MDV224" s="1201"/>
      <c r="MDW224" s="1201"/>
      <c r="MDX224" s="1201"/>
      <c r="MDY224" s="1201"/>
      <c r="MDZ224" s="1201"/>
      <c r="MEA224" s="1201"/>
      <c r="MEB224" s="1201"/>
      <c r="MEC224" s="1201"/>
      <c r="MED224" s="1201"/>
      <c r="MEE224" s="1201"/>
      <c r="MEF224" s="1201"/>
      <c r="MEG224" s="1201"/>
      <c r="MEH224" s="1201"/>
      <c r="MEI224" s="1201"/>
      <c r="MEJ224" s="1201"/>
      <c r="MEK224" s="1201"/>
      <c r="MEL224" s="1201"/>
      <c r="MEM224" s="1201"/>
      <c r="MEN224" s="1201"/>
      <c r="MEO224" s="1201"/>
      <c r="MEP224" s="1201"/>
      <c r="MEQ224" s="1201"/>
      <c r="MER224" s="1201"/>
      <c r="MES224" s="1201"/>
      <c r="MET224" s="1201"/>
      <c r="MEU224" s="1201"/>
      <c r="MEV224" s="1201"/>
      <c r="MEW224" s="1201"/>
      <c r="MEX224" s="1201"/>
      <c r="MEY224" s="1201"/>
      <c r="MEZ224" s="1201"/>
      <c r="MFA224" s="1201"/>
      <c r="MFB224" s="1201"/>
      <c r="MFC224" s="1201"/>
      <c r="MFD224" s="1201"/>
      <c r="MFE224" s="1201"/>
      <c r="MFF224" s="1201"/>
      <c r="MFG224" s="1201"/>
      <c r="MFH224" s="1201"/>
      <c r="MFI224" s="1201"/>
      <c r="MFJ224" s="1201"/>
      <c r="MFK224" s="1201"/>
      <c r="MFL224" s="1201"/>
      <c r="MFM224" s="1201"/>
      <c r="MFN224" s="1201"/>
      <c r="MFO224" s="1201"/>
      <c r="MFP224" s="1201"/>
      <c r="MFQ224" s="1201"/>
      <c r="MFR224" s="1201"/>
      <c r="MFS224" s="1201"/>
      <c r="MFT224" s="1201"/>
      <c r="MFU224" s="1201"/>
      <c r="MFV224" s="1201"/>
      <c r="MFW224" s="1201"/>
      <c r="MFX224" s="1201"/>
      <c r="MFY224" s="1201"/>
      <c r="MFZ224" s="1201"/>
      <c r="MGA224" s="1201"/>
      <c r="MGB224" s="1201"/>
      <c r="MGC224" s="1201"/>
      <c r="MGD224" s="1201"/>
      <c r="MGE224" s="1201"/>
      <c r="MGF224" s="1201"/>
      <c r="MGG224" s="1201"/>
      <c r="MGH224" s="1201"/>
      <c r="MGI224" s="1201"/>
      <c r="MGJ224" s="1201"/>
      <c r="MGK224" s="1201"/>
      <c r="MGL224" s="1201"/>
      <c r="MGM224" s="1201"/>
      <c r="MGN224" s="1201"/>
      <c r="MGO224" s="1201"/>
      <c r="MGP224" s="1201"/>
      <c r="MGQ224" s="1201"/>
      <c r="MGR224" s="1201"/>
      <c r="MGS224" s="1201"/>
      <c r="MGT224" s="1201"/>
      <c r="MGU224" s="1201"/>
      <c r="MGV224" s="1201"/>
      <c r="MGW224" s="1201"/>
      <c r="MGX224" s="1201"/>
      <c r="MGY224" s="1201"/>
      <c r="MGZ224" s="1201"/>
      <c r="MHA224" s="1201"/>
      <c r="MHB224" s="1201"/>
      <c r="MHC224" s="1201"/>
      <c r="MHD224" s="1201"/>
      <c r="MHE224" s="1201"/>
      <c r="MHF224" s="1201"/>
      <c r="MHG224" s="1201"/>
      <c r="MHH224" s="1201"/>
      <c r="MHI224" s="1201"/>
      <c r="MHJ224" s="1201"/>
      <c r="MHK224" s="1201"/>
      <c r="MHL224" s="1201"/>
      <c r="MHM224" s="1201"/>
      <c r="MHN224" s="1201"/>
      <c r="MHO224" s="1201"/>
      <c r="MHP224" s="1201"/>
      <c r="MHQ224" s="1201"/>
      <c r="MHR224" s="1201"/>
      <c r="MHS224" s="1201"/>
      <c r="MHT224" s="1201"/>
      <c r="MHU224" s="1201"/>
      <c r="MHV224" s="1201"/>
      <c r="MHW224" s="1201"/>
      <c r="MHX224" s="1201"/>
      <c r="MHY224" s="1201"/>
      <c r="MHZ224" s="1201"/>
      <c r="MIA224" s="1201"/>
      <c r="MIB224" s="1201"/>
      <c r="MIC224" s="1201"/>
      <c r="MID224" s="1201"/>
      <c r="MIE224" s="1201"/>
      <c r="MIF224" s="1201"/>
      <c r="MIG224" s="1201"/>
      <c r="MIH224" s="1201"/>
      <c r="MII224" s="1201"/>
      <c r="MIJ224" s="1201"/>
      <c r="MIK224" s="1201"/>
      <c r="MIL224" s="1201"/>
      <c r="MIM224" s="1201"/>
      <c r="MIN224" s="1201"/>
      <c r="MIO224" s="1201"/>
      <c r="MIP224" s="1201"/>
      <c r="MIQ224" s="1201"/>
      <c r="MIR224" s="1201"/>
      <c r="MIS224" s="1201"/>
      <c r="MIT224" s="1201"/>
      <c r="MIU224" s="1201"/>
      <c r="MIV224" s="1201"/>
      <c r="MIW224" s="1201"/>
      <c r="MIX224" s="1201"/>
      <c r="MIY224" s="1201"/>
      <c r="MIZ224" s="1201"/>
      <c r="MJA224" s="1201"/>
      <c r="MJB224" s="1201"/>
      <c r="MJC224" s="1201"/>
      <c r="MJD224" s="1201"/>
      <c r="MJE224" s="1201"/>
      <c r="MJF224" s="1201"/>
      <c r="MJG224" s="1201"/>
      <c r="MJH224" s="1201"/>
      <c r="MJI224" s="1201"/>
      <c r="MJJ224" s="1201"/>
      <c r="MJK224" s="1201"/>
      <c r="MJL224" s="1201"/>
      <c r="MJM224" s="1201"/>
      <c r="MJN224" s="1201"/>
      <c r="MJO224" s="1201"/>
      <c r="MJP224" s="1201"/>
      <c r="MJQ224" s="1201"/>
      <c r="MJR224" s="1201"/>
      <c r="MJS224" s="1201"/>
      <c r="MJT224" s="1201"/>
      <c r="MJU224" s="1201"/>
      <c r="MJV224" s="1201"/>
      <c r="MJW224" s="1201"/>
      <c r="MJX224" s="1201"/>
      <c r="MJY224" s="1201"/>
      <c r="MJZ224" s="1201"/>
      <c r="MKA224" s="1201"/>
      <c r="MKB224" s="1201"/>
      <c r="MKC224" s="1201"/>
      <c r="MKD224" s="1201"/>
      <c r="MKE224" s="1201"/>
      <c r="MKF224" s="1201"/>
      <c r="MKG224" s="1201"/>
      <c r="MKH224" s="1201"/>
      <c r="MKI224" s="1201"/>
      <c r="MKJ224" s="1201"/>
      <c r="MKK224" s="1201"/>
      <c r="MKL224" s="1201"/>
      <c r="MKM224" s="1201"/>
      <c r="MKN224" s="1201"/>
      <c r="MKO224" s="1201"/>
      <c r="MKP224" s="1201"/>
      <c r="MKQ224" s="1201"/>
      <c r="MKR224" s="1201"/>
      <c r="MKS224" s="1201"/>
      <c r="MKT224" s="1201"/>
      <c r="MKU224" s="1201"/>
      <c r="MKV224" s="1201"/>
      <c r="MKW224" s="1201"/>
      <c r="MKX224" s="1201"/>
      <c r="MKY224" s="1201"/>
      <c r="MKZ224" s="1201"/>
      <c r="MLA224" s="1201"/>
      <c r="MLB224" s="1201"/>
      <c r="MLC224" s="1201"/>
      <c r="MLD224" s="1201"/>
      <c r="MLE224" s="1201"/>
      <c r="MLF224" s="1201"/>
      <c r="MLG224" s="1201"/>
      <c r="MLH224" s="1201"/>
      <c r="MLI224" s="1201"/>
      <c r="MLJ224" s="1201"/>
      <c r="MLK224" s="1201"/>
      <c r="MLL224" s="1201"/>
      <c r="MLM224" s="1201"/>
      <c r="MLN224" s="1201"/>
      <c r="MLO224" s="1201"/>
      <c r="MLP224" s="1201"/>
      <c r="MLQ224" s="1201"/>
      <c r="MLR224" s="1201"/>
      <c r="MLS224" s="1201"/>
      <c r="MLT224" s="1201"/>
      <c r="MLU224" s="1201"/>
      <c r="MLV224" s="1201"/>
      <c r="MLW224" s="1201"/>
      <c r="MLX224" s="1201"/>
      <c r="MLY224" s="1201"/>
      <c r="MLZ224" s="1201"/>
      <c r="MMA224" s="1201"/>
      <c r="MMB224" s="1201"/>
      <c r="MMC224" s="1201"/>
      <c r="MMD224" s="1201"/>
      <c r="MME224" s="1201"/>
      <c r="MMF224" s="1201"/>
      <c r="MMG224" s="1201"/>
      <c r="MMH224" s="1201"/>
      <c r="MMI224" s="1201"/>
      <c r="MMJ224" s="1201"/>
      <c r="MMK224" s="1201"/>
      <c r="MML224" s="1201"/>
      <c r="MMM224" s="1201"/>
      <c r="MMN224" s="1201"/>
      <c r="MMO224" s="1201"/>
      <c r="MMP224" s="1201"/>
      <c r="MMQ224" s="1201"/>
      <c r="MMR224" s="1201"/>
      <c r="MMS224" s="1201"/>
      <c r="MMT224" s="1201"/>
      <c r="MMU224" s="1201"/>
      <c r="MMV224" s="1201"/>
      <c r="MMW224" s="1201"/>
      <c r="MMX224" s="1201"/>
      <c r="MMY224" s="1201"/>
      <c r="MMZ224" s="1201"/>
      <c r="MNA224" s="1201"/>
      <c r="MNB224" s="1201"/>
      <c r="MNC224" s="1201"/>
      <c r="MND224" s="1201"/>
      <c r="MNE224" s="1201"/>
      <c r="MNF224" s="1201"/>
      <c r="MNG224" s="1201"/>
      <c r="MNH224" s="1201"/>
      <c r="MNI224" s="1201"/>
      <c r="MNJ224" s="1201"/>
      <c r="MNK224" s="1201"/>
      <c r="MNL224" s="1201"/>
      <c r="MNM224" s="1201"/>
      <c r="MNN224" s="1201"/>
      <c r="MNO224" s="1201"/>
      <c r="MNP224" s="1201"/>
      <c r="MNQ224" s="1201"/>
      <c r="MNR224" s="1201"/>
      <c r="MNS224" s="1201"/>
      <c r="MNT224" s="1201"/>
      <c r="MNU224" s="1201"/>
      <c r="MNV224" s="1201"/>
      <c r="MNW224" s="1201"/>
      <c r="MNX224" s="1201"/>
      <c r="MNY224" s="1201"/>
      <c r="MNZ224" s="1201"/>
      <c r="MOA224" s="1201"/>
      <c r="MOB224" s="1201"/>
      <c r="MOC224" s="1201"/>
      <c r="MOD224" s="1201"/>
      <c r="MOE224" s="1201"/>
      <c r="MOF224" s="1201"/>
      <c r="MOG224" s="1201"/>
      <c r="MOH224" s="1201"/>
      <c r="MOI224" s="1201"/>
      <c r="MOJ224" s="1201"/>
      <c r="MOK224" s="1201"/>
      <c r="MOL224" s="1201"/>
      <c r="MOM224" s="1201"/>
      <c r="MON224" s="1201"/>
      <c r="MOO224" s="1201"/>
      <c r="MOP224" s="1201"/>
      <c r="MOQ224" s="1201"/>
      <c r="MOR224" s="1201"/>
      <c r="MOS224" s="1201"/>
      <c r="MOT224" s="1201"/>
      <c r="MOU224" s="1201"/>
      <c r="MOV224" s="1201"/>
      <c r="MOW224" s="1201"/>
      <c r="MOX224" s="1201"/>
      <c r="MOY224" s="1201"/>
      <c r="MOZ224" s="1201"/>
      <c r="MPA224" s="1201"/>
      <c r="MPB224" s="1201"/>
      <c r="MPC224" s="1201"/>
      <c r="MPD224" s="1201"/>
      <c r="MPE224" s="1201"/>
      <c r="MPF224" s="1201"/>
      <c r="MPG224" s="1201"/>
      <c r="MPH224" s="1201"/>
      <c r="MPI224" s="1201"/>
      <c r="MPJ224" s="1201"/>
      <c r="MPK224" s="1201"/>
      <c r="MPL224" s="1201"/>
      <c r="MPM224" s="1201"/>
      <c r="MPN224" s="1201"/>
      <c r="MPO224" s="1201"/>
      <c r="MPP224" s="1201"/>
      <c r="MPQ224" s="1201"/>
      <c r="MPR224" s="1201"/>
      <c r="MPS224" s="1201"/>
      <c r="MPT224" s="1201"/>
      <c r="MPU224" s="1201"/>
      <c r="MPV224" s="1201"/>
      <c r="MPW224" s="1201"/>
      <c r="MPX224" s="1201"/>
      <c r="MPY224" s="1201"/>
      <c r="MPZ224" s="1201"/>
      <c r="MQA224" s="1201"/>
      <c r="MQB224" s="1201"/>
      <c r="MQC224" s="1201"/>
      <c r="MQD224" s="1201"/>
      <c r="MQE224" s="1201"/>
      <c r="MQF224" s="1201"/>
      <c r="MQG224" s="1201"/>
      <c r="MQH224" s="1201"/>
      <c r="MQI224" s="1201"/>
      <c r="MQJ224" s="1201"/>
      <c r="MQK224" s="1201"/>
      <c r="MQL224" s="1201"/>
      <c r="MQM224" s="1201"/>
      <c r="MQN224" s="1201"/>
      <c r="MQO224" s="1201"/>
      <c r="MQP224" s="1201"/>
      <c r="MQQ224" s="1201"/>
      <c r="MQR224" s="1201"/>
      <c r="MQS224" s="1201"/>
      <c r="MQT224" s="1201"/>
      <c r="MQU224" s="1201"/>
      <c r="MQV224" s="1201"/>
      <c r="MQW224" s="1201"/>
      <c r="MQX224" s="1201"/>
      <c r="MQY224" s="1201"/>
      <c r="MQZ224" s="1201"/>
      <c r="MRA224" s="1201"/>
      <c r="MRB224" s="1201"/>
      <c r="MRC224" s="1201"/>
      <c r="MRD224" s="1201"/>
      <c r="MRE224" s="1201"/>
      <c r="MRF224" s="1201"/>
      <c r="MRG224" s="1201"/>
      <c r="MRH224" s="1201"/>
      <c r="MRI224" s="1201"/>
      <c r="MRJ224" s="1201"/>
      <c r="MRK224" s="1201"/>
      <c r="MRL224" s="1201"/>
      <c r="MRM224" s="1201"/>
      <c r="MRN224" s="1201"/>
      <c r="MRO224" s="1201"/>
      <c r="MRP224" s="1201"/>
      <c r="MRQ224" s="1201"/>
      <c r="MRR224" s="1201"/>
      <c r="MRS224" s="1201"/>
      <c r="MRT224" s="1201"/>
      <c r="MRU224" s="1201"/>
      <c r="MRV224" s="1201"/>
      <c r="MRW224" s="1201"/>
      <c r="MRX224" s="1201"/>
      <c r="MRY224" s="1201"/>
      <c r="MRZ224" s="1201"/>
      <c r="MSA224" s="1201"/>
      <c r="MSB224" s="1201"/>
      <c r="MSC224" s="1201"/>
      <c r="MSD224" s="1201"/>
      <c r="MSE224" s="1201"/>
      <c r="MSF224" s="1201"/>
      <c r="MSG224" s="1201"/>
      <c r="MSH224" s="1201"/>
      <c r="MSI224" s="1201"/>
      <c r="MSJ224" s="1201"/>
      <c r="MSK224" s="1201"/>
      <c r="MSL224" s="1201"/>
      <c r="MSM224" s="1201"/>
      <c r="MSN224" s="1201"/>
      <c r="MSO224" s="1201"/>
      <c r="MSP224" s="1201"/>
      <c r="MSQ224" s="1201"/>
      <c r="MSR224" s="1201"/>
      <c r="MSS224" s="1201"/>
      <c r="MST224" s="1201"/>
      <c r="MSU224" s="1201"/>
      <c r="MSV224" s="1201"/>
      <c r="MSW224" s="1201"/>
      <c r="MSX224" s="1201"/>
      <c r="MSY224" s="1201"/>
      <c r="MSZ224" s="1201"/>
      <c r="MTA224" s="1201"/>
      <c r="MTB224" s="1201"/>
      <c r="MTC224" s="1201"/>
      <c r="MTD224" s="1201"/>
      <c r="MTE224" s="1201"/>
      <c r="MTF224" s="1201"/>
      <c r="MTG224" s="1201"/>
      <c r="MTH224" s="1201"/>
      <c r="MTI224" s="1201"/>
      <c r="MTJ224" s="1201"/>
      <c r="MTK224" s="1201"/>
      <c r="MTL224" s="1201"/>
      <c r="MTM224" s="1201"/>
      <c r="MTN224" s="1201"/>
      <c r="MTO224" s="1201"/>
      <c r="MTP224" s="1201"/>
      <c r="MTQ224" s="1201"/>
      <c r="MTR224" s="1201"/>
      <c r="MTS224" s="1201"/>
      <c r="MTT224" s="1201"/>
      <c r="MTU224" s="1201"/>
      <c r="MTV224" s="1201"/>
      <c r="MTW224" s="1201"/>
      <c r="MTX224" s="1201"/>
      <c r="MTY224" s="1201"/>
      <c r="MTZ224" s="1201"/>
      <c r="MUA224" s="1201"/>
      <c r="MUB224" s="1201"/>
      <c r="MUC224" s="1201"/>
      <c r="MUD224" s="1201"/>
      <c r="MUE224" s="1201"/>
      <c r="MUF224" s="1201"/>
      <c r="MUG224" s="1201"/>
      <c r="MUH224" s="1201"/>
      <c r="MUI224" s="1201"/>
      <c r="MUJ224" s="1201"/>
      <c r="MUK224" s="1201"/>
      <c r="MUL224" s="1201"/>
      <c r="MUM224" s="1201"/>
      <c r="MUN224" s="1201"/>
      <c r="MUO224" s="1201"/>
      <c r="MUP224" s="1201"/>
      <c r="MUQ224" s="1201"/>
      <c r="MUR224" s="1201"/>
      <c r="MUS224" s="1201"/>
      <c r="MUT224" s="1201"/>
      <c r="MUU224" s="1201"/>
      <c r="MUV224" s="1201"/>
      <c r="MUW224" s="1201"/>
      <c r="MUX224" s="1201"/>
      <c r="MUY224" s="1201"/>
      <c r="MUZ224" s="1201"/>
      <c r="MVA224" s="1201"/>
      <c r="MVB224" s="1201"/>
      <c r="MVC224" s="1201"/>
      <c r="MVD224" s="1201"/>
      <c r="MVE224" s="1201"/>
      <c r="MVF224" s="1201"/>
      <c r="MVG224" s="1201"/>
      <c r="MVH224" s="1201"/>
      <c r="MVI224" s="1201"/>
      <c r="MVJ224" s="1201"/>
      <c r="MVK224" s="1201"/>
      <c r="MVL224" s="1201"/>
      <c r="MVM224" s="1201"/>
      <c r="MVN224" s="1201"/>
      <c r="MVO224" s="1201"/>
      <c r="MVP224" s="1201"/>
      <c r="MVQ224" s="1201"/>
      <c r="MVR224" s="1201"/>
      <c r="MVS224" s="1201"/>
      <c r="MVT224" s="1201"/>
      <c r="MVU224" s="1201"/>
      <c r="MVV224" s="1201"/>
      <c r="MVW224" s="1201"/>
      <c r="MVX224" s="1201"/>
      <c r="MVY224" s="1201"/>
      <c r="MVZ224" s="1201"/>
      <c r="MWA224" s="1201"/>
      <c r="MWB224" s="1201"/>
      <c r="MWC224" s="1201"/>
      <c r="MWD224" s="1201"/>
      <c r="MWE224" s="1201"/>
      <c r="MWF224" s="1201"/>
      <c r="MWG224" s="1201"/>
      <c r="MWH224" s="1201"/>
      <c r="MWI224" s="1201"/>
      <c r="MWJ224" s="1201"/>
      <c r="MWK224" s="1201"/>
      <c r="MWL224" s="1201"/>
      <c r="MWM224" s="1201"/>
      <c r="MWN224" s="1201"/>
      <c r="MWO224" s="1201"/>
      <c r="MWP224" s="1201"/>
      <c r="MWQ224" s="1201"/>
      <c r="MWR224" s="1201"/>
      <c r="MWS224" s="1201"/>
      <c r="MWT224" s="1201"/>
      <c r="MWU224" s="1201"/>
      <c r="MWV224" s="1201"/>
      <c r="MWW224" s="1201"/>
      <c r="MWX224" s="1201"/>
      <c r="MWY224" s="1201"/>
      <c r="MWZ224" s="1201"/>
      <c r="MXA224" s="1201"/>
      <c r="MXB224" s="1201"/>
      <c r="MXC224" s="1201"/>
      <c r="MXD224" s="1201"/>
      <c r="MXE224" s="1201"/>
      <c r="MXF224" s="1201"/>
      <c r="MXG224" s="1201"/>
      <c r="MXH224" s="1201"/>
      <c r="MXI224" s="1201"/>
      <c r="MXJ224" s="1201"/>
      <c r="MXK224" s="1201"/>
      <c r="MXL224" s="1201"/>
      <c r="MXM224" s="1201"/>
      <c r="MXN224" s="1201"/>
      <c r="MXO224" s="1201"/>
      <c r="MXP224" s="1201"/>
      <c r="MXQ224" s="1201"/>
      <c r="MXR224" s="1201"/>
      <c r="MXS224" s="1201"/>
      <c r="MXT224" s="1201"/>
      <c r="MXU224" s="1201"/>
      <c r="MXV224" s="1201"/>
      <c r="MXW224" s="1201"/>
      <c r="MXX224" s="1201"/>
      <c r="MXY224" s="1201"/>
      <c r="MXZ224" s="1201"/>
      <c r="MYA224" s="1201"/>
      <c r="MYB224" s="1201"/>
      <c r="MYC224" s="1201"/>
      <c r="MYD224" s="1201"/>
      <c r="MYE224" s="1201"/>
      <c r="MYF224" s="1201"/>
      <c r="MYG224" s="1201"/>
      <c r="MYH224" s="1201"/>
      <c r="MYI224" s="1201"/>
      <c r="MYJ224" s="1201"/>
      <c r="MYK224" s="1201"/>
      <c r="MYL224" s="1201"/>
      <c r="MYM224" s="1201"/>
      <c r="MYN224" s="1201"/>
      <c r="MYO224" s="1201"/>
      <c r="MYP224" s="1201"/>
      <c r="MYQ224" s="1201"/>
      <c r="MYR224" s="1201"/>
      <c r="MYS224" s="1201"/>
      <c r="MYT224" s="1201"/>
      <c r="MYU224" s="1201"/>
      <c r="MYV224" s="1201"/>
      <c r="MYW224" s="1201"/>
      <c r="MYX224" s="1201"/>
      <c r="MYY224" s="1201"/>
      <c r="MYZ224" s="1201"/>
      <c r="MZA224" s="1201"/>
      <c r="MZB224" s="1201"/>
      <c r="MZC224" s="1201"/>
      <c r="MZD224" s="1201"/>
      <c r="MZE224" s="1201"/>
      <c r="MZF224" s="1201"/>
      <c r="MZG224" s="1201"/>
      <c r="MZH224" s="1201"/>
      <c r="MZI224" s="1201"/>
      <c r="MZJ224" s="1201"/>
      <c r="MZK224" s="1201"/>
      <c r="MZL224" s="1201"/>
      <c r="MZM224" s="1201"/>
      <c r="MZN224" s="1201"/>
      <c r="MZO224" s="1201"/>
      <c r="MZP224" s="1201"/>
      <c r="MZQ224" s="1201"/>
      <c r="MZR224" s="1201"/>
      <c r="MZS224" s="1201"/>
      <c r="MZT224" s="1201"/>
      <c r="MZU224" s="1201"/>
      <c r="MZV224" s="1201"/>
      <c r="MZW224" s="1201"/>
      <c r="MZX224" s="1201"/>
      <c r="MZY224" s="1201"/>
      <c r="MZZ224" s="1201"/>
      <c r="NAA224" s="1201"/>
      <c r="NAB224" s="1201"/>
      <c r="NAC224" s="1201"/>
      <c r="NAD224" s="1201"/>
      <c r="NAE224" s="1201"/>
      <c r="NAF224" s="1201"/>
      <c r="NAG224" s="1201"/>
      <c r="NAH224" s="1201"/>
      <c r="NAI224" s="1201"/>
      <c r="NAJ224" s="1201"/>
      <c r="NAK224" s="1201"/>
      <c r="NAL224" s="1201"/>
      <c r="NAM224" s="1201"/>
      <c r="NAN224" s="1201"/>
      <c r="NAO224" s="1201"/>
      <c r="NAP224" s="1201"/>
      <c r="NAQ224" s="1201"/>
      <c r="NAR224" s="1201"/>
      <c r="NAS224" s="1201"/>
      <c r="NAT224" s="1201"/>
      <c r="NAU224" s="1201"/>
      <c r="NAV224" s="1201"/>
      <c r="NAW224" s="1201"/>
      <c r="NAX224" s="1201"/>
      <c r="NAY224" s="1201"/>
      <c r="NAZ224" s="1201"/>
      <c r="NBA224" s="1201"/>
      <c r="NBB224" s="1201"/>
      <c r="NBC224" s="1201"/>
      <c r="NBD224" s="1201"/>
      <c r="NBE224" s="1201"/>
      <c r="NBF224" s="1201"/>
      <c r="NBG224" s="1201"/>
      <c r="NBH224" s="1201"/>
      <c r="NBI224" s="1201"/>
      <c r="NBJ224" s="1201"/>
      <c r="NBK224" s="1201"/>
      <c r="NBL224" s="1201"/>
      <c r="NBM224" s="1201"/>
      <c r="NBN224" s="1201"/>
      <c r="NBO224" s="1201"/>
      <c r="NBP224" s="1201"/>
      <c r="NBQ224" s="1201"/>
      <c r="NBR224" s="1201"/>
      <c r="NBS224" s="1201"/>
      <c r="NBT224" s="1201"/>
      <c r="NBU224" s="1201"/>
      <c r="NBV224" s="1201"/>
      <c r="NBW224" s="1201"/>
      <c r="NBX224" s="1201"/>
      <c r="NBY224" s="1201"/>
      <c r="NBZ224" s="1201"/>
      <c r="NCA224" s="1201"/>
      <c r="NCB224" s="1201"/>
      <c r="NCC224" s="1201"/>
      <c r="NCD224" s="1201"/>
      <c r="NCE224" s="1201"/>
      <c r="NCF224" s="1201"/>
      <c r="NCG224" s="1201"/>
      <c r="NCH224" s="1201"/>
      <c r="NCI224" s="1201"/>
      <c r="NCJ224" s="1201"/>
      <c r="NCK224" s="1201"/>
      <c r="NCL224" s="1201"/>
      <c r="NCM224" s="1201"/>
      <c r="NCN224" s="1201"/>
      <c r="NCO224" s="1201"/>
      <c r="NCP224" s="1201"/>
      <c r="NCQ224" s="1201"/>
      <c r="NCR224" s="1201"/>
      <c r="NCS224" s="1201"/>
      <c r="NCT224" s="1201"/>
      <c r="NCU224" s="1201"/>
      <c r="NCV224" s="1201"/>
      <c r="NCW224" s="1201"/>
      <c r="NCX224" s="1201"/>
      <c r="NCY224" s="1201"/>
      <c r="NCZ224" s="1201"/>
      <c r="NDA224" s="1201"/>
      <c r="NDB224" s="1201"/>
      <c r="NDC224" s="1201"/>
      <c r="NDD224" s="1201"/>
      <c r="NDE224" s="1201"/>
      <c r="NDF224" s="1201"/>
      <c r="NDG224" s="1201"/>
      <c r="NDH224" s="1201"/>
      <c r="NDI224" s="1201"/>
      <c r="NDJ224" s="1201"/>
      <c r="NDK224" s="1201"/>
      <c r="NDL224" s="1201"/>
      <c r="NDM224" s="1201"/>
      <c r="NDN224" s="1201"/>
      <c r="NDO224" s="1201"/>
      <c r="NDP224" s="1201"/>
      <c r="NDQ224" s="1201"/>
      <c r="NDR224" s="1201"/>
      <c r="NDS224" s="1201"/>
      <c r="NDT224" s="1201"/>
      <c r="NDU224" s="1201"/>
      <c r="NDV224" s="1201"/>
      <c r="NDW224" s="1201"/>
      <c r="NDX224" s="1201"/>
      <c r="NDY224" s="1201"/>
      <c r="NDZ224" s="1201"/>
      <c r="NEA224" s="1201"/>
      <c r="NEB224" s="1201"/>
      <c r="NEC224" s="1201"/>
      <c r="NED224" s="1201"/>
      <c r="NEE224" s="1201"/>
      <c r="NEF224" s="1201"/>
      <c r="NEG224" s="1201"/>
      <c r="NEH224" s="1201"/>
      <c r="NEI224" s="1201"/>
      <c r="NEJ224" s="1201"/>
      <c r="NEK224" s="1201"/>
      <c r="NEL224" s="1201"/>
      <c r="NEM224" s="1201"/>
      <c r="NEN224" s="1201"/>
      <c r="NEO224" s="1201"/>
      <c r="NEP224" s="1201"/>
      <c r="NEQ224" s="1201"/>
      <c r="NER224" s="1201"/>
      <c r="NES224" s="1201"/>
      <c r="NET224" s="1201"/>
      <c r="NEU224" s="1201"/>
      <c r="NEV224" s="1201"/>
      <c r="NEW224" s="1201"/>
      <c r="NEX224" s="1201"/>
      <c r="NEY224" s="1201"/>
      <c r="NEZ224" s="1201"/>
      <c r="NFA224" s="1201"/>
      <c r="NFB224" s="1201"/>
      <c r="NFC224" s="1201"/>
      <c r="NFD224" s="1201"/>
      <c r="NFE224" s="1201"/>
      <c r="NFF224" s="1201"/>
      <c r="NFG224" s="1201"/>
      <c r="NFH224" s="1201"/>
      <c r="NFI224" s="1201"/>
      <c r="NFJ224" s="1201"/>
      <c r="NFK224" s="1201"/>
      <c r="NFL224" s="1201"/>
      <c r="NFM224" s="1201"/>
      <c r="NFN224" s="1201"/>
      <c r="NFO224" s="1201"/>
      <c r="NFP224" s="1201"/>
      <c r="NFQ224" s="1201"/>
      <c r="NFR224" s="1201"/>
      <c r="NFS224" s="1201"/>
      <c r="NFT224" s="1201"/>
      <c r="NFU224" s="1201"/>
      <c r="NFV224" s="1201"/>
      <c r="NFW224" s="1201"/>
      <c r="NFX224" s="1201"/>
      <c r="NFY224" s="1201"/>
      <c r="NFZ224" s="1201"/>
      <c r="NGA224" s="1201"/>
      <c r="NGB224" s="1201"/>
      <c r="NGC224" s="1201"/>
      <c r="NGD224" s="1201"/>
      <c r="NGE224" s="1201"/>
      <c r="NGF224" s="1201"/>
      <c r="NGG224" s="1201"/>
      <c r="NGH224" s="1201"/>
      <c r="NGI224" s="1201"/>
      <c r="NGJ224" s="1201"/>
      <c r="NGK224" s="1201"/>
      <c r="NGL224" s="1201"/>
      <c r="NGM224" s="1201"/>
      <c r="NGN224" s="1201"/>
      <c r="NGO224" s="1201"/>
      <c r="NGP224" s="1201"/>
      <c r="NGQ224" s="1201"/>
      <c r="NGR224" s="1201"/>
      <c r="NGS224" s="1201"/>
      <c r="NGT224" s="1201"/>
      <c r="NGU224" s="1201"/>
      <c r="NGV224" s="1201"/>
      <c r="NGW224" s="1201"/>
      <c r="NGX224" s="1201"/>
      <c r="NGY224" s="1201"/>
      <c r="NGZ224" s="1201"/>
      <c r="NHA224" s="1201"/>
      <c r="NHB224" s="1201"/>
      <c r="NHC224" s="1201"/>
      <c r="NHD224" s="1201"/>
      <c r="NHE224" s="1201"/>
      <c r="NHF224" s="1201"/>
      <c r="NHG224" s="1201"/>
      <c r="NHH224" s="1201"/>
      <c r="NHI224" s="1201"/>
      <c r="NHJ224" s="1201"/>
      <c r="NHK224" s="1201"/>
      <c r="NHL224" s="1201"/>
      <c r="NHM224" s="1201"/>
      <c r="NHN224" s="1201"/>
      <c r="NHO224" s="1201"/>
      <c r="NHP224" s="1201"/>
      <c r="NHQ224" s="1201"/>
      <c r="NHR224" s="1201"/>
      <c r="NHS224" s="1201"/>
      <c r="NHT224" s="1201"/>
      <c r="NHU224" s="1201"/>
      <c r="NHV224" s="1201"/>
      <c r="NHW224" s="1201"/>
      <c r="NHX224" s="1201"/>
      <c r="NHY224" s="1201"/>
      <c r="NHZ224" s="1201"/>
      <c r="NIA224" s="1201"/>
      <c r="NIB224" s="1201"/>
      <c r="NIC224" s="1201"/>
      <c r="NID224" s="1201"/>
      <c r="NIE224" s="1201"/>
      <c r="NIF224" s="1201"/>
      <c r="NIG224" s="1201"/>
      <c r="NIH224" s="1201"/>
      <c r="NII224" s="1201"/>
      <c r="NIJ224" s="1201"/>
      <c r="NIK224" s="1201"/>
      <c r="NIL224" s="1201"/>
      <c r="NIM224" s="1201"/>
      <c r="NIN224" s="1201"/>
      <c r="NIO224" s="1201"/>
      <c r="NIP224" s="1201"/>
      <c r="NIQ224" s="1201"/>
      <c r="NIR224" s="1201"/>
      <c r="NIS224" s="1201"/>
      <c r="NIT224" s="1201"/>
      <c r="NIU224" s="1201"/>
      <c r="NIV224" s="1201"/>
      <c r="NIW224" s="1201"/>
      <c r="NIX224" s="1201"/>
      <c r="NIY224" s="1201"/>
      <c r="NIZ224" s="1201"/>
      <c r="NJA224" s="1201"/>
      <c r="NJB224" s="1201"/>
      <c r="NJC224" s="1201"/>
      <c r="NJD224" s="1201"/>
      <c r="NJE224" s="1201"/>
      <c r="NJF224" s="1201"/>
      <c r="NJG224" s="1201"/>
      <c r="NJH224" s="1201"/>
      <c r="NJI224" s="1201"/>
      <c r="NJJ224" s="1201"/>
      <c r="NJK224" s="1201"/>
      <c r="NJL224" s="1201"/>
      <c r="NJM224" s="1201"/>
      <c r="NJN224" s="1201"/>
      <c r="NJO224" s="1201"/>
      <c r="NJP224" s="1201"/>
      <c r="NJQ224" s="1201"/>
      <c r="NJR224" s="1201"/>
      <c r="NJS224" s="1201"/>
      <c r="NJT224" s="1201"/>
      <c r="NJU224" s="1201"/>
      <c r="NJV224" s="1201"/>
      <c r="NJW224" s="1201"/>
      <c r="NJX224" s="1201"/>
      <c r="NJY224" s="1201"/>
      <c r="NJZ224" s="1201"/>
      <c r="NKA224" s="1201"/>
      <c r="NKB224" s="1201"/>
      <c r="NKC224" s="1201"/>
      <c r="NKD224" s="1201"/>
      <c r="NKE224" s="1201"/>
      <c r="NKF224" s="1201"/>
      <c r="NKG224" s="1201"/>
      <c r="NKH224" s="1201"/>
      <c r="NKI224" s="1201"/>
      <c r="NKJ224" s="1201"/>
      <c r="NKK224" s="1201"/>
      <c r="NKL224" s="1201"/>
      <c r="NKM224" s="1201"/>
      <c r="NKN224" s="1201"/>
      <c r="NKO224" s="1201"/>
      <c r="NKP224" s="1201"/>
      <c r="NKQ224" s="1201"/>
      <c r="NKR224" s="1201"/>
      <c r="NKS224" s="1201"/>
      <c r="NKT224" s="1201"/>
      <c r="NKU224" s="1201"/>
      <c r="NKV224" s="1201"/>
      <c r="NKW224" s="1201"/>
      <c r="NKX224" s="1201"/>
      <c r="NKY224" s="1201"/>
      <c r="NKZ224" s="1201"/>
      <c r="NLA224" s="1201"/>
      <c r="NLB224" s="1201"/>
      <c r="NLC224" s="1201"/>
      <c r="NLD224" s="1201"/>
      <c r="NLE224" s="1201"/>
      <c r="NLF224" s="1201"/>
      <c r="NLG224" s="1201"/>
      <c r="NLH224" s="1201"/>
      <c r="NLI224" s="1201"/>
      <c r="NLJ224" s="1201"/>
      <c r="NLK224" s="1201"/>
      <c r="NLL224" s="1201"/>
      <c r="NLM224" s="1201"/>
      <c r="NLN224" s="1201"/>
      <c r="NLO224" s="1201"/>
      <c r="NLP224" s="1201"/>
      <c r="NLQ224" s="1201"/>
      <c r="NLR224" s="1201"/>
      <c r="NLS224" s="1201"/>
      <c r="NLT224" s="1201"/>
      <c r="NLU224" s="1201"/>
      <c r="NLV224" s="1201"/>
      <c r="NLW224" s="1201"/>
      <c r="NLX224" s="1201"/>
      <c r="NLY224" s="1201"/>
      <c r="NLZ224" s="1201"/>
      <c r="NMA224" s="1201"/>
      <c r="NMB224" s="1201"/>
      <c r="NMC224" s="1201"/>
      <c r="NMD224" s="1201"/>
      <c r="NME224" s="1201"/>
      <c r="NMF224" s="1201"/>
      <c r="NMG224" s="1201"/>
      <c r="NMH224" s="1201"/>
      <c r="NMI224" s="1201"/>
      <c r="NMJ224" s="1201"/>
      <c r="NMK224" s="1201"/>
      <c r="NML224" s="1201"/>
      <c r="NMM224" s="1201"/>
      <c r="NMN224" s="1201"/>
      <c r="NMO224" s="1201"/>
      <c r="NMP224" s="1201"/>
      <c r="NMQ224" s="1201"/>
      <c r="NMR224" s="1201"/>
      <c r="NMS224" s="1201"/>
      <c r="NMT224" s="1201"/>
      <c r="NMU224" s="1201"/>
      <c r="NMV224" s="1201"/>
      <c r="NMW224" s="1201"/>
      <c r="NMX224" s="1201"/>
      <c r="NMY224" s="1201"/>
      <c r="NMZ224" s="1201"/>
      <c r="NNA224" s="1201"/>
      <c r="NNB224" s="1201"/>
      <c r="NNC224" s="1201"/>
      <c r="NND224" s="1201"/>
      <c r="NNE224" s="1201"/>
      <c r="NNF224" s="1201"/>
      <c r="NNG224" s="1201"/>
      <c r="NNH224" s="1201"/>
      <c r="NNI224" s="1201"/>
      <c r="NNJ224" s="1201"/>
      <c r="NNK224" s="1201"/>
      <c r="NNL224" s="1201"/>
      <c r="NNM224" s="1201"/>
      <c r="NNN224" s="1201"/>
      <c r="NNO224" s="1201"/>
      <c r="NNP224" s="1201"/>
      <c r="NNQ224" s="1201"/>
      <c r="NNR224" s="1201"/>
      <c r="NNS224" s="1201"/>
      <c r="NNT224" s="1201"/>
      <c r="NNU224" s="1201"/>
      <c r="NNV224" s="1201"/>
      <c r="NNW224" s="1201"/>
      <c r="NNX224" s="1201"/>
      <c r="NNY224" s="1201"/>
      <c r="NNZ224" s="1201"/>
      <c r="NOA224" s="1201"/>
      <c r="NOB224" s="1201"/>
      <c r="NOC224" s="1201"/>
      <c r="NOD224" s="1201"/>
      <c r="NOE224" s="1201"/>
      <c r="NOF224" s="1201"/>
      <c r="NOG224" s="1201"/>
      <c r="NOH224" s="1201"/>
      <c r="NOI224" s="1201"/>
      <c r="NOJ224" s="1201"/>
      <c r="NOK224" s="1201"/>
      <c r="NOL224" s="1201"/>
      <c r="NOM224" s="1201"/>
      <c r="NON224" s="1201"/>
      <c r="NOO224" s="1201"/>
      <c r="NOP224" s="1201"/>
      <c r="NOQ224" s="1201"/>
      <c r="NOR224" s="1201"/>
      <c r="NOS224" s="1201"/>
      <c r="NOT224" s="1201"/>
      <c r="NOU224" s="1201"/>
      <c r="NOV224" s="1201"/>
      <c r="NOW224" s="1201"/>
      <c r="NOX224" s="1201"/>
      <c r="NOY224" s="1201"/>
      <c r="NOZ224" s="1201"/>
      <c r="NPA224" s="1201"/>
      <c r="NPB224" s="1201"/>
      <c r="NPC224" s="1201"/>
      <c r="NPD224" s="1201"/>
      <c r="NPE224" s="1201"/>
      <c r="NPF224" s="1201"/>
      <c r="NPG224" s="1201"/>
      <c r="NPH224" s="1201"/>
      <c r="NPI224" s="1201"/>
      <c r="NPJ224" s="1201"/>
      <c r="NPK224" s="1201"/>
      <c r="NPL224" s="1201"/>
      <c r="NPM224" s="1201"/>
      <c r="NPN224" s="1201"/>
      <c r="NPO224" s="1201"/>
      <c r="NPP224" s="1201"/>
      <c r="NPQ224" s="1201"/>
      <c r="NPR224" s="1201"/>
      <c r="NPS224" s="1201"/>
      <c r="NPT224" s="1201"/>
      <c r="NPU224" s="1201"/>
      <c r="NPV224" s="1201"/>
      <c r="NPW224" s="1201"/>
      <c r="NPX224" s="1201"/>
      <c r="NPY224" s="1201"/>
      <c r="NPZ224" s="1201"/>
      <c r="NQA224" s="1201"/>
      <c r="NQB224" s="1201"/>
      <c r="NQC224" s="1201"/>
      <c r="NQD224" s="1201"/>
      <c r="NQE224" s="1201"/>
      <c r="NQF224" s="1201"/>
      <c r="NQG224" s="1201"/>
      <c r="NQH224" s="1201"/>
      <c r="NQI224" s="1201"/>
      <c r="NQJ224" s="1201"/>
      <c r="NQK224" s="1201"/>
      <c r="NQL224" s="1201"/>
      <c r="NQM224" s="1201"/>
      <c r="NQN224" s="1201"/>
      <c r="NQO224" s="1201"/>
      <c r="NQP224" s="1201"/>
      <c r="NQQ224" s="1201"/>
      <c r="NQR224" s="1201"/>
      <c r="NQS224" s="1201"/>
      <c r="NQT224" s="1201"/>
      <c r="NQU224" s="1201"/>
      <c r="NQV224" s="1201"/>
      <c r="NQW224" s="1201"/>
      <c r="NQX224" s="1201"/>
      <c r="NQY224" s="1201"/>
      <c r="NQZ224" s="1201"/>
      <c r="NRA224" s="1201"/>
      <c r="NRB224" s="1201"/>
      <c r="NRC224" s="1201"/>
      <c r="NRD224" s="1201"/>
      <c r="NRE224" s="1201"/>
      <c r="NRF224" s="1201"/>
      <c r="NRG224" s="1201"/>
      <c r="NRH224" s="1201"/>
      <c r="NRI224" s="1201"/>
      <c r="NRJ224" s="1201"/>
      <c r="NRK224" s="1201"/>
      <c r="NRL224" s="1201"/>
      <c r="NRM224" s="1201"/>
      <c r="NRN224" s="1201"/>
      <c r="NRO224" s="1201"/>
      <c r="NRP224" s="1201"/>
      <c r="NRQ224" s="1201"/>
      <c r="NRR224" s="1201"/>
      <c r="NRS224" s="1201"/>
      <c r="NRT224" s="1201"/>
      <c r="NRU224" s="1201"/>
      <c r="NRV224" s="1201"/>
      <c r="NRW224" s="1201"/>
      <c r="NRX224" s="1201"/>
      <c r="NRY224" s="1201"/>
      <c r="NRZ224" s="1201"/>
      <c r="NSA224" s="1201"/>
      <c r="NSB224" s="1201"/>
      <c r="NSC224" s="1201"/>
      <c r="NSD224" s="1201"/>
      <c r="NSE224" s="1201"/>
      <c r="NSF224" s="1201"/>
      <c r="NSG224" s="1201"/>
      <c r="NSH224" s="1201"/>
      <c r="NSI224" s="1201"/>
      <c r="NSJ224" s="1201"/>
      <c r="NSK224" s="1201"/>
      <c r="NSL224" s="1201"/>
      <c r="NSM224" s="1201"/>
      <c r="NSN224" s="1201"/>
      <c r="NSO224" s="1201"/>
      <c r="NSP224" s="1201"/>
      <c r="NSQ224" s="1201"/>
      <c r="NSR224" s="1201"/>
      <c r="NSS224" s="1201"/>
      <c r="NST224" s="1201"/>
      <c r="NSU224" s="1201"/>
      <c r="NSV224" s="1201"/>
      <c r="NSW224" s="1201"/>
      <c r="NSX224" s="1201"/>
      <c r="NSY224" s="1201"/>
      <c r="NSZ224" s="1201"/>
      <c r="NTA224" s="1201"/>
      <c r="NTB224" s="1201"/>
      <c r="NTC224" s="1201"/>
      <c r="NTD224" s="1201"/>
      <c r="NTE224" s="1201"/>
      <c r="NTF224" s="1201"/>
      <c r="NTG224" s="1201"/>
      <c r="NTH224" s="1201"/>
      <c r="NTI224" s="1201"/>
      <c r="NTJ224" s="1201"/>
      <c r="NTK224" s="1201"/>
      <c r="NTL224" s="1201"/>
      <c r="NTM224" s="1201"/>
      <c r="NTN224" s="1201"/>
      <c r="NTO224" s="1201"/>
      <c r="NTP224" s="1201"/>
      <c r="NTQ224" s="1201"/>
      <c r="NTR224" s="1201"/>
      <c r="NTS224" s="1201"/>
      <c r="NTT224" s="1201"/>
      <c r="NTU224" s="1201"/>
      <c r="NTV224" s="1201"/>
      <c r="NTW224" s="1201"/>
      <c r="NTX224" s="1201"/>
      <c r="NTY224" s="1201"/>
      <c r="NTZ224" s="1201"/>
      <c r="NUA224" s="1201"/>
      <c r="NUB224" s="1201"/>
      <c r="NUC224" s="1201"/>
      <c r="NUD224" s="1201"/>
      <c r="NUE224" s="1201"/>
      <c r="NUF224" s="1201"/>
      <c r="NUG224" s="1201"/>
      <c r="NUH224" s="1201"/>
      <c r="NUI224" s="1201"/>
      <c r="NUJ224" s="1201"/>
      <c r="NUK224" s="1201"/>
      <c r="NUL224" s="1201"/>
      <c r="NUM224" s="1201"/>
      <c r="NUN224" s="1201"/>
      <c r="NUO224" s="1201"/>
      <c r="NUP224" s="1201"/>
      <c r="NUQ224" s="1201"/>
      <c r="NUR224" s="1201"/>
      <c r="NUS224" s="1201"/>
      <c r="NUT224" s="1201"/>
      <c r="NUU224" s="1201"/>
      <c r="NUV224" s="1201"/>
      <c r="NUW224" s="1201"/>
      <c r="NUX224" s="1201"/>
      <c r="NUY224" s="1201"/>
      <c r="NUZ224" s="1201"/>
      <c r="NVA224" s="1201"/>
      <c r="NVB224" s="1201"/>
      <c r="NVC224" s="1201"/>
      <c r="NVD224" s="1201"/>
      <c r="NVE224" s="1201"/>
      <c r="NVF224" s="1201"/>
      <c r="NVG224" s="1201"/>
      <c r="NVH224" s="1201"/>
      <c r="NVI224" s="1201"/>
      <c r="NVJ224" s="1201"/>
      <c r="NVK224" s="1201"/>
      <c r="NVL224" s="1201"/>
      <c r="NVM224" s="1201"/>
      <c r="NVN224" s="1201"/>
      <c r="NVO224" s="1201"/>
      <c r="NVP224" s="1201"/>
      <c r="NVQ224" s="1201"/>
      <c r="NVR224" s="1201"/>
      <c r="NVS224" s="1201"/>
      <c r="NVT224" s="1201"/>
      <c r="NVU224" s="1201"/>
      <c r="NVV224" s="1201"/>
      <c r="NVW224" s="1201"/>
      <c r="NVX224" s="1201"/>
      <c r="NVY224" s="1201"/>
      <c r="NVZ224" s="1201"/>
      <c r="NWA224" s="1201"/>
      <c r="NWB224" s="1201"/>
      <c r="NWC224" s="1201"/>
      <c r="NWD224" s="1201"/>
      <c r="NWE224" s="1201"/>
      <c r="NWF224" s="1201"/>
      <c r="NWG224" s="1201"/>
      <c r="NWH224" s="1201"/>
      <c r="NWI224" s="1201"/>
      <c r="NWJ224" s="1201"/>
      <c r="NWK224" s="1201"/>
      <c r="NWL224" s="1201"/>
      <c r="NWM224" s="1201"/>
      <c r="NWN224" s="1201"/>
      <c r="NWO224" s="1201"/>
      <c r="NWP224" s="1201"/>
      <c r="NWQ224" s="1201"/>
      <c r="NWR224" s="1201"/>
      <c r="NWS224" s="1201"/>
      <c r="NWT224" s="1201"/>
      <c r="NWU224" s="1201"/>
      <c r="NWV224" s="1201"/>
      <c r="NWW224" s="1201"/>
      <c r="NWX224" s="1201"/>
      <c r="NWY224" s="1201"/>
      <c r="NWZ224" s="1201"/>
      <c r="NXA224" s="1201"/>
      <c r="NXB224" s="1201"/>
      <c r="NXC224" s="1201"/>
      <c r="NXD224" s="1201"/>
      <c r="NXE224" s="1201"/>
      <c r="NXF224" s="1201"/>
      <c r="NXG224" s="1201"/>
      <c r="NXH224" s="1201"/>
      <c r="NXI224" s="1201"/>
      <c r="NXJ224" s="1201"/>
      <c r="NXK224" s="1201"/>
      <c r="NXL224" s="1201"/>
      <c r="NXM224" s="1201"/>
      <c r="NXN224" s="1201"/>
      <c r="NXO224" s="1201"/>
      <c r="NXP224" s="1201"/>
      <c r="NXQ224" s="1201"/>
      <c r="NXR224" s="1201"/>
      <c r="NXS224" s="1201"/>
      <c r="NXT224" s="1201"/>
      <c r="NXU224" s="1201"/>
      <c r="NXV224" s="1201"/>
      <c r="NXW224" s="1201"/>
      <c r="NXX224" s="1201"/>
      <c r="NXY224" s="1201"/>
      <c r="NXZ224" s="1201"/>
      <c r="NYA224" s="1201"/>
      <c r="NYB224" s="1201"/>
      <c r="NYC224" s="1201"/>
      <c r="NYD224" s="1201"/>
      <c r="NYE224" s="1201"/>
      <c r="NYF224" s="1201"/>
      <c r="NYG224" s="1201"/>
      <c r="NYH224" s="1201"/>
      <c r="NYI224" s="1201"/>
      <c r="NYJ224" s="1201"/>
      <c r="NYK224" s="1201"/>
      <c r="NYL224" s="1201"/>
      <c r="NYM224" s="1201"/>
      <c r="NYN224" s="1201"/>
      <c r="NYO224" s="1201"/>
      <c r="NYP224" s="1201"/>
      <c r="NYQ224" s="1201"/>
      <c r="NYR224" s="1201"/>
      <c r="NYS224" s="1201"/>
      <c r="NYT224" s="1201"/>
      <c r="NYU224" s="1201"/>
      <c r="NYV224" s="1201"/>
      <c r="NYW224" s="1201"/>
      <c r="NYX224" s="1201"/>
      <c r="NYY224" s="1201"/>
      <c r="NYZ224" s="1201"/>
      <c r="NZA224" s="1201"/>
      <c r="NZB224" s="1201"/>
      <c r="NZC224" s="1201"/>
      <c r="NZD224" s="1201"/>
      <c r="NZE224" s="1201"/>
      <c r="NZF224" s="1201"/>
      <c r="NZG224" s="1201"/>
      <c r="NZH224" s="1201"/>
      <c r="NZI224" s="1201"/>
      <c r="NZJ224" s="1201"/>
      <c r="NZK224" s="1201"/>
      <c r="NZL224" s="1201"/>
      <c r="NZM224" s="1201"/>
      <c r="NZN224" s="1201"/>
      <c r="NZO224" s="1201"/>
      <c r="NZP224" s="1201"/>
      <c r="NZQ224" s="1201"/>
      <c r="NZR224" s="1201"/>
      <c r="NZS224" s="1201"/>
      <c r="NZT224" s="1201"/>
      <c r="NZU224" s="1201"/>
      <c r="NZV224" s="1201"/>
      <c r="NZW224" s="1201"/>
      <c r="NZX224" s="1201"/>
      <c r="NZY224" s="1201"/>
      <c r="NZZ224" s="1201"/>
      <c r="OAA224" s="1201"/>
      <c r="OAB224" s="1201"/>
      <c r="OAC224" s="1201"/>
      <c r="OAD224" s="1201"/>
      <c r="OAE224" s="1201"/>
      <c r="OAF224" s="1201"/>
      <c r="OAG224" s="1201"/>
      <c r="OAH224" s="1201"/>
      <c r="OAI224" s="1201"/>
      <c r="OAJ224" s="1201"/>
      <c r="OAK224" s="1201"/>
      <c r="OAL224" s="1201"/>
      <c r="OAM224" s="1201"/>
      <c r="OAN224" s="1201"/>
      <c r="OAO224" s="1201"/>
      <c r="OAP224" s="1201"/>
      <c r="OAQ224" s="1201"/>
      <c r="OAR224" s="1201"/>
      <c r="OAS224" s="1201"/>
      <c r="OAT224" s="1201"/>
      <c r="OAU224" s="1201"/>
      <c r="OAV224" s="1201"/>
      <c r="OAW224" s="1201"/>
      <c r="OAX224" s="1201"/>
      <c r="OAY224" s="1201"/>
      <c r="OAZ224" s="1201"/>
      <c r="OBA224" s="1201"/>
      <c r="OBB224" s="1201"/>
      <c r="OBC224" s="1201"/>
      <c r="OBD224" s="1201"/>
      <c r="OBE224" s="1201"/>
      <c r="OBF224" s="1201"/>
      <c r="OBG224" s="1201"/>
      <c r="OBH224" s="1201"/>
      <c r="OBI224" s="1201"/>
      <c r="OBJ224" s="1201"/>
      <c r="OBK224" s="1201"/>
      <c r="OBL224" s="1201"/>
      <c r="OBM224" s="1201"/>
      <c r="OBN224" s="1201"/>
      <c r="OBO224" s="1201"/>
      <c r="OBP224" s="1201"/>
      <c r="OBQ224" s="1201"/>
      <c r="OBR224" s="1201"/>
      <c r="OBS224" s="1201"/>
      <c r="OBT224" s="1201"/>
      <c r="OBU224" s="1201"/>
      <c r="OBV224" s="1201"/>
      <c r="OBW224" s="1201"/>
      <c r="OBX224" s="1201"/>
      <c r="OBY224" s="1201"/>
      <c r="OBZ224" s="1201"/>
      <c r="OCA224" s="1201"/>
      <c r="OCB224" s="1201"/>
      <c r="OCC224" s="1201"/>
      <c r="OCD224" s="1201"/>
      <c r="OCE224" s="1201"/>
      <c r="OCF224" s="1201"/>
      <c r="OCG224" s="1201"/>
      <c r="OCH224" s="1201"/>
      <c r="OCI224" s="1201"/>
      <c r="OCJ224" s="1201"/>
      <c r="OCK224" s="1201"/>
      <c r="OCL224" s="1201"/>
      <c r="OCM224" s="1201"/>
      <c r="OCN224" s="1201"/>
      <c r="OCO224" s="1201"/>
      <c r="OCP224" s="1201"/>
      <c r="OCQ224" s="1201"/>
      <c r="OCR224" s="1201"/>
      <c r="OCS224" s="1201"/>
      <c r="OCT224" s="1201"/>
      <c r="OCU224" s="1201"/>
      <c r="OCV224" s="1201"/>
      <c r="OCW224" s="1201"/>
      <c r="OCX224" s="1201"/>
      <c r="OCY224" s="1201"/>
      <c r="OCZ224" s="1201"/>
      <c r="ODA224" s="1201"/>
      <c r="ODB224" s="1201"/>
      <c r="ODC224" s="1201"/>
      <c r="ODD224" s="1201"/>
      <c r="ODE224" s="1201"/>
      <c r="ODF224" s="1201"/>
      <c r="ODG224" s="1201"/>
      <c r="ODH224" s="1201"/>
      <c r="ODI224" s="1201"/>
      <c r="ODJ224" s="1201"/>
      <c r="ODK224" s="1201"/>
      <c r="ODL224" s="1201"/>
      <c r="ODM224" s="1201"/>
      <c r="ODN224" s="1201"/>
      <c r="ODO224" s="1201"/>
      <c r="ODP224" s="1201"/>
      <c r="ODQ224" s="1201"/>
      <c r="ODR224" s="1201"/>
      <c r="ODS224" s="1201"/>
      <c r="ODT224" s="1201"/>
      <c r="ODU224" s="1201"/>
      <c r="ODV224" s="1201"/>
      <c r="ODW224" s="1201"/>
      <c r="ODX224" s="1201"/>
      <c r="ODY224" s="1201"/>
      <c r="ODZ224" s="1201"/>
      <c r="OEA224" s="1201"/>
      <c r="OEB224" s="1201"/>
      <c r="OEC224" s="1201"/>
      <c r="OED224" s="1201"/>
      <c r="OEE224" s="1201"/>
      <c r="OEF224" s="1201"/>
      <c r="OEG224" s="1201"/>
      <c r="OEH224" s="1201"/>
      <c r="OEI224" s="1201"/>
      <c r="OEJ224" s="1201"/>
      <c r="OEK224" s="1201"/>
      <c r="OEL224" s="1201"/>
      <c r="OEM224" s="1201"/>
      <c r="OEN224" s="1201"/>
      <c r="OEO224" s="1201"/>
      <c r="OEP224" s="1201"/>
      <c r="OEQ224" s="1201"/>
      <c r="OER224" s="1201"/>
      <c r="OES224" s="1201"/>
      <c r="OET224" s="1201"/>
      <c r="OEU224" s="1201"/>
      <c r="OEV224" s="1201"/>
      <c r="OEW224" s="1201"/>
      <c r="OEX224" s="1201"/>
      <c r="OEY224" s="1201"/>
      <c r="OEZ224" s="1201"/>
      <c r="OFA224" s="1201"/>
      <c r="OFB224" s="1201"/>
      <c r="OFC224" s="1201"/>
      <c r="OFD224" s="1201"/>
      <c r="OFE224" s="1201"/>
      <c r="OFF224" s="1201"/>
      <c r="OFG224" s="1201"/>
      <c r="OFH224" s="1201"/>
      <c r="OFI224" s="1201"/>
      <c r="OFJ224" s="1201"/>
      <c r="OFK224" s="1201"/>
      <c r="OFL224" s="1201"/>
      <c r="OFM224" s="1201"/>
      <c r="OFN224" s="1201"/>
      <c r="OFO224" s="1201"/>
      <c r="OFP224" s="1201"/>
      <c r="OFQ224" s="1201"/>
      <c r="OFR224" s="1201"/>
      <c r="OFS224" s="1201"/>
      <c r="OFT224" s="1201"/>
      <c r="OFU224" s="1201"/>
      <c r="OFV224" s="1201"/>
      <c r="OFW224" s="1201"/>
      <c r="OFX224" s="1201"/>
      <c r="OFY224" s="1201"/>
      <c r="OFZ224" s="1201"/>
      <c r="OGA224" s="1201"/>
      <c r="OGB224" s="1201"/>
      <c r="OGC224" s="1201"/>
      <c r="OGD224" s="1201"/>
      <c r="OGE224" s="1201"/>
      <c r="OGF224" s="1201"/>
      <c r="OGG224" s="1201"/>
      <c r="OGH224" s="1201"/>
      <c r="OGI224" s="1201"/>
      <c r="OGJ224" s="1201"/>
      <c r="OGK224" s="1201"/>
      <c r="OGL224" s="1201"/>
      <c r="OGM224" s="1201"/>
      <c r="OGN224" s="1201"/>
      <c r="OGO224" s="1201"/>
      <c r="OGP224" s="1201"/>
      <c r="OGQ224" s="1201"/>
      <c r="OGR224" s="1201"/>
      <c r="OGS224" s="1201"/>
      <c r="OGT224" s="1201"/>
      <c r="OGU224" s="1201"/>
      <c r="OGV224" s="1201"/>
      <c r="OGW224" s="1201"/>
      <c r="OGX224" s="1201"/>
      <c r="OGY224" s="1201"/>
      <c r="OGZ224" s="1201"/>
      <c r="OHA224" s="1201"/>
      <c r="OHB224" s="1201"/>
      <c r="OHC224" s="1201"/>
      <c r="OHD224" s="1201"/>
      <c r="OHE224" s="1201"/>
      <c r="OHF224" s="1201"/>
      <c r="OHG224" s="1201"/>
      <c r="OHH224" s="1201"/>
      <c r="OHI224" s="1201"/>
      <c r="OHJ224" s="1201"/>
      <c r="OHK224" s="1201"/>
      <c r="OHL224" s="1201"/>
      <c r="OHM224" s="1201"/>
      <c r="OHN224" s="1201"/>
      <c r="OHO224" s="1201"/>
      <c r="OHP224" s="1201"/>
      <c r="OHQ224" s="1201"/>
      <c r="OHR224" s="1201"/>
      <c r="OHS224" s="1201"/>
      <c r="OHT224" s="1201"/>
      <c r="OHU224" s="1201"/>
      <c r="OHV224" s="1201"/>
      <c r="OHW224" s="1201"/>
      <c r="OHX224" s="1201"/>
      <c r="OHY224" s="1201"/>
      <c r="OHZ224" s="1201"/>
      <c r="OIA224" s="1201"/>
      <c r="OIB224" s="1201"/>
      <c r="OIC224" s="1201"/>
      <c r="OID224" s="1201"/>
      <c r="OIE224" s="1201"/>
      <c r="OIF224" s="1201"/>
      <c r="OIG224" s="1201"/>
      <c r="OIH224" s="1201"/>
      <c r="OII224" s="1201"/>
      <c r="OIJ224" s="1201"/>
      <c r="OIK224" s="1201"/>
      <c r="OIL224" s="1201"/>
      <c r="OIM224" s="1201"/>
      <c r="OIN224" s="1201"/>
      <c r="OIO224" s="1201"/>
      <c r="OIP224" s="1201"/>
      <c r="OIQ224" s="1201"/>
      <c r="OIR224" s="1201"/>
      <c r="OIS224" s="1201"/>
      <c r="OIT224" s="1201"/>
      <c r="OIU224" s="1201"/>
      <c r="OIV224" s="1201"/>
      <c r="OIW224" s="1201"/>
      <c r="OIX224" s="1201"/>
      <c r="OIY224" s="1201"/>
      <c r="OIZ224" s="1201"/>
      <c r="OJA224" s="1201"/>
      <c r="OJB224" s="1201"/>
      <c r="OJC224" s="1201"/>
      <c r="OJD224" s="1201"/>
      <c r="OJE224" s="1201"/>
      <c r="OJF224" s="1201"/>
      <c r="OJG224" s="1201"/>
      <c r="OJH224" s="1201"/>
      <c r="OJI224" s="1201"/>
      <c r="OJJ224" s="1201"/>
      <c r="OJK224" s="1201"/>
      <c r="OJL224" s="1201"/>
      <c r="OJM224" s="1201"/>
      <c r="OJN224" s="1201"/>
      <c r="OJO224" s="1201"/>
      <c r="OJP224" s="1201"/>
      <c r="OJQ224" s="1201"/>
      <c r="OJR224" s="1201"/>
      <c r="OJS224" s="1201"/>
      <c r="OJT224" s="1201"/>
      <c r="OJU224" s="1201"/>
      <c r="OJV224" s="1201"/>
      <c r="OJW224" s="1201"/>
      <c r="OJX224" s="1201"/>
      <c r="OJY224" s="1201"/>
      <c r="OJZ224" s="1201"/>
      <c r="OKA224" s="1201"/>
      <c r="OKB224" s="1201"/>
      <c r="OKC224" s="1201"/>
      <c r="OKD224" s="1201"/>
      <c r="OKE224" s="1201"/>
      <c r="OKF224" s="1201"/>
      <c r="OKG224" s="1201"/>
      <c r="OKH224" s="1201"/>
      <c r="OKI224" s="1201"/>
      <c r="OKJ224" s="1201"/>
      <c r="OKK224" s="1201"/>
      <c r="OKL224" s="1201"/>
      <c r="OKM224" s="1201"/>
      <c r="OKN224" s="1201"/>
      <c r="OKO224" s="1201"/>
      <c r="OKP224" s="1201"/>
      <c r="OKQ224" s="1201"/>
      <c r="OKR224" s="1201"/>
      <c r="OKS224" s="1201"/>
      <c r="OKT224" s="1201"/>
      <c r="OKU224" s="1201"/>
      <c r="OKV224" s="1201"/>
      <c r="OKW224" s="1201"/>
      <c r="OKX224" s="1201"/>
      <c r="OKY224" s="1201"/>
      <c r="OKZ224" s="1201"/>
      <c r="OLA224" s="1201"/>
      <c r="OLB224" s="1201"/>
      <c r="OLC224" s="1201"/>
      <c r="OLD224" s="1201"/>
      <c r="OLE224" s="1201"/>
      <c r="OLF224" s="1201"/>
      <c r="OLG224" s="1201"/>
      <c r="OLH224" s="1201"/>
      <c r="OLI224" s="1201"/>
      <c r="OLJ224" s="1201"/>
      <c r="OLK224" s="1201"/>
      <c r="OLL224" s="1201"/>
      <c r="OLM224" s="1201"/>
      <c r="OLN224" s="1201"/>
      <c r="OLO224" s="1201"/>
      <c r="OLP224" s="1201"/>
      <c r="OLQ224" s="1201"/>
      <c r="OLR224" s="1201"/>
      <c r="OLS224" s="1201"/>
      <c r="OLT224" s="1201"/>
      <c r="OLU224" s="1201"/>
      <c r="OLV224" s="1201"/>
      <c r="OLW224" s="1201"/>
      <c r="OLX224" s="1201"/>
      <c r="OLY224" s="1201"/>
      <c r="OLZ224" s="1201"/>
      <c r="OMA224" s="1201"/>
      <c r="OMB224" s="1201"/>
      <c r="OMC224" s="1201"/>
      <c r="OMD224" s="1201"/>
      <c r="OME224" s="1201"/>
      <c r="OMF224" s="1201"/>
      <c r="OMG224" s="1201"/>
      <c r="OMH224" s="1201"/>
      <c r="OMI224" s="1201"/>
      <c r="OMJ224" s="1201"/>
      <c r="OMK224" s="1201"/>
      <c r="OML224" s="1201"/>
      <c r="OMM224" s="1201"/>
      <c r="OMN224" s="1201"/>
      <c r="OMO224" s="1201"/>
      <c r="OMP224" s="1201"/>
      <c r="OMQ224" s="1201"/>
      <c r="OMR224" s="1201"/>
      <c r="OMS224" s="1201"/>
      <c r="OMT224" s="1201"/>
      <c r="OMU224" s="1201"/>
      <c r="OMV224" s="1201"/>
      <c r="OMW224" s="1201"/>
      <c r="OMX224" s="1201"/>
      <c r="OMY224" s="1201"/>
      <c r="OMZ224" s="1201"/>
      <c r="ONA224" s="1201"/>
      <c r="ONB224" s="1201"/>
      <c r="ONC224" s="1201"/>
      <c r="OND224" s="1201"/>
      <c r="ONE224" s="1201"/>
      <c r="ONF224" s="1201"/>
      <c r="ONG224" s="1201"/>
      <c r="ONH224" s="1201"/>
      <c r="ONI224" s="1201"/>
      <c r="ONJ224" s="1201"/>
      <c r="ONK224" s="1201"/>
      <c r="ONL224" s="1201"/>
      <c r="ONM224" s="1201"/>
      <c r="ONN224" s="1201"/>
      <c r="ONO224" s="1201"/>
      <c r="ONP224" s="1201"/>
      <c r="ONQ224" s="1201"/>
      <c r="ONR224" s="1201"/>
      <c r="ONS224" s="1201"/>
      <c r="ONT224" s="1201"/>
      <c r="ONU224" s="1201"/>
      <c r="ONV224" s="1201"/>
      <c r="ONW224" s="1201"/>
      <c r="ONX224" s="1201"/>
      <c r="ONY224" s="1201"/>
      <c r="ONZ224" s="1201"/>
      <c r="OOA224" s="1201"/>
      <c r="OOB224" s="1201"/>
      <c r="OOC224" s="1201"/>
      <c r="OOD224" s="1201"/>
      <c r="OOE224" s="1201"/>
      <c r="OOF224" s="1201"/>
      <c r="OOG224" s="1201"/>
      <c r="OOH224" s="1201"/>
      <c r="OOI224" s="1201"/>
      <c r="OOJ224" s="1201"/>
      <c r="OOK224" s="1201"/>
      <c r="OOL224" s="1201"/>
      <c r="OOM224" s="1201"/>
      <c r="OON224" s="1201"/>
      <c r="OOO224" s="1201"/>
      <c r="OOP224" s="1201"/>
      <c r="OOQ224" s="1201"/>
      <c r="OOR224" s="1201"/>
      <c r="OOS224" s="1201"/>
      <c r="OOT224" s="1201"/>
      <c r="OOU224" s="1201"/>
      <c r="OOV224" s="1201"/>
      <c r="OOW224" s="1201"/>
      <c r="OOX224" s="1201"/>
      <c r="OOY224" s="1201"/>
      <c r="OOZ224" s="1201"/>
      <c r="OPA224" s="1201"/>
      <c r="OPB224" s="1201"/>
      <c r="OPC224" s="1201"/>
      <c r="OPD224" s="1201"/>
      <c r="OPE224" s="1201"/>
      <c r="OPF224" s="1201"/>
      <c r="OPG224" s="1201"/>
      <c r="OPH224" s="1201"/>
      <c r="OPI224" s="1201"/>
      <c r="OPJ224" s="1201"/>
      <c r="OPK224" s="1201"/>
      <c r="OPL224" s="1201"/>
      <c r="OPM224" s="1201"/>
      <c r="OPN224" s="1201"/>
      <c r="OPO224" s="1201"/>
      <c r="OPP224" s="1201"/>
      <c r="OPQ224" s="1201"/>
      <c r="OPR224" s="1201"/>
      <c r="OPS224" s="1201"/>
      <c r="OPT224" s="1201"/>
      <c r="OPU224" s="1201"/>
      <c r="OPV224" s="1201"/>
      <c r="OPW224" s="1201"/>
      <c r="OPX224" s="1201"/>
      <c r="OPY224" s="1201"/>
      <c r="OPZ224" s="1201"/>
      <c r="OQA224" s="1201"/>
      <c r="OQB224" s="1201"/>
      <c r="OQC224" s="1201"/>
      <c r="OQD224" s="1201"/>
      <c r="OQE224" s="1201"/>
      <c r="OQF224" s="1201"/>
      <c r="OQG224" s="1201"/>
      <c r="OQH224" s="1201"/>
      <c r="OQI224" s="1201"/>
      <c r="OQJ224" s="1201"/>
      <c r="OQK224" s="1201"/>
      <c r="OQL224" s="1201"/>
      <c r="OQM224" s="1201"/>
      <c r="OQN224" s="1201"/>
      <c r="OQO224" s="1201"/>
      <c r="OQP224" s="1201"/>
      <c r="OQQ224" s="1201"/>
      <c r="OQR224" s="1201"/>
      <c r="OQS224" s="1201"/>
      <c r="OQT224" s="1201"/>
      <c r="OQU224" s="1201"/>
      <c r="OQV224" s="1201"/>
      <c r="OQW224" s="1201"/>
      <c r="OQX224" s="1201"/>
      <c r="OQY224" s="1201"/>
      <c r="OQZ224" s="1201"/>
      <c r="ORA224" s="1201"/>
      <c r="ORB224" s="1201"/>
      <c r="ORC224" s="1201"/>
      <c r="ORD224" s="1201"/>
      <c r="ORE224" s="1201"/>
      <c r="ORF224" s="1201"/>
      <c r="ORG224" s="1201"/>
      <c r="ORH224" s="1201"/>
      <c r="ORI224" s="1201"/>
      <c r="ORJ224" s="1201"/>
      <c r="ORK224" s="1201"/>
      <c r="ORL224" s="1201"/>
      <c r="ORM224" s="1201"/>
      <c r="ORN224" s="1201"/>
      <c r="ORO224" s="1201"/>
      <c r="ORP224" s="1201"/>
      <c r="ORQ224" s="1201"/>
      <c r="ORR224" s="1201"/>
      <c r="ORS224" s="1201"/>
      <c r="ORT224" s="1201"/>
      <c r="ORU224" s="1201"/>
      <c r="ORV224" s="1201"/>
      <c r="ORW224" s="1201"/>
      <c r="ORX224" s="1201"/>
      <c r="ORY224" s="1201"/>
      <c r="ORZ224" s="1201"/>
      <c r="OSA224" s="1201"/>
      <c r="OSB224" s="1201"/>
      <c r="OSC224" s="1201"/>
      <c r="OSD224" s="1201"/>
      <c r="OSE224" s="1201"/>
      <c r="OSF224" s="1201"/>
      <c r="OSG224" s="1201"/>
      <c r="OSH224" s="1201"/>
      <c r="OSI224" s="1201"/>
      <c r="OSJ224" s="1201"/>
      <c r="OSK224" s="1201"/>
      <c r="OSL224" s="1201"/>
      <c r="OSM224" s="1201"/>
      <c r="OSN224" s="1201"/>
      <c r="OSO224" s="1201"/>
      <c r="OSP224" s="1201"/>
      <c r="OSQ224" s="1201"/>
      <c r="OSR224" s="1201"/>
      <c r="OSS224" s="1201"/>
      <c r="OST224" s="1201"/>
      <c r="OSU224" s="1201"/>
      <c r="OSV224" s="1201"/>
      <c r="OSW224" s="1201"/>
      <c r="OSX224" s="1201"/>
      <c r="OSY224" s="1201"/>
      <c r="OSZ224" s="1201"/>
      <c r="OTA224" s="1201"/>
      <c r="OTB224" s="1201"/>
      <c r="OTC224" s="1201"/>
      <c r="OTD224" s="1201"/>
      <c r="OTE224" s="1201"/>
      <c r="OTF224" s="1201"/>
      <c r="OTG224" s="1201"/>
      <c r="OTH224" s="1201"/>
      <c r="OTI224" s="1201"/>
      <c r="OTJ224" s="1201"/>
      <c r="OTK224" s="1201"/>
      <c r="OTL224" s="1201"/>
      <c r="OTM224" s="1201"/>
      <c r="OTN224" s="1201"/>
      <c r="OTO224" s="1201"/>
      <c r="OTP224" s="1201"/>
      <c r="OTQ224" s="1201"/>
      <c r="OTR224" s="1201"/>
      <c r="OTS224" s="1201"/>
      <c r="OTT224" s="1201"/>
      <c r="OTU224" s="1201"/>
      <c r="OTV224" s="1201"/>
      <c r="OTW224" s="1201"/>
      <c r="OTX224" s="1201"/>
      <c r="OTY224" s="1201"/>
      <c r="OTZ224" s="1201"/>
      <c r="OUA224" s="1201"/>
      <c r="OUB224" s="1201"/>
      <c r="OUC224" s="1201"/>
      <c r="OUD224" s="1201"/>
      <c r="OUE224" s="1201"/>
      <c r="OUF224" s="1201"/>
      <c r="OUG224" s="1201"/>
      <c r="OUH224" s="1201"/>
      <c r="OUI224" s="1201"/>
      <c r="OUJ224" s="1201"/>
      <c r="OUK224" s="1201"/>
      <c r="OUL224" s="1201"/>
      <c r="OUM224" s="1201"/>
      <c r="OUN224" s="1201"/>
      <c r="OUO224" s="1201"/>
      <c r="OUP224" s="1201"/>
      <c r="OUQ224" s="1201"/>
      <c r="OUR224" s="1201"/>
      <c r="OUS224" s="1201"/>
      <c r="OUT224" s="1201"/>
      <c r="OUU224" s="1201"/>
      <c r="OUV224" s="1201"/>
      <c r="OUW224" s="1201"/>
      <c r="OUX224" s="1201"/>
      <c r="OUY224" s="1201"/>
      <c r="OUZ224" s="1201"/>
      <c r="OVA224" s="1201"/>
      <c r="OVB224" s="1201"/>
      <c r="OVC224" s="1201"/>
      <c r="OVD224" s="1201"/>
      <c r="OVE224" s="1201"/>
      <c r="OVF224" s="1201"/>
      <c r="OVG224" s="1201"/>
      <c r="OVH224" s="1201"/>
      <c r="OVI224" s="1201"/>
      <c r="OVJ224" s="1201"/>
      <c r="OVK224" s="1201"/>
      <c r="OVL224" s="1201"/>
      <c r="OVM224" s="1201"/>
      <c r="OVN224" s="1201"/>
      <c r="OVO224" s="1201"/>
      <c r="OVP224" s="1201"/>
      <c r="OVQ224" s="1201"/>
      <c r="OVR224" s="1201"/>
      <c r="OVS224" s="1201"/>
      <c r="OVT224" s="1201"/>
      <c r="OVU224" s="1201"/>
      <c r="OVV224" s="1201"/>
      <c r="OVW224" s="1201"/>
      <c r="OVX224" s="1201"/>
      <c r="OVY224" s="1201"/>
      <c r="OVZ224" s="1201"/>
      <c r="OWA224" s="1201"/>
      <c r="OWB224" s="1201"/>
      <c r="OWC224" s="1201"/>
      <c r="OWD224" s="1201"/>
      <c r="OWE224" s="1201"/>
      <c r="OWF224" s="1201"/>
      <c r="OWG224" s="1201"/>
      <c r="OWH224" s="1201"/>
      <c r="OWI224" s="1201"/>
      <c r="OWJ224" s="1201"/>
      <c r="OWK224" s="1201"/>
      <c r="OWL224" s="1201"/>
      <c r="OWM224" s="1201"/>
      <c r="OWN224" s="1201"/>
      <c r="OWO224" s="1201"/>
      <c r="OWP224" s="1201"/>
      <c r="OWQ224" s="1201"/>
      <c r="OWR224" s="1201"/>
      <c r="OWS224" s="1201"/>
      <c r="OWT224" s="1201"/>
      <c r="OWU224" s="1201"/>
      <c r="OWV224" s="1201"/>
      <c r="OWW224" s="1201"/>
      <c r="OWX224" s="1201"/>
      <c r="OWY224" s="1201"/>
      <c r="OWZ224" s="1201"/>
      <c r="OXA224" s="1201"/>
      <c r="OXB224" s="1201"/>
      <c r="OXC224" s="1201"/>
      <c r="OXD224" s="1201"/>
      <c r="OXE224" s="1201"/>
      <c r="OXF224" s="1201"/>
      <c r="OXG224" s="1201"/>
      <c r="OXH224" s="1201"/>
      <c r="OXI224" s="1201"/>
      <c r="OXJ224" s="1201"/>
      <c r="OXK224" s="1201"/>
      <c r="OXL224" s="1201"/>
      <c r="OXM224" s="1201"/>
      <c r="OXN224" s="1201"/>
      <c r="OXO224" s="1201"/>
      <c r="OXP224" s="1201"/>
      <c r="OXQ224" s="1201"/>
      <c r="OXR224" s="1201"/>
      <c r="OXS224" s="1201"/>
      <c r="OXT224" s="1201"/>
      <c r="OXU224" s="1201"/>
      <c r="OXV224" s="1201"/>
      <c r="OXW224" s="1201"/>
      <c r="OXX224" s="1201"/>
      <c r="OXY224" s="1201"/>
      <c r="OXZ224" s="1201"/>
      <c r="OYA224" s="1201"/>
      <c r="OYB224" s="1201"/>
      <c r="OYC224" s="1201"/>
      <c r="OYD224" s="1201"/>
      <c r="OYE224" s="1201"/>
      <c r="OYF224" s="1201"/>
      <c r="OYG224" s="1201"/>
      <c r="OYH224" s="1201"/>
      <c r="OYI224" s="1201"/>
      <c r="OYJ224" s="1201"/>
      <c r="OYK224" s="1201"/>
      <c r="OYL224" s="1201"/>
      <c r="OYM224" s="1201"/>
      <c r="OYN224" s="1201"/>
      <c r="OYO224" s="1201"/>
      <c r="OYP224" s="1201"/>
      <c r="OYQ224" s="1201"/>
      <c r="OYR224" s="1201"/>
      <c r="OYS224" s="1201"/>
      <c r="OYT224" s="1201"/>
      <c r="OYU224" s="1201"/>
      <c r="OYV224" s="1201"/>
      <c r="OYW224" s="1201"/>
      <c r="OYX224" s="1201"/>
      <c r="OYY224" s="1201"/>
      <c r="OYZ224" s="1201"/>
      <c r="OZA224" s="1201"/>
      <c r="OZB224" s="1201"/>
      <c r="OZC224" s="1201"/>
      <c r="OZD224" s="1201"/>
      <c r="OZE224" s="1201"/>
      <c r="OZF224" s="1201"/>
      <c r="OZG224" s="1201"/>
      <c r="OZH224" s="1201"/>
      <c r="OZI224" s="1201"/>
      <c r="OZJ224" s="1201"/>
      <c r="OZK224" s="1201"/>
      <c r="OZL224" s="1201"/>
      <c r="OZM224" s="1201"/>
      <c r="OZN224" s="1201"/>
      <c r="OZO224" s="1201"/>
      <c r="OZP224" s="1201"/>
      <c r="OZQ224" s="1201"/>
      <c r="OZR224" s="1201"/>
      <c r="OZS224" s="1201"/>
      <c r="OZT224" s="1201"/>
      <c r="OZU224" s="1201"/>
      <c r="OZV224" s="1201"/>
      <c r="OZW224" s="1201"/>
      <c r="OZX224" s="1201"/>
      <c r="OZY224" s="1201"/>
      <c r="OZZ224" s="1201"/>
      <c r="PAA224" s="1201"/>
      <c r="PAB224" s="1201"/>
      <c r="PAC224" s="1201"/>
      <c r="PAD224" s="1201"/>
      <c r="PAE224" s="1201"/>
      <c r="PAF224" s="1201"/>
      <c r="PAG224" s="1201"/>
      <c r="PAH224" s="1201"/>
      <c r="PAI224" s="1201"/>
      <c r="PAJ224" s="1201"/>
      <c r="PAK224" s="1201"/>
      <c r="PAL224" s="1201"/>
      <c r="PAM224" s="1201"/>
      <c r="PAN224" s="1201"/>
      <c r="PAO224" s="1201"/>
      <c r="PAP224" s="1201"/>
      <c r="PAQ224" s="1201"/>
      <c r="PAR224" s="1201"/>
      <c r="PAS224" s="1201"/>
      <c r="PAT224" s="1201"/>
      <c r="PAU224" s="1201"/>
      <c r="PAV224" s="1201"/>
      <c r="PAW224" s="1201"/>
      <c r="PAX224" s="1201"/>
      <c r="PAY224" s="1201"/>
      <c r="PAZ224" s="1201"/>
      <c r="PBA224" s="1201"/>
      <c r="PBB224" s="1201"/>
      <c r="PBC224" s="1201"/>
      <c r="PBD224" s="1201"/>
      <c r="PBE224" s="1201"/>
      <c r="PBF224" s="1201"/>
      <c r="PBG224" s="1201"/>
      <c r="PBH224" s="1201"/>
      <c r="PBI224" s="1201"/>
      <c r="PBJ224" s="1201"/>
      <c r="PBK224" s="1201"/>
      <c r="PBL224" s="1201"/>
      <c r="PBM224" s="1201"/>
      <c r="PBN224" s="1201"/>
      <c r="PBO224" s="1201"/>
      <c r="PBP224" s="1201"/>
      <c r="PBQ224" s="1201"/>
      <c r="PBR224" s="1201"/>
      <c r="PBS224" s="1201"/>
      <c r="PBT224" s="1201"/>
      <c r="PBU224" s="1201"/>
      <c r="PBV224" s="1201"/>
      <c r="PBW224" s="1201"/>
      <c r="PBX224" s="1201"/>
      <c r="PBY224" s="1201"/>
      <c r="PBZ224" s="1201"/>
      <c r="PCA224" s="1201"/>
      <c r="PCB224" s="1201"/>
      <c r="PCC224" s="1201"/>
      <c r="PCD224" s="1201"/>
      <c r="PCE224" s="1201"/>
      <c r="PCF224" s="1201"/>
      <c r="PCG224" s="1201"/>
      <c r="PCH224" s="1201"/>
      <c r="PCI224" s="1201"/>
      <c r="PCJ224" s="1201"/>
      <c r="PCK224" s="1201"/>
      <c r="PCL224" s="1201"/>
      <c r="PCM224" s="1201"/>
      <c r="PCN224" s="1201"/>
      <c r="PCO224" s="1201"/>
      <c r="PCP224" s="1201"/>
      <c r="PCQ224" s="1201"/>
      <c r="PCR224" s="1201"/>
      <c r="PCS224" s="1201"/>
      <c r="PCT224" s="1201"/>
      <c r="PCU224" s="1201"/>
      <c r="PCV224" s="1201"/>
      <c r="PCW224" s="1201"/>
      <c r="PCX224" s="1201"/>
      <c r="PCY224" s="1201"/>
      <c r="PCZ224" s="1201"/>
      <c r="PDA224" s="1201"/>
      <c r="PDB224" s="1201"/>
      <c r="PDC224" s="1201"/>
      <c r="PDD224" s="1201"/>
      <c r="PDE224" s="1201"/>
      <c r="PDF224" s="1201"/>
      <c r="PDG224" s="1201"/>
      <c r="PDH224" s="1201"/>
      <c r="PDI224" s="1201"/>
      <c r="PDJ224" s="1201"/>
      <c r="PDK224" s="1201"/>
      <c r="PDL224" s="1201"/>
      <c r="PDM224" s="1201"/>
      <c r="PDN224" s="1201"/>
      <c r="PDO224" s="1201"/>
      <c r="PDP224" s="1201"/>
      <c r="PDQ224" s="1201"/>
      <c r="PDR224" s="1201"/>
      <c r="PDS224" s="1201"/>
      <c r="PDT224" s="1201"/>
      <c r="PDU224" s="1201"/>
      <c r="PDV224" s="1201"/>
      <c r="PDW224" s="1201"/>
      <c r="PDX224" s="1201"/>
      <c r="PDY224" s="1201"/>
      <c r="PDZ224" s="1201"/>
      <c r="PEA224" s="1201"/>
      <c r="PEB224" s="1201"/>
      <c r="PEC224" s="1201"/>
      <c r="PED224" s="1201"/>
      <c r="PEE224" s="1201"/>
      <c r="PEF224" s="1201"/>
      <c r="PEG224" s="1201"/>
      <c r="PEH224" s="1201"/>
      <c r="PEI224" s="1201"/>
      <c r="PEJ224" s="1201"/>
      <c r="PEK224" s="1201"/>
      <c r="PEL224" s="1201"/>
      <c r="PEM224" s="1201"/>
      <c r="PEN224" s="1201"/>
      <c r="PEO224" s="1201"/>
      <c r="PEP224" s="1201"/>
      <c r="PEQ224" s="1201"/>
      <c r="PER224" s="1201"/>
      <c r="PES224" s="1201"/>
      <c r="PET224" s="1201"/>
      <c r="PEU224" s="1201"/>
      <c r="PEV224" s="1201"/>
      <c r="PEW224" s="1201"/>
      <c r="PEX224" s="1201"/>
      <c r="PEY224" s="1201"/>
      <c r="PEZ224" s="1201"/>
      <c r="PFA224" s="1201"/>
      <c r="PFB224" s="1201"/>
      <c r="PFC224" s="1201"/>
      <c r="PFD224" s="1201"/>
      <c r="PFE224" s="1201"/>
      <c r="PFF224" s="1201"/>
      <c r="PFG224" s="1201"/>
      <c r="PFH224" s="1201"/>
      <c r="PFI224" s="1201"/>
      <c r="PFJ224" s="1201"/>
      <c r="PFK224" s="1201"/>
      <c r="PFL224" s="1201"/>
      <c r="PFM224" s="1201"/>
      <c r="PFN224" s="1201"/>
      <c r="PFO224" s="1201"/>
      <c r="PFP224" s="1201"/>
      <c r="PFQ224" s="1201"/>
      <c r="PFR224" s="1201"/>
      <c r="PFS224" s="1201"/>
      <c r="PFT224" s="1201"/>
      <c r="PFU224" s="1201"/>
      <c r="PFV224" s="1201"/>
      <c r="PFW224" s="1201"/>
      <c r="PFX224" s="1201"/>
      <c r="PFY224" s="1201"/>
      <c r="PFZ224" s="1201"/>
      <c r="PGA224" s="1201"/>
      <c r="PGB224" s="1201"/>
      <c r="PGC224" s="1201"/>
      <c r="PGD224" s="1201"/>
      <c r="PGE224" s="1201"/>
      <c r="PGF224" s="1201"/>
      <c r="PGG224" s="1201"/>
      <c r="PGH224" s="1201"/>
      <c r="PGI224" s="1201"/>
      <c r="PGJ224" s="1201"/>
      <c r="PGK224" s="1201"/>
      <c r="PGL224" s="1201"/>
      <c r="PGM224" s="1201"/>
      <c r="PGN224" s="1201"/>
      <c r="PGO224" s="1201"/>
      <c r="PGP224" s="1201"/>
      <c r="PGQ224" s="1201"/>
      <c r="PGR224" s="1201"/>
      <c r="PGS224" s="1201"/>
      <c r="PGT224" s="1201"/>
      <c r="PGU224" s="1201"/>
      <c r="PGV224" s="1201"/>
      <c r="PGW224" s="1201"/>
      <c r="PGX224" s="1201"/>
      <c r="PGY224" s="1201"/>
      <c r="PGZ224" s="1201"/>
      <c r="PHA224" s="1201"/>
      <c r="PHB224" s="1201"/>
      <c r="PHC224" s="1201"/>
      <c r="PHD224" s="1201"/>
      <c r="PHE224" s="1201"/>
      <c r="PHF224" s="1201"/>
      <c r="PHG224" s="1201"/>
      <c r="PHH224" s="1201"/>
      <c r="PHI224" s="1201"/>
      <c r="PHJ224" s="1201"/>
      <c r="PHK224" s="1201"/>
      <c r="PHL224" s="1201"/>
      <c r="PHM224" s="1201"/>
      <c r="PHN224" s="1201"/>
      <c r="PHO224" s="1201"/>
      <c r="PHP224" s="1201"/>
      <c r="PHQ224" s="1201"/>
      <c r="PHR224" s="1201"/>
      <c r="PHS224" s="1201"/>
      <c r="PHT224" s="1201"/>
      <c r="PHU224" s="1201"/>
      <c r="PHV224" s="1201"/>
      <c r="PHW224" s="1201"/>
      <c r="PHX224" s="1201"/>
      <c r="PHY224" s="1201"/>
      <c r="PHZ224" s="1201"/>
      <c r="PIA224" s="1201"/>
      <c r="PIB224" s="1201"/>
      <c r="PIC224" s="1201"/>
      <c r="PID224" s="1201"/>
      <c r="PIE224" s="1201"/>
      <c r="PIF224" s="1201"/>
      <c r="PIG224" s="1201"/>
      <c r="PIH224" s="1201"/>
      <c r="PII224" s="1201"/>
      <c r="PIJ224" s="1201"/>
      <c r="PIK224" s="1201"/>
      <c r="PIL224" s="1201"/>
      <c r="PIM224" s="1201"/>
      <c r="PIN224" s="1201"/>
      <c r="PIO224" s="1201"/>
      <c r="PIP224" s="1201"/>
      <c r="PIQ224" s="1201"/>
      <c r="PIR224" s="1201"/>
      <c r="PIS224" s="1201"/>
      <c r="PIT224" s="1201"/>
      <c r="PIU224" s="1201"/>
      <c r="PIV224" s="1201"/>
      <c r="PIW224" s="1201"/>
      <c r="PIX224" s="1201"/>
      <c r="PIY224" s="1201"/>
      <c r="PIZ224" s="1201"/>
      <c r="PJA224" s="1201"/>
      <c r="PJB224" s="1201"/>
      <c r="PJC224" s="1201"/>
      <c r="PJD224" s="1201"/>
      <c r="PJE224" s="1201"/>
      <c r="PJF224" s="1201"/>
      <c r="PJG224" s="1201"/>
      <c r="PJH224" s="1201"/>
      <c r="PJI224" s="1201"/>
      <c r="PJJ224" s="1201"/>
      <c r="PJK224" s="1201"/>
      <c r="PJL224" s="1201"/>
      <c r="PJM224" s="1201"/>
      <c r="PJN224" s="1201"/>
      <c r="PJO224" s="1201"/>
      <c r="PJP224" s="1201"/>
      <c r="PJQ224" s="1201"/>
      <c r="PJR224" s="1201"/>
      <c r="PJS224" s="1201"/>
      <c r="PJT224" s="1201"/>
      <c r="PJU224" s="1201"/>
      <c r="PJV224" s="1201"/>
      <c r="PJW224" s="1201"/>
      <c r="PJX224" s="1201"/>
      <c r="PJY224" s="1201"/>
      <c r="PJZ224" s="1201"/>
      <c r="PKA224" s="1201"/>
      <c r="PKB224" s="1201"/>
      <c r="PKC224" s="1201"/>
      <c r="PKD224" s="1201"/>
      <c r="PKE224" s="1201"/>
      <c r="PKF224" s="1201"/>
      <c r="PKG224" s="1201"/>
      <c r="PKH224" s="1201"/>
      <c r="PKI224" s="1201"/>
      <c r="PKJ224" s="1201"/>
      <c r="PKK224" s="1201"/>
      <c r="PKL224" s="1201"/>
      <c r="PKM224" s="1201"/>
      <c r="PKN224" s="1201"/>
      <c r="PKO224" s="1201"/>
      <c r="PKP224" s="1201"/>
      <c r="PKQ224" s="1201"/>
      <c r="PKR224" s="1201"/>
      <c r="PKS224" s="1201"/>
      <c r="PKT224" s="1201"/>
      <c r="PKU224" s="1201"/>
      <c r="PKV224" s="1201"/>
      <c r="PKW224" s="1201"/>
      <c r="PKX224" s="1201"/>
      <c r="PKY224" s="1201"/>
      <c r="PKZ224" s="1201"/>
      <c r="PLA224" s="1201"/>
      <c r="PLB224" s="1201"/>
      <c r="PLC224" s="1201"/>
      <c r="PLD224" s="1201"/>
      <c r="PLE224" s="1201"/>
      <c r="PLF224" s="1201"/>
      <c r="PLG224" s="1201"/>
      <c r="PLH224" s="1201"/>
      <c r="PLI224" s="1201"/>
      <c r="PLJ224" s="1201"/>
      <c r="PLK224" s="1201"/>
      <c r="PLL224" s="1201"/>
      <c r="PLM224" s="1201"/>
      <c r="PLN224" s="1201"/>
      <c r="PLO224" s="1201"/>
      <c r="PLP224" s="1201"/>
      <c r="PLQ224" s="1201"/>
      <c r="PLR224" s="1201"/>
      <c r="PLS224" s="1201"/>
      <c r="PLT224" s="1201"/>
      <c r="PLU224" s="1201"/>
      <c r="PLV224" s="1201"/>
      <c r="PLW224" s="1201"/>
      <c r="PLX224" s="1201"/>
      <c r="PLY224" s="1201"/>
      <c r="PLZ224" s="1201"/>
      <c r="PMA224" s="1201"/>
      <c r="PMB224" s="1201"/>
      <c r="PMC224" s="1201"/>
      <c r="PMD224" s="1201"/>
      <c r="PME224" s="1201"/>
      <c r="PMF224" s="1201"/>
      <c r="PMG224" s="1201"/>
      <c r="PMH224" s="1201"/>
      <c r="PMI224" s="1201"/>
      <c r="PMJ224" s="1201"/>
      <c r="PMK224" s="1201"/>
      <c r="PML224" s="1201"/>
      <c r="PMM224" s="1201"/>
      <c r="PMN224" s="1201"/>
      <c r="PMO224" s="1201"/>
      <c r="PMP224" s="1201"/>
      <c r="PMQ224" s="1201"/>
      <c r="PMR224" s="1201"/>
      <c r="PMS224" s="1201"/>
      <c r="PMT224" s="1201"/>
      <c r="PMU224" s="1201"/>
      <c r="PMV224" s="1201"/>
      <c r="PMW224" s="1201"/>
      <c r="PMX224" s="1201"/>
      <c r="PMY224" s="1201"/>
      <c r="PMZ224" s="1201"/>
      <c r="PNA224" s="1201"/>
      <c r="PNB224" s="1201"/>
      <c r="PNC224" s="1201"/>
      <c r="PND224" s="1201"/>
      <c r="PNE224" s="1201"/>
      <c r="PNF224" s="1201"/>
      <c r="PNG224" s="1201"/>
      <c r="PNH224" s="1201"/>
      <c r="PNI224" s="1201"/>
      <c r="PNJ224" s="1201"/>
      <c r="PNK224" s="1201"/>
      <c r="PNL224" s="1201"/>
      <c r="PNM224" s="1201"/>
      <c r="PNN224" s="1201"/>
      <c r="PNO224" s="1201"/>
      <c r="PNP224" s="1201"/>
      <c r="PNQ224" s="1201"/>
      <c r="PNR224" s="1201"/>
      <c r="PNS224" s="1201"/>
      <c r="PNT224" s="1201"/>
      <c r="PNU224" s="1201"/>
      <c r="PNV224" s="1201"/>
      <c r="PNW224" s="1201"/>
      <c r="PNX224" s="1201"/>
      <c r="PNY224" s="1201"/>
      <c r="PNZ224" s="1201"/>
      <c r="POA224" s="1201"/>
      <c r="POB224" s="1201"/>
      <c r="POC224" s="1201"/>
      <c r="POD224" s="1201"/>
      <c r="POE224" s="1201"/>
      <c r="POF224" s="1201"/>
      <c r="POG224" s="1201"/>
      <c r="POH224" s="1201"/>
      <c r="POI224" s="1201"/>
      <c r="POJ224" s="1201"/>
      <c r="POK224" s="1201"/>
      <c r="POL224" s="1201"/>
      <c r="POM224" s="1201"/>
      <c r="PON224" s="1201"/>
      <c r="POO224" s="1201"/>
      <c r="POP224" s="1201"/>
      <c r="POQ224" s="1201"/>
      <c r="POR224" s="1201"/>
      <c r="POS224" s="1201"/>
      <c r="POT224" s="1201"/>
      <c r="POU224" s="1201"/>
      <c r="POV224" s="1201"/>
      <c r="POW224" s="1201"/>
      <c r="POX224" s="1201"/>
      <c r="POY224" s="1201"/>
      <c r="POZ224" s="1201"/>
      <c r="PPA224" s="1201"/>
      <c r="PPB224" s="1201"/>
      <c r="PPC224" s="1201"/>
      <c r="PPD224" s="1201"/>
      <c r="PPE224" s="1201"/>
      <c r="PPF224" s="1201"/>
      <c r="PPG224" s="1201"/>
      <c r="PPH224" s="1201"/>
      <c r="PPI224" s="1201"/>
      <c r="PPJ224" s="1201"/>
      <c r="PPK224" s="1201"/>
      <c r="PPL224" s="1201"/>
      <c r="PPM224" s="1201"/>
      <c r="PPN224" s="1201"/>
      <c r="PPO224" s="1201"/>
      <c r="PPP224" s="1201"/>
      <c r="PPQ224" s="1201"/>
      <c r="PPR224" s="1201"/>
      <c r="PPS224" s="1201"/>
      <c r="PPT224" s="1201"/>
      <c r="PPU224" s="1201"/>
      <c r="PPV224" s="1201"/>
      <c r="PPW224" s="1201"/>
      <c r="PPX224" s="1201"/>
      <c r="PPY224" s="1201"/>
      <c r="PPZ224" s="1201"/>
      <c r="PQA224" s="1201"/>
      <c r="PQB224" s="1201"/>
      <c r="PQC224" s="1201"/>
      <c r="PQD224" s="1201"/>
      <c r="PQE224" s="1201"/>
      <c r="PQF224" s="1201"/>
      <c r="PQG224" s="1201"/>
      <c r="PQH224" s="1201"/>
      <c r="PQI224" s="1201"/>
      <c r="PQJ224" s="1201"/>
      <c r="PQK224" s="1201"/>
      <c r="PQL224" s="1201"/>
      <c r="PQM224" s="1201"/>
      <c r="PQN224" s="1201"/>
      <c r="PQO224" s="1201"/>
      <c r="PQP224" s="1201"/>
      <c r="PQQ224" s="1201"/>
      <c r="PQR224" s="1201"/>
      <c r="PQS224" s="1201"/>
      <c r="PQT224" s="1201"/>
      <c r="PQU224" s="1201"/>
      <c r="PQV224" s="1201"/>
      <c r="PQW224" s="1201"/>
      <c r="PQX224" s="1201"/>
      <c r="PQY224" s="1201"/>
      <c r="PQZ224" s="1201"/>
      <c r="PRA224" s="1201"/>
      <c r="PRB224" s="1201"/>
      <c r="PRC224" s="1201"/>
      <c r="PRD224" s="1201"/>
      <c r="PRE224" s="1201"/>
      <c r="PRF224" s="1201"/>
      <c r="PRG224" s="1201"/>
      <c r="PRH224" s="1201"/>
      <c r="PRI224" s="1201"/>
      <c r="PRJ224" s="1201"/>
      <c r="PRK224" s="1201"/>
      <c r="PRL224" s="1201"/>
      <c r="PRM224" s="1201"/>
      <c r="PRN224" s="1201"/>
      <c r="PRO224" s="1201"/>
      <c r="PRP224" s="1201"/>
      <c r="PRQ224" s="1201"/>
      <c r="PRR224" s="1201"/>
      <c r="PRS224" s="1201"/>
      <c r="PRT224" s="1201"/>
      <c r="PRU224" s="1201"/>
      <c r="PRV224" s="1201"/>
      <c r="PRW224" s="1201"/>
      <c r="PRX224" s="1201"/>
      <c r="PRY224" s="1201"/>
      <c r="PRZ224" s="1201"/>
      <c r="PSA224" s="1201"/>
      <c r="PSB224" s="1201"/>
      <c r="PSC224" s="1201"/>
      <c r="PSD224" s="1201"/>
      <c r="PSE224" s="1201"/>
      <c r="PSF224" s="1201"/>
      <c r="PSG224" s="1201"/>
      <c r="PSH224" s="1201"/>
      <c r="PSI224" s="1201"/>
      <c r="PSJ224" s="1201"/>
      <c r="PSK224" s="1201"/>
      <c r="PSL224" s="1201"/>
      <c r="PSM224" s="1201"/>
      <c r="PSN224" s="1201"/>
      <c r="PSO224" s="1201"/>
      <c r="PSP224" s="1201"/>
      <c r="PSQ224" s="1201"/>
      <c r="PSR224" s="1201"/>
      <c r="PSS224" s="1201"/>
      <c r="PST224" s="1201"/>
      <c r="PSU224" s="1201"/>
      <c r="PSV224" s="1201"/>
      <c r="PSW224" s="1201"/>
      <c r="PSX224" s="1201"/>
      <c r="PSY224" s="1201"/>
      <c r="PSZ224" s="1201"/>
      <c r="PTA224" s="1201"/>
      <c r="PTB224" s="1201"/>
      <c r="PTC224" s="1201"/>
      <c r="PTD224" s="1201"/>
      <c r="PTE224" s="1201"/>
      <c r="PTF224" s="1201"/>
      <c r="PTG224" s="1201"/>
      <c r="PTH224" s="1201"/>
      <c r="PTI224" s="1201"/>
      <c r="PTJ224" s="1201"/>
      <c r="PTK224" s="1201"/>
      <c r="PTL224" s="1201"/>
      <c r="PTM224" s="1201"/>
      <c r="PTN224" s="1201"/>
      <c r="PTO224" s="1201"/>
      <c r="PTP224" s="1201"/>
      <c r="PTQ224" s="1201"/>
      <c r="PTR224" s="1201"/>
      <c r="PTS224" s="1201"/>
      <c r="PTT224" s="1201"/>
      <c r="PTU224" s="1201"/>
      <c r="PTV224" s="1201"/>
      <c r="PTW224" s="1201"/>
      <c r="PTX224" s="1201"/>
      <c r="PTY224" s="1201"/>
      <c r="PTZ224" s="1201"/>
      <c r="PUA224" s="1201"/>
      <c r="PUB224" s="1201"/>
      <c r="PUC224" s="1201"/>
      <c r="PUD224" s="1201"/>
      <c r="PUE224" s="1201"/>
      <c r="PUF224" s="1201"/>
      <c r="PUG224" s="1201"/>
      <c r="PUH224" s="1201"/>
      <c r="PUI224" s="1201"/>
      <c r="PUJ224" s="1201"/>
      <c r="PUK224" s="1201"/>
      <c r="PUL224" s="1201"/>
      <c r="PUM224" s="1201"/>
      <c r="PUN224" s="1201"/>
      <c r="PUO224" s="1201"/>
      <c r="PUP224" s="1201"/>
      <c r="PUQ224" s="1201"/>
      <c r="PUR224" s="1201"/>
      <c r="PUS224" s="1201"/>
      <c r="PUT224" s="1201"/>
      <c r="PUU224" s="1201"/>
      <c r="PUV224" s="1201"/>
      <c r="PUW224" s="1201"/>
      <c r="PUX224" s="1201"/>
      <c r="PUY224" s="1201"/>
      <c r="PUZ224" s="1201"/>
      <c r="PVA224" s="1201"/>
      <c r="PVB224" s="1201"/>
      <c r="PVC224" s="1201"/>
      <c r="PVD224" s="1201"/>
      <c r="PVE224" s="1201"/>
      <c r="PVF224" s="1201"/>
      <c r="PVG224" s="1201"/>
      <c r="PVH224" s="1201"/>
      <c r="PVI224" s="1201"/>
      <c r="PVJ224" s="1201"/>
      <c r="PVK224" s="1201"/>
      <c r="PVL224" s="1201"/>
      <c r="PVM224" s="1201"/>
      <c r="PVN224" s="1201"/>
      <c r="PVO224" s="1201"/>
      <c r="PVP224" s="1201"/>
      <c r="PVQ224" s="1201"/>
      <c r="PVR224" s="1201"/>
      <c r="PVS224" s="1201"/>
      <c r="PVT224" s="1201"/>
      <c r="PVU224" s="1201"/>
      <c r="PVV224" s="1201"/>
      <c r="PVW224" s="1201"/>
      <c r="PVX224" s="1201"/>
      <c r="PVY224" s="1201"/>
      <c r="PVZ224" s="1201"/>
      <c r="PWA224" s="1201"/>
      <c r="PWB224" s="1201"/>
      <c r="PWC224" s="1201"/>
      <c r="PWD224" s="1201"/>
      <c r="PWE224" s="1201"/>
      <c r="PWF224" s="1201"/>
      <c r="PWG224" s="1201"/>
      <c r="PWH224" s="1201"/>
      <c r="PWI224" s="1201"/>
      <c r="PWJ224" s="1201"/>
      <c r="PWK224" s="1201"/>
      <c r="PWL224" s="1201"/>
      <c r="PWM224" s="1201"/>
      <c r="PWN224" s="1201"/>
      <c r="PWO224" s="1201"/>
      <c r="PWP224" s="1201"/>
      <c r="PWQ224" s="1201"/>
      <c r="PWR224" s="1201"/>
      <c r="PWS224" s="1201"/>
      <c r="PWT224" s="1201"/>
      <c r="PWU224" s="1201"/>
      <c r="PWV224" s="1201"/>
      <c r="PWW224" s="1201"/>
      <c r="PWX224" s="1201"/>
      <c r="PWY224" s="1201"/>
      <c r="PWZ224" s="1201"/>
      <c r="PXA224" s="1201"/>
      <c r="PXB224" s="1201"/>
      <c r="PXC224" s="1201"/>
      <c r="PXD224" s="1201"/>
      <c r="PXE224" s="1201"/>
      <c r="PXF224" s="1201"/>
      <c r="PXG224" s="1201"/>
      <c r="PXH224" s="1201"/>
      <c r="PXI224" s="1201"/>
      <c r="PXJ224" s="1201"/>
      <c r="PXK224" s="1201"/>
      <c r="PXL224" s="1201"/>
      <c r="PXM224" s="1201"/>
      <c r="PXN224" s="1201"/>
      <c r="PXO224" s="1201"/>
      <c r="PXP224" s="1201"/>
      <c r="PXQ224" s="1201"/>
      <c r="PXR224" s="1201"/>
      <c r="PXS224" s="1201"/>
      <c r="PXT224" s="1201"/>
      <c r="PXU224" s="1201"/>
      <c r="PXV224" s="1201"/>
      <c r="PXW224" s="1201"/>
      <c r="PXX224" s="1201"/>
      <c r="PXY224" s="1201"/>
      <c r="PXZ224" s="1201"/>
      <c r="PYA224" s="1201"/>
      <c r="PYB224" s="1201"/>
      <c r="PYC224" s="1201"/>
      <c r="PYD224" s="1201"/>
      <c r="PYE224" s="1201"/>
      <c r="PYF224" s="1201"/>
      <c r="PYG224" s="1201"/>
      <c r="PYH224" s="1201"/>
      <c r="PYI224" s="1201"/>
      <c r="PYJ224" s="1201"/>
      <c r="PYK224" s="1201"/>
      <c r="PYL224" s="1201"/>
      <c r="PYM224" s="1201"/>
      <c r="PYN224" s="1201"/>
      <c r="PYO224" s="1201"/>
      <c r="PYP224" s="1201"/>
      <c r="PYQ224" s="1201"/>
      <c r="PYR224" s="1201"/>
      <c r="PYS224" s="1201"/>
      <c r="PYT224" s="1201"/>
      <c r="PYU224" s="1201"/>
      <c r="PYV224" s="1201"/>
      <c r="PYW224" s="1201"/>
      <c r="PYX224" s="1201"/>
      <c r="PYY224" s="1201"/>
      <c r="PYZ224" s="1201"/>
      <c r="PZA224" s="1201"/>
      <c r="PZB224" s="1201"/>
      <c r="PZC224" s="1201"/>
      <c r="PZD224" s="1201"/>
      <c r="PZE224" s="1201"/>
      <c r="PZF224" s="1201"/>
      <c r="PZG224" s="1201"/>
      <c r="PZH224" s="1201"/>
      <c r="PZI224" s="1201"/>
      <c r="PZJ224" s="1201"/>
      <c r="PZK224" s="1201"/>
      <c r="PZL224" s="1201"/>
      <c r="PZM224" s="1201"/>
      <c r="PZN224" s="1201"/>
      <c r="PZO224" s="1201"/>
      <c r="PZP224" s="1201"/>
      <c r="PZQ224" s="1201"/>
      <c r="PZR224" s="1201"/>
      <c r="PZS224" s="1201"/>
      <c r="PZT224" s="1201"/>
      <c r="PZU224" s="1201"/>
      <c r="PZV224" s="1201"/>
      <c r="PZW224" s="1201"/>
      <c r="PZX224" s="1201"/>
      <c r="PZY224" s="1201"/>
      <c r="PZZ224" s="1201"/>
      <c r="QAA224" s="1201"/>
      <c r="QAB224" s="1201"/>
      <c r="QAC224" s="1201"/>
      <c r="QAD224" s="1201"/>
      <c r="QAE224" s="1201"/>
      <c r="QAF224" s="1201"/>
      <c r="QAG224" s="1201"/>
      <c r="QAH224" s="1201"/>
      <c r="QAI224" s="1201"/>
      <c r="QAJ224" s="1201"/>
      <c r="QAK224" s="1201"/>
      <c r="QAL224" s="1201"/>
      <c r="QAM224" s="1201"/>
      <c r="QAN224" s="1201"/>
      <c r="QAO224" s="1201"/>
      <c r="QAP224" s="1201"/>
      <c r="QAQ224" s="1201"/>
      <c r="QAR224" s="1201"/>
      <c r="QAS224" s="1201"/>
      <c r="QAT224" s="1201"/>
      <c r="QAU224" s="1201"/>
      <c r="QAV224" s="1201"/>
      <c r="QAW224" s="1201"/>
      <c r="QAX224" s="1201"/>
      <c r="QAY224" s="1201"/>
      <c r="QAZ224" s="1201"/>
      <c r="QBA224" s="1201"/>
      <c r="QBB224" s="1201"/>
      <c r="QBC224" s="1201"/>
      <c r="QBD224" s="1201"/>
      <c r="QBE224" s="1201"/>
      <c r="QBF224" s="1201"/>
      <c r="QBG224" s="1201"/>
      <c r="QBH224" s="1201"/>
      <c r="QBI224" s="1201"/>
      <c r="QBJ224" s="1201"/>
      <c r="QBK224" s="1201"/>
      <c r="QBL224" s="1201"/>
      <c r="QBM224" s="1201"/>
      <c r="QBN224" s="1201"/>
      <c r="QBO224" s="1201"/>
      <c r="QBP224" s="1201"/>
      <c r="QBQ224" s="1201"/>
      <c r="QBR224" s="1201"/>
      <c r="QBS224" s="1201"/>
      <c r="QBT224" s="1201"/>
      <c r="QBU224" s="1201"/>
      <c r="QBV224" s="1201"/>
      <c r="QBW224" s="1201"/>
      <c r="QBX224" s="1201"/>
      <c r="QBY224" s="1201"/>
      <c r="QBZ224" s="1201"/>
      <c r="QCA224" s="1201"/>
      <c r="QCB224" s="1201"/>
      <c r="QCC224" s="1201"/>
      <c r="QCD224" s="1201"/>
      <c r="QCE224" s="1201"/>
      <c r="QCF224" s="1201"/>
      <c r="QCG224" s="1201"/>
      <c r="QCH224" s="1201"/>
      <c r="QCI224" s="1201"/>
      <c r="QCJ224" s="1201"/>
      <c r="QCK224" s="1201"/>
      <c r="QCL224" s="1201"/>
      <c r="QCM224" s="1201"/>
      <c r="QCN224" s="1201"/>
      <c r="QCO224" s="1201"/>
      <c r="QCP224" s="1201"/>
      <c r="QCQ224" s="1201"/>
      <c r="QCR224" s="1201"/>
      <c r="QCS224" s="1201"/>
      <c r="QCT224" s="1201"/>
      <c r="QCU224" s="1201"/>
      <c r="QCV224" s="1201"/>
      <c r="QCW224" s="1201"/>
      <c r="QCX224" s="1201"/>
      <c r="QCY224" s="1201"/>
      <c r="QCZ224" s="1201"/>
      <c r="QDA224" s="1201"/>
      <c r="QDB224" s="1201"/>
      <c r="QDC224" s="1201"/>
      <c r="QDD224" s="1201"/>
      <c r="QDE224" s="1201"/>
      <c r="QDF224" s="1201"/>
      <c r="QDG224" s="1201"/>
      <c r="QDH224" s="1201"/>
      <c r="QDI224" s="1201"/>
      <c r="QDJ224" s="1201"/>
      <c r="QDK224" s="1201"/>
      <c r="QDL224" s="1201"/>
      <c r="QDM224" s="1201"/>
      <c r="QDN224" s="1201"/>
      <c r="QDO224" s="1201"/>
      <c r="QDP224" s="1201"/>
      <c r="QDQ224" s="1201"/>
      <c r="QDR224" s="1201"/>
      <c r="QDS224" s="1201"/>
      <c r="QDT224" s="1201"/>
      <c r="QDU224" s="1201"/>
      <c r="QDV224" s="1201"/>
      <c r="QDW224" s="1201"/>
      <c r="QDX224" s="1201"/>
      <c r="QDY224" s="1201"/>
      <c r="QDZ224" s="1201"/>
      <c r="QEA224" s="1201"/>
      <c r="QEB224" s="1201"/>
      <c r="QEC224" s="1201"/>
      <c r="QED224" s="1201"/>
      <c r="QEE224" s="1201"/>
      <c r="QEF224" s="1201"/>
      <c r="QEG224" s="1201"/>
      <c r="QEH224" s="1201"/>
      <c r="QEI224" s="1201"/>
      <c r="QEJ224" s="1201"/>
      <c r="QEK224" s="1201"/>
      <c r="QEL224" s="1201"/>
      <c r="QEM224" s="1201"/>
      <c r="QEN224" s="1201"/>
      <c r="QEO224" s="1201"/>
      <c r="QEP224" s="1201"/>
      <c r="QEQ224" s="1201"/>
      <c r="QER224" s="1201"/>
      <c r="QES224" s="1201"/>
      <c r="QET224" s="1201"/>
      <c r="QEU224" s="1201"/>
      <c r="QEV224" s="1201"/>
      <c r="QEW224" s="1201"/>
      <c r="QEX224" s="1201"/>
      <c r="QEY224" s="1201"/>
      <c r="QEZ224" s="1201"/>
      <c r="QFA224" s="1201"/>
      <c r="QFB224" s="1201"/>
      <c r="QFC224" s="1201"/>
      <c r="QFD224" s="1201"/>
      <c r="QFE224" s="1201"/>
      <c r="QFF224" s="1201"/>
      <c r="QFG224" s="1201"/>
      <c r="QFH224" s="1201"/>
      <c r="QFI224" s="1201"/>
      <c r="QFJ224" s="1201"/>
      <c r="QFK224" s="1201"/>
      <c r="QFL224" s="1201"/>
      <c r="QFM224" s="1201"/>
      <c r="QFN224" s="1201"/>
      <c r="QFO224" s="1201"/>
      <c r="QFP224" s="1201"/>
      <c r="QFQ224" s="1201"/>
      <c r="QFR224" s="1201"/>
      <c r="QFS224" s="1201"/>
      <c r="QFT224" s="1201"/>
      <c r="QFU224" s="1201"/>
      <c r="QFV224" s="1201"/>
      <c r="QFW224" s="1201"/>
      <c r="QFX224" s="1201"/>
      <c r="QFY224" s="1201"/>
      <c r="QFZ224" s="1201"/>
      <c r="QGA224" s="1201"/>
      <c r="QGB224" s="1201"/>
      <c r="QGC224" s="1201"/>
      <c r="QGD224" s="1201"/>
      <c r="QGE224" s="1201"/>
      <c r="QGF224" s="1201"/>
      <c r="QGG224" s="1201"/>
      <c r="QGH224" s="1201"/>
      <c r="QGI224" s="1201"/>
      <c r="QGJ224" s="1201"/>
      <c r="QGK224" s="1201"/>
      <c r="QGL224" s="1201"/>
      <c r="QGM224" s="1201"/>
      <c r="QGN224" s="1201"/>
      <c r="QGO224" s="1201"/>
      <c r="QGP224" s="1201"/>
      <c r="QGQ224" s="1201"/>
      <c r="QGR224" s="1201"/>
      <c r="QGS224" s="1201"/>
      <c r="QGT224" s="1201"/>
      <c r="QGU224" s="1201"/>
      <c r="QGV224" s="1201"/>
      <c r="QGW224" s="1201"/>
      <c r="QGX224" s="1201"/>
      <c r="QGY224" s="1201"/>
      <c r="QGZ224" s="1201"/>
      <c r="QHA224" s="1201"/>
      <c r="QHB224" s="1201"/>
      <c r="QHC224" s="1201"/>
      <c r="QHD224" s="1201"/>
      <c r="QHE224" s="1201"/>
      <c r="QHF224" s="1201"/>
      <c r="QHG224" s="1201"/>
      <c r="QHH224" s="1201"/>
      <c r="QHI224" s="1201"/>
      <c r="QHJ224" s="1201"/>
      <c r="QHK224" s="1201"/>
      <c r="QHL224" s="1201"/>
      <c r="QHM224" s="1201"/>
      <c r="QHN224" s="1201"/>
      <c r="QHO224" s="1201"/>
      <c r="QHP224" s="1201"/>
      <c r="QHQ224" s="1201"/>
      <c r="QHR224" s="1201"/>
      <c r="QHS224" s="1201"/>
      <c r="QHT224" s="1201"/>
      <c r="QHU224" s="1201"/>
      <c r="QHV224" s="1201"/>
      <c r="QHW224" s="1201"/>
      <c r="QHX224" s="1201"/>
      <c r="QHY224" s="1201"/>
      <c r="QHZ224" s="1201"/>
      <c r="QIA224" s="1201"/>
      <c r="QIB224" s="1201"/>
      <c r="QIC224" s="1201"/>
      <c r="QID224" s="1201"/>
      <c r="QIE224" s="1201"/>
      <c r="QIF224" s="1201"/>
      <c r="QIG224" s="1201"/>
      <c r="QIH224" s="1201"/>
      <c r="QII224" s="1201"/>
      <c r="QIJ224" s="1201"/>
      <c r="QIK224" s="1201"/>
      <c r="QIL224" s="1201"/>
      <c r="QIM224" s="1201"/>
      <c r="QIN224" s="1201"/>
      <c r="QIO224" s="1201"/>
      <c r="QIP224" s="1201"/>
      <c r="QIQ224" s="1201"/>
      <c r="QIR224" s="1201"/>
      <c r="QIS224" s="1201"/>
      <c r="QIT224" s="1201"/>
      <c r="QIU224" s="1201"/>
      <c r="QIV224" s="1201"/>
      <c r="QIW224" s="1201"/>
      <c r="QIX224" s="1201"/>
      <c r="QIY224" s="1201"/>
      <c r="QIZ224" s="1201"/>
      <c r="QJA224" s="1201"/>
      <c r="QJB224" s="1201"/>
      <c r="QJC224" s="1201"/>
      <c r="QJD224" s="1201"/>
      <c r="QJE224" s="1201"/>
      <c r="QJF224" s="1201"/>
      <c r="QJG224" s="1201"/>
      <c r="QJH224" s="1201"/>
      <c r="QJI224" s="1201"/>
      <c r="QJJ224" s="1201"/>
      <c r="QJK224" s="1201"/>
      <c r="QJL224" s="1201"/>
      <c r="QJM224" s="1201"/>
      <c r="QJN224" s="1201"/>
      <c r="QJO224" s="1201"/>
      <c r="QJP224" s="1201"/>
      <c r="QJQ224" s="1201"/>
      <c r="QJR224" s="1201"/>
      <c r="QJS224" s="1201"/>
      <c r="QJT224" s="1201"/>
      <c r="QJU224" s="1201"/>
      <c r="QJV224" s="1201"/>
      <c r="QJW224" s="1201"/>
      <c r="QJX224" s="1201"/>
      <c r="QJY224" s="1201"/>
      <c r="QJZ224" s="1201"/>
      <c r="QKA224" s="1201"/>
      <c r="QKB224" s="1201"/>
      <c r="QKC224" s="1201"/>
      <c r="QKD224" s="1201"/>
      <c r="QKE224" s="1201"/>
      <c r="QKF224" s="1201"/>
      <c r="QKG224" s="1201"/>
      <c r="QKH224" s="1201"/>
      <c r="QKI224" s="1201"/>
      <c r="QKJ224" s="1201"/>
      <c r="QKK224" s="1201"/>
      <c r="QKL224" s="1201"/>
      <c r="QKM224" s="1201"/>
      <c r="QKN224" s="1201"/>
      <c r="QKO224" s="1201"/>
      <c r="QKP224" s="1201"/>
      <c r="QKQ224" s="1201"/>
      <c r="QKR224" s="1201"/>
      <c r="QKS224" s="1201"/>
      <c r="QKT224" s="1201"/>
      <c r="QKU224" s="1201"/>
      <c r="QKV224" s="1201"/>
      <c r="QKW224" s="1201"/>
      <c r="QKX224" s="1201"/>
      <c r="QKY224" s="1201"/>
      <c r="QKZ224" s="1201"/>
      <c r="QLA224" s="1201"/>
      <c r="QLB224" s="1201"/>
      <c r="QLC224" s="1201"/>
      <c r="QLD224" s="1201"/>
      <c r="QLE224" s="1201"/>
      <c r="QLF224" s="1201"/>
      <c r="QLG224" s="1201"/>
      <c r="QLH224" s="1201"/>
      <c r="QLI224" s="1201"/>
      <c r="QLJ224" s="1201"/>
      <c r="QLK224" s="1201"/>
      <c r="QLL224" s="1201"/>
      <c r="QLM224" s="1201"/>
      <c r="QLN224" s="1201"/>
      <c r="QLO224" s="1201"/>
      <c r="QLP224" s="1201"/>
      <c r="QLQ224" s="1201"/>
      <c r="QLR224" s="1201"/>
      <c r="QLS224" s="1201"/>
      <c r="QLT224" s="1201"/>
      <c r="QLU224" s="1201"/>
      <c r="QLV224" s="1201"/>
      <c r="QLW224" s="1201"/>
      <c r="QLX224" s="1201"/>
      <c r="QLY224" s="1201"/>
      <c r="QLZ224" s="1201"/>
      <c r="QMA224" s="1201"/>
      <c r="QMB224" s="1201"/>
      <c r="QMC224" s="1201"/>
      <c r="QMD224" s="1201"/>
      <c r="QME224" s="1201"/>
      <c r="QMF224" s="1201"/>
      <c r="QMG224" s="1201"/>
      <c r="QMH224" s="1201"/>
      <c r="QMI224" s="1201"/>
      <c r="QMJ224" s="1201"/>
      <c r="QMK224" s="1201"/>
      <c r="QML224" s="1201"/>
      <c r="QMM224" s="1201"/>
      <c r="QMN224" s="1201"/>
      <c r="QMO224" s="1201"/>
      <c r="QMP224" s="1201"/>
      <c r="QMQ224" s="1201"/>
      <c r="QMR224" s="1201"/>
      <c r="QMS224" s="1201"/>
      <c r="QMT224" s="1201"/>
      <c r="QMU224" s="1201"/>
      <c r="QMV224" s="1201"/>
      <c r="QMW224" s="1201"/>
      <c r="QMX224" s="1201"/>
      <c r="QMY224" s="1201"/>
      <c r="QMZ224" s="1201"/>
      <c r="QNA224" s="1201"/>
      <c r="QNB224" s="1201"/>
      <c r="QNC224" s="1201"/>
      <c r="QND224" s="1201"/>
      <c r="QNE224" s="1201"/>
      <c r="QNF224" s="1201"/>
      <c r="QNG224" s="1201"/>
      <c r="QNH224" s="1201"/>
      <c r="QNI224" s="1201"/>
      <c r="QNJ224" s="1201"/>
      <c r="QNK224" s="1201"/>
      <c r="QNL224" s="1201"/>
      <c r="QNM224" s="1201"/>
      <c r="QNN224" s="1201"/>
      <c r="QNO224" s="1201"/>
      <c r="QNP224" s="1201"/>
      <c r="QNQ224" s="1201"/>
      <c r="QNR224" s="1201"/>
      <c r="QNS224" s="1201"/>
      <c r="QNT224" s="1201"/>
      <c r="QNU224" s="1201"/>
      <c r="QNV224" s="1201"/>
      <c r="QNW224" s="1201"/>
      <c r="QNX224" s="1201"/>
      <c r="QNY224" s="1201"/>
      <c r="QNZ224" s="1201"/>
      <c r="QOA224" s="1201"/>
      <c r="QOB224" s="1201"/>
      <c r="QOC224" s="1201"/>
      <c r="QOD224" s="1201"/>
      <c r="QOE224" s="1201"/>
      <c r="QOF224" s="1201"/>
      <c r="QOG224" s="1201"/>
      <c r="QOH224" s="1201"/>
      <c r="QOI224" s="1201"/>
      <c r="QOJ224" s="1201"/>
      <c r="QOK224" s="1201"/>
      <c r="QOL224" s="1201"/>
      <c r="QOM224" s="1201"/>
      <c r="QON224" s="1201"/>
      <c r="QOO224" s="1201"/>
      <c r="QOP224" s="1201"/>
      <c r="QOQ224" s="1201"/>
      <c r="QOR224" s="1201"/>
      <c r="QOS224" s="1201"/>
      <c r="QOT224" s="1201"/>
      <c r="QOU224" s="1201"/>
      <c r="QOV224" s="1201"/>
      <c r="QOW224" s="1201"/>
      <c r="QOX224" s="1201"/>
      <c r="QOY224" s="1201"/>
      <c r="QOZ224" s="1201"/>
      <c r="QPA224" s="1201"/>
      <c r="QPB224" s="1201"/>
      <c r="QPC224" s="1201"/>
      <c r="QPD224" s="1201"/>
      <c r="QPE224" s="1201"/>
      <c r="QPF224" s="1201"/>
      <c r="QPG224" s="1201"/>
      <c r="QPH224" s="1201"/>
      <c r="QPI224" s="1201"/>
      <c r="QPJ224" s="1201"/>
      <c r="QPK224" s="1201"/>
      <c r="QPL224" s="1201"/>
      <c r="QPM224" s="1201"/>
      <c r="QPN224" s="1201"/>
      <c r="QPO224" s="1201"/>
      <c r="QPP224" s="1201"/>
      <c r="QPQ224" s="1201"/>
      <c r="QPR224" s="1201"/>
      <c r="QPS224" s="1201"/>
      <c r="QPT224" s="1201"/>
      <c r="QPU224" s="1201"/>
      <c r="QPV224" s="1201"/>
      <c r="QPW224" s="1201"/>
      <c r="QPX224" s="1201"/>
      <c r="QPY224" s="1201"/>
      <c r="QPZ224" s="1201"/>
      <c r="QQA224" s="1201"/>
      <c r="QQB224" s="1201"/>
      <c r="QQC224" s="1201"/>
      <c r="QQD224" s="1201"/>
      <c r="QQE224" s="1201"/>
      <c r="QQF224" s="1201"/>
      <c r="QQG224" s="1201"/>
      <c r="QQH224" s="1201"/>
      <c r="QQI224" s="1201"/>
      <c r="QQJ224" s="1201"/>
      <c r="QQK224" s="1201"/>
      <c r="QQL224" s="1201"/>
      <c r="QQM224" s="1201"/>
      <c r="QQN224" s="1201"/>
      <c r="QQO224" s="1201"/>
      <c r="QQP224" s="1201"/>
      <c r="QQQ224" s="1201"/>
      <c r="QQR224" s="1201"/>
      <c r="QQS224" s="1201"/>
      <c r="QQT224" s="1201"/>
      <c r="QQU224" s="1201"/>
      <c r="QQV224" s="1201"/>
      <c r="QQW224" s="1201"/>
      <c r="QQX224" s="1201"/>
      <c r="QQY224" s="1201"/>
      <c r="QQZ224" s="1201"/>
      <c r="QRA224" s="1201"/>
      <c r="QRB224" s="1201"/>
      <c r="QRC224" s="1201"/>
      <c r="QRD224" s="1201"/>
      <c r="QRE224" s="1201"/>
      <c r="QRF224" s="1201"/>
      <c r="QRG224" s="1201"/>
      <c r="QRH224" s="1201"/>
      <c r="QRI224" s="1201"/>
      <c r="QRJ224" s="1201"/>
      <c r="QRK224" s="1201"/>
      <c r="QRL224" s="1201"/>
      <c r="QRM224" s="1201"/>
      <c r="QRN224" s="1201"/>
      <c r="QRO224" s="1201"/>
      <c r="QRP224" s="1201"/>
      <c r="QRQ224" s="1201"/>
      <c r="QRR224" s="1201"/>
      <c r="QRS224" s="1201"/>
      <c r="QRT224" s="1201"/>
      <c r="QRU224" s="1201"/>
      <c r="QRV224" s="1201"/>
      <c r="QRW224" s="1201"/>
      <c r="QRX224" s="1201"/>
      <c r="QRY224" s="1201"/>
      <c r="QRZ224" s="1201"/>
      <c r="QSA224" s="1201"/>
      <c r="QSB224" s="1201"/>
      <c r="QSC224" s="1201"/>
      <c r="QSD224" s="1201"/>
      <c r="QSE224" s="1201"/>
      <c r="QSF224" s="1201"/>
      <c r="QSG224" s="1201"/>
      <c r="QSH224" s="1201"/>
      <c r="QSI224" s="1201"/>
      <c r="QSJ224" s="1201"/>
      <c r="QSK224" s="1201"/>
      <c r="QSL224" s="1201"/>
      <c r="QSM224" s="1201"/>
      <c r="QSN224" s="1201"/>
      <c r="QSO224" s="1201"/>
      <c r="QSP224" s="1201"/>
      <c r="QSQ224" s="1201"/>
      <c r="QSR224" s="1201"/>
      <c r="QSS224" s="1201"/>
      <c r="QST224" s="1201"/>
      <c r="QSU224" s="1201"/>
      <c r="QSV224" s="1201"/>
      <c r="QSW224" s="1201"/>
      <c r="QSX224" s="1201"/>
      <c r="QSY224" s="1201"/>
      <c r="QSZ224" s="1201"/>
      <c r="QTA224" s="1201"/>
      <c r="QTB224" s="1201"/>
      <c r="QTC224" s="1201"/>
      <c r="QTD224" s="1201"/>
      <c r="QTE224" s="1201"/>
      <c r="QTF224" s="1201"/>
      <c r="QTG224" s="1201"/>
      <c r="QTH224" s="1201"/>
      <c r="QTI224" s="1201"/>
      <c r="QTJ224" s="1201"/>
      <c r="QTK224" s="1201"/>
      <c r="QTL224" s="1201"/>
      <c r="QTM224" s="1201"/>
      <c r="QTN224" s="1201"/>
      <c r="QTO224" s="1201"/>
      <c r="QTP224" s="1201"/>
      <c r="QTQ224" s="1201"/>
      <c r="QTR224" s="1201"/>
      <c r="QTS224" s="1201"/>
      <c r="QTT224" s="1201"/>
      <c r="QTU224" s="1201"/>
      <c r="QTV224" s="1201"/>
      <c r="QTW224" s="1201"/>
      <c r="QTX224" s="1201"/>
      <c r="QTY224" s="1201"/>
      <c r="QTZ224" s="1201"/>
      <c r="QUA224" s="1201"/>
      <c r="QUB224" s="1201"/>
      <c r="QUC224" s="1201"/>
      <c r="QUD224" s="1201"/>
      <c r="QUE224" s="1201"/>
      <c r="QUF224" s="1201"/>
      <c r="QUG224" s="1201"/>
      <c r="QUH224" s="1201"/>
      <c r="QUI224" s="1201"/>
      <c r="QUJ224" s="1201"/>
      <c r="QUK224" s="1201"/>
      <c r="QUL224" s="1201"/>
      <c r="QUM224" s="1201"/>
      <c r="QUN224" s="1201"/>
      <c r="QUO224" s="1201"/>
      <c r="QUP224" s="1201"/>
      <c r="QUQ224" s="1201"/>
      <c r="QUR224" s="1201"/>
      <c r="QUS224" s="1201"/>
      <c r="QUT224" s="1201"/>
      <c r="QUU224" s="1201"/>
      <c r="QUV224" s="1201"/>
      <c r="QUW224" s="1201"/>
      <c r="QUX224" s="1201"/>
      <c r="QUY224" s="1201"/>
      <c r="QUZ224" s="1201"/>
      <c r="QVA224" s="1201"/>
      <c r="QVB224" s="1201"/>
      <c r="QVC224" s="1201"/>
      <c r="QVD224" s="1201"/>
      <c r="QVE224" s="1201"/>
      <c r="QVF224" s="1201"/>
      <c r="QVG224" s="1201"/>
      <c r="QVH224" s="1201"/>
      <c r="QVI224" s="1201"/>
      <c r="QVJ224" s="1201"/>
      <c r="QVK224" s="1201"/>
      <c r="QVL224" s="1201"/>
      <c r="QVM224" s="1201"/>
      <c r="QVN224" s="1201"/>
      <c r="QVO224" s="1201"/>
      <c r="QVP224" s="1201"/>
      <c r="QVQ224" s="1201"/>
      <c r="QVR224" s="1201"/>
      <c r="QVS224" s="1201"/>
      <c r="QVT224" s="1201"/>
      <c r="QVU224" s="1201"/>
      <c r="QVV224" s="1201"/>
      <c r="QVW224" s="1201"/>
      <c r="QVX224" s="1201"/>
      <c r="QVY224" s="1201"/>
      <c r="QVZ224" s="1201"/>
      <c r="QWA224" s="1201"/>
      <c r="QWB224" s="1201"/>
      <c r="QWC224" s="1201"/>
      <c r="QWD224" s="1201"/>
      <c r="QWE224" s="1201"/>
      <c r="QWF224" s="1201"/>
      <c r="QWG224" s="1201"/>
      <c r="QWH224" s="1201"/>
      <c r="QWI224" s="1201"/>
      <c r="QWJ224" s="1201"/>
      <c r="QWK224" s="1201"/>
      <c r="QWL224" s="1201"/>
      <c r="QWM224" s="1201"/>
      <c r="QWN224" s="1201"/>
      <c r="QWO224" s="1201"/>
      <c r="QWP224" s="1201"/>
      <c r="QWQ224" s="1201"/>
      <c r="QWR224" s="1201"/>
      <c r="QWS224" s="1201"/>
      <c r="QWT224" s="1201"/>
      <c r="QWU224" s="1201"/>
      <c r="QWV224" s="1201"/>
      <c r="QWW224" s="1201"/>
      <c r="QWX224" s="1201"/>
      <c r="QWY224" s="1201"/>
      <c r="QWZ224" s="1201"/>
      <c r="QXA224" s="1201"/>
      <c r="QXB224" s="1201"/>
      <c r="QXC224" s="1201"/>
      <c r="QXD224" s="1201"/>
      <c r="QXE224" s="1201"/>
      <c r="QXF224" s="1201"/>
      <c r="QXG224" s="1201"/>
      <c r="QXH224" s="1201"/>
      <c r="QXI224" s="1201"/>
      <c r="QXJ224" s="1201"/>
      <c r="QXK224" s="1201"/>
      <c r="QXL224" s="1201"/>
      <c r="QXM224" s="1201"/>
      <c r="QXN224" s="1201"/>
      <c r="QXO224" s="1201"/>
      <c r="QXP224" s="1201"/>
      <c r="QXQ224" s="1201"/>
      <c r="QXR224" s="1201"/>
      <c r="QXS224" s="1201"/>
      <c r="QXT224" s="1201"/>
      <c r="QXU224" s="1201"/>
      <c r="QXV224" s="1201"/>
      <c r="QXW224" s="1201"/>
      <c r="QXX224" s="1201"/>
      <c r="QXY224" s="1201"/>
      <c r="QXZ224" s="1201"/>
      <c r="QYA224" s="1201"/>
      <c r="QYB224" s="1201"/>
      <c r="QYC224" s="1201"/>
      <c r="QYD224" s="1201"/>
      <c r="QYE224" s="1201"/>
      <c r="QYF224" s="1201"/>
      <c r="QYG224" s="1201"/>
      <c r="QYH224" s="1201"/>
      <c r="QYI224" s="1201"/>
      <c r="QYJ224" s="1201"/>
      <c r="QYK224" s="1201"/>
      <c r="QYL224" s="1201"/>
      <c r="QYM224" s="1201"/>
      <c r="QYN224" s="1201"/>
      <c r="QYO224" s="1201"/>
      <c r="QYP224" s="1201"/>
      <c r="QYQ224" s="1201"/>
      <c r="QYR224" s="1201"/>
      <c r="QYS224" s="1201"/>
      <c r="QYT224" s="1201"/>
      <c r="QYU224" s="1201"/>
      <c r="QYV224" s="1201"/>
      <c r="QYW224" s="1201"/>
      <c r="QYX224" s="1201"/>
      <c r="QYY224" s="1201"/>
      <c r="QYZ224" s="1201"/>
      <c r="QZA224" s="1201"/>
      <c r="QZB224" s="1201"/>
      <c r="QZC224" s="1201"/>
      <c r="QZD224" s="1201"/>
      <c r="QZE224" s="1201"/>
      <c r="QZF224" s="1201"/>
      <c r="QZG224" s="1201"/>
      <c r="QZH224" s="1201"/>
      <c r="QZI224" s="1201"/>
      <c r="QZJ224" s="1201"/>
      <c r="QZK224" s="1201"/>
      <c r="QZL224" s="1201"/>
      <c r="QZM224" s="1201"/>
      <c r="QZN224" s="1201"/>
      <c r="QZO224" s="1201"/>
      <c r="QZP224" s="1201"/>
      <c r="QZQ224" s="1201"/>
      <c r="QZR224" s="1201"/>
      <c r="QZS224" s="1201"/>
      <c r="QZT224" s="1201"/>
      <c r="QZU224" s="1201"/>
      <c r="QZV224" s="1201"/>
      <c r="QZW224" s="1201"/>
      <c r="QZX224" s="1201"/>
      <c r="QZY224" s="1201"/>
      <c r="QZZ224" s="1201"/>
      <c r="RAA224" s="1201"/>
      <c r="RAB224" s="1201"/>
      <c r="RAC224" s="1201"/>
      <c r="RAD224" s="1201"/>
      <c r="RAE224" s="1201"/>
      <c r="RAF224" s="1201"/>
      <c r="RAG224" s="1201"/>
      <c r="RAH224" s="1201"/>
      <c r="RAI224" s="1201"/>
      <c r="RAJ224" s="1201"/>
      <c r="RAK224" s="1201"/>
      <c r="RAL224" s="1201"/>
      <c r="RAM224" s="1201"/>
      <c r="RAN224" s="1201"/>
      <c r="RAO224" s="1201"/>
      <c r="RAP224" s="1201"/>
      <c r="RAQ224" s="1201"/>
      <c r="RAR224" s="1201"/>
      <c r="RAS224" s="1201"/>
      <c r="RAT224" s="1201"/>
      <c r="RAU224" s="1201"/>
      <c r="RAV224" s="1201"/>
      <c r="RAW224" s="1201"/>
      <c r="RAX224" s="1201"/>
      <c r="RAY224" s="1201"/>
      <c r="RAZ224" s="1201"/>
      <c r="RBA224" s="1201"/>
      <c r="RBB224" s="1201"/>
      <c r="RBC224" s="1201"/>
      <c r="RBD224" s="1201"/>
      <c r="RBE224" s="1201"/>
      <c r="RBF224" s="1201"/>
      <c r="RBG224" s="1201"/>
      <c r="RBH224" s="1201"/>
      <c r="RBI224" s="1201"/>
      <c r="RBJ224" s="1201"/>
      <c r="RBK224" s="1201"/>
      <c r="RBL224" s="1201"/>
      <c r="RBM224" s="1201"/>
      <c r="RBN224" s="1201"/>
      <c r="RBO224" s="1201"/>
      <c r="RBP224" s="1201"/>
      <c r="RBQ224" s="1201"/>
      <c r="RBR224" s="1201"/>
      <c r="RBS224" s="1201"/>
      <c r="RBT224" s="1201"/>
      <c r="RBU224" s="1201"/>
      <c r="RBV224" s="1201"/>
      <c r="RBW224" s="1201"/>
      <c r="RBX224" s="1201"/>
      <c r="RBY224" s="1201"/>
      <c r="RBZ224" s="1201"/>
      <c r="RCA224" s="1201"/>
      <c r="RCB224" s="1201"/>
      <c r="RCC224" s="1201"/>
      <c r="RCD224" s="1201"/>
      <c r="RCE224" s="1201"/>
      <c r="RCF224" s="1201"/>
      <c r="RCG224" s="1201"/>
      <c r="RCH224" s="1201"/>
      <c r="RCI224" s="1201"/>
      <c r="RCJ224" s="1201"/>
      <c r="RCK224" s="1201"/>
      <c r="RCL224" s="1201"/>
      <c r="RCM224" s="1201"/>
      <c r="RCN224" s="1201"/>
      <c r="RCO224" s="1201"/>
      <c r="RCP224" s="1201"/>
      <c r="RCQ224" s="1201"/>
      <c r="RCR224" s="1201"/>
      <c r="RCS224" s="1201"/>
      <c r="RCT224" s="1201"/>
      <c r="RCU224" s="1201"/>
      <c r="RCV224" s="1201"/>
      <c r="RCW224" s="1201"/>
      <c r="RCX224" s="1201"/>
      <c r="RCY224" s="1201"/>
      <c r="RCZ224" s="1201"/>
      <c r="RDA224" s="1201"/>
      <c r="RDB224" s="1201"/>
      <c r="RDC224" s="1201"/>
      <c r="RDD224" s="1201"/>
      <c r="RDE224" s="1201"/>
      <c r="RDF224" s="1201"/>
      <c r="RDG224" s="1201"/>
      <c r="RDH224" s="1201"/>
      <c r="RDI224" s="1201"/>
      <c r="RDJ224" s="1201"/>
      <c r="RDK224" s="1201"/>
      <c r="RDL224" s="1201"/>
      <c r="RDM224" s="1201"/>
      <c r="RDN224" s="1201"/>
      <c r="RDO224" s="1201"/>
      <c r="RDP224" s="1201"/>
      <c r="RDQ224" s="1201"/>
      <c r="RDR224" s="1201"/>
      <c r="RDS224" s="1201"/>
      <c r="RDT224" s="1201"/>
      <c r="RDU224" s="1201"/>
      <c r="RDV224" s="1201"/>
      <c r="RDW224" s="1201"/>
      <c r="RDX224" s="1201"/>
      <c r="RDY224" s="1201"/>
      <c r="RDZ224" s="1201"/>
      <c r="REA224" s="1201"/>
      <c r="REB224" s="1201"/>
      <c r="REC224" s="1201"/>
      <c r="RED224" s="1201"/>
      <c r="REE224" s="1201"/>
      <c r="REF224" s="1201"/>
      <c r="REG224" s="1201"/>
      <c r="REH224" s="1201"/>
      <c r="REI224" s="1201"/>
      <c r="REJ224" s="1201"/>
      <c r="REK224" s="1201"/>
      <c r="REL224" s="1201"/>
      <c r="REM224" s="1201"/>
      <c r="REN224" s="1201"/>
      <c r="REO224" s="1201"/>
      <c r="REP224" s="1201"/>
      <c r="REQ224" s="1201"/>
      <c r="RER224" s="1201"/>
      <c r="RES224" s="1201"/>
      <c r="RET224" s="1201"/>
      <c r="REU224" s="1201"/>
      <c r="REV224" s="1201"/>
      <c r="REW224" s="1201"/>
      <c r="REX224" s="1201"/>
      <c r="REY224" s="1201"/>
      <c r="REZ224" s="1201"/>
      <c r="RFA224" s="1201"/>
      <c r="RFB224" s="1201"/>
      <c r="RFC224" s="1201"/>
      <c r="RFD224" s="1201"/>
      <c r="RFE224" s="1201"/>
      <c r="RFF224" s="1201"/>
      <c r="RFG224" s="1201"/>
      <c r="RFH224" s="1201"/>
      <c r="RFI224" s="1201"/>
      <c r="RFJ224" s="1201"/>
      <c r="RFK224" s="1201"/>
      <c r="RFL224" s="1201"/>
      <c r="RFM224" s="1201"/>
      <c r="RFN224" s="1201"/>
      <c r="RFO224" s="1201"/>
      <c r="RFP224" s="1201"/>
      <c r="RFQ224" s="1201"/>
      <c r="RFR224" s="1201"/>
      <c r="RFS224" s="1201"/>
      <c r="RFT224" s="1201"/>
      <c r="RFU224" s="1201"/>
      <c r="RFV224" s="1201"/>
      <c r="RFW224" s="1201"/>
      <c r="RFX224" s="1201"/>
      <c r="RFY224" s="1201"/>
      <c r="RFZ224" s="1201"/>
      <c r="RGA224" s="1201"/>
      <c r="RGB224" s="1201"/>
      <c r="RGC224" s="1201"/>
      <c r="RGD224" s="1201"/>
      <c r="RGE224" s="1201"/>
      <c r="RGF224" s="1201"/>
      <c r="RGG224" s="1201"/>
      <c r="RGH224" s="1201"/>
      <c r="RGI224" s="1201"/>
      <c r="RGJ224" s="1201"/>
      <c r="RGK224" s="1201"/>
      <c r="RGL224" s="1201"/>
      <c r="RGM224" s="1201"/>
      <c r="RGN224" s="1201"/>
      <c r="RGO224" s="1201"/>
      <c r="RGP224" s="1201"/>
      <c r="RGQ224" s="1201"/>
      <c r="RGR224" s="1201"/>
      <c r="RGS224" s="1201"/>
      <c r="RGT224" s="1201"/>
      <c r="RGU224" s="1201"/>
      <c r="RGV224" s="1201"/>
      <c r="RGW224" s="1201"/>
      <c r="RGX224" s="1201"/>
      <c r="RGY224" s="1201"/>
      <c r="RGZ224" s="1201"/>
      <c r="RHA224" s="1201"/>
      <c r="RHB224" s="1201"/>
      <c r="RHC224" s="1201"/>
      <c r="RHD224" s="1201"/>
      <c r="RHE224" s="1201"/>
      <c r="RHF224" s="1201"/>
      <c r="RHG224" s="1201"/>
      <c r="RHH224" s="1201"/>
      <c r="RHI224" s="1201"/>
      <c r="RHJ224" s="1201"/>
      <c r="RHK224" s="1201"/>
      <c r="RHL224" s="1201"/>
      <c r="RHM224" s="1201"/>
      <c r="RHN224" s="1201"/>
      <c r="RHO224" s="1201"/>
      <c r="RHP224" s="1201"/>
      <c r="RHQ224" s="1201"/>
      <c r="RHR224" s="1201"/>
      <c r="RHS224" s="1201"/>
      <c r="RHT224" s="1201"/>
      <c r="RHU224" s="1201"/>
      <c r="RHV224" s="1201"/>
      <c r="RHW224" s="1201"/>
      <c r="RHX224" s="1201"/>
      <c r="RHY224" s="1201"/>
      <c r="RHZ224" s="1201"/>
      <c r="RIA224" s="1201"/>
      <c r="RIB224" s="1201"/>
      <c r="RIC224" s="1201"/>
      <c r="RID224" s="1201"/>
      <c r="RIE224" s="1201"/>
      <c r="RIF224" s="1201"/>
      <c r="RIG224" s="1201"/>
      <c r="RIH224" s="1201"/>
      <c r="RII224" s="1201"/>
      <c r="RIJ224" s="1201"/>
      <c r="RIK224" s="1201"/>
      <c r="RIL224" s="1201"/>
      <c r="RIM224" s="1201"/>
      <c r="RIN224" s="1201"/>
      <c r="RIO224" s="1201"/>
      <c r="RIP224" s="1201"/>
      <c r="RIQ224" s="1201"/>
      <c r="RIR224" s="1201"/>
      <c r="RIS224" s="1201"/>
      <c r="RIT224" s="1201"/>
      <c r="RIU224" s="1201"/>
      <c r="RIV224" s="1201"/>
      <c r="RIW224" s="1201"/>
      <c r="RIX224" s="1201"/>
      <c r="RIY224" s="1201"/>
      <c r="RIZ224" s="1201"/>
      <c r="RJA224" s="1201"/>
      <c r="RJB224" s="1201"/>
      <c r="RJC224" s="1201"/>
      <c r="RJD224" s="1201"/>
      <c r="RJE224" s="1201"/>
      <c r="RJF224" s="1201"/>
      <c r="RJG224" s="1201"/>
      <c r="RJH224" s="1201"/>
      <c r="RJI224" s="1201"/>
      <c r="RJJ224" s="1201"/>
      <c r="RJK224" s="1201"/>
      <c r="RJL224" s="1201"/>
      <c r="RJM224" s="1201"/>
      <c r="RJN224" s="1201"/>
      <c r="RJO224" s="1201"/>
      <c r="RJP224" s="1201"/>
      <c r="RJQ224" s="1201"/>
      <c r="RJR224" s="1201"/>
      <c r="RJS224" s="1201"/>
      <c r="RJT224" s="1201"/>
      <c r="RJU224" s="1201"/>
      <c r="RJV224" s="1201"/>
      <c r="RJW224" s="1201"/>
      <c r="RJX224" s="1201"/>
      <c r="RJY224" s="1201"/>
      <c r="RJZ224" s="1201"/>
      <c r="RKA224" s="1201"/>
      <c r="RKB224" s="1201"/>
      <c r="RKC224" s="1201"/>
      <c r="RKD224" s="1201"/>
      <c r="RKE224" s="1201"/>
      <c r="RKF224" s="1201"/>
      <c r="RKG224" s="1201"/>
      <c r="RKH224" s="1201"/>
      <c r="RKI224" s="1201"/>
      <c r="RKJ224" s="1201"/>
      <c r="RKK224" s="1201"/>
      <c r="RKL224" s="1201"/>
      <c r="RKM224" s="1201"/>
      <c r="RKN224" s="1201"/>
      <c r="RKO224" s="1201"/>
      <c r="RKP224" s="1201"/>
      <c r="RKQ224" s="1201"/>
      <c r="RKR224" s="1201"/>
      <c r="RKS224" s="1201"/>
      <c r="RKT224" s="1201"/>
      <c r="RKU224" s="1201"/>
      <c r="RKV224" s="1201"/>
      <c r="RKW224" s="1201"/>
      <c r="RKX224" s="1201"/>
      <c r="RKY224" s="1201"/>
      <c r="RKZ224" s="1201"/>
      <c r="RLA224" s="1201"/>
      <c r="RLB224" s="1201"/>
      <c r="RLC224" s="1201"/>
      <c r="RLD224" s="1201"/>
      <c r="RLE224" s="1201"/>
      <c r="RLF224" s="1201"/>
      <c r="RLG224" s="1201"/>
      <c r="RLH224" s="1201"/>
      <c r="RLI224" s="1201"/>
      <c r="RLJ224" s="1201"/>
      <c r="RLK224" s="1201"/>
      <c r="RLL224" s="1201"/>
      <c r="RLM224" s="1201"/>
      <c r="RLN224" s="1201"/>
      <c r="RLO224" s="1201"/>
      <c r="RLP224" s="1201"/>
      <c r="RLQ224" s="1201"/>
      <c r="RLR224" s="1201"/>
      <c r="RLS224" s="1201"/>
      <c r="RLT224" s="1201"/>
      <c r="RLU224" s="1201"/>
      <c r="RLV224" s="1201"/>
      <c r="RLW224" s="1201"/>
      <c r="RLX224" s="1201"/>
      <c r="RLY224" s="1201"/>
      <c r="RLZ224" s="1201"/>
      <c r="RMA224" s="1201"/>
      <c r="RMB224" s="1201"/>
      <c r="RMC224" s="1201"/>
      <c r="RMD224" s="1201"/>
      <c r="RME224" s="1201"/>
      <c r="RMF224" s="1201"/>
      <c r="RMG224" s="1201"/>
      <c r="RMH224" s="1201"/>
      <c r="RMI224" s="1201"/>
      <c r="RMJ224" s="1201"/>
      <c r="RMK224" s="1201"/>
      <c r="RML224" s="1201"/>
      <c r="RMM224" s="1201"/>
      <c r="RMN224" s="1201"/>
      <c r="RMO224" s="1201"/>
      <c r="RMP224" s="1201"/>
      <c r="RMQ224" s="1201"/>
      <c r="RMR224" s="1201"/>
      <c r="RMS224" s="1201"/>
      <c r="RMT224" s="1201"/>
      <c r="RMU224" s="1201"/>
      <c r="RMV224" s="1201"/>
      <c r="RMW224" s="1201"/>
      <c r="RMX224" s="1201"/>
      <c r="RMY224" s="1201"/>
      <c r="RMZ224" s="1201"/>
      <c r="RNA224" s="1201"/>
      <c r="RNB224" s="1201"/>
      <c r="RNC224" s="1201"/>
      <c r="RND224" s="1201"/>
      <c r="RNE224" s="1201"/>
      <c r="RNF224" s="1201"/>
      <c r="RNG224" s="1201"/>
      <c r="RNH224" s="1201"/>
      <c r="RNI224" s="1201"/>
      <c r="RNJ224" s="1201"/>
      <c r="RNK224" s="1201"/>
      <c r="RNL224" s="1201"/>
      <c r="RNM224" s="1201"/>
      <c r="RNN224" s="1201"/>
      <c r="RNO224" s="1201"/>
      <c r="RNP224" s="1201"/>
      <c r="RNQ224" s="1201"/>
      <c r="RNR224" s="1201"/>
      <c r="RNS224" s="1201"/>
      <c r="RNT224" s="1201"/>
      <c r="RNU224" s="1201"/>
      <c r="RNV224" s="1201"/>
      <c r="RNW224" s="1201"/>
      <c r="RNX224" s="1201"/>
      <c r="RNY224" s="1201"/>
      <c r="RNZ224" s="1201"/>
      <c r="ROA224" s="1201"/>
      <c r="ROB224" s="1201"/>
      <c r="ROC224" s="1201"/>
      <c r="ROD224" s="1201"/>
      <c r="ROE224" s="1201"/>
      <c r="ROF224" s="1201"/>
      <c r="ROG224" s="1201"/>
      <c r="ROH224" s="1201"/>
      <c r="ROI224" s="1201"/>
      <c r="ROJ224" s="1201"/>
      <c r="ROK224" s="1201"/>
      <c r="ROL224" s="1201"/>
      <c r="ROM224" s="1201"/>
      <c r="RON224" s="1201"/>
      <c r="ROO224" s="1201"/>
      <c r="ROP224" s="1201"/>
      <c r="ROQ224" s="1201"/>
      <c r="ROR224" s="1201"/>
      <c r="ROS224" s="1201"/>
      <c r="ROT224" s="1201"/>
      <c r="ROU224" s="1201"/>
      <c r="ROV224" s="1201"/>
      <c r="ROW224" s="1201"/>
      <c r="ROX224" s="1201"/>
      <c r="ROY224" s="1201"/>
      <c r="ROZ224" s="1201"/>
      <c r="RPA224" s="1201"/>
      <c r="RPB224" s="1201"/>
      <c r="RPC224" s="1201"/>
      <c r="RPD224" s="1201"/>
      <c r="RPE224" s="1201"/>
      <c r="RPF224" s="1201"/>
      <c r="RPG224" s="1201"/>
      <c r="RPH224" s="1201"/>
      <c r="RPI224" s="1201"/>
      <c r="RPJ224" s="1201"/>
      <c r="RPK224" s="1201"/>
      <c r="RPL224" s="1201"/>
      <c r="RPM224" s="1201"/>
      <c r="RPN224" s="1201"/>
      <c r="RPO224" s="1201"/>
      <c r="RPP224" s="1201"/>
      <c r="RPQ224" s="1201"/>
      <c r="RPR224" s="1201"/>
      <c r="RPS224" s="1201"/>
      <c r="RPT224" s="1201"/>
      <c r="RPU224" s="1201"/>
      <c r="RPV224" s="1201"/>
      <c r="RPW224" s="1201"/>
      <c r="RPX224" s="1201"/>
      <c r="RPY224" s="1201"/>
      <c r="RPZ224" s="1201"/>
      <c r="RQA224" s="1201"/>
      <c r="RQB224" s="1201"/>
      <c r="RQC224" s="1201"/>
      <c r="RQD224" s="1201"/>
      <c r="RQE224" s="1201"/>
      <c r="RQF224" s="1201"/>
      <c r="RQG224" s="1201"/>
      <c r="RQH224" s="1201"/>
      <c r="RQI224" s="1201"/>
      <c r="RQJ224" s="1201"/>
      <c r="RQK224" s="1201"/>
      <c r="RQL224" s="1201"/>
      <c r="RQM224" s="1201"/>
      <c r="RQN224" s="1201"/>
      <c r="RQO224" s="1201"/>
      <c r="RQP224" s="1201"/>
      <c r="RQQ224" s="1201"/>
      <c r="RQR224" s="1201"/>
      <c r="RQS224" s="1201"/>
      <c r="RQT224" s="1201"/>
      <c r="RQU224" s="1201"/>
      <c r="RQV224" s="1201"/>
      <c r="RQW224" s="1201"/>
      <c r="RQX224" s="1201"/>
      <c r="RQY224" s="1201"/>
      <c r="RQZ224" s="1201"/>
      <c r="RRA224" s="1201"/>
      <c r="RRB224" s="1201"/>
      <c r="RRC224" s="1201"/>
      <c r="RRD224" s="1201"/>
      <c r="RRE224" s="1201"/>
      <c r="RRF224" s="1201"/>
      <c r="RRG224" s="1201"/>
      <c r="RRH224" s="1201"/>
      <c r="RRI224" s="1201"/>
      <c r="RRJ224" s="1201"/>
      <c r="RRK224" s="1201"/>
      <c r="RRL224" s="1201"/>
      <c r="RRM224" s="1201"/>
      <c r="RRN224" s="1201"/>
      <c r="RRO224" s="1201"/>
      <c r="RRP224" s="1201"/>
      <c r="RRQ224" s="1201"/>
      <c r="RRR224" s="1201"/>
      <c r="RRS224" s="1201"/>
      <c r="RRT224" s="1201"/>
      <c r="RRU224" s="1201"/>
      <c r="RRV224" s="1201"/>
      <c r="RRW224" s="1201"/>
      <c r="RRX224" s="1201"/>
      <c r="RRY224" s="1201"/>
      <c r="RRZ224" s="1201"/>
      <c r="RSA224" s="1201"/>
      <c r="RSB224" s="1201"/>
      <c r="RSC224" s="1201"/>
      <c r="RSD224" s="1201"/>
      <c r="RSE224" s="1201"/>
      <c r="RSF224" s="1201"/>
      <c r="RSG224" s="1201"/>
      <c r="RSH224" s="1201"/>
      <c r="RSI224" s="1201"/>
      <c r="RSJ224" s="1201"/>
      <c r="RSK224" s="1201"/>
      <c r="RSL224" s="1201"/>
      <c r="RSM224" s="1201"/>
      <c r="RSN224" s="1201"/>
      <c r="RSO224" s="1201"/>
      <c r="RSP224" s="1201"/>
      <c r="RSQ224" s="1201"/>
      <c r="RSR224" s="1201"/>
      <c r="RSS224" s="1201"/>
      <c r="RST224" s="1201"/>
      <c r="RSU224" s="1201"/>
      <c r="RSV224" s="1201"/>
      <c r="RSW224" s="1201"/>
      <c r="RSX224" s="1201"/>
      <c r="RSY224" s="1201"/>
      <c r="RSZ224" s="1201"/>
      <c r="RTA224" s="1201"/>
      <c r="RTB224" s="1201"/>
      <c r="RTC224" s="1201"/>
      <c r="RTD224" s="1201"/>
      <c r="RTE224" s="1201"/>
      <c r="RTF224" s="1201"/>
      <c r="RTG224" s="1201"/>
      <c r="RTH224" s="1201"/>
      <c r="RTI224" s="1201"/>
      <c r="RTJ224" s="1201"/>
      <c r="RTK224" s="1201"/>
      <c r="RTL224" s="1201"/>
      <c r="RTM224" s="1201"/>
      <c r="RTN224" s="1201"/>
      <c r="RTO224" s="1201"/>
      <c r="RTP224" s="1201"/>
      <c r="RTQ224" s="1201"/>
      <c r="RTR224" s="1201"/>
      <c r="RTS224" s="1201"/>
      <c r="RTT224" s="1201"/>
      <c r="RTU224" s="1201"/>
      <c r="RTV224" s="1201"/>
      <c r="RTW224" s="1201"/>
      <c r="RTX224" s="1201"/>
      <c r="RTY224" s="1201"/>
      <c r="RTZ224" s="1201"/>
      <c r="RUA224" s="1201"/>
      <c r="RUB224" s="1201"/>
      <c r="RUC224" s="1201"/>
      <c r="RUD224" s="1201"/>
      <c r="RUE224" s="1201"/>
      <c r="RUF224" s="1201"/>
      <c r="RUG224" s="1201"/>
      <c r="RUH224" s="1201"/>
      <c r="RUI224" s="1201"/>
      <c r="RUJ224" s="1201"/>
      <c r="RUK224" s="1201"/>
      <c r="RUL224" s="1201"/>
      <c r="RUM224" s="1201"/>
      <c r="RUN224" s="1201"/>
      <c r="RUO224" s="1201"/>
      <c r="RUP224" s="1201"/>
      <c r="RUQ224" s="1201"/>
      <c r="RUR224" s="1201"/>
      <c r="RUS224" s="1201"/>
      <c r="RUT224" s="1201"/>
      <c r="RUU224" s="1201"/>
      <c r="RUV224" s="1201"/>
      <c r="RUW224" s="1201"/>
      <c r="RUX224" s="1201"/>
      <c r="RUY224" s="1201"/>
      <c r="RUZ224" s="1201"/>
      <c r="RVA224" s="1201"/>
      <c r="RVB224" s="1201"/>
      <c r="RVC224" s="1201"/>
      <c r="RVD224" s="1201"/>
      <c r="RVE224" s="1201"/>
      <c r="RVF224" s="1201"/>
      <c r="RVG224" s="1201"/>
      <c r="RVH224" s="1201"/>
      <c r="RVI224" s="1201"/>
      <c r="RVJ224" s="1201"/>
      <c r="RVK224" s="1201"/>
      <c r="RVL224" s="1201"/>
      <c r="RVM224" s="1201"/>
      <c r="RVN224" s="1201"/>
      <c r="RVO224" s="1201"/>
      <c r="RVP224" s="1201"/>
      <c r="RVQ224" s="1201"/>
      <c r="RVR224" s="1201"/>
      <c r="RVS224" s="1201"/>
      <c r="RVT224" s="1201"/>
      <c r="RVU224" s="1201"/>
      <c r="RVV224" s="1201"/>
      <c r="RVW224" s="1201"/>
      <c r="RVX224" s="1201"/>
      <c r="RVY224" s="1201"/>
      <c r="RVZ224" s="1201"/>
      <c r="RWA224" s="1201"/>
      <c r="RWB224" s="1201"/>
      <c r="RWC224" s="1201"/>
      <c r="RWD224" s="1201"/>
      <c r="RWE224" s="1201"/>
      <c r="RWF224" s="1201"/>
      <c r="RWG224" s="1201"/>
      <c r="RWH224" s="1201"/>
      <c r="RWI224" s="1201"/>
      <c r="RWJ224" s="1201"/>
      <c r="RWK224" s="1201"/>
      <c r="RWL224" s="1201"/>
      <c r="RWM224" s="1201"/>
      <c r="RWN224" s="1201"/>
      <c r="RWO224" s="1201"/>
      <c r="RWP224" s="1201"/>
      <c r="RWQ224" s="1201"/>
      <c r="RWR224" s="1201"/>
      <c r="RWS224" s="1201"/>
      <c r="RWT224" s="1201"/>
      <c r="RWU224" s="1201"/>
      <c r="RWV224" s="1201"/>
      <c r="RWW224" s="1201"/>
      <c r="RWX224" s="1201"/>
      <c r="RWY224" s="1201"/>
      <c r="RWZ224" s="1201"/>
      <c r="RXA224" s="1201"/>
      <c r="RXB224" s="1201"/>
      <c r="RXC224" s="1201"/>
      <c r="RXD224" s="1201"/>
      <c r="RXE224" s="1201"/>
      <c r="RXF224" s="1201"/>
      <c r="RXG224" s="1201"/>
      <c r="RXH224" s="1201"/>
      <c r="RXI224" s="1201"/>
      <c r="RXJ224" s="1201"/>
      <c r="RXK224" s="1201"/>
      <c r="RXL224" s="1201"/>
      <c r="RXM224" s="1201"/>
      <c r="RXN224" s="1201"/>
      <c r="RXO224" s="1201"/>
      <c r="RXP224" s="1201"/>
      <c r="RXQ224" s="1201"/>
      <c r="RXR224" s="1201"/>
      <c r="RXS224" s="1201"/>
      <c r="RXT224" s="1201"/>
      <c r="RXU224" s="1201"/>
      <c r="RXV224" s="1201"/>
      <c r="RXW224" s="1201"/>
      <c r="RXX224" s="1201"/>
      <c r="RXY224" s="1201"/>
      <c r="RXZ224" s="1201"/>
      <c r="RYA224" s="1201"/>
      <c r="RYB224" s="1201"/>
      <c r="RYC224" s="1201"/>
      <c r="RYD224" s="1201"/>
      <c r="RYE224" s="1201"/>
      <c r="RYF224" s="1201"/>
      <c r="RYG224" s="1201"/>
      <c r="RYH224" s="1201"/>
      <c r="RYI224" s="1201"/>
      <c r="RYJ224" s="1201"/>
      <c r="RYK224" s="1201"/>
      <c r="RYL224" s="1201"/>
      <c r="RYM224" s="1201"/>
      <c r="RYN224" s="1201"/>
      <c r="RYO224" s="1201"/>
      <c r="RYP224" s="1201"/>
      <c r="RYQ224" s="1201"/>
      <c r="RYR224" s="1201"/>
      <c r="RYS224" s="1201"/>
      <c r="RYT224" s="1201"/>
      <c r="RYU224" s="1201"/>
      <c r="RYV224" s="1201"/>
      <c r="RYW224" s="1201"/>
      <c r="RYX224" s="1201"/>
      <c r="RYY224" s="1201"/>
      <c r="RYZ224" s="1201"/>
      <c r="RZA224" s="1201"/>
      <c r="RZB224" s="1201"/>
      <c r="RZC224" s="1201"/>
      <c r="RZD224" s="1201"/>
      <c r="RZE224" s="1201"/>
      <c r="RZF224" s="1201"/>
      <c r="RZG224" s="1201"/>
      <c r="RZH224" s="1201"/>
      <c r="RZI224" s="1201"/>
      <c r="RZJ224" s="1201"/>
      <c r="RZK224" s="1201"/>
      <c r="RZL224" s="1201"/>
      <c r="RZM224" s="1201"/>
      <c r="RZN224" s="1201"/>
      <c r="RZO224" s="1201"/>
      <c r="RZP224" s="1201"/>
      <c r="RZQ224" s="1201"/>
      <c r="RZR224" s="1201"/>
      <c r="RZS224" s="1201"/>
      <c r="RZT224" s="1201"/>
      <c r="RZU224" s="1201"/>
      <c r="RZV224" s="1201"/>
      <c r="RZW224" s="1201"/>
      <c r="RZX224" s="1201"/>
      <c r="RZY224" s="1201"/>
      <c r="RZZ224" s="1201"/>
      <c r="SAA224" s="1201"/>
      <c r="SAB224" s="1201"/>
      <c r="SAC224" s="1201"/>
      <c r="SAD224" s="1201"/>
      <c r="SAE224" s="1201"/>
      <c r="SAF224" s="1201"/>
      <c r="SAG224" s="1201"/>
      <c r="SAH224" s="1201"/>
      <c r="SAI224" s="1201"/>
      <c r="SAJ224" s="1201"/>
      <c r="SAK224" s="1201"/>
      <c r="SAL224" s="1201"/>
      <c r="SAM224" s="1201"/>
      <c r="SAN224" s="1201"/>
      <c r="SAO224" s="1201"/>
      <c r="SAP224" s="1201"/>
      <c r="SAQ224" s="1201"/>
      <c r="SAR224" s="1201"/>
      <c r="SAS224" s="1201"/>
      <c r="SAT224" s="1201"/>
      <c r="SAU224" s="1201"/>
      <c r="SAV224" s="1201"/>
      <c r="SAW224" s="1201"/>
      <c r="SAX224" s="1201"/>
      <c r="SAY224" s="1201"/>
      <c r="SAZ224" s="1201"/>
      <c r="SBA224" s="1201"/>
      <c r="SBB224" s="1201"/>
      <c r="SBC224" s="1201"/>
      <c r="SBD224" s="1201"/>
      <c r="SBE224" s="1201"/>
      <c r="SBF224" s="1201"/>
      <c r="SBG224" s="1201"/>
      <c r="SBH224" s="1201"/>
      <c r="SBI224" s="1201"/>
      <c r="SBJ224" s="1201"/>
      <c r="SBK224" s="1201"/>
      <c r="SBL224" s="1201"/>
      <c r="SBM224" s="1201"/>
      <c r="SBN224" s="1201"/>
      <c r="SBO224" s="1201"/>
      <c r="SBP224" s="1201"/>
      <c r="SBQ224" s="1201"/>
      <c r="SBR224" s="1201"/>
      <c r="SBS224" s="1201"/>
      <c r="SBT224" s="1201"/>
      <c r="SBU224" s="1201"/>
      <c r="SBV224" s="1201"/>
      <c r="SBW224" s="1201"/>
      <c r="SBX224" s="1201"/>
      <c r="SBY224" s="1201"/>
      <c r="SBZ224" s="1201"/>
      <c r="SCA224" s="1201"/>
      <c r="SCB224" s="1201"/>
      <c r="SCC224" s="1201"/>
      <c r="SCD224" s="1201"/>
      <c r="SCE224" s="1201"/>
      <c r="SCF224" s="1201"/>
      <c r="SCG224" s="1201"/>
      <c r="SCH224" s="1201"/>
      <c r="SCI224" s="1201"/>
      <c r="SCJ224" s="1201"/>
      <c r="SCK224" s="1201"/>
      <c r="SCL224" s="1201"/>
      <c r="SCM224" s="1201"/>
      <c r="SCN224" s="1201"/>
      <c r="SCO224" s="1201"/>
      <c r="SCP224" s="1201"/>
      <c r="SCQ224" s="1201"/>
      <c r="SCR224" s="1201"/>
      <c r="SCS224" s="1201"/>
      <c r="SCT224" s="1201"/>
      <c r="SCU224" s="1201"/>
      <c r="SCV224" s="1201"/>
      <c r="SCW224" s="1201"/>
      <c r="SCX224" s="1201"/>
      <c r="SCY224" s="1201"/>
      <c r="SCZ224" s="1201"/>
      <c r="SDA224" s="1201"/>
      <c r="SDB224" s="1201"/>
      <c r="SDC224" s="1201"/>
      <c r="SDD224" s="1201"/>
      <c r="SDE224" s="1201"/>
      <c r="SDF224" s="1201"/>
      <c r="SDG224" s="1201"/>
      <c r="SDH224" s="1201"/>
      <c r="SDI224" s="1201"/>
      <c r="SDJ224" s="1201"/>
      <c r="SDK224" s="1201"/>
      <c r="SDL224" s="1201"/>
      <c r="SDM224" s="1201"/>
      <c r="SDN224" s="1201"/>
      <c r="SDO224" s="1201"/>
      <c r="SDP224" s="1201"/>
      <c r="SDQ224" s="1201"/>
      <c r="SDR224" s="1201"/>
      <c r="SDS224" s="1201"/>
      <c r="SDT224" s="1201"/>
      <c r="SDU224" s="1201"/>
      <c r="SDV224" s="1201"/>
      <c r="SDW224" s="1201"/>
      <c r="SDX224" s="1201"/>
      <c r="SDY224" s="1201"/>
      <c r="SDZ224" s="1201"/>
      <c r="SEA224" s="1201"/>
      <c r="SEB224" s="1201"/>
      <c r="SEC224" s="1201"/>
      <c r="SED224" s="1201"/>
      <c r="SEE224" s="1201"/>
      <c r="SEF224" s="1201"/>
      <c r="SEG224" s="1201"/>
      <c r="SEH224" s="1201"/>
      <c r="SEI224" s="1201"/>
      <c r="SEJ224" s="1201"/>
      <c r="SEK224" s="1201"/>
      <c r="SEL224" s="1201"/>
      <c r="SEM224" s="1201"/>
      <c r="SEN224" s="1201"/>
      <c r="SEO224" s="1201"/>
      <c r="SEP224" s="1201"/>
      <c r="SEQ224" s="1201"/>
      <c r="SER224" s="1201"/>
      <c r="SES224" s="1201"/>
      <c r="SET224" s="1201"/>
      <c r="SEU224" s="1201"/>
      <c r="SEV224" s="1201"/>
      <c r="SEW224" s="1201"/>
      <c r="SEX224" s="1201"/>
      <c r="SEY224" s="1201"/>
      <c r="SEZ224" s="1201"/>
      <c r="SFA224" s="1201"/>
      <c r="SFB224" s="1201"/>
      <c r="SFC224" s="1201"/>
      <c r="SFD224" s="1201"/>
      <c r="SFE224" s="1201"/>
      <c r="SFF224" s="1201"/>
      <c r="SFG224" s="1201"/>
      <c r="SFH224" s="1201"/>
      <c r="SFI224" s="1201"/>
      <c r="SFJ224" s="1201"/>
      <c r="SFK224" s="1201"/>
      <c r="SFL224" s="1201"/>
      <c r="SFM224" s="1201"/>
      <c r="SFN224" s="1201"/>
      <c r="SFO224" s="1201"/>
      <c r="SFP224" s="1201"/>
      <c r="SFQ224" s="1201"/>
      <c r="SFR224" s="1201"/>
      <c r="SFS224" s="1201"/>
      <c r="SFT224" s="1201"/>
      <c r="SFU224" s="1201"/>
      <c r="SFV224" s="1201"/>
      <c r="SFW224" s="1201"/>
      <c r="SFX224" s="1201"/>
      <c r="SFY224" s="1201"/>
      <c r="SFZ224" s="1201"/>
      <c r="SGA224" s="1201"/>
      <c r="SGB224" s="1201"/>
      <c r="SGC224" s="1201"/>
      <c r="SGD224" s="1201"/>
      <c r="SGE224" s="1201"/>
      <c r="SGF224" s="1201"/>
      <c r="SGG224" s="1201"/>
      <c r="SGH224" s="1201"/>
      <c r="SGI224" s="1201"/>
      <c r="SGJ224" s="1201"/>
      <c r="SGK224" s="1201"/>
      <c r="SGL224" s="1201"/>
      <c r="SGM224" s="1201"/>
      <c r="SGN224" s="1201"/>
      <c r="SGO224" s="1201"/>
      <c r="SGP224" s="1201"/>
      <c r="SGQ224" s="1201"/>
      <c r="SGR224" s="1201"/>
      <c r="SGS224" s="1201"/>
      <c r="SGT224" s="1201"/>
      <c r="SGU224" s="1201"/>
      <c r="SGV224" s="1201"/>
      <c r="SGW224" s="1201"/>
      <c r="SGX224" s="1201"/>
      <c r="SGY224" s="1201"/>
      <c r="SGZ224" s="1201"/>
      <c r="SHA224" s="1201"/>
      <c r="SHB224" s="1201"/>
      <c r="SHC224" s="1201"/>
      <c r="SHD224" s="1201"/>
      <c r="SHE224" s="1201"/>
      <c r="SHF224" s="1201"/>
      <c r="SHG224" s="1201"/>
      <c r="SHH224" s="1201"/>
      <c r="SHI224" s="1201"/>
      <c r="SHJ224" s="1201"/>
      <c r="SHK224" s="1201"/>
      <c r="SHL224" s="1201"/>
      <c r="SHM224" s="1201"/>
      <c r="SHN224" s="1201"/>
      <c r="SHO224" s="1201"/>
      <c r="SHP224" s="1201"/>
      <c r="SHQ224" s="1201"/>
      <c r="SHR224" s="1201"/>
      <c r="SHS224" s="1201"/>
      <c r="SHT224" s="1201"/>
      <c r="SHU224" s="1201"/>
      <c r="SHV224" s="1201"/>
      <c r="SHW224" s="1201"/>
      <c r="SHX224" s="1201"/>
      <c r="SHY224" s="1201"/>
      <c r="SHZ224" s="1201"/>
      <c r="SIA224" s="1201"/>
      <c r="SIB224" s="1201"/>
      <c r="SIC224" s="1201"/>
      <c r="SID224" s="1201"/>
      <c r="SIE224" s="1201"/>
      <c r="SIF224" s="1201"/>
      <c r="SIG224" s="1201"/>
      <c r="SIH224" s="1201"/>
      <c r="SII224" s="1201"/>
      <c r="SIJ224" s="1201"/>
      <c r="SIK224" s="1201"/>
      <c r="SIL224" s="1201"/>
      <c r="SIM224" s="1201"/>
      <c r="SIN224" s="1201"/>
      <c r="SIO224" s="1201"/>
      <c r="SIP224" s="1201"/>
      <c r="SIQ224" s="1201"/>
      <c r="SIR224" s="1201"/>
      <c r="SIS224" s="1201"/>
      <c r="SIT224" s="1201"/>
      <c r="SIU224" s="1201"/>
      <c r="SIV224" s="1201"/>
      <c r="SIW224" s="1201"/>
      <c r="SIX224" s="1201"/>
      <c r="SIY224" s="1201"/>
      <c r="SIZ224" s="1201"/>
      <c r="SJA224" s="1201"/>
      <c r="SJB224" s="1201"/>
      <c r="SJC224" s="1201"/>
      <c r="SJD224" s="1201"/>
      <c r="SJE224" s="1201"/>
      <c r="SJF224" s="1201"/>
      <c r="SJG224" s="1201"/>
      <c r="SJH224" s="1201"/>
      <c r="SJI224" s="1201"/>
      <c r="SJJ224" s="1201"/>
      <c r="SJK224" s="1201"/>
      <c r="SJL224" s="1201"/>
      <c r="SJM224" s="1201"/>
      <c r="SJN224" s="1201"/>
      <c r="SJO224" s="1201"/>
      <c r="SJP224" s="1201"/>
      <c r="SJQ224" s="1201"/>
      <c r="SJR224" s="1201"/>
      <c r="SJS224" s="1201"/>
      <c r="SJT224" s="1201"/>
      <c r="SJU224" s="1201"/>
      <c r="SJV224" s="1201"/>
      <c r="SJW224" s="1201"/>
      <c r="SJX224" s="1201"/>
      <c r="SJY224" s="1201"/>
      <c r="SJZ224" s="1201"/>
      <c r="SKA224" s="1201"/>
      <c r="SKB224" s="1201"/>
      <c r="SKC224" s="1201"/>
      <c r="SKD224" s="1201"/>
      <c r="SKE224" s="1201"/>
      <c r="SKF224" s="1201"/>
      <c r="SKG224" s="1201"/>
      <c r="SKH224" s="1201"/>
      <c r="SKI224" s="1201"/>
      <c r="SKJ224" s="1201"/>
      <c r="SKK224" s="1201"/>
      <c r="SKL224" s="1201"/>
      <c r="SKM224" s="1201"/>
      <c r="SKN224" s="1201"/>
      <c r="SKO224" s="1201"/>
      <c r="SKP224" s="1201"/>
      <c r="SKQ224" s="1201"/>
      <c r="SKR224" s="1201"/>
      <c r="SKS224" s="1201"/>
      <c r="SKT224" s="1201"/>
      <c r="SKU224" s="1201"/>
      <c r="SKV224" s="1201"/>
      <c r="SKW224" s="1201"/>
      <c r="SKX224" s="1201"/>
      <c r="SKY224" s="1201"/>
      <c r="SKZ224" s="1201"/>
      <c r="SLA224" s="1201"/>
      <c r="SLB224" s="1201"/>
      <c r="SLC224" s="1201"/>
      <c r="SLD224" s="1201"/>
      <c r="SLE224" s="1201"/>
      <c r="SLF224" s="1201"/>
      <c r="SLG224" s="1201"/>
      <c r="SLH224" s="1201"/>
      <c r="SLI224" s="1201"/>
      <c r="SLJ224" s="1201"/>
      <c r="SLK224" s="1201"/>
      <c r="SLL224" s="1201"/>
      <c r="SLM224" s="1201"/>
      <c r="SLN224" s="1201"/>
      <c r="SLO224" s="1201"/>
      <c r="SLP224" s="1201"/>
      <c r="SLQ224" s="1201"/>
      <c r="SLR224" s="1201"/>
      <c r="SLS224" s="1201"/>
      <c r="SLT224" s="1201"/>
      <c r="SLU224" s="1201"/>
      <c r="SLV224" s="1201"/>
      <c r="SLW224" s="1201"/>
      <c r="SLX224" s="1201"/>
      <c r="SLY224" s="1201"/>
      <c r="SLZ224" s="1201"/>
      <c r="SMA224" s="1201"/>
      <c r="SMB224" s="1201"/>
      <c r="SMC224" s="1201"/>
      <c r="SMD224" s="1201"/>
      <c r="SME224" s="1201"/>
      <c r="SMF224" s="1201"/>
      <c r="SMG224" s="1201"/>
      <c r="SMH224" s="1201"/>
      <c r="SMI224" s="1201"/>
      <c r="SMJ224" s="1201"/>
      <c r="SMK224" s="1201"/>
      <c r="SML224" s="1201"/>
      <c r="SMM224" s="1201"/>
      <c r="SMN224" s="1201"/>
      <c r="SMO224" s="1201"/>
      <c r="SMP224" s="1201"/>
      <c r="SMQ224" s="1201"/>
      <c r="SMR224" s="1201"/>
      <c r="SMS224" s="1201"/>
      <c r="SMT224" s="1201"/>
      <c r="SMU224" s="1201"/>
      <c r="SMV224" s="1201"/>
      <c r="SMW224" s="1201"/>
      <c r="SMX224" s="1201"/>
      <c r="SMY224" s="1201"/>
      <c r="SMZ224" s="1201"/>
      <c r="SNA224" s="1201"/>
      <c r="SNB224" s="1201"/>
      <c r="SNC224" s="1201"/>
      <c r="SND224" s="1201"/>
      <c r="SNE224" s="1201"/>
      <c r="SNF224" s="1201"/>
      <c r="SNG224" s="1201"/>
      <c r="SNH224" s="1201"/>
      <c r="SNI224" s="1201"/>
      <c r="SNJ224" s="1201"/>
      <c r="SNK224" s="1201"/>
      <c r="SNL224" s="1201"/>
      <c r="SNM224" s="1201"/>
      <c r="SNN224" s="1201"/>
      <c r="SNO224" s="1201"/>
      <c r="SNP224" s="1201"/>
      <c r="SNQ224" s="1201"/>
      <c r="SNR224" s="1201"/>
      <c r="SNS224" s="1201"/>
      <c r="SNT224" s="1201"/>
      <c r="SNU224" s="1201"/>
      <c r="SNV224" s="1201"/>
      <c r="SNW224" s="1201"/>
      <c r="SNX224" s="1201"/>
      <c r="SNY224" s="1201"/>
      <c r="SNZ224" s="1201"/>
      <c r="SOA224" s="1201"/>
      <c r="SOB224" s="1201"/>
      <c r="SOC224" s="1201"/>
      <c r="SOD224" s="1201"/>
      <c r="SOE224" s="1201"/>
      <c r="SOF224" s="1201"/>
      <c r="SOG224" s="1201"/>
      <c r="SOH224" s="1201"/>
      <c r="SOI224" s="1201"/>
      <c r="SOJ224" s="1201"/>
      <c r="SOK224" s="1201"/>
      <c r="SOL224" s="1201"/>
      <c r="SOM224" s="1201"/>
      <c r="SON224" s="1201"/>
      <c r="SOO224" s="1201"/>
      <c r="SOP224" s="1201"/>
      <c r="SOQ224" s="1201"/>
      <c r="SOR224" s="1201"/>
      <c r="SOS224" s="1201"/>
      <c r="SOT224" s="1201"/>
      <c r="SOU224" s="1201"/>
      <c r="SOV224" s="1201"/>
      <c r="SOW224" s="1201"/>
      <c r="SOX224" s="1201"/>
      <c r="SOY224" s="1201"/>
      <c r="SOZ224" s="1201"/>
      <c r="SPA224" s="1201"/>
      <c r="SPB224" s="1201"/>
      <c r="SPC224" s="1201"/>
      <c r="SPD224" s="1201"/>
      <c r="SPE224" s="1201"/>
      <c r="SPF224" s="1201"/>
      <c r="SPG224" s="1201"/>
      <c r="SPH224" s="1201"/>
      <c r="SPI224" s="1201"/>
      <c r="SPJ224" s="1201"/>
      <c r="SPK224" s="1201"/>
      <c r="SPL224" s="1201"/>
      <c r="SPM224" s="1201"/>
      <c r="SPN224" s="1201"/>
      <c r="SPO224" s="1201"/>
      <c r="SPP224" s="1201"/>
      <c r="SPQ224" s="1201"/>
      <c r="SPR224" s="1201"/>
      <c r="SPS224" s="1201"/>
      <c r="SPT224" s="1201"/>
      <c r="SPU224" s="1201"/>
      <c r="SPV224" s="1201"/>
      <c r="SPW224" s="1201"/>
      <c r="SPX224" s="1201"/>
      <c r="SPY224" s="1201"/>
      <c r="SPZ224" s="1201"/>
      <c r="SQA224" s="1201"/>
      <c r="SQB224" s="1201"/>
      <c r="SQC224" s="1201"/>
      <c r="SQD224" s="1201"/>
      <c r="SQE224" s="1201"/>
      <c r="SQF224" s="1201"/>
      <c r="SQG224" s="1201"/>
      <c r="SQH224" s="1201"/>
      <c r="SQI224" s="1201"/>
      <c r="SQJ224" s="1201"/>
      <c r="SQK224" s="1201"/>
      <c r="SQL224" s="1201"/>
      <c r="SQM224" s="1201"/>
      <c r="SQN224" s="1201"/>
      <c r="SQO224" s="1201"/>
      <c r="SQP224" s="1201"/>
      <c r="SQQ224" s="1201"/>
      <c r="SQR224" s="1201"/>
      <c r="SQS224" s="1201"/>
      <c r="SQT224" s="1201"/>
      <c r="SQU224" s="1201"/>
      <c r="SQV224" s="1201"/>
      <c r="SQW224" s="1201"/>
      <c r="SQX224" s="1201"/>
      <c r="SQY224" s="1201"/>
      <c r="SQZ224" s="1201"/>
      <c r="SRA224" s="1201"/>
      <c r="SRB224" s="1201"/>
      <c r="SRC224" s="1201"/>
      <c r="SRD224" s="1201"/>
      <c r="SRE224" s="1201"/>
      <c r="SRF224" s="1201"/>
      <c r="SRG224" s="1201"/>
      <c r="SRH224" s="1201"/>
      <c r="SRI224" s="1201"/>
      <c r="SRJ224" s="1201"/>
      <c r="SRK224" s="1201"/>
      <c r="SRL224" s="1201"/>
      <c r="SRM224" s="1201"/>
      <c r="SRN224" s="1201"/>
      <c r="SRO224" s="1201"/>
      <c r="SRP224" s="1201"/>
      <c r="SRQ224" s="1201"/>
      <c r="SRR224" s="1201"/>
      <c r="SRS224" s="1201"/>
      <c r="SRT224" s="1201"/>
      <c r="SRU224" s="1201"/>
      <c r="SRV224" s="1201"/>
      <c r="SRW224" s="1201"/>
      <c r="SRX224" s="1201"/>
      <c r="SRY224" s="1201"/>
      <c r="SRZ224" s="1201"/>
      <c r="SSA224" s="1201"/>
      <c r="SSB224" s="1201"/>
      <c r="SSC224" s="1201"/>
      <c r="SSD224" s="1201"/>
      <c r="SSE224" s="1201"/>
      <c r="SSF224" s="1201"/>
      <c r="SSG224" s="1201"/>
      <c r="SSH224" s="1201"/>
      <c r="SSI224" s="1201"/>
      <c r="SSJ224" s="1201"/>
      <c r="SSK224" s="1201"/>
      <c r="SSL224" s="1201"/>
      <c r="SSM224" s="1201"/>
      <c r="SSN224" s="1201"/>
      <c r="SSO224" s="1201"/>
      <c r="SSP224" s="1201"/>
      <c r="SSQ224" s="1201"/>
      <c r="SSR224" s="1201"/>
      <c r="SSS224" s="1201"/>
      <c r="SST224" s="1201"/>
      <c r="SSU224" s="1201"/>
      <c r="SSV224" s="1201"/>
      <c r="SSW224" s="1201"/>
      <c r="SSX224" s="1201"/>
      <c r="SSY224" s="1201"/>
      <c r="SSZ224" s="1201"/>
      <c r="STA224" s="1201"/>
      <c r="STB224" s="1201"/>
      <c r="STC224" s="1201"/>
      <c r="STD224" s="1201"/>
      <c r="STE224" s="1201"/>
      <c r="STF224" s="1201"/>
      <c r="STG224" s="1201"/>
      <c r="STH224" s="1201"/>
      <c r="STI224" s="1201"/>
      <c r="STJ224" s="1201"/>
      <c r="STK224" s="1201"/>
      <c r="STL224" s="1201"/>
      <c r="STM224" s="1201"/>
      <c r="STN224" s="1201"/>
      <c r="STO224" s="1201"/>
      <c r="STP224" s="1201"/>
      <c r="STQ224" s="1201"/>
      <c r="STR224" s="1201"/>
      <c r="STS224" s="1201"/>
      <c r="STT224" s="1201"/>
      <c r="STU224" s="1201"/>
      <c r="STV224" s="1201"/>
      <c r="STW224" s="1201"/>
      <c r="STX224" s="1201"/>
      <c r="STY224" s="1201"/>
      <c r="STZ224" s="1201"/>
      <c r="SUA224" s="1201"/>
      <c r="SUB224" s="1201"/>
      <c r="SUC224" s="1201"/>
      <c r="SUD224" s="1201"/>
      <c r="SUE224" s="1201"/>
      <c r="SUF224" s="1201"/>
      <c r="SUG224" s="1201"/>
      <c r="SUH224" s="1201"/>
      <c r="SUI224" s="1201"/>
      <c r="SUJ224" s="1201"/>
      <c r="SUK224" s="1201"/>
      <c r="SUL224" s="1201"/>
      <c r="SUM224" s="1201"/>
      <c r="SUN224" s="1201"/>
      <c r="SUO224" s="1201"/>
      <c r="SUP224" s="1201"/>
      <c r="SUQ224" s="1201"/>
      <c r="SUR224" s="1201"/>
      <c r="SUS224" s="1201"/>
      <c r="SUT224" s="1201"/>
      <c r="SUU224" s="1201"/>
      <c r="SUV224" s="1201"/>
      <c r="SUW224" s="1201"/>
      <c r="SUX224" s="1201"/>
      <c r="SUY224" s="1201"/>
      <c r="SUZ224" s="1201"/>
      <c r="SVA224" s="1201"/>
      <c r="SVB224" s="1201"/>
      <c r="SVC224" s="1201"/>
      <c r="SVD224" s="1201"/>
      <c r="SVE224" s="1201"/>
      <c r="SVF224" s="1201"/>
      <c r="SVG224" s="1201"/>
      <c r="SVH224" s="1201"/>
      <c r="SVI224" s="1201"/>
      <c r="SVJ224" s="1201"/>
      <c r="SVK224" s="1201"/>
      <c r="SVL224" s="1201"/>
      <c r="SVM224" s="1201"/>
      <c r="SVN224" s="1201"/>
      <c r="SVO224" s="1201"/>
      <c r="SVP224" s="1201"/>
      <c r="SVQ224" s="1201"/>
      <c r="SVR224" s="1201"/>
      <c r="SVS224" s="1201"/>
      <c r="SVT224" s="1201"/>
      <c r="SVU224" s="1201"/>
      <c r="SVV224" s="1201"/>
      <c r="SVW224" s="1201"/>
      <c r="SVX224" s="1201"/>
      <c r="SVY224" s="1201"/>
      <c r="SVZ224" s="1201"/>
      <c r="SWA224" s="1201"/>
      <c r="SWB224" s="1201"/>
      <c r="SWC224" s="1201"/>
      <c r="SWD224" s="1201"/>
      <c r="SWE224" s="1201"/>
      <c r="SWF224" s="1201"/>
      <c r="SWG224" s="1201"/>
      <c r="SWH224" s="1201"/>
      <c r="SWI224" s="1201"/>
      <c r="SWJ224" s="1201"/>
      <c r="SWK224" s="1201"/>
      <c r="SWL224" s="1201"/>
      <c r="SWM224" s="1201"/>
      <c r="SWN224" s="1201"/>
      <c r="SWO224" s="1201"/>
      <c r="SWP224" s="1201"/>
      <c r="SWQ224" s="1201"/>
      <c r="SWR224" s="1201"/>
      <c r="SWS224" s="1201"/>
      <c r="SWT224" s="1201"/>
      <c r="SWU224" s="1201"/>
      <c r="SWV224" s="1201"/>
      <c r="SWW224" s="1201"/>
      <c r="SWX224" s="1201"/>
      <c r="SWY224" s="1201"/>
      <c r="SWZ224" s="1201"/>
      <c r="SXA224" s="1201"/>
      <c r="SXB224" s="1201"/>
      <c r="SXC224" s="1201"/>
      <c r="SXD224" s="1201"/>
      <c r="SXE224" s="1201"/>
      <c r="SXF224" s="1201"/>
      <c r="SXG224" s="1201"/>
      <c r="SXH224" s="1201"/>
      <c r="SXI224" s="1201"/>
      <c r="SXJ224" s="1201"/>
      <c r="SXK224" s="1201"/>
      <c r="SXL224" s="1201"/>
      <c r="SXM224" s="1201"/>
      <c r="SXN224" s="1201"/>
      <c r="SXO224" s="1201"/>
      <c r="SXP224" s="1201"/>
      <c r="SXQ224" s="1201"/>
      <c r="SXR224" s="1201"/>
      <c r="SXS224" s="1201"/>
      <c r="SXT224" s="1201"/>
      <c r="SXU224" s="1201"/>
      <c r="SXV224" s="1201"/>
      <c r="SXW224" s="1201"/>
      <c r="SXX224" s="1201"/>
      <c r="SXY224" s="1201"/>
      <c r="SXZ224" s="1201"/>
      <c r="SYA224" s="1201"/>
      <c r="SYB224" s="1201"/>
      <c r="SYC224" s="1201"/>
      <c r="SYD224" s="1201"/>
      <c r="SYE224" s="1201"/>
      <c r="SYF224" s="1201"/>
      <c r="SYG224" s="1201"/>
      <c r="SYH224" s="1201"/>
      <c r="SYI224" s="1201"/>
      <c r="SYJ224" s="1201"/>
      <c r="SYK224" s="1201"/>
      <c r="SYL224" s="1201"/>
      <c r="SYM224" s="1201"/>
      <c r="SYN224" s="1201"/>
      <c r="SYO224" s="1201"/>
      <c r="SYP224" s="1201"/>
      <c r="SYQ224" s="1201"/>
      <c r="SYR224" s="1201"/>
      <c r="SYS224" s="1201"/>
      <c r="SYT224" s="1201"/>
      <c r="SYU224" s="1201"/>
      <c r="SYV224" s="1201"/>
      <c r="SYW224" s="1201"/>
      <c r="SYX224" s="1201"/>
      <c r="SYY224" s="1201"/>
      <c r="SYZ224" s="1201"/>
      <c r="SZA224" s="1201"/>
      <c r="SZB224" s="1201"/>
      <c r="SZC224" s="1201"/>
      <c r="SZD224" s="1201"/>
      <c r="SZE224" s="1201"/>
      <c r="SZF224" s="1201"/>
      <c r="SZG224" s="1201"/>
      <c r="SZH224" s="1201"/>
      <c r="SZI224" s="1201"/>
      <c r="SZJ224" s="1201"/>
      <c r="SZK224" s="1201"/>
      <c r="SZL224" s="1201"/>
      <c r="SZM224" s="1201"/>
      <c r="SZN224" s="1201"/>
      <c r="SZO224" s="1201"/>
      <c r="SZP224" s="1201"/>
      <c r="SZQ224" s="1201"/>
      <c r="SZR224" s="1201"/>
      <c r="SZS224" s="1201"/>
      <c r="SZT224" s="1201"/>
      <c r="SZU224" s="1201"/>
      <c r="SZV224" s="1201"/>
      <c r="SZW224" s="1201"/>
      <c r="SZX224" s="1201"/>
      <c r="SZY224" s="1201"/>
      <c r="SZZ224" s="1201"/>
      <c r="TAA224" s="1201"/>
      <c r="TAB224" s="1201"/>
      <c r="TAC224" s="1201"/>
      <c r="TAD224" s="1201"/>
      <c r="TAE224" s="1201"/>
      <c r="TAF224" s="1201"/>
      <c r="TAG224" s="1201"/>
      <c r="TAH224" s="1201"/>
      <c r="TAI224" s="1201"/>
      <c r="TAJ224" s="1201"/>
      <c r="TAK224" s="1201"/>
      <c r="TAL224" s="1201"/>
      <c r="TAM224" s="1201"/>
      <c r="TAN224" s="1201"/>
      <c r="TAO224" s="1201"/>
      <c r="TAP224" s="1201"/>
      <c r="TAQ224" s="1201"/>
      <c r="TAR224" s="1201"/>
      <c r="TAS224" s="1201"/>
      <c r="TAT224" s="1201"/>
      <c r="TAU224" s="1201"/>
      <c r="TAV224" s="1201"/>
      <c r="TAW224" s="1201"/>
      <c r="TAX224" s="1201"/>
      <c r="TAY224" s="1201"/>
      <c r="TAZ224" s="1201"/>
      <c r="TBA224" s="1201"/>
      <c r="TBB224" s="1201"/>
      <c r="TBC224" s="1201"/>
      <c r="TBD224" s="1201"/>
      <c r="TBE224" s="1201"/>
      <c r="TBF224" s="1201"/>
      <c r="TBG224" s="1201"/>
      <c r="TBH224" s="1201"/>
      <c r="TBI224" s="1201"/>
      <c r="TBJ224" s="1201"/>
      <c r="TBK224" s="1201"/>
      <c r="TBL224" s="1201"/>
      <c r="TBM224" s="1201"/>
      <c r="TBN224" s="1201"/>
      <c r="TBO224" s="1201"/>
      <c r="TBP224" s="1201"/>
      <c r="TBQ224" s="1201"/>
      <c r="TBR224" s="1201"/>
      <c r="TBS224" s="1201"/>
      <c r="TBT224" s="1201"/>
      <c r="TBU224" s="1201"/>
      <c r="TBV224" s="1201"/>
      <c r="TBW224" s="1201"/>
      <c r="TBX224" s="1201"/>
      <c r="TBY224" s="1201"/>
      <c r="TBZ224" s="1201"/>
      <c r="TCA224" s="1201"/>
      <c r="TCB224" s="1201"/>
      <c r="TCC224" s="1201"/>
      <c r="TCD224" s="1201"/>
      <c r="TCE224" s="1201"/>
      <c r="TCF224" s="1201"/>
      <c r="TCG224" s="1201"/>
      <c r="TCH224" s="1201"/>
      <c r="TCI224" s="1201"/>
      <c r="TCJ224" s="1201"/>
      <c r="TCK224" s="1201"/>
      <c r="TCL224" s="1201"/>
      <c r="TCM224" s="1201"/>
      <c r="TCN224" s="1201"/>
      <c r="TCO224" s="1201"/>
      <c r="TCP224" s="1201"/>
      <c r="TCQ224" s="1201"/>
      <c r="TCR224" s="1201"/>
      <c r="TCS224" s="1201"/>
      <c r="TCT224" s="1201"/>
      <c r="TCU224" s="1201"/>
      <c r="TCV224" s="1201"/>
      <c r="TCW224" s="1201"/>
      <c r="TCX224" s="1201"/>
      <c r="TCY224" s="1201"/>
      <c r="TCZ224" s="1201"/>
      <c r="TDA224" s="1201"/>
      <c r="TDB224" s="1201"/>
      <c r="TDC224" s="1201"/>
      <c r="TDD224" s="1201"/>
      <c r="TDE224" s="1201"/>
      <c r="TDF224" s="1201"/>
      <c r="TDG224" s="1201"/>
      <c r="TDH224" s="1201"/>
      <c r="TDI224" s="1201"/>
      <c r="TDJ224" s="1201"/>
      <c r="TDK224" s="1201"/>
      <c r="TDL224" s="1201"/>
      <c r="TDM224" s="1201"/>
      <c r="TDN224" s="1201"/>
      <c r="TDO224" s="1201"/>
      <c r="TDP224" s="1201"/>
      <c r="TDQ224" s="1201"/>
      <c r="TDR224" s="1201"/>
      <c r="TDS224" s="1201"/>
      <c r="TDT224" s="1201"/>
      <c r="TDU224" s="1201"/>
      <c r="TDV224" s="1201"/>
      <c r="TDW224" s="1201"/>
      <c r="TDX224" s="1201"/>
      <c r="TDY224" s="1201"/>
      <c r="TDZ224" s="1201"/>
      <c r="TEA224" s="1201"/>
      <c r="TEB224" s="1201"/>
      <c r="TEC224" s="1201"/>
      <c r="TED224" s="1201"/>
      <c r="TEE224" s="1201"/>
      <c r="TEF224" s="1201"/>
      <c r="TEG224" s="1201"/>
      <c r="TEH224" s="1201"/>
      <c r="TEI224" s="1201"/>
      <c r="TEJ224" s="1201"/>
      <c r="TEK224" s="1201"/>
      <c r="TEL224" s="1201"/>
      <c r="TEM224" s="1201"/>
      <c r="TEN224" s="1201"/>
      <c r="TEO224" s="1201"/>
      <c r="TEP224" s="1201"/>
      <c r="TEQ224" s="1201"/>
      <c r="TER224" s="1201"/>
      <c r="TES224" s="1201"/>
      <c r="TET224" s="1201"/>
      <c r="TEU224" s="1201"/>
      <c r="TEV224" s="1201"/>
      <c r="TEW224" s="1201"/>
      <c r="TEX224" s="1201"/>
      <c r="TEY224" s="1201"/>
      <c r="TEZ224" s="1201"/>
      <c r="TFA224" s="1201"/>
      <c r="TFB224" s="1201"/>
      <c r="TFC224" s="1201"/>
      <c r="TFD224" s="1201"/>
      <c r="TFE224" s="1201"/>
      <c r="TFF224" s="1201"/>
      <c r="TFG224" s="1201"/>
      <c r="TFH224" s="1201"/>
      <c r="TFI224" s="1201"/>
      <c r="TFJ224" s="1201"/>
      <c r="TFK224" s="1201"/>
      <c r="TFL224" s="1201"/>
      <c r="TFM224" s="1201"/>
      <c r="TFN224" s="1201"/>
      <c r="TFO224" s="1201"/>
      <c r="TFP224" s="1201"/>
      <c r="TFQ224" s="1201"/>
      <c r="TFR224" s="1201"/>
      <c r="TFS224" s="1201"/>
      <c r="TFT224" s="1201"/>
      <c r="TFU224" s="1201"/>
      <c r="TFV224" s="1201"/>
      <c r="TFW224" s="1201"/>
      <c r="TFX224" s="1201"/>
      <c r="TFY224" s="1201"/>
      <c r="TFZ224" s="1201"/>
      <c r="TGA224" s="1201"/>
      <c r="TGB224" s="1201"/>
      <c r="TGC224" s="1201"/>
      <c r="TGD224" s="1201"/>
      <c r="TGE224" s="1201"/>
      <c r="TGF224" s="1201"/>
      <c r="TGG224" s="1201"/>
      <c r="TGH224" s="1201"/>
      <c r="TGI224" s="1201"/>
      <c r="TGJ224" s="1201"/>
      <c r="TGK224" s="1201"/>
      <c r="TGL224" s="1201"/>
      <c r="TGM224" s="1201"/>
      <c r="TGN224" s="1201"/>
      <c r="TGO224" s="1201"/>
      <c r="TGP224" s="1201"/>
      <c r="TGQ224" s="1201"/>
      <c r="TGR224" s="1201"/>
      <c r="TGS224" s="1201"/>
      <c r="TGT224" s="1201"/>
      <c r="TGU224" s="1201"/>
      <c r="TGV224" s="1201"/>
      <c r="TGW224" s="1201"/>
      <c r="TGX224" s="1201"/>
      <c r="TGY224" s="1201"/>
      <c r="TGZ224" s="1201"/>
      <c r="THA224" s="1201"/>
      <c r="THB224" s="1201"/>
      <c r="THC224" s="1201"/>
      <c r="THD224" s="1201"/>
      <c r="THE224" s="1201"/>
      <c r="THF224" s="1201"/>
      <c r="THG224" s="1201"/>
      <c r="THH224" s="1201"/>
      <c r="THI224" s="1201"/>
      <c r="THJ224" s="1201"/>
      <c r="THK224" s="1201"/>
      <c r="THL224" s="1201"/>
      <c r="THM224" s="1201"/>
      <c r="THN224" s="1201"/>
      <c r="THO224" s="1201"/>
      <c r="THP224" s="1201"/>
      <c r="THQ224" s="1201"/>
      <c r="THR224" s="1201"/>
      <c r="THS224" s="1201"/>
      <c r="THT224" s="1201"/>
      <c r="THU224" s="1201"/>
      <c r="THV224" s="1201"/>
      <c r="THW224" s="1201"/>
      <c r="THX224" s="1201"/>
      <c r="THY224" s="1201"/>
      <c r="THZ224" s="1201"/>
      <c r="TIA224" s="1201"/>
      <c r="TIB224" s="1201"/>
      <c r="TIC224" s="1201"/>
      <c r="TID224" s="1201"/>
      <c r="TIE224" s="1201"/>
      <c r="TIF224" s="1201"/>
      <c r="TIG224" s="1201"/>
      <c r="TIH224" s="1201"/>
      <c r="TII224" s="1201"/>
      <c r="TIJ224" s="1201"/>
      <c r="TIK224" s="1201"/>
      <c r="TIL224" s="1201"/>
      <c r="TIM224" s="1201"/>
      <c r="TIN224" s="1201"/>
      <c r="TIO224" s="1201"/>
      <c r="TIP224" s="1201"/>
      <c r="TIQ224" s="1201"/>
      <c r="TIR224" s="1201"/>
      <c r="TIS224" s="1201"/>
      <c r="TIT224" s="1201"/>
      <c r="TIU224" s="1201"/>
      <c r="TIV224" s="1201"/>
      <c r="TIW224" s="1201"/>
      <c r="TIX224" s="1201"/>
      <c r="TIY224" s="1201"/>
      <c r="TIZ224" s="1201"/>
      <c r="TJA224" s="1201"/>
      <c r="TJB224" s="1201"/>
      <c r="TJC224" s="1201"/>
      <c r="TJD224" s="1201"/>
      <c r="TJE224" s="1201"/>
      <c r="TJF224" s="1201"/>
      <c r="TJG224" s="1201"/>
      <c r="TJH224" s="1201"/>
      <c r="TJI224" s="1201"/>
      <c r="TJJ224" s="1201"/>
      <c r="TJK224" s="1201"/>
      <c r="TJL224" s="1201"/>
      <c r="TJM224" s="1201"/>
      <c r="TJN224" s="1201"/>
      <c r="TJO224" s="1201"/>
      <c r="TJP224" s="1201"/>
      <c r="TJQ224" s="1201"/>
      <c r="TJR224" s="1201"/>
      <c r="TJS224" s="1201"/>
      <c r="TJT224" s="1201"/>
      <c r="TJU224" s="1201"/>
      <c r="TJV224" s="1201"/>
      <c r="TJW224" s="1201"/>
      <c r="TJX224" s="1201"/>
      <c r="TJY224" s="1201"/>
      <c r="TJZ224" s="1201"/>
      <c r="TKA224" s="1201"/>
      <c r="TKB224" s="1201"/>
      <c r="TKC224" s="1201"/>
      <c r="TKD224" s="1201"/>
      <c r="TKE224" s="1201"/>
      <c r="TKF224" s="1201"/>
      <c r="TKG224" s="1201"/>
      <c r="TKH224" s="1201"/>
      <c r="TKI224" s="1201"/>
      <c r="TKJ224" s="1201"/>
      <c r="TKK224" s="1201"/>
      <c r="TKL224" s="1201"/>
      <c r="TKM224" s="1201"/>
      <c r="TKN224" s="1201"/>
      <c r="TKO224" s="1201"/>
      <c r="TKP224" s="1201"/>
      <c r="TKQ224" s="1201"/>
      <c r="TKR224" s="1201"/>
      <c r="TKS224" s="1201"/>
      <c r="TKT224" s="1201"/>
      <c r="TKU224" s="1201"/>
      <c r="TKV224" s="1201"/>
      <c r="TKW224" s="1201"/>
      <c r="TKX224" s="1201"/>
      <c r="TKY224" s="1201"/>
      <c r="TKZ224" s="1201"/>
      <c r="TLA224" s="1201"/>
      <c r="TLB224" s="1201"/>
      <c r="TLC224" s="1201"/>
      <c r="TLD224" s="1201"/>
      <c r="TLE224" s="1201"/>
      <c r="TLF224" s="1201"/>
      <c r="TLG224" s="1201"/>
      <c r="TLH224" s="1201"/>
      <c r="TLI224" s="1201"/>
      <c r="TLJ224" s="1201"/>
      <c r="TLK224" s="1201"/>
      <c r="TLL224" s="1201"/>
      <c r="TLM224" s="1201"/>
      <c r="TLN224" s="1201"/>
      <c r="TLO224" s="1201"/>
      <c r="TLP224" s="1201"/>
      <c r="TLQ224" s="1201"/>
      <c r="TLR224" s="1201"/>
      <c r="TLS224" s="1201"/>
      <c r="TLT224" s="1201"/>
      <c r="TLU224" s="1201"/>
      <c r="TLV224" s="1201"/>
      <c r="TLW224" s="1201"/>
      <c r="TLX224" s="1201"/>
      <c r="TLY224" s="1201"/>
      <c r="TLZ224" s="1201"/>
      <c r="TMA224" s="1201"/>
      <c r="TMB224" s="1201"/>
      <c r="TMC224" s="1201"/>
      <c r="TMD224" s="1201"/>
      <c r="TME224" s="1201"/>
      <c r="TMF224" s="1201"/>
      <c r="TMG224" s="1201"/>
      <c r="TMH224" s="1201"/>
      <c r="TMI224" s="1201"/>
      <c r="TMJ224" s="1201"/>
      <c r="TMK224" s="1201"/>
      <c r="TML224" s="1201"/>
      <c r="TMM224" s="1201"/>
      <c r="TMN224" s="1201"/>
      <c r="TMO224" s="1201"/>
      <c r="TMP224" s="1201"/>
      <c r="TMQ224" s="1201"/>
      <c r="TMR224" s="1201"/>
      <c r="TMS224" s="1201"/>
      <c r="TMT224" s="1201"/>
      <c r="TMU224" s="1201"/>
      <c r="TMV224" s="1201"/>
      <c r="TMW224" s="1201"/>
      <c r="TMX224" s="1201"/>
      <c r="TMY224" s="1201"/>
      <c r="TMZ224" s="1201"/>
      <c r="TNA224" s="1201"/>
      <c r="TNB224" s="1201"/>
      <c r="TNC224" s="1201"/>
      <c r="TND224" s="1201"/>
      <c r="TNE224" s="1201"/>
      <c r="TNF224" s="1201"/>
      <c r="TNG224" s="1201"/>
      <c r="TNH224" s="1201"/>
      <c r="TNI224" s="1201"/>
      <c r="TNJ224" s="1201"/>
      <c r="TNK224" s="1201"/>
      <c r="TNL224" s="1201"/>
      <c r="TNM224" s="1201"/>
      <c r="TNN224" s="1201"/>
      <c r="TNO224" s="1201"/>
      <c r="TNP224" s="1201"/>
      <c r="TNQ224" s="1201"/>
      <c r="TNR224" s="1201"/>
      <c r="TNS224" s="1201"/>
      <c r="TNT224" s="1201"/>
      <c r="TNU224" s="1201"/>
      <c r="TNV224" s="1201"/>
      <c r="TNW224" s="1201"/>
      <c r="TNX224" s="1201"/>
      <c r="TNY224" s="1201"/>
      <c r="TNZ224" s="1201"/>
      <c r="TOA224" s="1201"/>
      <c r="TOB224" s="1201"/>
      <c r="TOC224" s="1201"/>
      <c r="TOD224" s="1201"/>
      <c r="TOE224" s="1201"/>
      <c r="TOF224" s="1201"/>
      <c r="TOG224" s="1201"/>
      <c r="TOH224" s="1201"/>
      <c r="TOI224" s="1201"/>
      <c r="TOJ224" s="1201"/>
      <c r="TOK224" s="1201"/>
      <c r="TOL224" s="1201"/>
      <c r="TOM224" s="1201"/>
      <c r="TON224" s="1201"/>
      <c r="TOO224" s="1201"/>
      <c r="TOP224" s="1201"/>
      <c r="TOQ224" s="1201"/>
      <c r="TOR224" s="1201"/>
      <c r="TOS224" s="1201"/>
      <c r="TOT224" s="1201"/>
      <c r="TOU224" s="1201"/>
      <c r="TOV224" s="1201"/>
      <c r="TOW224" s="1201"/>
      <c r="TOX224" s="1201"/>
      <c r="TOY224" s="1201"/>
      <c r="TOZ224" s="1201"/>
      <c r="TPA224" s="1201"/>
      <c r="TPB224" s="1201"/>
      <c r="TPC224" s="1201"/>
      <c r="TPD224" s="1201"/>
      <c r="TPE224" s="1201"/>
      <c r="TPF224" s="1201"/>
      <c r="TPG224" s="1201"/>
      <c r="TPH224" s="1201"/>
      <c r="TPI224" s="1201"/>
      <c r="TPJ224" s="1201"/>
      <c r="TPK224" s="1201"/>
      <c r="TPL224" s="1201"/>
      <c r="TPM224" s="1201"/>
      <c r="TPN224" s="1201"/>
      <c r="TPO224" s="1201"/>
      <c r="TPP224" s="1201"/>
      <c r="TPQ224" s="1201"/>
      <c r="TPR224" s="1201"/>
      <c r="TPS224" s="1201"/>
      <c r="TPT224" s="1201"/>
      <c r="TPU224" s="1201"/>
      <c r="TPV224" s="1201"/>
      <c r="TPW224" s="1201"/>
      <c r="TPX224" s="1201"/>
      <c r="TPY224" s="1201"/>
      <c r="TPZ224" s="1201"/>
      <c r="TQA224" s="1201"/>
      <c r="TQB224" s="1201"/>
      <c r="TQC224" s="1201"/>
      <c r="TQD224" s="1201"/>
      <c r="TQE224" s="1201"/>
      <c r="TQF224" s="1201"/>
      <c r="TQG224" s="1201"/>
      <c r="TQH224" s="1201"/>
      <c r="TQI224" s="1201"/>
      <c r="TQJ224" s="1201"/>
      <c r="TQK224" s="1201"/>
      <c r="TQL224" s="1201"/>
      <c r="TQM224" s="1201"/>
      <c r="TQN224" s="1201"/>
      <c r="TQO224" s="1201"/>
      <c r="TQP224" s="1201"/>
      <c r="TQQ224" s="1201"/>
      <c r="TQR224" s="1201"/>
      <c r="TQS224" s="1201"/>
      <c r="TQT224" s="1201"/>
      <c r="TQU224" s="1201"/>
      <c r="TQV224" s="1201"/>
      <c r="TQW224" s="1201"/>
      <c r="TQX224" s="1201"/>
      <c r="TQY224" s="1201"/>
      <c r="TQZ224" s="1201"/>
      <c r="TRA224" s="1201"/>
      <c r="TRB224" s="1201"/>
      <c r="TRC224" s="1201"/>
      <c r="TRD224" s="1201"/>
      <c r="TRE224" s="1201"/>
      <c r="TRF224" s="1201"/>
      <c r="TRG224" s="1201"/>
      <c r="TRH224" s="1201"/>
      <c r="TRI224" s="1201"/>
      <c r="TRJ224" s="1201"/>
      <c r="TRK224" s="1201"/>
      <c r="TRL224" s="1201"/>
      <c r="TRM224" s="1201"/>
      <c r="TRN224" s="1201"/>
      <c r="TRO224" s="1201"/>
      <c r="TRP224" s="1201"/>
      <c r="TRQ224" s="1201"/>
      <c r="TRR224" s="1201"/>
      <c r="TRS224" s="1201"/>
      <c r="TRT224" s="1201"/>
      <c r="TRU224" s="1201"/>
      <c r="TRV224" s="1201"/>
      <c r="TRW224" s="1201"/>
      <c r="TRX224" s="1201"/>
      <c r="TRY224" s="1201"/>
      <c r="TRZ224" s="1201"/>
      <c r="TSA224" s="1201"/>
      <c r="TSB224" s="1201"/>
      <c r="TSC224" s="1201"/>
      <c r="TSD224" s="1201"/>
      <c r="TSE224" s="1201"/>
      <c r="TSF224" s="1201"/>
      <c r="TSG224" s="1201"/>
      <c r="TSH224" s="1201"/>
      <c r="TSI224" s="1201"/>
      <c r="TSJ224" s="1201"/>
      <c r="TSK224" s="1201"/>
      <c r="TSL224" s="1201"/>
      <c r="TSM224" s="1201"/>
      <c r="TSN224" s="1201"/>
      <c r="TSO224" s="1201"/>
      <c r="TSP224" s="1201"/>
      <c r="TSQ224" s="1201"/>
      <c r="TSR224" s="1201"/>
      <c r="TSS224" s="1201"/>
      <c r="TST224" s="1201"/>
      <c r="TSU224" s="1201"/>
      <c r="TSV224" s="1201"/>
      <c r="TSW224" s="1201"/>
      <c r="TSX224" s="1201"/>
      <c r="TSY224" s="1201"/>
      <c r="TSZ224" s="1201"/>
      <c r="TTA224" s="1201"/>
      <c r="TTB224" s="1201"/>
      <c r="TTC224" s="1201"/>
      <c r="TTD224" s="1201"/>
      <c r="TTE224" s="1201"/>
      <c r="TTF224" s="1201"/>
      <c r="TTG224" s="1201"/>
      <c r="TTH224" s="1201"/>
      <c r="TTI224" s="1201"/>
      <c r="TTJ224" s="1201"/>
      <c r="TTK224" s="1201"/>
      <c r="TTL224" s="1201"/>
      <c r="TTM224" s="1201"/>
      <c r="TTN224" s="1201"/>
      <c r="TTO224" s="1201"/>
      <c r="TTP224" s="1201"/>
      <c r="TTQ224" s="1201"/>
      <c r="TTR224" s="1201"/>
      <c r="TTS224" s="1201"/>
      <c r="TTT224" s="1201"/>
      <c r="TTU224" s="1201"/>
      <c r="TTV224" s="1201"/>
      <c r="TTW224" s="1201"/>
      <c r="TTX224" s="1201"/>
      <c r="TTY224" s="1201"/>
      <c r="TTZ224" s="1201"/>
      <c r="TUA224" s="1201"/>
      <c r="TUB224" s="1201"/>
      <c r="TUC224" s="1201"/>
      <c r="TUD224" s="1201"/>
      <c r="TUE224" s="1201"/>
      <c r="TUF224" s="1201"/>
      <c r="TUG224" s="1201"/>
      <c r="TUH224" s="1201"/>
      <c r="TUI224" s="1201"/>
      <c r="TUJ224" s="1201"/>
      <c r="TUK224" s="1201"/>
      <c r="TUL224" s="1201"/>
      <c r="TUM224" s="1201"/>
      <c r="TUN224" s="1201"/>
      <c r="TUO224" s="1201"/>
      <c r="TUP224" s="1201"/>
      <c r="TUQ224" s="1201"/>
      <c r="TUR224" s="1201"/>
      <c r="TUS224" s="1201"/>
      <c r="TUT224" s="1201"/>
      <c r="TUU224" s="1201"/>
      <c r="TUV224" s="1201"/>
      <c r="TUW224" s="1201"/>
      <c r="TUX224" s="1201"/>
      <c r="TUY224" s="1201"/>
      <c r="TUZ224" s="1201"/>
      <c r="TVA224" s="1201"/>
      <c r="TVB224" s="1201"/>
      <c r="TVC224" s="1201"/>
      <c r="TVD224" s="1201"/>
      <c r="TVE224" s="1201"/>
      <c r="TVF224" s="1201"/>
      <c r="TVG224" s="1201"/>
      <c r="TVH224" s="1201"/>
      <c r="TVI224" s="1201"/>
      <c r="TVJ224" s="1201"/>
      <c r="TVK224" s="1201"/>
      <c r="TVL224" s="1201"/>
      <c r="TVM224" s="1201"/>
      <c r="TVN224" s="1201"/>
      <c r="TVO224" s="1201"/>
      <c r="TVP224" s="1201"/>
      <c r="TVQ224" s="1201"/>
      <c r="TVR224" s="1201"/>
      <c r="TVS224" s="1201"/>
      <c r="TVT224" s="1201"/>
      <c r="TVU224" s="1201"/>
      <c r="TVV224" s="1201"/>
      <c r="TVW224" s="1201"/>
      <c r="TVX224" s="1201"/>
      <c r="TVY224" s="1201"/>
      <c r="TVZ224" s="1201"/>
      <c r="TWA224" s="1201"/>
      <c r="TWB224" s="1201"/>
      <c r="TWC224" s="1201"/>
      <c r="TWD224" s="1201"/>
      <c r="TWE224" s="1201"/>
      <c r="TWF224" s="1201"/>
      <c r="TWG224" s="1201"/>
      <c r="TWH224" s="1201"/>
      <c r="TWI224" s="1201"/>
      <c r="TWJ224" s="1201"/>
      <c r="TWK224" s="1201"/>
      <c r="TWL224" s="1201"/>
      <c r="TWM224" s="1201"/>
      <c r="TWN224" s="1201"/>
      <c r="TWO224" s="1201"/>
      <c r="TWP224" s="1201"/>
      <c r="TWQ224" s="1201"/>
      <c r="TWR224" s="1201"/>
      <c r="TWS224" s="1201"/>
      <c r="TWT224" s="1201"/>
      <c r="TWU224" s="1201"/>
      <c r="TWV224" s="1201"/>
      <c r="TWW224" s="1201"/>
      <c r="TWX224" s="1201"/>
      <c r="TWY224" s="1201"/>
      <c r="TWZ224" s="1201"/>
      <c r="TXA224" s="1201"/>
      <c r="TXB224" s="1201"/>
      <c r="TXC224" s="1201"/>
      <c r="TXD224" s="1201"/>
      <c r="TXE224" s="1201"/>
      <c r="TXF224" s="1201"/>
      <c r="TXG224" s="1201"/>
      <c r="TXH224" s="1201"/>
      <c r="TXI224" s="1201"/>
      <c r="TXJ224" s="1201"/>
      <c r="TXK224" s="1201"/>
      <c r="TXL224" s="1201"/>
      <c r="TXM224" s="1201"/>
      <c r="TXN224" s="1201"/>
      <c r="TXO224" s="1201"/>
      <c r="TXP224" s="1201"/>
      <c r="TXQ224" s="1201"/>
      <c r="TXR224" s="1201"/>
      <c r="TXS224" s="1201"/>
      <c r="TXT224" s="1201"/>
      <c r="TXU224" s="1201"/>
      <c r="TXV224" s="1201"/>
      <c r="TXW224" s="1201"/>
      <c r="TXX224" s="1201"/>
      <c r="TXY224" s="1201"/>
      <c r="TXZ224" s="1201"/>
      <c r="TYA224" s="1201"/>
      <c r="TYB224" s="1201"/>
      <c r="TYC224" s="1201"/>
      <c r="TYD224" s="1201"/>
      <c r="TYE224" s="1201"/>
      <c r="TYF224" s="1201"/>
      <c r="TYG224" s="1201"/>
      <c r="TYH224" s="1201"/>
      <c r="TYI224" s="1201"/>
      <c r="TYJ224" s="1201"/>
      <c r="TYK224" s="1201"/>
      <c r="TYL224" s="1201"/>
      <c r="TYM224" s="1201"/>
      <c r="TYN224" s="1201"/>
      <c r="TYO224" s="1201"/>
      <c r="TYP224" s="1201"/>
      <c r="TYQ224" s="1201"/>
      <c r="TYR224" s="1201"/>
      <c r="TYS224" s="1201"/>
      <c r="TYT224" s="1201"/>
      <c r="TYU224" s="1201"/>
      <c r="TYV224" s="1201"/>
      <c r="TYW224" s="1201"/>
      <c r="TYX224" s="1201"/>
      <c r="TYY224" s="1201"/>
      <c r="TYZ224" s="1201"/>
      <c r="TZA224" s="1201"/>
      <c r="TZB224" s="1201"/>
      <c r="TZC224" s="1201"/>
      <c r="TZD224" s="1201"/>
      <c r="TZE224" s="1201"/>
      <c r="TZF224" s="1201"/>
      <c r="TZG224" s="1201"/>
      <c r="TZH224" s="1201"/>
      <c r="TZI224" s="1201"/>
      <c r="TZJ224" s="1201"/>
      <c r="TZK224" s="1201"/>
      <c r="TZL224" s="1201"/>
      <c r="TZM224" s="1201"/>
      <c r="TZN224" s="1201"/>
      <c r="TZO224" s="1201"/>
      <c r="TZP224" s="1201"/>
      <c r="TZQ224" s="1201"/>
      <c r="TZR224" s="1201"/>
      <c r="TZS224" s="1201"/>
      <c r="TZT224" s="1201"/>
      <c r="TZU224" s="1201"/>
      <c r="TZV224" s="1201"/>
      <c r="TZW224" s="1201"/>
      <c r="TZX224" s="1201"/>
      <c r="TZY224" s="1201"/>
      <c r="TZZ224" s="1201"/>
      <c r="UAA224" s="1201"/>
      <c r="UAB224" s="1201"/>
      <c r="UAC224" s="1201"/>
      <c r="UAD224" s="1201"/>
      <c r="UAE224" s="1201"/>
      <c r="UAF224" s="1201"/>
      <c r="UAG224" s="1201"/>
      <c r="UAH224" s="1201"/>
      <c r="UAI224" s="1201"/>
      <c r="UAJ224" s="1201"/>
      <c r="UAK224" s="1201"/>
      <c r="UAL224" s="1201"/>
      <c r="UAM224" s="1201"/>
      <c r="UAN224" s="1201"/>
      <c r="UAO224" s="1201"/>
      <c r="UAP224" s="1201"/>
      <c r="UAQ224" s="1201"/>
      <c r="UAR224" s="1201"/>
      <c r="UAS224" s="1201"/>
      <c r="UAT224" s="1201"/>
      <c r="UAU224" s="1201"/>
      <c r="UAV224" s="1201"/>
      <c r="UAW224" s="1201"/>
      <c r="UAX224" s="1201"/>
      <c r="UAY224" s="1201"/>
      <c r="UAZ224" s="1201"/>
      <c r="UBA224" s="1201"/>
      <c r="UBB224" s="1201"/>
      <c r="UBC224" s="1201"/>
      <c r="UBD224" s="1201"/>
      <c r="UBE224" s="1201"/>
      <c r="UBF224" s="1201"/>
      <c r="UBG224" s="1201"/>
      <c r="UBH224" s="1201"/>
      <c r="UBI224" s="1201"/>
      <c r="UBJ224" s="1201"/>
      <c r="UBK224" s="1201"/>
      <c r="UBL224" s="1201"/>
      <c r="UBM224" s="1201"/>
      <c r="UBN224" s="1201"/>
      <c r="UBO224" s="1201"/>
      <c r="UBP224" s="1201"/>
      <c r="UBQ224" s="1201"/>
      <c r="UBR224" s="1201"/>
      <c r="UBS224" s="1201"/>
      <c r="UBT224" s="1201"/>
      <c r="UBU224" s="1201"/>
      <c r="UBV224" s="1201"/>
      <c r="UBW224" s="1201"/>
      <c r="UBX224" s="1201"/>
      <c r="UBY224" s="1201"/>
      <c r="UBZ224" s="1201"/>
      <c r="UCA224" s="1201"/>
      <c r="UCB224" s="1201"/>
      <c r="UCC224" s="1201"/>
      <c r="UCD224" s="1201"/>
      <c r="UCE224" s="1201"/>
      <c r="UCF224" s="1201"/>
      <c r="UCG224" s="1201"/>
      <c r="UCH224" s="1201"/>
      <c r="UCI224" s="1201"/>
      <c r="UCJ224" s="1201"/>
      <c r="UCK224" s="1201"/>
      <c r="UCL224" s="1201"/>
      <c r="UCM224" s="1201"/>
      <c r="UCN224" s="1201"/>
      <c r="UCO224" s="1201"/>
      <c r="UCP224" s="1201"/>
      <c r="UCQ224" s="1201"/>
      <c r="UCR224" s="1201"/>
      <c r="UCS224" s="1201"/>
      <c r="UCT224" s="1201"/>
      <c r="UCU224" s="1201"/>
      <c r="UCV224" s="1201"/>
      <c r="UCW224" s="1201"/>
      <c r="UCX224" s="1201"/>
      <c r="UCY224" s="1201"/>
      <c r="UCZ224" s="1201"/>
      <c r="UDA224" s="1201"/>
      <c r="UDB224" s="1201"/>
      <c r="UDC224" s="1201"/>
      <c r="UDD224" s="1201"/>
      <c r="UDE224" s="1201"/>
      <c r="UDF224" s="1201"/>
      <c r="UDG224" s="1201"/>
      <c r="UDH224" s="1201"/>
      <c r="UDI224" s="1201"/>
      <c r="UDJ224" s="1201"/>
      <c r="UDK224" s="1201"/>
      <c r="UDL224" s="1201"/>
      <c r="UDM224" s="1201"/>
      <c r="UDN224" s="1201"/>
      <c r="UDO224" s="1201"/>
      <c r="UDP224" s="1201"/>
      <c r="UDQ224" s="1201"/>
      <c r="UDR224" s="1201"/>
      <c r="UDS224" s="1201"/>
      <c r="UDT224" s="1201"/>
      <c r="UDU224" s="1201"/>
      <c r="UDV224" s="1201"/>
      <c r="UDW224" s="1201"/>
      <c r="UDX224" s="1201"/>
      <c r="UDY224" s="1201"/>
      <c r="UDZ224" s="1201"/>
      <c r="UEA224" s="1201"/>
      <c r="UEB224" s="1201"/>
      <c r="UEC224" s="1201"/>
      <c r="UED224" s="1201"/>
      <c r="UEE224" s="1201"/>
      <c r="UEF224" s="1201"/>
      <c r="UEG224" s="1201"/>
      <c r="UEH224" s="1201"/>
      <c r="UEI224" s="1201"/>
      <c r="UEJ224" s="1201"/>
      <c r="UEK224" s="1201"/>
      <c r="UEL224" s="1201"/>
      <c r="UEM224" s="1201"/>
      <c r="UEN224" s="1201"/>
      <c r="UEO224" s="1201"/>
      <c r="UEP224" s="1201"/>
      <c r="UEQ224" s="1201"/>
      <c r="UER224" s="1201"/>
      <c r="UES224" s="1201"/>
      <c r="UET224" s="1201"/>
      <c r="UEU224" s="1201"/>
      <c r="UEV224" s="1201"/>
      <c r="UEW224" s="1201"/>
      <c r="UEX224" s="1201"/>
      <c r="UEY224" s="1201"/>
      <c r="UEZ224" s="1201"/>
      <c r="UFA224" s="1201"/>
      <c r="UFB224" s="1201"/>
      <c r="UFC224" s="1201"/>
      <c r="UFD224" s="1201"/>
      <c r="UFE224" s="1201"/>
      <c r="UFF224" s="1201"/>
      <c r="UFG224" s="1201"/>
      <c r="UFH224" s="1201"/>
      <c r="UFI224" s="1201"/>
      <c r="UFJ224" s="1201"/>
      <c r="UFK224" s="1201"/>
      <c r="UFL224" s="1201"/>
      <c r="UFM224" s="1201"/>
      <c r="UFN224" s="1201"/>
      <c r="UFO224" s="1201"/>
      <c r="UFP224" s="1201"/>
      <c r="UFQ224" s="1201"/>
      <c r="UFR224" s="1201"/>
      <c r="UFS224" s="1201"/>
      <c r="UFT224" s="1201"/>
      <c r="UFU224" s="1201"/>
      <c r="UFV224" s="1201"/>
      <c r="UFW224" s="1201"/>
      <c r="UFX224" s="1201"/>
      <c r="UFY224" s="1201"/>
      <c r="UFZ224" s="1201"/>
      <c r="UGA224" s="1201"/>
      <c r="UGB224" s="1201"/>
      <c r="UGC224" s="1201"/>
      <c r="UGD224" s="1201"/>
      <c r="UGE224" s="1201"/>
      <c r="UGF224" s="1201"/>
      <c r="UGG224" s="1201"/>
      <c r="UGH224" s="1201"/>
      <c r="UGI224" s="1201"/>
      <c r="UGJ224" s="1201"/>
      <c r="UGK224" s="1201"/>
      <c r="UGL224" s="1201"/>
      <c r="UGM224" s="1201"/>
      <c r="UGN224" s="1201"/>
      <c r="UGO224" s="1201"/>
      <c r="UGP224" s="1201"/>
      <c r="UGQ224" s="1201"/>
      <c r="UGR224" s="1201"/>
      <c r="UGS224" s="1201"/>
      <c r="UGT224" s="1201"/>
      <c r="UGU224" s="1201"/>
      <c r="UGV224" s="1201"/>
      <c r="UGW224" s="1201"/>
      <c r="UGX224" s="1201"/>
      <c r="UGY224" s="1201"/>
      <c r="UGZ224" s="1201"/>
      <c r="UHA224" s="1201"/>
      <c r="UHB224" s="1201"/>
      <c r="UHC224" s="1201"/>
      <c r="UHD224" s="1201"/>
      <c r="UHE224" s="1201"/>
      <c r="UHF224" s="1201"/>
      <c r="UHG224" s="1201"/>
      <c r="UHH224" s="1201"/>
      <c r="UHI224" s="1201"/>
      <c r="UHJ224" s="1201"/>
      <c r="UHK224" s="1201"/>
      <c r="UHL224" s="1201"/>
      <c r="UHM224" s="1201"/>
      <c r="UHN224" s="1201"/>
      <c r="UHO224" s="1201"/>
      <c r="UHP224" s="1201"/>
      <c r="UHQ224" s="1201"/>
      <c r="UHR224" s="1201"/>
      <c r="UHS224" s="1201"/>
      <c r="UHT224" s="1201"/>
      <c r="UHU224" s="1201"/>
      <c r="UHV224" s="1201"/>
      <c r="UHW224" s="1201"/>
      <c r="UHX224" s="1201"/>
      <c r="UHY224" s="1201"/>
      <c r="UHZ224" s="1201"/>
      <c r="UIA224" s="1201"/>
      <c r="UIB224" s="1201"/>
      <c r="UIC224" s="1201"/>
      <c r="UID224" s="1201"/>
      <c r="UIE224" s="1201"/>
      <c r="UIF224" s="1201"/>
      <c r="UIG224" s="1201"/>
      <c r="UIH224" s="1201"/>
      <c r="UII224" s="1201"/>
      <c r="UIJ224" s="1201"/>
      <c r="UIK224" s="1201"/>
      <c r="UIL224" s="1201"/>
      <c r="UIM224" s="1201"/>
      <c r="UIN224" s="1201"/>
      <c r="UIO224" s="1201"/>
      <c r="UIP224" s="1201"/>
      <c r="UIQ224" s="1201"/>
      <c r="UIR224" s="1201"/>
      <c r="UIS224" s="1201"/>
      <c r="UIT224" s="1201"/>
      <c r="UIU224" s="1201"/>
      <c r="UIV224" s="1201"/>
      <c r="UIW224" s="1201"/>
      <c r="UIX224" s="1201"/>
      <c r="UIY224" s="1201"/>
      <c r="UIZ224" s="1201"/>
      <c r="UJA224" s="1201"/>
      <c r="UJB224" s="1201"/>
      <c r="UJC224" s="1201"/>
      <c r="UJD224" s="1201"/>
      <c r="UJE224" s="1201"/>
      <c r="UJF224" s="1201"/>
      <c r="UJG224" s="1201"/>
      <c r="UJH224" s="1201"/>
      <c r="UJI224" s="1201"/>
      <c r="UJJ224" s="1201"/>
      <c r="UJK224" s="1201"/>
      <c r="UJL224" s="1201"/>
      <c r="UJM224" s="1201"/>
      <c r="UJN224" s="1201"/>
      <c r="UJO224" s="1201"/>
      <c r="UJP224" s="1201"/>
      <c r="UJQ224" s="1201"/>
      <c r="UJR224" s="1201"/>
      <c r="UJS224" s="1201"/>
      <c r="UJT224" s="1201"/>
      <c r="UJU224" s="1201"/>
      <c r="UJV224" s="1201"/>
      <c r="UJW224" s="1201"/>
      <c r="UJX224" s="1201"/>
      <c r="UJY224" s="1201"/>
      <c r="UJZ224" s="1201"/>
      <c r="UKA224" s="1201"/>
      <c r="UKB224" s="1201"/>
      <c r="UKC224" s="1201"/>
      <c r="UKD224" s="1201"/>
      <c r="UKE224" s="1201"/>
      <c r="UKF224" s="1201"/>
      <c r="UKG224" s="1201"/>
      <c r="UKH224" s="1201"/>
      <c r="UKI224" s="1201"/>
      <c r="UKJ224" s="1201"/>
      <c r="UKK224" s="1201"/>
      <c r="UKL224" s="1201"/>
      <c r="UKM224" s="1201"/>
      <c r="UKN224" s="1201"/>
      <c r="UKO224" s="1201"/>
      <c r="UKP224" s="1201"/>
      <c r="UKQ224" s="1201"/>
      <c r="UKR224" s="1201"/>
      <c r="UKS224" s="1201"/>
      <c r="UKT224" s="1201"/>
      <c r="UKU224" s="1201"/>
      <c r="UKV224" s="1201"/>
      <c r="UKW224" s="1201"/>
      <c r="UKX224" s="1201"/>
      <c r="UKY224" s="1201"/>
      <c r="UKZ224" s="1201"/>
      <c r="ULA224" s="1201"/>
      <c r="ULB224" s="1201"/>
      <c r="ULC224" s="1201"/>
      <c r="ULD224" s="1201"/>
      <c r="ULE224" s="1201"/>
      <c r="ULF224" s="1201"/>
      <c r="ULG224" s="1201"/>
      <c r="ULH224" s="1201"/>
      <c r="ULI224" s="1201"/>
      <c r="ULJ224" s="1201"/>
      <c r="ULK224" s="1201"/>
      <c r="ULL224" s="1201"/>
      <c r="ULM224" s="1201"/>
      <c r="ULN224" s="1201"/>
      <c r="ULO224" s="1201"/>
      <c r="ULP224" s="1201"/>
      <c r="ULQ224" s="1201"/>
      <c r="ULR224" s="1201"/>
      <c r="ULS224" s="1201"/>
      <c r="ULT224" s="1201"/>
      <c r="ULU224" s="1201"/>
      <c r="ULV224" s="1201"/>
      <c r="ULW224" s="1201"/>
      <c r="ULX224" s="1201"/>
      <c r="ULY224" s="1201"/>
      <c r="ULZ224" s="1201"/>
      <c r="UMA224" s="1201"/>
      <c r="UMB224" s="1201"/>
      <c r="UMC224" s="1201"/>
      <c r="UMD224" s="1201"/>
      <c r="UME224" s="1201"/>
      <c r="UMF224" s="1201"/>
      <c r="UMG224" s="1201"/>
      <c r="UMH224" s="1201"/>
      <c r="UMI224" s="1201"/>
      <c r="UMJ224" s="1201"/>
      <c r="UMK224" s="1201"/>
      <c r="UML224" s="1201"/>
      <c r="UMM224" s="1201"/>
      <c r="UMN224" s="1201"/>
      <c r="UMO224" s="1201"/>
      <c r="UMP224" s="1201"/>
      <c r="UMQ224" s="1201"/>
      <c r="UMR224" s="1201"/>
      <c r="UMS224" s="1201"/>
      <c r="UMT224" s="1201"/>
      <c r="UMU224" s="1201"/>
      <c r="UMV224" s="1201"/>
      <c r="UMW224" s="1201"/>
      <c r="UMX224" s="1201"/>
      <c r="UMY224" s="1201"/>
      <c r="UMZ224" s="1201"/>
      <c r="UNA224" s="1201"/>
      <c r="UNB224" s="1201"/>
      <c r="UNC224" s="1201"/>
      <c r="UND224" s="1201"/>
      <c r="UNE224" s="1201"/>
      <c r="UNF224" s="1201"/>
      <c r="UNG224" s="1201"/>
      <c r="UNH224" s="1201"/>
      <c r="UNI224" s="1201"/>
      <c r="UNJ224" s="1201"/>
      <c r="UNK224" s="1201"/>
      <c r="UNL224" s="1201"/>
      <c r="UNM224" s="1201"/>
      <c r="UNN224" s="1201"/>
      <c r="UNO224" s="1201"/>
      <c r="UNP224" s="1201"/>
      <c r="UNQ224" s="1201"/>
      <c r="UNR224" s="1201"/>
      <c r="UNS224" s="1201"/>
      <c r="UNT224" s="1201"/>
      <c r="UNU224" s="1201"/>
      <c r="UNV224" s="1201"/>
      <c r="UNW224" s="1201"/>
      <c r="UNX224" s="1201"/>
      <c r="UNY224" s="1201"/>
      <c r="UNZ224" s="1201"/>
      <c r="UOA224" s="1201"/>
      <c r="UOB224" s="1201"/>
      <c r="UOC224" s="1201"/>
      <c r="UOD224" s="1201"/>
      <c r="UOE224" s="1201"/>
      <c r="UOF224" s="1201"/>
      <c r="UOG224" s="1201"/>
      <c r="UOH224" s="1201"/>
      <c r="UOI224" s="1201"/>
      <c r="UOJ224" s="1201"/>
      <c r="UOK224" s="1201"/>
      <c r="UOL224" s="1201"/>
      <c r="UOM224" s="1201"/>
      <c r="UON224" s="1201"/>
      <c r="UOO224" s="1201"/>
      <c r="UOP224" s="1201"/>
      <c r="UOQ224" s="1201"/>
      <c r="UOR224" s="1201"/>
      <c r="UOS224" s="1201"/>
      <c r="UOT224" s="1201"/>
      <c r="UOU224" s="1201"/>
      <c r="UOV224" s="1201"/>
      <c r="UOW224" s="1201"/>
      <c r="UOX224" s="1201"/>
      <c r="UOY224" s="1201"/>
      <c r="UOZ224" s="1201"/>
      <c r="UPA224" s="1201"/>
      <c r="UPB224" s="1201"/>
      <c r="UPC224" s="1201"/>
      <c r="UPD224" s="1201"/>
      <c r="UPE224" s="1201"/>
      <c r="UPF224" s="1201"/>
      <c r="UPG224" s="1201"/>
      <c r="UPH224" s="1201"/>
      <c r="UPI224" s="1201"/>
      <c r="UPJ224" s="1201"/>
      <c r="UPK224" s="1201"/>
      <c r="UPL224" s="1201"/>
      <c r="UPM224" s="1201"/>
      <c r="UPN224" s="1201"/>
      <c r="UPO224" s="1201"/>
      <c r="UPP224" s="1201"/>
      <c r="UPQ224" s="1201"/>
      <c r="UPR224" s="1201"/>
      <c r="UPS224" s="1201"/>
      <c r="UPT224" s="1201"/>
      <c r="UPU224" s="1201"/>
      <c r="UPV224" s="1201"/>
      <c r="UPW224" s="1201"/>
      <c r="UPX224" s="1201"/>
      <c r="UPY224" s="1201"/>
      <c r="UPZ224" s="1201"/>
      <c r="UQA224" s="1201"/>
      <c r="UQB224" s="1201"/>
      <c r="UQC224" s="1201"/>
      <c r="UQD224" s="1201"/>
      <c r="UQE224" s="1201"/>
      <c r="UQF224" s="1201"/>
      <c r="UQG224" s="1201"/>
      <c r="UQH224" s="1201"/>
      <c r="UQI224" s="1201"/>
      <c r="UQJ224" s="1201"/>
      <c r="UQK224" s="1201"/>
      <c r="UQL224" s="1201"/>
      <c r="UQM224" s="1201"/>
      <c r="UQN224" s="1201"/>
      <c r="UQO224" s="1201"/>
      <c r="UQP224" s="1201"/>
      <c r="UQQ224" s="1201"/>
      <c r="UQR224" s="1201"/>
      <c r="UQS224" s="1201"/>
      <c r="UQT224" s="1201"/>
      <c r="UQU224" s="1201"/>
      <c r="UQV224" s="1201"/>
      <c r="UQW224" s="1201"/>
      <c r="UQX224" s="1201"/>
      <c r="UQY224" s="1201"/>
      <c r="UQZ224" s="1201"/>
      <c r="URA224" s="1201"/>
      <c r="URB224" s="1201"/>
      <c r="URC224" s="1201"/>
      <c r="URD224" s="1201"/>
      <c r="URE224" s="1201"/>
      <c r="URF224" s="1201"/>
      <c r="URG224" s="1201"/>
      <c r="URH224" s="1201"/>
      <c r="URI224" s="1201"/>
      <c r="URJ224" s="1201"/>
      <c r="URK224" s="1201"/>
      <c r="URL224" s="1201"/>
      <c r="URM224" s="1201"/>
      <c r="URN224" s="1201"/>
      <c r="URO224" s="1201"/>
      <c r="URP224" s="1201"/>
      <c r="URQ224" s="1201"/>
      <c r="URR224" s="1201"/>
      <c r="URS224" s="1201"/>
      <c r="URT224" s="1201"/>
      <c r="URU224" s="1201"/>
      <c r="URV224" s="1201"/>
      <c r="URW224" s="1201"/>
      <c r="URX224" s="1201"/>
      <c r="URY224" s="1201"/>
      <c r="URZ224" s="1201"/>
      <c r="USA224" s="1201"/>
      <c r="USB224" s="1201"/>
      <c r="USC224" s="1201"/>
      <c r="USD224" s="1201"/>
      <c r="USE224" s="1201"/>
      <c r="USF224" s="1201"/>
      <c r="USG224" s="1201"/>
      <c r="USH224" s="1201"/>
      <c r="USI224" s="1201"/>
      <c r="USJ224" s="1201"/>
      <c r="USK224" s="1201"/>
      <c r="USL224" s="1201"/>
      <c r="USM224" s="1201"/>
      <c r="USN224" s="1201"/>
      <c r="USO224" s="1201"/>
      <c r="USP224" s="1201"/>
      <c r="USQ224" s="1201"/>
      <c r="USR224" s="1201"/>
      <c r="USS224" s="1201"/>
      <c r="UST224" s="1201"/>
      <c r="USU224" s="1201"/>
      <c r="USV224" s="1201"/>
      <c r="USW224" s="1201"/>
      <c r="USX224" s="1201"/>
      <c r="USY224" s="1201"/>
      <c r="USZ224" s="1201"/>
      <c r="UTA224" s="1201"/>
      <c r="UTB224" s="1201"/>
      <c r="UTC224" s="1201"/>
      <c r="UTD224" s="1201"/>
      <c r="UTE224" s="1201"/>
      <c r="UTF224" s="1201"/>
      <c r="UTG224" s="1201"/>
      <c r="UTH224" s="1201"/>
      <c r="UTI224" s="1201"/>
      <c r="UTJ224" s="1201"/>
      <c r="UTK224" s="1201"/>
      <c r="UTL224" s="1201"/>
      <c r="UTM224" s="1201"/>
      <c r="UTN224" s="1201"/>
      <c r="UTO224" s="1201"/>
      <c r="UTP224" s="1201"/>
      <c r="UTQ224" s="1201"/>
      <c r="UTR224" s="1201"/>
      <c r="UTS224" s="1201"/>
      <c r="UTT224" s="1201"/>
      <c r="UTU224" s="1201"/>
      <c r="UTV224" s="1201"/>
      <c r="UTW224" s="1201"/>
      <c r="UTX224" s="1201"/>
      <c r="UTY224" s="1201"/>
      <c r="UTZ224" s="1201"/>
      <c r="UUA224" s="1201"/>
      <c r="UUB224" s="1201"/>
      <c r="UUC224" s="1201"/>
      <c r="UUD224" s="1201"/>
      <c r="UUE224" s="1201"/>
      <c r="UUF224" s="1201"/>
      <c r="UUG224" s="1201"/>
      <c r="UUH224" s="1201"/>
      <c r="UUI224" s="1201"/>
      <c r="UUJ224" s="1201"/>
      <c r="UUK224" s="1201"/>
      <c r="UUL224" s="1201"/>
      <c r="UUM224" s="1201"/>
      <c r="UUN224" s="1201"/>
      <c r="UUO224" s="1201"/>
      <c r="UUP224" s="1201"/>
      <c r="UUQ224" s="1201"/>
      <c r="UUR224" s="1201"/>
      <c r="UUS224" s="1201"/>
      <c r="UUT224" s="1201"/>
      <c r="UUU224" s="1201"/>
      <c r="UUV224" s="1201"/>
      <c r="UUW224" s="1201"/>
      <c r="UUX224" s="1201"/>
      <c r="UUY224" s="1201"/>
      <c r="UUZ224" s="1201"/>
      <c r="UVA224" s="1201"/>
      <c r="UVB224" s="1201"/>
      <c r="UVC224" s="1201"/>
      <c r="UVD224" s="1201"/>
      <c r="UVE224" s="1201"/>
      <c r="UVF224" s="1201"/>
      <c r="UVG224" s="1201"/>
      <c r="UVH224" s="1201"/>
      <c r="UVI224" s="1201"/>
      <c r="UVJ224" s="1201"/>
      <c r="UVK224" s="1201"/>
      <c r="UVL224" s="1201"/>
      <c r="UVM224" s="1201"/>
      <c r="UVN224" s="1201"/>
      <c r="UVO224" s="1201"/>
      <c r="UVP224" s="1201"/>
      <c r="UVQ224" s="1201"/>
      <c r="UVR224" s="1201"/>
      <c r="UVS224" s="1201"/>
      <c r="UVT224" s="1201"/>
      <c r="UVU224" s="1201"/>
      <c r="UVV224" s="1201"/>
      <c r="UVW224" s="1201"/>
      <c r="UVX224" s="1201"/>
      <c r="UVY224" s="1201"/>
      <c r="UVZ224" s="1201"/>
      <c r="UWA224" s="1201"/>
      <c r="UWB224" s="1201"/>
      <c r="UWC224" s="1201"/>
      <c r="UWD224" s="1201"/>
      <c r="UWE224" s="1201"/>
      <c r="UWF224" s="1201"/>
      <c r="UWG224" s="1201"/>
      <c r="UWH224" s="1201"/>
      <c r="UWI224" s="1201"/>
      <c r="UWJ224" s="1201"/>
      <c r="UWK224" s="1201"/>
      <c r="UWL224" s="1201"/>
      <c r="UWM224" s="1201"/>
      <c r="UWN224" s="1201"/>
      <c r="UWO224" s="1201"/>
      <c r="UWP224" s="1201"/>
      <c r="UWQ224" s="1201"/>
      <c r="UWR224" s="1201"/>
      <c r="UWS224" s="1201"/>
      <c r="UWT224" s="1201"/>
      <c r="UWU224" s="1201"/>
      <c r="UWV224" s="1201"/>
      <c r="UWW224" s="1201"/>
      <c r="UWX224" s="1201"/>
      <c r="UWY224" s="1201"/>
      <c r="UWZ224" s="1201"/>
      <c r="UXA224" s="1201"/>
      <c r="UXB224" s="1201"/>
      <c r="UXC224" s="1201"/>
      <c r="UXD224" s="1201"/>
      <c r="UXE224" s="1201"/>
      <c r="UXF224" s="1201"/>
      <c r="UXG224" s="1201"/>
      <c r="UXH224" s="1201"/>
      <c r="UXI224" s="1201"/>
      <c r="UXJ224" s="1201"/>
      <c r="UXK224" s="1201"/>
      <c r="UXL224" s="1201"/>
      <c r="UXM224" s="1201"/>
      <c r="UXN224" s="1201"/>
      <c r="UXO224" s="1201"/>
      <c r="UXP224" s="1201"/>
      <c r="UXQ224" s="1201"/>
      <c r="UXR224" s="1201"/>
      <c r="UXS224" s="1201"/>
      <c r="UXT224" s="1201"/>
      <c r="UXU224" s="1201"/>
      <c r="UXV224" s="1201"/>
      <c r="UXW224" s="1201"/>
      <c r="UXX224" s="1201"/>
      <c r="UXY224" s="1201"/>
      <c r="UXZ224" s="1201"/>
      <c r="UYA224" s="1201"/>
      <c r="UYB224" s="1201"/>
      <c r="UYC224" s="1201"/>
      <c r="UYD224" s="1201"/>
      <c r="UYE224" s="1201"/>
      <c r="UYF224" s="1201"/>
      <c r="UYG224" s="1201"/>
      <c r="UYH224" s="1201"/>
      <c r="UYI224" s="1201"/>
      <c r="UYJ224" s="1201"/>
      <c r="UYK224" s="1201"/>
      <c r="UYL224" s="1201"/>
      <c r="UYM224" s="1201"/>
      <c r="UYN224" s="1201"/>
      <c r="UYO224" s="1201"/>
      <c r="UYP224" s="1201"/>
      <c r="UYQ224" s="1201"/>
      <c r="UYR224" s="1201"/>
      <c r="UYS224" s="1201"/>
      <c r="UYT224" s="1201"/>
      <c r="UYU224" s="1201"/>
      <c r="UYV224" s="1201"/>
      <c r="UYW224" s="1201"/>
      <c r="UYX224" s="1201"/>
      <c r="UYY224" s="1201"/>
      <c r="UYZ224" s="1201"/>
      <c r="UZA224" s="1201"/>
      <c r="UZB224" s="1201"/>
      <c r="UZC224" s="1201"/>
      <c r="UZD224" s="1201"/>
      <c r="UZE224" s="1201"/>
      <c r="UZF224" s="1201"/>
      <c r="UZG224" s="1201"/>
      <c r="UZH224" s="1201"/>
      <c r="UZI224" s="1201"/>
      <c r="UZJ224" s="1201"/>
      <c r="UZK224" s="1201"/>
      <c r="UZL224" s="1201"/>
      <c r="UZM224" s="1201"/>
      <c r="UZN224" s="1201"/>
      <c r="UZO224" s="1201"/>
      <c r="UZP224" s="1201"/>
      <c r="UZQ224" s="1201"/>
      <c r="UZR224" s="1201"/>
      <c r="UZS224" s="1201"/>
      <c r="UZT224" s="1201"/>
      <c r="UZU224" s="1201"/>
      <c r="UZV224" s="1201"/>
      <c r="UZW224" s="1201"/>
      <c r="UZX224" s="1201"/>
      <c r="UZY224" s="1201"/>
      <c r="UZZ224" s="1201"/>
      <c r="VAA224" s="1201"/>
      <c r="VAB224" s="1201"/>
      <c r="VAC224" s="1201"/>
      <c r="VAD224" s="1201"/>
      <c r="VAE224" s="1201"/>
      <c r="VAF224" s="1201"/>
      <c r="VAG224" s="1201"/>
      <c r="VAH224" s="1201"/>
      <c r="VAI224" s="1201"/>
      <c r="VAJ224" s="1201"/>
      <c r="VAK224" s="1201"/>
      <c r="VAL224" s="1201"/>
      <c r="VAM224" s="1201"/>
      <c r="VAN224" s="1201"/>
      <c r="VAO224" s="1201"/>
      <c r="VAP224" s="1201"/>
      <c r="VAQ224" s="1201"/>
      <c r="VAR224" s="1201"/>
      <c r="VAS224" s="1201"/>
      <c r="VAT224" s="1201"/>
      <c r="VAU224" s="1201"/>
      <c r="VAV224" s="1201"/>
      <c r="VAW224" s="1201"/>
      <c r="VAX224" s="1201"/>
      <c r="VAY224" s="1201"/>
      <c r="VAZ224" s="1201"/>
      <c r="VBA224" s="1201"/>
      <c r="VBB224" s="1201"/>
      <c r="VBC224" s="1201"/>
      <c r="VBD224" s="1201"/>
      <c r="VBE224" s="1201"/>
      <c r="VBF224" s="1201"/>
      <c r="VBG224" s="1201"/>
      <c r="VBH224" s="1201"/>
      <c r="VBI224" s="1201"/>
      <c r="VBJ224" s="1201"/>
      <c r="VBK224" s="1201"/>
      <c r="VBL224" s="1201"/>
      <c r="VBM224" s="1201"/>
      <c r="VBN224" s="1201"/>
      <c r="VBO224" s="1201"/>
      <c r="VBP224" s="1201"/>
      <c r="VBQ224" s="1201"/>
      <c r="VBR224" s="1201"/>
      <c r="VBS224" s="1201"/>
      <c r="VBT224" s="1201"/>
      <c r="VBU224" s="1201"/>
      <c r="VBV224" s="1201"/>
      <c r="VBW224" s="1201"/>
      <c r="VBX224" s="1201"/>
      <c r="VBY224" s="1201"/>
      <c r="VBZ224" s="1201"/>
      <c r="VCA224" s="1201"/>
      <c r="VCB224" s="1201"/>
      <c r="VCC224" s="1201"/>
      <c r="VCD224" s="1201"/>
      <c r="VCE224" s="1201"/>
      <c r="VCF224" s="1201"/>
      <c r="VCG224" s="1201"/>
      <c r="VCH224" s="1201"/>
      <c r="VCI224" s="1201"/>
      <c r="VCJ224" s="1201"/>
      <c r="VCK224" s="1201"/>
      <c r="VCL224" s="1201"/>
      <c r="VCM224" s="1201"/>
      <c r="VCN224" s="1201"/>
      <c r="VCO224" s="1201"/>
      <c r="VCP224" s="1201"/>
      <c r="VCQ224" s="1201"/>
      <c r="VCR224" s="1201"/>
      <c r="VCS224" s="1201"/>
      <c r="VCT224" s="1201"/>
      <c r="VCU224" s="1201"/>
      <c r="VCV224" s="1201"/>
      <c r="VCW224" s="1201"/>
      <c r="VCX224" s="1201"/>
      <c r="VCY224" s="1201"/>
      <c r="VCZ224" s="1201"/>
      <c r="VDA224" s="1201"/>
      <c r="VDB224" s="1201"/>
      <c r="VDC224" s="1201"/>
      <c r="VDD224" s="1201"/>
      <c r="VDE224" s="1201"/>
      <c r="VDF224" s="1201"/>
      <c r="VDG224" s="1201"/>
      <c r="VDH224" s="1201"/>
      <c r="VDI224" s="1201"/>
      <c r="VDJ224" s="1201"/>
      <c r="VDK224" s="1201"/>
      <c r="VDL224" s="1201"/>
      <c r="VDM224" s="1201"/>
      <c r="VDN224" s="1201"/>
      <c r="VDO224" s="1201"/>
      <c r="VDP224" s="1201"/>
      <c r="VDQ224" s="1201"/>
      <c r="VDR224" s="1201"/>
      <c r="VDS224" s="1201"/>
      <c r="VDT224" s="1201"/>
      <c r="VDU224" s="1201"/>
      <c r="VDV224" s="1201"/>
      <c r="VDW224" s="1201"/>
      <c r="VDX224" s="1201"/>
      <c r="VDY224" s="1201"/>
      <c r="VDZ224" s="1201"/>
      <c r="VEA224" s="1201"/>
      <c r="VEB224" s="1201"/>
      <c r="VEC224" s="1201"/>
      <c r="VED224" s="1201"/>
      <c r="VEE224" s="1201"/>
      <c r="VEF224" s="1201"/>
      <c r="VEG224" s="1201"/>
      <c r="VEH224" s="1201"/>
      <c r="VEI224" s="1201"/>
      <c r="VEJ224" s="1201"/>
      <c r="VEK224" s="1201"/>
      <c r="VEL224" s="1201"/>
      <c r="VEM224" s="1201"/>
      <c r="VEN224" s="1201"/>
      <c r="VEO224" s="1201"/>
      <c r="VEP224" s="1201"/>
      <c r="VEQ224" s="1201"/>
      <c r="VER224" s="1201"/>
      <c r="VES224" s="1201"/>
      <c r="VET224" s="1201"/>
      <c r="VEU224" s="1201"/>
      <c r="VEV224" s="1201"/>
      <c r="VEW224" s="1201"/>
      <c r="VEX224" s="1201"/>
      <c r="VEY224" s="1201"/>
      <c r="VEZ224" s="1201"/>
      <c r="VFA224" s="1201"/>
      <c r="VFB224" s="1201"/>
      <c r="VFC224" s="1201"/>
      <c r="VFD224" s="1201"/>
      <c r="VFE224" s="1201"/>
      <c r="VFF224" s="1201"/>
      <c r="VFG224" s="1201"/>
      <c r="VFH224" s="1201"/>
      <c r="VFI224" s="1201"/>
      <c r="VFJ224" s="1201"/>
      <c r="VFK224" s="1201"/>
      <c r="VFL224" s="1201"/>
      <c r="VFM224" s="1201"/>
      <c r="VFN224" s="1201"/>
      <c r="VFO224" s="1201"/>
      <c r="VFP224" s="1201"/>
      <c r="VFQ224" s="1201"/>
      <c r="VFR224" s="1201"/>
      <c r="VFS224" s="1201"/>
      <c r="VFT224" s="1201"/>
      <c r="VFU224" s="1201"/>
      <c r="VFV224" s="1201"/>
      <c r="VFW224" s="1201"/>
      <c r="VFX224" s="1201"/>
      <c r="VFY224" s="1201"/>
      <c r="VFZ224" s="1201"/>
      <c r="VGA224" s="1201"/>
      <c r="VGB224" s="1201"/>
      <c r="VGC224" s="1201"/>
      <c r="VGD224" s="1201"/>
      <c r="VGE224" s="1201"/>
      <c r="VGF224" s="1201"/>
      <c r="VGG224" s="1201"/>
      <c r="VGH224" s="1201"/>
      <c r="VGI224" s="1201"/>
      <c r="VGJ224" s="1201"/>
      <c r="VGK224" s="1201"/>
      <c r="VGL224" s="1201"/>
      <c r="VGM224" s="1201"/>
      <c r="VGN224" s="1201"/>
      <c r="VGO224" s="1201"/>
      <c r="VGP224" s="1201"/>
      <c r="VGQ224" s="1201"/>
      <c r="VGR224" s="1201"/>
      <c r="VGS224" s="1201"/>
      <c r="VGT224" s="1201"/>
      <c r="VGU224" s="1201"/>
      <c r="VGV224" s="1201"/>
      <c r="VGW224" s="1201"/>
      <c r="VGX224" s="1201"/>
      <c r="VGY224" s="1201"/>
      <c r="VGZ224" s="1201"/>
      <c r="VHA224" s="1201"/>
      <c r="VHB224" s="1201"/>
      <c r="VHC224" s="1201"/>
      <c r="VHD224" s="1201"/>
      <c r="VHE224" s="1201"/>
      <c r="VHF224" s="1201"/>
      <c r="VHG224" s="1201"/>
      <c r="VHH224" s="1201"/>
      <c r="VHI224" s="1201"/>
      <c r="VHJ224" s="1201"/>
      <c r="VHK224" s="1201"/>
      <c r="VHL224" s="1201"/>
      <c r="VHM224" s="1201"/>
      <c r="VHN224" s="1201"/>
      <c r="VHO224" s="1201"/>
      <c r="VHP224" s="1201"/>
      <c r="VHQ224" s="1201"/>
      <c r="VHR224" s="1201"/>
      <c r="VHS224" s="1201"/>
      <c r="VHT224" s="1201"/>
      <c r="VHU224" s="1201"/>
      <c r="VHV224" s="1201"/>
      <c r="VHW224" s="1201"/>
      <c r="VHX224" s="1201"/>
      <c r="VHY224" s="1201"/>
      <c r="VHZ224" s="1201"/>
      <c r="VIA224" s="1201"/>
      <c r="VIB224" s="1201"/>
      <c r="VIC224" s="1201"/>
      <c r="VID224" s="1201"/>
      <c r="VIE224" s="1201"/>
      <c r="VIF224" s="1201"/>
      <c r="VIG224" s="1201"/>
      <c r="VIH224" s="1201"/>
      <c r="VII224" s="1201"/>
      <c r="VIJ224" s="1201"/>
      <c r="VIK224" s="1201"/>
      <c r="VIL224" s="1201"/>
      <c r="VIM224" s="1201"/>
      <c r="VIN224" s="1201"/>
      <c r="VIO224" s="1201"/>
      <c r="VIP224" s="1201"/>
      <c r="VIQ224" s="1201"/>
      <c r="VIR224" s="1201"/>
      <c r="VIS224" s="1201"/>
      <c r="VIT224" s="1201"/>
      <c r="VIU224" s="1201"/>
      <c r="VIV224" s="1201"/>
      <c r="VIW224" s="1201"/>
      <c r="VIX224" s="1201"/>
      <c r="VIY224" s="1201"/>
      <c r="VIZ224" s="1201"/>
      <c r="VJA224" s="1201"/>
      <c r="VJB224" s="1201"/>
      <c r="VJC224" s="1201"/>
      <c r="VJD224" s="1201"/>
      <c r="VJE224" s="1201"/>
      <c r="VJF224" s="1201"/>
      <c r="VJG224" s="1201"/>
      <c r="VJH224" s="1201"/>
      <c r="VJI224" s="1201"/>
      <c r="VJJ224" s="1201"/>
      <c r="VJK224" s="1201"/>
      <c r="VJL224" s="1201"/>
      <c r="VJM224" s="1201"/>
      <c r="VJN224" s="1201"/>
      <c r="VJO224" s="1201"/>
      <c r="VJP224" s="1201"/>
      <c r="VJQ224" s="1201"/>
      <c r="VJR224" s="1201"/>
      <c r="VJS224" s="1201"/>
      <c r="VJT224" s="1201"/>
      <c r="VJU224" s="1201"/>
      <c r="VJV224" s="1201"/>
      <c r="VJW224" s="1201"/>
      <c r="VJX224" s="1201"/>
      <c r="VJY224" s="1201"/>
      <c r="VJZ224" s="1201"/>
      <c r="VKA224" s="1201"/>
      <c r="VKB224" s="1201"/>
      <c r="VKC224" s="1201"/>
      <c r="VKD224" s="1201"/>
      <c r="VKE224" s="1201"/>
      <c r="VKF224" s="1201"/>
      <c r="VKG224" s="1201"/>
      <c r="VKH224" s="1201"/>
      <c r="VKI224" s="1201"/>
      <c r="VKJ224" s="1201"/>
      <c r="VKK224" s="1201"/>
      <c r="VKL224" s="1201"/>
      <c r="VKM224" s="1201"/>
      <c r="VKN224" s="1201"/>
      <c r="VKO224" s="1201"/>
      <c r="VKP224" s="1201"/>
      <c r="VKQ224" s="1201"/>
      <c r="VKR224" s="1201"/>
      <c r="VKS224" s="1201"/>
      <c r="VKT224" s="1201"/>
      <c r="VKU224" s="1201"/>
      <c r="VKV224" s="1201"/>
      <c r="VKW224" s="1201"/>
      <c r="VKX224" s="1201"/>
      <c r="VKY224" s="1201"/>
      <c r="VKZ224" s="1201"/>
      <c r="VLA224" s="1201"/>
      <c r="VLB224" s="1201"/>
      <c r="VLC224" s="1201"/>
      <c r="VLD224" s="1201"/>
      <c r="VLE224" s="1201"/>
      <c r="VLF224" s="1201"/>
      <c r="VLG224" s="1201"/>
      <c r="VLH224" s="1201"/>
      <c r="VLI224" s="1201"/>
      <c r="VLJ224" s="1201"/>
      <c r="VLK224" s="1201"/>
      <c r="VLL224" s="1201"/>
      <c r="VLM224" s="1201"/>
      <c r="VLN224" s="1201"/>
      <c r="VLO224" s="1201"/>
      <c r="VLP224" s="1201"/>
      <c r="VLQ224" s="1201"/>
      <c r="VLR224" s="1201"/>
      <c r="VLS224" s="1201"/>
      <c r="VLT224" s="1201"/>
      <c r="VLU224" s="1201"/>
      <c r="VLV224" s="1201"/>
      <c r="VLW224" s="1201"/>
      <c r="VLX224" s="1201"/>
      <c r="VLY224" s="1201"/>
      <c r="VLZ224" s="1201"/>
      <c r="VMA224" s="1201"/>
      <c r="VMB224" s="1201"/>
      <c r="VMC224" s="1201"/>
      <c r="VMD224" s="1201"/>
      <c r="VME224" s="1201"/>
      <c r="VMF224" s="1201"/>
      <c r="VMG224" s="1201"/>
      <c r="VMH224" s="1201"/>
      <c r="VMI224" s="1201"/>
      <c r="VMJ224" s="1201"/>
      <c r="VMK224" s="1201"/>
      <c r="VML224" s="1201"/>
      <c r="VMM224" s="1201"/>
      <c r="VMN224" s="1201"/>
      <c r="VMO224" s="1201"/>
      <c r="VMP224" s="1201"/>
      <c r="VMQ224" s="1201"/>
      <c r="VMR224" s="1201"/>
      <c r="VMS224" s="1201"/>
      <c r="VMT224" s="1201"/>
      <c r="VMU224" s="1201"/>
      <c r="VMV224" s="1201"/>
      <c r="VMW224" s="1201"/>
      <c r="VMX224" s="1201"/>
      <c r="VMY224" s="1201"/>
      <c r="VMZ224" s="1201"/>
      <c r="VNA224" s="1201"/>
      <c r="VNB224" s="1201"/>
      <c r="VNC224" s="1201"/>
      <c r="VND224" s="1201"/>
      <c r="VNE224" s="1201"/>
      <c r="VNF224" s="1201"/>
      <c r="VNG224" s="1201"/>
      <c r="VNH224" s="1201"/>
      <c r="VNI224" s="1201"/>
      <c r="VNJ224" s="1201"/>
      <c r="VNK224" s="1201"/>
      <c r="VNL224" s="1201"/>
      <c r="VNM224" s="1201"/>
      <c r="VNN224" s="1201"/>
      <c r="VNO224" s="1201"/>
      <c r="VNP224" s="1201"/>
      <c r="VNQ224" s="1201"/>
      <c r="VNR224" s="1201"/>
      <c r="VNS224" s="1201"/>
      <c r="VNT224" s="1201"/>
      <c r="VNU224" s="1201"/>
      <c r="VNV224" s="1201"/>
      <c r="VNW224" s="1201"/>
      <c r="VNX224" s="1201"/>
      <c r="VNY224" s="1201"/>
      <c r="VNZ224" s="1201"/>
      <c r="VOA224" s="1201"/>
      <c r="VOB224" s="1201"/>
      <c r="VOC224" s="1201"/>
      <c r="VOD224" s="1201"/>
      <c r="VOE224" s="1201"/>
      <c r="VOF224" s="1201"/>
      <c r="VOG224" s="1201"/>
      <c r="VOH224" s="1201"/>
      <c r="VOI224" s="1201"/>
      <c r="VOJ224" s="1201"/>
      <c r="VOK224" s="1201"/>
      <c r="VOL224" s="1201"/>
      <c r="VOM224" s="1201"/>
      <c r="VON224" s="1201"/>
      <c r="VOO224" s="1201"/>
      <c r="VOP224" s="1201"/>
      <c r="VOQ224" s="1201"/>
      <c r="VOR224" s="1201"/>
      <c r="VOS224" s="1201"/>
      <c r="VOT224" s="1201"/>
      <c r="VOU224" s="1201"/>
      <c r="VOV224" s="1201"/>
      <c r="VOW224" s="1201"/>
      <c r="VOX224" s="1201"/>
      <c r="VOY224" s="1201"/>
      <c r="VOZ224" s="1201"/>
      <c r="VPA224" s="1201"/>
      <c r="VPB224" s="1201"/>
      <c r="VPC224" s="1201"/>
      <c r="VPD224" s="1201"/>
      <c r="VPE224" s="1201"/>
      <c r="VPF224" s="1201"/>
      <c r="VPG224" s="1201"/>
      <c r="VPH224" s="1201"/>
      <c r="VPI224" s="1201"/>
      <c r="VPJ224" s="1201"/>
      <c r="VPK224" s="1201"/>
      <c r="VPL224" s="1201"/>
      <c r="VPM224" s="1201"/>
      <c r="VPN224" s="1201"/>
      <c r="VPO224" s="1201"/>
      <c r="VPP224" s="1201"/>
      <c r="VPQ224" s="1201"/>
      <c r="VPR224" s="1201"/>
      <c r="VPS224" s="1201"/>
      <c r="VPT224" s="1201"/>
      <c r="VPU224" s="1201"/>
      <c r="VPV224" s="1201"/>
      <c r="VPW224" s="1201"/>
      <c r="VPX224" s="1201"/>
      <c r="VPY224" s="1201"/>
      <c r="VPZ224" s="1201"/>
      <c r="VQA224" s="1201"/>
      <c r="VQB224" s="1201"/>
      <c r="VQC224" s="1201"/>
      <c r="VQD224" s="1201"/>
      <c r="VQE224" s="1201"/>
      <c r="VQF224" s="1201"/>
      <c r="VQG224" s="1201"/>
      <c r="VQH224" s="1201"/>
      <c r="VQI224" s="1201"/>
      <c r="VQJ224" s="1201"/>
      <c r="VQK224" s="1201"/>
      <c r="VQL224" s="1201"/>
      <c r="VQM224" s="1201"/>
      <c r="VQN224" s="1201"/>
      <c r="VQO224" s="1201"/>
      <c r="VQP224" s="1201"/>
      <c r="VQQ224" s="1201"/>
      <c r="VQR224" s="1201"/>
      <c r="VQS224" s="1201"/>
      <c r="VQT224" s="1201"/>
      <c r="VQU224" s="1201"/>
      <c r="VQV224" s="1201"/>
      <c r="VQW224" s="1201"/>
      <c r="VQX224" s="1201"/>
      <c r="VQY224" s="1201"/>
      <c r="VQZ224" s="1201"/>
      <c r="VRA224" s="1201"/>
      <c r="VRB224" s="1201"/>
      <c r="VRC224" s="1201"/>
      <c r="VRD224" s="1201"/>
      <c r="VRE224" s="1201"/>
      <c r="VRF224" s="1201"/>
      <c r="VRG224" s="1201"/>
      <c r="VRH224" s="1201"/>
      <c r="VRI224" s="1201"/>
      <c r="VRJ224" s="1201"/>
      <c r="VRK224" s="1201"/>
      <c r="VRL224" s="1201"/>
      <c r="VRM224" s="1201"/>
      <c r="VRN224" s="1201"/>
      <c r="VRO224" s="1201"/>
      <c r="VRP224" s="1201"/>
      <c r="VRQ224" s="1201"/>
      <c r="VRR224" s="1201"/>
      <c r="VRS224" s="1201"/>
      <c r="VRT224" s="1201"/>
      <c r="VRU224" s="1201"/>
      <c r="VRV224" s="1201"/>
      <c r="VRW224" s="1201"/>
      <c r="VRX224" s="1201"/>
      <c r="VRY224" s="1201"/>
      <c r="VRZ224" s="1201"/>
      <c r="VSA224" s="1201"/>
      <c r="VSB224" s="1201"/>
      <c r="VSC224" s="1201"/>
      <c r="VSD224" s="1201"/>
      <c r="VSE224" s="1201"/>
      <c r="VSF224" s="1201"/>
      <c r="VSG224" s="1201"/>
      <c r="VSH224" s="1201"/>
      <c r="VSI224" s="1201"/>
      <c r="VSJ224" s="1201"/>
      <c r="VSK224" s="1201"/>
      <c r="VSL224" s="1201"/>
      <c r="VSM224" s="1201"/>
      <c r="VSN224" s="1201"/>
      <c r="VSO224" s="1201"/>
      <c r="VSP224" s="1201"/>
      <c r="VSQ224" s="1201"/>
      <c r="VSR224" s="1201"/>
      <c r="VSS224" s="1201"/>
      <c r="VST224" s="1201"/>
      <c r="VSU224" s="1201"/>
      <c r="VSV224" s="1201"/>
      <c r="VSW224" s="1201"/>
      <c r="VSX224" s="1201"/>
      <c r="VSY224" s="1201"/>
      <c r="VSZ224" s="1201"/>
      <c r="VTA224" s="1201"/>
      <c r="VTB224" s="1201"/>
      <c r="VTC224" s="1201"/>
      <c r="VTD224" s="1201"/>
      <c r="VTE224" s="1201"/>
      <c r="VTF224" s="1201"/>
      <c r="VTG224" s="1201"/>
      <c r="VTH224" s="1201"/>
      <c r="VTI224" s="1201"/>
      <c r="VTJ224" s="1201"/>
      <c r="VTK224" s="1201"/>
      <c r="VTL224" s="1201"/>
      <c r="VTM224" s="1201"/>
      <c r="VTN224" s="1201"/>
      <c r="VTO224" s="1201"/>
      <c r="VTP224" s="1201"/>
      <c r="VTQ224" s="1201"/>
      <c r="VTR224" s="1201"/>
      <c r="VTS224" s="1201"/>
      <c r="VTT224" s="1201"/>
      <c r="VTU224" s="1201"/>
      <c r="VTV224" s="1201"/>
      <c r="VTW224" s="1201"/>
      <c r="VTX224" s="1201"/>
      <c r="VTY224" s="1201"/>
      <c r="VTZ224" s="1201"/>
      <c r="VUA224" s="1201"/>
      <c r="VUB224" s="1201"/>
      <c r="VUC224" s="1201"/>
      <c r="VUD224" s="1201"/>
      <c r="VUE224" s="1201"/>
      <c r="VUF224" s="1201"/>
      <c r="VUG224" s="1201"/>
      <c r="VUH224" s="1201"/>
      <c r="VUI224" s="1201"/>
      <c r="VUJ224" s="1201"/>
      <c r="VUK224" s="1201"/>
      <c r="VUL224" s="1201"/>
      <c r="VUM224" s="1201"/>
      <c r="VUN224" s="1201"/>
      <c r="VUO224" s="1201"/>
      <c r="VUP224" s="1201"/>
      <c r="VUQ224" s="1201"/>
      <c r="VUR224" s="1201"/>
      <c r="VUS224" s="1201"/>
      <c r="VUT224" s="1201"/>
      <c r="VUU224" s="1201"/>
      <c r="VUV224" s="1201"/>
      <c r="VUW224" s="1201"/>
      <c r="VUX224" s="1201"/>
      <c r="VUY224" s="1201"/>
      <c r="VUZ224" s="1201"/>
      <c r="VVA224" s="1201"/>
      <c r="VVB224" s="1201"/>
      <c r="VVC224" s="1201"/>
      <c r="VVD224" s="1201"/>
      <c r="VVE224" s="1201"/>
      <c r="VVF224" s="1201"/>
      <c r="VVG224" s="1201"/>
      <c r="VVH224" s="1201"/>
      <c r="VVI224" s="1201"/>
      <c r="VVJ224" s="1201"/>
      <c r="VVK224" s="1201"/>
      <c r="VVL224" s="1201"/>
      <c r="VVM224" s="1201"/>
      <c r="VVN224" s="1201"/>
      <c r="VVO224" s="1201"/>
      <c r="VVP224" s="1201"/>
      <c r="VVQ224" s="1201"/>
      <c r="VVR224" s="1201"/>
      <c r="VVS224" s="1201"/>
      <c r="VVT224" s="1201"/>
      <c r="VVU224" s="1201"/>
      <c r="VVV224" s="1201"/>
      <c r="VVW224" s="1201"/>
      <c r="VVX224" s="1201"/>
      <c r="VVY224" s="1201"/>
      <c r="VVZ224" s="1201"/>
      <c r="VWA224" s="1201"/>
      <c r="VWB224" s="1201"/>
      <c r="VWC224" s="1201"/>
      <c r="VWD224" s="1201"/>
      <c r="VWE224" s="1201"/>
      <c r="VWF224" s="1201"/>
      <c r="VWG224" s="1201"/>
      <c r="VWH224" s="1201"/>
      <c r="VWI224" s="1201"/>
      <c r="VWJ224" s="1201"/>
      <c r="VWK224" s="1201"/>
      <c r="VWL224" s="1201"/>
      <c r="VWM224" s="1201"/>
      <c r="VWN224" s="1201"/>
      <c r="VWO224" s="1201"/>
      <c r="VWP224" s="1201"/>
      <c r="VWQ224" s="1201"/>
      <c r="VWR224" s="1201"/>
      <c r="VWS224" s="1201"/>
      <c r="VWT224" s="1201"/>
      <c r="VWU224" s="1201"/>
      <c r="VWV224" s="1201"/>
      <c r="VWW224" s="1201"/>
      <c r="VWX224" s="1201"/>
      <c r="VWY224" s="1201"/>
      <c r="VWZ224" s="1201"/>
      <c r="VXA224" s="1201"/>
      <c r="VXB224" s="1201"/>
      <c r="VXC224" s="1201"/>
      <c r="VXD224" s="1201"/>
      <c r="VXE224" s="1201"/>
      <c r="VXF224" s="1201"/>
      <c r="VXG224" s="1201"/>
      <c r="VXH224" s="1201"/>
      <c r="VXI224" s="1201"/>
      <c r="VXJ224" s="1201"/>
      <c r="VXK224" s="1201"/>
      <c r="VXL224" s="1201"/>
      <c r="VXM224" s="1201"/>
      <c r="VXN224" s="1201"/>
      <c r="VXO224" s="1201"/>
      <c r="VXP224" s="1201"/>
      <c r="VXQ224" s="1201"/>
      <c r="VXR224" s="1201"/>
      <c r="VXS224" s="1201"/>
      <c r="VXT224" s="1201"/>
      <c r="VXU224" s="1201"/>
      <c r="VXV224" s="1201"/>
      <c r="VXW224" s="1201"/>
      <c r="VXX224" s="1201"/>
      <c r="VXY224" s="1201"/>
      <c r="VXZ224" s="1201"/>
      <c r="VYA224" s="1201"/>
      <c r="VYB224" s="1201"/>
      <c r="VYC224" s="1201"/>
      <c r="VYD224" s="1201"/>
      <c r="VYE224" s="1201"/>
      <c r="VYF224" s="1201"/>
      <c r="VYG224" s="1201"/>
      <c r="VYH224" s="1201"/>
      <c r="VYI224" s="1201"/>
      <c r="VYJ224" s="1201"/>
      <c r="VYK224" s="1201"/>
      <c r="VYL224" s="1201"/>
      <c r="VYM224" s="1201"/>
      <c r="VYN224" s="1201"/>
      <c r="VYO224" s="1201"/>
      <c r="VYP224" s="1201"/>
      <c r="VYQ224" s="1201"/>
      <c r="VYR224" s="1201"/>
      <c r="VYS224" s="1201"/>
      <c r="VYT224" s="1201"/>
      <c r="VYU224" s="1201"/>
      <c r="VYV224" s="1201"/>
      <c r="VYW224" s="1201"/>
      <c r="VYX224" s="1201"/>
      <c r="VYY224" s="1201"/>
      <c r="VYZ224" s="1201"/>
      <c r="VZA224" s="1201"/>
      <c r="VZB224" s="1201"/>
      <c r="VZC224" s="1201"/>
      <c r="VZD224" s="1201"/>
      <c r="VZE224" s="1201"/>
      <c r="VZF224" s="1201"/>
      <c r="VZG224" s="1201"/>
      <c r="VZH224" s="1201"/>
      <c r="VZI224" s="1201"/>
      <c r="VZJ224" s="1201"/>
      <c r="VZK224" s="1201"/>
      <c r="VZL224" s="1201"/>
      <c r="VZM224" s="1201"/>
      <c r="VZN224" s="1201"/>
      <c r="VZO224" s="1201"/>
      <c r="VZP224" s="1201"/>
      <c r="VZQ224" s="1201"/>
      <c r="VZR224" s="1201"/>
      <c r="VZS224" s="1201"/>
      <c r="VZT224" s="1201"/>
      <c r="VZU224" s="1201"/>
      <c r="VZV224" s="1201"/>
      <c r="VZW224" s="1201"/>
      <c r="VZX224" s="1201"/>
      <c r="VZY224" s="1201"/>
      <c r="VZZ224" s="1201"/>
      <c r="WAA224" s="1201"/>
      <c r="WAB224" s="1201"/>
      <c r="WAC224" s="1201"/>
      <c r="WAD224" s="1201"/>
      <c r="WAE224" s="1201"/>
      <c r="WAF224" s="1201"/>
      <c r="WAG224" s="1201"/>
      <c r="WAH224" s="1201"/>
      <c r="WAI224" s="1201"/>
      <c r="WAJ224" s="1201"/>
      <c r="WAK224" s="1201"/>
      <c r="WAL224" s="1201"/>
      <c r="WAM224" s="1201"/>
      <c r="WAN224" s="1201"/>
      <c r="WAO224" s="1201"/>
      <c r="WAP224" s="1201"/>
      <c r="WAQ224" s="1201"/>
      <c r="WAR224" s="1201"/>
      <c r="WAS224" s="1201"/>
      <c r="WAT224" s="1201"/>
      <c r="WAU224" s="1201"/>
      <c r="WAV224" s="1201"/>
      <c r="WAW224" s="1201"/>
      <c r="WAX224" s="1201"/>
      <c r="WAY224" s="1201"/>
      <c r="WAZ224" s="1201"/>
      <c r="WBA224" s="1201"/>
      <c r="WBB224" s="1201"/>
      <c r="WBC224" s="1201"/>
      <c r="WBD224" s="1201"/>
      <c r="WBE224" s="1201"/>
      <c r="WBF224" s="1201"/>
      <c r="WBG224" s="1201"/>
      <c r="WBH224" s="1201"/>
      <c r="WBI224" s="1201"/>
      <c r="WBJ224" s="1201"/>
      <c r="WBK224" s="1201"/>
      <c r="WBL224" s="1201"/>
      <c r="WBM224" s="1201"/>
      <c r="WBN224" s="1201"/>
      <c r="WBO224" s="1201"/>
      <c r="WBP224" s="1201"/>
      <c r="WBQ224" s="1201"/>
      <c r="WBR224" s="1201"/>
      <c r="WBS224" s="1201"/>
      <c r="WBT224" s="1201"/>
      <c r="WBU224" s="1201"/>
      <c r="WBV224" s="1201"/>
      <c r="WBW224" s="1201"/>
      <c r="WBX224" s="1201"/>
      <c r="WBY224" s="1201"/>
      <c r="WBZ224" s="1201"/>
      <c r="WCA224" s="1201"/>
      <c r="WCB224" s="1201"/>
      <c r="WCC224" s="1201"/>
      <c r="WCD224" s="1201"/>
      <c r="WCE224" s="1201"/>
      <c r="WCF224" s="1201"/>
      <c r="WCG224" s="1201"/>
      <c r="WCH224" s="1201"/>
      <c r="WCI224" s="1201"/>
      <c r="WCJ224" s="1201"/>
      <c r="WCK224" s="1201"/>
      <c r="WCL224" s="1201"/>
      <c r="WCM224" s="1201"/>
      <c r="WCN224" s="1201"/>
      <c r="WCO224" s="1201"/>
      <c r="WCP224" s="1201"/>
      <c r="WCQ224" s="1201"/>
      <c r="WCR224" s="1201"/>
      <c r="WCS224" s="1201"/>
      <c r="WCT224" s="1201"/>
      <c r="WCU224" s="1201"/>
      <c r="WCV224" s="1201"/>
      <c r="WCW224" s="1201"/>
      <c r="WCX224" s="1201"/>
      <c r="WCY224" s="1201"/>
      <c r="WCZ224" s="1201"/>
      <c r="WDA224" s="1201"/>
      <c r="WDB224" s="1201"/>
      <c r="WDC224" s="1201"/>
      <c r="WDD224" s="1201"/>
      <c r="WDE224" s="1201"/>
      <c r="WDF224" s="1201"/>
      <c r="WDG224" s="1201"/>
      <c r="WDH224" s="1201"/>
      <c r="WDI224" s="1201"/>
      <c r="WDJ224" s="1201"/>
      <c r="WDK224" s="1201"/>
      <c r="WDL224" s="1201"/>
      <c r="WDM224" s="1201"/>
      <c r="WDN224" s="1201"/>
      <c r="WDO224" s="1201"/>
      <c r="WDP224" s="1201"/>
      <c r="WDQ224" s="1201"/>
      <c r="WDR224" s="1201"/>
      <c r="WDS224" s="1201"/>
      <c r="WDT224" s="1201"/>
      <c r="WDU224" s="1201"/>
      <c r="WDV224" s="1201"/>
      <c r="WDW224" s="1201"/>
      <c r="WDX224" s="1201"/>
      <c r="WDY224" s="1201"/>
      <c r="WDZ224" s="1201"/>
      <c r="WEA224" s="1201"/>
      <c r="WEB224" s="1201"/>
      <c r="WEC224" s="1201"/>
      <c r="WED224" s="1201"/>
      <c r="WEE224" s="1201"/>
      <c r="WEF224" s="1201"/>
      <c r="WEG224" s="1201"/>
      <c r="WEH224" s="1201"/>
      <c r="WEI224" s="1201"/>
      <c r="WEJ224" s="1201"/>
      <c r="WEK224" s="1201"/>
      <c r="WEL224" s="1201"/>
      <c r="WEM224" s="1201"/>
      <c r="WEN224" s="1201"/>
      <c r="WEO224" s="1201"/>
      <c r="WEP224" s="1201"/>
      <c r="WEQ224" s="1201"/>
      <c r="WER224" s="1201"/>
      <c r="WES224" s="1201"/>
      <c r="WET224" s="1201"/>
      <c r="WEU224" s="1201"/>
      <c r="WEV224" s="1201"/>
      <c r="WEW224" s="1201"/>
      <c r="WEX224" s="1201"/>
      <c r="WEY224" s="1201"/>
      <c r="WEZ224" s="1201"/>
      <c r="WFA224" s="1201"/>
      <c r="WFB224" s="1201"/>
      <c r="WFC224" s="1201"/>
      <c r="WFD224" s="1201"/>
      <c r="WFE224" s="1201"/>
      <c r="WFF224" s="1201"/>
      <c r="WFG224" s="1201"/>
      <c r="WFH224" s="1201"/>
      <c r="WFI224" s="1201"/>
      <c r="WFJ224" s="1201"/>
      <c r="WFK224" s="1201"/>
      <c r="WFL224" s="1201"/>
      <c r="WFM224" s="1201"/>
      <c r="WFN224" s="1201"/>
      <c r="WFO224" s="1201"/>
      <c r="WFP224" s="1201"/>
      <c r="WFQ224" s="1201"/>
      <c r="WFR224" s="1201"/>
      <c r="WFS224" s="1201"/>
      <c r="WFT224" s="1201"/>
      <c r="WFU224" s="1201"/>
      <c r="WFV224" s="1201"/>
      <c r="WFW224" s="1201"/>
      <c r="WFX224" s="1201"/>
      <c r="WFY224" s="1201"/>
      <c r="WFZ224" s="1201"/>
      <c r="WGA224" s="1201"/>
      <c r="WGB224" s="1201"/>
      <c r="WGC224" s="1201"/>
      <c r="WGD224" s="1201"/>
      <c r="WGE224" s="1201"/>
      <c r="WGF224" s="1201"/>
      <c r="WGG224" s="1201"/>
      <c r="WGH224" s="1201"/>
      <c r="WGI224" s="1201"/>
      <c r="WGJ224" s="1201"/>
      <c r="WGK224" s="1201"/>
      <c r="WGL224" s="1201"/>
      <c r="WGM224" s="1201"/>
      <c r="WGN224" s="1201"/>
      <c r="WGO224" s="1201"/>
      <c r="WGP224" s="1201"/>
      <c r="WGQ224" s="1201"/>
      <c r="WGR224" s="1201"/>
      <c r="WGS224" s="1201"/>
      <c r="WGT224" s="1201"/>
      <c r="WGU224" s="1201"/>
      <c r="WGV224" s="1201"/>
      <c r="WGW224" s="1201"/>
      <c r="WGX224" s="1201"/>
      <c r="WGY224" s="1201"/>
      <c r="WGZ224" s="1201"/>
      <c r="WHA224" s="1201"/>
      <c r="WHB224" s="1201"/>
      <c r="WHC224" s="1201"/>
      <c r="WHD224" s="1201"/>
      <c r="WHE224" s="1201"/>
      <c r="WHF224" s="1201"/>
      <c r="WHG224" s="1201"/>
      <c r="WHH224" s="1201"/>
      <c r="WHI224" s="1201"/>
      <c r="WHJ224" s="1201"/>
      <c r="WHK224" s="1201"/>
      <c r="WHL224" s="1201"/>
      <c r="WHM224" s="1201"/>
      <c r="WHN224" s="1201"/>
      <c r="WHO224" s="1201"/>
      <c r="WHP224" s="1201"/>
      <c r="WHQ224" s="1201"/>
      <c r="WHR224" s="1201"/>
      <c r="WHS224" s="1201"/>
      <c r="WHT224" s="1201"/>
      <c r="WHU224" s="1201"/>
      <c r="WHV224" s="1201"/>
      <c r="WHW224" s="1201"/>
      <c r="WHX224" s="1201"/>
      <c r="WHY224" s="1201"/>
      <c r="WHZ224" s="1201"/>
      <c r="WIA224" s="1201"/>
      <c r="WIB224" s="1201"/>
      <c r="WIC224" s="1201"/>
      <c r="WID224" s="1201"/>
      <c r="WIE224" s="1201"/>
      <c r="WIF224" s="1201"/>
      <c r="WIG224" s="1201"/>
      <c r="WIH224" s="1201"/>
      <c r="WII224" s="1201"/>
      <c r="WIJ224" s="1201"/>
      <c r="WIK224" s="1201"/>
      <c r="WIL224" s="1201"/>
      <c r="WIM224" s="1201"/>
      <c r="WIN224" s="1201"/>
      <c r="WIO224" s="1201"/>
      <c r="WIP224" s="1201"/>
      <c r="WIQ224" s="1201"/>
      <c r="WIR224" s="1201"/>
      <c r="WIS224" s="1201"/>
      <c r="WIT224" s="1201"/>
      <c r="WIU224" s="1201"/>
      <c r="WIV224" s="1201"/>
      <c r="WIW224" s="1201"/>
      <c r="WIX224" s="1201"/>
      <c r="WIY224" s="1201"/>
      <c r="WIZ224" s="1201"/>
      <c r="WJA224" s="1201"/>
      <c r="WJB224" s="1201"/>
      <c r="WJC224" s="1201"/>
      <c r="WJD224" s="1201"/>
      <c r="WJE224" s="1201"/>
      <c r="WJF224" s="1201"/>
      <c r="WJG224" s="1201"/>
      <c r="WJH224" s="1201"/>
      <c r="WJI224" s="1201"/>
      <c r="WJJ224" s="1201"/>
      <c r="WJK224" s="1201"/>
      <c r="WJL224" s="1201"/>
      <c r="WJM224" s="1201"/>
      <c r="WJN224" s="1201"/>
      <c r="WJO224" s="1201"/>
      <c r="WJP224" s="1201"/>
      <c r="WJQ224" s="1201"/>
      <c r="WJR224" s="1201"/>
      <c r="WJS224" s="1201"/>
      <c r="WJT224" s="1201"/>
      <c r="WJU224" s="1201"/>
      <c r="WJV224" s="1201"/>
      <c r="WJW224" s="1201"/>
      <c r="WJX224" s="1201"/>
      <c r="WJY224" s="1201"/>
      <c r="WJZ224" s="1201"/>
      <c r="WKA224" s="1201"/>
      <c r="WKB224" s="1201"/>
      <c r="WKC224" s="1201"/>
      <c r="WKD224" s="1201"/>
      <c r="WKE224" s="1201"/>
      <c r="WKF224" s="1201"/>
      <c r="WKG224" s="1201"/>
      <c r="WKH224" s="1201"/>
      <c r="WKI224" s="1201"/>
      <c r="WKJ224" s="1201"/>
      <c r="WKK224" s="1201"/>
      <c r="WKL224" s="1201"/>
      <c r="WKM224" s="1201"/>
      <c r="WKN224" s="1201"/>
      <c r="WKO224" s="1201"/>
      <c r="WKP224" s="1201"/>
      <c r="WKQ224" s="1201"/>
      <c r="WKR224" s="1201"/>
      <c r="WKS224" s="1201"/>
      <c r="WKT224" s="1201"/>
      <c r="WKU224" s="1201"/>
      <c r="WKV224" s="1201"/>
      <c r="WKW224" s="1201"/>
      <c r="WKX224" s="1201"/>
      <c r="WKY224" s="1201"/>
      <c r="WKZ224" s="1201"/>
      <c r="WLA224" s="1201"/>
      <c r="WLB224" s="1201"/>
      <c r="WLC224" s="1201"/>
      <c r="WLD224" s="1201"/>
      <c r="WLE224" s="1201"/>
      <c r="WLF224" s="1201"/>
      <c r="WLG224" s="1201"/>
      <c r="WLH224" s="1201"/>
      <c r="WLI224" s="1201"/>
      <c r="WLJ224" s="1201"/>
      <c r="WLK224" s="1201"/>
      <c r="WLL224" s="1201"/>
      <c r="WLM224" s="1201"/>
      <c r="WLN224" s="1201"/>
      <c r="WLO224" s="1201"/>
      <c r="WLP224" s="1201"/>
      <c r="WLQ224" s="1201"/>
      <c r="WLR224" s="1201"/>
      <c r="WLS224" s="1201"/>
      <c r="WLT224" s="1201"/>
      <c r="WLU224" s="1201"/>
      <c r="WLV224" s="1201"/>
      <c r="WLW224" s="1201"/>
      <c r="WLX224" s="1201"/>
      <c r="WLY224" s="1201"/>
      <c r="WLZ224" s="1201"/>
      <c r="WMA224" s="1201"/>
      <c r="WMB224" s="1201"/>
      <c r="WMC224" s="1201"/>
      <c r="WMD224" s="1201"/>
      <c r="WME224" s="1201"/>
      <c r="WMF224" s="1201"/>
      <c r="WMG224" s="1201"/>
      <c r="WMH224" s="1201"/>
      <c r="WMI224" s="1201"/>
      <c r="WMJ224" s="1201"/>
      <c r="WMK224" s="1201"/>
      <c r="WML224" s="1201"/>
      <c r="WMM224" s="1201"/>
      <c r="WMN224" s="1201"/>
      <c r="WMO224" s="1201"/>
      <c r="WMP224" s="1201"/>
      <c r="WMQ224" s="1201"/>
      <c r="WMR224" s="1201"/>
      <c r="WMS224" s="1201"/>
      <c r="WMT224" s="1201"/>
      <c r="WMU224" s="1201"/>
      <c r="WMV224" s="1201"/>
      <c r="WMW224" s="1201"/>
      <c r="WMX224" s="1201"/>
      <c r="WMY224" s="1201"/>
      <c r="WMZ224" s="1201"/>
      <c r="WNA224" s="1201"/>
      <c r="WNB224" s="1201"/>
      <c r="WNC224" s="1201"/>
      <c r="WND224" s="1201"/>
      <c r="WNE224" s="1201"/>
      <c r="WNF224" s="1201"/>
      <c r="WNG224" s="1201"/>
      <c r="WNH224" s="1201"/>
      <c r="WNI224" s="1201"/>
      <c r="WNJ224" s="1201"/>
      <c r="WNK224" s="1201"/>
      <c r="WNL224" s="1201"/>
      <c r="WNM224" s="1201"/>
      <c r="WNN224" s="1201"/>
      <c r="WNO224" s="1201"/>
      <c r="WNP224" s="1201"/>
      <c r="WNQ224" s="1201"/>
      <c r="WNR224" s="1201"/>
      <c r="WNS224" s="1201"/>
      <c r="WNT224" s="1201"/>
      <c r="WNU224" s="1201"/>
      <c r="WNV224" s="1201"/>
      <c r="WNW224" s="1201"/>
      <c r="WNX224" s="1201"/>
      <c r="WNY224" s="1201"/>
      <c r="WNZ224" s="1201"/>
      <c r="WOA224" s="1201"/>
      <c r="WOB224" s="1201"/>
      <c r="WOC224" s="1201"/>
      <c r="WOD224" s="1201"/>
      <c r="WOE224" s="1201"/>
      <c r="WOF224" s="1201"/>
      <c r="WOG224" s="1201"/>
      <c r="WOH224" s="1201"/>
      <c r="WOI224" s="1201"/>
      <c r="WOJ224" s="1201"/>
      <c r="WOK224" s="1201"/>
      <c r="WOL224" s="1201"/>
      <c r="WOM224" s="1201"/>
      <c r="WON224" s="1201"/>
      <c r="WOO224" s="1201"/>
      <c r="WOP224" s="1201"/>
      <c r="WOQ224" s="1201"/>
      <c r="WOR224" s="1201"/>
      <c r="WOS224" s="1201"/>
      <c r="WOT224" s="1201"/>
      <c r="WOU224" s="1201"/>
      <c r="WOV224" s="1201"/>
      <c r="WOW224" s="1201"/>
      <c r="WOX224" s="1201"/>
      <c r="WOY224" s="1201"/>
      <c r="WOZ224" s="1201"/>
      <c r="WPA224" s="1201"/>
      <c r="WPB224" s="1201"/>
      <c r="WPC224" s="1201"/>
      <c r="WPD224" s="1201"/>
      <c r="WPE224" s="1201"/>
      <c r="WPF224" s="1201"/>
      <c r="WPG224" s="1201"/>
      <c r="WPH224" s="1201"/>
      <c r="WPI224" s="1201"/>
      <c r="WPJ224" s="1201"/>
      <c r="WPK224" s="1201"/>
      <c r="WPL224" s="1201"/>
      <c r="WPM224" s="1201"/>
      <c r="WPN224" s="1201"/>
      <c r="WPO224" s="1201"/>
      <c r="WPP224" s="1201"/>
      <c r="WPQ224" s="1201"/>
      <c r="WPR224" s="1201"/>
      <c r="WPS224" s="1201"/>
      <c r="WPT224" s="1201"/>
      <c r="WPU224" s="1201"/>
      <c r="WPV224" s="1201"/>
      <c r="WPW224" s="1201"/>
      <c r="WPX224" s="1201"/>
      <c r="WPY224" s="1201"/>
      <c r="WPZ224" s="1201"/>
      <c r="WQA224" s="1201"/>
      <c r="WQB224" s="1201"/>
      <c r="WQC224" s="1201"/>
      <c r="WQD224" s="1201"/>
      <c r="WQE224" s="1201"/>
      <c r="WQF224" s="1201"/>
      <c r="WQG224" s="1201"/>
      <c r="WQH224" s="1201"/>
      <c r="WQI224" s="1201"/>
      <c r="WQJ224" s="1201"/>
      <c r="WQK224" s="1201"/>
      <c r="WQL224" s="1201"/>
      <c r="WQM224" s="1201"/>
      <c r="WQN224" s="1201"/>
      <c r="WQO224" s="1201"/>
      <c r="WQP224" s="1201"/>
      <c r="WQQ224" s="1201"/>
      <c r="WQR224" s="1201"/>
      <c r="WQS224" s="1201"/>
      <c r="WQT224" s="1201"/>
      <c r="WQU224" s="1201"/>
      <c r="WQV224" s="1201"/>
      <c r="WQW224" s="1201"/>
      <c r="WQX224" s="1201"/>
      <c r="WQY224" s="1201"/>
      <c r="WQZ224" s="1201"/>
      <c r="WRA224" s="1201"/>
      <c r="WRB224" s="1201"/>
      <c r="WRC224" s="1201"/>
      <c r="WRD224" s="1201"/>
      <c r="WRE224" s="1201"/>
      <c r="WRF224" s="1201"/>
      <c r="WRG224" s="1201"/>
      <c r="WRH224" s="1201"/>
      <c r="WRI224" s="1201"/>
      <c r="WRJ224" s="1201"/>
      <c r="WRK224" s="1201"/>
      <c r="WRL224" s="1201"/>
      <c r="WRM224" s="1201"/>
      <c r="WRN224" s="1201"/>
      <c r="WRO224" s="1201"/>
      <c r="WRP224" s="1201"/>
      <c r="WRQ224" s="1201"/>
      <c r="WRR224" s="1201"/>
      <c r="WRS224" s="1201"/>
      <c r="WRT224" s="1201"/>
      <c r="WRU224" s="1201"/>
      <c r="WRV224" s="1201"/>
      <c r="WRW224" s="1201"/>
      <c r="WRX224" s="1201"/>
      <c r="WRY224" s="1201"/>
      <c r="WRZ224" s="1201"/>
      <c r="WSA224" s="1201"/>
      <c r="WSB224" s="1201"/>
      <c r="WSC224" s="1201"/>
      <c r="WSD224" s="1201"/>
      <c r="WSE224" s="1201"/>
      <c r="WSF224" s="1201"/>
      <c r="WSG224" s="1201"/>
      <c r="WSH224" s="1201"/>
      <c r="WSI224" s="1201"/>
      <c r="WSJ224" s="1201"/>
      <c r="WSK224" s="1201"/>
      <c r="WSL224" s="1201"/>
      <c r="WSM224" s="1201"/>
      <c r="WSN224" s="1201"/>
      <c r="WSO224" s="1201"/>
      <c r="WSP224" s="1201"/>
      <c r="WSQ224" s="1201"/>
      <c r="WSR224" s="1201"/>
      <c r="WSS224" s="1201"/>
      <c r="WST224" s="1201"/>
      <c r="WSU224" s="1201"/>
      <c r="WSV224" s="1201"/>
      <c r="WSW224" s="1201"/>
      <c r="WSX224" s="1201"/>
      <c r="WSY224" s="1201"/>
      <c r="WSZ224" s="1201"/>
      <c r="WTA224" s="1201"/>
      <c r="WTB224" s="1201"/>
      <c r="WTC224" s="1201"/>
      <c r="WTD224" s="1201"/>
      <c r="WTE224" s="1201"/>
      <c r="WTF224" s="1201"/>
      <c r="WTG224" s="1201"/>
      <c r="WTH224" s="1201"/>
      <c r="WTI224" s="1201"/>
      <c r="WTJ224" s="1201"/>
      <c r="WTK224" s="1201"/>
      <c r="WTL224" s="1201"/>
      <c r="WTM224" s="1201"/>
      <c r="WTN224" s="1201"/>
      <c r="WTO224" s="1201"/>
      <c r="WTP224" s="1201"/>
      <c r="WTQ224" s="1201"/>
      <c r="WTR224" s="1201"/>
      <c r="WTS224" s="1201"/>
      <c r="WTT224" s="1201"/>
      <c r="WTU224" s="1201"/>
      <c r="WTV224" s="1201"/>
      <c r="WTW224" s="1201"/>
      <c r="WTX224" s="1201"/>
      <c r="WTY224" s="1201"/>
      <c r="WTZ224" s="1201"/>
      <c r="WUA224" s="1201"/>
      <c r="WUB224" s="1201"/>
      <c r="WUC224" s="1201"/>
      <c r="WUD224" s="1201"/>
      <c r="WUE224" s="1201"/>
      <c r="WUF224" s="1201"/>
      <c r="WUG224" s="1201"/>
      <c r="WUH224" s="1201"/>
      <c r="WUI224" s="1201"/>
      <c r="WUJ224" s="1201"/>
      <c r="WUK224" s="1201"/>
      <c r="WUL224" s="1201"/>
      <c r="WUM224" s="1201"/>
      <c r="WUN224" s="1201"/>
      <c r="WUO224" s="1201"/>
      <c r="WUP224" s="1201"/>
      <c r="WUQ224" s="1201"/>
      <c r="WUR224" s="1201"/>
      <c r="WUS224" s="1201"/>
      <c r="WUT224" s="1201"/>
      <c r="WUU224" s="1201"/>
      <c r="WUV224" s="1201"/>
      <c r="WUW224" s="1201"/>
      <c r="WUX224" s="1201"/>
      <c r="WUY224" s="1201"/>
      <c r="WUZ224" s="1201"/>
      <c r="WVA224" s="1201"/>
      <c r="WVB224" s="1201"/>
      <c r="WVC224" s="1201"/>
      <c r="WVD224" s="1201"/>
      <c r="WVE224" s="1201"/>
      <c r="WVF224" s="1201"/>
      <c r="WVG224" s="1201"/>
      <c r="WVH224" s="1201"/>
      <c r="WVI224" s="1201"/>
      <c r="WVJ224" s="1201"/>
      <c r="WVK224" s="1201"/>
      <c r="WVL224" s="1201"/>
      <c r="WVM224" s="1201"/>
      <c r="WVN224" s="1201"/>
      <c r="WVO224" s="1201"/>
      <c r="WVP224" s="1201"/>
      <c r="WVQ224" s="1201"/>
      <c r="WVR224" s="1201"/>
      <c r="WVS224" s="1201"/>
      <c r="WVT224" s="1201"/>
      <c r="WVU224" s="1201"/>
      <c r="WVV224" s="1201"/>
      <c r="WVW224" s="1201"/>
      <c r="WVX224" s="1201"/>
      <c r="WVY224" s="1201"/>
      <c r="WVZ224" s="1201"/>
      <c r="WWA224" s="1201"/>
      <c r="WWB224" s="1201"/>
      <c r="WWC224" s="1201"/>
      <c r="WWD224" s="1201"/>
      <c r="WWE224" s="1201"/>
      <c r="WWF224" s="1201"/>
      <c r="WWG224" s="1201"/>
      <c r="WWH224" s="1201"/>
      <c r="WWI224" s="1201"/>
      <c r="WWJ224" s="1201"/>
      <c r="WWK224" s="1201"/>
      <c r="WWL224" s="1201"/>
      <c r="WWM224" s="1201"/>
      <c r="WWN224" s="1201"/>
      <c r="WWO224" s="1201"/>
      <c r="WWP224" s="1201"/>
      <c r="WWQ224" s="1201"/>
      <c r="WWR224" s="1201"/>
      <c r="WWS224" s="1201"/>
      <c r="WWT224" s="1201"/>
      <c r="WWU224" s="1201"/>
      <c r="WWV224" s="1201"/>
      <c r="WWW224" s="1201"/>
      <c r="WWX224" s="1201"/>
      <c r="WWY224" s="1201"/>
      <c r="WWZ224" s="1201"/>
      <c r="WXA224" s="1201"/>
      <c r="WXB224" s="1201"/>
      <c r="WXC224" s="1201"/>
      <c r="WXD224" s="1201"/>
      <c r="WXE224" s="1201"/>
      <c r="WXF224" s="1201"/>
      <c r="WXG224" s="1201"/>
      <c r="WXH224" s="1201"/>
      <c r="WXI224" s="1201"/>
      <c r="WXJ224" s="1201"/>
      <c r="WXK224" s="1201"/>
      <c r="WXL224" s="1201"/>
      <c r="WXM224" s="1201"/>
      <c r="WXN224" s="1201"/>
      <c r="WXO224" s="1201"/>
      <c r="WXP224" s="1201"/>
      <c r="WXQ224" s="1201"/>
      <c r="WXR224" s="1201"/>
      <c r="WXS224" s="1201"/>
      <c r="WXT224" s="1201"/>
      <c r="WXU224" s="1201"/>
      <c r="WXV224" s="1201"/>
      <c r="WXW224" s="1201"/>
      <c r="WXX224" s="1201"/>
      <c r="WXY224" s="1201"/>
      <c r="WXZ224" s="1201"/>
      <c r="WYA224" s="1201"/>
      <c r="WYB224" s="1201"/>
      <c r="WYC224" s="1201"/>
      <c r="WYD224" s="1201"/>
      <c r="WYE224" s="1201"/>
      <c r="WYF224" s="1201"/>
      <c r="WYG224" s="1201"/>
      <c r="WYH224" s="1201"/>
      <c r="WYI224" s="1201"/>
      <c r="WYJ224" s="1201"/>
      <c r="WYK224" s="1201"/>
      <c r="WYL224" s="1201"/>
      <c r="WYM224" s="1201"/>
      <c r="WYN224" s="1201"/>
      <c r="WYO224" s="1201"/>
      <c r="WYP224" s="1201"/>
      <c r="WYQ224" s="1201"/>
      <c r="WYR224" s="1201"/>
      <c r="WYS224" s="1201"/>
      <c r="WYT224" s="1201"/>
      <c r="WYU224" s="1201"/>
      <c r="WYV224" s="1201"/>
      <c r="WYW224" s="1201"/>
      <c r="WYX224" s="1201"/>
      <c r="WYY224" s="1201"/>
      <c r="WYZ224" s="1201"/>
      <c r="WZA224" s="1201"/>
      <c r="WZB224" s="1201"/>
      <c r="WZC224" s="1201"/>
      <c r="WZD224" s="1201"/>
      <c r="WZE224" s="1201"/>
      <c r="WZF224" s="1201"/>
      <c r="WZG224" s="1201"/>
      <c r="WZH224" s="1201"/>
      <c r="WZI224" s="1201"/>
      <c r="WZJ224" s="1201"/>
      <c r="WZK224" s="1201"/>
      <c r="WZL224" s="1201"/>
      <c r="WZM224" s="1201"/>
      <c r="WZN224" s="1201"/>
      <c r="WZO224" s="1201"/>
      <c r="WZP224" s="1201"/>
      <c r="WZQ224" s="1201"/>
      <c r="WZR224" s="1201"/>
      <c r="WZS224" s="1201"/>
      <c r="WZT224" s="1201"/>
      <c r="WZU224" s="1201"/>
      <c r="WZV224" s="1201"/>
      <c r="WZW224" s="1201"/>
      <c r="WZX224" s="1201"/>
      <c r="WZY224" s="1201"/>
      <c r="WZZ224" s="1201"/>
      <c r="XAA224" s="1201"/>
      <c r="XAB224" s="1201"/>
      <c r="XAC224" s="1201"/>
      <c r="XAD224" s="1201"/>
      <c r="XAE224" s="1201"/>
      <c r="XAF224" s="1201"/>
      <c r="XAG224" s="1201"/>
      <c r="XAH224" s="1201"/>
      <c r="XAI224" s="1201"/>
      <c r="XAJ224" s="1201"/>
      <c r="XAK224" s="1201"/>
      <c r="XAL224" s="1201"/>
      <c r="XAM224" s="1201"/>
      <c r="XAN224" s="1201"/>
      <c r="XAO224" s="1201"/>
      <c r="XAP224" s="1201"/>
      <c r="XAQ224" s="1201"/>
      <c r="XAR224" s="1201"/>
      <c r="XAS224" s="1201"/>
      <c r="XAT224" s="1201"/>
      <c r="XAU224" s="1201"/>
      <c r="XAV224" s="1201"/>
      <c r="XAW224" s="1201"/>
      <c r="XAX224" s="1201"/>
      <c r="XAY224" s="1201"/>
      <c r="XAZ224" s="1201"/>
      <c r="XBA224" s="1201"/>
      <c r="XBB224" s="1201"/>
      <c r="XBC224" s="1201"/>
      <c r="XBD224" s="1201"/>
      <c r="XBE224" s="1201"/>
      <c r="XBF224" s="1201"/>
      <c r="XBG224" s="1201"/>
      <c r="XBH224" s="1201"/>
      <c r="XBI224" s="1201"/>
      <c r="XBJ224" s="1201"/>
      <c r="XBK224" s="1201"/>
      <c r="XBL224" s="1201"/>
      <c r="XBM224" s="1201"/>
      <c r="XBN224" s="1201"/>
      <c r="XBO224" s="1201"/>
      <c r="XBP224" s="1201"/>
      <c r="XBQ224" s="1201"/>
      <c r="XBR224" s="1201"/>
      <c r="XBS224" s="1201"/>
      <c r="XBT224" s="1201"/>
      <c r="XBU224" s="1201"/>
      <c r="XBV224" s="1201"/>
      <c r="XBW224" s="1201"/>
      <c r="XBX224" s="1201"/>
      <c r="XBY224" s="1201"/>
      <c r="XBZ224" s="1201"/>
      <c r="XCA224" s="1201"/>
      <c r="XCB224" s="1201"/>
      <c r="XCC224" s="1201"/>
      <c r="XCD224" s="1201"/>
      <c r="XCE224" s="1201"/>
      <c r="XCF224" s="1201"/>
      <c r="XCG224" s="1201"/>
      <c r="XCH224" s="1201"/>
      <c r="XCI224" s="1201"/>
      <c r="XCJ224" s="1201"/>
      <c r="XCK224" s="1201"/>
      <c r="XCL224" s="1201"/>
      <c r="XCM224" s="1201"/>
      <c r="XCN224" s="1201"/>
      <c r="XCO224" s="1201"/>
      <c r="XCP224" s="1201"/>
      <c r="XCQ224" s="1201"/>
      <c r="XCR224" s="1201"/>
      <c r="XCS224" s="1201"/>
      <c r="XCT224" s="1201"/>
      <c r="XCU224" s="1201"/>
      <c r="XCV224" s="1201"/>
      <c r="XCW224" s="1201"/>
      <c r="XCX224" s="1201"/>
      <c r="XCY224" s="1201"/>
      <c r="XCZ224" s="1201"/>
      <c r="XDA224" s="1201"/>
      <c r="XDB224" s="1201"/>
      <c r="XDC224" s="1201"/>
      <c r="XDD224" s="1201"/>
      <c r="XDE224" s="1201"/>
      <c r="XDF224" s="1201"/>
      <c r="XDG224" s="1201"/>
      <c r="XDH224" s="1201"/>
      <c r="XDI224" s="1201"/>
      <c r="XDJ224" s="1201"/>
      <c r="XDK224" s="1201"/>
      <c r="XDL224" s="1201"/>
      <c r="XDM224" s="1201"/>
      <c r="XDN224" s="1201"/>
      <c r="XDO224" s="1201"/>
      <c r="XDP224" s="1201"/>
      <c r="XDQ224" s="1201"/>
      <c r="XDR224" s="1201"/>
      <c r="XDS224" s="1201"/>
      <c r="XDT224" s="1201"/>
      <c r="XDU224" s="1201"/>
      <c r="XDV224" s="1201"/>
      <c r="XDW224" s="1201"/>
      <c r="XDX224" s="1201"/>
      <c r="XDY224" s="1201"/>
      <c r="XDZ224" s="1201"/>
      <c r="XEA224" s="1201"/>
      <c r="XEB224" s="1201"/>
      <c r="XEC224" s="1201"/>
      <c r="XED224" s="1201"/>
      <c r="XEE224" s="1201"/>
      <c r="XEF224" s="1201"/>
      <c r="XEG224" s="1201"/>
      <c r="XEH224" s="1201"/>
      <c r="XEI224" s="1201"/>
      <c r="XEJ224" s="1201"/>
      <c r="XEK224" s="1201"/>
      <c r="XEL224" s="1201"/>
      <c r="XEM224" s="1201"/>
      <c r="XEN224" s="1201"/>
      <c r="XEO224" s="1201"/>
      <c r="XEP224" s="1201"/>
      <c r="XEQ224" s="1201"/>
      <c r="XER224" s="1201"/>
    </row>
    <row r="225" spans="1:16372" s="892" customFormat="1" ht="14" x14ac:dyDescent="0.3">
      <c r="B225" s="1763" t="s">
        <v>233</v>
      </c>
      <c r="C225" s="1766"/>
      <c r="D225" s="1763" t="s">
        <v>1319</v>
      </c>
      <c r="E225" s="1763"/>
      <c r="F225" s="2218"/>
      <c r="G225" s="2218"/>
      <c r="H225" s="2218"/>
      <c r="I225" s="2218"/>
      <c r="J225" s="2218"/>
      <c r="K225" s="2218"/>
      <c r="L225" s="2222"/>
      <c r="M225" s="2219"/>
      <c r="N225" s="1201"/>
      <c r="O225" s="1201"/>
      <c r="P225" s="1201" t="s">
        <v>1934</v>
      </c>
      <c r="Q225" s="1201"/>
      <c r="R225" s="1552">
        <f>SUM(R224:W224)</f>
        <v>0</v>
      </c>
      <c r="S225" s="1201"/>
      <c r="T225" s="1201"/>
      <c r="U225" s="1201"/>
      <c r="V225" s="1201"/>
      <c r="W225" s="1201"/>
      <c r="X225" s="1201"/>
      <c r="Y225" s="1201"/>
      <c r="Z225" s="1201"/>
      <c r="AA225" s="1201"/>
      <c r="AB225" s="1201"/>
      <c r="AC225" s="1201"/>
      <c r="AD225" s="1201"/>
      <c r="AE225" s="1201"/>
      <c r="AF225" s="1201"/>
      <c r="AG225" s="892">
        <v>6</v>
      </c>
      <c r="AH225" s="2214" t="s">
        <v>919</v>
      </c>
      <c r="AI225" s="581">
        <v>81.86</v>
      </c>
      <c r="AJ225" s="581">
        <v>10.35</v>
      </c>
      <c r="AK225" s="581">
        <v>2.5299999999999998</v>
      </c>
      <c r="AL225" s="581">
        <v>1.54</v>
      </c>
      <c r="AM225" s="581"/>
      <c r="AN225" s="581">
        <v>3.72</v>
      </c>
      <c r="AO225" s="581"/>
      <c r="AP225" s="1762">
        <v>8.9453499999999995</v>
      </c>
      <c r="AQ225" s="1271"/>
      <c r="AR225" s="1201"/>
      <c r="AS225" s="1201"/>
      <c r="AT225" s="1201"/>
      <c r="AU225" s="1201"/>
      <c r="AV225" s="1201" t="s">
        <v>223</v>
      </c>
      <c r="AW225" s="1201"/>
      <c r="AX225" s="1201">
        <f>SUM(AX220:AX224)</f>
        <v>99.999999999999986</v>
      </c>
      <c r="AY225" s="1201">
        <f>SUM(AY220:AY224)</f>
        <v>957.50999999999988</v>
      </c>
      <c r="AZ225" s="1201"/>
      <c r="BA225" s="1201"/>
      <c r="BB225" s="1201"/>
      <c r="BC225" s="1201"/>
      <c r="BD225" s="1201"/>
      <c r="BE225" s="1201"/>
      <c r="BF225" s="1201"/>
      <c r="BG225" s="1201"/>
      <c r="BH225" s="1201"/>
      <c r="BI225" s="1201"/>
      <c r="BJ225" s="1201"/>
      <c r="BK225" s="1201"/>
      <c r="BL225" s="1201"/>
      <c r="BM225" s="1201"/>
      <c r="BN225" s="1201"/>
      <c r="BO225" s="1201"/>
      <c r="BP225" s="1201"/>
      <c r="BQ225" s="1201"/>
      <c r="BR225" s="1201"/>
      <c r="BS225" s="1201"/>
      <c r="BT225" s="1201"/>
      <c r="BU225" s="1201"/>
      <c r="BV225" s="1201"/>
      <c r="BW225" s="1201"/>
      <c r="BX225" s="1201"/>
      <c r="BY225" s="1201"/>
      <c r="BZ225" s="1201"/>
      <c r="CA225" s="1201"/>
      <c r="CB225" s="1201"/>
      <c r="CC225" s="1201"/>
      <c r="CD225" s="1201"/>
      <c r="CE225" s="1201"/>
      <c r="CF225" s="1201"/>
      <c r="CG225" s="1201"/>
      <c r="CH225" s="1201"/>
      <c r="CI225" s="1201"/>
      <c r="CJ225" s="1201"/>
      <c r="CK225" s="1201"/>
      <c r="CL225" s="1201"/>
      <c r="CM225" s="1201"/>
      <c r="CN225" s="1201"/>
      <c r="CO225" s="1201"/>
      <c r="CP225" s="1201"/>
      <c r="CQ225" s="1201"/>
      <c r="CR225" s="1201"/>
      <c r="CS225" s="1201"/>
      <c r="CT225" s="1201"/>
      <c r="CU225" s="1201"/>
      <c r="CV225" s="1201"/>
      <c r="CW225" s="1201"/>
      <c r="CX225" s="1201"/>
      <c r="CY225" s="1201"/>
      <c r="CZ225" s="1201"/>
      <c r="DA225" s="1201"/>
      <c r="DB225" s="1201"/>
      <c r="DC225" s="1201"/>
      <c r="DD225" s="1201"/>
      <c r="DE225" s="1201"/>
      <c r="DF225" s="1201"/>
      <c r="DG225" s="1201"/>
      <c r="DH225" s="1201"/>
      <c r="DI225" s="1201"/>
      <c r="DJ225" s="1201"/>
      <c r="DK225" s="1201"/>
      <c r="DL225" s="1201"/>
      <c r="DM225" s="1201"/>
      <c r="DN225" s="1201"/>
      <c r="DO225" s="1201"/>
      <c r="DP225" s="1201"/>
      <c r="DQ225" s="1201"/>
      <c r="DR225" s="1201"/>
      <c r="DS225" s="1201"/>
      <c r="DT225" s="1201"/>
      <c r="DU225" s="1201"/>
      <c r="DV225" s="1201"/>
      <c r="DW225" s="1201"/>
      <c r="DX225" s="1201"/>
      <c r="DY225" s="1201"/>
      <c r="DZ225" s="1201"/>
      <c r="EA225" s="1201"/>
      <c r="EB225" s="1201"/>
      <c r="EC225" s="1201"/>
      <c r="ED225" s="1201"/>
      <c r="EE225" s="1201"/>
      <c r="EF225" s="1201"/>
      <c r="EG225" s="1201"/>
      <c r="EH225" s="1201"/>
      <c r="EI225" s="1201"/>
      <c r="EJ225" s="1201"/>
      <c r="EK225" s="1201"/>
      <c r="EL225" s="1201"/>
      <c r="EM225" s="1201"/>
      <c r="EN225" s="1201"/>
      <c r="EO225" s="1201"/>
      <c r="EP225" s="1201"/>
      <c r="EQ225" s="1201"/>
      <c r="ER225" s="1201"/>
      <c r="ES225" s="1201"/>
      <c r="ET225" s="1201"/>
      <c r="EU225" s="1201"/>
      <c r="EV225" s="1201"/>
      <c r="EW225" s="1201"/>
      <c r="EX225" s="1201"/>
      <c r="EY225" s="1201"/>
      <c r="EZ225" s="1201"/>
      <c r="FA225" s="1201"/>
      <c r="FB225" s="1201"/>
      <c r="FC225" s="1201"/>
      <c r="FD225" s="1201"/>
      <c r="FE225" s="1201"/>
      <c r="FF225" s="1201"/>
      <c r="FG225" s="1201"/>
      <c r="FH225" s="1201"/>
      <c r="FI225" s="1201"/>
      <c r="FJ225" s="1201"/>
      <c r="FK225" s="1201"/>
      <c r="FL225" s="1201"/>
      <c r="FM225" s="1201"/>
      <c r="FN225" s="1201"/>
      <c r="FO225" s="1201"/>
      <c r="FP225" s="1201"/>
      <c r="FQ225" s="1201"/>
      <c r="FR225" s="1201"/>
      <c r="FS225" s="1201"/>
      <c r="FT225" s="1201"/>
      <c r="FU225" s="1201"/>
      <c r="FV225" s="1201"/>
      <c r="FW225" s="1201"/>
      <c r="FX225" s="1201"/>
      <c r="FY225" s="1201"/>
      <c r="FZ225" s="1201"/>
      <c r="GA225" s="1201"/>
      <c r="GB225" s="1201"/>
      <c r="GC225" s="1201"/>
      <c r="GD225" s="1201"/>
      <c r="GE225" s="1201"/>
      <c r="GF225" s="1201"/>
      <c r="GG225" s="1201"/>
      <c r="GH225" s="1201"/>
      <c r="GI225" s="1201"/>
      <c r="GJ225" s="1201"/>
      <c r="GK225" s="1201"/>
      <c r="GL225" s="1201"/>
      <c r="GM225" s="1201"/>
      <c r="GN225" s="1201"/>
      <c r="GO225" s="1201"/>
      <c r="GP225" s="1201"/>
      <c r="GQ225" s="1201"/>
      <c r="GR225" s="1201"/>
      <c r="GS225" s="1201"/>
      <c r="GT225" s="1201"/>
      <c r="GU225" s="1201"/>
      <c r="GV225" s="1201"/>
      <c r="GW225" s="1201"/>
      <c r="GX225" s="1201"/>
      <c r="GY225" s="1201"/>
      <c r="GZ225" s="1201"/>
      <c r="HA225" s="1201"/>
      <c r="HB225" s="1201"/>
      <c r="HC225" s="1201"/>
      <c r="HD225" s="1201"/>
      <c r="HE225" s="1201"/>
      <c r="HF225" s="1201"/>
      <c r="HG225" s="1201"/>
      <c r="HH225" s="1201"/>
      <c r="HI225" s="1201"/>
      <c r="HJ225" s="1201"/>
      <c r="HK225" s="1201"/>
      <c r="HL225" s="1201"/>
      <c r="HM225" s="1201"/>
      <c r="HN225" s="1201"/>
      <c r="HO225" s="1201"/>
      <c r="HP225" s="1201"/>
      <c r="HQ225" s="1201"/>
      <c r="HR225" s="1201"/>
      <c r="HS225" s="1201"/>
      <c r="HT225" s="1201"/>
      <c r="HU225" s="1201"/>
      <c r="HV225" s="1201"/>
      <c r="HW225" s="1201"/>
      <c r="HX225" s="1201"/>
      <c r="HY225" s="1201"/>
      <c r="HZ225" s="1201"/>
      <c r="IA225" s="1201"/>
      <c r="IB225" s="1201"/>
      <c r="IC225" s="1201"/>
      <c r="ID225" s="1201"/>
      <c r="IE225" s="1201"/>
      <c r="IF225" s="1201"/>
      <c r="IG225" s="1201"/>
      <c r="IH225" s="1201"/>
      <c r="II225" s="1201"/>
      <c r="IJ225" s="1201"/>
      <c r="IK225" s="1201"/>
      <c r="IL225" s="1201"/>
      <c r="IM225" s="1201"/>
      <c r="IN225" s="1201"/>
      <c r="IO225" s="1201"/>
      <c r="IP225" s="1201"/>
      <c r="IQ225" s="1201"/>
      <c r="IR225" s="1201"/>
      <c r="IS225" s="1201"/>
      <c r="IT225" s="1201"/>
      <c r="IU225" s="1201"/>
      <c r="IV225" s="1201"/>
      <c r="IW225" s="1201"/>
      <c r="IX225" s="1201"/>
      <c r="IY225" s="1201"/>
      <c r="IZ225" s="1201"/>
      <c r="JA225" s="1201"/>
      <c r="JB225" s="1201"/>
      <c r="JC225" s="1201"/>
      <c r="JD225" s="1201"/>
      <c r="JE225" s="1201"/>
      <c r="JF225" s="1201"/>
      <c r="JG225" s="1201"/>
      <c r="JH225" s="1201"/>
      <c r="JI225" s="1201"/>
      <c r="JJ225" s="1201"/>
      <c r="JK225" s="1201"/>
      <c r="JL225" s="1201"/>
      <c r="JM225" s="1201"/>
      <c r="JN225" s="1201"/>
      <c r="JO225" s="1201"/>
      <c r="JP225" s="1201"/>
      <c r="JQ225" s="1201"/>
      <c r="JR225" s="1201"/>
      <c r="JS225" s="1201"/>
      <c r="JT225" s="1201"/>
      <c r="JU225" s="1201"/>
      <c r="JV225" s="1201"/>
      <c r="JW225" s="1201"/>
      <c r="JX225" s="1201"/>
      <c r="JY225" s="1201"/>
      <c r="JZ225" s="1201"/>
      <c r="KA225" s="1201"/>
      <c r="KB225" s="1201"/>
      <c r="KC225" s="1201"/>
      <c r="KD225" s="1201"/>
      <c r="KE225" s="1201"/>
      <c r="KF225" s="1201"/>
      <c r="KG225" s="1201"/>
      <c r="KH225" s="1201"/>
      <c r="KI225" s="1201"/>
      <c r="KJ225" s="1201"/>
      <c r="KK225" s="1201"/>
      <c r="KL225" s="1201"/>
      <c r="KM225" s="1201"/>
      <c r="KN225" s="1201"/>
      <c r="KO225" s="1201"/>
      <c r="KP225" s="1201"/>
      <c r="KQ225" s="1201"/>
      <c r="KR225" s="1201"/>
      <c r="KS225" s="1201"/>
      <c r="KT225" s="1201"/>
      <c r="KU225" s="1201"/>
      <c r="KV225" s="1201"/>
      <c r="KW225" s="1201"/>
      <c r="KX225" s="1201"/>
      <c r="KY225" s="1201"/>
      <c r="KZ225" s="1201"/>
      <c r="LA225" s="1201"/>
      <c r="LB225" s="1201"/>
      <c r="LC225" s="1201"/>
      <c r="LD225" s="1201"/>
      <c r="LE225" s="1201"/>
      <c r="LF225" s="1201"/>
      <c r="LG225" s="1201"/>
      <c r="LH225" s="1201"/>
      <c r="LI225" s="1201"/>
      <c r="LJ225" s="1201"/>
      <c r="LK225" s="1201"/>
      <c r="LL225" s="1201"/>
      <c r="LM225" s="1201"/>
      <c r="LN225" s="1201"/>
      <c r="LO225" s="1201"/>
      <c r="LP225" s="1201"/>
      <c r="LQ225" s="1201"/>
      <c r="LR225" s="1201"/>
      <c r="LS225" s="1201"/>
      <c r="LT225" s="1201"/>
      <c r="LU225" s="1201"/>
      <c r="LV225" s="1201"/>
      <c r="LW225" s="1201"/>
      <c r="LX225" s="1201"/>
      <c r="LY225" s="1201"/>
      <c r="LZ225" s="1201"/>
      <c r="MA225" s="1201"/>
      <c r="MB225" s="1201"/>
      <c r="MC225" s="1201"/>
      <c r="MD225" s="1201"/>
      <c r="ME225" s="1201"/>
      <c r="MF225" s="1201"/>
      <c r="MG225" s="1201"/>
      <c r="MH225" s="1201"/>
      <c r="MI225" s="1201"/>
      <c r="MJ225" s="1201"/>
      <c r="MK225" s="1201"/>
      <c r="ML225" s="1201"/>
      <c r="MM225" s="1201"/>
      <c r="MN225" s="1201"/>
      <c r="MO225" s="1201"/>
      <c r="MP225" s="1201"/>
      <c r="MQ225" s="1201"/>
      <c r="MR225" s="1201"/>
      <c r="MS225" s="1201"/>
      <c r="MT225" s="1201"/>
      <c r="MU225" s="1201"/>
      <c r="MV225" s="1201"/>
      <c r="MW225" s="1201"/>
      <c r="MX225" s="1201"/>
      <c r="MY225" s="1201"/>
      <c r="MZ225" s="1201"/>
      <c r="NA225" s="1201"/>
      <c r="NB225" s="1201"/>
      <c r="NC225" s="1201"/>
      <c r="ND225" s="1201"/>
      <c r="NE225" s="1201"/>
      <c r="NF225" s="1201"/>
      <c r="NG225" s="1201"/>
      <c r="NH225" s="1201"/>
      <c r="NI225" s="1201"/>
      <c r="NJ225" s="1201"/>
      <c r="NK225" s="1201"/>
      <c r="NL225" s="1201"/>
      <c r="NM225" s="1201"/>
      <c r="NN225" s="1201"/>
      <c r="NO225" s="1201"/>
      <c r="NP225" s="1201"/>
      <c r="NQ225" s="1201"/>
      <c r="NR225" s="1201"/>
      <c r="NS225" s="1201"/>
      <c r="NT225" s="1201"/>
      <c r="NU225" s="1201"/>
      <c r="NV225" s="1201"/>
      <c r="NW225" s="1201"/>
      <c r="NX225" s="1201"/>
      <c r="NY225" s="1201"/>
      <c r="NZ225" s="1201"/>
      <c r="OA225" s="1201"/>
      <c r="OB225" s="1201"/>
      <c r="OC225" s="1201"/>
      <c r="OD225" s="1201"/>
      <c r="OE225" s="1201"/>
      <c r="OF225" s="1201"/>
      <c r="OG225" s="1201"/>
      <c r="OH225" s="1201"/>
      <c r="OI225" s="1201"/>
      <c r="OJ225" s="1201"/>
      <c r="OK225" s="1201"/>
      <c r="OL225" s="1201"/>
      <c r="OM225" s="1201"/>
      <c r="ON225" s="1201"/>
      <c r="OO225" s="1201"/>
      <c r="OP225" s="1201"/>
      <c r="OQ225" s="1201"/>
      <c r="OR225" s="1201"/>
      <c r="OS225" s="1201"/>
      <c r="OT225" s="1201"/>
      <c r="OU225" s="1201"/>
      <c r="OV225" s="1201"/>
      <c r="OW225" s="1201"/>
      <c r="OX225" s="1201"/>
      <c r="OY225" s="1201"/>
      <c r="OZ225" s="1201"/>
      <c r="PA225" s="1201"/>
      <c r="PB225" s="1201"/>
      <c r="PC225" s="1201"/>
      <c r="PD225" s="1201"/>
      <c r="PE225" s="1201"/>
      <c r="PF225" s="1201"/>
      <c r="PG225" s="1201"/>
      <c r="PH225" s="1201"/>
      <c r="PI225" s="1201"/>
      <c r="PJ225" s="1201"/>
      <c r="PK225" s="1201"/>
      <c r="PL225" s="1201"/>
      <c r="PM225" s="1201"/>
      <c r="PN225" s="1201"/>
      <c r="PO225" s="1201"/>
      <c r="PP225" s="1201"/>
      <c r="PQ225" s="1201"/>
      <c r="PR225" s="1201"/>
      <c r="PS225" s="1201"/>
      <c r="PT225" s="1201"/>
      <c r="PU225" s="1201"/>
      <c r="PV225" s="1201"/>
      <c r="PW225" s="1201"/>
      <c r="PX225" s="1201"/>
      <c r="PY225" s="1201"/>
      <c r="PZ225" s="1201"/>
      <c r="QA225" s="1201"/>
      <c r="QB225" s="1201"/>
      <c r="QC225" s="1201"/>
      <c r="QD225" s="1201"/>
      <c r="QE225" s="1201"/>
      <c r="QF225" s="1201"/>
      <c r="QG225" s="1201"/>
      <c r="QH225" s="1201"/>
      <c r="QI225" s="1201"/>
      <c r="QJ225" s="1201"/>
      <c r="QK225" s="1201"/>
      <c r="QL225" s="1201"/>
      <c r="QM225" s="1201"/>
      <c r="QN225" s="1201"/>
      <c r="QO225" s="1201"/>
      <c r="QP225" s="1201"/>
      <c r="QQ225" s="1201"/>
      <c r="QR225" s="1201"/>
      <c r="QS225" s="1201"/>
      <c r="QT225" s="1201"/>
      <c r="QU225" s="1201"/>
      <c r="QV225" s="1201"/>
      <c r="QW225" s="1201"/>
      <c r="QX225" s="1201"/>
      <c r="QY225" s="1201"/>
      <c r="QZ225" s="1201"/>
      <c r="RA225" s="1201"/>
      <c r="RB225" s="1201"/>
      <c r="RC225" s="1201"/>
      <c r="RD225" s="1201"/>
      <c r="RE225" s="1201"/>
      <c r="RF225" s="1201"/>
      <c r="RG225" s="1201"/>
      <c r="RH225" s="1201"/>
      <c r="RI225" s="1201"/>
      <c r="RJ225" s="1201"/>
      <c r="RK225" s="1201"/>
      <c r="RL225" s="1201"/>
      <c r="RM225" s="1201"/>
      <c r="RN225" s="1201"/>
      <c r="RO225" s="1201"/>
      <c r="RP225" s="1201"/>
      <c r="RQ225" s="1201"/>
      <c r="RR225" s="1201"/>
      <c r="RS225" s="1201"/>
      <c r="RT225" s="1201"/>
      <c r="RU225" s="1201"/>
      <c r="RV225" s="1201"/>
      <c r="RW225" s="1201"/>
      <c r="RX225" s="1201"/>
      <c r="RY225" s="1201"/>
      <c r="RZ225" s="1201"/>
      <c r="SA225" s="1201"/>
      <c r="SB225" s="1201"/>
      <c r="SC225" s="1201"/>
      <c r="SD225" s="1201"/>
      <c r="SE225" s="1201"/>
      <c r="SF225" s="1201"/>
      <c r="SG225" s="1201"/>
      <c r="SH225" s="1201"/>
      <c r="SI225" s="1201"/>
      <c r="SJ225" s="1201"/>
      <c r="SK225" s="1201"/>
      <c r="SL225" s="1201"/>
      <c r="SM225" s="1201"/>
      <c r="SN225" s="1201"/>
      <c r="SO225" s="1201"/>
      <c r="SP225" s="1201"/>
      <c r="SQ225" s="1201"/>
      <c r="SR225" s="1201"/>
      <c r="SS225" s="1201"/>
      <c r="ST225" s="1201"/>
      <c r="SU225" s="1201"/>
      <c r="SV225" s="1201"/>
      <c r="SW225" s="1201"/>
      <c r="SX225" s="1201"/>
      <c r="SY225" s="1201"/>
      <c r="SZ225" s="1201"/>
      <c r="TA225" s="1201"/>
      <c r="TB225" s="1201"/>
      <c r="TC225" s="1201"/>
      <c r="TD225" s="1201"/>
      <c r="TE225" s="1201"/>
      <c r="TF225" s="1201"/>
      <c r="TG225" s="1201"/>
      <c r="TH225" s="1201"/>
      <c r="TI225" s="1201"/>
      <c r="TJ225" s="1201"/>
      <c r="TK225" s="1201"/>
      <c r="TL225" s="1201"/>
      <c r="TM225" s="1201"/>
      <c r="TN225" s="1201"/>
      <c r="TO225" s="1201"/>
      <c r="TP225" s="1201"/>
      <c r="TQ225" s="1201"/>
      <c r="TR225" s="1201"/>
      <c r="TS225" s="1201"/>
      <c r="TT225" s="1201"/>
      <c r="TU225" s="1201"/>
      <c r="TV225" s="1201"/>
      <c r="TW225" s="1201"/>
      <c r="TX225" s="1201"/>
      <c r="TY225" s="1201"/>
      <c r="TZ225" s="1201"/>
      <c r="UA225" s="1201"/>
      <c r="UB225" s="1201"/>
      <c r="UC225" s="1201"/>
      <c r="UD225" s="1201"/>
      <c r="UE225" s="1201"/>
      <c r="UF225" s="1201"/>
      <c r="UG225" s="1201"/>
      <c r="UH225" s="1201"/>
      <c r="UI225" s="1201"/>
      <c r="UJ225" s="1201"/>
      <c r="UK225" s="1201"/>
      <c r="UL225" s="1201"/>
      <c r="UM225" s="1201"/>
      <c r="UN225" s="1201"/>
      <c r="UO225" s="1201"/>
      <c r="UP225" s="1201"/>
      <c r="UQ225" s="1201"/>
      <c r="UR225" s="1201"/>
      <c r="US225" s="1201"/>
      <c r="UT225" s="1201"/>
      <c r="UU225" s="1201"/>
      <c r="UV225" s="1201"/>
      <c r="UW225" s="1201"/>
      <c r="UX225" s="1201"/>
      <c r="UY225" s="1201"/>
      <c r="UZ225" s="1201"/>
      <c r="VA225" s="1201"/>
      <c r="VB225" s="1201"/>
      <c r="VC225" s="1201"/>
      <c r="VD225" s="1201"/>
      <c r="VE225" s="1201"/>
      <c r="VF225" s="1201"/>
      <c r="VG225" s="1201"/>
      <c r="VH225" s="1201"/>
      <c r="VI225" s="1201"/>
      <c r="VJ225" s="1201"/>
      <c r="VK225" s="1201"/>
      <c r="VL225" s="1201"/>
      <c r="VM225" s="1201"/>
      <c r="VN225" s="1201"/>
      <c r="VO225" s="1201"/>
      <c r="VP225" s="1201"/>
      <c r="VQ225" s="1201"/>
      <c r="VR225" s="1201"/>
      <c r="VS225" s="1201"/>
      <c r="VT225" s="1201"/>
      <c r="VU225" s="1201"/>
      <c r="VV225" s="1201"/>
      <c r="VW225" s="1201"/>
      <c r="VX225" s="1201"/>
      <c r="VY225" s="1201"/>
      <c r="VZ225" s="1201"/>
      <c r="WA225" s="1201"/>
      <c r="WB225" s="1201"/>
      <c r="WC225" s="1201"/>
      <c r="WD225" s="1201"/>
      <c r="WE225" s="1201"/>
      <c r="WF225" s="1201"/>
      <c r="WG225" s="1201"/>
      <c r="WH225" s="1201"/>
      <c r="WI225" s="1201"/>
      <c r="WJ225" s="1201"/>
      <c r="WK225" s="1201"/>
      <c r="WL225" s="1201"/>
      <c r="WM225" s="1201"/>
      <c r="WN225" s="1201"/>
      <c r="WO225" s="1201"/>
      <c r="WP225" s="1201"/>
      <c r="WQ225" s="1201"/>
      <c r="WR225" s="1201"/>
      <c r="WS225" s="1201"/>
      <c r="WT225" s="1201"/>
      <c r="WU225" s="1201"/>
      <c r="WV225" s="1201"/>
      <c r="WW225" s="1201"/>
      <c r="WX225" s="1201"/>
      <c r="WY225" s="1201"/>
      <c r="WZ225" s="1201"/>
      <c r="XA225" s="1201"/>
      <c r="XB225" s="1201"/>
      <c r="XC225" s="1201"/>
      <c r="XD225" s="1201"/>
      <c r="XE225" s="1201"/>
      <c r="XF225" s="1201"/>
      <c r="XG225" s="1201"/>
      <c r="XH225" s="1201"/>
      <c r="XI225" s="1201"/>
      <c r="XJ225" s="1201"/>
      <c r="XK225" s="1201"/>
      <c r="XL225" s="1201"/>
      <c r="XM225" s="1201"/>
      <c r="XN225" s="1201"/>
      <c r="XO225" s="1201"/>
      <c r="XP225" s="1201"/>
      <c r="XQ225" s="1201"/>
      <c r="XR225" s="1201"/>
      <c r="XS225" s="1201"/>
      <c r="XT225" s="1201"/>
      <c r="XU225" s="1201"/>
      <c r="XV225" s="1201"/>
      <c r="XW225" s="1201"/>
      <c r="XX225" s="1201"/>
      <c r="XY225" s="1201"/>
      <c r="XZ225" s="1201"/>
      <c r="YA225" s="1201"/>
      <c r="YB225" s="1201"/>
      <c r="YC225" s="1201"/>
      <c r="YD225" s="1201"/>
      <c r="YE225" s="1201"/>
      <c r="YF225" s="1201"/>
      <c r="YG225" s="1201"/>
      <c r="YH225" s="1201"/>
      <c r="YI225" s="1201"/>
      <c r="YJ225" s="1201"/>
      <c r="YK225" s="1201"/>
      <c r="YL225" s="1201"/>
      <c r="YM225" s="1201"/>
      <c r="YN225" s="1201"/>
      <c r="YO225" s="1201"/>
      <c r="YP225" s="1201"/>
      <c r="YQ225" s="1201"/>
      <c r="YR225" s="1201"/>
      <c r="YS225" s="1201"/>
      <c r="YT225" s="1201"/>
      <c r="YU225" s="1201"/>
      <c r="YV225" s="1201"/>
      <c r="YW225" s="1201"/>
      <c r="YX225" s="1201"/>
      <c r="YY225" s="1201"/>
      <c r="YZ225" s="1201"/>
      <c r="ZA225" s="1201"/>
      <c r="ZB225" s="1201"/>
      <c r="ZC225" s="1201"/>
      <c r="ZD225" s="1201"/>
      <c r="ZE225" s="1201"/>
      <c r="ZF225" s="1201"/>
      <c r="ZG225" s="1201"/>
      <c r="ZH225" s="1201"/>
      <c r="ZI225" s="1201"/>
      <c r="ZJ225" s="1201"/>
      <c r="ZK225" s="1201"/>
      <c r="ZL225" s="1201"/>
      <c r="ZM225" s="1201"/>
      <c r="ZN225" s="1201"/>
      <c r="ZO225" s="1201"/>
      <c r="ZP225" s="1201"/>
      <c r="ZQ225" s="1201"/>
      <c r="ZR225" s="1201"/>
      <c r="ZS225" s="1201"/>
      <c r="ZT225" s="1201"/>
      <c r="ZU225" s="1201"/>
      <c r="ZV225" s="1201"/>
      <c r="ZW225" s="1201"/>
      <c r="ZX225" s="1201"/>
      <c r="ZY225" s="1201"/>
      <c r="ZZ225" s="1201"/>
      <c r="AAA225" s="1201"/>
      <c r="AAB225" s="1201"/>
      <c r="AAC225" s="1201"/>
      <c r="AAD225" s="1201"/>
      <c r="AAE225" s="1201"/>
      <c r="AAF225" s="1201"/>
      <c r="AAG225" s="1201"/>
      <c r="AAH225" s="1201"/>
      <c r="AAI225" s="1201"/>
      <c r="AAJ225" s="1201"/>
      <c r="AAK225" s="1201"/>
      <c r="AAL225" s="1201"/>
      <c r="AAM225" s="1201"/>
      <c r="AAN225" s="1201"/>
      <c r="AAO225" s="1201"/>
      <c r="AAP225" s="1201"/>
      <c r="AAQ225" s="1201"/>
      <c r="AAR225" s="1201"/>
      <c r="AAS225" s="1201"/>
      <c r="AAT225" s="1201"/>
      <c r="AAU225" s="1201"/>
      <c r="AAV225" s="1201"/>
      <c r="AAW225" s="1201"/>
      <c r="AAX225" s="1201"/>
      <c r="AAY225" s="1201"/>
      <c r="AAZ225" s="1201"/>
      <c r="ABA225" s="1201"/>
      <c r="ABB225" s="1201"/>
      <c r="ABC225" s="1201"/>
      <c r="ABD225" s="1201"/>
      <c r="ABE225" s="1201"/>
      <c r="ABF225" s="1201"/>
      <c r="ABG225" s="1201"/>
      <c r="ABH225" s="1201"/>
      <c r="ABI225" s="1201"/>
      <c r="ABJ225" s="1201"/>
      <c r="ABK225" s="1201"/>
      <c r="ABL225" s="1201"/>
      <c r="ABM225" s="1201"/>
      <c r="ABN225" s="1201"/>
      <c r="ABO225" s="1201"/>
      <c r="ABP225" s="1201"/>
      <c r="ABQ225" s="1201"/>
      <c r="ABR225" s="1201"/>
      <c r="ABS225" s="1201"/>
      <c r="ABT225" s="1201"/>
      <c r="ABU225" s="1201"/>
      <c r="ABV225" s="1201"/>
      <c r="ABW225" s="1201"/>
      <c r="ABX225" s="1201"/>
      <c r="ABY225" s="1201"/>
      <c r="ABZ225" s="1201"/>
      <c r="ACA225" s="1201"/>
      <c r="ACB225" s="1201"/>
      <c r="ACC225" s="1201"/>
      <c r="ACD225" s="1201"/>
      <c r="ACE225" s="1201"/>
      <c r="ACF225" s="1201"/>
      <c r="ACG225" s="1201"/>
      <c r="ACH225" s="1201"/>
      <c r="ACI225" s="1201"/>
      <c r="ACJ225" s="1201"/>
      <c r="ACK225" s="1201"/>
      <c r="ACL225" s="1201"/>
      <c r="ACM225" s="1201"/>
      <c r="ACN225" s="1201"/>
      <c r="ACO225" s="1201"/>
      <c r="ACP225" s="1201"/>
      <c r="ACQ225" s="1201"/>
      <c r="ACR225" s="1201"/>
      <c r="ACS225" s="1201"/>
      <c r="ACT225" s="1201"/>
      <c r="ACU225" s="1201"/>
      <c r="ACV225" s="1201"/>
      <c r="ACW225" s="1201"/>
      <c r="ACX225" s="1201"/>
      <c r="ACY225" s="1201"/>
      <c r="ACZ225" s="1201"/>
      <c r="ADA225" s="1201"/>
      <c r="ADB225" s="1201"/>
      <c r="ADC225" s="1201"/>
      <c r="ADD225" s="1201"/>
      <c r="ADE225" s="1201"/>
      <c r="ADF225" s="1201"/>
      <c r="ADG225" s="1201"/>
      <c r="ADH225" s="1201"/>
      <c r="ADI225" s="1201"/>
      <c r="ADJ225" s="1201"/>
      <c r="ADK225" s="1201"/>
      <c r="ADL225" s="1201"/>
      <c r="ADM225" s="1201"/>
      <c r="ADN225" s="1201"/>
      <c r="ADO225" s="1201"/>
      <c r="ADP225" s="1201"/>
      <c r="ADQ225" s="1201"/>
      <c r="ADR225" s="1201"/>
      <c r="ADS225" s="1201"/>
      <c r="ADT225" s="1201"/>
      <c r="ADU225" s="1201"/>
      <c r="ADV225" s="1201"/>
      <c r="ADW225" s="1201"/>
      <c r="ADX225" s="1201"/>
      <c r="ADY225" s="1201"/>
      <c r="ADZ225" s="1201"/>
      <c r="AEA225" s="1201"/>
      <c r="AEB225" s="1201"/>
      <c r="AEC225" s="1201"/>
      <c r="AED225" s="1201"/>
      <c r="AEE225" s="1201"/>
      <c r="AEF225" s="1201"/>
      <c r="AEG225" s="1201"/>
      <c r="AEH225" s="1201"/>
      <c r="AEI225" s="1201"/>
      <c r="AEJ225" s="1201"/>
      <c r="AEK225" s="1201"/>
      <c r="AEL225" s="1201"/>
      <c r="AEM225" s="1201"/>
      <c r="AEN225" s="1201"/>
      <c r="AEO225" s="1201"/>
      <c r="AEP225" s="1201"/>
      <c r="AEQ225" s="1201"/>
      <c r="AER225" s="1201"/>
      <c r="AES225" s="1201"/>
      <c r="AET225" s="1201"/>
      <c r="AEU225" s="1201"/>
      <c r="AEV225" s="1201"/>
      <c r="AEW225" s="1201"/>
      <c r="AEX225" s="1201"/>
      <c r="AEY225" s="1201"/>
      <c r="AEZ225" s="1201"/>
      <c r="AFA225" s="1201"/>
      <c r="AFB225" s="1201"/>
      <c r="AFC225" s="1201"/>
      <c r="AFD225" s="1201"/>
      <c r="AFE225" s="1201"/>
      <c r="AFF225" s="1201"/>
      <c r="AFG225" s="1201"/>
      <c r="AFH225" s="1201"/>
      <c r="AFI225" s="1201"/>
      <c r="AFJ225" s="1201"/>
      <c r="AFK225" s="1201"/>
      <c r="AFL225" s="1201"/>
      <c r="AFM225" s="1201"/>
      <c r="AFN225" s="1201"/>
      <c r="AFO225" s="1201"/>
      <c r="AFP225" s="1201"/>
      <c r="AFQ225" s="1201"/>
      <c r="AFR225" s="1201"/>
      <c r="AFS225" s="1201"/>
      <c r="AFT225" s="1201"/>
      <c r="AFU225" s="1201"/>
      <c r="AFV225" s="1201"/>
      <c r="AFW225" s="1201"/>
      <c r="AFX225" s="1201"/>
      <c r="AFY225" s="1201"/>
      <c r="AFZ225" s="1201"/>
      <c r="AGA225" s="1201"/>
      <c r="AGB225" s="1201"/>
      <c r="AGC225" s="1201"/>
      <c r="AGD225" s="1201"/>
      <c r="AGE225" s="1201"/>
      <c r="AGF225" s="1201"/>
      <c r="AGG225" s="1201"/>
      <c r="AGH225" s="1201"/>
      <c r="AGI225" s="1201"/>
      <c r="AGJ225" s="1201"/>
      <c r="AGK225" s="1201"/>
      <c r="AGL225" s="1201"/>
      <c r="AGM225" s="1201"/>
      <c r="AGN225" s="1201"/>
      <c r="AGO225" s="1201"/>
      <c r="AGP225" s="1201"/>
      <c r="AGQ225" s="1201"/>
      <c r="AGR225" s="1201"/>
      <c r="AGS225" s="1201"/>
      <c r="AGT225" s="1201"/>
      <c r="AGU225" s="1201"/>
      <c r="AGV225" s="1201"/>
      <c r="AGW225" s="1201"/>
      <c r="AGX225" s="1201"/>
      <c r="AGY225" s="1201"/>
      <c r="AGZ225" s="1201"/>
      <c r="AHA225" s="1201"/>
      <c r="AHB225" s="1201"/>
      <c r="AHC225" s="1201"/>
      <c r="AHD225" s="1201"/>
      <c r="AHE225" s="1201"/>
      <c r="AHF225" s="1201"/>
      <c r="AHG225" s="1201"/>
      <c r="AHH225" s="1201"/>
      <c r="AHI225" s="1201"/>
      <c r="AHJ225" s="1201"/>
      <c r="AHK225" s="1201"/>
      <c r="AHL225" s="1201"/>
      <c r="AHM225" s="1201"/>
      <c r="AHN225" s="1201"/>
      <c r="AHO225" s="1201"/>
      <c r="AHP225" s="1201"/>
      <c r="AHQ225" s="1201"/>
      <c r="AHR225" s="1201"/>
      <c r="AHS225" s="1201"/>
      <c r="AHT225" s="1201"/>
      <c r="AHU225" s="1201"/>
      <c r="AHV225" s="1201"/>
      <c r="AHW225" s="1201"/>
      <c r="AHX225" s="1201"/>
      <c r="AHY225" s="1201"/>
      <c r="AHZ225" s="1201"/>
      <c r="AIA225" s="1201"/>
      <c r="AIB225" s="1201"/>
      <c r="AIC225" s="1201"/>
      <c r="AID225" s="1201"/>
      <c r="AIE225" s="1201"/>
      <c r="AIF225" s="1201"/>
      <c r="AIG225" s="1201"/>
      <c r="AIH225" s="1201"/>
      <c r="AII225" s="1201"/>
      <c r="AIJ225" s="1201"/>
      <c r="AIK225" s="1201"/>
      <c r="AIL225" s="1201"/>
      <c r="AIM225" s="1201"/>
      <c r="AIN225" s="1201"/>
      <c r="AIO225" s="1201"/>
      <c r="AIP225" s="1201"/>
      <c r="AIQ225" s="1201"/>
      <c r="AIR225" s="1201"/>
      <c r="AIS225" s="1201"/>
      <c r="AIT225" s="1201"/>
      <c r="AIU225" s="1201"/>
      <c r="AIV225" s="1201"/>
      <c r="AIW225" s="1201"/>
      <c r="AIX225" s="1201"/>
      <c r="AIY225" s="1201"/>
      <c r="AIZ225" s="1201"/>
      <c r="AJA225" s="1201"/>
      <c r="AJB225" s="1201"/>
      <c r="AJC225" s="1201"/>
      <c r="AJD225" s="1201"/>
      <c r="AJE225" s="1201"/>
      <c r="AJF225" s="1201"/>
      <c r="AJG225" s="1201"/>
      <c r="AJH225" s="1201"/>
      <c r="AJI225" s="1201"/>
      <c r="AJJ225" s="1201"/>
      <c r="AJK225" s="1201"/>
      <c r="AJL225" s="1201"/>
      <c r="AJM225" s="1201"/>
      <c r="AJN225" s="1201"/>
      <c r="AJO225" s="1201"/>
      <c r="AJP225" s="1201"/>
      <c r="AJQ225" s="1201"/>
      <c r="AJR225" s="1201"/>
      <c r="AJS225" s="1201"/>
      <c r="AJT225" s="1201"/>
      <c r="AJU225" s="1201"/>
      <c r="AJV225" s="1201"/>
      <c r="AJW225" s="1201"/>
      <c r="AJX225" s="1201"/>
      <c r="AJY225" s="1201"/>
      <c r="AJZ225" s="1201"/>
      <c r="AKA225" s="1201"/>
      <c r="AKB225" s="1201"/>
      <c r="AKC225" s="1201"/>
      <c r="AKD225" s="1201"/>
      <c r="AKE225" s="1201"/>
      <c r="AKF225" s="1201"/>
      <c r="AKG225" s="1201"/>
      <c r="AKH225" s="1201"/>
      <c r="AKI225" s="1201"/>
      <c r="AKJ225" s="1201"/>
      <c r="AKK225" s="1201"/>
      <c r="AKL225" s="1201"/>
      <c r="AKM225" s="1201"/>
      <c r="AKN225" s="1201"/>
      <c r="AKO225" s="1201"/>
      <c r="AKP225" s="1201"/>
      <c r="AKQ225" s="1201"/>
      <c r="AKR225" s="1201"/>
      <c r="AKS225" s="1201"/>
      <c r="AKT225" s="1201"/>
      <c r="AKU225" s="1201"/>
      <c r="AKV225" s="1201"/>
      <c r="AKW225" s="1201"/>
      <c r="AKX225" s="1201"/>
      <c r="AKY225" s="1201"/>
      <c r="AKZ225" s="1201"/>
      <c r="ALA225" s="1201"/>
      <c r="ALB225" s="1201"/>
      <c r="ALC225" s="1201"/>
      <c r="ALD225" s="1201"/>
      <c r="ALE225" s="1201"/>
      <c r="ALF225" s="1201"/>
      <c r="ALG225" s="1201"/>
      <c r="ALH225" s="1201"/>
      <c r="ALI225" s="1201"/>
      <c r="ALJ225" s="1201"/>
      <c r="ALK225" s="1201"/>
      <c r="ALL225" s="1201"/>
      <c r="ALM225" s="1201"/>
      <c r="ALN225" s="1201"/>
      <c r="ALO225" s="1201"/>
      <c r="ALP225" s="1201"/>
      <c r="ALQ225" s="1201"/>
      <c r="ALR225" s="1201"/>
      <c r="ALS225" s="1201"/>
      <c r="ALT225" s="1201"/>
      <c r="ALU225" s="1201"/>
      <c r="ALV225" s="1201"/>
      <c r="ALW225" s="1201"/>
      <c r="ALX225" s="1201"/>
      <c r="ALY225" s="1201"/>
      <c r="ALZ225" s="1201"/>
      <c r="AMA225" s="1201"/>
      <c r="AMB225" s="1201"/>
      <c r="AMC225" s="1201"/>
      <c r="AMD225" s="1201"/>
      <c r="AME225" s="1201"/>
      <c r="AMF225" s="1201"/>
      <c r="AMG225" s="1201"/>
      <c r="AMH225" s="1201"/>
      <c r="AMI225" s="1201"/>
      <c r="AMJ225" s="1201"/>
      <c r="AMK225" s="1201"/>
      <c r="AML225" s="1201"/>
      <c r="AMM225" s="1201"/>
      <c r="AMN225" s="1201"/>
      <c r="AMO225" s="1201"/>
      <c r="AMP225" s="1201"/>
      <c r="AMQ225" s="1201"/>
      <c r="AMR225" s="1201"/>
      <c r="AMS225" s="1201"/>
      <c r="AMT225" s="1201"/>
      <c r="AMU225" s="1201"/>
      <c r="AMV225" s="1201"/>
      <c r="AMW225" s="1201"/>
      <c r="AMX225" s="1201"/>
      <c r="AMY225" s="1201"/>
      <c r="AMZ225" s="1201"/>
      <c r="ANA225" s="1201"/>
      <c r="ANB225" s="1201"/>
      <c r="ANC225" s="1201"/>
      <c r="AND225" s="1201"/>
      <c r="ANE225" s="1201"/>
      <c r="ANF225" s="1201"/>
      <c r="ANG225" s="1201"/>
      <c r="ANH225" s="1201"/>
      <c r="ANI225" s="1201"/>
      <c r="ANJ225" s="1201"/>
      <c r="ANK225" s="1201"/>
      <c r="ANL225" s="1201"/>
      <c r="ANM225" s="1201"/>
      <c r="ANN225" s="1201"/>
      <c r="ANO225" s="1201"/>
      <c r="ANP225" s="1201"/>
      <c r="ANQ225" s="1201"/>
      <c r="ANR225" s="1201"/>
      <c r="ANS225" s="1201"/>
      <c r="ANT225" s="1201"/>
      <c r="ANU225" s="1201"/>
      <c r="ANV225" s="1201"/>
      <c r="ANW225" s="1201"/>
      <c r="ANX225" s="1201"/>
      <c r="ANY225" s="1201"/>
      <c r="ANZ225" s="1201"/>
      <c r="AOA225" s="1201"/>
      <c r="AOB225" s="1201"/>
      <c r="AOC225" s="1201"/>
      <c r="AOD225" s="1201"/>
      <c r="AOE225" s="1201"/>
      <c r="AOF225" s="1201"/>
      <c r="AOG225" s="1201"/>
      <c r="AOH225" s="1201"/>
      <c r="AOI225" s="1201"/>
      <c r="AOJ225" s="1201"/>
      <c r="AOK225" s="1201"/>
      <c r="AOL225" s="1201"/>
      <c r="AOM225" s="1201"/>
      <c r="AON225" s="1201"/>
      <c r="AOO225" s="1201"/>
      <c r="AOP225" s="1201"/>
      <c r="AOQ225" s="1201"/>
      <c r="AOR225" s="1201"/>
      <c r="AOS225" s="1201"/>
      <c r="AOT225" s="1201"/>
      <c r="AOU225" s="1201"/>
      <c r="AOV225" s="1201"/>
      <c r="AOW225" s="1201"/>
      <c r="AOX225" s="1201"/>
      <c r="AOY225" s="1201"/>
      <c r="AOZ225" s="1201"/>
      <c r="APA225" s="1201"/>
      <c r="APB225" s="1201"/>
      <c r="APC225" s="1201"/>
      <c r="APD225" s="1201"/>
      <c r="APE225" s="1201"/>
      <c r="APF225" s="1201"/>
      <c r="APG225" s="1201"/>
      <c r="APH225" s="1201"/>
      <c r="API225" s="1201"/>
      <c r="APJ225" s="1201"/>
      <c r="APK225" s="1201"/>
      <c r="APL225" s="1201"/>
      <c r="APM225" s="1201"/>
      <c r="APN225" s="1201"/>
      <c r="APO225" s="1201"/>
      <c r="APP225" s="1201"/>
      <c r="APQ225" s="1201"/>
      <c r="APR225" s="1201"/>
      <c r="APS225" s="1201"/>
      <c r="APT225" s="1201"/>
      <c r="APU225" s="1201"/>
      <c r="APV225" s="1201"/>
      <c r="APW225" s="1201"/>
      <c r="APX225" s="1201"/>
      <c r="APY225" s="1201"/>
      <c r="APZ225" s="1201"/>
      <c r="AQA225" s="1201"/>
      <c r="AQB225" s="1201"/>
      <c r="AQC225" s="1201"/>
      <c r="AQD225" s="1201"/>
      <c r="AQE225" s="1201"/>
      <c r="AQF225" s="1201"/>
      <c r="AQG225" s="1201"/>
      <c r="AQH225" s="1201"/>
      <c r="AQI225" s="1201"/>
      <c r="AQJ225" s="1201"/>
      <c r="AQK225" s="1201"/>
      <c r="AQL225" s="1201"/>
      <c r="AQM225" s="1201"/>
      <c r="AQN225" s="1201"/>
      <c r="AQO225" s="1201"/>
      <c r="AQP225" s="1201"/>
      <c r="AQQ225" s="1201"/>
      <c r="AQR225" s="1201"/>
      <c r="AQS225" s="1201"/>
      <c r="AQT225" s="1201"/>
      <c r="AQU225" s="1201"/>
      <c r="AQV225" s="1201"/>
      <c r="AQW225" s="1201"/>
      <c r="AQX225" s="1201"/>
      <c r="AQY225" s="1201"/>
      <c r="AQZ225" s="1201"/>
      <c r="ARA225" s="1201"/>
      <c r="ARB225" s="1201"/>
      <c r="ARC225" s="1201"/>
      <c r="ARD225" s="1201"/>
      <c r="ARE225" s="1201"/>
      <c r="ARF225" s="1201"/>
      <c r="ARG225" s="1201"/>
      <c r="ARH225" s="1201"/>
      <c r="ARI225" s="1201"/>
      <c r="ARJ225" s="1201"/>
      <c r="ARK225" s="1201"/>
      <c r="ARL225" s="1201"/>
      <c r="ARM225" s="1201"/>
      <c r="ARN225" s="1201"/>
      <c r="ARO225" s="1201"/>
      <c r="ARP225" s="1201"/>
      <c r="ARQ225" s="1201"/>
      <c r="ARR225" s="1201"/>
      <c r="ARS225" s="1201"/>
      <c r="ART225" s="1201"/>
      <c r="ARU225" s="1201"/>
      <c r="ARV225" s="1201"/>
      <c r="ARW225" s="1201"/>
      <c r="ARX225" s="1201"/>
      <c r="ARY225" s="1201"/>
      <c r="ARZ225" s="1201"/>
      <c r="ASA225" s="1201"/>
      <c r="ASB225" s="1201"/>
      <c r="ASC225" s="1201"/>
      <c r="ASD225" s="1201"/>
      <c r="ASE225" s="1201"/>
      <c r="ASF225" s="1201"/>
      <c r="ASG225" s="1201"/>
      <c r="ASH225" s="1201"/>
      <c r="ASI225" s="1201"/>
      <c r="ASJ225" s="1201"/>
      <c r="ASK225" s="1201"/>
      <c r="ASL225" s="1201"/>
      <c r="ASM225" s="1201"/>
      <c r="ASN225" s="1201"/>
      <c r="ASO225" s="1201"/>
      <c r="ASP225" s="1201"/>
      <c r="ASQ225" s="1201"/>
      <c r="ASR225" s="1201"/>
      <c r="ASS225" s="1201"/>
      <c r="AST225" s="1201"/>
      <c r="ASU225" s="1201"/>
      <c r="ASV225" s="1201"/>
      <c r="ASW225" s="1201"/>
      <c r="ASX225" s="1201"/>
      <c r="ASY225" s="1201"/>
      <c r="ASZ225" s="1201"/>
      <c r="ATA225" s="1201"/>
      <c r="ATB225" s="1201"/>
      <c r="ATC225" s="1201"/>
      <c r="ATD225" s="1201"/>
      <c r="ATE225" s="1201"/>
      <c r="ATF225" s="1201"/>
      <c r="ATG225" s="1201"/>
      <c r="ATH225" s="1201"/>
      <c r="ATI225" s="1201"/>
      <c r="ATJ225" s="1201"/>
      <c r="ATK225" s="1201"/>
      <c r="ATL225" s="1201"/>
      <c r="ATM225" s="1201"/>
      <c r="ATN225" s="1201"/>
      <c r="ATO225" s="1201"/>
      <c r="ATP225" s="1201"/>
      <c r="ATQ225" s="1201"/>
      <c r="ATR225" s="1201"/>
      <c r="ATS225" s="1201"/>
      <c r="ATT225" s="1201"/>
      <c r="ATU225" s="1201"/>
      <c r="ATV225" s="1201"/>
      <c r="ATW225" s="1201"/>
      <c r="ATX225" s="1201"/>
      <c r="ATY225" s="1201"/>
      <c r="ATZ225" s="1201"/>
      <c r="AUA225" s="1201"/>
      <c r="AUB225" s="1201"/>
      <c r="AUC225" s="1201"/>
      <c r="AUD225" s="1201"/>
      <c r="AUE225" s="1201"/>
      <c r="AUF225" s="1201"/>
      <c r="AUG225" s="1201"/>
      <c r="AUH225" s="1201"/>
      <c r="AUI225" s="1201"/>
      <c r="AUJ225" s="1201"/>
      <c r="AUK225" s="1201"/>
      <c r="AUL225" s="1201"/>
      <c r="AUM225" s="1201"/>
      <c r="AUN225" s="1201"/>
      <c r="AUO225" s="1201"/>
      <c r="AUP225" s="1201"/>
      <c r="AUQ225" s="1201"/>
      <c r="AUR225" s="1201"/>
      <c r="AUS225" s="1201"/>
      <c r="AUT225" s="1201"/>
      <c r="AUU225" s="1201"/>
      <c r="AUV225" s="1201"/>
      <c r="AUW225" s="1201"/>
      <c r="AUX225" s="1201"/>
      <c r="AUY225" s="1201"/>
      <c r="AUZ225" s="1201"/>
      <c r="AVA225" s="1201"/>
      <c r="AVB225" s="1201"/>
      <c r="AVC225" s="1201"/>
      <c r="AVD225" s="1201"/>
      <c r="AVE225" s="1201"/>
      <c r="AVF225" s="1201"/>
      <c r="AVG225" s="1201"/>
      <c r="AVH225" s="1201"/>
      <c r="AVI225" s="1201"/>
      <c r="AVJ225" s="1201"/>
      <c r="AVK225" s="1201"/>
      <c r="AVL225" s="1201"/>
      <c r="AVM225" s="1201"/>
      <c r="AVN225" s="1201"/>
      <c r="AVO225" s="1201"/>
      <c r="AVP225" s="1201"/>
      <c r="AVQ225" s="1201"/>
      <c r="AVR225" s="1201"/>
      <c r="AVS225" s="1201"/>
      <c r="AVT225" s="1201"/>
      <c r="AVU225" s="1201"/>
      <c r="AVV225" s="1201"/>
      <c r="AVW225" s="1201"/>
      <c r="AVX225" s="1201"/>
      <c r="AVY225" s="1201"/>
      <c r="AVZ225" s="1201"/>
      <c r="AWA225" s="1201"/>
      <c r="AWB225" s="1201"/>
      <c r="AWC225" s="1201"/>
      <c r="AWD225" s="1201"/>
      <c r="AWE225" s="1201"/>
      <c r="AWF225" s="1201"/>
      <c r="AWG225" s="1201"/>
      <c r="AWH225" s="1201"/>
      <c r="AWI225" s="1201"/>
      <c r="AWJ225" s="1201"/>
      <c r="AWK225" s="1201"/>
      <c r="AWL225" s="1201"/>
      <c r="AWM225" s="1201"/>
      <c r="AWN225" s="1201"/>
      <c r="AWO225" s="1201"/>
      <c r="AWP225" s="1201"/>
      <c r="AWQ225" s="1201"/>
      <c r="AWR225" s="1201"/>
      <c r="AWS225" s="1201"/>
      <c r="AWT225" s="1201"/>
      <c r="AWU225" s="1201"/>
      <c r="AWV225" s="1201"/>
      <c r="AWW225" s="1201"/>
      <c r="AWX225" s="1201"/>
      <c r="AWY225" s="1201"/>
      <c r="AWZ225" s="1201"/>
      <c r="AXA225" s="1201"/>
      <c r="AXB225" s="1201"/>
      <c r="AXC225" s="1201"/>
      <c r="AXD225" s="1201"/>
      <c r="AXE225" s="1201"/>
      <c r="AXF225" s="1201"/>
      <c r="AXG225" s="1201"/>
      <c r="AXH225" s="1201"/>
      <c r="AXI225" s="1201"/>
      <c r="AXJ225" s="1201"/>
      <c r="AXK225" s="1201"/>
      <c r="AXL225" s="1201"/>
      <c r="AXM225" s="1201"/>
      <c r="AXN225" s="1201"/>
      <c r="AXO225" s="1201"/>
      <c r="AXP225" s="1201"/>
      <c r="AXQ225" s="1201"/>
      <c r="AXR225" s="1201"/>
      <c r="AXS225" s="1201"/>
      <c r="AXT225" s="1201"/>
      <c r="AXU225" s="1201"/>
      <c r="AXV225" s="1201"/>
      <c r="AXW225" s="1201"/>
      <c r="AXX225" s="1201"/>
      <c r="AXY225" s="1201"/>
      <c r="AXZ225" s="1201"/>
      <c r="AYA225" s="1201"/>
      <c r="AYB225" s="1201"/>
      <c r="AYC225" s="1201"/>
      <c r="AYD225" s="1201"/>
      <c r="AYE225" s="1201"/>
      <c r="AYF225" s="1201"/>
      <c r="AYG225" s="1201"/>
      <c r="AYH225" s="1201"/>
      <c r="AYI225" s="1201"/>
      <c r="AYJ225" s="1201"/>
      <c r="AYK225" s="1201"/>
      <c r="AYL225" s="1201"/>
      <c r="AYM225" s="1201"/>
      <c r="AYN225" s="1201"/>
      <c r="AYO225" s="1201"/>
      <c r="AYP225" s="1201"/>
      <c r="AYQ225" s="1201"/>
      <c r="AYR225" s="1201"/>
      <c r="AYS225" s="1201"/>
      <c r="AYT225" s="1201"/>
      <c r="AYU225" s="1201"/>
      <c r="AYV225" s="1201"/>
      <c r="AYW225" s="1201"/>
      <c r="AYX225" s="1201"/>
      <c r="AYY225" s="1201"/>
      <c r="AYZ225" s="1201"/>
      <c r="AZA225" s="1201"/>
      <c r="AZB225" s="1201"/>
      <c r="AZC225" s="1201"/>
      <c r="AZD225" s="1201"/>
      <c r="AZE225" s="1201"/>
      <c r="AZF225" s="1201"/>
      <c r="AZG225" s="1201"/>
      <c r="AZH225" s="1201"/>
      <c r="AZI225" s="1201"/>
      <c r="AZJ225" s="1201"/>
      <c r="AZK225" s="1201"/>
      <c r="AZL225" s="1201"/>
      <c r="AZM225" s="1201"/>
      <c r="AZN225" s="1201"/>
      <c r="AZO225" s="1201"/>
      <c r="AZP225" s="1201"/>
      <c r="AZQ225" s="1201"/>
      <c r="AZR225" s="1201"/>
      <c r="AZS225" s="1201"/>
      <c r="AZT225" s="1201"/>
      <c r="AZU225" s="1201"/>
      <c r="AZV225" s="1201"/>
      <c r="AZW225" s="1201"/>
      <c r="AZX225" s="1201"/>
      <c r="AZY225" s="1201"/>
      <c r="AZZ225" s="1201"/>
      <c r="BAA225" s="1201"/>
      <c r="BAB225" s="1201"/>
      <c r="BAC225" s="1201"/>
      <c r="BAD225" s="1201"/>
      <c r="BAE225" s="1201"/>
      <c r="BAF225" s="1201"/>
      <c r="BAG225" s="1201"/>
      <c r="BAH225" s="1201"/>
      <c r="BAI225" s="1201"/>
      <c r="BAJ225" s="1201"/>
      <c r="BAK225" s="1201"/>
      <c r="BAL225" s="1201"/>
      <c r="BAM225" s="1201"/>
      <c r="BAN225" s="1201"/>
      <c r="BAO225" s="1201"/>
      <c r="BAP225" s="1201"/>
      <c r="BAQ225" s="1201"/>
      <c r="BAR225" s="1201"/>
      <c r="BAS225" s="1201"/>
      <c r="BAT225" s="1201"/>
      <c r="BAU225" s="1201"/>
      <c r="BAV225" s="1201"/>
      <c r="BAW225" s="1201"/>
      <c r="BAX225" s="1201"/>
      <c r="BAY225" s="1201"/>
      <c r="BAZ225" s="1201"/>
      <c r="BBA225" s="1201"/>
      <c r="BBB225" s="1201"/>
      <c r="BBC225" s="1201"/>
      <c r="BBD225" s="1201"/>
      <c r="BBE225" s="1201"/>
      <c r="BBF225" s="1201"/>
      <c r="BBG225" s="1201"/>
      <c r="BBH225" s="1201"/>
      <c r="BBI225" s="1201"/>
      <c r="BBJ225" s="1201"/>
      <c r="BBK225" s="1201"/>
      <c r="BBL225" s="1201"/>
      <c r="BBM225" s="1201"/>
      <c r="BBN225" s="1201"/>
      <c r="BBO225" s="1201"/>
      <c r="BBP225" s="1201"/>
      <c r="BBQ225" s="1201"/>
      <c r="BBR225" s="1201"/>
      <c r="BBS225" s="1201"/>
      <c r="BBT225" s="1201"/>
      <c r="BBU225" s="1201"/>
      <c r="BBV225" s="1201"/>
      <c r="BBW225" s="1201"/>
      <c r="BBX225" s="1201"/>
      <c r="BBY225" s="1201"/>
      <c r="BBZ225" s="1201"/>
      <c r="BCA225" s="1201"/>
      <c r="BCB225" s="1201"/>
      <c r="BCC225" s="1201"/>
      <c r="BCD225" s="1201"/>
      <c r="BCE225" s="1201"/>
      <c r="BCF225" s="1201"/>
      <c r="BCG225" s="1201"/>
      <c r="BCH225" s="1201"/>
      <c r="BCI225" s="1201"/>
      <c r="BCJ225" s="1201"/>
      <c r="BCK225" s="1201"/>
      <c r="BCL225" s="1201"/>
      <c r="BCM225" s="1201"/>
      <c r="BCN225" s="1201"/>
      <c r="BCO225" s="1201"/>
      <c r="BCP225" s="1201"/>
      <c r="BCQ225" s="1201"/>
      <c r="BCR225" s="1201"/>
      <c r="BCS225" s="1201"/>
      <c r="BCT225" s="1201"/>
      <c r="BCU225" s="1201"/>
      <c r="BCV225" s="1201"/>
      <c r="BCW225" s="1201"/>
      <c r="BCX225" s="1201"/>
      <c r="BCY225" s="1201"/>
      <c r="BCZ225" s="1201"/>
      <c r="BDA225" s="1201"/>
      <c r="BDB225" s="1201"/>
      <c r="BDC225" s="1201"/>
      <c r="BDD225" s="1201"/>
      <c r="BDE225" s="1201"/>
      <c r="BDF225" s="1201"/>
      <c r="BDG225" s="1201"/>
      <c r="BDH225" s="1201"/>
      <c r="BDI225" s="1201"/>
      <c r="BDJ225" s="1201"/>
      <c r="BDK225" s="1201"/>
      <c r="BDL225" s="1201"/>
      <c r="BDM225" s="1201"/>
      <c r="BDN225" s="1201"/>
      <c r="BDO225" s="1201"/>
      <c r="BDP225" s="1201"/>
      <c r="BDQ225" s="1201"/>
      <c r="BDR225" s="1201"/>
      <c r="BDS225" s="1201"/>
      <c r="BDT225" s="1201"/>
      <c r="BDU225" s="1201"/>
      <c r="BDV225" s="1201"/>
      <c r="BDW225" s="1201"/>
      <c r="BDX225" s="1201"/>
      <c r="BDY225" s="1201"/>
      <c r="BDZ225" s="1201"/>
      <c r="BEA225" s="1201"/>
      <c r="BEB225" s="1201"/>
      <c r="BEC225" s="1201"/>
      <c r="BED225" s="1201"/>
      <c r="BEE225" s="1201"/>
      <c r="BEF225" s="1201"/>
      <c r="BEG225" s="1201"/>
      <c r="BEH225" s="1201"/>
      <c r="BEI225" s="1201"/>
      <c r="BEJ225" s="1201"/>
      <c r="BEK225" s="1201"/>
      <c r="BEL225" s="1201"/>
      <c r="BEM225" s="1201"/>
      <c r="BEN225" s="1201"/>
      <c r="BEO225" s="1201"/>
      <c r="BEP225" s="1201"/>
      <c r="BEQ225" s="1201"/>
      <c r="BER225" s="1201"/>
      <c r="BES225" s="1201"/>
      <c r="BET225" s="1201"/>
      <c r="BEU225" s="1201"/>
      <c r="BEV225" s="1201"/>
      <c r="BEW225" s="1201"/>
      <c r="BEX225" s="1201"/>
      <c r="BEY225" s="1201"/>
      <c r="BEZ225" s="1201"/>
      <c r="BFA225" s="1201"/>
      <c r="BFB225" s="1201"/>
      <c r="BFC225" s="1201"/>
      <c r="BFD225" s="1201"/>
      <c r="BFE225" s="1201"/>
      <c r="BFF225" s="1201"/>
      <c r="BFG225" s="1201"/>
      <c r="BFH225" s="1201"/>
      <c r="BFI225" s="1201"/>
      <c r="BFJ225" s="1201"/>
      <c r="BFK225" s="1201"/>
      <c r="BFL225" s="1201"/>
      <c r="BFM225" s="1201"/>
      <c r="BFN225" s="1201"/>
      <c r="BFO225" s="1201"/>
      <c r="BFP225" s="1201"/>
      <c r="BFQ225" s="1201"/>
      <c r="BFR225" s="1201"/>
      <c r="BFS225" s="1201"/>
      <c r="BFT225" s="1201"/>
      <c r="BFU225" s="1201"/>
      <c r="BFV225" s="1201"/>
      <c r="BFW225" s="1201"/>
      <c r="BFX225" s="1201"/>
      <c r="BFY225" s="1201"/>
      <c r="BFZ225" s="1201"/>
      <c r="BGA225" s="1201"/>
      <c r="BGB225" s="1201"/>
      <c r="BGC225" s="1201"/>
      <c r="BGD225" s="1201"/>
      <c r="BGE225" s="1201"/>
      <c r="BGF225" s="1201"/>
      <c r="BGG225" s="1201"/>
      <c r="BGH225" s="1201"/>
      <c r="BGI225" s="1201"/>
      <c r="BGJ225" s="1201"/>
      <c r="BGK225" s="1201"/>
      <c r="BGL225" s="1201"/>
      <c r="BGM225" s="1201"/>
      <c r="BGN225" s="1201"/>
      <c r="BGO225" s="1201"/>
      <c r="BGP225" s="1201"/>
      <c r="BGQ225" s="1201"/>
      <c r="BGR225" s="1201"/>
      <c r="BGS225" s="1201"/>
      <c r="BGT225" s="1201"/>
      <c r="BGU225" s="1201"/>
      <c r="BGV225" s="1201"/>
      <c r="BGW225" s="1201"/>
      <c r="BGX225" s="1201"/>
      <c r="BGY225" s="1201"/>
      <c r="BGZ225" s="1201"/>
      <c r="BHA225" s="1201"/>
      <c r="BHB225" s="1201"/>
      <c r="BHC225" s="1201"/>
      <c r="BHD225" s="1201"/>
      <c r="BHE225" s="1201"/>
      <c r="BHF225" s="1201"/>
      <c r="BHG225" s="1201"/>
      <c r="BHH225" s="1201"/>
      <c r="BHI225" s="1201"/>
      <c r="BHJ225" s="1201"/>
      <c r="BHK225" s="1201"/>
      <c r="BHL225" s="1201"/>
      <c r="BHM225" s="1201"/>
      <c r="BHN225" s="1201"/>
      <c r="BHO225" s="1201"/>
      <c r="BHP225" s="1201"/>
      <c r="BHQ225" s="1201"/>
      <c r="BHR225" s="1201"/>
      <c r="BHS225" s="1201"/>
      <c r="BHT225" s="1201"/>
      <c r="BHU225" s="1201"/>
      <c r="BHV225" s="1201"/>
      <c r="BHW225" s="1201"/>
      <c r="BHX225" s="1201"/>
      <c r="BHY225" s="1201"/>
      <c r="BHZ225" s="1201"/>
      <c r="BIA225" s="1201"/>
      <c r="BIB225" s="1201"/>
      <c r="BIC225" s="1201"/>
      <c r="BID225" s="1201"/>
      <c r="BIE225" s="1201"/>
      <c r="BIF225" s="1201"/>
      <c r="BIG225" s="1201"/>
      <c r="BIH225" s="1201"/>
      <c r="BII225" s="1201"/>
      <c r="BIJ225" s="1201"/>
      <c r="BIK225" s="1201"/>
      <c r="BIL225" s="1201"/>
      <c r="BIM225" s="1201"/>
      <c r="BIN225" s="1201"/>
      <c r="BIO225" s="1201"/>
      <c r="BIP225" s="1201"/>
      <c r="BIQ225" s="1201"/>
      <c r="BIR225" s="1201"/>
      <c r="BIS225" s="1201"/>
      <c r="BIT225" s="1201"/>
      <c r="BIU225" s="1201"/>
      <c r="BIV225" s="1201"/>
      <c r="BIW225" s="1201"/>
      <c r="BIX225" s="1201"/>
      <c r="BIY225" s="1201"/>
      <c r="BIZ225" s="1201"/>
      <c r="BJA225" s="1201"/>
      <c r="BJB225" s="1201"/>
      <c r="BJC225" s="1201"/>
      <c r="BJD225" s="1201"/>
      <c r="BJE225" s="1201"/>
      <c r="BJF225" s="1201"/>
      <c r="BJG225" s="1201"/>
      <c r="BJH225" s="1201"/>
      <c r="BJI225" s="1201"/>
      <c r="BJJ225" s="1201"/>
      <c r="BJK225" s="1201"/>
      <c r="BJL225" s="1201"/>
      <c r="BJM225" s="1201"/>
      <c r="BJN225" s="1201"/>
      <c r="BJO225" s="1201"/>
      <c r="BJP225" s="1201"/>
      <c r="BJQ225" s="1201"/>
      <c r="BJR225" s="1201"/>
      <c r="BJS225" s="1201"/>
      <c r="BJT225" s="1201"/>
      <c r="BJU225" s="1201"/>
      <c r="BJV225" s="1201"/>
      <c r="BJW225" s="1201"/>
      <c r="BJX225" s="1201"/>
      <c r="BJY225" s="1201"/>
      <c r="BJZ225" s="1201"/>
      <c r="BKA225" s="1201"/>
      <c r="BKB225" s="1201"/>
      <c r="BKC225" s="1201"/>
      <c r="BKD225" s="1201"/>
      <c r="BKE225" s="1201"/>
      <c r="BKF225" s="1201"/>
      <c r="BKG225" s="1201"/>
      <c r="BKH225" s="1201"/>
      <c r="BKI225" s="1201"/>
      <c r="BKJ225" s="1201"/>
      <c r="BKK225" s="1201"/>
      <c r="BKL225" s="1201"/>
      <c r="BKM225" s="1201"/>
      <c r="BKN225" s="1201"/>
      <c r="BKO225" s="1201"/>
      <c r="BKP225" s="1201"/>
      <c r="BKQ225" s="1201"/>
      <c r="BKR225" s="1201"/>
      <c r="BKS225" s="1201"/>
      <c r="BKT225" s="1201"/>
      <c r="BKU225" s="1201"/>
      <c r="BKV225" s="1201"/>
      <c r="BKW225" s="1201"/>
      <c r="BKX225" s="1201"/>
      <c r="BKY225" s="1201"/>
      <c r="BKZ225" s="1201"/>
      <c r="BLA225" s="1201"/>
      <c r="BLB225" s="1201"/>
      <c r="BLC225" s="1201"/>
      <c r="BLD225" s="1201"/>
      <c r="BLE225" s="1201"/>
      <c r="BLF225" s="1201"/>
      <c r="BLG225" s="1201"/>
      <c r="BLH225" s="1201"/>
      <c r="BLI225" s="1201"/>
      <c r="BLJ225" s="1201"/>
      <c r="BLK225" s="1201"/>
      <c r="BLL225" s="1201"/>
      <c r="BLM225" s="1201"/>
      <c r="BLN225" s="1201"/>
      <c r="BLO225" s="1201"/>
      <c r="BLP225" s="1201"/>
      <c r="BLQ225" s="1201"/>
      <c r="BLR225" s="1201"/>
      <c r="BLS225" s="1201"/>
      <c r="BLT225" s="1201"/>
      <c r="BLU225" s="1201"/>
      <c r="BLV225" s="1201"/>
      <c r="BLW225" s="1201"/>
      <c r="BLX225" s="1201"/>
      <c r="BLY225" s="1201"/>
      <c r="BLZ225" s="1201"/>
      <c r="BMA225" s="1201"/>
      <c r="BMB225" s="1201"/>
      <c r="BMC225" s="1201"/>
      <c r="BMD225" s="1201"/>
      <c r="BME225" s="1201"/>
      <c r="BMF225" s="1201"/>
      <c r="BMG225" s="1201"/>
      <c r="BMH225" s="1201"/>
      <c r="BMI225" s="1201"/>
      <c r="BMJ225" s="1201"/>
      <c r="BMK225" s="1201"/>
      <c r="BML225" s="1201"/>
      <c r="BMM225" s="1201"/>
      <c r="BMN225" s="1201"/>
      <c r="BMO225" s="1201"/>
      <c r="BMP225" s="1201"/>
      <c r="BMQ225" s="1201"/>
      <c r="BMR225" s="1201"/>
      <c r="BMS225" s="1201"/>
      <c r="BMT225" s="1201"/>
      <c r="BMU225" s="1201"/>
      <c r="BMV225" s="1201"/>
      <c r="BMW225" s="1201"/>
      <c r="BMX225" s="1201"/>
      <c r="BMY225" s="1201"/>
      <c r="BMZ225" s="1201"/>
      <c r="BNA225" s="1201"/>
      <c r="BNB225" s="1201"/>
      <c r="BNC225" s="1201"/>
      <c r="BND225" s="1201"/>
      <c r="BNE225" s="1201"/>
      <c r="BNF225" s="1201"/>
      <c r="BNG225" s="1201"/>
      <c r="BNH225" s="1201"/>
      <c r="BNI225" s="1201"/>
      <c r="BNJ225" s="1201"/>
      <c r="BNK225" s="1201"/>
      <c r="BNL225" s="1201"/>
      <c r="BNM225" s="1201"/>
      <c r="BNN225" s="1201"/>
      <c r="BNO225" s="1201"/>
      <c r="BNP225" s="1201"/>
      <c r="BNQ225" s="1201"/>
      <c r="BNR225" s="1201"/>
      <c r="BNS225" s="1201"/>
      <c r="BNT225" s="1201"/>
      <c r="BNU225" s="1201"/>
      <c r="BNV225" s="1201"/>
      <c r="BNW225" s="1201"/>
      <c r="BNX225" s="1201"/>
      <c r="BNY225" s="1201"/>
      <c r="BNZ225" s="1201"/>
      <c r="BOA225" s="1201"/>
      <c r="BOB225" s="1201"/>
      <c r="BOC225" s="1201"/>
      <c r="BOD225" s="1201"/>
      <c r="BOE225" s="1201"/>
      <c r="BOF225" s="1201"/>
      <c r="BOG225" s="1201"/>
      <c r="BOH225" s="1201"/>
      <c r="BOI225" s="1201"/>
      <c r="BOJ225" s="1201"/>
      <c r="BOK225" s="1201"/>
      <c r="BOL225" s="1201"/>
      <c r="BOM225" s="1201"/>
      <c r="BON225" s="1201"/>
      <c r="BOO225" s="1201"/>
      <c r="BOP225" s="1201"/>
      <c r="BOQ225" s="1201"/>
      <c r="BOR225" s="1201"/>
      <c r="BOS225" s="1201"/>
      <c r="BOT225" s="1201"/>
      <c r="BOU225" s="1201"/>
      <c r="BOV225" s="1201"/>
      <c r="BOW225" s="1201"/>
      <c r="BOX225" s="1201"/>
      <c r="BOY225" s="1201"/>
      <c r="BOZ225" s="1201"/>
      <c r="BPA225" s="1201"/>
      <c r="BPB225" s="1201"/>
      <c r="BPC225" s="1201"/>
      <c r="BPD225" s="1201"/>
      <c r="BPE225" s="1201"/>
      <c r="BPF225" s="1201"/>
      <c r="BPG225" s="1201"/>
      <c r="BPH225" s="1201"/>
      <c r="BPI225" s="1201"/>
      <c r="BPJ225" s="1201"/>
      <c r="BPK225" s="1201"/>
      <c r="BPL225" s="1201"/>
      <c r="BPM225" s="1201"/>
      <c r="BPN225" s="1201"/>
      <c r="BPO225" s="1201"/>
      <c r="BPP225" s="1201"/>
      <c r="BPQ225" s="1201"/>
      <c r="BPR225" s="1201"/>
      <c r="BPS225" s="1201"/>
      <c r="BPT225" s="1201"/>
      <c r="BPU225" s="1201"/>
      <c r="BPV225" s="1201"/>
      <c r="BPW225" s="1201"/>
      <c r="BPX225" s="1201"/>
      <c r="BPY225" s="1201"/>
      <c r="BPZ225" s="1201"/>
      <c r="BQA225" s="1201"/>
      <c r="BQB225" s="1201"/>
      <c r="BQC225" s="1201"/>
      <c r="BQD225" s="1201"/>
      <c r="BQE225" s="1201"/>
      <c r="BQF225" s="1201"/>
      <c r="BQG225" s="1201"/>
      <c r="BQH225" s="1201"/>
      <c r="BQI225" s="1201"/>
      <c r="BQJ225" s="1201"/>
      <c r="BQK225" s="1201"/>
      <c r="BQL225" s="1201"/>
      <c r="BQM225" s="1201"/>
      <c r="BQN225" s="1201"/>
      <c r="BQO225" s="1201"/>
      <c r="BQP225" s="1201"/>
      <c r="BQQ225" s="1201"/>
      <c r="BQR225" s="1201"/>
      <c r="BQS225" s="1201"/>
      <c r="BQT225" s="1201"/>
      <c r="BQU225" s="1201"/>
      <c r="BQV225" s="1201"/>
      <c r="BQW225" s="1201"/>
      <c r="BQX225" s="1201"/>
      <c r="BQY225" s="1201"/>
      <c r="BQZ225" s="1201"/>
      <c r="BRA225" s="1201"/>
      <c r="BRB225" s="1201"/>
      <c r="BRC225" s="1201"/>
      <c r="BRD225" s="1201"/>
      <c r="BRE225" s="1201"/>
      <c r="BRF225" s="1201"/>
      <c r="BRG225" s="1201"/>
      <c r="BRH225" s="1201"/>
      <c r="BRI225" s="1201"/>
      <c r="BRJ225" s="1201"/>
      <c r="BRK225" s="1201"/>
      <c r="BRL225" s="1201"/>
      <c r="BRM225" s="1201"/>
      <c r="BRN225" s="1201"/>
      <c r="BRO225" s="1201"/>
      <c r="BRP225" s="1201"/>
      <c r="BRQ225" s="1201"/>
      <c r="BRR225" s="1201"/>
      <c r="BRS225" s="1201"/>
      <c r="BRT225" s="1201"/>
      <c r="BRU225" s="1201"/>
      <c r="BRV225" s="1201"/>
      <c r="BRW225" s="1201"/>
      <c r="BRX225" s="1201"/>
      <c r="BRY225" s="1201"/>
      <c r="BRZ225" s="1201"/>
      <c r="BSA225" s="1201"/>
      <c r="BSB225" s="1201"/>
      <c r="BSC225" s="1201"/>
      <c r="BSD225" s="1201"/>
      <c r="BSE225" s="1201"/>
      <c r="BSF225" s="1201"/>
      <c r="BSG225" s="1201"/>
      <c r="BSH225" s="1201"/>
      <c r="BSI225" s="1201"/>
      <c r="BSJ225" s="1201"/>
      <c r="BSK225" s="1201"/>
      <c r="BSL225" s="1201"/>
      <c r="BSM225" s="1201"/>
      <c r="BSN225" s="1201"/>
      <c r="BSO225" s="1201"/>
      <c r="BSP225" s="1201"/>
      <c r="BSQ225" s="1201"/>
      <c r="BSR225" s="1201"/>
      <c r="BSS225" s="1201"/>
      <c r="BST225" s="1201"/>
      <c r="BSU225" s="1201"/>
      <c r="BSV225" s="1201"/>
      <c r="BSW225" s="1201"/>
      <c r="BSX225" s="1201"/>
      <c r="BSY225" s="1201"/>
      <c r="BSZ225" s="1201"/>
      <c r="BTA225" s="1201"/>
      <c r="BTB225" s="1201"/>
      <c r="BTC225" s="1201"/>
      <c r="BTD225" s="1201"/>
      <c r="BTE225" s="1201"/>
      <c r="BTF225" s="1201"/>
      <c r="BTG225" s="1201"/>
      <c r="BTH225" s="1201"/>
      <c r="BTI225" s="1201"/>
      <c r="BTJ225" s="1201"/>
      <c r="BTK225" s="1201"/>
      <c r="BTL225" s="1201"/>
      <c r="BTM225" s="1201"/>
      <c r="BTN225" s="1201"/>
      <c r="BTO225" s="1201"/>
      <c r="BTP225" s="1201"/>
      <c r="BTQ225" s="1201"/>
      <c r="BTR225" s="1201"/>
      <c r="BTS225" s="1201"/>
      <c r="BTT225" s="1201"/>
      <c r="BTU225" s="1201"/>
      <c r="BTV225" s="1201"/>
      <c r="BTW225" s="1201"/>
      <c r="BTX225" s="1201"/>
      <c r="BTY225" s="1201"/>
      <c r="BTZ225" s="1201"/>
      <c r="BUA225" s="1201"/>
      <c r="BUB225" s="1201"/>
      <c r="BUC225" s="1201"/>
      <c r="BUD225" s="1201"/>
      <c r="BUE225" s="1201"/>
      <c r="BUF225" s="1201"/>
      <c r="BUG225" s="1201"/>
      <c r="BUH225" s="1201"/>
      <c r="BUI225" s="1201"/>
      <c r="BUJ225" s="1201"/>
      <c r="BUK225" s="1201"/>
      <c r="BUL225" s="1201"/>
      <c r="BUM225" s="1201"/>
      <c r="BUN225" s="1201"/>
      <c r="BUO225" s="1201"/>
      <c r="BUP225" s="1201"/>
      <c r="BUQ225" s="1201"/>
      <c r="BUR225" s="1201"/>
      <c r="BUS225" s="1201"/>
      <c r="BUT225" s="1201"/>
      <c r="BUU225" s="1201"/>
      <c r="BUV225" s="1201"/>
      <c r="BUW225" s="1201"/>
      <c r="BUX225" s="1201"/>
      <c r="BUY225" s="1201"/>
      <c r="BUZ225" s="1201"/>
      <c r="BVA225" s="1201"/>
      <c r="BVB225" s="1201"/>
      <c r="BVC225" s="1201"/>
      <c r="BVD225" s="1201"/>
      <c r="BVE225" s="1201"/>
      <c r="BVF225" s="1201"/>
      <c r="BVG225" s="1201"/>
      <c r="BVH225" s="1201"/>
      <c r="BVI225" s="1201"/>
      <c r="BVJ225" s="1201"/>
      <c r="BVK225" s="1201"/>
      <c r="BVL225" s="1201"/>
      <c r="BVM225" s="1201"/>
      <c r="BVN225" s="1201"/>
      <c r="BVO225" s="1201"/>
      <c r="BVP225" s="1201"/>
      <c r="BVQ225" s="1201"/>
      <c r="BVR225" s="1201"/>
      <c r="BVS225" s="1201"/>
      <c r="BVT225" s="1201"/>
      <c r="BVU225" s="1201"/>
      <c r="BVV225" s="1201"/>
      <c r="BVW225" s="1201"/>
      <c r="BVX225" s="1201"/>
      <c r="BVY225" s="1201"/>
      <c r="BVZ225" s="1201"/>
      <c r="BWA225" s="1201"/>
      <c r="BWB225" s="1201"/>
      <c r="BWC225" s="1201"/>
      <c r="BWD225" s="1201"/>
      <c r="BWE225" s="1201"/>
      <c r="BWF225" s="1201"/>
      <c r="BWG225" s="1201"/>
      <c r="BWH225" s="1201"/>
      <c r="BWI225" s="1201"/>
      <c r="BWJ225" s="1201"/>
      <c r="BWK225" s="1201"/>
      <c r="BWL225" s="1201"/>
      <c r="BWM225" s="1201"/>
      <c r="BWN225" s="1201"/>
      <c r="BWO225" s="1201"/>
      <c r="BWP225" s="1201"/>
      <c r="BWQ225" s="1201"/>
      <c r="BWR225" s="1201"/>
      <c r="BWS225" s="1201"/>
      <c r="BWT225" s="1201"/>
      <c r="BWU225" s="1201"/>
      <c r="BWV225" s="1201"/>
      <c r="BWW225" s="1201"/>
      <c r="BWX225" s="1201"/>
      <c r="BWY225" s="1201"/>
      <c r="BWZ225" s="1201"/>
      <c r="BXA225" s="1201"/>
      <c r="BXB225" s="1201"/>
      <c r="BXC225" s="1201"/>
      <c r="BXD225" s="1201"/>
      <c r="BXE225" s="1201"/>
      <c r="BXF225" s="1201"/>
      <c r="BXG225" s="1201"/>
      <c r="BXH225" s="1201"/>
      <c r="BXI225" s="1201"/>
      <c r="BXJ225" s="1201"/>
      <c r="BXK225" s="1201"/>
      <c r="BXL225" s="1201"/>
      <c r="BXM225" s="1201"/>
      <c r="BXN225" s="1201"/>
      <c r="BXO225" s="1201"/>
      <c r="BXP225" s="1201"/>
      <c r="BXQ225" s="1201"/>
      <c r="BXR225" s="1201"/>
      <c r="BXS225" s="1201"/>
      <c r="BXT225" s="1201"/>
      <c r="BXU225" s="1201"/>
      <c r="BXV225" s="1201"/>
      <c r="BXW225" s="1201"/>
      <c r="BXX225" s="1201"/>
      <c r="BXY225" s="1201"/>
      <c r="BXZ225" s="1201"/>
      <c r="BYA225" s="1201"/>
      <c r="BYB225" s="1201"/>
      <c r="BYC225" s="1201"/>
      <c r="BYD225" s="1201"/>
      <c r="BYE225" s="1201"/>
      <c r="BYF225" s="1201"/>
      <c r="BYG225" s="1201"/>
      <c r="BYH225" s="1201"/>
      <c r="BYI225" s="1201"/>
      <c r="BYJ225" s="1201"/>
      <c r="BYK225" s="1201"/>
      <c r="BYL225" s="1201"/>
      <c r="BYM225" s="1201"/>
      <c r="BYN225" s="1201"/>
      <c r="BYO225" s="1201"/>
      <c r="BYP225" s="1201"/>
      <c r="BYQ225" s="1201"/>
      <c r="BYR225" s="1201"/>
      <c r="BYS225" s="1201"/>
      <c r="BYT225" s="1201"/>
      <c r="BYU225" s="1201"/>
      <c r="BYV225" s="1201"/>
      <c r="BYW225" s="1201"/>
      <c r="BYX225" s="1201"/>
      <c r="BYY225" s="1201"/>
      <c r="BYZ225" s="1201"/>
      <c r="BZA225" s="1201"/>
      <c r="BZB225" s="1201"/>
      <c r="BZC225" s="1201"/>
      <c r="BZD225" s="1201"/>
      <c r="BZE225" s="1201"/>
      <c r="BZF225" s="1201"/>
      <c r="BZG225" s="1201"/>
      <c r="BZH225" s="1201"/>
      <c r="BZI225" s="1201"/>
      <c r="BZJ225" s="1201"/>
      <c r="BZK225" s="1201"/>
      <c r="BZL225" s="1201"/>
      <c r="BZM225" s="1201"/>
      <c r="BZN225" s="1201"/>
      <c r="BZO225" s="1201"/>
      <c r="BZP225" s="1201"/>
      <c r="BZQ225" s="1201"/>
      <c r="BZR225" s="1201"/>
      <c r="BZS225" s="1201"/>
      <c r="BZT225" s="1201"/>
      <c r="BZU225" s="1201"/>
      <c r="BZV225" s="1201"/>
      <c r="BZW225" s="1201"/>
      <c r="BZX225" s="1201"/>
      <c r="BZY225" s="1201"/>
      <c r="BZZ225" s="1201"/>
      <c r="CAA225" s="1201"/>
      <c r="CAB225" s="1201"/>
      <c r="CAC225" s="1201"/>
      <c r="CAD225" s="1201"/>
      <c r="CAE225" s="1201"/>
      <c r="CAF225" s="1201"/>
      <c r="CAG225" s="1201"/>
      <c r="CAH225" s="1201"/>
      <c r="CAI225" s="1201"/>
      <c r="CAJ225" s="1201"/>
      <c r="CAK225" s="1201"/>
      <c r="CAL225" s="1201"/>
      <c r="CAM225" s="1201"/>
      <c r="CAN225" s="1201"/>
      <c r="CAO225" s="1201"/>
      <c r="CAP225" s="1201"/>
      <c r="CAQ225" s="1201"/>
      <c r="CAR225" s="1201"/>
      <c r="CAS225" s="1201"/>
      <c r="CAT225" s="1201"/>
      <c r="CAU225" s="1201"/>
      <c r="CAV225" s="1201"/>
      <c r="CAW225" s="1201"/>
      <c r="CAX225" s="1201"/>
      <c r="CAY225" s="1201"/>
      <c r="CAZ225" s="1201"/>
      <c r="CBA225" s="1201"/>
      <c r="CBB225" s="1201"/>
      <c r="CBC225" s="1201"/>
      <c r="CBD225" s="1201"/>
      <c r="CBE225" s="1201"/>
      <c r="CBF225" s="1201"/>
      <c r="CBG225" s="1201"/>
      <c r="CBH225" s="1201"/>
      <c r="CBI225" s="1201"/>
      <c r="CBJ225" s="1201"/>
      <c r="CBK225" s="1201"/>
      <c r="CBL225" s="1201"/>
      <c r="CBM225" s="1201"/>
      <c r="CBN225" s="1201"/>
      <c r="CBO225" s="1201"/>
      <c r="CBP225" s="1201"/>
      <c r="CBQ225" s="1201"/>
      <c r="CBR225" s="1201"/>
      <c r="CBS225" s="1201"/>
      <c r="CBT225" s="1201"/>
      <c r="CBU225" s="1201"/>
      <c r="CBV225" s="1201"/>
      <c r="CBW225" s="1201"/>
      <c r="CBX225" s="1201"/>
      <c r="CBY225" s="1201"/>
      <c r="CBZ225" s="1201"/>
      <c r="CCA225" s="1201"/>
      <c r="CCB225" s="1201"/>
      <c r="CCC225" s="1201"/>
      <c r="CCD225" s="1201"/>
      <c r="CCE225" s="1201"/>
      <c r="CCF225" s="1201"/>
      <c r="CCG225" s="1201"/>
      <c r="CCH225" s="1201"/>
      <c r="CCI225" s="1201"/>
      <c r="CCJ225" s="1201"/>
      <c r="CCK225" s="1201"/>
      <c r="CCL225" s="1201"/>
      <c r="CCM225" s="1201"/>
      <c r="CCN225" s="1201"/>
      <c r="CCO225" s="1201"/>
      <c r="CCP225" s="1201"/>
      <c r="CCQ225" s="1201"/>
      <c r="CCR225" s="1201"/>
      <c r="CCS225" s="1201"/>
      <c r="CCT225" s="1201"/>
      <c r="CCU225" s="1201"/>
      <c r="CCV225" s="1201"/>
      <c r="CCW225" s="1201"/>
      <c r="CCX225" s="1201"/>
      <c r="CCY225" s="1201"/>
      <c r="CCZ225" s="1201"/>
      <c r="CDA225" s="1201"/>
      <c r="CDB225" s="1201"/>
      <c r="CDC225" s="1201"/>
      <c r="CDD225" s="1201"/>
      <c r="CDE225" s="1201"/>
      <c r="CDF225" s="1201"/>
      <c r="CDG225" s="1201"/>
      <c r="CDH225" s="1201"/>
      <c r="CDI225" s="1201"/>
      <c r="CDJ225" s="1201"/>
      <c r="CDK225" s="1201"/>
      <c r="CDL225" s="1201"/>
      <c r="CDM225" s="1201"/>
      <c r="CDN225" s="1201"/>
      <c r="CDO225" s="1201"/>
      <c r="CDP225" s="1201"/>
      <c r="CDQ225" s="1201"/>
      <c r="CDR225" s="1201"/>
      <c r="CDS225" s="1201"/>
      <c r="CDT225" s="1201"/>
      <c r="CDU225" s="1201"/>
      <c r="CDV225" s="1201"/>
      <c r="CDW225" s="1201"/>
      <c r="CDX225" s="1201"/>
      <c r="CDY225" s="1201"/>
      <c r="CDZ225" s="1201"/>
      <c r="CEA225" s="1201"/>
      <c r="CEB225" s="1201"/>
      <c r="CEC225" s="1201"/>
      <c r="CED225" s="1201"/>
      <c r="CEE225" s="1201"/>
      <c r="CEF225" s="1201"/>
      <c r="CEG225" s="1201"/>
      <c r="CEH225" s="1201"/>
      <c r="CEI225" s="1201"/>
      <c r="CEJ225" s="1201"/>
      <c r="CEK225" s="1201"/>
      <c r="CEL225" s="1201"/>
      <c r="CEM225" s="1201"/>
      <c r="CEN225" s="1201"/>
      <c r="CEO225" s="1201"/>
      <c r="CEP225" s="1201"/>
      <c r="CEQ225" s="1201"/>
      <c r="CER225" s="1201"/>
      <c r="CES225" s="1201"/>
      <c r="CET225" s="1201"/>
      <c r="CEU225" s="1201"/>
      <c r="CEV225" s="1201"/>
      <c r="CEW225" s="1201"/>
      <c r="CEX225" s="1201"/>
      <c r="CEY225" s="1201"/>
      <c r="CEZ225" s="1201"/>
      <c r="CFA225" s="1201"/>
      <c r="CFB225" s="1201"/>
      <c r="CFC225" s="1201"/>
      <c r="CFD225" s="1201"/>
      <c r="CFE225" s="1201"/>
      <c r="CFF225" s="1201"/>
      <c r="CFG225" s="1201"/>
      <c r="CFH225" s="1201"/>
      <c r="CFI225" s="1201"/>
      <c r="CFJ225" s="1201"/>
      <c r="CFK225" s="1201"/>
      <c r="CFL225" s="1201"/>
      <c r="CFM225" s="1201"/>
      <c r="CFN225" s="1201"/>
      <c r="CFO225" s="1201"/>
      <c r="CFP225" s="1201"/>
      <c r="CFQ225" s="1201"/>
      <c r="CFR225" s="1201"/>
      <c r="CFS225" s="1201"/>
      <c r="CFT225" s="1201"/>
      <c r="CFU225" s="1201"/>
      <c r="CFV225" s="1201"/>
      <c r="CFW225" s="1201"/>
      <c r="CFX225" s="1201"/>
      <c r="CFY225" s="1201"/>
      <c r="CFZ225" s="1201"/>
      <c r="CGA225" s="1201"/>
      <c r="CGB225" s="1201"/>
      <c r="CGC225" s="1201"/>
      <c r="CGD225" s="1201"/>
      <c r="CGE225" s="1201"/>
      <c r="CGF225" s="1201"/>
      <c r="CGG225" s="1201"/>
      <c r="CGH225" s="1201"/>
      <c r="CGI225" s="1201"/>
      <c r="CGJ225" s="1201"/>
      <c r="CGK225" s="1201"/>
      <c r="CGL225" s="1201"/>
      <c r="CGM225" s="1201"/>
      <c r="CGN225" s="1201"/>
      <c r="CGO225" s="1201"/>
      <c r="CGP225" s="1201"/>
      <c r="CGQ225" s="1201"/>
      <c r="CGR225" s="1201"/>
      <c r="CGS225" s="1201"/>
      <c r="CGT225" s="1201"/>
      <c r="CGU225" s="1201"/>
      <c r="CGV225" s="1201"/>
      <c r="CGW225" s="1201"/>
      <c r="CGX225" s="1201"/>
      <c r="CGY225" s="1201"/>
      <c r="CGZ225" s="1201"/>
      <c r="CHA225" s="1201"/>
      <c r="CHB225" s="1201"/>
      <c r="CHC225" s="1201"/>
      <c r="CHD225" s="1201"/>
      <c r="CHE225" s="1201"/>
      <c r="CHF225" s="1201"/>
      <c r="CHG225" s="1201"/>
      <c r="CHH225" s="1201"/>
      <c r="CHI225" s="1201"/>
      <c r="CHJ225" s="1201"/>
      <c r="CHK225" s="1201"/>
      <c r="CHL225" s="1201"/>
      <c r="CHM225" s="1201"/>
      <c r="CHN225" s="1201"/>
      <c r="CHO225" s="1201"/>
      <c r="CHP225" s="1201"/>
      <c r="CHQ225" s="1201"/>
      <c r="CHR225" s="1201"/>
      <c r="CHS225" s="1201"/>
      <c r="CHT225" s="1201"/>
      <c r="CHU225" s="1201"/>
      <c r="CHV225" s="1201"/>
      <c r="CHW225" s="1201"/>
      <c r="CHX225" s="1201"/>
      <c r="CHY225" s="1201"/>
      <c r="CHZ225" s="1201"/>
      <c r="CIA225" s="1201"/>
      <c r="CIB225" s="1201"/>
      <c r="CIC225" s="1201"/>
      <c r="CID225" s="1201"/>
      <c r="CIE225" s="1201"/>
      <c r="CIF225" s="1201"/>
      <c r="CIG225" s="1201"/>
      <c r="CIH225" s="1201"/>
      <c r="CII225" s="1201"/>
      <c r="CIJ225" s="1201"/>
      <c r="CIK225" s="1201"/>
      <c r="CIL225" s="1201"/>
      <c r="CIM225" s="1201"/>
      <c r="CIN225" s="1201"/>
      <c r="CIO225" s="1201"/>
      <c r="CIP225" s="1201"/>
      <c r="CIQ225" s="1201"/>
      <c r="CIR225" s="1201"/>
      <c r="CIS225" s="1201"/>
      <c r="CIT225" s="1201"/>
      <c r="CIU225" s="1201"/>
      <c r="CIV225" s="1201"/>
      <c r="CIW225" s="1201"/>
      <c r="CIX225" s="1201"/>
      <c r="CIY225" s="1201"/>
      <c r="CIZ225" s="1201"/>
      <c r="CJA225" s="1201"/>
      <c r="CJB225" s="1201"/>
      <c r="CJC225" s="1201"/>
      <c r="CJD225" s="1201"/>
      <c r="CJE225" s="1201"/>
      <c r="CJF225" s="1201"/>
      <c r="CJG225" s="1201"/>
      <c r="CJH225" s="1201"/>
      <c r="CJI225" s="1201"/>
      <c r="CJJ225" s="1201"/>
      <c r="CJK225" s="1201"/>
      <c r="CJL225" s="1201"/>
      <c r="CJM225" s="1201"/>
      <c r="CJN225" s="1201"/>
      <c r="CJO225" s="1201"/>
      <c r="CJP225" s="1201"/>
      <c r="CJQ225" s="1201"/>
      <c r="CJR225" s="1201"/>
      <c r="CJS225" s="1201"/>
      <c r="CJT225" s="1201"/>
      <c r="CJU225" s="1201"/>
      <c r="CJV225" s="1201"/>
      <c r="CJW225" s="1201"/>
      <c r="CJX225" s="1201"/>
      <c r="CJY225" s="1201"/>
      <c r="CJZ225" s="1201"/>
      <c r="CKA225" s="1201"/>
      <c r="CKB225" s="1201"/>
      <c r="CKC225" s="1201"/>
      <c r="CKD225" s="1201"/>
      <c r="CKE225" s="1201"/>
      <c r="CKF225" s="1201"/>
      <c r="CKG225" s="1201"/>
      <c r="CKH225" s="1201"/>
      <c r="CKI225" s="1201"/>
      <c r="CKJ225" s="1201"/>
      <c r="CKK225" s="1201"/>
      <c r="CKL225" s="1201"/>
      <c r="CKM225" s="1201"/>
      <c r="CKN225" s="1201"/>
      <c r="CKO225" s="1201"/>
      <c r="CKP225" s="1201"/>
      <c r="CKQ225" s="1201"/>
      <c r="CKR225" s="1201"/>
      <c r="CKS225" s="1201"/>
      <c r="CKT225" s="1201"/>
      <c r="CKU225" s="1201"/>
      <c r="CKV225" s="1201"/>
      <c r="CKW225" s="1201"/>
      <c r="CKX225" s="1201"/>
      <c r="CKY225" s="1201"/>
      <c r="CKZ225" s="1201"/>
      <c r="CLA225" s="1201"/>
      <c r="CLB225" s="1201"/>
      <c r="CLC225" s="1201"/>
      <c r="CLD225" s="1201"/>
      <c r="CLE225" s="1201"/>
      <c r="CLF225" s="1201"/>
      <c r="CLG225" s="1201"/>
      <c r="CLH225" s="1201"/>
      <c r="CLI225" s="1201"/>
      <c r="CLJ225" s="1201"/>
      <c r="CLK225" s="1201"/>
      <c r="CLL225" s="1201"/>
      <c r="CLM225" s="1201"/>
      <c r="CLN225" s="1201"/>
      <c r="CLO225" s="1201"/>
      <c r="CLP225" s="1201"/>
      <c r="CLQ225" s="1201"/>
      <c r="CLR225" s="1201"/>
      <c r="CLS225" s="1201"/>
      <c r="CLT225" s="1201"/>
      <c r="CLU225" s="1201"/>
      <c r="CLV225" s="1201"/>
      <c r="CLW225" s="1201"/>
      <c r="CLX225" s="1201"/>
      <c r="CLY225" s="1201"/>
      <c r="CLZ225" s="1201"/>
      <c r="CMA225" s="1201"/>
      <c r="CMB225" s="1201"/>
      <c r="CMC225" s="1201"/>
      <c r="CMD225" s="1201"/>
      <c r="CME225" s="1201"/>
      <c r="CMF225" s="1201"/>
      <c r="CMG225" s="1201"/>
      <c r="CMH225" s="1201"/>
      <c r="CMI225" s="1201"/>
      <c r="CMJ225" s="1201"/>
      <c r="CMK225" s="1201"/>
      <c r="CML225" s="1201"/>
      <c r="CMM225" s="1201"/>
      <c r="CMN225" s="1201"/>
      <c r="CMO225" s="1201"/>
      <c r="CMP225" s="1201"/>
      <c r="CMQ225" s="1201"/>
      <c r="CMR225" s="1201"/>
      <c r="CMS225" s="1201"/>
      <c r="CMT225" s="1201"/>
      <c r="CMU225" s="1201"/>
      <c r="CMV225" s="1201"/>
      <c r="CMW225" s="1201"/>
      <c r="CMX225" s="1201"/>
      <c r="CMY225" s="1201"/>
      <c r="CMZ225" s="1201"/>
      <c r="CNA225" s="1201"/>
      <c r="CNB225" s="1201"/>
      <c r="CNC225" s="1201"/>
      <c r="CND225" s="1201"/>
      <c r="CNE225" s="1201"/>
      <c r="CNF225" s="1201"/>
      <c r="CNG225" s="1201"/>
      <c r="CNH225" s="1201"/>
      <c r="CNI225" s="1201"/>
      <c r="CNJ225" s="1201"/>
      <c r="CNK225" s="1201"/>
      <c r="CNL225" s="1201"/>
      <c r="CNM225" s="1201"/>
      <c r="CNN225" s="1201"/>
      <c r="CNO225" s="1201"/>
      <c r="CNP225" s="1201"/>
      <c r="CNQ225" s="1201"/>
      <c r="CNR225" s="1201"/>
      <c r="CNS225" s="1201"/>
      <c r="CNT225" s="1201"/>
      <c r="CNU225" s="1201"/>
      <c r="CNV225" s="1201"/>
      <c r="CNW225" s="1201"/>
      <c r="CNX225" s="1201"/>
      <c r="CNY225" s="1201"/>
      <c r="CNZ225" s="1201"/>
      <c r="COA225" s="1201"/>
      <c r="COB225" s="1201"/>
      <c r="COC225" s="1201"/>
      <c r="COD225" s="1201"/>
      <c r="COE225" s="1201"/>
      <c r="COF225" s="1201"/>
      <c r="COG225" s="1201"/>
      <c r="COH225" s="1201"/>
      <c r="COI225" s="1201"/>
      <c r="COJ225" s="1201"/>
      <c r="COK225" s="1201"/>
      <c r="COL225" s="1201"/>
      <c r="COM225" s="1201"/>
      <c r="CON225" s="1201"/>
      <c r="COO225" s="1201"/>
      <c r="COP225" s="1201"/>
      <c r="COQ225" s="1201"/>
      <c r="COR225" s="1201"/>
      <c r="COS225" s="1201"/>
      <c r="COT225" s="1201"/>
      <c r="COU225" s="1201"/>
      <c r="COV225" s="1201"/>
      <c r="COW225" s="1201"/>
      <c r="COX225" s="1201"/>
      <c r="COY225" s="1201"/>
      <c r="COZ225" s="1201"/>
      <c r="CPA225" s="1201"/>
      <c r="CPB225" s="1201"/>
      <c r="CPC225" s="1201"/>
      <c r="CPD225" s="1201"/>
      <c r="CPE225" s="1201"/>
      <c r="CPF225" s="1201"/>
      <c r="CPG225" s="1201"/>
      <c r="CPH225" s="1201"/>
      <c r="CPI225" s="1201"/>
      <c r="CPJ225" s="1201"/>
      <c r="CPK225" s="1201"/>
      <c r="CPL225" s="1201"/>
      <c r="CPM225" s="1201"/>
      <c r="CPN225" s="1201"/>
      <c r="CPO225" s="1201"/>
      <c r="CPP225" s="1201"/>
      <c r="CPQ225" s="1201"/>
      <c r="CPR225" s="1201"/>
      <c r="CPS225" s="1201"/>
      <c r="CPT225" s="1201"/>
      <c r="CPU225" s="1201"/>
      <c r="CPV225" s="1201"/>
      <c r="CPW225" s="1201"/>
      <c r="CPX225" s="1201"/>
      <c r="CPY225" s="1201"/>
      <c r="CPZ225" s="1201"/>
      <c r="CQA225" s="1201"/>
      <c r="CQB225" s="1201"/>
      <c r="CQC225" s="1201"/>
      <c r="CQD225" s="1201"/>
      <c r="CQE225" s="1201"/>
      <c r="CQF225" s="1201"/>
      <c r="CQG225" s="1201"/>
      <c r="CQH225" s="1201"/>
      <c r="CQI225" s="1201"/>
      <c r="CQJ225" s="1201"/>
      <c r="CQK225" s="1201"/>
      <c r="CQL225" s="1201"/>
      <c r="CQM225" s="1201"/>
      <c r="CQN225" s="1201"/>
      <c r="CQO225" s="1201"/>
      <c r="CQP225" s="1201"/>
      <c r="CQQ225" s="1201"/>
      <c r="CQR225" s="1201"/>
      <c r="CQS225" s="1201"/>
      <c r="CQT225" s="1201"/>
      <c r="CQU225" s="1201"/>
      <c r="CQV225" s="1201"/>
      <c r="CQW225" s="1201"/>
      <c r="CQX225" s="1201"/>
      <c r="CQY225" s="1201"/>
      <c r="CQZ225" s="1201"/>
      <c r="CRA225" s="1201"/>
      <c r="CRB225" s="1201"/>
      <c r="CRC225" s="1201"/>
      <c r="CRD225" s="1201"/>
      <c r="CRE225" s="1201"/>
      <c r="CRF225" s="1201"/>
      <c r="CRG225" s="1201"/>
      <c r="CRH225" s="1201"/>
      <c r="CRI225" s="1201"/>
      <c r="CRJ225" s="1201"/>
      <c r="CRK225" s="1201"/>
      <c r="CRL225" s="1201"/>
      <c r="CRM225" s="1201"/>
      <c r="CRN225" s="1201"/>
      <c r="CRO225" s="1201"/>
      <c r="CRP225" s="1201"/>
      <c r="CRQ225" s="1201"/>
      <c r="CRR225" s="1201"/>
      <c r="CRS225" s="1201"/>
      <c r="CRT225" s="1201"/>
      <c r="CRU225" s="1201"/>
      <c r="CRV225" s="1201"/>
      <c r="CRW225" s="1201"/>
      <c r="CRX225" s="1201"/>
      <c r="CRY225" s="1201"/>
      <c r="CRZ225" s="1201"/>
      <c r="CSA225" s="1201"/>
      <c r="CSB225" s="1201"/>
      <c r="CSC225" s="1201"/>
      <c r="CSD225" s="1201"/>
      <c r="CSE225" s="1201"/>
      <c r="CSF225" s="1201"/>
      <c r="CSG225" s="1201"/>
      <c r="CSH225" s="1201"/>
      <c r="CSI225" s="1201"/>
      <c r="CSJ225" s="1201"/>
      <c r="CSK225" s="1201"/>
      <c r="CSL225" s="1201"/>
      <c r="CSM225" s="1201"/>
      <c r="CSN225" s="1201"/>
      <c r="CSO225" s="1201"/>
      <c r="CSP225" s="1201"/>
      <c r="CSQ225" s="1201"/>
      <c r="CSR225" s="1201"/>
      <c r="CSS225" s="1201"/>
      <c r="CST225" s="1201"/>
      <c r="CSU225" s="1201"/>
      <c r="CSV225" s="1201"/>
      <c r="CSW225" s="1201"/>
      <c r="CSX225" s="1201"/>
      <c r="CSY225" s="1201"/>
      <c r="CSZ225" s="1201"/>
      <c r="CTA225" s="1201"/>
      <c r="CTB225" s="1201"/>
      <c r="CTC225" s="1201"/>
      <c r="CTD225" s="1201"/>
      <c r="CTE225" s="1201"/>
      <c r="CTF225" s="1201"/>
      <c r="CTG225" s="1201"/>
      <c r="CTH225" s="1201"/>
      <c r="CTI225" s="1201"/>
      <c r="CTJ225" s="1201"/>
      <c r="CTK225" s="1201"/>
      <c r="CTL225" s="1201"/>
      <c r="CTM225" s="1201"/>
      <c r="CTN225" s="1201"/>
      <c r="CTO225" s="1201"/>
      <c r="CTP225" s="1201"/>
      <c r="CTQ225" s="1201"/>
      <c r="CTR225" s="1201"/>
      <c r="CTS225" s="1201"/>
      <c r="CTT225" s="1201"/>
      <c r="CTU225" s="1201"/>
      <c r="CTV225" s="1201"/>
      <c r="CTW225" s="1201"/>
      <c r="CTX225" s="1201"/>
      <c r="CTY225" s="1201"/>
      <c r="CTZ225" s="1201"/>
      <c r="CUA225" s="1201"/>
      <c r="CUB225" s="1201"/>
      <c r="CUC225" s="1201"/>
      <c r="CUD225" s="1201"/>
      <c r="CUE225" s="1201"/>
      <c r="CUF225" s="1201"/>
      <c r="CUG225" s="1201"/>
      <c r="CUH225" s="1201"/>
      <c r="CUI225" s="1201"/>
      <c r="CUJ225" s="1201"/>
      <c r="CUK225" s="1201"/>
      <c r="CUL225" s="1201"/>
      <c r="CUM225" s="1201"/>
      <c r="CUN225" s="1201"/>
      <c r="CUO225" s="1201"/>
      <c r="CUP225" s="1201"/>
      <c r="CUQ225" s="1201"/>
      <c r="CUR225" s="1201"/>
      <c r="CUS225" s="1201"/>
      <c r="CUT225" s="1201"/>
      <c r="CUU225" s="1201"/>
      <c r="CUV225" s="1201"/>
      <c r="CUW225" s="1201"/>
      <c r="CUX225" s="1201"/>
      <c r="CUY225" s="1201"/>
      <c r="CUZ225" s="1201"/>
      <c r="CVA225" s="1201"/>
      <c r="CVB225" s="1201"/>
      <c r="CVC225" s="1201"/>
      <c r="CVD225" s="1201"/>
      <c r="CVE225" s="1201"/>
      <c r="CVF225" s="1201"/>
      <c r="CVG225" s="1201"/>
      <c r="CVH225" s="1201"/>
      <c r="CVI225" s="1201"/>
      <c r="CVJ225" s="1201"/>
      <c r="CVK225" s="1201"/>
      <c r="CVL225" s="1201"/>
      <c r="CVM225" s="1201"/>
      <c r="CVN225" s="1201"/>
      <c r="CVO225" s="1201"/>
      <c r="CVP225" s="1201"/>
      <c r="CVQ225" s="1201"/>
      <c r="CVR225" s="1201"/>
      <c r="CVS225" s="1201"/>
      <c r="CVT225" s="1201"/>
      <c r="CVU225" s="1201"/>
      <c r="CVV225" s="1201"/>
      <c r="CVW225" s="1201"/>
      <c r="CVX225" s="1201"/>
      <c r="CVY225" s="1201"/>
      <c r="CVZ225" s="1201"/>
      <c r="CWA225" s="1201"/>
      <c r="CWB225" s="1201"/>
      <c r="CWC225" s="1201"/>
      <c r="CWD225" s="1201"/>
      <c r="CWE225" s="1201"/>
      <c r="CWF225" s="1201"/>
      <c r="CWG225" s="1201"/>
      <c r="CWH225" s="1201"/>
      <c r="CWI225" s="1201"/>
      <c r="CWJ225" s="1201"/>
      <c r="CWK225" s="1201"/>
      <c r="CWL225" s="1201"/>
      <c r="CWM225" s="1201"/>
      <c r="CWN225" s="1201"/>
      <c r="CWO225" s="1201"/>
      <c r="CWP225" s="1201"/>
      <c r="CWQ225" s="1201"/>
      <c r="CWR225" s="1201"/>
      <c r="CWS225" s="1201"/>
      <c r="CWT225" s="1201"/>
      <c r="CWU225" s="1201"/>
      <c r="CWV225" s="1201"/>
      <c r="CWW225" s="1201"/>
      <c r="CWX225" s="1201"/>
      <c r="CWY225" s="1201"/>
      <c r="CWZ225" s="1201"/>
      <c r="CXA225" s="1201"/>
      <c r="CXB225" s="1201"/>
      <c r="CXC225" s="1201"/>
      <c r="CXD225" s="1201"/>
      <c r="CXE225" s="1201"/>
      <c r="CXF225" s="1201"/>
      <c r="CXG225" s="1201"/>
      <c r="CXH225" s="1201"/>
      <c r="CXI225" s="1201"/>
      <c r="CXJ225" s="1201"/>
      <c r="CXK225" s="1201"/>
      <c r="CXL225" s="1201"/>
      <c r="CXM225" s="1201"/>
      <c r="CXN225" s="1201"/>
      <c r="CXO225" s="1201"/>
      <c r="CXP225" s="1201"/>
      <c r="CXQ225" s="1201"/>
      <c r="CXR225" s="1201"/>
      <c r="CXS225" s="1201"/>
      <c r="CXT225" s="1201"/>
      <c r="CXU225" s="1201"/>
      <c r="CXV225" s="1201"/>
      <c r="CXW225" s="1201"/>
      <c r="CXX225" s="1201"/>
      <c r="CXY225" s="1201"/>
      <c r="CXZ225" s="1201"/>
      <c r="CYA225" s="1201"/>
      <c r="CYB225" s="1201"/>
      <c r="CYC225" s="1201"/>
      <c r="CYD225" s="1201"/>
      <c r="CYE225" s="1201"/>
      <c r="CYF225" s="1201"/>
      <c r="CYG225" s="1201"/>
      <c r="CYH225" s="1201"/>
      <c r="CYI225" s="1201"/>
      <c r="CYJ225" s="1201"/>
      <c r="CYK225" s="1201"/>
      <c r="CYL225" s="1201"/>
      <c r="CYM225" s="1201"/>
      <c r="CYN225" s="1201"/>
      <c r="CYO225" s="1201"/>
      <c r="CYP225" s="1201"/>
      <c r="CYQ225" s="1201"/>
      <c r="CYR225" s="1201"/>
      <c r="CYS225" s="1201"/>
      <c r="CYT225" s="1201"/>
      <c r="CYU225" s="1201"/>
      <c r="CYV225" s="1201"/>
      <c r="CYW225" s="1201"/>
      <c r="CYX225" s="1201"/>
      <c r="CYY225" s="1201"/>
      <c r="CYZ225" s="1201"/>
      <c r="CZA225" s="1201"/>
      <c r="CZB225" s="1201"/>
      <c r="CZC225" s="1201"/>
      <c r="CZD225" s="1201"/>
      <c r="CZE225" s="1201"/>
      <c r="CZF225" s="1201"/>
      <c r="CZG225" s="1201"/>
      <c r="CZH225" s="1201"/>
      <c r="CZI225" s="1201"/>
      <c r="CZJ225" s="1201"/>
      <c r="CZK225" s="1201"/>
      <c r="CZL225" s="1201"/>
      <c r="CZM225" s="1201"/>
      <c r="CZN225" s="1201"/>
      <c r="CZO225" s="1201"/>
      <c r="CZP225" s="1201"/>
      <c r="CZQ225" s="1201"/>
      <c r="CZR225" s="1201"/>
      <c r="CZS225" s="1201"/>
      <c r="CZT225" s="1201"/>
      <c r="CZU225" s="1201"/>
      <c r="CZV225" s="1201"/>
      <c r="CZW225" s="1201"/>
      <c r="CZX225" s="1201"/>
      <c r="CZY225" s="1201"/>
      <c r="CZZ225" s="1201"/>
      <c r="DAA225" s="1201"/>
      <c r="DAB225" s="1201"/>
      <c r="DAC225" s="1201"/>
      <c r="DAD225" s="1201"/>
      <c r="DAE225" s="1201"/>
      <c r="DAF225" s="1201"/>
      <c r="DAG225" s="1201"/>
      <c r="DAH225" s="1201"/>
      <c r="DAI225" s="1201"/>
      <c r="DAJ225" s="1201"/>
      <c r="DAK225" s="1201"/>
      <c r="DAL225" s="1201"/>
      <c r="DAM225" s="1201"/>
      <c r="DAN225" s="1201"/>
      <c r="DAO225" s="1201"/>
      <c r="DAP225" s="1201"/>
      <c r="DAQ225" s="1201"/>
      <c r="DAR225" s="1201"/>
      <c r="DAS225" s="1201"/>
      <c r="DAT225" s="1201"/>
      <c r="DAU225" s="1201"/>
      <c r="DAV225" s="1201"/>
      <c r="DAW225" s="1201"/>
      <c r="DAX225" s="1201"/>
      <c r="DAY225" s="1201"/>
      <c r="DAZ225" s="1201"/>
      <c r="DBA225" s="1201"/>
      <c r="DBB225" s="1201"/>
      <c r="DBC225" s="1201"/>
      <c r="DBD225" s="1201"/>
      <c r="DBE225" s="1201"/>
      <c r="DBF225" s="1201"/>
      <c r="DBG225" s="1201"/>
      <c r="DBH225" s="1201"/>
      <c r="DBI225" s="1201"/>
      <c r="DBJ225" s="1201"/>
      <c r="DBK225" s="1201"/>
      <c r="DBL225" s="1201"/>
      <c r="DBM225" s="1201"/>
      <c r="DBN225" s="1201"/>
      <c r="DBO225" s="1201"/>
      <c r="DBP225" s="1201"/>
      <c r="DBQ225" s="1201"/>
      <c r="DBR225" s="1201"/>
      <c r="DBS225" s="1201"/>
      <c r="DBT225" s="1201"/>
      <c r="DBU225" s="1201"/>
      <c r="DBV225" s="1201"/>
      <c r="DBW225" s="1201"/>
      <c r="DBX225" s="1201"/>
      <c r="DBY225" s="1201"/>
      <c r="DBZ225" s="1201"/>
      <c r="DCA225" s="1201"/>
      <c r="DCB225" s="1201"/>
      <c r="DCC225" s="1201"/>
      <c r="DCD225" s="1201"/>
      <c r="DCE225" s="1201"/>
      <c r="DCF225" s="1201"/>
      <c r="DCG225" s="1201"/>
      <c r="DCH225" s="1201"/>
      <c r="DCI225" s="1201"/>
      <c r="DCJ225" s="1201"/>
      <c r="DCK225" s="1201"/>
      <c r="DCL225" s="1201"/>
      <c r="DCM225" s="1201"/>
      <c r="DCN225" s="1201"/>
      <c r="DCO225" s="1201"/>
      <c r="DCP225" s="1201"/>
      <c r="DCQ225" s="1201"/>
      <c r="DCR225" s="1201"/>
      <c r="DCS225" s="1201"/>
      <c r="DCT225" s="1201"/>
      <c r="DCU225" s="1201"/>
      <c r="DCV225" s="1201"/>
      <c r="DCW225" s="1201"/>
      <c r="DCX225" s="1201"/>
      <c r="DCY225" s="1201"/>
      <c r="DCZ225" s="1201"/>
      <c r="DDA225" s="1201"/>
      <c r="DDB225" s="1201"/>
      <c r="DDC225" s="1201"/>
      <c r="DDD225" s="1201"/>
      <c r="DDE225" s="1201"/>
      <c r="DDF225" s="1201"/>
      <c r="DDG225" s="1201"/>
      <c r="DDH225" s="1201"/>
      <c r="DDI225" s="1201"/>
      <c r="DDJ225" s="1201"/>
      <c r="DDK225" s="1201"/>
      <c r="DDL225" s="1201"/>
      <c r="DDM225" s="1201"/>
      <c r="DDN225" s="1201"/>
      <c r="DDO225" s="1201"/>
      <c r="DDP225" s="1201"/>
      <c r="DDQ225" s="1201"/>
      <c r="DDR225" s="1201"/>
      <c r="DDS225" s="1201"/>
      <c r="DDT225" s="1201"/>
      <c r="DDU225" s="1201"/>
      <c r="DDV225" s="1201"/>
      <c r="DDW225" s="1201"/>
      <c r="DDX225" s="1201"/>
      <c r="DDY225" s="1201"/>
      <c r="DDZ225" s="1201"/>
      <c r="DEA225" s="1201"/>
      <c r="DEB225" s="1201"/>
      <c r="DEC225" s="1201"/>
      <c r="DED225" s="1201"/>
      <c r="DEE225" s="1201"/>
      <c r="DEF225" s="1201"/>
      <c r="DEG225" s="1201"/>
      <c r="DEH225" s="1201"/>
      <c r="DEI225" s="1201"/>
      <c r="DEJ225" s="1201"/>
      <c r="DEK225" s="1201"/>
      <c r="DEL225" s="1201"/>
      <c r="DEM225" s="1201"/>
      <c r="DEN225" s="1201"/>
      <c r="DEO225" s="1201"/>
      <c r="DEP225" s="1201"/>
      <c r="DEQ225" s="1201"/>
      <c r="DER225" s="1201"/>
      <c r="DES225" s="1201"/>
      <c r="DET225" s="1201"/>
      <c r="DEU225" s="1201"/>
      <c r="DEV225" s="1201"/>
      <c r="DEW225" s="1201"/>
      <c r="DEX225" s="1201"/>
      <c r="DEY225" s="1201"/>
      <c r="DEZ225" s="1201"/>
      <c r="DFA225" s="1201"/>
      <c r="DFB225" s="1201"/>
      <c r="DFC225" s="1201"/>
      <c r="DFD225" s="1201"/>
      <c r="DFE225" s="1201"/>
      <c r="DFF225" s="1201"/>
      <c r="DFG225" s="1201"/>
      <c r="DFH225" s="1201"/>
      <c r="DFI225" s="1201"/>
      <c r="DFJ225" s="1201"/>
      <c r="DFK225" s="1201"/>
      <c r="DFL225" s="1201"/>
      <c r="DFM225" s="1201"/>
      <c r="DFN225" s="1201"/>
      <c r="DFO225" s="1201"/>
      <c r="DFP225" s="1201"/>
      <c r="DFQ225" s="1201"/>
      <c r="DFR225" s="1201"/>
      <c r="DFS225" s="1201"/>
      <c r="DFT225" s="1201"/>
      <c r="DFU225" s="1201"/>
      <c r="DFV225" s="1201"/>
      <c r="DFW225" s="1201"/>
      <c r="DFX225" s="1201"/>
      <c r="DFY225" s="1201"/>
      <c r="DFZ225" s="1201"/>
      <c r="DGA225" s="1201"/>
      <c r="DGB225" s="1201"/>
      <c r="DGC225" s="1201"/>
      <c r="DGD225" s="1201"/>
      <c r="DGE225" s="1201"/>
      <c r="DGF225" s="1201"/>
      <c r="DGG225" s="1201"/>
      <c r="DGH225" s="1201"/>
      <c r="DGI225" s="1201"/>
      <c r="DGJ225" s="1201"/>
      <c r="DGK225" s="1201"/>
      <c r="DGL225" s="1201"/>
      <c r="DGM225" s="1201"/>
      <c r="DGN225" s="1201"/>
      <c r="DGO225" s="1201"/>
      <c r="DGP225" s="1201"/>
      <c r="DGQ225" s="1201"/>
      <c r="DGR225" s="1201"/>
      <c r="DGS225" s="1201"/>
      <c r="DGT225" s="1201"/>
      <c r="DGU225" s="1201"/>
      <c r="DGV225" s="1201"/>
      <c r="DGW225" s="1201"/>
      <c r="DGX225" s="1201"/>
      <c r="DGY225" s="1201"/>
      <c r="DGZ225" s="1201"/>
      <c r="DHA225" s="1201"/>
      <c r="DHB225" s="1201"/>
      <c r="DHC225" s="1201"/>
      <c r="DHD225" s="1201"/>
      <c r="DHE225" s="1201"/>
      <c r="DHF225" s="1201"/>
      <c r="DHG225" s="1201"/>
      <c r="DHH225" s="1201"/>
      <c r="DHI225" s="1201"/>
      <c r="DHJ225" s="1201"/>
      <c r="DHK225" s="1201"/>
      <c r="DHL225" s="1201"/>
      <c r="DHM225" s="1201"/>
      <c r="DHN225" s="1201"/>
      <c r="DHO225" s="1201"/>
      <c r="DHP225" s="1201"/>
      <c r="DHQ225" s="1201"/>
      <c r="DHR225" s="1201"/>
      <c r="DHS225" s="1201"/>
      <c r="DHT225" s="1201"/>
      <c r="DHU225" s="1201"/>
      <c r="DHV225" s="1201"/>
      <c r="DHW225" s="1201"/>
      <c r="DHX225" s="1201"/>
      <c r="DHY225" s="1201"/>
      <c r="DHZ225" s="1201"/>
      <c r="DIA225" s="1201"/>
      <c r="DIB225" s="1201"/>
      <c r="DIC225" s="1201"/>
      <c r="DID225" s="1201"/>
      <c r="DIE225" s="1201"/>
      <c r="DIF225" s="1201"/>
      <c r="DIG225" s="1201"/>
      <c r="DIH225" s="1201"/>
      <c r="DII225" s="1201"/>
      <c r="DIJ225" s="1201"/>
      <c r="DIK225" s="1201"/>
      <c r="DIL225" s="1201"/>
      <c r="DIM225" s="1201"/>
      <c r="DIN225" s="1201"/>
      <c r="DIO225" s="1201"/>
      <c r="DIP225" s="1201"/>
      <c r="DIQ225" s="1201"/>
      <c r="DIR225" s="1201"/>
      <c r="DIS225" s="1201"/>
      <c r="DIT225" s="1201"/>
      <c r="DIU225" s="1201"/>
      <c r="DIV225" s="1201"/>
      <c r="DIW225" s="1201"/>
      <c r="DIX225" s="1201"/>
      <c r="DIY225" s="1201"/>
      <c r="DIZ225" s="1201"/>
      <c r="DJA225" s="1201"/>
      <c r="DJB225" s="1201"/>
      <c r="DJC225" s="1201"/>
      <c r="DJD225" s="1201"/>
      <c r="DJE225" s="1201"/>
      <c r="DJF225" s="1201"/>
      <c r="DJG225" s="1201"/>
      <c r="DJH225" s="1201"/>
      <c r="DJI225" s="1201"/>
      <c r="DJJ225" s="1201"/>
      <c r="DJK225" s="1201"/>
      <c r="DJL225" s="1201"/>
      <c r="DJM225" s="1201"/>
      <c r="DJN225" s="1201"/>
      <c r="DJO225" s="1201"/>
      <c r="DJP225" s="1201"/>
      <c r="DJQ225" s="1201"/>
      <c r="DJR225" s="1201"/>
      <c r="DJS225" s="1201"/>
      <c r="DJT225" s="1201"/>
      <c r="DJU225" s="1201"/>
      <c r="DJV225" s="1201"/>
      <c r="DJW225" s="1201"/>
      <c r="DJX225" s="1201"/>
      <c r="DJY225" s="1201"/>
      <c r="DJZ225" s="1201"/>
      <c r="DKA225" s="1201"/>
      <c r="DKB225" s="1201"/>
      <c r="DKC225" s="1201"/>
      <c r="DKD225" s="1201"/>
      <c r="DKE225" s="1201"/>
      <c r="DKF225" s="1201"/>
      <c r="DKG225" s="1201"/>
      <c r="DKH225" s="1201"/>
      <c r="DKI225" s="1201"/>
      <c r="DKJ225" s="1201"/>
      <c r="DKK225" s="1201"/>
      <c r="DKL225" s="1201"/>
      <c r="DKM225" s="1201"/>
      <c r="DKN225" s="1201"/>
      <c r="DKO225" s="1201"/>
      <c r="DKP225" s="1201"/>
      <c r="DKQ225" s="1201"/>
      <c r="DKR225" s="1201"/>
      <c r="DKS225" s="1201"/>
      <c r="DKT225" s="1201"/>
      <c r="DKU225" s="1201"/>
      <c r="DKV225" s="1201"/>
      <c r="DKW225" s="1201"/>
      <c r="DKX225" s="1201"/>
      <c r="DKY225" s="1201"/>
      <c r="DKZ225" s="1201"/>
      <c r="DLA225" s="1201"/>
      <c r="DLB225" s="1201"/>
      <c r="DLC225" s="1201"/>
      <c r="DLD225" s="1201"/>
      <c r="DLE225" s="1201"/>
      <c r="DLF225" s="1201"/>
      <c r="DLG225" s="1201"/>
      <c r="DLH225" s="1201"/>
      <c r="DLI225" s="1201"/>
      <c r="DLJ225" s="1201"/>
      <c r="DLK225" s="1201"/>
      <c r="DLL225" s="1201"/>
      <c r="DLM225" s="1201"/>
      <c r="DLN225" s="1201"/>
      <c r="DLO225" s="1201"/>
      <c r="DLP225" s="1201"/>
      <c r="DLQ225" s="1201"/>
      <c r="DLR225" s="1201"/>
      <c r="DLS225" s="1201"/>
      <c r="DLT225" s="1201"/>
      <c r="DLU225" s="1201"/>
      <c r="DLV225" s="1201"/>
      <c r="DLW225" s="1201"/>
      <c r="DLX225" s="1201"/>
      <c r="DLY225" s="1201"/>
      <c r="DLZ225" s="1201"/>
      <c r="DMA225" s="1201"/>
      <c r="DMB225" s="1201"/>
      <c r="DMC225" s="1201"/>
      <c r="DMD225" s="1201"/>
      <c r="DME225" s="1201"/>
      <c r="DMF225" s="1201"/>
      <c r="DMG225" s="1201"/>
      <c r="DMH225" s="1201"/>
      <c r="DMI225" s="1201"/>
      <c r="DMJ225" s="1201"/>
      <c r="DMK225" s="1201"/>
      <c r="DML225" s="1201"/>
      <c r="DMM225" s="1201"/>
      <c r="DMN225" s="1201"/>
      <c r="DMO225" s="1201"/>
      <c r="DMP225" s="1201"/>
      <c r="DMQ225" s="1201"/>
      <c r="DMR225" s="1201"/>
      <c r="DMS225" s="1201"/>
      <c r="DMT225" s="1201"/>
      <c r="DMU225" s="1201"/>
      <c r="DMV225" s="1201"/>
      <c r="DMW225" s="1201"/>
      <c r="DMX225" s="1201"/>
      <c r="DMY225" s="1201"/>
      <c r="DMZ225" s="1201"/>
      <c r="DNA225" s="1201"/>
      <c r="DNB225" s="1201"/>
      <c r="DNC225" s="1201"/>
      <c r="DND225" s="1201"/>
      <c r="DNE225" s="1201"/>
      <c r="DNF225" s="1201"/>
      <c r="DNG225" s="1201"/>
      <c r="DNH225" s="1201"/>
      <c r="DNI225" s="1201"/>
      <c r="DNJ225" s="1201"/>
      <c r="DNK225" s="1201"/>
      <c r="DNL225" s="1201"/>
      <c r="DNM225" s="1201"/>
      <c r="DNN225" s="1201"/>
      <c r="DNO225" s="1201"/>
      <c r="DNP225" s="1201"/>
      <c r="DNQ225" s="1201"/>
      <c r="DNR225" s="1201"/>
      <c r="DNS225" s="1201"/>
      <c r="DNT225" s="1201"/>
      <c r="DNU225" s="1201"/>
      <c r="DNV225" s="1201"/>
      <c r="DNW225" s="1201"/>
      <c r="DNX225" s="1201"/>
      <c r="DNY225" s="1201"/>
      <c r="DNZ225" s="1201"/>
      <c r="DOA225" s="1201"/>
      <c r="DOB225" s="1201"/>
      <c r="DOC225" s="1201"/>
      <c r="DOD225" s="1201"/>
      <c r="DOE225" s="1201"/>
      <c r="DOF225" s="1201"/>
      <c r="DOG225" s="1201"/>
      <c r="DOH225" s="1201"/>
      <c r="DOI225" s="1201"/>
      <c r="DOJ225" s="1201"/>
      <c r="DOK225" s="1201"/>
      <c r="DOL225" s="1201"/>
      <c r="DOM225" s="1201"/>
      <c r="DON225" s="1201"/>
      <c r="DOO225" s="1201"/>
      <c r="DOP225" s="1201"/>
      <c r="DOQ225" s="1201"/>
      <c r="DOR225" s="1201"/>
      <c r="DOS225" s="1201"/>
      <c r="DOT225" s="1201"/>
      <c r="DOU225" s="1201"/>
      <c r="DOV225" s="1201"/>
      <c r="DOW225" s="1201"/>
      <c r="DOX225" s="1201"/>
      <c r="DOY225" s="1201"/>
      <c r="DOZ225" s="1201"/>
      <c r="DPA225" s="1201"/>
      <c r="DPB225" s="1201"/>
      <c r="DPC225" s="1201"/>
      <c r="DPD225" s="1201"/>
      <c r="DPE225" s="1201"/>
      <c r="DPF225" s="1201"/>
      <c r="DPG225" s="1201"/>
      <c r="DPH225" s="1201"/>
      <c r="DPI225" s="1201"/>
      <c r="DPJ225" s="1201"/>
      <c r="DPK225" s="1201"/>
      <c r="DPL225" s="1201"/>
      <c r="DPM225" s="1201"/>
      <c r="DPN225" s="1201"/>
      <c r="DPO225" s="1201"/>
      <c r="DPP225" s="1201"/>
      <c r="DPQ225" s="1201"/>
      <c r="DPR225" s="1201"/>
      <c r="DPS225" s="1201"/>
      <c r="DPT225" s="1201"/>
      <c r="DPU225" s="1201"/>
      <c r="DPV225" s="1201"/>
      <c r="DPW225" s="1201"/>
      <c r="DPX225" s="1201"/>
      <c r="DPY225" s="1201"/>
      <c r="DPZ225" s="1201"/>
      <c r="DQA225" s="1201"/>
      <c r="DQB225" s="1201"/>
      <c r="DQC225" s="1201"/>
      <c r="DQD225" s="1201"/>
      <c r="DQE225" s="1201"/>
      <c r="DQF225" s="1201"/>
      <c r="DQG225" s="1201"/>
      <c r="DQH225" s="1201"/>
      <c r="DQI225" s="1201"/>
      <c r="DQJ225" s="1201"/>
      <c r="DQK225" s="1201"/>
      <c r="DQL225" s="1201"/>
      <c r="DQM225" s="1201"/>
      <c r="DQN225" s="1201"/>
      <c r="DQO225" s="1201"/>
      <c r="DQP225" s="1201"/>
      <c r="DQQ225" s="1201"/>
      <c r="DQR225" s="1201"/>
      <c r="DQS225" s="1201"/>
      <c r="DQT225" s="1201"/>
      <c r="DQU225" s="1201"/>
      <c r="DQV225" s="1201"/>
      <c r="DQW225" s="1201"/>
      <c r="DQX225" s="1201"/>
      <c r="DQY225" s="1201"/>
      <c r="DQZ225" s="1201"/>
      <c r="DRA225" s="1201"/>
      <c r="DRB225" s="1201"/>
      <c r="DRC225" s="1201"/>
      <c r="DRD225" s="1201"/>
      <c r="DRE225" s="1201"/>
      <c r="DRF225" s="1201"/>
      <c r="DRG225" s="1201"/>
      <c r="DRH225" s="1201"/>
      <c r="DRI225" s="1201"/>
      <c r="DRJ225" s="1201"/>
      <c r="DRK225" s="1201"/>
      <c r="DRL225" s="1201"/>
      <c r="DRM225" s="1201"/>
      <c r="DRN225" s="1201"/>
      <c r="DRO225" s="1201"/>
      <c r="DRP225" s="1201"/>
      <c r="DRQ225" s="1201"/>
      <c r="DRR225" s="1201"/>
      <c r="DRS225" s="1201"/>
      <c r="DRT225" s="1201"/>
      <c r="DRU225" s="1201"/>
      <c r="DRV225" s="1201"/>
      <c r="DRW225" s="1201"/>
      <c r="DRX225" s="1201"/>
      <c r="DRY225" s="1201"/>
      <c r="DRZ225" s="1201"/>
      <c r="DSA225" s="1201"/>
      <c r="DSB225" s="1201"/>
      <c r="DSC225" s="1201"/>
      <c r="DSD225" s="1201"/>
      <c r="DSE225" s="1201"/>
      <c r="DSF225" s="1201"/>
      <c r="DSG225" s="1201"/>
      <c r="DSH225" s="1201"/>
      <c r="DSI225" s="1201"/>
      <c r="DSJ225" s="1201"/>
      <c r="DSK225" s="1201"/>
      <c r="DSL225" s="1201"/>
      <c r="DSM225" s="1201"/>
      <c r="DSN225" s="1201"/>
      <c r="DSO225" s="1201"/>
      <c r="DSP225" s="1201"/>
      <c r="DSQ225" s="1201"/>
      <c r="DSR225" s="1201"/>
      <c r="DSS225" s="1201"/>
      <c r="DST225" s="1201"/>
      <c r="DSU225" s="1201"/>
      <c r="DSV225" s="1201"/>
      <c r="DSW225" s="1201"/>
      <c r="DSX225" s="1201"/>
      <c r="DSY225" s="1201"/>
      <c r="DSZ225" s="1201"/>
      <c r="DTA225" s="1201"/>
      <c r="DTB225" s="1201"/>
      <c r="DTC225" s="1201"/>
      <c r="DTD225" s="1201"/>
      <c r="DTE225" s="1201"/>
      <c r="DTF225" s="1201"/>
      <c r="DTG225" s="1201"/>
      <c r="DTH225" s="1201"/>
      <c r="DTI225" s="1201"/>
      <c r="DTJ225" s="1201"/>
      <c r="DTK225" s="1201"/>
      <c r="DTL225" s="1201"/>
      <c r="DTM225" s="1201"/>
      <c r="DTN225" s="1201"/>
      <c r="DTO225" s="1201"/>
      <c r="DTP225" s="1201"/>
      <c r="DTQ225" s="1201"/>
      <c r="DTR225" s="1201"/>
      <c r="DTS225" s="1201"/>
      <c r="DTT225" s="1201"/>
      <c r="DTU225" s="1201"/>
      <c r="DTV225" s="1201"/>
      <c r="DTW225" s="1201"/>
      <c r="DTX225" s="1201"/>
      <c r="DTY225" s="1201"/>
      <c r="DTZ225" s="1201"/>
      <c r="DUA225" s="1201"/>
      <c r="DUB225" s="1201"/>
      <c r="DUC225" s="1201"/>
      <c r="DUD225" s="1201"/>
      <c r="DUE225" s="1201"/>
      <c r="DUF225" s="1201"/>
      <c r="DUG225" s="1201"/>
      <c r="DUH225" s="1201"/>
      <c r="DUI225" s="1201"/>
      <c r="DUJ225" s="1201"/>
      <c r="DUK225" s="1201"/>
      <c r="DUL225" s="1201"/>
      <c r="DUM225" s="1201"/>
      <c r="DUN225" s="1201"/>
      <c r="DUO225" s="1201"/>
      <c r="DUP225" s="1201"/>
      <c r="DUQ225" s="1201"/>
      <c r="DUR225" s="1201"/>
      <c r="DUS225" s="1201"/>
      <c r="DUT225" s="1201"/>
      <c r="DUU225" s="1201"/>
      <c r="DUV225" s="1201"/>
      <c r="DUW225" s="1201"/>
      <c r="DUX225" s="1201"/>
      <c r="DUY225" s="1201"/>
      <c r="DUZ225" s="1201"/>
      <c r="DVA225" s="1201"/>
      <c r="DVB225" s="1201"/>
      <c r="DVC225" s="1201"/>
      <c r="DVD225" s="1201"/>
      <c r="DVE225" s="1201"/>
      <c r="DVF225" s="1201"/>
      <c r="DVG225" s="1201"/>
      <c r="DVH225" s="1201"/>
      <c r="DVI225" s="1201"/>
      <c r="DVJ225" s="1201"/>
      <c r="DVK225" s="1201"/>
      <c r="DVL225" s="1201"/>
      <c r="DVM225" s="1201"/>
      <c r="DVN225" s="1201"/>
      <c r="DVO225" s="1201"/>
      <c r="DVP225" s="1201"/>
      <c r="DVQ225" s="1201"/>
      <c r="DVR225" s="1201"/>
      <c r="DVS225" s="1201"/>
      <c r="DVT225" s="1201"/>
      <c r="DVU225" s="1201"/>
      <c r="DVV225" s="1201"/>
      <c r="DVW225" s="1201"/>
      <c r="DVX225" s="1201"/>
      <c r="DVY225" s="1201"/>
      <c r="DVZ225" s="1201"/>
      <c r="DWA225" s="1201"/>
      <c r="DWB225" s="1201"/>
      <c r="DWC225" s="1201"/>
      <c r="DWD225" s="1201"/>
      <c r="DWE225" s="1201"/>
      <c r="DWF225" s="1201"/>
      <c r="DWG225" s="1201"/>
      <c r="DWH225" s="1201"/>
      <c r="DWI225" s="1201"/>
      <c r="DWJ225" s="1201"/>
      <c r="DWK225" s="1201"/>
      <c r="DWL225" s="1201"/>
      <c r="DWM225" s="1201"/>
      <c r="DWN225" s="1201"/>
      <c r="DWO225" s="1201"/>
      <c r="DWP225" s="1201"/>
      <c r="DWQ225" s="1201"/>
      <c r="DWR225" s="1201"/>
      <c r="DWS225" s="1201"/>
      <c r="DWT225" s="1201"/>
      <c r="DWU225" s="1201"/>
      <c r="DWV225" s="1201"/>
      <c r="DWW225" s="1201"/>
      <c r="DWX225" s="1201"/>
      <c r="DWY225" s="1201"/>
      <c r="DWZ225" s="1201"/>
      <c r="DXA225" s="1201"/>
      <c r="DXB225" s="1201"/>
      <c r="DXC225" s="1201"/>
      <c r="DXD225" s="1201"/>
      <c r="DXE225" s="1201"/>
      <c r="DXF225" s="1201"/>
      <c r="DXG225" s="1201"/>
      <c r="DXH225" s="1201"/>
      <c r="DXI225" s="1201"/>
      <c r="DXJ225" s="1201"/>
      <c r="DXK225" s="1201"/>
      <c r="DXL225" s="1201"/>
      <c r="DXM225" s="1201"/>
      <c r="DXN225" s="1201"/>
      <c r="DXO225" s="1201"/>
      <c r="DXP225" s="1201"/>
      <c r="DXQ225" s="1201"/>
      <c r="DXR225" s="1201"/>
      <c r="DXS225" s="1201"/>
      <c r="DXT225" s="1201"/>
      <c r="DXU225" s="1201"/>
      <c r="DXV225" s="1201"/>
      <c r="DXW225" s="1201"/>
      <c r="DXX225" s="1201"/>
      <c r="DXY225" s="1201"/>
      <c r="DXZ225" s="1201"/>
      <c r="DYA225" s="1201"/>
      <c r="DYB225" s="1201"/>
      <c r="DYC225" s="1201"/>
      <c r="DYD225" s="1201"/>
      <c r="DYE225" s="1201"/>
      <c r="DYF225" s="1201"/>
      <c r="DYG225" s="1201"/>
      <c r="DYH225" s="1201"/>
      <c r="DYI225" s="1201"/>
      <c r="DYJ225" s="1201"/>
      <c r="DYK225" s="1201"/>
      <c r="DYL225" s="1201"/>
      <c r="DYM225" s="1201"/>
      <c r="DYN225" s="1201"/>
      <c r="DYO225" s="1201"/>
      <c r="DYP225" s="1201"/>
      <c r="DYQ225" s="1201"/>
      <c r="DYR225" s="1201"/>
      <c r="DYS225" s="1201"/>
      <c r="DYT225" s="1201"/>
      <c r="DYU225" s="1201"/>
      <c r="DYV225" s="1201"/>
      <c r="DYW225" s="1201"/>
      <c r="DYX225" s="1201"/>
      <c r="DYY225" s="1201"/>
      <c r="DYZ225" s="1201"/>
      <c r="DZA225" s="1201"/>
      <c r="DZB225" s="1201"/>
      <c r="DZC225" s="1201"/>
      <c r="DZD225" s="1201"/>
      <c r="DZE225" s="1201"/>
      <c r="DZF225" s="1201"/>
      <c r="DZG225" s="1201"/>
      <c r="DZH225" s="1201"/>
      <c r="DZI225" s="1201"/>
      <c r="DZJ225" s="1201"/>
      <c r="DZK225" s="1201"/>
      <c r="DZL225" s="1201"/>
      <c r="DZM225" s="1201"/>
      <c r="DZN225" s="1201"/>
      <c r="DZO225" s="1201"/>
      <c r="DZP225" s="1201"/>
      <c r="DZQ225" s="1201"/>
      <c r="DZR225" s="1201"/>
      <c r="DZS225" s="1201"/>
      <c r="DZT225" s="1201"/>
      <c r="DZU225" s="1201"/>
      <c r="DZV225" s="1201"/>
      <c r="DZW225" s="1201"/>
      <c r="DZX225" s="1201"/>
      <c r="DZY225" s="1201"/>
      <c r="DZZ225" s="1201"/>
      <c r="EAA225" s="1201"/>
      <c r="EAB225" s="1201"/>
      <c r="EAC225" s="1201"/>
      <c r="EAD225" s="1201"/>
      <c r="EAE225" s="1201"/>
      <c r="EAF225" s="1201"/>
      <c r="EAG225" s="1201"/>
      <c r="EAH225" s="1201"/>
      <c r="EAI225" s="1201"/>
      <c r="EAJ225" s="1201"/>
      <c r="EAK225" s="1201"/>
      <c r="EAL225" s="1201"/>
      <c r="EAM225" s="1201"/>
      <c r="EAN225" s="1201"/>
      <c r="EAO225" s="1201"/>
      <c r="EAP225" s="1201"/>
      <c r="EAQ225" s="1201"/>
      <c r="EAR225" s="1201"/>
      <c r="EAS225" s="1201"/>
      <c r="EAT225" s="1201"/>
      <c r="EAU225" s="1201"/>
      <c r="EAV225" s="1201"/>
      <c r="EAW225" s="1201"/>
      <c r="EAX225" s="1201"/>
      <c r="EAY225" s="1201"/>
      <c r="EAZ225" s="1201"/>
      <c r="EBA225" s="1201"/>
      <c r="EBB225" s="1201"/>
      <c r="EBC225" s="1201"/>
      <c r="EBD225" s="1201"/>
      <c r="EBE225" s="1201"/>
      <c r="EBF225" s="1201"/>
      <c r="EBG225" s="1201"/>
      <c r="EBH225" s="1201"/>
      <c r="EBI225" s="1201"/>
      <c r="EBJ225" s="1201"/>
      <c r="EBK225" s="1201"/>
      <c r="EBL225" s="1201"/>
      <c r="EBM225" s="1201"/>
      <c r="EBN225" s="1201"/>
      <c r="EBO225" s="1201"/>
      <c r="EBP225" s="1201"/>
      <c r="EBQ225" s="1201"/>
      <c r="EBR225" s="1201"/>
      <c r="EBS225" s="1201"/>
      <c r="EBT225" s="1201"/>
      <c r="EBU225" s="1201"/>
      <c r="EBV225" s="1201"/>
      <c r="EBW225" s="1201"/>
      <c r="EBX225" s="1201"/>
      <c r="EBY225" s="1201"/>
      <c r="EBZ225" s="1201"/>
      <c r="ECA225" s="1201"/>
      <c r="ECB225" s="1201"/>
      <c r="ECC225" s="1201"/>
      <c r="ECD225" s="1201"/>
      <c r="ECE225" s="1201"/>
      <c r="ECF225" s="1201"/>
      <c r="ECG225" s="1201"/>
      <c r="ECH225" s="1201"/>
      <c r="ECI225" s="1201"/>
      <c r="ECJ225" s="1201"/>
      <c r="ECK225" s="1201"/>
      <c r="ECL225" s="1201"/>
      <c r="ECM225" s="1201"/>
      <c r="ECN225" s="1201"/>
      <c r="ECO225" s="1201"/>
      <c r="ECP225" s="1201"/>
      <c r="ECQ225" s="1201"/>
      <c r="ECR225" s="1201"/>
      <c r="ECS225" s="1201"/>
      <c r="ECT225" s="1201"/>
      <c r="ECU225" s="1201"/>
      <c r="ECV225" s="1201"/>
      <c r="ECW225" s="1201"/>
      <c r="ECX225" s="1201"/>
      <c r="ECY225" s="1201"/>
      <c r="ECZ225" s="1201"/>
      <c r="EDA225" s="1201"/>
      <c r="EDB225" s="1201"/>
      <c r="EDC225" s="1201"/>
      <c r="EDD225" s="1201"/>
      <c r="EDE225" s="1201"/>
      <c r="EDF225" s="1201"/>
      <c r="EDG225" s="1201"/>
      <c r="EDH225" s="1201"/>
      <c r="EDI225" s="1201"/>
      <c r="EDJ225" s="1201"/>
      <c r="EDK225" s="1201"/>
      <c r="EDL225" s="1201"/>
      <c r="EDM225" s="1201"/>
      <c r="EDN225" s="1201"/>
      <c r="EDO225" s="1201"/>
      <c r="EDP225" s="1201"/>
      <c r="EDQ225" s="1201"/>
      <c r="EDR225" s="1201"/>
      <c r="EDS225" s="1201"/>
      <c r="EDT225" s="1201"/>
      <c r="EDU225" s="1201"/>
      <c r="EDV225" s="1201"/>
      <c r="EDW225" s="1201"/>
      <c r="EDX225" s="1201"/>
      <c r="EDY225" s="1201"/>
      <c r="EDZ225" s="1201"/>
      <c r="EEA225" s="1201"/>
      <c r="EEB225" s="1201"/>
      <c r="EEC225" s="1201"/>
      <c r="EED225" s="1201"/>
      <c r="EEE225" s="1201"/>
      <c r="EEF225" s="1201"/>
      <c r="EEG225" s="1201"/>
      <c r="EEH225" s="1201"/>
      <c r="EEI225" s="1201"/>
      <c r="EEJ225" s="1201"/>
      <c r="EEK225" s="1201"/>
      <c r="EEL225" s="1201"/>
      <c r="EEM225" s="1201"/>
      <c r="EEN225" s="1201"/>
      <c r="EEO225" s="1201"/>
      <c r="EEP225" s="1201"/>
      <c r="EEQ225" s="1201"/>
      <c r="EER225" s="1201"/>
      <c r="EES225" s="1201"/>
      <c r="EET225" s="1201"/>
      <c r="EEU225" s="1201"/>
      <c r="EEV225" s="1201"/>
      <c r="EEW225" s="1201"/>
      <c r="EEX225" s="1201"/>
      <c r="EEY225" s="1201"/>
      <c r="EEZ225" s="1201"/>
      <c r="EFA225" s="1201"/>
      <c r="EFB225" s="1201"/>
      <c r="EFC225" s="1201"/>
      <c r="EFD225" s="1201"/>
      <c r="EFE225" s="1201"/>
      <c r="EFF225" s="1201"/>
      <c r="EFG225" s="1201"/>
      <c r="EFH225" s="1201"/>
      <c r="EFI225" s="1201"/>
      <c r="EFJ225" s="1201"/>
      <c r="EFK225" s="1201"/>
      <c r="EFL225" s="1201"/>
      <c r="EFM225" s="1201"/>
      <c r="EFN225" s="1201"/>
      <c r="EFO225" s="1201"/>
      <c r="EFP225" s="1201"/>
      <c r="EFQ225" s="1201"/>
      <c r="EFR225" s="1201"/>
      <c r="EFS225" s="1201"/>
      <c r="EFT225" s="1201"/>
      <c r="EFU225" s="1201"/>
      <c r="EFV225" s="1201"/>
      <c r="EFW225" s="1201"/>
      <c r="EFX225" s="1201"/>
      <c r="EFY225" s="1201"/>
      <c r="EFZ225" s="1201"/>
      <c r="EGA225" s="1201"/>
      <c r="EGB225" s="1201"/>
      <c r="EGC225" s="1201"/>
      <c r="EGD225" s="1201"/>
      <c r="EGE225" s="1201"/>
      <c r="EGF225" s="1201"/>
      <c r="EGG225" s="1201"/>
      <c r="EGH225" s="1201"/>
      <c r="EGI225" s="1201"/>
      <c r="EGJ225" s="1201"/>
      <c r="EGK225" s="1201"/>
      <c r="EGL225" s="1201"/>
      <c r="EGM225" s="1201"/>
      <c r="EGN225" s="1201"/>
      <c r="EGO225" s="1201"/>
      <c r="EGP225" s="1201"/>
      <c r="EGQ225" s="1201"/>
      <c r="EGR225" s="1201"/>
      <c r="EGS225" s="1201"/>
      <c r="EGT225" s="1201"/>
      <c r="EGU225" s="1201"/>
      <c r="EGV225" s="1201"/>
      <c r="EGW225" s="1201"/>
      <c r="EGX225" s="1201"/>
      <c r="EGY225" s="1201"/>
      <c r="EGZ225" s="1201"/>
      <c r="EHA225" s="1201"/>
      <c r="EHB225" s="1201"/>
      <c r="EHC225" s="1201"/>
      <c r="EHD225" s="1201"/>
      <c r="EHE225" s="1201"/>
      <c r="EHF225" s="1201"/>
      <c r="EHG225" s="1201"/>
      <c r="EHH225" s="1201"/>
      <c r="EHI225" s="1201"/>
      <c r="EHJ225" s="1201"/>
      <c r="EHK225" s="1201"/>
      <c r="EHL225" s="1201"/>
      <c r="EHM225" s="1201"/>
      <c r="EHN225" s="1201"/>
      <c r="EHO225" s="1201"/>
      <c r="EHP225" s="1201"/>
      <c r="EHQ225" s="1201"/>
      <c r="EHR225" s="1201"/>
      <c r="EHS225" s="1201"/>
      <c r="EHT225" s="1201"/>
      <c r="EHU225" s="1201"/>
      <c r="EHV225" s="1201"/>
      <c r="EHW225" s="1201"/>
      <c r="EHX225" s="1201"/>
      <c r="EHY225" s="1201"/>
      <c r="EHZ225" s="1201"/>
      <c r="EIA225" s="1201"/>
      <c r="EIB225" s="1201"/>
      <c r="EIC225" s="1201"/>
      <c r="EID225" s="1201"/>
      <c r="EIE225" s="1201"/>
      <c r="EIF225" s="1201"/>
      <c r="EIG225" s="1201"/>
      <c r="EIH225" s="1201"/>
      <c r="EII225" s="1201"/>
      <c r="EIJ225" s="1201"/>
      <c r="EIK225" s="1201"/>
      <c r="EIL225" s="1201"/>
      <c r="EIM225" s="1201"/>
      <c r="EIN225" s="1201"/>
      <c r="EIO225" s="1201"/>
      <c r="EIP225" s="1201"/>
      <c r="EIQ225" s="1201"/>
      <c r="EIR225" s="1201"/>
      <c r="EIS225" s="1201"/>
      <c r="EIT225" s="1201"/>
      <c r="EIU225" s="1201"/>
      <c r="EIV225" s="1201"/>
      <c r="EIW225" s="1201"/>
      <c r="EIX225" s="1201"/>
      <c r="EIY225" s="1201"/>
      <c r="EIZ225" s="1201"/>
      <c r="EJA225" s="1201"/>
      <c r="EJB225" s="1201"/>
      <c r="EJC225" s="1201"/>
      <c r="EJD225" s="1201"/>
      <c r="EJE225" s="1201"/>
      <c r="EJF225" s="1201"/>
      <c r="EJG225" s="1201"/>
      <c r="EJH225" s="1201"/>
      <c r="EJI225" s="1201"/>
      <c r="EJJ225" s="1201"/>
      <c r="EJK225" s="1201"/>
      <c r="EJL225" s="1201"/>
      <c r="EJM225" s="1201"/>
      <c r="EJN225" s="1201"/>
      <c r="EJO225" s="1201"/>
      <c r="EJP225" s="1201"/>
      <c r="EJQ225" s="1201"/>
      <c r="EJR225" s="1201"/>
      <c r="EJS225" s="1201"/>
      <c r="EJT225" s="1201"/>
      <c r="EJU225" s="1201"/>
      <c r="EJV225" s="1201"/>
      <c r="EJW225" s="1201"/>
      <c r="EJX225" s="1201"/>
      <c r="EJY225" s="1201"/>
      <c r="EJZ225" s="1201"/>
      <c r="EKA225" s="1201"/>
      <c r="EKB225" s="1201"/>
      <c r="EKC225" s="1201"/>
      <c r="EKD225" s="1201"/>
      <c r="EKE225" s="1201"/>
      <c r="EKF225" s="1201"/>
      <c r="EKG225" s="1201"/>
      <c r="EKH225" s="1201"/>
      <c r="EKI225" s="1201"/>
      <c r="EKJ225" s="1201"/>
      <c r="EKK225" s="1201"/>
      <c r="EKL225" s="1201"/>
      <c r="EKM225" s="1201"/>
      <c r="EKN225" s="1201"/>
      <c r="EKO225" s="1201"/>
      <c r="EKP225" s="1201"/>
      <c r="EKQ225" s="1201"/>
      <c r="EKR225" s="1201"/>
      <c r="EKS225" s="1201"/>
      <c r="EKT225" s="1201"/>
      <c r="EKU225" s="1201"/>
      <c r="EKV225" s="1201"/>
      <c r="EKW225" s="1201"/>
      <c r="EKX225" s="1201"/>
      <c r="EKY225" s="1201"/>
      <c r="EKZ225" s="1201"/>
      <c r="ELA225" s="1201"/>
      <c r="ELB225" s="1201"/>
      <c r="ELC225" s="1201"/>
      <c r="ELD225" s="1201"/>
      <c r="ELE225" s="1201"/>
      <c r="ELF225" s="1201"/>
      <c r="ELG225" s="1201"/>
      <c r="ELH225" s="1201"/>
      <c r="ELI225" s="1201"/>
      <c r="ELJ225" s="1201"/>
      <c r="ELK225" s="1201"/>
      <c r="ELL225" s="1201"/>
      <c r="ELM225" s="1201"/>
      <c r="ELN225" s="1201"/>
      <c r="ELO225" s="1201"/>
      <c r="ELP225" s="1201"/>
      <c r="ELQ225" s="1201"/>
      <c r="ELR225" s="1201"/>
      <c r="ELS225" s="1201"/>
      <c r="ELT225" s="1201"/>
      <c r="ELU225" s="1201"/>
      <c r="ELV225" s="1201"/>
      <c r="ELW225" s="1201"/>
      <c r="ELX225" s="1201"/>
      <c r="ELY225" s="1201"/>
      <c r="ELZ225" s="1201"/>
      <c r="EMA225" s="1201"/>
      <c r="EMB225" s="1201"/>
      <c r="EMC225" s="1201"/>
      <c r="EMD225" s="1201"/>
      <c r="EME225" s="1201"/>
      <c r="EMF225" s="1201"/>
      <c r="EMG225" s="1201"/>
      <c r="EMH225" s="1201"/>
      <c r="EMI225" s="1201"/>
      <c r="EMJ225" s="1201"/>
      <c r="EMK225" s="1201"/>
      <c r="EML225" s="1201"/>
      <c r="EMM225" s="1201"/>
      <c r="EMN225" s="1201"/>
      <c r="EMO225" s="1201"/>
      <c r="EMP225" s="1201"/>
      <c r="EMQ225" s="1201"/>
      <c r="EMR225" s="1201"/>
      <c r="EMS225" s="1201"/>
      <c r="EMT225" s="1201"/>
      <c r="EMU225" s="1201"/>
      <c r="EMV225" s="1201"/>
      <c r="EMW225" s="1201"/>
      <c r="EMX225" s="1201"/>
      <c r="EMY225" s="1201"/>
      <c r="EMZ225" s="1201"/>
      <c r="ENA225" s="1201"/>
      <c r="ENB225" s="1201"/>
      <c r="ENC225" s="1201"/>
      <c r="END225" s="1201"/>
      <c r="ENE225" s="1201"/>
      <c r="ENF225" s="1201"/>
      <c r="ENG225" s="1201"/>
      <c r="ENH225" s="1201"/>
      <c r="ENI225" s="1201"/>
      <c r="ENJ225" s="1201"/>
      <c r="ENK225" s="1201"/>
      <c r="ENL225" s="1201"/>
      <c r="ENM225" s="1201"/>
      <c r="ENN225" s="1201"/>
      <c r="ENO225" s="1201"/>
      <c r="ENP225" s="1201"/>
      <c r="ENQ225" s="1201"/>
      <c r="ENR225" s="1201"/>
      <c r="ENS225" s="1201"/>
      <c r="ENT225" s="1201"/>
      <c r="ENU225" s="1201"/>
      <c r="ENV225" s="1201"/>
      <c r="ENW225" s="1201"/>
      <c r="ENX225" s="1201"/>
      <c r="ENY225" s="1201"/>
      <c r="ENZ225" s="1201"/>
      <c r="EOA225" s="1201"/>
      <c r="EOB225" s="1201"/>
      <c r="EOC225" s="1201"/>
      <c r="EOD225" s="1201"/>
      <c r="EOE225" s="1201"/>
      <c r="EOF225" s="1201"/>
      <c r="EOG225" s="1201"/>
      <c r="EOH225" s="1201"/>
      <c r="EOI225" s="1201"/>
      <c r="EOJ225" s="1201"/>
      <c r="EOK225" s="1201"/>
      <c r="EOL225" s="1201"/>
      <c r="EOM225" s="1201"/>
      <c r="EON225" s="1201"/>
      <c r="EOO225" s="1201"/>
      <c r="EOP225" s="1201"/>
      <c r="EOQ225" s="1201"/>
      <c r="EOR225" s="1201"/>
      <c r="EOS225" s="1201"/>
      <c r="EOT225" s="1201"/>
      <c r="EOU225" s="1201"/>
      <c r="EOV225" s="1201"/>
      <c r="EOW225" s="1201"/>
      <c r="EOX225" s="1201"/>
      <c r="EOY225" s="1201"/>
      <c r="EOZ225" s="1201"/>
      <c r="EPA225" s="1201"/>
      <c r="EPB225" s="1201"/>
      <c r="EPC225" s="1201"/>
      <c r="EPD225" s="1201"/>
      <c r="EPE225" s="1201"/>
      <c r="EPF225" s="1201"/>
      <c r="EPG225" s="1201"/>
      <c r="EPH225" s="1201"/>
      <c r="EPI225" s="1201"/>
      <c r="EPJ225" s="1201"/>
      <c r="EPK225" s="1201"/>
      <c r="EPL225" s="1201"/>
      <c r="EPM225" s="1201"/>
      <c r="EPN225" s="1201"/>
      <c r="EPO225" s="1201"/>
      <c r="EPP225" s="1201"/>
      <c r="EPQ225" s="1201"/>
      <c r="EPR225" s="1201"/>
      <c r="EPS225" s="1201"/>
      <c r="EPT225" s="1201"/>
      <c r="EPU225" s="1201"/>
      <c r="EPV225" s="1201"/>
      <c r="EPW225" s="1201"/>
      <c r="EPX225" s="1201"/>
      <c r="EPY225" s="1201"/>
      <c r="EPZ225" s="1201"/>
      <c r="EQA225" s="1201"/>
      <c r="EQB225" s="1201"/>
      <c r="EQC225" s="1201"/>
      <c r="EQD225" s="1201"/>
      <c r="EQE225" s="1201"/>
      <c r="EQF225" s="1201"/>
      <c r="EQG225" s="1201"/>
      <c r="EQH225" s="1201"/>
      <c r="EQI225" s="1201"/>
      <c r="EQJ225" s="1201"/>
      <c r="EQK225" s="1201"/>
      <c r="EQL225" s="1201"/>
      <c r="EQM225" s="1201"/>
      <c r="EQN225" s="1201"/>
      <c r="EQO225" s="1201"/>
      <c r="EQP225" s="1201"/>
      <c r="EQQ225" s="1201"/>
      <c r="EQR225" s="1201"/>
      <c r="EQS225" s="1201"/>
      <c r="EQT225" s="1201"/>
      <c r="EQU225" s="1201"/>
      <c r="EQV225" s="1201"/>
      <c r="EQW225" s="1201"/>
      <c r="EQX225" s="1201"/>
      <c r="EQY225" s="1201"/>
      <c r="EQZ225" s="1201"/>
      <c r="ERA225" s="1201"/>
      <c r="ERB225" s="1201"/>
      <c r="ERC225" s="1201"/>
      <c r="ERD225" s="1201"/>
      <c r="ERE225" s="1201"/>
      <c r="ERF225" s="1201"/>
      <c r="ERG225" s="1201"/>
      <c r="ERH225" s="1201"/>
      <c r="ERI225" s="1201"/>
      <c r="ERJ225" s="1201"/>
      <c r="ERK225" s="1201"/>
      <c r="ERL225" s="1201"/>
      <c r="ERM225" s="1201"/>
      <c r="ERN225" s="1201"/>
      <c r="ERO225" s="1201"/>
      <c r="ERP225" s="1201"/>
      <c r="ERQ225" s="1201"/>
      <c r="ERR225" s="1201"/>
      <c r="ERS225" s="1201"/>
      <c r="ERT225" s="1201"/>
      <c r="ERU225" s="1201"/>
      <c r="ERV225" s="1201"/>
      <c r="ERW225" s="1201"/>
      <c r="ERX225" s="1201"/>
      <c r="ERY225" s="1201"/>
      <c r="ERZ225" s="1201"/>
      <c r="ESA225" s="1201"/>
      <c r="ESB225" s="1201"/>
      <c r="ESC225" s="1201"/>
      <c r="ESD225" s="1201"/>
      <c r="ESE225" s="1201"/>
      <c r="ESF225" s="1201"/>
      <c r="ESG225" s="1201"/>
      <c r="ESH225" s="1201"/>
      <c r="ESI225" s="1201"/>
      <c r="ESJ225" s="1201"/>
      <c r="ESK225" s="1201"/>
      <c r="ESL225" s="1201"/>
      <c r="ESM225" s="1201"/>
      <c r="ESN225" s="1201"/>
      <c r="ESO225" s="1201"/>
      <c r="ESP225" s="1201"/>
      <c r="ESQ225" s="1201"/>
      <c r="ESR225" s="1201"/>
      <c r="ESS225" s="1201"/>
      <c r="EST225" s="1201"/>
      <c r="ESU225" s="1201"/>
      <c r="ESV225" s="1201"/>
      <c r="ESW225" s="1201"/>
      <c r="ESX225" s="1201"/>
      <c r="ESY225" s="1201"/>
      <c r="ESZ225" s="1201"/>
      <c r="ETA225" s="1201"/>
      <c r="ETB225" s="1201"/>
      <c r="ETC225" s="1201"/>
      <c r="ETD225" s="1201"/>
      <c r="ETE225" s="1201"/>
      <c r="ETF225" s="1201"/>
      <c r="ETG225" s="1201"/>
      <c r="ETH225" s="1201"/>
      <c r="ETI225" s="1201"/>
      <c r="ETJ225" s="1201"/>
      <c r="ETK225" s="1201"/>
      <c r="ETL225" s="1201"/>
      <c r="ETM225" s="1201"/>
      <c r="ETN225" s="1201"/>
      <c r="ETO225" s="1201"/>
      <c r="ETP225" s="1201"/>
      <c r="ETQ225" s="1201"/>
      <c r="ETR225" s="1201"/>
      <c r="ETS225" s="1201"/>
      <c r="ETT225" s="1201"/>
      <c r="ETU225" s="1201"/>
      <c r="ETV225" s="1201"/>
      <c r="ETW225" s="1201"/>
      <c r="ETX225" s="1201"/>
      <c r="ETY225" s="1201"/>
      <c r="ETZ225" s="1201"/>
      <c r="EUA225" s="1201"/>
      <c r="EUB225" s="1201"/>
      <c r="EUC225" s="1201"/>
      <c r="EUD225" s="1201"/>
      <c r="EUE225" s="1201"/>
      <c r="EUF225" s="1201"/>
      <c r="EUG225" s="1201"/>
      <c r="EUH225" s="1201"/>
      <c r="EUI225" s="1201"/>
      <c r="EUJ225" s="1201"/>
      <c r="EUK225" s="1201"/>
      <c r="EUL225" s="1201"/>
      <c r="EUM225" s="1201"/>
      <c r="EUN225" s="1201"/>
      <c r="EUO225" s="1201"/>
      <c r="EUP225" s="1201"/>
      <c r="EUQ225" s="1201"/>
      <c r="EUR225" s="1201"/>
      <c r="EUS225" s="1201"/>
      <c r="EUT225" s="1201"/>
      <c r="EUU225" s="1201"/>
      <c r="EUV225" s="1201"/>
      <c r="EUW225" s="1201"/>
      <c r="EUX225" s="1201"/>
      <c r="EUY225" s="1201"/>
      <c r="EUZ225" s="1201"/>
      <c r="EVA225" s="1201"/>
      <c r="EVB225" s="1201"/>
      <c r="EVC225" s="1201"/>
      <c r="EVD225" s="1201"/>
      <c r="EVE225" s="1201"/>
      <c r="EVF225" s="1201"/>
      <c r="EVG225" s="1201"/>
      <c r="EVH225" s="1201"/>
      <c r="EVI225" s="1201"/>
      <c r="EVJ225" s="1201"/>
      <c r="EVK225" s="1201"/>
      <c r="EVL225" s="1201"/>
      <c r="EVM225" s="1201"/>
      <c r="EVN225" s="1201"/>
      <c r="EVO225" s="1201"/>
      <c r="EVP225" s="1201"/>
      <c r="EVQ225" s="1201"/>
      <c r="EVR225" s="1201"/>
      <c r="EVS225" s="1201"/>
      <c r="EVT225" s="1201"/>
      <c r="EVU225" s="1201"/>
      <c r="EVV225" s="1201"/>
      <c r="EVW225" s="1201"/>
      <c r="EVX225" s="1201"/>
      <c r="EVY225" s="1201"/>
      <c r="EVZ225" s="1201"/>
      <c r="EWA225" s="1201"/>
      <c r="EWB225" s="1201"/>
      <c r="EWC225" s="1201"/>
      <c r="EWD225" s="1201"/>
      <c r="EWE225" s="1201"/>
      <c r="EWF225" s="1201"/>
      <c r="EWG225" s="1201"/>
      <c r="EWH225" s="1201"/>
      <c r="EWI225" s="1201"/>
      <c r="EWJ225" s="1201"/>
      <c r="EWK225" s="1201"/>
      <c r="EWL225" s="1201"/>
      <c r="EWM225" s="1201"/>
      <c r="EWN225" s="1201"/>
      <c r="EWO225" s="1201"/>
      <c r="EWP225" s="1201"/>
      <c r="EWQ225" s="1201"/>
      <c r="EWR225" s="1201"/>
      <c r="EWS225" s="1201"/>
      <c r="EWT225" s="1201"/>
      <c r="EWU225" s="1201"/>
      <c r="EWV225" s="1201"/>
      <c r="EWW225" s="1201"/>
      <c r="EWX225" s="1201"/>
      <c r="EWY225" s="1201"/>
      <c r="EWZ225" s="1201"/>
      <c r="EXA225" s="1201"/>
      <c r="EXB225" s="1201"/>
      <c r="EXC225" s="1201"/>
      <c r="EXD225" s="1201"/>
      <c r="EXE225" s="1201"/>
      <c r="EXF225" s="1201"/>
      <c r="EXG225" s="1201"/>
      <c r="EXH225" s="1201"/>
      <c r="EXI225" s="1201"/>
      <c r="EXJ225" s="1201"/>
      <c r="EXK225" s="1201"/>
      <c r="EXL225" s="1201"/>
      <c r="EXM225" s="1201"/>
      <c r="EXN225" s="1201"/>
      <c r="EXO225" s="1201"/>
      <c r="EXP225" s="1201"/>
      <c r="EXQ225" s="1201"/>
      <c r="EXR225" s="1201"/>
      <c r="EXS225" s="1201"/>
      <c r="EXT225" s="1201"/>
      <c r="EXU225" s="1201"/>
      <c r="EXV225" s="1201"/>
      <c r="EXW225" s="1201"/>
      <c r="EXX225" s="1201"/>
      <c r="EXY225" s="1201"/>
      <c r="EXZ225" s="1201"/>
      <c r="EYA225" s="1201"/>
      <c r="EYB225" s="1201"/>
      <c r="EYC225" s="1201"/>
      <c r="EYD225" s="1201"/>
      <c r="EYE225" s="1201"/>
      <c r="EYF225" s="1201"/>
      <c r="EYG225" s="1201"/>
      <c r="EYH225" s="1201"/>
      <c r="EYI225" s="1201"/>
      <c r="EYJ225" s="1201"/>
      <c r="EYK225" s="1201"/>
      <c r="EYL225" s="1201"/>
      <c r="EYM225" s="1201"/>
      <c r="EYN225" s="1201"/>
      <c r="EYO225" s="1201"/>
      <c r="EYP225" s="1201"/>
      <c r="EYQ225" s="1201"/>
      <c r="EYR225" s="1201"/>
      <c r="EYS225" s="1201"/>
      <c r="EYT225" s="1201"/>
      <c r="EYU225" s="1201"/>
      <c r="EYV225" s="1201"/>
      <c r="EYW225" s="1201"/>
      <c r="EYX225" s="1201"/>
      <c r="EYY225" s="1201"/>
      <c r="EYZ225" s="1201"/>
      <c r="EZA225" s="1201"/>
      <c r="EZB225" s="1201"/>
      <c r="EZC225" s="1201"/>
      <c r="EZD225" s="1201"/>
      <c r="EZE225" s="1201"/>
      <c r="EZF225" s="1201"/>
      <c r="EZG225" s="1201"/>
      <c r="EZH225" s="1201"/>
      <c r="EZI225" s="1201"/>
      <c r="EZJ225" s="1201"/>
      <c r="EZK225" s="1201"/>
      <c r="EZL225" s="1201"/>
      <c r="EZM225" s="1201"/>
      <c r="EZN225" s="1201"/>
      <c r="EZO225" s="1201"/>
      <c r="EZP225" s="1201"/>
      <c r="EZQ225" s="1201"/>
      <c r="EZR225" s="1201"/>
      <c r="EZS225" s="1201"/>
      <c r="EZT225" s="1201"/>
      <c r="EZU225" s="1201"/>
      <c r="EZV225" s="1201"/>
      <c r="EZW225" s="1201"/>
      <c r="EZX225" s="1201"/>
      <c r="EZY225" s="1201"/>
      <c r="EZZ225" s="1201"/>
      <c r="FAA225" s="1201"/>
      <c r="FAB225" s="1201"/>
      <c r="FAC225" s="1201"/>
      <c r="FAD225" s="1201"/>
      <c r="FAE225" s="1201"/>
      <c r="FAF225" s="1201"/>
      <c r="FAG225" s="1201"/>
      <c r="FAH225" s="1201"/>
      <c r="FAI225" s="1201"/>
      <c r="FAJ225" s="1201"/>
      <c r="FAK225" s="1201"/>
      <c r="FAL225" s="1201"/>
      <c r="FAM225" s="1201"/>
      <c r="FAN225" s="1201"/>
      <c r="FAO225" s="1201"/>
      <c r="FAP225" s="1201"/>
      <c r="FAQ225" s="1201"/>
      <c r="FAR225" s="1201"/>
      <c r="FAS225" s="1201"/>
      <c r="FAT225" s="1201"/>
      <c r="FAU225" s="1201"/>
      <c r="FAV225" s="1201"/>
      <c r="FAW225" s="1201"/>
      <c r="FAX225" s="1201"/>
      <c r="FAY225" s="1201"/>
      <c r="FAZ225" s="1201"/>
      <c r="FBA225" s="1201"/>
      <c r="FBB225" s="1201"/>
      <c r="FBC225" s="1201"/>
      <c r="FBD225" s="1201"/>
      <c r="FBE225" s="1201"/>
      <c r="FBF225" s="1201"/>
      <c r="FBG225" s="1201"/>
      <c r="FBH225" s="1201"/>
      <c r="FBI225" s="1201"/>
      <c r="FBJ225" s="1201"/>
      <c r="FBK225" s="1201"/>
      <c r="FBL225" s="1201"/>
      <c r="FBM225" s="1201"/>
      <c r="FBN225" s="1201"/>
      <c r="FBO225" s="1201"/>
      <c r="FBP225" s="1201"/>
      <c r="FBQ225" s="1201"/>
      <c r="FBR225" s="1201"/>
      <c r="FBS225" s="1201"/>
      <c r="FBT225" s="1201"/>
      <c r="FBU225" s="1201"/>
      <c r="FBV225" s="1201"/>
      <c r="FBW225" s="1201"/>
      <c r="FBX225" s="1201"/>
      <c r="FBY225" s="1201"/>
      <c r="FBZ225" s="1201"/>
      <c r="FCA225" s="1201"/>
      <c r="FCB225" s="1201"/>
      <c r="FCC225" s="1201"/>
      <c r="FCD225" s="1201"/>
      <c r="FCE225" s="1201"/>
      <c r="FCF225" s="1201"/>
      <c r="FCG225" s="1201"/>
      <c r="FCH225" s="1201"/>
      <c r="FCI225" s="1201"/>
      <c r="FCJ225" s="1201"/>
      <c r="FCK225" s="1201"/>
      <c r="FCL225" s="1201"/>
      <c r="FCM225" s="1201"/>
      <c r="FCN225" s="1201"/>
      <c r="FCO225" s="1201"/>
      <c r="FCP225" s="1201"/>
      <c r="FCQ225" s="1201"/>
      <c r="FCR225" s="1201"/>
      <c r="FCS225" s="1201"/>
      <c r="FCT225" s="1201"/>
      <c r="FCU225" s="1201"/>
      <c r="FCV225" s="1201"/>
      <c r="FCW225" s="1201"/>
      <c r="FCX225" s="1201"/>
      <c r="FCY225" s="1201"/>
      <c r="FCZ225" s="1201"/>
      <c r="FDA225" s="1201"/>
      <c r="FDB225" s="1201"/>
      <c r="FDC225" s="1201"/>
      <c r="FDD225" s="1201"/>
      <c r="FDE225" s="1201"/>
      <c r="FDF225" s="1201"/>
      <c r="FDG225" s="1201"/>
      <c r="FDH225" s="1201"/>
      <c r="FDI225" s="1201"/>
      <c r="FDJ225" s="1201"/>
      <c r="FDK225" s="1201"/>
      <c r="FDL225" s="1201"/>
      <c r="FDM225" s="1201"/>
      <c r="FDN225" s="1201"/>
      <c r="FDO225" s="1201"/>
      <c r="FDP225" s="1201"/>
      <c r="FDQ225" s="1201"/>
      <c r="FDR225" s="1201"/>
      <c r="FDS225" s="1201"/>
      <c r="FDT225" s="1201"/>
      <c r="FDU225" s="1201"/>
      <c r="FDV225" s="1201"/>
      <c r="FDW225" s="1201"/>
      <c r="FDX225" s="1201"/>
      <c r="FDY225" s="1201"/>
      <c r="FDZ225" s="1201"/>
      <c r="FEA225" s="1201"/>
      <c r="FEB225" s="1201"/>
      <c r="FEC225" s="1201"/>
      <c r="FED225" s="1201"/>
      <c r="FEE225" s="1201"/>
      <c r="FEF225" s="1201"/>
      <c r="FEG225" s="1201"/>
      <c r="FEH225" s="1201"/>
      <c r="FEI225" s="1201"/>
      <c r="FEJ225" s="1201"/>
      <c r="FEK225" s="1201"/>
      <c r="FEL225" s="1201"/>
      <c r="FEM225" s="1201"/>
      <c r="FEN225" s="1201"/>
      <c r="FEO225" s="1201"/>
      <c r="FEP225" s="1201"/>
      <c r="FEQ225" s="1201"/>
      <c r="FER225" s="1201"/>
      <c r="FES225" s="1201"/>
      <c r="FET225" s="1201"/>
      <c r="FEU225" s="1201"/>
      <c r="FEV225" s="1201"/>
      <c r="FEW225" s="1201"/>
      <c r="FEX225" s="1201"/>
      <c r="FEY225" s="1201"/>
      <c r="FEZ225" s="1201"/>
      <c r="FFA225" s="1201"/>
      <c r="FFB225" s="1201"/>
      <c r="FFC225" s="1201"/>
      <c r="FFD225" s="1201"/>
      <c r="FFE225" s="1201"/>
      <c r="FFF225" s="1201"/>
      <c r="FFG225" s="1201"/>
      <c r="FFH225" s="1201"/>
      <c r="FFI225" s="1201"/>
      <c r="FFJ225" s="1201"/>
      <c r="FFK225" s="1201"/>
      <c r="FFL225" s="1201"/>
      <c r="FFM225" s="1201"/>
      <c r="FFN225" s="1201"/>
      <c r="FFO225" s="1201"/>
      <c r="FFP225" s="1201"/>
      <c r="FFQ225" s="1201"/>
      <c r="FFR225" s="1201"/>
      <c r="FFS225" s="1201"/>
      <c r="FFT225" s="1201"/>
      <c r="FFU225" s="1201"/>
      <c r="FFV225" s="1201"/>
      <c r="FFW225" s="1201"/>
      <c r="FFX225" s="1201"/>
      <c r="FFY225" s="1201"/>
      <c r="FFZ225" s="1201"/>
      <c r="FGA225" s="1201"/>
      <c r="FGB225" s="1201"/>
      <c r="FGC225" s="1201"/>
      <c r="FGD225" s="1201"/>
      <c r="FGE225" s="1201"/>
      <c r="FGF225" s="1201"/>
      <c r="FGG225" s="1201"/>
      <c r="FGH225" s="1201"/>
      <c r="FGI225" s="1201"/>
      <c r="FGJ225" s="1201"/>
      <c r="FGK225" s="1201"/>
      <c r="FGL225" s="1201"/>
      <c r="FGM225" s="1201"/>
      <c r="FGN225" s="1201"/>
      <c r="FGO225" s="1201"/>
      <c r="FGP225" s="1201"/>
      <c r="FGQ225" s="1201"/>
      <c r="FGR225" s="1201"/>
      <c r="FGS225" s="1201"/>
      <c r="FGT225" s="1201"/>
      <c r="FGU225" s="1201"/>
      <c r="FGV225" s="1201"/>
      <c r="FGW225" s="1201"/>
      <c r="FGX225" s="1201"/>
      <c r="FGY225" s="1201"/>
      <c r="FGZ225" s="1201"/>
      <c r="FHA225" s="1201"/>
      <c r="FHB225" s="1201"/>
      <c r="FHC225" s="1201"/>
      <c r="FHD225" s="1201"/>
      <c r="FHE225" s="1201"/>
      <c r="FHF225" s="1201"/>
      <c r="FHG225" s="1201"/>
      <c r="FHH225" s="1201"/>
      <c r="FHI225" s="1201"/>
      <c r="FHJ225" s="1201"/>
      <c r="FHK225" s="1201"/>
      <c r="FHL225" s="1201"/>
      <c r="FHM225" s="1201"/>
      <c r="FHN225" s="1201"/>
      <c r="FHO225" s="1201"/>
      <c r="FHP225" s="1201"/>
      <c r="FHQ225" s="1201"/>
      <c r="FHR225" s="1201"/>
      <c r="FHS225" s="1201"/>
      <c r="FHT225" s="1201"/>
      <c r="FHU225" s="1201"/>
      <c r="FHV225" s="1201"/>
      <c r="FHW225" s="1201"/>
      <c r="FHX225" s="1201"/>
      <c r="FHY225" s="1201"/>
      <c r="FHZ225" s="1201"/>
      <c r="FIA225" s="1201"/>
      <c r="FIB225" s="1201"/>
      <c r="FIC225" s="1201"/>
      <c r="FID225" s="1201"/>
      <c r="FIE225" s="1201"/>
      <c r="FIF225" s="1201"/>
      <c r="FIG225" s="1201"/>
      <c r="FIH225" s="1201"/>
      <c r="FII225" s="1201"/>
      <c r="FIJ225" s="1201"/>
      <c r="FIK225" s="1201"/>
      <c r="FIL225" s="1201"/>
      <c r="FIM225" s="1201"/>
      <c r="FIN225" s="1201"/>
      <c r="FIO225" s="1201"/>
      <c r="FIP225" s="1201"/>
      <c r="FIQ225" s="1201"/>
      <c r="FIR225" s="1201"/>
      <c r="FIS225" s="1201"/>
      <c r="FIT225" s="1201"/>
      <c r="FIU225" s="1201"/>
      <c r="FIV225" s="1201"/>
      <c r="FIW225" s="1201"/>
      <c r="FIX225" s="1201"/>
      <c r="FIY225" s="1201"/>
      <c r="FIZ225" s="1201"/>
      <c r="FJA225" s="1201"/>
      <c r="FJB225" s="1201"/>
      <c r="FJC225" s="1201"/>
      <c r="FJD225" s="1201"/>
      <c r="FJE225" s="1201"/>
      <c r="FJF225" s="1201"/>
      <c r="FJG225" s="1201"/>
      <c r="FJH225" s="1201"/>
      <c r="FJI225" s="1201"/>
      <c r="FJJ225" s="1201"/>
      <c r="FJK225" s="1201"/>
      <c r="FJL225" s="1201"/>
      <c r="FJM225" s="1201"/>
      <c r="FJN225" s="1201"/>
      <c r="FJO225" s="1201"/>
      <c r="FJP225" s="1201"/>
      <c r="FJQ225" s="1201"/>
      <c r="FJR225" s="1201"/>
      <c r="FJS225" s="1201"/>
      <c r="FJT225" s="1201"/>
      <c r="FJU225" s="1201"/>
      <c r="FJV225" s="1201"/>
      <c r="FJW225" s="1201"/>
      <c r="FJX225" s="1201"/>
      <c r="FJY225" s="1201"/>
      <c r="FJZ225" s="1201"/>
      <c r="FKA225" s="1201"/>
      <c r="FKB225" s="1201"/>
      <c r="FKC225" s="1201"/>
      <c r="FKD225" s="1201"/>
      <c r="FKE225" s="1201"/>
      <c r="FKF225" s="1201"/>
      <c r="FKG225" s="1201"/>
      <c r="FKH225" s="1201"/>
      <c r="FKI225" s="1201"/>
      <c r="FKJ225" s="1201"/>
      <c r="FKK225" s="1201"/>
      <c r="FKL225" s="1201"/>
      <c r="FKM225" s="1201"/>
      <c r="FKN225" s="1201"/>
      <c r="FKO225" s="1201"/>
      <c r="FKP225" s="1201"/>
      <c r="FKQ225" s="1201"/>
      <c r="FKR225" s="1201"/>
      <c r="FKS225" s="1201"/>
      <c r="FKT225" s="1201"/>
      <c r="FKU225" s="1201"/>
      <c r="FKV225" s="1201"/>
      <c r="FKW225" s="1201"/>
      <c r="FKX225" s="1201"/>
      <c r="FKY225" s="1201"/>
      <c r="FKZ225" s="1201"/>
      <c r="FLA225" s="1201"/>
      <c r="FLB225" s="1201"/>
      <c r="FLC225" s="1201"/>
      <c r="FLD225" s="1201"/>
      <c r="FLE225" s="1201"/>
      <c r="FLF225" s="1201"/>
      <c r="FLG225" s="1201"/>
      <c r="FLH225" s="1201"/>
      <c r="FLI225" s="1201"/>
      <c r="FLJ225" s="1201"/>
      <c r="FLK225" s="1201"/>
      <c r="FLL225" s="1201"/>
      <c r="FLM225" s="1201"/>
      <c r="FLN225" s="1201"/>
      <c r="FLO225" s="1201"/>
      <c r="FLP225" s="1201"/>
      <c r="FLQ225" s="1201"/>
      <c r="FLR225" s="1201"/>
      <c r="FLS225" s="1201"/>
      <c r="FLT225" s="1201"/>
      <c r="FLU225" s="1201"/>
      <c r="FLV225" s="1201"/>
      <c r="FLW225" s="1201"/>
      <c r="FLX225" s="1201"/>
      <c r="FLY225" s="1201"/>
      <c r="FLZ225" s="1201"/>
      <c r="FMA225" s="1201"/>
      <c r="FMB225" s="1201"/>
      <c r="FMC225" s="1201"/>
      <c r="FMD225" s="1201"/>
      <c r="FME225" s="1201"/>
      <c r="FMF225" s="1201"/>
      <c r="FMG225" s="1201"/>
      <c r="FMH225" s="1201"/>
      <c r="FMI225" s="1201"/>
      <c r="FMJ225" s="1201"/>
      <c r="FMK225" s="1201"/>
      <c r="FML225" s="1201"/>
      <c r="FMM225" s="1201"/>
      <c r="FMN225" s="1201"/>
      <c r="FMO225" s="1201"/>
      <c r="FMP225" s="1201"/>
      <c r="FMQ225" s="1201"/>
      <c r="FMR225" s="1201"/>
      <c r="FMS225" s="1201"/>
      <c r="FMT225" s="1201"/>
      <c r="FMU225" s="1201"/>
      <c r="FMV225" s="1201"/>
      <c r="FMW225" s="1201"/>
      <c r="FMX225" s="1201"/>
      <c r="FMY225" s="1201"/>
      <c r="FMZ225" s="1201"/>
      <c r="FNA225" s="1201"/>
      <c r="FNB225" s="1201"/>
      <c r="FNC225" s="1201"/>
      <c r="FND225" s="1201"/>
      <c r="FNE225" s="1201"/>
      <c r="FNF225" s="1201"/>
      <c r="FNG225" s="1201"/>
      <c r="FNH225" s="1201"/>
      <c r="FNI225" s="1201"/>
      <c r="FNJ225" s="1201"/>
      <c r="FNK225" s="1201"/>
      <c r="FNL225" s="1201"/>
      <c r="FNM225" s="1201"/>
      <c r="FNN225" s="1201"/>
      <c r="FNO225" s="1201"/>
      <c r="FNP225" s="1201"/>
      <c r="FNQ225" s="1201"/>
      <c r="FNR225" s="1201"/>
      <c r="FNS225" s="1201"/>
      <c r="FNT225" s="1201"/>
      <c r="FNU225" s="1201"/>
      <c r="FNV225" s="1201"/>
      <c r="FNW225" s="1201"/>
      <c r="FNX225" s="1201"/>
      <c r="FNY225" s="1201"/>
      <c r="FNZ225" s="1201"/>
      <c r="FOA225" s="1201"/>
      <c r="FOB225" s="1201"/>
      <c r="FOC225" s="1201"/>
      <c r="FOD225" s="1201"/>
      <c r="FOE225" s="1201"/>
      <c r="FOF225" s="1201"/>
      <c r="FOG225" s="1201"/>
      <c r="FOH225" s="1201"/>
      <c r="FOI225" s="1201"/>
      <c r="FOJ225" s="1201"/>
      <c r="FOK225" s="1201"/>
      <c r="FOL225" s="1201"/>
      <c r="FOM225" s="1201"/>
      <c r="FON225" s="1201"/>
      <c r="FOO225" s="1201"/>
      <c r="FOP225" s="1201"/>
      <c r="FOQ225" s="1201"/>
      <c r="FOR225" s="1201"/>
      <c r="FOS225" s="1201"/>
      <c r="FOT225" s="1201"/>
      <c r="FOU225" s="1201"/>
      <c r="FOV225" s="1201"/>
      <c r="FOW225" s="1201"/>
      <c r="FOX225" s="1201"/>
      <c r="FOY225" s="1201"/>
      <c r="FOZ225" s="1201"/>
      <c r="FPA225" s="1201"/>
      <c r="FPB225" s="1201"/>
      <c r="FPC225" s="1201"/>
      <c r="FPD225" s="1201"/>
      <c r="FPE225" s="1201"/>
      <c r="FPF225" s="1201"/>
      <c r="FPG225" s="1201"/>
      <c r="FPH225" s="1201"/>
      <c r="FPI225" s="1201"/>
      <c r="FPJ225" s="1201"/>
      <c r="FPK225" s="1201"/>
      <c r="FPL225" s="1201"/>
      <c r="FPM225" s="1201"/>
      <c r="FPN225" s="1201"/>
      <c r="FPO225" s="1201"/>
      <c r="FPP225" s="1201"/>
      <c r="FPQ225" s="1201"/>
      <c r="FPR225" s="1201"/>
      <c r="FPS225" s="1201"/>
      <c r="FPT225" s="1201"/>
      <c r="FPU225" s="1201"/>
      <c r="FPV225" s="1201"/>
      <c r="FPW225" s="1201"/>
      <c r="FPX225" s="1201"/>
      <c r="FPY225" s="1201"/>
      <c r="FPZ225" s="1201"/>
      <c r="FQA225" s="1201"/>
      <c r="FQB225" s="1201"/>
      <c r="FQC225" s="1201"/>
      <c r="FQD225" s="1201"/>
      <c r="FQE225" s="1201"/>
      <c r="FQF225" s="1201"/>
      <c r="FQG225" s="1201"/>
      <c r="FQH225" s="1201"/>
      <c r="FQI225" s="1201"/>
      <c r="FQJ225" s="1201"/>
      <c r="FQK225" s="1201"/>
      <c r="FQL225" s="1201"/>
      <c r="FQM225" s="1201"/>
      <c r="FQN225" s="1201"/>
      <c r="FQO225" s="1201"/>
      <c r="FQP225" s="1201"/>
      <c r="FQQ225" s="1201"/>
      <c r="FQR225" s="1201"/>
      <c r="FQS225" s="1201"/>
      <c r="FQT225" s="1201"/>
      <c r="FQU225" s="1201"/>
      <c r="FQV225" s="1201"/>
      <c r="FQW225" s="1201"/>
      <c r="FQX225" s="1201"/>
      <c r="FQY225" s="1201"/>
      <c r="FQZ225" s="1201"/>
      <c r="FRA225" s="1201"/>
      <c r="FRB225" s="1201"/>
      <c r="FRC225" s="1201"/>
      <c r="FRD225" s="1201"/>
      <c r="FRE225" s="1201"/>
      <c r="FRF225" s="1201"/>
      <c r="FRG225" s="1201"/>
      <c r="FRH225" s="1201"/>
      <c r="FRI225" s="1201"/>
      <c r="FRJ225" s="1201"/>
      <c r="FRK225" s="1201"/>
      <c r="FRL225" s="1201"/>
      <c r="FRM225" s="1201"/>
      <c r="FRN225" s="1201"/>
      <c r="FRO225" s="1201"/>
      <c r="FRP225" s="1201"/>
      <c r="FRQ225" s="1201"/>
      <c r="FRR225" s="1201"/>
      <c r="FRS225" s="1201"/>
      <c r="FRT225" s="1201"/>
      <c r="FRU225" s="1201"/>
      <c r="FRV225" s="1201"/>
      <c r="FRW225" s="1201"/>
      <c r="FRX225" s="1201"/>
      <c r="FRY225" s="1201"/>
      <c r="FRZ225" s="1201"/>
      <c r="FSA225" s="1201"/>
      <c r="FSB225" s="1201"/>
      <c r="FSC225" s="1201"/>
      <c r="FSD225" s="1201"/>
      <c r="FSE225" s="1201"/>
      <c r="FSF225" s="1201"/>
      <c r="FSG225" s="1201"/>
      <c r="FSH225" s="1201"/>
      <c r="FSI225" s="1201"/>
      <c r="FSJ225" s="1201"/>
      <c r="FSK225" s="1201"/>
      <c r="FSL225" s="1201"/>
      <c r="FSM225" s="1201"/>
      <c r="FSN225" s="1201"/>
      <c r="FSO225" s="1201"/>
      <c r="FSP225" s="1201"/>
      <c r="FSQ225" s="1201"/>
      <c r="FSR225" s="1201"/>
      <c r="FSS225" s="1201"/>
      <c r="FST225" s="1201"/>
      <c r="FSU225" s="1201"/>
      <c r="FSV225" s="1201"/>
      <c r="FSW225" s="1201"/>
      <c r="FSX225" s="1201"/>
      <c r="FSY225" s="1201"/>
      <c r="FSZ225" s="1201"/>
      <c r="FTA225" s="1201"/>
      <c r="FTB225" s="1201"/>
      <c r="FTC225" s="1201"/>
      <c r="FTD225" s="1201"/>
      <c r="FTE225" s="1201"/>
      <c r="FTF225" s="1201"/>
      <c r="FTG225" s="1201"/>
      <c r="FTH225" s="1201"/>
      <c r="FTI225" s="1201"/>
      <c r="FTJ225" s="1201"/>
      <c r="FTK225" s="1201"/>
      <c r="FTL225" s="1201"/>
      <c r="FTM225" s="1201"/>
      <c r="FTN225" s="1201"/>
      <c r="FTO225" s="1201"/>
      <c r="FTP225" s="1201"/>
      <c r="FTQ225" s="1201"/>
      <c r="FTR225" s="1201"/>
      <c r="FTS225" s="1201"/>
      <c r="FTT225" s="1201"/>
      <c r="FTU225" s="1201"/>
      <c r="FTV225" s="1201"/>
      <c r="FTW225" s="1201"/>
      <c r="FTX225" s="1201"/>
      <c r="FTY225" s="1201"/>
      <c r="FTZ225" s="1201"/>
      <c r="FUA225" s="1201"/>
      <c r="FUB225" s="1201"/>
      <c r="FUC225" s="1201"/>
      <c r="FUD225" s="1201"/>
      <c r="FUE225" s="1201"/>
      <c r="FUF225" s="1201"/>
      <c r="FUG225" s="1201"/>
      <c r="FUH225" s="1201"/>
      <c r="FUI225" s="1201"/>
      <c r="FUJ225" s="1201"/>
      <c r="FUK225" s="1201"/>
      <c r="FUL225" s="1201"/>
      <c r="FUM225" s="1201"/>
      <c r="FUN225" s="1201"/>
      <c r="FUO225" s="1201"/>
      <c r="FUP225" s="1201"/>
      <c r="FUQ225" s="1201"/>
      <c r="FUR225" s="1201"/>
      <c r="FUS225" s="1201"/>
      <c r="FUT225" s="1201"/>
      <c r="FUU225" s="1201"/>
      <c r="FUV225" s="1201"/>
      <c r="FUW225" s="1201"/>
      <c r="FUX225" s="1201"/>
      <c r="FUY225" s="1201"/>
      <c r="FUZ225" s="1201"/>
      <c r="FVA225" s="1201"/>
      <c r="FVB225" s="1201"/>
      <c r="FVC225" s="1201"/>
      <c r="FVD225" s="1201"/>
      <c r="FVE225" s="1201"/>
      <c r="FVF225" s="1201"/>
      <c r="FVG225" s="1201"/>
      <c r="FVH225" s="1201"/>
      <c r="FVI225" s="1201"/>
      <c r="FVJ225" s="1201"/>
      <c r="FVK225" s="1201"/>
      <c r="FVL225" s="1201"/>
      <c r="FVM225" s="1201"/>
      <c r="FVN225" s="1201"/>
      <c r="FVO225" s="1201"/>
      <c r="FVP225" s="1201"/>
      <c r="FVQ225" s="1201"/>
      <c r="FVR225" s="1201"/>
      <c r="FVS225" s="1201"/>
      <c r="FVT225" s="1201"/>
      <c r="FVU225" s="1201"/>
      <c r="FVV225" s="1201"/>
      <c r="FVW225" s="1201"/>
      <c r="FVX225" s="1201"/>
      <c r="FVY225" s="1201"/>
      <c r="FVZ225" s="1201"/>
      <c r="FWA225" s="1201"/>
      <c r="FWB225" s="1201"/>
      <c r="FWC225" s="1201"/>
      <c r="FWD225" s="1201"/>
      <c r="FWE225" s="1201"/>
      <c r="FWF225" s="1201"/>
      <c r="FWG225" s="1201"/>
      <c r="FWH225" s="1201"/>
      <c r="FWI225" s="1201"/>
      <c r="FWJ225" s="1201"/>
      <c r="FWK225" s="1201"/>
      <c r="FWL225" s="1201"/>
      <c r="FWM225" s="1201"/>
      <c r="FWN225" s="1201"/>
      <c r="FWO225" s="1201"/>
      <c r="FWP225" s="1201"/>
      <c r="FWQ225" s="1201"/>
      <c r="FWR225" s="1201"/>
      <c r="FWS225" s="1201"/>
      <c r="FWT225" s="1201"/>
      <c r="FWU225" s="1201"/>
      <c r="FWV225" s="1201"/>
      <c r="FWW225" s="1201"/>
      <c r="FWX225" s="1201"/>
      <c r="FWY225" s="1201"/>
      <c r="FWZ225" s="1201"/>
      <c r="FXA225" s="1201"/>
      <c r="FXB225" s="1201"/>
      <c r="FXC225" s="1201"/>
      <c r="FXD225" s="1201"/>
      <c r="FXE225" s="1201"/>
      <c r="FXF225" s="1201"/>
      <c r="FXG225" s="1201"/>
      <c r="FXH225" s="1201"/>
      <c r="FXI225" s="1201"/>
      <c r="FXJ225" s="1201"/>
      <c r="FXK225" s="1201"/>
      <c r="FXL225" s="1201"/>
      <c r="FXM225" s="1201"/>
      <c r="FXN225" s="1201"/>
      <c r="FXO225" s="1201"/>
      <c r="FXP225" s="1201"/>
      <c r="FXQ225" s="1201"/>
      <c r="FXR225" s="1201"/>
      <c r="FXS225" s="1201"/>
      <c r="FXT225" s="1201"/>
      <c r="FXU225" s="1201"/>
      <c r="FXV225" s="1201"/>
      <c r="FXW225" s="1201"/>
      <c r="FXX225" s="1201"/>
      <c r="FXY225" s="1201"/>
      <c r="FXZ225" s="1201"/>
      <c r="FYA225" s="1201"/>
      <c r="FYB225" s="1201"/>
      <c r="FYC225" s="1201"/>
      <c r="FYD225" s="1201"/>
      <c r="FYE225" s="1201"/>
      <c r="FYF225" s="1201"/>
      <c r="FYG225" s="1201"/>
      <c r="FYH225" s="1201"/>
      <c r="FYI225" s="1201"/>
      <c r="FYJ225" s="1201"/>
      <c r="FYK225" s="1201"/>
      <c r="FYL225" s="1201"/>
      <c r="FYM225" s="1201"/>
      <c r="FYN225" s="1201"/>
      <c r="FYO225" s="1201"/>
      <c r="FYP225" s="1201"/>
      <c r="FYQ225" s="1201"/>
      <c r="FYR225" s="1201"/>
      <c r="FYS225" s="1201"/>
      <c r="FYT225" s="1201"/>
      <c r="FYU225" s="1201"/>
      <c r="FYV225" s="1201"/>
      <c r="FYW225" s="1201"/>
      <c r="FYX225" s="1201"/>
      <c r="FYY225" s="1201"/>
      <c r="FYZ225" s="1201"/>
      <c r="FZA225" s="1201"/>
      <c r="FZB225" s="1201"/>
      <c r="FZC225" s="1201"/>
      <c r="FZD225" s="1201"/>
      <c r="FZE225" s="1201"/>
      <c r="FZF225" s="1201"/>
      <c r="FZG225" s="1201"/>
      <c r="FZH225" s="1201"/>
      <c r="FZI225" s="1201"/>
      <c r="FZJ225" s="1201"/>
      <c r="FZK225" s="1201"/>
      <c r="FZL225" s="1201"/>
      <c r="FZM225" s="1201"/>
      <c r="FZN225" s="1201"/>
      <c r="FZO225" s="1201"/>
      <c r="FZP225" s="1201"/>
      <c r="FZQ225" s="1201"/>
      <c r="FZR225" s="1201"/>
      <c r="FZS225" s="1201"/>
      <c r="FZT225" s="1201"/>
      <c r="FZU225" s="1201"/>
      <c r="FZV225" s="1201"/>
      <c r="FZW225" s="1201"/>
      <c r="FZX225" s="1201"/>
      <c r="FZY225" s="1201"/>
      <c r="FZZ225" s="1201"/>
      <c r="GAA225" s="1201"/>
      <c r="GAB225" s="1201"/>
      <c r="GAC225" s="1201"/>
      <c r="GAD225" s="1201"/>
      <c r="GAE225" s="1201"/>
      <c r="GAF225" s="1201"/>
      <c r="GAG225" s="1201"/>
      <c r="GAH225" s="1201"/>
      <c r="GAI225" s="1201"/>
      <c r="GAJ225" s="1201"/>
      <c r="GAK225" s="1201"/>
      <c r="GAL225" s="1201"/>
      <c r="GAM225" s="1201"/>
      <c r="GAN225" s="1201"/>
      <c r="GAO225" s="1201"/>
      <c r="GAP225" s="1201"/>
      <c r="GAQ225" s="1201"/>
      <c r="GAR225" s="1201"/>
      <c r="GAS225" s="1201"/>
      <c r="GAT225" s="1201"/>
      <c r="GAU225" s="1201"/>
      <c r="GAV225" s="1201"/>
      <c r="GAW225" s="1201"/>
      <c r="GAX225" s="1201"/>
      <c r="GAY225" s="1201"/>
      <c r="GAZ225" s="1201"/>
      <c r="GBA225" s="1201"/>
      <c r="GBB225" s="1201"/>
      <c r="GBC225" s="1201"/>
      <c r="GBD225" s="1201"/>
      <c r="GBE225" s="1201"/>
      <c r="GBF225" s="1201"/>
      <c r="GBG225" s="1201"/>
      <c r="GBH225" s="1201"/>
      <c r="GBI225" s="1201"/>
      <c r="GBJ225" s="1201"/>
      <c r="GBK225" s="1201"/>
      <c r="GBL225" s="1201"/>
      <c r="GBM225" s="1201"/>
      <c r="GBN225" s="1201"/>
      <c r="GBO225" s="1201"/>
      <c r="GBP225" s="1201"/>
      <c r="GBQ225" s="1201"/>
      <c r="GBR225" s="1201"/>
      <c r="GBS225" s="1201"/>
      <c r="GBT225" s="1201"/>
      <c r="GBU225" s="1201"/>
      <c r="GBV225" s="1201"/>
      <c r="GBW225" s="1201"/>
      <c r="GBX225" s="1201"/>
      <c r="GBY225" s="1201"/>
      <c r="GBZ225" s="1201"/>
      <c r="GCA225" s="1201"/>
      <c r="GCB225" s="1201"/>
      <c r="GCC225" s="1201"/>
      <c r="GCD225" s="1201"/>
      <c r="GCE225" s="1201"/>
      <c r="GCF225" s="1201"/>
      <c r="GCG225" s="1201"/>
      <c r="GCH225" s="1201"/>
      <c r="GCI225" s="1201"/>
      <c r="GCJ225" s="1201"/>
      <c r="GCK225" s="1201"/>
      <c r="GCL225" s="1201"/>
      <c r="GCM225" s="1201"/>
      <c r="GCN225" s="1201"/>
      <c r="GCO225" s="1201"/>
      <c r="GCP225" s="1201"/>
      <c r="GCQ225" s="1201"/>
      <c r="GCR225" s="1201"/>
      <c r="GCS225" s="1201"/>
      <c r="GCT225" s="1201"/>
      <c r="GCU225" s="1201"/>
      <c r="GCV225" s="1201"/>
      <c r="GCW225" s="1201"/>
      <c r="GCX225" s="1201"/>
      <c r="GCY225" s="1201"/>
      <c r="GCZ225" s="1201"/>
      <c r="GDA225" s="1201"/>
      <c r="GDB225" s="1201"/>
      <c r="GDC225" s="1201"/>
      <c r="GDD225" s="1201"/>
      <c r="GDE225" s="1201"/>
      <c r="GDF225" s="1201"/>
      <c r="GDG225" s="1201"/>
      <c r="GDH225" s="1201"/>
      <c r="GDI225" s="1201"/>
      <c r="GDJ225" s="1201"/>
      <c r="GDK225" s="1201"/>
      <c r="GDL225" s="1201"/>
      <c r="GDM225" s="1201"/>
      <c r="GDN225" s="1201"/>
      <c r="GDO225" s="1201"/>
      <c r="GDP225" s="1201"/>
      <c r="GDQ225" s="1201"/>
      <c r="GDR225" s="1201"/>
      <c r="GDS225" s="1201"/>
      <c r="GDT225" s="1201"/>
      <c r="GDU225" s="1201"/>
      <c r="GDV225" s="1201"/>
      <c r="GDW225" s="1201"/>
      <c r="GDX225" s="1201"/>
      <c r="GDY225" s="1201"/>
      <c r="GDZ225" s="1201"/>
      <c r="GEA225" s="1201"/>
      <c r="GEB225" s="1201"/>
      <c r="GEC225" s="1201"/>
      <c r="GED225" s="1201"/>
      <c r="GEE225" s="1201"/>
      <c r="GEF225" s="1201"/>
      <c r="GEG225" s="1201"/>
      <c r="GEH225" s="1201"/>
      <c r="GEI225" s="1201"/>
      <c r="GEJ225" s="1201"/>
      <c r="GEK225" s="1201"/>
      <c r="GEL225" s="1201"/>
      <c r="GEM225" s="1201"/>
      <c r="GEN225" s="1201"/>
      <c r="GEO225" s="1201"/>
      <c r="GEP225" s="1201"/>
      <c r="GEQ225" s="1201"/>
      <c r="GER225" s="1201"/>
      <c r="GES225" s="1201"/>
      <c r="GET225" s="1201"/>
      <c r="GEU225" s="1201"/>
      <c r="GEV225" s="1201"/>
      <c r="GEW225" s="1201"/>
      <c r="GEX225" s="1201"/>
      <c r="GEY225" s="1201"/>
      <c r="GEZ225" s="1201"/>
      <c r="GFA225" s="1201"/>
      <c r="GFB225" s="1201"/>
      <c r="GFC225" s="1201"/>
      <c r="GFD225" s="1201"/>
      <c r="GFE225" s="1201"/>
      <c r="GFF225" s="1201"/>
      <c r="GFG225" s="1201"/>
      <c r="GFH225" s="1201"/>
      <c r="GFI225" s="1201"/>
      <c r="GFJ225" s="1201"/>
      <c r="GFK225" s="1201"/>
      <c r="GFL225" s="1201"/>
      <c r="GFM225" s="1201"/>
      <c r="GFN225" s="1201"/>
      <c r="GFO225" s="1201"/>
      <c r="GFP225" s="1201"/>
      <c r="GFQ225" s="1201"/>
      <c r="GFR225" s="1201"/>
      <c r="GFS225" s="1201"/>
      <c r="GFT225" s="1201"/>
      <c r="GFU225" s="1201"/>
      <c r="GFV225" s="1201"/>
      <c r="GFW225" s="1201"/>
      <c r="GFX225" s="1201"/>
      <c r="GFY225" s="1201"/>
      <c r="GFZ225" s="1201"/>
      <c r="GGA225" s="1201"/>
      <c r="GGB225" s="1201"/>
      <c r="GGC225" s="1201"/>
      <c r="GGD225" s="1201"/>
      <c r="GGE225" s="1201"/>
      <c r="GGF225" s="1201"/>
      <c r="GGG225" s="1201"/>
      <c r="GGH225" s="1201"/>
      <c r="GGI225" s="1201"/>
      <c r="GGJ225" s="1201"/>
      <c r="GGK225" s="1201"/>
      <c r="GGL225" s="1201"/>
      <c r="GGM225" s="1201"/>
      <c r="GGN225" s="1201"/>
      <c r="GGO225" s="1201"/>
      <c r="GGP225" s="1201"/>
      <c r="GGQ225" s="1201"/>
      <c r="GGR225" s="1201"/>
      <c r="GGS225" s="1201"/>
      <c r="GGT225" s="1201"/>
      <c r="GGU225" s="1201"/>
      <c r="GGV225" s="1201"/>
      <c r="GGW225" s="1201"/>
      <c r="GGX225" s="1201"/>
      <c r="GGY225" s="1201"/>
      <c r="GGZ225" s="1201"/>
      <c r="GHA225" s="1201"/>
      <c r="GHB225" s="1201"/>
      <c r="GHC225" s="1201"/>
      <c r="GHD225" s="1201"/>
      <c r="GHE225" s="1201"/>
      <c r="GHF225" s="1201"/>
      <c r="GHG225" s="1201"/>
      <c r="GHH225" s="1201"/>
      <c r="GHI225" s="1201"/>
      <c r="GHJ225" s="1201"/>
      <c r="GHK225" s="1201"/>
      <c r="GHL225" s="1201"/>
      <c r="GHM225" s="1201"/>
      <c r="GHN225" s="1201"/>
      <c r="GHO225" s="1201"/>
      <c r="GHP225" s="1201"/>
      <c r="GHQ225" s="1201"/>
      <c r="GHR225" s="1201"/>
      <c r="GHS225" s="1201"/>
      <c r="GHT225" s="1201"/>
      <c r="GHU225" s="1201"/>
      <c r="GHV225" s="1201"/>
      <c r="GHW225" s="1201"/>
      <c r="GHX225" s="1201"/>
      <c r="GHY225" s="1201"/>
      <c r="GHZ225" s="1201"/>
      <c r="GIA225" s="1201"/>
      <c r="GIB225" s="1201"/>
      <c r="GIC225" s="1201"/>
      <c r="GID225" s="1201"/>
      <c r="GIE225" s="1201"/>
      <c r="GIF225" s="1201"/>
      <c r="GIG225" s="1201"/>
      <c r="GIH225" s="1201"/>
      <c r="GII225" s="1201"/>
      <c r="GIJ225" s="1201"/>
      <c r="GIK225" s="1201"/>
      <c r="GIL225" s="1201"/>
      <c r="GIM225" s="1201"/>
      <c r="GIN225" s="1201"/>
      <c r="GIO225" s="1201"/>
      <c r="GIP225" s="1201"/>
      <c r="GIQ225" s="1201"/>
      <c r="GIR225" s="1201"/>
      <c r="GIS225" s="1201"/>
      <c r="GIT225" s="1201"/>
      <c r="GIU225" s="1201"/>
      <c r="GIV225" s="1201"/>
      <c r="GIW225" s="1201"/>
      <c r="GIX225" s="1201"/>
      <c r="GIY225" s="1201"/>
      <c r="GIZ225" s="1201"/>
      <c r="GJA225" s="1201"/>
      <c r="GJB225" s="1201"/>
      <c r="GJC225" s="1201"/>
      <c r="GJD225" s="1201"/>
      <c r="GJE225" s="1201"/>
      <c r="GJF225" s="1201"/>
      <c r="GJG225" s="1201"/>
      <c r="GJH225" s="1201"/>
      <c r="GJI225" s="1201"/>
      <c r="GJJ225" s="1201"/>
      <c r="GJK225" s="1201"/>
      <c r="GJL225" s="1201"/>
      <c r="GJM225" s="1201"/>
      <c r="GJN225" s="1201"/>
      <c r="GJO225" s="1201"/>
      <c r="GJP225" s="1201"/>
      <c r="GJQ225" s="1201"/>
      <c r="GJR225" s="1201"/>
      <c r="GJS225" s="1201"/>
      <c r="GJT225" s="1201"/>
      <c r="GJU225" s="1201"/>
      <c r="GJV225" s="1201"/>
      <c r="GJW225" s="1201"/>
      <c r="GJX225" s="1201"/>
      <c r="GJY225" s="1201"/>
      <c r="GJZ225" s="1201"/>
      <c r="GKA225" s="1201"/>
      <c r="GKB225" s="1201"/>
      <c r="GKC225" s="1201"/>
      <c r="GKD225" s="1201"/>
      <c r="GKE225" s="1201"/>
      <c r="GKF225" s="1201"/>
      <c r="GKG225" s="1201"/>
      <c r="GKH225" s="1201"/>
      <c r="GKI225" s="1201"/>
      <c r="GKJ225" s="1201"/>
      <c r="GKK225" s="1201"/>
      <c r="GKL225" s="1201"/>
      <c r="GKM225" s="1201"/>
      <c r="GKN225" s="1201"/>
      <c r="GKO225" s="1201"/>
      <c r="GKP225" s="1201"/>
      <c r="GKQ225" s="1201"/>
      <c r="GKR225" s="1201"/>
      <c r="GKS225" s="1201"/>
      <c r="GKT225" s="1201"/>
      <c r="GKU225" s="1201"/>
      <c r="GKV225" s="1201"/>
      <c r="GKW225" s="1201"/>
      <c r="GKX225" s="1201"/>
      <c r="GKY225" s="1201"/>
      <c r="GKZ225" s="1201"/>
      <c r="GLA225" s="1201"/>
      <c r="GLB225" s="1201"/>
      <c r="GLC225" s="1201"/>
      <c r="GLD225" s="1201"/>
      <c r="GLE225" s="1201"/>
      <c r="GLF225" s="1201"/>
      <c r="GLG225" s="1201"/>
      <c r="GLH225" s="1201"/>
      <c r="GLI225" s="1201"/>
      <c r="GLJ225" s="1201"/>
      <c r="GLK225" s="1201"/>
      <c r="GLL225" s="1201"/>
      <c r="GLM225" s="1201"/>
      <c r="GLN225" s="1201"/>
      <c r="GLO225" s="1201"/>
      <c r="GLP225" s="1201"/>
      <c r="GLQ225" s="1201"/>
      <c r="GLR225" s="1201"/>
      <c r="GLS225" s="1201"/>
      <c r="GLT225" s="1201"/>
      <c r="GLU225" s="1201"/>
      <c r="GLV225" s="1201"/>
      <c r="GLW225" s="1201"/>
      <c r="GLX225" s="1201"/>
      <c r="GLY225" s="1201"/>
      <c r="GLZ225" s="1201"/>
      <c r="GMA225" s="1201"/>
      <c r="GMB225" s="1201"/>
      <c r="GMC225" s="1201"/>
      <c r="GMD225" s="1201"/>
      <c r="GME225" s="1201"/>
      <c r="GMF225" s="1201"/>
      <c r="GMG225" s="1201"/>
      <c r="GMH225" s="1201"/>
      <c r="GMI225" s="1201"/>
      <c r="GMJ225" s="1201"/>
      <c r="GMK225" s="1201"/>
      <c r="GML225" s="1201"/>
      <c r="GMM225" s="1201"/>
      <c r="GMN225" s="1201"/>
      <c r="GMO225" s="1201"/>
      <c r="GMP225" s="1201"/>
      <c r="GMQ225" s="1201"/>
      <c r="GMR225" s="1201"/>
      <c r="GMS225" s="1201"/>
      <c r="GMT225" s="1201"/>
      <c r="GMU225" s="1201"/>
      <c r="GMV225" s="1201"/>
      <c r="GMW225" s="1201"/>
      <c r="GMX225" s="1201"/>
      <c r="GMY225" s="1201"/>
      <c r="GMZ225" s="1201"/>
      <c r="GNA225" s="1201"/>
      <c r="GNB225" s="1201"/>
      <c r="GNC225" s="1201"/>
      <c r="GND225" s="1201"/>
      <c r="GNE225" s="1201"/>
      <c r="GNF225" s="1201"/>
      <c r="GNG225" s="1201"/>
      <c r="GNH225" s="1201"/>
      <c r="GNI225" s="1201"/>
      <c r="GNJ225" s="1201"/>
      <c r="GNK225" s="1201"/>
      <c r="GNL225" s="1201"/>
      <c r="GNM225" s="1201"/>
      <c r="GNN225" s="1201"/>
      <c r="GNO225" s="1201"/>
      <c r="GNP225" s="1201"/>
      <c r="GNQ225" s="1201"/>
      <c r="GNR225" s="1201"/>
      <c r="GNS225" s="1201"/>
      <c r="GNT225" s="1201"/>
      <c r="GNU225" s="1201"/>
      <c r="GNV225" s="1201"/>
      <c r="GNW225" s="1201"/>
      <c r="GNX225" s="1201"/>
      <c r="GNY225" s="1201"/>
      <c r="GNZ225" s="1201"/>
      <c r="GOA225" s="1201"/>
      <c r="GOB225" s="1201"/>
      <c r="GOC225" s="1201"/>
      <c r="GOD225" s="1201"/>
      <c r="GOE225" s="1201"/>
      <c r="GOF225" s="1201"/>
      <c r="GOG225" s="1201"/>
      <c r="GOH225" s="1201"/>
      <c r="GOI225" s="1201"/>
      <c r="GOJ225" s="1201"/>
      <c r="GOK225" s="1201"/>
      <c r="GOL225" s="1201"/>
      <c r="GOM225" s="1201"/>
      <c r="GON225" s="1201"/>
      <c r="GOO225" s="1201"/>
      <c r="GOP225" s="1201"/>
      <c r="GOQ225" s="1201"/>
      <c r="GOR225" s="1201"/>
      <c r="GOS225" s="1201"/>
      <c r="GOT225" s="1201"/>
      <c r="GOU225" s="1201"/>
      <c r="GOV225" s="1201"/>
      <c r="GOW225" s="1201"/>
      <c r="GOX225" s="1201"/>
      <c r="GOY225" s="1201"/>
      <c r="GOZ225" s="1201"/>
      <c r="GPA225" s="1201"/>
      <c r="GPB225" s="1201"/>
      <c r="GPC225" s="1201"/>
      <c r="GPD225" s="1201"/>
      <c r="GPE225" s="1201"/>
      <c r="GPF225" s="1201"/>
      <c r="GPG225" s="1201"/>
      <c r="GPH225" s="1201"/>
      <c r="GPI225" s="1201"/>
      <c r="GPJ225" s="1201"/>
      <c r="GPK225" s="1201"/>
      <c r="GPL225" s="1201"/>
      <c r="GPM225" s="1201"/>
      <c r="GPN225" s="1201"/>
      <c r="GPO225" s="1201"/>
      <c r="GPP225" s="1201"/>
      <c r="GPQ225" s="1201"/>
      <c r="GPR225" s="1201"/>
      <c r="GPS225" s="1201"/>
      <c r="GPT225" s="1201"/>
      <c r="GPU225" s="1201"/>
      <c r="GPV225" s="1201"/>
      <c r="GPW225" s="1201"/>
      <c r="GPX225" s="1201"/>
      <c r="GPY225" s="1201"/>
      <c r="GPZ225" s="1201"/>
      <c r="GQA225" s="1201"/>
      <c r="GQB225" s="1201"/>
      <c r="GQC225" s="1201"/>
      <c r="GQD225" s="1201"/>
      <c r="GQE225" s="1201"/>
      <c r="GQF225" s="1201"/>
      <c r="GQG225" s="1201"/>
      <c r="GQH225" s="1201"/>
      <c r="GQI225" s="1201"/>
      <c r="GQJ225" s="1201"/>
      <c r="GQK225" s="1201"/>
      <c r="GQL225" s="1201"/>
      <c r="GQM225" s="1201"/>
      <c r="GQN225" s="1201"/>
      <c r="GQO225" s="1201"/>
      <c r="GQP225" s="1201"/>
      <c r="GQQ225" s="1201"/>
      <c r="GQR225" s="1201"/>
      <c r="GQS225" s="1201"/>
      <c r="GQT225" s="1201"/>
      <c r="GQU225" s="1201"/>
      <c r="GQV225" s="1201"/>
      <c r="GQW225" s="1201"/>
      <c r="GQX225" s="1201"/>
      <c r="GQY225" s="1201"/>
      <c r="GQZ225" s="1201"/>
      <c r="GRA225" s="1201"/>
      <c r="GRB225" s="1201"/>
      <c r="GRC225" s="1201"/>
      <c r="GRD225" s="1201"/>
      <c r="GRE225" s="1201"/>
      <c r="GRF225" s="1201"/>
      <c r="GRG225" s="1201"/>
      <c r="GRH225" s="1201"/>
      <c r="GRI225" s="1201"/>
      <c r="GRJ225" s="1201"/>
      <c r="GRK225" s="1201"/>
      <c r="GRL225" s="1201"/>
      <c r="GRM225" s="1201"/>
      <c r="GRN225" s="1201"/>
      <c r="GRO225" s="1201"/>
      <c r="GRP225" s="1201"/>
      <c r="GRQ225" s="1201"/>
      <c r="GRR225" s="1201"/>
      <c r="GRS225" s="1201"/>
      <c r="GRT225" s="1201"/>
      <c r="GRU225" s="1201"/>
      <c r="GRV225" s="1201"/>
      <c r="GRW225" s="1201"/>
      <c r="GRX225" s="1201"/>
      <c r="GRY225" s="1201"/>
      <c r="GRZ225" s="1201"/>
      <c r="GSA225" s="1201"/>
      <c r="GSB225" s="1201"/>
      <c r="GSC225" s="1201"/>
      <c r="GSD225" s="1201"/>
      <c r="GSE225" s="1201"/>
      <c r="GSF225" s="1201"/>
      <c r="GSG225" s="1201"/>
      <c r="GSH225" s="1201"/>
      <c r="GSI225" s="1201"/>
      <c r="GSJ225" s="1201"/>
      <c r="GSK225" s="1201"/>
      <c r="GSL225" s="1201"/>
      <c r="GSM225" s="1201"/>
      <c r="GSN225" s="1201"/>
      <c r="GSO225" s="1201"/>
      <c r="GSP225" s="1201"/>
      <c r="GSQ225" s="1201"/>
      <c r="GSR225" s="1201"/>
      <c r="GSS225" s="1201"/>
      <c r="GST225" s="1201"/>
      <c r="GSU225" s="1201"/>
      <c r="GSV225" s="1201"/>
      <c r="GSW225" s="1201"/>
      <c r="GSX225" s="1201"/>
      <c r="GSY225" s="1201"/>
      <c r="GSZ225" s="1201"/>
      <c r="GTA225" s="1201"/>
      <c r="GTB225" s="1201"/>
      <c r="GTC225" s="1201"/>
      <c r="GTD225" s="1201"/>
      <c r="GTE225" s="1201"/>
      <c r="GTF225" s="1201"/>
      <c r="GTG225" s="1201"/>
      <c r="GTH225" s="1201"/>
      <c r="GTI225" s="1201"/>
      <c r="GTJ225" s="1201"/>
      <c r="GTK225" s="1201"/>
      <c r="GTL225" s="1201"/>
      <c r="GTM225" s="1201"/>
      <c r="GTN225" s="1201"/>
      <c r="GTO225" s="1201"/>
      <c r="GTP225" s="1201"/>
      <c r="GTQ225" s="1201"/>
      <c r="GTR225" s="1201"/>
      <c r="GTS225" s="1201"/>
      <c r="GTT225" s="1201"/>
      <c r="GTU225" s="1201"/>
      <c r="GTV225" s="1201"/>
      <c r="GTW225" s="1201"/>
      <c r="GTX225" s="1201"/>
      <c r="GTY225" s="1201"/>
      <c r="GTZ225" s="1201"/>
      <c r="GUA225" s="1201"/>
      <c r="GUB225" s="1201"/>
      <c r="GUC225" s="1201"/>
      <c r="GUD225" s="1201"/>
      <c r="GUE225" s="1201"/>
      <c r="GUF225" s="1201"/>
      <c r="GUG225" s="1201"/>
      <c r="GUH225" s="1201"/>
      <c r="GUI225" s="1201"/>
      <c r="GUJ225" s="1201"/>
      <c r="GUK225" s="1201"/>
      <c r="GUL225" s="1201"/>
      <c r="GUM225" s="1201"/>
      <c r="GUN225" s="1201"/>
      <c r="GUO225" s="1201"/>
      <c r="GUP225" s="1201"/>
      <c r="GUQ225" s="1201"/>
      <c r="GUR225" s="1201"/>
      <c r="GUS225" s="1201"/>
      <c r="GUT225" s="1201"/>
      <c r="GUU225" s="1201"/>
      <c r="GUV225" s="1201"/>
      <c r="GUW225" s="1201"/>
      <c r="GUX225" s="1201"/>
      <c r="GUY225" s="1201"/>
      <c r="GUZ225" s="1201"/>
      <c r="GVA225" s="1201"/>
      <c r="GVB225" s="1201"/>
      <c r="GVC225" s="1201"/>
      <c r="GVD225" s="1201"/>
      <c r="GVE225" s="1201"/>
      <c r="GVF225" s="1201"/>
      <c r="GVG225" s="1201"/>
      <c r="GVH225" s="1201"/>
      <c r="GVI225" s="1201"/>
      <c r="GVJ225" s="1201"/>
      <c r="GVK225" s="1201"/>
      <c r="GVL225" s="1201"/>
      <c r="GVM225" s="1201"/>
      <c r="GVN225" s="1201"/>
      <c r="GVO225" s="1201"/>
      <c r="GVP225" s="1201"/>
      <c r="GVQ225" s="1201"/>
      <c r="GVR225" s="1201"/>
      <c r="GVS225" s="1201"/>
      <c r="GVT225" s="1201"/>
      <c r="GVU225" s="1201"/>
      <c r="GVV225" s="1201"/>
      <c r="GVW225" s="1201"/>
      <c r="GVX225" s="1201"/>
      <c r="GVY225" s="1201"/>
      <c r="GVZ225" s="1201"/>
      <c r="GWA225" s="1201"/>
      <c r="GWB225" s="1201"/>
      <c r="GWC225" s="1201"/>
      <c r="GWD225" s="1201"/>
      <c r="GWE225" s="1201"/>
      <c r="GWF225" s="1201"/>
      <c r="GWG225" s="1201"/>
      <c r="GWH225" s="1201"/>
      <c r="GWI225" s="1201"/>
      <c r="GWJ225" s="1201"/>
      <c r="GWK225" s="1201"/>
      <c r="GWL225" s="1201"/>
      <c r="GWM225" s="1201"/>
      <c r="GWN225" s="1201"/>
      <c r="GWO225" s="1201"/>
      <c r="GWP225" s="1201"/>
      <c r="GWQ225" s="1201"/>
      <c r="GWR225" s="1201"/>
      <c r="GWS225" s="1201"/>
      <c r="GWT225" s="1201"/>
      <c r="GWU225" s="1201"/>
      <c r="GWV225" s="1201"/>
      <c r="GWW225" s="1201"/>
      <c r="GWX225" s="1201"/>
      <c r="GWY225" s="1201"/>
      <c r="GWZ225" s="1201"/>
      <c r="GXA225" s="1201"/>
      <c r="GXB225" s="1201"/>
      <c r="GXC225" s="1201"/>
      <c r="GXD225" s="1201"/>
      <c r="GXE225" s="1201"/>
      <c r="GXF225" s="1201"/>
      <c r="GXG225" s="1201"/>
      <c r="GXH225" s="1201"/>
      <c r="GXI225" s="1201"/>
      <c r="GXJ225" s="1201"/>
      <c r="GXK225" s="1201"/>
      <c r="GXL225" s="1201"/>
      <c r="GXM225" s="1201"/>
      <c r="GXN225" s="1201"/>
      <c r="GXO225" s="1201"/>
      <c r="GXP225" s="1201"/>
      <c r="GXQ225" s="1201"/>
      <c r="GXR225" s="1201"/>
      <c r="GXS225" s="1201"/>
      <c r="GXT225" s="1201"/>
      <c r="GXU225" s="1201"/>
      <c r="GXV225" s="1201"/>
      <c r="GXW225" s="1201"/>
      <c r="GXX225" s="1201"/>
      <c r="GXY225" s="1201"/>
      <c r="GXZ225" s="1201"/>
      <c r="GYA225" s="1201"/>
      <c r="GYB225" s="1201"/>
      <c r="GYC225" s="1201"/>
      <c r="GYD225" s="1201"/>
      <c r="GYE225" s="1201"/>
      <c r="GYF225" s="1201"/>
      <c r="GYG225" s="1201"/>
      <c r="GYH225" s="1201"/>
      <c r="GYI225" s="1201"/>
      <c r="GYJ225" s="1201"/>
      <c r="GYK225" s="1201"/>
      <c r="GYL225" s="1201"/>
      <c r="GYM225" s="1201"/>
      <c r="GYN225" s="1201"/>
      <c r="GYO225" s="1201"/>
      <c r="GYP225" s="1201"/>
      <c r="GYQ225" s="1201"/>
      <c r="GYR225" s="1201"/>
      <c r="GYS225" s="1201"/>
      <c r="GYT225" s="1201"/>
      <c r="GYU225" s="1201"/>
      <c r="GYV225" s="1201"/>
      <c r="GYW225" s="1201"/>
      <c r="GYX225" s="1201"/>
      <c r="GYY225" s="1201"/>
      <c r="GYZ225" s="1201"/>
      <c r="GZA225" s="1201"/>
      <c r="GZB225" s="1201"/>
      <c r="GZC225" s="1201"/>
      <c r="GZD225" s="1201"/>
      <c r="GZE225" s="1201"/>
      <c r="GZF225" s="1201"/>
      <c r="GZG225" s="1201"/>
      <c r="GZH225" s="1201"/>
      <c r="GZI225" s="1201"/>
      <c r="GZJ225" s="1201"/>
      <c r="GZK225" s="1201"/>
      <c r="GZL225" s="1201"/>
      <c r="GZM225" s="1201"/>
      <c r="GZN225" s="1201"/>
      <c r="GZO225" s="1201"/>
      <c r="GZP225" s="1201"/>
      <c r="GZQ225" s="1201"/>
      <c r="GZR225" s="1201"/>
      <c r="GZS225" s="1201"/>
      <c r="GZT225" s="1201"/>
      <c r="GZU225" s="1201"/>
      <c r="GZV225" s="1201"/>
      <c r="GZW225" s="1201"/>
      <c r="GZX225" s="1201"/>
      <c r="GZY225" s="1201"/>
      <c r="GZZ225" s="1201"/>
      <c r="HAA225" s="1201"/>
      <c r="HAB225" s="1201"/>
      <c r="HAC225" s="1201"/>
      <c r="HAD225" s="1201"/>
      <c r="HAE225" s="1201"/>
      <c r="HAF225" s="1201"/>
      <c r="HAG225" s="1201"/>
      <c r="HAH225" s="1201"/>
      <c r="HAI225" s="1201"/>
      <c r="HAJ225" s="1201"/>
      <c r="HAK225" s="1201"/>
      <c r="HAL225" s="1201"/>
      <c r="HAM225" s="1201"/>
      <c r="HAN225" s="1201"/>
      <c r="HAO225" s="1201"/>
      <c r="HAP225" s="1201"/>
      <c r="HAQ225" s="1201"/>
      <c r="HAR225" s="1201"/>
      <c r="HAS225" s="1201"/>
      <c r="HAT225" s="1201"/>
      <c r="HAU225" s="1201"/>
      <c r="HAV225" s="1201"/>
      <c r="HAW225" s="1201"/>
      <c r="HAX225" s="1201"/>
      <c r="HAY225" s="1201"/>
      <c r="HAZ225" s="1201"/>
      <c r="HBA225" s="1201"/>
      <c r="HBB225" s="1201"/>
      <c r="HBC225" s="1201"/>
      <c r="HBD225" s="1201"/>
      <c r="HBE225" s="1201"/>
      <c r="HBF225" s="1201"/>
      <c r="HBG225" s="1201"/>
      <c r="HBH225" s="1201"/>
      <c r="HBI225" s="1201"/>
      <c r="HBJ225" s="1201"/>
      <c r="HBK225" s="1201"/>
      <c r="HBL225" s="1201"/>
      <c r="HBM225" s="1201"/>
      <c r="HBN225" s="1201"/>
      <c r="HBO225" s="1201"/>
      <c r="HBP225" s="1201"/>
      <c r="HBQ225" s="1201"/>
      <c r="HBR225" s="1201"/>
      <c r="HBS225" s="1201"/>
      <c r="HBT225" s="1201"/>
      <c r="HBU225" s="1201"/>
      <c r="HBV225" s="1201"/>
      <c r="HBW225" s="1201"/>
      <c r="HBX225" s="1201"/>
      <c r="HBY225" s="1201"/>
      <c r="HBZ225" s="1201"/>
      <c r="HCA225" s="1201"/>
      <c r="HCB225" s="1201"/>
      <c r="HCC225" s="1201"/>
      <c r="HCD225" s="1201"/>
      <c r="HCE225" s="1201"/>
      <c r="HCF225" s="1201"/>
      <c r="HCG225" s="1201"/>
      <c r="HCH225" s="1201"/>
      <c r="HCI225" s="1201"/>
      <c r="HCJ225" s="1201"/>
      <c r="HCK225" s="1201"/>
      <c r="HCL225" s="1201"/>
      <c r="HCM225" s="1201"/>
      <c r="HCN225" s="1201"/>
      <c r="HCO225" s="1201"/>
      <c r="HCP225" s="1201"/>
      <c r="HCQ225" s="1201"/>
      <c r="HCR225" s="1201"/>
      <c r="HCS225" s="1201"/>
      <c r="HCT225" s="1201"/>
      <c r="HCU225" s="1201"/>
      <c r="HCV225" s="1201"/>
      <c r="HCW225" s="1201"/>
      <c r="HCX225" s="1201"/>
      <c r="HCY225" s="1201"/>
      <c r="HCZ225" s="1201"/>
      <c r="HDA225" s="1201"/>
      <c r="HDB225" s="1201"/>
      <c r="HDC225" s="1201"/>
      <c r="HDD225" s="1201"/>
      <c r="HDE225" s="1201"/>
      <c r="HDF225" s="1201"/>
      <c r="HDG225" s="1201"/>
      <c r="HDH225" s="1201"/>
      <c r="HDI225" s="1201"/>
      <c r="HDJ225" s="1201"/>
      <c r="HDK225" s="1201"/>
      <c r="HDL225" s="1201"/>
      <c r="HDM225" s="1201"/>
      <c r="HDN225" s="1201"/>
      <c r="HDO225" s="1201"/>
      <c r="HDP225" s="1201"/>
      <c r="HDQ225" s="1201"/>
      <c r="HDR225" s="1201"/>
      <c r="HDS225" s="1201"/>
      <c r="HDT225" s="1201"/>
      <c r="HDU225" s="1201"/>
      <c r="HDV225" s="1201"/>
      <c r="HDW225" s="1201"/>
      <c r="HDX225" s="1201"/>
      <c r="HDY225" s="1201"/>
      <c r="HDZ225" s="1201"/>
      <c r="HEA225" s="1201"/>
      <c r="HEB225" s="1201"/>
      <c r="HEC225" s="1201"/>
      <c r="HED225" s="1201"/>
      <c r="HEE225" s="1201"/>
      <c r="HEF225" s="1201"/>
      <c r="HEG225" s="1201"/>
      <c r="HEH225" s="1201"/>
      <c r="HEI225" s="1201"/>
      <c r="HEJ225" s="1201"/>
      <c r="HEK225" s="1201"/>
      <c r="HEL225" s="1201"/>
      <c r="HEM225" s="1201"/>
      <c r="HEN225" s="1201"/>
      <c r="HEO225" s="1201"/>
      <c r="HEP225" s="1201"/>
      <c r="HEQ225" s="1201"/>
      <c r="HER225" s="1201"/>
      <c r="HES225" s="1201"/>
      <c r="HET225" s="1201"/>
      <c r="HEU225" s="1201"/>
      <c r="HEV225" s="1201"/>
      <c r="HEW225" s="1201"/>
      <c r="HEX225" s="1201"/>
      <c r="HEY225" s="1201"/>
      <c r="HEZ225" s="1201"/>
      <c r="HFA225" s="1201"/>
      <c r="HFB225" s="1201"/>
      <c r="HFC225" s="1201"/>
      <c r="HFD225" s="1201"/>
      <c r="HFE225" s="1201"/>
      <c r="HFF225" s="1201"/>
      <c r="HFG225" s="1201"/>
      <c r="HFH225" s="1201"/>
      <c r="HFI225" s="1201"/>
      <c r="HFJ225" s="1201"/>
      <c r="HFK225" s="1201"/>
      <c r="HFL225" s="1201"/>
      <c r="HFM225" s="1201"/>
      <c r="HFN225" s="1201"/>
      <c r="HFO225" s="1201"/>
      <c r="HFP225" s="1201"/>
      <c r="HFQ225" s="1201"/>
      <c r="HFR225" s="1201"/>
      <c r="HFS225" s="1201"/>
      <c r="HFT225" s="1201"/>
      <c r="HFU225" s="1201"/>
      <c r="HFV225" s="1201"/>
      <c r="HFW225" s="1201"/>
      <c r="HFX225" s="1201"/>
      <c r="HFY225" s="1201"/>
      <c r="HFZ225" s="1201"/>
      <c r="HGA225" s="1201"/>
      <c r="HGB225" s="1201"/>
      <c r="HGC225" s="1201"/>
      <c r="HGD225" s="1201"/>
      <c r="HGE225" s="1201"/>
      <c r="HGF225" s="1201"/>
      <c r="HGG225" s="1201"/>
      <c r="HGH225" s="1201"/>
      <c r="HGI225" s="1201"/>
      <c r="HGJ225" s="1201"/>
      <c r="HGK225" s="1201"/>
      <c r="HGL225" s="1201"/>
      <c r="HGM225" s="1201"/>
      <c r="HGN225" s="1201"/>
      <c r="HGO225" s="1201"/>
      <c r="HGP225" s="1201"/>
      <c r="HGQ225" s="1201"/>
      <c r="HGR225" s="1201"/>
      <c r="HGS225" s="1201"/>
      <c r="HGT225" s="1201"/>
      <c r="HGU225" s="1201"/>
      <c r="HGV225" s="1201"/>
      <c r="HGW225" s="1201"/>
      <c r="HGX225" s="1201"/>
      <c r="HGY225" s="1201"/>
      <c r="HGZ225" s="1201"/>
      <c r="HHA225" s="1201"/>
      <c r="HHB225" s="1201"/>
      <c r="HHC225" s="1201"/>
      <c r="HHD225" s="1201"/>
      <c r="HHE225" s="1201"/>
      <c r="HHF225" s="1201"/>
      <c r="HHG225" s="1201"/>
      <c r="HHH225" s="1201"/>
      <c r="HHI225" s="1201"/>
      <c r="HHJ225" s="1201"/>
      <c r="HHK225" s="1201"/>
      <c r="HHL225" s="1201"/>
      <c r="HHM225" s="1201"/>
      <c r="HHN225" s="1201"/>
      <c r="HHO225" s="1201"/>
      <c r="HHP225" s="1201"/>
      <c r="HHQ225" s="1201"/>
      <c r="HHR225" s="1201"/>
      <c r="HHS225" s="1201"/>
      <c r="HHT225" s="1201"/>
      <c r="HHU225" s="1201"/>
      <c r="HHV225" s="1201"/>
      <c r="HHW225" s="1201"/>
      <c r="HHX225" s="1201"/>
      <c r="HHY225" s="1201"/>
      <c r="HHZ225" s="1201"/>
      <c r="HIA225" s="1201"/>
      <c r="HIB225" s="1201"/>
      <c r="HIC225" s="1201"/>
      <c r="HID225" s="1201"/>
      <c r="HIE225" s="1201"/>
      <c r="HIF225" s="1201"/>
      <c r="HIG225" s="1201"/>
      <c r="HIH225" s="1201"/>
      <c r="HII225" s="1201"/>
      <c r="HIJ225" s="1201"/>
      <c r="HIK225" s="1201"/>
      <c r="HIL225" s="1201"/>
      <c r="HIM225" s="1201"/>
      <c r="HIN225" s="1201"/>
      <c r="HIO225" s="1201"/>
      <c r="HIP225" s="1201"/>
      <c r="HIQ225" s="1201"/>
      <c r="HIR225" s="1201"/>
      <c r="HIS225" s="1201"/>
      <c r="HIT225" s="1201"/>
      <c r="HIU225" s="1201"/>
      <c r="HIV225" s="1201"/>
      <c r="HIW225" s="1201"/>
      <c r="HIX225" s="1201"/>
      <c r="HIY225" s="1201"/>
      <c r="HIZ225" s="1201"/>
      <c r="HJA225" s="1201"/>
      <c r="HJB225" s="1201"/>
      <c r="HJC225" s="1201"/>
      <c r="HJD225" s="1201"/>
      <c r="HJE225" s="1201"/>
      <c r="HJF225" s="1201"/>
      <c r="HJG225" s="1201"/>
      <c r="HJH225" s="1201"/>
      <c r="HJI225" s="1201"/>
      <c r="HJJ225" s="1201"/>
      <c r="HJK225" s="1201"/>
      <c r="HJL225" s="1201"/>
      <c r="HJM225" s="1201"/>
      <c r="HJN225" s="1201"/>
      <c r="HJO225" s="1201"/>
      <c r="HJP225" s="1201"/>
      <c r="HJQ225" s="1201"/>
      <c r="HJR225" s="1201"/>
      <c r="HJS225" s="1201"/>
      <c r="HJT225" s="1201"/>
      <c r="HJU225" s="1201"/>
      <c r="HJV225" s="1201"/>
      <c r="HJW225" s="1201"/>
      <c r="HJX225" s="1201"/>
      <c r="HJY225" s="1201"/>
      <c r="HJZ225" s="1201"/>
      <c r="HKA225" s="1201"/>
      <c r="HKB225" s="1201"/>
      <c r="HKC225" s="1201"/>
      <c r="HKD225" s="1201"/>
      <c r="HKE225" s="1201"/>
      <c r="HKF225" s="1201"/>
      <c r="HKG225" s="1201"/>
      <c r="HKH225" s="1201"/>
      <c r="HKI225" s="1201"/>
      <c r="HKJ225" s="1201"/>
      <c r="HKK225" s="1201"/>
      <c r="HKL225" s="1201"/>
      <c r="HKM225" s="1201"/>
      <c r="HKN225" s="1201"/>
      <c r="HKO225" s="1201"/>
      <c r="HKP225" s="1201"/>
      <c r="HKQ225" s="1201"/>
      <c r="HKR225" s="1201"/>
      <c r="HKS225" s="1201"/>
      <c r="HKT225" s="1201"/>
      <c r="HKU225" s="1201"/>
      <c r="HKV225" s="1201"/>
      <c r="HKW225" s="1201"/>
      <c r="HKX225" s="1201"/>
      <c r="HKY225" s="1201"/>
      <c r="HKZ225" s="1201"/>
      <c r="HLA225" s="1201"/>
      <c r="HLB225" s="1201"/>
      <c r="HLC225" s="1201"/>
      <c r="HLD225" s="1201"/>
      <c r="HLE225" s="1201"/>
      <c r="HLF225" s="1201"/>
      <c r="HLG225" s="1201"/>
      <c r="HLH225" s="1201"/>
      <c r="HLI225" s="1201"/>
      <c r="HLJ225" s="1201"/>
      <c r="HLK225" s="1201"/>
      <c r="HLL225" s="1201"/>
      <c r="HLM225" s="1201"/>
      <c r="HLN225" s="1201"/>
      <c r="HLO225" s="1201"/>
      <c r="HLP225" s="1201"/>
      <c r="HLQ225" s="1201"/>
      <c r="HLR225" s="1201"/>
      <c r="HLS225" s="1201"/>
      <c r="HLT225" s="1201"/>
      <c r="HLU225" s="1201"/>
      <c r="HLV225" s="1201"/>
      <c r="HLW225" s="1201"/>
      <c r="HLX225" s="1201"/>
      <c r="HLY225" s="1201"/>
      <c r="HLZ225" s="1201"/>
      <c r="HMA225" s="1201"/>
      <c r="HMB225" s="1201"/>
      <c r="HMC225" s="1201"/>
      <c r="HMD225" s="1201"/>
      <c r="HME225" s="1201"/>
      <c r="HMF225" s="1201"/>
      <c r="HMG225" s="1201"/>
      <c r="HMH225" s="1201"/>
      <c r="HMI225" s="1201"/>
      <c r="HMJ225" s="1201"/>
      <c r="HMK225" s="1201"/>
      <c r="HML225" s="1201"/>
      <c r="HMM225" s="1201"/>
      <c r="HMN225" s="1201"/>
      <c r="HMO225" s="1201"/>
      <c r="HMP225" s="1201"/>
      <c r="HMQ225" s="1201"/>
      <c r="HMR225" s="1201"/>
      <c r="HMS225" s="1201"/>
      <c r="HMT225" s="1201"/>
      <c r="HMU225" s="1201"/>
      <c r="HMV225" s="1201"/>
      <c r="HMW225" s="1201"/>
      <c r="HMX225" s="1201"/>
      <c r="HMY225" s="1201"/>
      <c r="HMZ225" s="1201"/>
      <c r="HNA225" s="1201"/>
      <c r="HNB225" s="1201"/>
      <c r="HNC225" s="1201"/>
      <c r="HND225" s="1201"/>
      <c r="HNE225" s="1201"/>
      <c r="HNF225" s="1201"/>
      <c r="HNG225" s="1201"/>
      <c r="HNH225" s="1201"/>
      <c r="HNI225" s="1201"/>
      <c r="HNJ225" s="1201"/>
      <c r="HNK225" s="1201"/>
      <c r="HNL225" s="1201"/>
      <c r="HNM225" s="1201"/>
      <c r="HNN225" s="1201"/>
      <c r="HNO225" s="1201"/>
      <c r="HNP225" s="1201"/>
      <c r="HNQ225" s="1201"/>
      <c r="HNR225" s="1201"/>
      <c r="HNS225" s="1201"/>
      <c r="HNT225" s="1201"/>
      <c r="HNU225" s="1201"/>
      <c r="HNV225" s="1201"/>
      <c r="HNW225" s="1201"/>
      <c r="HNX225" s="1201"/>
      <c r="HNY225" s="1201"/>
      <c r="HNZ225" s="1201"/>
      <c r="HOA225" s="1201"/>
      <c r="HOB225" s="1201"/>
      <c r="HOC225" s="1201"/>
      <c r="HOD225" s="1201"/>
      <c r="HOE225" s="1201"/>
      <c r="HOF225" s="1201"/>
      <c r="HOG225" s="1201"/>
      <c r="HOH225" s="1201"/>
      <c r="HOI225" s="1201"/>
      <c r="HOJ225" s="1201"/>
      <c r="HOK225" s="1201"/>
      <c r="HOL225" s="1201"/>
      <c r="HOM225" s="1201"/>
      <c r="HON225" s="1201"/>
      <c r="HOO225" s="1201"/>
      <c r="HOP225" s="1201"/>
      <c r="HOQ225" s="1201"/>
      <c r="HOR225" s="1201"/>
      <c r="HOS225" s="1201"/>
      <c r="HOT225" s="1201"/>
      <c r="HOU225" s="1201"/>
      <c r="HOV225" s="1201"/>
      <c r="HOW225" s="1201"/>
      <c r="HOX225" s="1201"/>
      <c r="HOY225" s="1201"/>
      <c r="HOZ225" s="1201"/>
      <c r="HPA225" s="1201"/>
      <c r="HPB225" s="1201"/>
      <c r="HPC225" s="1201"/>
      <c r="HPD225" s="1201"/>
      <c r="HPE225" s="1201"/>
      <c r="HPF225" s="1201"/>
      <c r="HPG225" s="1201"/>
      <c r="HPH225" s="1201"/>
      <c r="HPI225" s="1201"/>
      <c r="HPJ225" s="1201"/>
      <c r="HPK225" s="1201"/>
      <c r="HPL225" s="1201"/>
      <c r="HPM225" s="1201"/>
      <c r="HPN225" s="1201"/>
      <c r="HPO225" s="1201"/>
      <c r="HPP225" s="1201"/>
      <c r="HPQ225" s="1201"/>
      <c r="HPR225" s="1201"/>
      <c r="HPS225" s="1201"/>
      <c r="HPT225" s="1201"/>
      <c r="HPU225" s="1201"/>
      <c r="HPV225" s="1201"/>
      <c r="HPW225" s="1201"/>
      <c r="HPX225" s="1201"/>
      <c r="HPY225" s="1201"/>
      <c r="HPZ225" s="1201"/>
      <c r="HQA225" s="1201"/>
      <c r="HQB225" s="1201"/>
      <c r="HQC225" s="1201"/>
      <c r="HQD225" s="1201"/>
      <c r="HQE225" s="1201"/>
      <c r="HQF225" s="1201"/>
      <c r="HQG225" s="1201"/>
      <c r="HQH225" s="1201"/>
      <c r="HQI225" s="1201"/>
      <c r="HQJ225" s="1201"/>
      <c r="HQK225" s="1201"/>
      <c r="HQL225" s="1201"/>
      <c r="HQM225" s="1201"/>
      <c r="HQN225" s="1201"/>
      <c r="HQO225" s="1201"/>
      <c r="HQP225" s="1201"/>
      <c r="HQQ225" s="1201"/>
      <c r="HQR225" s="1201"/>
      <c r="HQS225" s="1201"/>
      <c r="HQT225" s="1201"/>
      <c r="HQU225" s="1201"/>
      <c r="HQV225" s="1201"/>
      <c r="HQW225" s="1201"/>
      <c r="HQX225" s="1201"/>
      <c r="HQY225" s="1201"/>
      <c r="HQZ225" s="1201"/>
      <c r="HRA225" s="1201"/>
      <c r="HRB225" s="1201"/>
      <c r="HRC225" s="1201"/>
      <c r="HRD225" s="1201"/>
      <c r="HRE225" s="1201"/>
      <c r="HRF225" s="1201"/>
      <c r="HRG225" s="1201"/>
      <c r="HRH225" s="1201"/>
      <c r="HRI225" s="1201"/>
      <c r="HRJ225" s="1201"/>
      <c r="HRK225" s="1201"/>
      <c r="HRL225" s="1201"/>
      <c r="HRM225" s="1201"/>
      <c r="HRN225" s="1201"/>
      <c r="HRO225" s="1201"/>
      <c r="HRP225" s="1201"/>
      <c r="HRQ225" s="1201"/>
      <c r="HRR225" s="1201"/>
      <c r="HRS225" s="1201"/>
      <c r="HRT225" s="1201"/>
      <c r="HRU225" s="1201"/>
      <c r="HRV225" s="1201"/>
      <c r="HRW225" s="1201"/>
      <c r="HRX225" s="1201"/>
      <c r="HRY225" s="1201"/>
      <c r="HRZ225" s="1201"/>
      <c r="HSA225" s="1201"/>
      <c r="HSB225" s="1201"/>
      <c r="HSC225" s="1201"/>
      <c r="HSD225" s="1201"/>
      <c r="HSE225" s="1201"/>
      <c r="HSF225" s="1201"/>
      <c r="HSG225" s="1201"/>
      <c r="HSH225" s="1201"/>
      <c r="HSI225" s="1201"/>
      <c r="HSJ225" s="1201"/>
      <c r="HSK225" s="1201"/>
      <c r="HSL225" s="1201"/>
      <c r="HSM225" s="1201"/>
      <c r="HSN225" s="1201"/>
      <c r="HSO225" s="1201"/>
      <c r="HSP225" s="1201"/>
      <c r="HSQ225" s="1201"/>
      <c r="HSR225" s="1201"/>
      <c r="HSS225" s="1201"/>
      <c r="HST225" s="1201"/>
      <c r="HSU225" s="1201"/>
      <c r="HSV225" s="1201"/>
      <c r="HSW225" s="1201"/>
      <c r="HSX225" s="1201"/>
      <c r="HSY225" s="1201"/>
      <c r="HSZ225" s="1201"/>
      <c r="HTA225" s="1201"/>
      <c r="HTB225" s="1201"/>
      <c r="HTC225" s="1201"/>
      <c r="HTD225" s="1201"/>
      <c r="HTE225" s="1201"/>
      <c r="HTF225" s="1201"/>
      <c r="HTG225" s="1201"/>
      <c r="HTH225" s="1201"/>
      <c r="HTI225" s="1201"/>
      <c r="HTJ225" s="1201"/>
      <c r="HTK225" s="1201"/>
      <c r="HTL225" s="1201"/>
      <c r="HTM225" s="1201"/>
      <c r="HTN225" s="1201"/>
      <c r="HTO225" s="1201"/>
      <c r="HTP225" s="1201"/>
      <c r="HTQ225" s="1201"/>
      <c r="HTR225" s="1201"/>
      <c r="HTS225" s="1201"/>
      <c r="HTT225" s="1201"/>
      <c r="HTU225" s="1201"/>
      <c r="HTV225" s="1201"/>
      <c r="HTW225" s="1201"/>
      <c r="HTX225" s="1201"/>
      <c r="HTY225" s="1201"/>
      <c r="HTZ225" s="1201"/>
      <c r="HUA225" s="1201"/>
      <c r="HUB225" s="1201"/>
      <c r="HUC225" s="1201"/>
      <c r="HUD225" s="1201"/>
      <c r="HUE225" s="1201"/>
      <c r="HUF225" s="1201"/>
      <c r="HUG225" s="1201"/>
      <c r="HUH225" s="1201"/>
      <c r="HUI225" s="1201"/>
      <c r="HUJ225" s="1201"/>
      <c r="HUK225" s="1201"/>
      <c r="HUL225" s="1201"/>
      <c r="HUM225" s="1201"/>
      <c r="HUN225" s="1201"/>
      <c r="HUO225" s="1201"/>
      <c r="HUP225" s="1201"/>
      <c r="HUQ225" s="1201"/>
      <c r="HUR225" s="1201"/>
      <c r="HUS225" s="1201"/>
      <c r="HUT225" s="1201"/>
      <c r="HUU225" s="1201"/>
      <c r="HUV225" s="1201"/>
      <c r="HUW225" s="1201"/>
      <c r="HUX225" s="1201"/>
      <c r="HUY225" s="1201"/>
      <c r="HUZ225" s="1201"/>
      <c r="HVA225" s="1201"/>
      <c r="HVB225" s="1201"/>
      <c r="HVC225" s="1201"/>
      <c r="HVD225" s="1201"/>
      <c r="HVE225" s="1201"/>
      <c r="HVF225" s="1201"/>
      <c r="HVG225" s="1201"/>
      <c r="HVH225" s="1201"/>
      <c r="HVI225" s="1201"/>
      <c r="HVJ225" s="1201"/>
      <c r="HVK225" s="1201"/>
      <c r="HVL225" s="1201"/>
      <c r="HVM225" s="1201"/>
      <c r="HVN225" s="1201"/>
      <c r="HVO225" s="1201"/>
      <c r="HVP225" s="1201"/>
      <c r="HVQ225" s="1201"/>
      <c r="HVR225" s="1201"/>
      <c r="HVS225" s="1201"/>
      <c r="HVT225" s="1201"/>
      <c r="HVU225" s="1201"/>
      <c r="HVV225" s="1201"/>
      <c r="HVW225" s="1201"/>
      <c r="HVX225" s="1201"/>
      <c r="HVY225" s="1201"/>
      <c r="HVZ225" s="1201"/>
      <c r="HWA225" s="1201"/>
      <c r="HWB225" s="1201"/>
      <c r="HWC225" s="1201"/>
      <c r="HWD225" s="1201"/>
      <c r="HWE225" s="1201"/>
      <c r="HWF225" s="1201"/>
      <c r="HWG225" s="1201"/>
      <c r="HWH225" s="1201"/>
      <c r="HWI225" s="1201"/>
      <c r="HWJ225" s="1201"/>
      <c r="HWK225" s="1201"/>
      <c r="HWL225" s="1201"/>
      <c r="HWM225" s="1201"/>
      <c r="HWN225" s="1201"/>
      <c r="HWO225" s="1201"/>
      <c r="HWP225" s="1201"/>
      <c r="HWQ225" s="1201"/>
      <c r="HWR225" s="1201"/>
      <c r="HWS225" s="1201"/>
      <c r="HWT225" s="1201"/>
      <c r="HWU225" s="1201"/>
      <c r="HWV225" s="1201"/>
      <c r="HWW225" s="1201"/>
      <c r="HWX225" s="1201"/>
      <c r="HWY225" s="1201"/>
      <c r="HWZ225" s="1201"/>
      <c r="HXA225" s="1201"/>
      <c r="HXB225" s="1201"/>
      <c r="HXC225" s="1201"/>
      <c r="HXD225" s="1201"/>
      <c r="HXE225" s="1201"/>
      <c r="HXF225" s="1201"/>
      <c r="HXG225" s="1201"/>
      <c r="HXH225" s="1201"/>
      <c r="HXI225" s="1201"/>
      <c r="HXJ225" s="1201"/>
      <c r="HXK225" s="1201"/>
      <c r="HXL225" s="1201"/>
      <c r="HXM225" s="1201"/>
      <c r="HXN225" s="1201"/>
      <c r="HXO225" s="1201"/>
      <c r="HXP225" s="1201"/>
      <c r="HXQ225" s="1201"/>
      <c r="HXR225" s="1201"/>
      <c r="HXS225" s="1201"/>
      <c r="HXT225" s="1201"/>
      <c r="HXU225" s="1201"/>
      <c r="HXV225" s="1201"/>
      <c r="HXW225" s="1201"/>
      <c r="HXX225" s="1201"/>
      <c r="HXY225" s="1201"/>
      <c r="HXZ225" s="1201"/>
      <c r="HYA225" s="1201"/>
      <c r="HYB225" s="1201"/>
      <c r="HYC225" s="1201"/>
      <c r="HYD225" s="1201"/>
      <c r="HYE225" s="1201"/>
      <c r="HYF225" s="1201"/>
      <c r="HYG225" s="1201"/>
      <c r="HYH225" s="1201"/>
      <c r="HYI225" s="1201"/>
      <c r="HYJ225" s="1201"/>
      <c r="HYK225" s="1201"/>
      <c r="HYL225" s="1201"/>
      <c r="HYM225" s="1201"/>
      <c r="HYN225" s="1201"/>
      <c r="HYO225" s="1201"/>
      <c r="HYP225" s="1201"/>
      <c r="HYQ225" s="1201"/>
      <c r="HYR225" s="1201"/>
      <c r="HYS225" s="1201"/>
      <c r="HYT225" s="1201"/>
      <c r="HYU225" s="1201"/>
      <c r="HYV225" s="1201"/>
      <c r="HYW225" s="1201"/>
      <c r="HYX225" s="1201"/>
      <c r="HYY225" s="1201"/>
      <c r="HYZ225" s="1201"/>
      <c r="HZA225" s="1201"/>
      <c r="HZB225" s="1201"/>
      <c r="HZC225" s="1201"/>
      <c r="HZD225" s="1201"/>
      <c r="HZE225" s="1201"/>
      <c r="HZF225" s="1201"/>
      <c r="HZG225" s="1201"/>
      <c r="HZH225" s="1201"/>
      <c r="HZI225" s="1201"/>
      <c r="HZJ225" s="1201"/>
      <c r="HZK225" s="1201"/>
      <c r="HZL225" s="1201"/>
      <c r="HZM225" s="1201"/>
      <c r="HZN225" s="1201"/>
      <c r="HZO225" s="1201"/>
      <c r="HZP225" s="1201"/>
      <c r="HZQ225" s="1201"/>
      <c r="HZR225" s="1201"/>
      <c r="HZS225" s="1201"/>
      <c r="HZT225" s="1201"/>
      <c r="HZU225" s="1201"/>
      <c r="HZV225" s="1201"/>
      <c r="HZW225" s="1201"/>
      <c r="HZX225" s="1201"/>
      <c r="HZY225" s="1201"/>
      <c r="HZZ225" s="1201"/>
      <c r="IAA225" s="1201"/>
      <c r="IAB225" s="1201"/>
      <c r="IAC225" s="1201"/>
      <c r="IAD225" s="1201"/>
      <c r="IAE225" s="1201"/>
      <c r="IAF225" s="1201"/>
      <c r="IAG225" s="1201"/>
      <c r="IAH225" s="1201"/>
      <c r="IAI225" s="1201"/>
      <c r="IAJ225" s="1201"/>
      <c r="IAK225" s="1201"/>
      <c r="IAL225" s="1201"/>
      <c r="IAM225" s="1201"/>
      <c r="IAN225" s="1201"/>
      <c r="IAO225" s="1201"/>
      <c r="IAP225" s="1201"/>
      <c r="IAQ225" s="1201"/>
      <c r="IAR225" s="1201"/>
      <c r="IAS225" s="1201"/>
      <c r="IAT225" s="1201"/>
      <c r="IAU225" s="1201"/>
      <c r="IAV225" s="1201"/>
      <c r="IAW225" s="1201"/>
      <c r="IAX225" s="1201"/>
      <c r="IAY225" s="1201"/>
      <c r="IAZ225" s="1201"/>
      <c r="IBA225" s="1201"/>
      <c r="IBB225" s="1201"/>
      <c r="IBC225" s="1201"/>
      <c r="IBD225" s="1201"/>
      <c r="IBE225" s="1201"/>
      <c r="IBF225" s="1201"/>
      <c r="IBG225" s="1201"/>
      <c r="IBH225" s="1201"/>
      <c r="IBI225" s="1201"/>
      <c r="IBJ225" s="1201"/>
      <c r="IBK225" s="1201"/>
      <c r="IBL225" s="1201"/>
      <c r="IBM225" s="1201"/>
      <c r="IBN225" s="1201"/>
      <c r="IBO225" s="1201"/>
      <c r="IBP225" s="1201"/>
      <c r="IBQ225" s="1201"/>
      <c r="IBR225" s="1201"/>
      <c r="IBS225" s="1201"/>
      <c r="IBT225" s="1201"/>
      <c r="IBU225" s="1201"/>
      <c r="IBV225" s="1201"/>
      <c r="IBW225" s="1201"/>
      <c r="IBX225" s="1201"/>
      <c r="IBY225" s="1201"/>
      <c r="IBZ225" s="1201"/>
      <c r="ICA225" s="1201"/>
      <c r="ICB225" s="1201"/>
      <c r="ICC225" s="1201"/>
      <c r="ICD225" s="1201"/>
      <c r="ICE225" s="1201"/>
      <c r="ICF225" s="1201"/>
      <c r="ICG225" s="1201"/>
      <c r="ICH225" s="1201"/>
      <c r="ICI225" s="1201"/>
      <c r="ICJ225" s="1201"/>
      <c r="ICK225" s="1201"/>
      <c r="ICL225" s="1201"/>
      <c r="ICM225" s="1201"/>
      <c r="ICN225" s="1201"/>
      <c r="ICO225" s="1201"/>
      <c r="ICP225" s="1201"/>
      <c r="ICQ225" s="1201"/>
      <c r="ICR225" s="1201"/>
      <c r="ICS225" s="1201"/>
      <c r="ICT225" s="1201"/>
      <c r="ICU225" s="1201"/>
      <c r="ICV225" s="1201"/>
      <c r="ICW225" s="1201"/>
      <c r="ICX225" s="1201"/>
      <c r="ICY225" s="1201"/>
      <c r="ICZ225" s="1201"/>
      <c r="IDA225" s="1201"/>
      <c r="IDB225" s="1201"/>
      <c r="IDC225" s="1201"/>
      <c r="IDD225" s="1201"/>
      <c r="IDE225" s="1201"/>
      <c r="IDF225" s="1201"/>
      <c r="IDG225" s="1201"/>
      <c r="IDH225" s="1201"/>
      <c r="IDI225" s="1201"/>
      <c r="IDJ225" s="1201"/>
      <c r="IDK225" s="1201"/>
      <c r="IDL225" s="1201"/>
      <c r="IDM225" s="1201"/>
      <c r="IDN225" s="1201"/>
      <c r="IDO225" s="1201"/>
      <c r="IDP225" s="1201"/>
      <c r="IDQ225" s="1201"/>
      <c r="IDR225" s="1201"/>
      <c r="IDS225" s="1201"/>
      <c r="IDT225" s="1201"/>
      <c r="IDU225" s="1201"/>
      <c r="IDV225" s="1201"/>
      <c r="IDW225" s="1201"/>
      <c r="IDX225" s="1201"/>
      <c r="IDY225" s="1201"/>
      <c r="IDZ225" s="1201"/>
      <c r="IEA225" s="1201"/>
      <c r="IEB225" s="1201"/>
      <c r="IEC225" s="1201"/>
      <c r="IED225" s="1201"/>
      <c r="IEE225" s="1201"/>
      <c r="IEF225" s="1201"/>
      <c r="IEG225" s="1201"/>
      <c r="IEH225" s="1201"/>
      <c r="IEI225" s="1201"/>
      <c r="IEJ225" s="1201"/>
      <c r="IEK225" s="1201"/>
      <c r="IEL225" s="1201"/>
      <c r="IEM225" s="1201"/>
      <c r="IEN225" s="1201"/>
      <c r="IEO225" s="1201"/>
      <c r="IEP225" s="1201"/>
      <c r="IEQ225" s="1201"/>
      <c r="IER225" s="1201"/>
      <c r="IES225" s="1201"/>
      <c r="IET225" s="1201"/>
      <c r="IEU225" s="1201"/>
      <c r="IEV225" s="1201"/>
      <c r="IEW225" s="1201"/>
      <c r="IEX225" s="1201"/>
      <c r="IEY225" s="1201"/>
      <c r="IEZ225" s="1201"/>
      <c r="IFA225" s="1201"/>
      <c r="IFB225" s="1201"/>
      <c r="IFC225" s="1201"/>
      <c r="IFD225" s="1201"/>
      <c r="IFE225" s="1201"/>
      <c r="IFF225" s="1201"/>
      <c r="IFG225" s="1201"/>
      <c r="IFH225" s="1201"/>
      <c r="IFI225" s="1201"/>
      <c r="IFJ225" s="1201"/>
      <c r="IFK225" s="1201"/>
      <c r="IFL225" s="1201"/>
      <c r="IFM225" s="1201"/>
      <c r="IFN225" s="1201"/>
      <c r="IFO225" s="1201"/>
      <c r="IFP225" s="1201"/>
      <c r="IFQ225" s="1201"/>
      <c r="IFR225" s="1201"/>
      <c r="IFS225" s="1201"/>
      <c r="IFT225" s="1201"/>
      <c r="IFU225" s="1201"/>
      <c r="IFV225" s="1201"/>
      <c r="IFW225" s="1201"/>
      <c r="IFX225" s="1201"/>
      <c r="IFY225" s="1201"/>
      <c r="IFZ225" s="1201"/>
      <c r="IGA225" s="1201"/>
      <c r="IGB225" s="1201"/>
      <c r="IGC225" s="1201"/>
      <c r="IGD225" s="1201"/>
      <c r="IGE225" s="1201"/>
      <c r="IGF225" s="1201"/>
      <c r="IGG225" s="1201"/>
      <c r="IGH225" s="1201"/>
      <c r="IGI225" s="1201"/>
      <c r="IGJ225" s="1201"/>
      <c r="IGK225" s="1201"/>
      <c r="IGL225" s="1201"/>
      <c r="IGM225" s="1201"/>
      <c r="IGN225" s="1201"/>
      <c r="IGO225" s="1201"/>
      <c r="IGP225" s="1201"/>
      <c r="IGQ225" s="1201"/>
      <c r="IGR225" s="1201"/>
      <c r="IGS225" s="1201"/>
      <c r="IGT225" s="1201"/>
      <c r="IGU225" s="1201"/>
      <c r="IGV225" s="1201"/>
      <c r="IGW225" s="1201"/>
      <c r="IGX225" s="1201"/>
      <c r="IGY225" s="1201"/>
      <c r="IGZ225" s="1201"/>
      <c r="IHA225" s="1201"/>
      <c r="IHB225" s="1201"/>
      <c r="IHC225" s="1201"/>
      <c r="IHD225" s="1201"/>
      <c r="IHE225" s="1201"/>
      <c r="IHF225" s="1201"/>
      <c r="IHG225" s="1201"/>
      <c r="IHH225" s="1201"/>
      <c r="IHI225" s="1201"/>
      <c r="IHJ225" s="1201"/>
      <c r="IHK225" s="1201"/>
      <c r="IHL225" s="1201"/>
      <c r="IHM225" s="1201"/>
      <c r="IHN225" s="1201"/>
      <c r="IHO225" s="1201"/>
      <c r="IHP225" s="1201"/>
      <c r="IHQ225" s="1201"/>
      <c r="IHR225" s="1201"/>
      <c r="IHS225" s="1201"/>
      <c r="IHT225" s="1201"/>
      <c r="IHU225" s="1201"/>
      <c r="IHV225" s="1201"/>
      <c r="IHW225" s="1201"/>
      <c r="IHX225" s="1201"/>
      <c r="IHY225" s="1201"/>
      <c r="IHZ225" s="1201"/>
      <c r="IIA225" s="1201"/>
      <c r="IIB225" s="1201"/>
      <c r="IIC225" s="1201"/>
      <c r="IID225" s="1201"/>
      <c r="IIE225" s="1201"/>
      <c r="IIF225" s="1201"/>
      <c r="IIG225" s="1201"/>
      <c r="IIH225" s="1201"/>
      <c r="III225" s="1201"/>
      <c r="IIJ225" s="1201"/>
      <c r="IIK225" s="1201"/>
      <c r="IIL225" s="1201"/>
      <c r="IIM225" s="1201"/>
      <c r="IIN225" s="1201"/>
      <c r="IIO225" s="1201"/>
      <c r="IIP225" s="1201"/>
      <c r="IIQ225" s="1201"/>
      <c r="IIR225" s="1201"/>
      <c r="IIS225" s="1201"/>
      <c r="IIT225" s="1201"/>
      <c r="IIU225" s="1201"/>
      <c r="IIV225" s="1201"/>
      <c r="IIW225" s="1201"/>
      <c r="IIX225" s="1201"/>
      <c r="IIY225" s="1201"/>
      <c r="IIZ225" s="1201"/>
      <c r="IJA225" s="1201"/>
      <c r="IJB225" s="1201"/>
      <c r="IJC225" s="1201"/>
      <c r="IJD225" s="1201"/>
      <c r="IJE225" s="1201"/>
      <c r="IJF225" s="1201"/>
      <c r="IJG225" s="1201"/>
      <c r="IJH225" s="1201"/>
      <c r="IJI225" s="1201"/>
      <c r="IJJ225" s="1201"/>
      <c r="IJK225" s="1201"/>
      <c r="IJL225" s="1201"/>
      <c r="IJM225" s="1201"/>
      <c r="IJN225" s="1201"/>
      <c r="IJO225" s="1201"/>
      <c r="IJP225" s="1201"/>
      <c r="IJQ225" s="1201"/>
      <c r="IJR225" s="1201"/>
      <c r="IJS225" s="1201"/>
      <c r="IJT225" s="1201"/>
      <c r="IJU225" s="1201"/>
      <c r="IJV225" s="1201"/>
      <c r="IJW225" s="1201"/>
      <c r="IJX225" s="1201"/>
      <c r="IJY225" s="1201"/>
      <c r="IJZ225" s="1201"/>
      <c r="IKA225" s="1201"/>
      <c r="IKB225" s="1201"/>
      <c r="IKC225" s="1201"/>
      <c r="IKD225" s="1201"/>
      <c r="IKE225" s="1201"/>
      <c r="IKF225" s="1201"/>
      <c r="IKG225" s="1201"/>
      <c r="IKH225" s="1201"/>
      <c r="IKI225" s="1201"/>
      <c r="IKJ225" s="1201"/>
      <c r="IKK225" s="1201"/>
      <c r="IKL225" s="1201"/>
      <c r="IKM225" s="1201"/>
      <c r="IKN225" s="1201"/>
      <c r="IKO225" s="1201"/>
      <c r="IKP225" s="1201"/>
      <c r="IKQ225" s="1201"/>
      <c r="IKR225" s="1201"/>
      <c r="IKS225" s="1201"/>
      <c r="IKT225" s="1201"/>
      <c r="IKU225" s="1201"/>
      <c r="IKV225" s="1201"/>
      <c r="IKW225" s="1201"/>
      <c r="IKX225" s="1201"/>
      <c r="IKY225" s="1201"/>
      <c r="IKZ225" s="1201"/>
      <c r="ILA225" s="1201"/>
      <c r="ILB225" s="1201"/>
      <c r="ILC225" s="1201"/>
      <c r="ILD225" s="1201"/>
      <c r="ILE225" s="1201"/>
      <c r="ILF225" s="1201"/>
      <c r="ILG225" s="1201"/>
      <c r="ILH225" s="1201"/>
      <c r="ILI225" s="1201"/>
      <c r="ILJ225" s="1201"/>
      <c r="ILK225" s="1201"/>
      <c r="ILL225" s="1201"/>
      <c r="ILM225" s="1201"/>
      <c r="ILN225" s="1201"/>
      <c r="ILO225" s="1201"/>
      <c r="ILP225" s="1201"/>
      <c r="ILQ225" s="1201"/>
      <c r="ILR225" s="1201"/>
      <c r="ILS225" s="1201"/>
      <c r="ILT225" s="1201"/>
      <c r="ILU225" s="1201"/>
      <c r="ILV225" s="1201"/>
      <c r="ILW225" s="1201"/>
      <c r="ILX225" s="1201"/>
      <c r="ILY225" s="1201"/>
      <c r="ILZ225" s="1201"/>
      <c r="IMA225" s="1201"/>
      <c r="IMB225" s="1201"/>
      <c r="IMC225" s="1201"/>
      <c r="IMD225" s="1201"/>
      <c r="IME225" s="1201"/>
      <c r="IMF225" s="1201"/>
      <c r="IMG225" s="1201"/>
      <c r="IMH225" s="1201"/>
      <c r="IMI225" s="1201"/>
      <c r="IMJ225" s="1201"/>
      <c r="IMK225" s="1201"/>
      <c r="IML225" s="1201"/>
      <c r="IMM225" s="1201"/>
      <c r="IMN225" s="1201"/>
      <c r="IMO225" s="1201"/>
      <c r="IMP225" s="1201"/>
      <c r="IMQ225" s="1201"/>
      <c r="IMR225" s="1201"/>
      <c r="IMS225" s="1201"/>
      <c r="IMT225" s="1201"/>
      <c r="IMU225" s="1201"/>
      <c r="IMV225" s="1201"/>
      <c r="IMW225" s="1201"/>
      <c r="IMX225" s="1201"/>
      <c r="IMY225" s="1201"/>
      <c r="IMZ225" s="1201"/>
      <c r="INA225" s="1201"/>
      <c r="INB225" s="1201"/>
      <c r="INC225" s="1201"/>
      <c r="IND225" s="1201"/>
      <c r="INE225" s="1201"/>
      <c r="INF225" s="1201"/>
      <c r="ING225" s="1201"/>
      <c r="INH225" s="1201"/>
      <c r="INI225" s="1201"/>
      <c r="INJ225" s="1201"/>
      <c r="INK225" s="1201"/>
      <c r="INL225" s="1201"/>
      <c r="INM225" s="1201"/>
      <c r="INN225" s="1201"/>
      <c r="INO225" s="1201"/>
      <c r="INP225" s="1201"/>
      <c r="INQ225" s="1201"/>
      <c r="INR225" s="1201"/>
      <c r="INS225" s="1201"/>
      <c r="INT225" s="1201"/>
      <c r="INU225" s="1201"/>
      <c r="INV225" s="1201"/>
      <c r="INW225" s="1201"/>
      <c r="INX225" s="1201"/>
      <c r="INY225" s="1201"/>
      <c r="INZ225" s="1201"/>
      <c r="IOA225" s="1201"/>
      <c r="IOB225" s="1201"/>
      <c r="IOC225" s="1201"/>
      <c r="IOD225" s="1201"/>
      <c r="IOE225" s="1201"/>
      <c r="IOF225" s="1201"/>
      <c r="IOG225" s="1201"/>
      <c r="IOH225" s="1201"/>
      <c r="IOI225" s="1201"/>
      <c r="IOJ225" s="1201"/>
      <c r="IOK225" s="1201"/>
      <c r="IOL225" s="1201"/>
      <c r="IOM225" s="1201"/>
      <c r="ION225" s="1201"/>
      <c r="IOO225" s="1201"/>
      <c r="IOP225" s="1201"/>
      <c r="IOQ225" s="1201"/>
      <c r="IOR225" s="1201"/>
      <c r="IOS225" s="1201"/>
      <c r="IOT225" s="1201"/>
      <c r="IOU225" s="1201"/>
      <c r="IOV225" s="1201"/>
      <c r="IOW225" s="1201"/>
      <c r="IOX225" s="1201"/>
      <c r="IOY225" s="1201"/>
      <c r="IOZ225" s="1201"/>
      <c r="IPA225" s="1201"/>
      <c r="IPB225" s="1201"/>
      <c r="IPC225" s="1201"/>
      <c r="IPD225" s="1201"/>
      <c r="IPE225" s="1201"/>
      <c r="IPF225" s="1201"/>
      <c r="IPG225" s="1201"/>
      <c r="IPH225" s="1201"/>
      <c r="IPI225" s="1201"/>
      <c r="IPJ225" s="1201"/>
      <c r="IPK225" s="1201"/>
      <c r="IPL225" s="1201"/>
      <c r="IPM225" s="1201"/>
      <c r="IPN225" s="1201"/>
      <c r="IPO225" s="1201"/>
      <c r="IPP225" s="1201"/>
      <c r="IPQ225" s="1201"/>
      <c r="IPR225" s="1201"/>
      <c r="IPS225" s="1201"/>
      <c r="IPT225" s="1201"/>
      <c r="IPU225" s="1201"/>
      <c r="IPV225" s="1201"/>
      <c r="IPW225" s="1201"/>
      <c r="IPX225" s="1201"/>
      <c r="IPY225" s="1201"/>
      <c r="IPZ225" s="1201"/>
      <c r="IQA225" s="1201"/>
      <c r="IQB225" s="1201"/>
      <c r="IQC225" s="1201"/>
      <c r="IQD225" s="1201"/>
      <c r="IQE225" s="1201"/>
      <c r="IQF225" s="1201"/>
      <c r="IQG225" s="1201"/>
      <c r="IQH225" s="1201"/>
      <c r="IQI225" s="1201"/>
      <c r="IQJ225" s="1201"/>
      <c r="IQK225" s="1201"/>
      <c r="IQL225" s="1201"/>
      <c r="IQM225" s="1201"/>
      <c r="IQN225" s="1201"/>
      <c r="IQO225" s="1201"/>
      <c r="IQP225" s="1201"/>
      <c r="IQQ225" s="1201"/>
      <c r="IQR225" s="1201"/>
      <c r="IQS225" s="1201"/>
      <c r="IQT225" s="1201"/>
      <c r="IQU225" s="1201"/>
      <c r="IQV225" s="1201"/>
      <c r="IQW225" s="1201"/>
      <c r="IQX225" s="1201"/>
      <c r="IQY225" s="1201"/>
      <c r="IQZ225" s="1201"/>
      <c r="IRA225" s="1201"/>
      <c r="IRB225" s="1201"/>
      <c r="IRC225" s="1201"/>
      <c r="IRD225" s="1201"/>
      <c r="IRE225" s="1201"/>
      <c r="IRF225" s="1201"/>
      <c r="IRG225" s="1201"/>
      <c r="IRH225" s="1201"/>
      <c r="IRI225" s="1201"/>
      <c r="IRJ225" s="1201"/>
      <c r="IRK225" s="1201"/>
      <c r="IRL225" s="1201"/>
      <c r="IRM225" s="1201"/>
      <c r="IRN225" s="1201"/>
      <c r="IRO225" s="1201"/>
      <c r="IRP225" s="1201"/>
      <c r="IRQ225" s="1201"/>
      <c r="IRR225" s="1201"/>
      <c r="IRS225" s="1201"/>
      <c r="IRT225" s="1201"/>
      <c r="IRU225" s="1201"/>
      <c r="IRV225" s="1201"/>
      <c r="IRW225" s="1201"/>
      <c r="IRX225" s="1201"/>
      <c r="IRY225" s="1201"/>
      <c r="IRZ225" s="1201"/>
      <c r="ISA225" s="1201"/>
      <c r="ISB225" s="1201"/>
      <c r="ISC225" s="1201"/>
      <c r="ISD225" s="1201"/>
      <c r="ISE225" s="1201"/>
      <c r="ISF225" s="1201"/>
      <c r="ISG225" s="1201"/>
      <c r="ISH225" s="1201"/>
      <c r="ISI225" s="1201"/>
      <c r="ISJ225" s="1201"/>
      <c r="ISK225" s="1201"/>
      <c r="ISL225" s="1201"/>
      <c r="ISM225" s="1201"/>
      <c r="ISN225" s="1201"/>
      <c r="ISO225" s="1201"/>
      <c r="ISP225" s="1201"/>
      <c r="ISQ225" s="1201"/>
      <c r="ISR225" s="1201"/>
      <c r="ISS225" s="1201"/>
      <c r="IST225" s="1201"/>
      <c r="ISU225" s="1201"/>
      <c r="ISV225" s="1201"/>
      <c r="ISW225" s="1201"/>
      <c r="ISX225" s="1201"/>
      <c r="ISY225" s="1201"/>
      <c r="ISZ225" s="1201"/>
      <c r="ITA225" s="1201"/>
      <c r="ITB225" s="1201"/>
      <c r="ITC225" s="1201"/>
      <c r="ITD225" s="1201"/>
      <c r="ITE225" s="1201"/>
      <c r="ITF225" s="1201"/>
      <c r="ITG225" s="1201"/>
      <c r="ITH225" s="1201"/>
      <c r="ITI225" s="1201"/>
      <c r="ITJ225" s="1201"/>
      <c r="ITK225" s="1201"/>
      <c r="ITL225" s="1201"/>
      <c r="ITM225" s="1201"/>
      <c r="ITN225" s="1201"/>
      <c r="ITO225" s="1201"/>
      <c r="ITP225" s="1201"/>
      <c r="ITQ225" s="1201"/>
      <c r="ITR225" s="1201"/>
      <c r="ITS225" s="1201"/>
      <c r="ITT225" s="1201"/>
      <c r="ITU225" s="1201"/>
      <c r="ITV225" s="1201"/>
      <c r="ITW225" s="1201"/>
      <c r="ITX225" s="1201"/>
      <c r="ITY225" s="1201"/>
      <c r="ITZ225" s="1201"/>
      <c r="IUA225" s="1201"/>
      <c r="IUB225" s="1201"/>
      <c r="IUC225" s="1201"/>
      <c r="IUD225" s="1201"/>
      <c r="IUE225" s="1201"/>
      <c r="IUF225" s="1201"/>
      <c r="IUG225" s="1201"/>
      <c r="IUH225" s="1201"/>
      <c r="IUI225" s="1201"/>
      <c r="IUJ225" s="1201"/>
      <c r="IUK225" s="1201"/>
      <c r="IUL225" s="1201"/>
      <c r="IUM225" s="1201"/>
      <c r="IUN225" s="1201"/>
      <c r="IUO225" s="1201"/>
      <c r="IUP225" s="1201"/>
      <c r="IUQ225" s="1201"/>
      <c r="IUR225" s="1201"/>
      <c r="IUS225" s="1201"/>
      <c r="IUT225" s="1201"/>
      <c r="IUU225" s="1201"/>
      <c r="IUV225" s="1201"/>
      <c r="IUW225" s="1201"/>
      <c r="IUX225" s="1201"/>
      <c r="IUY225" s="1201"/>
      <c r="IUZ225" s="1201"/>
      <c r="IVA225" s="1201"/>
      <c r="IVB225" s="1201"/>
      <c r="IVC225" s="1201"/>
      <c r="IVD225" s="1201"/>
      <c r="IVE225" s="1201"/>
      <c r="IVF225" s="1201"/>
      <c r="IVG225" s="1201"/>
      <c r="IVH225" s="1201"/>
      <c r="IVI225" s="1201"/>
      <c r="IVJ225" s="1201"/>
      <c r="IVK225" s="1201"/>
      <c r="IVL225" s="1201"/>
      <c r="IVM225" s="1201"/>
      <c r="IVN225" s="1201"/>
      <c r="IVO225" s="1201"/>
      <c r="IVP225" s="1201"/>
      <c r="IVQ225" s="1201"/>
      <c r="IVR225" s="1201"/>
      <c r="IVS225" s="1201"/>
      <c r="IVT225" s="1201"/>
      <c r="IVU225" s="1201"/>
      <c r="IVV225" s="1201"/>
      <c r="IVW225" s="1201"/>
      <c r="IVX225" s="1201"/>
      <c r="IVY225" s="1201"/>
      <c r="IVZ225" s="1201"/>
      <c r="IWA225" s="1201"/>
      <c r="IWB225" s="1201"/>
      <c r="IWC225" s="1201"/>
      <c r="IWD225" s="1201"/>
      <c r="IWE225" s="1201"/>
      <c r="IWF225" s="1201"/>
      <c r="IWG225" s="1201"/>
      <c r="IWH225" s="1201"/>
      <c r="IWI225" s="1201"/>
      <c r="IWJ225" s="1201"/>
      <c r="IWK225" s="1201"/>
      <c r="IWL225" s="1201"/>
      <c r="IWM225" s="1201"/>
      <c r="IWN225" s="1201"/>
      <c r="IWO225" s="1201"/>
      <c r="IWP225" s="1201"/>
      <c r="IWQ225" s="1201"/>
      <c r="IWR225" s="1201"/>
      <c r="IWS225" s="1201"/>
      <c r="IWT225" s="1201"/>
      <c r="IWU225" s="1201"/>
      <c r="IWV225" s="1201"/>
      <c r="IWW225" s="1201"/>
      <c r="IWX225" s="1201"/>
      <c r="IWY225" s="1201"/>
      <c r="IWZ225" s="1201"/>
      <c r="IXA225" s="1201"/>
      <c r="IXB225" s="1201"/>
      <c r="IXC225" s="1201"/>
      <c r="IXD225" s="1201"/>
      <c r="IXE225" s="1201"/>
      <c r="IXF225" s="1201"/>
      <c r="IXG225" s="1201"/>
      <c r="IXH225" s="1201"/>
      <c r="IXI225" s="1201"/>
      <c r="IXJ225" s="1201"/>
      <c r="IXK225" s="1201"/>
      <c r="IXL225" s="1201"/>
      <c r="IXM225" s="1201"/>
      <c r="IXN225" s="1201"/>
      <c r="IXO225" s="1201"/>
      <c r="IXP225" s="1201"/>
      <c r="IXQ225" s="1201"/>
      <c r="IXR225" s="1201"/>
      <c r="IXS225" s="1201"/>
      <c r="IXT225" s="1201"/>
      <c r="IXU225" s="1201"/>
      <c r="IXV225" s="1201"/>
      <c r="IXW225" s="1201"/>
      <c r="IXX225" s="1201"/>
      <c r="IXY225" s="1201"/>
      <c r="IXZ225" s="1201"/>
      <c r="IYA225" s="1201"/>
      <c r="IYB225" s="1201"/>
      <c r="IYC225" s="1201"/>
      <c r="IYD225" s="1201"/>
      <c r="IYE225" s="1201"/>
      <c r="IYF225" s="1201"/>
      <c r="IYG225" s="1201"/>
      <c r="IYH225" s="1201"/>
      <c r="IYI225" s="1201"/>
      <c r="IYJ225" s="1201"/>
      <c r="IYK225" s="1201"/>
      <c r="IYL225" s="1201"/>
      <c r="IYM225" s="1201"/>
      <c r="IYN225" s="1201"/>
      <c r="IYO225" s="1201"/>
      <c r="IYP225" s="1201"/>
      <c r="IYQ225" s="1201"/>
      <c r="IYR225" s="1201"/>
      <c r="IYS225" s="1201"/>
      <c r="IYT225" s="1201"/>
      <c r="IYU225" s="1201"/>
      <c r="IYV225" s="1201"/>
      <c r="IYW225" s="1201"/>
      <c r="IYX225" s="1201"/>
      <c r="IYY225" s="1201"/>
      <c r="IYZ225" s="1201"/>
      <c r="IZA225" s="1201"/>
      <c r="IZB225" s="1201"/>
      <c r="IZC225" s="1201"/>
      <c r="IZD225" s="1201"/>
      <c r="IZE225" s="1201"/>
      <c r="IZF225" s="1201"/>
      <c r="IZG225" s="1201"/>
      <c r="IZH225" s="1201"/>
      <c r="IZI225" s="1201"/>
      <c r="IZJ225" s="1201"/>
      <c r="IZK225" s="1201"/>
      <c r="IZL225" s="1201"/>
      <c r="IZM225" s="1201"/>
      <c r="IZN225" s="1201"/>
      <c r="IZO225" s="1201"/>
      <c r="IZP225" s="1201"/>
      <c r="IZQ225" s="1201"/>
      <c r="IZR225" s="1201"/>
      <c r="IZS225" s="1201"/>
      <c r="IZT225" s="1201"/>
      <c r="IZU225" s="1201"/>
      <c r="IZV225" s="1201"/>
      <c r="IZW225" s="1201"/>
      <c r="IZX225" s="1201"/>
      <c r="IZY225" s="1201"/>
      <c r="IZZ225" s="1201"/>
      <c r="JAA225" s="1201"/>
      <c r="JAB225" s="1201"/>
      <c r="JAC225" s="1201"/>
      <c r="JAD225" s="1201"/>
      <c r="JAE225" s="1201"/>
      <c r="JAF225" s="1201"/>
      <c r="JAG225" s="1201"/>
      <c r="JAH225" s="1201"/>
      <c r="JAI225" s="1201"/>
      <c r="JAJ225" s="1201"/>
      <c r="JAK225" s="1201"/>
      <c r="JAL225" s="1201"/>
      <c r="JAM225" s="1201"/>
      <c r="JAN225" s="1201"/>
      <c r="JAO225" s="1201"/>
      <c r="JAP225" s="1201"/>
      <c r="JAQ225" s="1201"/>
      <c r="JAR225" s="1201"/>
      <c r="JAS225" s="1201"/>
      <c r="JAT225" s="1201"/>
      <c r="JAU225" s="1201"/>
      <c r="JAV225" s="1201"/>
      <c r="JAW225" s="1201"/>
      <c r="JAX225" s="1201"/>
      <c r="JAY225" s="1201"/>
      <c r="JAZ225" s="1201"/>
      <c r="JBA225" s="1201"/>
      <c r="JBB225" s="1201"/>
      <c r="JBC225" s="1201"/>
      <c r="JBD225" s="1201"/>
      <c r="JBE225" s="1201"/>
      <c r="JBF225" s="1201"/>
      <c r="JBG225" s="1201"/>
      <c r="JBH225" s="1201"/>
      <c r="JBI225" s="1201"/>
      <c r="JBJ225" s="1201"/>
      <c r="JBK225" s="1201"/>
      <c r="JBL225" s="1201"/>
      <c r="JBM225" s="1201"/>
      <c r="JBN225" s="1201"/>
      <c r="JBO225" s="1201"/>
      <c r="JBP225" s="1201"/>
      <c r="JBQ225" s="1201"/>
      <c r="JBR225" s="1201"/>
      <c r="JBS225" s="1201"/>
      <c r="JBT225" s="1201"/>
      <c r="JBU225" s="1201"/>
      <c r="JBV225" s="1201"/>
      <c r="JBW225" s="1201"/>
      <c r="JBX225" s="1201"/>
      <c r="JBY225" s="1201"/>
      <c r="JBZ225" s="1201"/>
      <c r="JCA225" s="1201"/>
      <c r="JCB225" s="1201"/>
      <c r="JCC225" s="1201"/>
      <c r="JCD225" s="1201"/>
      <c r="JCE225" s="1201"/>
      <c r="JCF225" s="1201"/>
      <c r="JCG225" s="1201"/>
      <c r="JCH225" s="1201"/>
      <c r="JCI225" s="1201"/>
      <c r="JCJ225" s="1201"/>
      <c r="JCK225" s="1201"/>
      <c r="JCL225" s="1201"/>
      <c r="JCM225" s="1201"/>
      <c r="JCN225" s="1201"/>
      <c r="JCO225" s="1201"/>
      <c r="JCP225" s="1201"/>
      <c r="JCQ225" s="1201"/>
      <c r="JCR225" s="1201"/>
      <c r="JCS225" s="1201"/>
      <c r="JCT225" s="1201"/>
      <c r="JCU225" s="1201"/>
      <c r="JCV225" s="1201"/>
      <c r="JCW225" s="1201"/>
      <c r="JCX225" s="1201"/>
      <c r="JCY225" s="1201"/>
      <c r="JCZ225" s="1201"/>
      <c r="JDA225" s="1201"/>
      <c r="JDB225" s="1201"/>
      <c r="JDC225" s="1201"/>
      <c r="JDD225" s="1201"/>
      <c r="JDE225" s="1201"/>
      <c r="JDF225" s="1201"/>
      <c r="JDG225" s="1201"/>
      <c r="JDH225" s="1201"/>
      <c r="JDI225" s="1201"/>
      <c r="JDJ225" s="1201"/>
      <c r="JDK225" s="1201"/>
      <c r="JDL225" s="1201"/>
      <c r="JDM225" s="1201"/>
      <c r="JDN225" s="1201"/>
      <c r="JDO225" s="1201"/>
      <c r="JDP225" s="1201"/>
      <c r="JDQ225" s="1201"/>
      <c r="JDR225" s="1201"/>
      <c r="JDS225" s="1201"/>
      <c r="JDT225" s="1201"/>
      <c r="JDU225" s="1201"/>
      <c r="JDV225" s="1201"/>
      <c r="JDW225" s="1201"/>
      <c r="JDX225" s="1201"/>
      <c r="JDY225" s="1201"/>
      <c r="JDZ225" s="1201"/>
      <c r="JEA225" s="1201"/>
      <c r="JEB225" s="1201"/>
      <c r="JEC225" s="1201"/>
      <c r="JED225" s="1201"/>
      <c r="JEE225" s="1201"/>
      <c r="JEF225" s="1201"/>
      <c r="JEG225" s="1201"/>
      <c r="JEH225" s="1201"/>
      <c r="JEI225" s="1201"/>
      <c r="JEJ225" s="1201"/>
      <c r="JEK225" s="1201"/>
      <c r="JEL225" s="1201"/>
      <c r="JEM225" s="1201"/>
      <c r="JEN225" s="1201"/>
      <c r="JEO225" s="1201"/>
      <c r="JEP225" s="1201"/>
      <c r="JEQ225" s="1201"/>
      <c r="JER225" s="1201"/>
      <c r="JES225" s="1201"/>
      <c r="JET225" s="1201"/>
      <c r="JEU225" s="1201"/>
      <c r="JEV225" s="1201"/>
      <c r="JEW225" s="1201"/>
      <c r="JEX225" s="1201"/>
      <c r="JEY225" s="1201"/>
      <c r="JEZ225" s="1201"/>
      <c r="JFA225" s="1201"/>
      <c r="JFB225" s="1201"/>
      <c r="JFC225" s="1201"/>
      <c r="JFD225" s="1201"/>
      <c r="JFE225" s="1201"/>
      <c r="JFF225" s="1201"/>
      <c r="JFG225" s="1201"/>
      <c r="JFH225" s="1201"/>
      <c r="JFI225" s="1201"/>
      <c r="JFJ225" s="1201"/>
      <c r="JFK225" s="1201"/>
      <c r="JFL225" s="1201"/>
      <c r="JFM225" s="1201"/>
      <c r="JFN225" s="1201"/>
      <c r="JFO225" s="1201"/>
      <c r="JFP225" s="1201"/>
      <c r="JFQ225" s="1201"/>
      <c r="JFR225" s="1201"/>
      <c r="JFS225" s="1201"/>
      <c r="JFT225" s="1201"/>
      <c r="JFU225" s="1201"/>
      <c r="JFV225" s="1201"/>
      <c r="JFW225" s="1201"/>
      <c r="JFX225" s="1201"/>
      <c r="JFY225" s="1201"/>
      <c r="JFZ225" s="1201"/>
      <c r="JGA225" s="1201"/>
      <c r="JGB225" s="1201"/>
      <c r="JGC225" s="1201"/>
      <c r="JGD225" s="1201"/>
      <c r="JGE225" s="1201"/>
      <c r="JGF225" s="1201"/>
      <c r="JGG225" s="1201"/>
      <c r="JGH225" s="1201"/>
      <c r="JGI225" s="1201"/>
      <c r="JGJ225" s="1201"/>
      <c r="JGK225" s="1201"/>
      <c r="JGL225" s="1201"/>
      <c r="JGM225" s="1201"/>
      <c r="JGN225" s="1201"/>
      <c r="JGO225" s="1201"/>
      <c r="JGP225" s="1201"/>
      <c r="JGQ225" s="1201"/>
      <c r="JGR225" s="1201"/>
      <c r="JGS225" s="1201"/>
      <c r="JGT225" s="1201"/>
      <c r="JGU225" s="1201"/>
      <c r="JGV225" s="1201"/>
      <c r="JGW225" s="1201"/>
      <c r="JGX225" s="1201"/>
      <c r="JGY225" s="1201"/>
      <c r="JGZ225" s="1201"/>
      <c r="JHA225" s="1201"/>
      <c r="JHB225" s="1201"/>
      <c r="JHC225" s="1201"/>
      <c r="JHD225" s="1201"/>
      <c r="JHE225" s="1201"/>
      <c r="JHF225" s="1201"/>
      <c r="JHG225" s="1201"/>
      <c r="JHH225" s="1201"/>
      <c r="JHI225" s="1201"/>
      <c r="JHJ225" s="1201"/>
      <c r="JHK225" s="1201"/>
      <c r="JHL225" s="1201"/>
      <c r="JHM225" s="1201"/>
      <c r="JHN225" s="1201"/>
      <c r="JHO225" s="1201"/>
      <c r="JHP225" s="1201"/>
      <c r="JHQ225" s="1201"/>
      <c r="JHR225" s="1201"/>
      <c r="JHS225" s="1201"/>
      <c r="JHT225" s="1201"/>
      <c r="JHU225" s="1201"/>
      <c r="JHV225" s="1201"/>
      <c r="JHW225" s="1201"/>
      <c r="JHX225" s="1201"/>
      <c r="JHY225" s="1201"/>
      <c r="JHZ225" s="1201"/>
      <c r="JIA225" s="1201"/>
      <c r="JIB225" s="1201"/>
      <c r="JIC225" s="1201"/>
      <c r="JID225" s="1201"/>
      <c r="JIE225" s="1201"/>
      <c r="JIF225" s="1201"/>
      <c r="JIG225" s="1201"/>
      <c r="JIH225" s="1201"/>
      <c r="JII225" s="1201"/>
      <c r="JIJ225" s="1201"/>
      <c r="JIK225" s="1201"/>
      <c r="JIL225" s="1201"/>
      <c r="JIM225" s="1201"/>
      <c r="JIN225" s="1201"/>
      <c r="JIO225" s="1201"/>
      <c r="JIP225" s="1201"/>
      <c r="JIQ225" s="1201"/>
      <c r="JIR225" s="1201"/>
      <c r="JIS225" s="1201"/>
      <c r="JIT225" s="1201"/>
      <c r="JIU225" s="1201"/>
      <c r="JIV225" s="1201"/>
      <c r="JIW225" s="1201"/>
      <c r="JIX225" s="1201"/>
      <c r="JIY225" s="1201"/>
      <c r="JIZ225" s="1201"/>
      <c r="JJA225" s="1201"/>
      <c r="JJB225" s="1201"/>
      <c r="JJC225" s="1201"/>
      <c r="JJD225" s="1201"/>
      <c r="JJE225" s="1201"/>
      <c r="JJF225" s="1201"/>
      <c r="JJG225" s="1201"/>
      <c r="JJH225" s="1201"/>
      <c r="JJI225" s="1201"/>
      <c r="JJJ225" s="1201"/>
      <c r="JJK225" s="1201"/>
      <c r="JJL225" s="1201"/>
      <c r="JJM225" s="1201"/>
      <c r="JJN225" s="1201"/>
      <c r="JJO225" s="1201"/>
      <c r="JJP225" s="1201"/>
      <c r="JJQ225" s="1201"/>
      <c r="JJR225" s="1201"/>
      <c r="JJS225" s="1201"/>
      <c r="JJT225" s="1201"/>
      <c r="JJU225" s="1201"/>
      <c r="JJV225" s="1201"/>
      <c r="JJW225" s="1201"/>
      <c r="JJX225" s="1201"/>
      <c r="JJY225" s="1201"/>
      <c r="JJZ225" s="1201"/>
      <c r="JKA225" s="1201"/>
      <c r="JKB225" s="1201"/>
      <c r="JKC225" s="1201"/>
      <c r="JKD225" s="1201"/>
      <c r="JKE225" s="1201"/>
      <c r="JKF225" s="1201"/>
      <c r="JKG225" s="1201"/>
      <c r="JKH225" s="1201"/>
      <c r="JKI225" s="1201"/>
      <c r="JKJ225" s="1201"/>
      <c r="JKK225" s="1201"/>
      <c r="JKL225" s="1201"/>
      <c r="JKM225" s="1201"/>
      <c r="JKN225" s="1201"/>
      <c r="JKO225" s="1201"/>
      <c r="JKP225" s="1201"/>
      <c r="JKQ225" s="1201"/>
      <c r="JKR225" s="1201"/>
      <c r="JKS225" s="1201"/>
      <c r="JKT225" s="1201"/>
      <c r="JKU225" s="1201"/>
      <c r="JKV225" s="1201"/>
      <c r="JKW225" s="1201"/>
      <c r="JKX225" s="1201"/>
      <c r="JKY225" s="1201"/>
      <c r="JKZ225" s="1201"/>
      <c r="JLA225" s="1201"/>
      <c r="JLB225" s="1201"/>
      <c r="JLC225" s="1201"/>
      <c r="JLD225" s="1201"/>
      <c r="JLE225" s="1201"/>
      <c r="JLF225" s="1201"/>
      <c r="JLG225" s="1201"/>
      <c r="JLH225" s="1201"/>
      <c r="JLI225" s="1201"/>
      <c r="JLJ225" s="1201"/>
      <c r="JLK225" s="1201"/>
      <c r="JLL225" s="1201"/>
      <c r="JLM225" s="1201"/>
      <c r="JLN225" s="1201"/>
      <c r="JLO225" s="1201"/>
      <c r="JLP225" s="1201"/>
      <c r="JLQ225" s="1201"/>
      <c r="JLR225" s="1201"/>
      <c r="JLS225" s="1201"/>
      <c r="JLT225" s="1201"/>
      <c r="JLU225" s="1201"/>
      <c r="JLV225" s="1201"/>
      <c r="JLW225" s="1201"/>
      <c r="JLX225" s="1201"/>
      <c r="JLY225" s="1201"/>
      <c r="JLZ225" s="1201"/>
      <c r="JMA225" s="1201"/>
      <c r="JMB225" s="1201"/>
      <c r="JMC225" s="1201"/>
      <c r="JMD225" s="1201"/>
      <c r="JME225" s="1201"/>
      <c r="JMF225" s="1201"/>
      <c r="JMG225" s="1201"/>
      <c r="JMH225" s="1201"/>
      <c r="JMI225" s="1201"/>
      <c r="JMJ225" s="1201"/>
      <c r="JMK225" s="1201"/>
      <c r="JML225" s="1201"/>
      <c r="JMM225" s="1201"/>
      <c r="JMN225" s="1201"/>
      <c r="JMO225" s="1201"/>
      <c r="JMP225" s="1201"/>
      <c r="JMQ225" s="1201"/>
      <c r="JMR225" s="1201"/>
      <c r="JMS225" s="1201"/>
      <c r="JMT225" s="1201"/>
      <c r="JMU225" s="1201"/>
      <c r="JMV225" s="1201"/>
      <c r="JMW225" s="1201"/>
      <c r="JMX225" s="1201"/>
      <c r="JMY225" s="1201"/>
      <c r="JMZ225" s="1201"/>
      <c r="JNA225" s="1201"/>
      <c r="JNB225" s="1201"/>
      <c r="JNC225" s="1201"/>
      <c r="JND225" s="1201"/>
      <c r="JNE225" s="1201"/>
      <c r="JNF225" s="1201"/>
      <c r="JNG225" s="1201"/>
      <c r="JNH225" s="1201"/>
      <c r="JNI225" s="1201"/>
      <c r="JNJ225" s="1201"/>
      <c r="JNK225" s="1201"/>
      <c r="JNL225" s="1201"/>
      <c r="JNM225" s="1201"/>
      <c r="JNN225" s="1201"/>
      <c r="JNO225" s="1201"/>
      <c r="JNP225" s="1201"/>
      <c r="JNQ225" s="1201"/>
      <c r="JNR225" s="1201"/>
      <c r="JNS225" s="1201"/>
      <c r="JNT225" s="1201"/>
      <c r="JNU225" s="1201"/>
      <c r="JNV225" s="1201"/>
      <c r="JNW225" s="1201"/>
      <c r="JNX225" s="1201"/>
      <c r="JNY225" s="1201"/>
      <c r="JNZ225" s="1201"/>
      <c r="JOA225" s="1201"/>
      <c r="JOB225" s="1201"/>
      <c r="JOC225" s="1201"/>
      <c r="JOD225" s="1201"/>
      <c r="JOE225" s="1201"/>
      <c r="JOF225" s="1201"/>
      <c r="JOG225" s="1201"/>
      <c r="JOH225" s="1201"/>
      <c r="JOI225" s="1201"/>
      <c r="JOJ225" s="1201"/>
      <c r="JOK225" s="1201"/>
      <c r="JOL225" s="1201"/>
      <c r="JOM225" s="1201"/>
      <c r="JON225" s="1201"/>
      <c r="JOO225" s="1201"/>
      <c r="JOP225" s="1201"/>
      <c r="JOQ225" s="1201"/>
      <c r="JOR225" s="1201"/>
      <c r="JOS225" s="1201"/>
      <c r="JOT225" s="1201"/>
      <c r="JOU225" s="1201"/>
      <c r="JOV225" s="1201"/>
      <c r="JOW225" s="1201"/>
      <c r="JOX225" s="1201"/>
      <c r="JOY225" s="1201"/>
      <c r="JOZ225" s="1201"/>
      <c r="JPA225" s="1201"/>
      <c r="JPB225" s="1201"/>
      <c r="JPC225" s="1201"/>
      <c r="JPD225" s="1201"/>
      <c r="JPE225" s="1201"/>
      <c r="JPF225" s="1201"/>
      <c r="JPG225" s="1201"/>
      <c r="JPH225" s="1201"/>
      <c r="JPI225" s="1201"/>
      <c r="JPJ225" s="1201"/>
      <c r="JPK225" s="1201"/>
      <c r="JPL225" s="1201"/>
      <c r="JPM225" s="1201"/>
      <c r="JPN225" s="1201"/>
      <c r="JPO225" s="1201"/>
      <c r="JPP225" s="1201"/>
      <c r="JPQ225" s="1201"/>
      <c r="JPR225" s="1201"/>
      <c r="JPS225" s="1201"/>
      <c r="JPT225" s="1201"/>
      <c r="JPU225" s="1201"/>
      <c r="JPV225" s="1201"/>
      <c r="JPW225" s="1201"/>
      <c r="JPX225" s="1201"/>
      <c r="JPY225" s="1201"/>
      <c r="JPZ225" s="1201"/>
      <c r="JQA225" s="1201"/>
      <c r="JQB225" s="1201"/>
      <c r="JQC225" s="1201"/>
      <c r="JQD225" s="1201"/>
      <c r="JQE225" s="1201"/>
      <c r="JQF225" s="1201"/>
      <c r="JQG225" s="1201"/>
      <c r="JQH225" s="1201"/>
      <c r="JQI225" s="1201"/>
      <c r="JQJ225" s="1201"/>
      <c r="JQK225" s="1201"/>
      <c r="JQL225" s="1201"/>
      <c r="JQM225" s="1201"/>
      <c r="JQN225" s="1201"/>
      <c r="JQO225" s="1201"/>
      <c r="JQP225" s="1201"/>
      <c r="JQQ225" s="1201"/>
      <c r="JQR225" s="1201"/>
      <c r="JQS225" s="1201"/>
      <c r="JQT225" s="1201"/>
      <c r="JQU225" s="1201"/>
      <c r="JQV225" s="1201"/>
      <c r="JQW225" s="1201"/>
      <c r="JQX225" s="1201"/>
      <c r="JQY225" s="1201"/>
      <c r="JQZ225" s="1201"/>
      <c r="JRA225" s="1201"/>
      <c r="JRB225" s="1201"/>
      <c r="JRC225" s="1201"/>
      <c r="JRD225" s="1201"/>
      <c r="JRE225" s="1201"/>
      <c r="JRF225" s="1201"/>
      <c r="JRG225" s="1201"/>
      <c r="JRH225" s="1201"/>
      <c r="JRI225" s="1201"/>
      <c r="JRJ225" s="1201"/>
      <c r="JRK225" s="1201"/>
      <c r="JRL225" s="1201"/>
      <c r="JRM225" s="1201"/>
      <c r="JRN225" s="1201"/>
      <c r="JRO225" s="1201"/>
      <c r="JRP225" s="1201"/>
      <c r="JRQ225" s="1201"/>
      <c r="JRR225" s="1201"/>
      <c r="JRS225" s="1201"/>
      <c r="JRT225" s="1201"/>
      <c r="JRU225" s="1201"/>
      <c r="JRV225" s="1201"/>
      <c r="JRW225" s="1201"/>
      <c r="JRX225" s="1201"/>
      <c r="JRY225" s="1201"/>
      <c r="JRZ225" s="1201"/>
      <c r="JSA225" s="1201"/>
      <c r="JSB225" s="1201"/>
      <c r="JSC225" s="1201"/>
      <c r="JSD225" s="1201"/>
      <c r="JSE225" s="1201"/>
      <c r="JSF225" s="1201"/>
      <c r="JSG225" s="1201"/>
      <c r="JSH225" s="1201"/>
      <c r="JSI225" s="1201"/>
      <c r="JSJ225" s="1201"/>
      <c r="JSK225" s="1201"/>
      <c r="JSL225" s="1201"/>
      <c r="JSM225" s="1201"/>
      <c r="JSN225" s="1201"/>
      <c r="JSO225" s="1201"/>
      <c r="JSP225" s="1201"/>
      <c r="JSQ225" s="1201"/>
      <c r="JSR225" s="1201"/>
      <c r="JSS225" s="1201"/>
      <c r="JST225" s="1201"/>
      <c r="JSU225" s="1201"/>
      <c r="JSV225" s="1201"/>
      <c r="JSW225" s="1201"/>
      <c r="JSX225" s="1201"/>
      <c r="JSY225" s="1201"/>
      <c r="JSZ225" s="1201"/>
      <c r="JTA225" s="1201"/>
      <c r="JTB225" s="1201"/>
      <c r="JTC225" s="1201"/>
      <c r="JTD225" s="1201"/>
      <c r="JTE225" s="1201"/>
      <c r="JTF225" s="1201"/>
      <c r="JTG225" s="1201"/>
      <c r="JTH225" s="1201"/>
      <c r="JTI225" s="1201"/>
      <c r="JTJ225" s="1201"/>
      <c r="JTK225" s="1201"/>
      <c r="JTL225" s="1201"/>
      <c r="JTM225" s="1201"/>
      <c r="JTN225" s="1201"/>
      <c r="JTO225" s="1201"/>
      <c r="JTP225" s="1201"/>
      <c r="JTQ225" s="1201"/>
      <c r="JTR225" s="1201"/>
      <c r="JTS225" s="1201"/>
      <c r="JTT225" s="1201"/>
      <c r="JTU225" s="1201"/>
      <c r="JTV225" s="1201"/>
      <c r="JTW225" s="1201"/>
      <c r="JTX225" s="1201"/>
      <c r="JTY225" s="1201"/>
      <c r="JTZ225" s="1201"/>
      <c r="JUA225" s="1201"/>
      <c r="JUB225" s="1201"/>
      <c r="JUC225" s="1201"/>
      <c r="JUD225" s="1201"/>
      <c r="JUE225" s="1201"/>
      <c r="JUF225" s="1201"/>
      <c r="JUG225" s="1201"/>
      <c r="JUH225" s="1201"/>
      <c r="JUI225" s="1201"/>
      <c r="JUJ225" s="1201"/>
      <c r="JUK225" s="1201"/>
      <c r="JUL225" s="1201"/>
      <c r="JUM225" s="1201"/>
      <c r="JUN225" s="1201"/>
      <c r="JUO225" s="1201"/>
      <c r="JUP225" s="1201"/>
      <c r="JUQ225" s="1201"/>
      <c r="JUR225" s="1201"/>
      <c r="JUS225" s="1201"/>
      <c r="JUT225" s="1201"/>
      <c r="JUU225" s="1201"/>
      <c r="JUV225" s="1201"/>
      <c r="JUW225" s="1201"/>
      <c r="JUX225" s="1201"/>
      <c r="JUY225" s="1201"/>
      <c r="JUZ225" s="1201"/>
      <c r="JVA225" s="1201"/>
      <c r="JVB225" s="1201"/>
      <c r="JVC225" s="1201"/>
      <c r="JVD225" s="1201"/>
      <c r="JVE225" s="1201"/>
      <c r="JVF225" s="1201"/>
      <c r="JVG225" s="1201"/>
      <c r="JVH225" s="1201"/>
      <c r="JVI225" s="1201"/>
      <c r="JVJ225" s="1201"/>
      <c r="JVK225" s="1201"/>
      <c r="JVL225" s="1201"/>
      <c r="JVM225" s="1201"/>
      <c r="JVN225" s="1201"/>
      <c r="JVO225" s="1201"/>
      <c r="JVP225" s="1201"/>
      <c r="JVQ225" s="1201"/>
      <c r="JVR225" s="1201"/>
      <c r="JVS225" s="1201"/>
      <c r="JVT225" s="1201"/>
      <c r="JVU225" s="1201"/>
      <c r="JVV225" s="1201"/>
      <c r="JVW225" s="1201"/>
      <c r="JVX225" s="1201"/>
      <c r="JVY225" s="1201"/>
      <c r="JVZ225" s="1201"/>
      <c r="JWA225" s="1201"/>
      <c r="JWB225" s="1201"/>
      <c r="JWC225" s="1201"/>
      <c r="JWD225" s="1201"/>
      <c r="JWE225" s="1201"/>
      <c r="JWF225" s="1201"/>
      <c r="JWG225" s="1201"/>
      <c r="JWH225" s="1201"/>
      <c r="JWI225" s="1201"/>
      <c r="JWJ225" s="1201"/>
      <c r="JWK225" s="1201"/>
      <c r="JWL225" s="1201"/>
      <c r="JWM225" s="1201"/>
      <c r="JWN225" s="1201"/>
      <c r="JWO225" s="1201"/>
      <c r="JWP225" s="1201"/>
      <c r="JWQ225" s="1201"/>
      <c r="JWR225" s="1201"/>
      <c r="JWS225" s="1201"/>
      <c r="JWT225" s="1201"/>
      <c r="JWU225" s="1201"/>
      <c r="JWV225" s="1201"/>
      <c r="JWW225" s="1201"/>
      <c r="JWX225" s="1201"/>
      <c r="JWY225" s="1201"/>
      <c r="JWZ225" s="1201"/>
      <c r="JXA225" s="1201"/>
      <c r="JXB225" s="1201"/>
      <c r="JXC225" s="1201"/>
      <c r="JXD225" s="1201"/>
      <c r="JXE225" s="1201"/>
      <c r="JXF225" s="1201"/>
      <c r="JXG225" s="1201"/>
      <c r="JXH225" s="1201"/>
      <c r="JXI225" s="1201"/>
      <c r="JXJ225" s="1201"/>
      <c r="JXK225" s="1201"/>
      <c r="JXL225" s="1201"/>
      <c r="JXM225" s="1201"/>
      <c r="JXN225" s="1201"/>
      <c r="JXO225" s="1201"/>
      <c r="JXP225" s="1201"/>
      <c r="JXQ225" s="1201"/>
      <c r="JXR225" s="1201"/>
      <c r="JXS225" s="1201"/>
      <c r="JXT225" s="1201"/>
      <c r="JXU225" s="1201"/>
      <c r="JXV225" s="1201"/>
      <c r="JXW225" s="1201"/>
      <c r="JXX225" s="1201"/>
      <c r="JXY225" s="1201"/>
      <c r="JXZ225" s="1201"/>
      <c r="JYA225" s="1201"/>
      <c r="JYB225" s="1201"/>
      <c r="JYC225" s="1201"/>
      <c r="JYD225" s="1201"/>
      <c r="JYE225" s="1201"/>
      <c r="JYF225" s="1201"/>
      <c r="JYG225" s="1201"/>
      <c r="JYH225" s="1201"/>
      <c r="JYI225" s="1201"/>
      <c r="JYJ225" s="1201"/>
      <c r="JYK225" s="1201"/>
      <c r="JYL225" s="1201"/>
      <c r="JYM225" s="1201"/>
      <c r="JYN225" s="1201"/>
      <c r="JYO225" s="1201"/>
      <c r="JYP225" s="1201"/>
      <c r="JYQ225" s="1201"/>
      <c r="JYR225" s="1201"/>
      <c r="JYS225" s="1201"/>
      <c r="JYT225" s="1201"/>
      <c r="JYU225" s="1201"/>
      <c r="JYV225" s="1201"/>
      <c r="JYW225" s="1201"/>
      <c r="JYX225" s="1201"/>
      <c r="JYY225" s="1201"/>
      <c r="JYZ225" s="1201"/>
      <c r="JZA225" s="1201"/>
      <c r="JZB225" s="1201"/>
      <c r="JZC225" s="1201"/>
      <c r="JZD225" s="1201"/>
      <c r="JZE225" s="1201"/>
      <c r="JZF225" s="1201"/>
      <c r="JZG225" s="1201"/>
      <c r="JZH225" s="1201"/>
      <c r="JZI225" s="1201"/>
      <c r="JZJ225" s="1201"/>
      <c r="JZK225" s="1201"/>
      <c r="JZL225" s="1201"/>
      <c r="JZM225" s="1201"/>
      <c r="JZN225" s="1201"/>
      <c r="JZO225" s="1201"/>
      <c r="JZP225" s="1201"/>
      <c r="JZQ225" s="1201"/>
      <c r="JZR225" s="1201"/>
      <c r="JZS225" s="1201"/>
      <c r="JZT225" s="1201"/>
      <c r="JZU225" s="1201"/>
      <c r="JZV225" s="1201"/>
      <c r="JZW225" s="1201"/>
      <c r="JZX225" s="1201"/>
      <c r="JZY225" s="1201"/>
      <c r="JZZ225" s="1201"/>
      <c r="KAA225" s="1201"/>
      <c r="KAB225" s="1201"/>
      <c r="KAC225" s="1201"/>
      <c r="KAD225" s="1201"/>
      <c r="KAE225" s="1201"/>
      <c r="KAF225" s="1201"/>
      <c r="KAG225" s="1201"/>
      <c r="KAH225" s="1201"/>
      <c r="KAI225" s="1201"/>
      <c r="KAJ225" s="1201"/>
      <c r="KAK225" s="1201"/>
      <c r="KAL225" s="1201"/>
      <c r="KAM225" s="1201"/>
      <c r="KAN225" s="1201"/>
      <c r="KAO225" s="1201"/>
      <c r="KAP225" s="1201"/>
      <c r="KAQ225" s="1201"/>
      <c r="KAR225" s="1201"/>
      <c r="KAS225" s="1201"/>
      <c r="KAT225" s="1201"/>
      <c r="KAU225" s="1201"/>
      <c r="KAV225" s="1201"/>
      <c r="KAW225" s="1201"/>
      <c r="KAX225" s="1201"/>
      <c r="KAY225" s="1201"/>
      <c r="KAZ225" s="1201"/>
      <c r="KBA225" s="1201"/>
      <c r="KBB225" s="1201"/>
      <c r="KBC225" s="1201"/>
      <c r="KBD225" s="1201"/>
      <c r="KBE225" s="1201"/>
      <c r="KBF225" s="1201"/>
      <c r="KBG225" s="1201"/>
      <c r="KBH225" s="1201"/>
      <c r="KBI225" s="1201"/>
      <c r="KBJ225" s="1201"/>
      <c r="KBK225" s="1201"/>
      <c r="KBL225" s="1201"/>
      <c r="KBM225" s="1201"/>
      <c r="KBN225" s="1201"/>
      <c r="KBO225" s="1201"/>
      <c r="KBP225" s="1201"/>
      <c r="KBQ225" s="1201"/>
      <c r="KBR225" s="1201"/>
      <c r="KBS225" s="1201"/>
      <c r="KBT225" s="1201"/>
      <c r="KBU225" s="1201"/>
      <c r="KBV225" s="1201"/>
      <c r="KBW225" s="1201"/>
      <c r="KBX225" s="1201"/>
      <c r="KBY225" s="1201"/>
      <c r="KBZ225" s="1201"/>
      <c r="KCA225" s="1201"/>
      <c r="KCB225" s="1201"/>
      <c r="KCC225" s="1201"/>
      <c r="KCD225" s="1201"/>
      <c r="KCE225" s="1201"/>
      <c r="KCF225" s="1201"/>
      <c r="KCG225" s="1201"/>
      <c r="KCH225" s="1201"/>
      <c r="KCI225" s="1201"/>
      <c r="KCJ225" s="1201"/>
      <c r="KCK225" s="1201"/>
      <c r="KCL225" s="1201"/>
      <c r="KCM225" s="1201"/>
      <c r="KCN225" s="1201"/>
      <c r="KCO225" s="1201"/>
      <c r="KCP225" s="1201"/>
      <c r="KCQ225" s="1201"/>
      <c r="KCR225" s="1201"/>
      <c r="KCS225" s="1201"/>
      <c r="KCT225" s="1201"/>
      <c r="KCU225" s="1201"/>
      <c r="KCV225" s="1201"/>
      <c r="KCW225" s="1201"/>
      <c r="KCX225" s="1201"/>
      <c r="KCY225" s="1201"/>
      <c r="KCZ225" s="1201"/>
      <c r="KDA225" s="1201"/>
      <c r="KDB225" s="1201"/>
      <c r="KDC225" s="1201"/>
      <c r="KDD225" s="1201"/>
      <c r="KDE225" s="1201"/>
      <c r="KDF225" s="1201"/>
      <c r="KDG225" s="1201"/>
      <c r="KDH225" s="1201"/>
      <c r="KDI225" s="1201"/>
      <c r="KDJ225" s="1201"/>
      <c r="KDK225" s="1201"/>
      <c r="KDL225" s="1201"/>
      <c r="KDM225" s="1201"/>
      <c r="KDN225" s="1201"/>
      <c r="KDO225" s="1201"/>
      <c r="KDP225" s="1201"/>
      <c r="KDQ225" s="1201"/>
      <c r="KDR225" s="1201"/>
      <c r="KDS225" s="1201"/>
      <c r="KDT225" s="1201"/>
      <c r="KDU225" s="1201"/>
      <c r="KDV225" s="1201"/>
      <c r="KDW225" s="1201"/>
      <c r="KDX225" s="1201"/>
      <c r="KDY225" s="1201"/>
      <c r="KDZ225" s="1201"/>
      <c r="KEA225" s="1201"/>
      <c r="KEB225" s="1201"/>
      <c r="KEC225" s="1201"/>
      <c r="KED225" s="1201"/>
      <c r="KEE225" s="1201"/>
      <c r="KEF225" s="1201"/>
      <c r="KEG225" s="1201"/>
      <c r="KEH225" s="1201"/>
      <c r="KEI225" s="1201"/>
      <c r="KEJ225" s="1201"/>
      <c r="KEK225" s="1201"/>
      <c r="KEL225" s="1201"/>
      <c r="KEM225" s="1201"/>
      <c r="KEN225" s="1201"/>
      <c r="KEO225" s="1201"/>
      <c r="KEP225" s="1201"/>
      <c r="KEQ225" s="1201"/>
      <c r="KER225" s="1201"/>
      <c r="KES225" s="1201"/>
      <c r="KET225" s="1201"/>
      <c r="KEU225" s="1201"/>
      <c r="KEV225" s="1201"/>
      <c r="KEW225" s="1201"/>
      <c r="KEX225" s="1201"/>
      <c r="KEY225" s="1201"/>
      <c r="KEZ225" s="1201"/>
      <c r="KFA225" s="1201"/>
      <c r="KFB225" s="1201"/>
      <c r="KFC225" s="1201"/>
      <c r="KFD225" s="1201"/>
      <c r="KFE225" s="1201"/>
      <c r="KFF225" s="1201"/>
      <c r="KFG225" s="1201"/>
      <c r="KFH225" s="1201"/>
      <c r="KFI225" s="1201"/>
      <c r="KFJ225" s="1201"/>
      <c r="KFK225" s="1201"/>
      <c r="KFL225" s="1201"/>
      <c r="KFM225" s="1201"/>
      <c r="KFN225" s="1201"/>
      <c r="KFO225" s="1201"/>
      <c r="KFP225" s="1201"/>
      <c r="KFQ225" s="1201"/>
      <c r="KFR225" s="1201"/>
      <c r="KFS225" s="1201"/>
      <c r="KFT225" s="1201"/>
      <c r="KFU225" s="1201"/>
      <c r="KFV225" s="1201"/>
      <c r="KFW225" s="1201"/>
      <c r="KFX225" s="1201"/>
      <c r="KFY225" s="1201"/>
      <c r="KFZ225" s="1201"/>
      <c r="KGA225" s="1201"/>
      <c r="KGB225" s="1201"/>
      <c r="KGC225" s="1201"/>
      <c r="KGD225" s="1201"/>
      <c r="KGE225" s="1201"/>
      <c r="KGF225" s="1201"/>
      <c r="KGG225" s="1201"/>
      <c r="KGH225" s="1201"/>
      <c r="KGI225" s="1201"/>
      <c r="KGJ225" s="1201"/>
      <c r="KGK225" s="1201"/>
      <c r="KGL225" s="1201"/>
      <c r="KGM225" s="1201"/>
      <c r="KGN225" s="1201"/>
      <c r="KGO225" s="1201"/>
      <c r="KGP225" s="1201"/>
      <c r="KGQ225" s="1201"/>
      <c r="KGR225" s="1201"/>
      <c r="KGS225" s="1201"/>
      <c r="KGT225" s="1201"/>
      <c r="KGU225" s="1201"/>
      <c r="KGV225" s="1201"/>
      <c r="KGW225" s="1201"/>
      <c r="KGX225" s="1201"/>
      <c r="KGY225" s="1201"/>
      <c r="KGZ225" s="1201"/>
      <c r="KHA225" s="1201"/>
      <c r="KHB225" s="1201"/>
      <c r="KHC225" s="1201"/>
      <c r="KHD225" s="1201"/>
      <c r="KHE225" s="1201"/>
      <c r="KHF225" s="1201"/>
      <c r="KHG225" s="1201"/>
      <c r="KHH225" s="1201"/>
      <c r="KHI225" s="1201"/>
      <c r="KHJ225" s="1201"/>
      <c r="KHK225" s="1201"/>
      <c r="KHL225" s="1201"/>
      <c r="KHM225" s="1201"/>
      <c r="KHN225" s="1201"/>
      <c r="KHO225" s="1201"/>
      <c r="KHP225" s="1201"/>
      <c r="KHQ225" s="1201"/>
      <c r="KHR225" s="1201"/>
      <c r="KHS225" s="1201"/>
      <c r="KHT225" s="1201"/>
      <c r="KHU225" s="1201"/>
      <c r="KHV225" s="1201"/>
      <c r="KHW225" s="1201"/>
      <c r="KHX225" s="1201"/>
      <c r="KHY225" s="1201"/>
      <c r="KHZ225" s="1201"/>
      <c r="KIA225" s="1201"/>
      <c r="KIB225" s="1201"/>
      <c r="KIC225" s="1201"/>
      <c r="KID225" s="1201"/>
      <c r="KIE225" s="1201"/>
      <c r="KIF225" s="1201"/>
      <c r="KIG225" s="1201"/>
      <c r="KIH225" s="1201"/>
      <c r="KII225" s="1201"/>
      <c r="KIJ225" s="1201"/>
      <c r="KIK225" s="1201"/>
      <c r="KIL225" s="1201"/>
      <c r="KIM225" s="1201"/>
      <c r="KIN225" s="1201"/>
      <c r="KIO225" s="1201"/>
      <c r="KIP225" s="1201"/>
      <c r="KIQ225" s="1201"/>
      <c r="KIR225" s="1201"/>
      <c r="KIS225" s="1201"/>
      <c r="KIT225" s="1201"/>
      <c r="KIU225" s="1201"/>
      <c r="KIV225" s="1201"/>
      <c r="KIW225" s="1201"/>
      <c r="KIX225" s="1201"/>
      <c r="KIY225" s="1201"/>
      <c r="KIZ225" s="1201"/>
      <c r="KJA225" s="1201"/>
      <c r="KJB225" s="1201"/>
      <c r="KJC225" s="1201"/>
      <c r="KJD225" s="1201"/>
      <c r="KJE225" s="1201"/>
      <c r="KJF225" s="1201"/>
      <c r="KJG225" s="1201"/>
      <c r="KJH225" s="1201"/>
      <c r="KJI225" s="1201"/>
      <c r="KJJ225" s="1201"/>
      <c r="KJK225" s="1201"/>
      <c r="KJL225" s="1201"/>
      <c r="KJM225" s="1201"/>
      <c r="KJN225" s="1201"/>
      <c r="KJO225" s="1201"/>
      <c r="KJP225" s="1201"/>
      <c r="KJQ225" s="1201"/>
      <c r="KJR225" s="1201"/>
      <c r="KJS225" s="1201"/>
      <c r="KJT225" s="1201"/>
      <c r="KJU225" s="1201"/>
      <c r="KJV225" s="1201"/>
      <c r="KJW225" s="1201"/>
      <c r="KJX225" s="1201"/>
      <c r="KJY225" s="1201"/>
      <c r="KJZ225" s="1201"/>
      <c r="KKA225" s="1201"/>
      <c r="KKB225" s="1201"/>
      <c r="KKC225" s="1201"/>
      <c r="KKD225" s="1201"/>
      <c r="KKE225" s="1201"/>
      <c r="KKF225" s="1201"/>
      <c r="KKG225" s="1201"/>
      <c r="KKH225" s="1201"/>
      <c r="KKI225" s="1201"/>
      <c r="KKJ225" s="1201"/>
      <c r="KKK225" s="1201"/>
      <c r="KKL225" s="1201"/>
      <c r="KKM225" s="1201"/>
      <c r="KKN225" s="1201"/>
      <c r="KKO225" s="1201"/>
      <c r="KKP225" s="1201"/>
      <c r="KKQ225" s="1201"/>
      <c r="KKR225" s="1201"/>
      <c r="KKS225" s="1201"/>
      <c r="KKT225" s="1201"/>
      <c r="KKU225" s="1201"/>
      <c r="KKV225" s="1201"/>
      <c r="KKW225" s="1201"/>
      <c r="KKX225" s="1201"/>
      <c r="KKY225" s="1201"/>
      <c r="KKZ225" s="1201"/>
      <c r="KLA225" s="1201"/>
      <c r="KLB225" s="1201"/>
      <c r="KLC225" s="1201"/>
      <c r="KLD225" s="1201"/>
      <c r="KLE225" s="1201"/>
      <c r="KLF225" s="1201"/>
      <c r="KLG225" s="1201"/>
      <c r="KLH225" s="1201"/>
      <c r="KLI225" s="1201"/>
      <c r="KLJ225" s="1201"/>
      <c r="KLK225" s="1201"/>
      <c r="KLL225" s="1201"/>
      <c r="KLM225" s="1201"/>
      <c r="KLN225" s="1201"/>
      <c r="KLO225" s="1201"/>
      <c r="KLP225" s="1201"/>
      <c r="KLQ225" s="1201"/>
      <c r="KLR225" s="1201"/>
      <c r="KLS225" s="1201"/>
      <c r="KLT225" s="1201"/>
      <c r="KLU225" s="1201"/>
      <c r="KLV225" s="1201"/>
      <c r="KLW225" s="1201"/>
      <c r="KLX225" s="1201"/>
      <c r="KLY225" s="1201"/>
      <c r="KLZ225" s="1201"/>
      <c r="KMA225" s="1201"/>
      <c r="KMB225" s="1201"/>
      <c r="KMC225" s="1201"/>
      <c r="KMD225" s="1201"/>
      <c r="KME225" s="1201"/>
      <c r="KMF225" s="1201"/>
      <c r="KMG225" s="1201"/>
      <c r="KMH225" s="1201"/>
      <c r="KMI225" s="1201"/>
      <c r="KMJ225" s="1201"/>
      <c r="KMK225" s="1201"/>
      <c r="KML225" s="1201"/>
      <c r="KMM225" s="1201"/>
      <c r="KMN225" s="1201"/>
      <c r="KMO225" s="1201"/>
      <c r="KMP225" s="1201"/>
      <c r="KMQ225" s="1201"/>
      <c r="KMR225" s="1201"/>
      <c r="KMS225" s="1201"/>
      <c r="KMT225" s="1201"/>
      <c r="KMU225" s="1201"/>
      <c r="KMV225" s="1201"/>
      <c r="KMW225" s="1201"/>
      <c r="KMX225" s="1201"/>
      <c r="KMY225" s="1201"/>
      <c r="KMZ225" s="1201"/>
      <c r="KNA225" s="1201"/>
      <c r="KNB225" s="1201"/>
      <c r="KNC225" s="1201"/>
      <c r="KND225" s="1201"/>
      <c r="KNE225" s="1201"/>
      <c r="KNF225" s="1201"/>
      <c r="KNG225" s="1201"/>
      <c r="KNH225" s="1201"/>
      <c r="KNI225" s="1201"/>
      <c r="KNJ225" s="1201"/>
      <c r="KNK225" s="1201"/>
      <c r="KNL225" s="1201"/>
      <c r="KNM225" s="1201"/>
      <c r="KNN225" s="1201"/>
      <c r="KNO225" s="1201"/>
      <c r="KNP225" s="1201"/>
      <c r="KNQ225" s="1201"/>
      <c r="KNR225" s="1201"/>
      <c r="KNS225" s="1201"/>
      <c r="KNT225" s="1201"/>
      <c r="KNU225" s="1201"/>
      <c r="KNV225" s="1201"/>
      <c r="KNW225" s="1201"/>
      <c r="KNX225" s="1201"/>
      <c r="KNY225" s="1201"/>
      <c r="KNZ225" s="1201"/>
      <c r="KOA225" s="1201"/>
      <c r="KOB225" s="1201"/>
      <c r="KOC225" s="1201"/>
      <c r="KOD225" s="1201"/>
      <c r="KOE225" s="1201"/>
      <c r="KOF225" s="1201"/>
      <c r="KOG225" s="1201"/>
      <c r="KOH225" s="1201"/>
      <c r="KOI225" s="1201"/>
      <c r="KOJ225" s="1201"/>
      <c r="KOK225" s="1201"/>
      <c r="KOL225" s="1201"/>
      <c r="KOM225" s="1201"/>
      <c r="KON225" s="1201"/>
      <c r="KOO225" s="1201"/>
      <c r="KOP225" s="1201"/>
      <c r="KOQ225" s="1201"/>
      <c r="KOR225" s="1201"/>
      <c r="KOS225" s="1201"/>
      <c r="KOT225" s="1201"/>
      <c r="KOU225" s="1201"/>
      <c r="KOV225" s="1201"/>
      <c r="KOW225" s="1201"/>
      <c r="KOX225" s="1201"/>
      <c r="KOY225" s="1201"/>
      <c r="KOZ225" s="1201"/>
      <c r="KPA225" s="1201"/>
      <c r="KPB225" s="1201"/>
      <c r="KPC225" s="1201"/>
      <c r="KPD225" s="1201"/>
      <c r="KPE225" s="1201"/>
      <c r="KPF225" s="1201"/>
      <c r="KPG225" s="1201"/>
      <c r="KPH225" s="1201"/>
      <c r="KPI225" s="1201"/>
      <c r="KPJ225" s="1201"/>
      <c r="KPK225" s="1201"/>
      <c r="KPL225" s="1201"/>
      <c r="KPM225" s="1201"/>
      <c r="KPN225" s="1201"/>
      <c r="KPO225" s="1201"/>
      <c r="KPP225" s="1201"/>
      <c r="KPQ225" s="1201"/>
      <c r="KPR225" s="1201"/>
      <c r="KPS225" s="1201"/>
      <c r="KPT225" s="1201"/>
      <c r="KPU225" s="1201"/>
      <c r="KPV225" s="1201"/>
      <c r="KPW225" s="1201"/>
      <c r="KPX225" s="1201"/>
      <c r="KPY225" s="1201"/>
      <c r="KPZ225" s="1201"/>
      <c r="KQA225" s="1201"/>
      <c r="KQB225" s="1201"/>
      <c r="KQC225" s="1201"/>
      <c r="KQD225" s="1201"/>
      <c r="KQE225" s="1201"/>
      <c r="KQF225" s="1201"/>
      <c r="KQG225" s="1201"/>
      <c r="KQH225" s="1201"/>
      <c r="KQI225" s="1201"/>
      <c r="KQJ225" s="1201"/>
      <c r="KQK225" s="1201"/>
      <c r="KQL225" s="1201"/>
      <c r="KQM225" s="1201"/>
      <c r="KQN225" s="1201"/>
      <c r="KQO225" s="1201"/>
      <c r="KQP225" s="1201"/>
      <c r="KQQ225" s="1201"/>
      <c r="KQR225" s="1201"/>
      <c r="KQS225" s="1201"/>
      <c r="KQT225" s="1201"/>
      <c r="KQU225" s="1201"/>
      <c r="KQV225" s="1201"/>
      <c r="KQW225" s="1201"/>
      <c r="KQX225" s="1201"/>
      <c r="KQY225" s="1201"/>
      <c r="KQZ225" s="1201"/>
      <c r="KRA225" s="1201"/>
      <c r="KRB225" s="1201"/>
      <c r="KRC225" s="1201"/>
      <c r="KRD225" s="1201"/>
      <c r="KRE225" s="1201"/>
      <c r="KRF225" s="1201"/>
      <c r="KRG225" s="1201"/>
      <c r="KRH225" s="1201"/>
      <c r="KRI225" s="1201"/>
      <c r="KRJ225" s="1201"/>
      <c r="KRK225" s="1201"/>
      <c r="KRL225" s="1201"/>
      <c r="KRM225" s="1201"/>
      <c r="KRN225" s="1201"/>
      <c r="KRO225" s="1201"/>
      <c r="KRP225" s="1201"/>
      <c r="KRQ225" s="1201"/>
      <c r="KRR225" s="1201"/>
      <c r="KRS225" s="1201"/>
      <c r="KRT225" s="1201"/>
      <c r="KRU225" s="1201"/>
      <c r="KRV225" s="1201"/>
      <c r="KRW225" s="1201"/>
      <c r="KRX225" s="1201"/>
      <c r="KRY225" s="1201"/>
      <c r="KRZ225" s="1201"/>
      <c r="KSA225" s="1201"/>
      <c r="KSB225" s="1201"/>
      <c r="KSC225" s="1201"/>
      <c r="KSD225" s="1201"/>
      <c r="KSE225" s="1201"/>
      <c r="KSF225" s="1201"/>
      <c r="KSG225" s="1201"/>
      <c r="KSH225" s="1201"/>
      <c r="KSI225" s="1201"/>
      <c r="KSJ225" s="1201"/>
      <c r="KSK225" s="1201"/>
      <c r="KSL225" s="1201"/>
      <c r="KSM225" s="1201"/>
      <c r="KSN225" s="1201"/>
      <c r="KSO225" s="1201"/>
      <c r="KSP225" s="1201"/>
      <c r="KSQ225" s="1201"/>
      <c r="KSR225" s="1201"/>
      <c r="KSS225" s="1201"/>
      <c r="KST225" s="1201"/>
      <c r="KSU225" s="1201"/>
      <c r="KSV225" s="1201"/>
      <c r="KSW225" s="1201"/>
      <c r="KSX225" s="1201"/>
      <c r="KSY225" s="1201"/>
      <c r="KSZ225" s="1201"/>
      <c r="KTA225" s="1201"/>
      <c r="KTB225" s="1201"/>
      <c r="KTC225" s="1201"/>
      <c r="KTD225" s="1201"/>
      <c r="KTE225" s="1201"/>
      <c r="KTF225" s="1201"/>
      <c r="KTG225" s="1201"/>
      <c r="KTH225" s="1201"/>
      <c r="KTI225" s="1201"/>
      <c r="KTJ225" s="1201"/>
      <c r="KTK225" s="1201"/>
      <c r="KTL225" s="1201"/>
      <c r="KTM225" s="1201"/>
      <c r="KTN225" s="1201"/>
      <c r="KTO225" s="1201"/>
      <c r="KTP225" s="1201"/>
      <c r="KTQ225" s="1201"/>
      <c r="KTR225" s="1201"/>
      <c r="KTS225" s="1201"/>
      <c r="KTT225" s="1201"/>
      <c r="KTU225" s="1201"/>
      <c r="KTV225" s="1201"/>
      <c r="KTW225" s="1201"/>
      <c r="KTX225" s="1201"/>
      <c r="KTY225" s="1201"/>
      <c r="KTZ225" s="1201"/>
      <c r="KUA225" s="1201"/>
      <c r="KUB225" s="1201"/>
      <c r="KUC225" s="1201"/>
      <c r="KUD225" s="1201"/>
      <c r="KUE225" s="1201"/>
      <c r="KUF225" s="1201"/>
      <c r="KUG225" s="1201"/>
      <c r="KUH225" s="1201"/>
      <c r="KUI225" s="1201"/>
      <c r="KUJ225" s="1201"/>
      <c r="KUK225" s="1201"/>
      <c r="KUL225" s="1201"/>
      <c r="KUM225" s="1201"/>
      <c r="KUN225" s="1201"/>
      <c r="KUO225" s="1201"/>
      <c r="KUP225" s="1201"/>
      <c r="KUQ225" s="1201"/>
      <c r="KUR225" s="1201"/>
      <c r="KUS225" s="1201"/>
      <c r="KUT225" s="1201"/>
      <c r="KUU225" s="1201"/>
      <c r="KUV225" s="1201"/>
      <c r="KUW225" s="1201"/>
      <c r="KUX225" s="1201"/>
      <c r="KUY225" s="1201"/>
      <c r="KUZ225" s="1201"/>
      <c r="KVA225" s="1201"/>
      <c r="KVB225" s="1201"/>
      <c r="KVC225" s="1201"/>
      <c r="KVD225" s="1201"/>
      <c r="KVE225" s="1201"/>
      <c r="KVF225" s="1201"/>
      <c r="KVG225" s="1201"/>
      <c r="KVH225" s="1201"/>
      <c r="KVI225" s="1201"/>
      <c r="KVJ225" s="1201"/>
      <c r="KVK225" s="1201"/>
      <c r="KVL225" s="1201"/>
      <c r="KVM225" s="1201"/>
      <c r="KVN225" s="1201"/>
      <c r="KVO225" s="1201"/>
      <c r="KVP225" s="1201"/>
      <c r="KVQ225" s="1201"/>
      <c r="KVR225" s="1201"/>
      <c r="KVS225" s="1201"/>
      <c r="KVT225" s="1201"/>
      <c r="KVU225" s="1201"/>
      <c r="KVV225" s="1201"/>
      <c r="KVW225" s="1201"/>
      <c r="KVX225" s="1201"/>
      <c r="KVY225" s="1201"/>
      <c r="KVZ225" s="1201"/>
      <c r="KWA225" s="1201"/>
      <c r="KWB225" s="1201"/>
      <c r="KWC225" s="1201"/>
      <c r="KWD225" s="1201"/>
      <c r="KWE225" s="1201"/>
      <c r="KWF225" s="1201"/>
      <c r="KWG225" s="1201"/>
      <c r="KWH225" s="1201"/>
      <c r="KWI225" s="1201"/>
      <c r="KWJ225" s="1201"/>
      <c r="KWK225" s="1201"/>
      <c r="KWL225" s="1201"/>
      <c r="KWM225" s="1201"/>
      <c r="KWN225" s="1201"/>
      <c r="KWO225" s="1201"/>
      <c r="KWP225" s="1201"/>
      <c r="KWQ225" s="1201"/>
      <c r="KWR225" s="1201"/>
      <c r="KWS225" s="1201"/>
      <c r="KWT225" s="1201"/>
      <c r="KWU225" s="1201"/>
      <c r="KWV225" s="1201"/>
      <c r="KWW225" s="1201"/>
      <c r="KWX225" s="1201"/>
      <c r="KWY225" s="1201"/>
      <c r="KWZ225" s="1201"/>
      <c r="KXA225" s="1201"/>
      <c r="KXB225" s="1201"/>
      <c r="KXC225" s="1201"/>
      <c r="KXD225" s="1201"/>
      <c r="KXE225" s="1201"/>
      <c r="KXF225" s="1201"/>
      <c r="KXG225" s="1201"/>
      <c r="KXH225" s="1201"/>
      <c r="KXI225" s="1201"/>
      <c r="KXJ225" s="1201"/>
      <c r="KXK225" s="1201"/>
      <c r="KXL225" s="1201"/>
      <c r="KXM225" s="1201"/>
      <c r="KXN225" s="1201"/>
      <c r="KXO225" s="1201"/>
      <c r="KXP225" s="1201"/>
      <c r="KXQ225" s="1201"/>
      <c r="KXR225" s="1201"/>
      <c r="KXS225" s="1201"/>
      <c r="KXT225" s="1201"/>
      <c r="KXU225" s="1201"/>
      <c r="KXV225" s="1201"/>
      <c r="KXW225" s="1201"/>
      <c r="KXX225" s="1201"/>
      <c r="KXY225" s="1201"/>
      <c r="KXZ225" s="1201"/>
      <c r="KYA225" s="1201"/>
      <c r="KYB225" s="1201"/>
      <c r="KYC225" s="1201"/>
      <c r="KYD225" s="1201"/>
      <c r="KYE225" s="1201"/>
      <c r="KYF225" s="1201"/>
      <c r="KYG225" s="1201"/>
      <c r="KYH225" s="1201"/>
      <c r="KYI225" s="1201"/>
      <c r="KYJ225" s="1201"/>
      <c r="KYK225" s="1201"/>
      <c r="KYL225" s="1201"/>
      <c r="KYM225" s="1201"/>
      <c r="KYN225" s="1201"/>
      <c r="KYO225" s="1201"/>
      <c r="KYP225" s="1201"/>
      <c r="KYQ225" s="1201"/>
      <c r="KYR225" s="1201"/>
      <c r="KYS225" s="1201"/>
      <c r="KYT225" s="1201"/>
      <c r="KYU225" s="1201"/>
      <c r="KYV225" s="1201"/>
      <c r="KYW225" s="1201"/>
      <c r="KYX225" s="1201"/>
      <c r="KYY225" s="1201"/>
      <c r="KYZ225" s="1201"/>
      <c r="KZA225" s="1201"/>
      <c r="KZB225" s="1201"/>
      <c r="KZC225" s="1201"/>
      <c r="KZD225" s="1201"/>
      <c r="KZE225" s="1201"/>
      <c r="KZF225" s="1201"/>
      <c r="KZG225" s="1201"/>
      <c r="KZH225" s="1201"/>
      <c r="KZI225" s="1201"/>
      <c r="KZJ225" s="1201"/>
      <c r="KZK225" s="1201"/>
      <c r="KZL225" s="1201"/>
      <c r="KZM225" s="1201"/>
      <c r="KZN225" s="1201"/>
      <c r="KZO225" s="1201"/>
      <c r="KZP225" s="1201"/>
      <c r="KZQ225" s="1201"/>
      <c r="KZR225" s="1201"/>
      <c r="KZS225" s="1201"/>
      <c r="KZT225" s="1201"/>
      <c r="KZU225" s="1201"/>
      <c r="KZV225" s="1201"/>
      <c r="KZW225" s="1201"/>
      <c r="KZX225" s="1201"/>
      <c r="KZY225" s="1201"/>
      <c r="KZZ225" s="1201"/>
      <c r="LAA225" s="1201"/>
      <c r="LAB225" s="1201"/>
      <c r="LAC225" s="1201"/>
      <c r="LAD225" s="1201"/>
      <c r="LAE225" s="1201"/>
      <c r="LAF225" s="1201"/>
      <c r="LAG225" s="1201"/>
      <c r="LAH225" s="1201"/>
      <c r="LAI225" s="1201"/>
      <c r="LAJ225" s="1201"/>
      <c r="LAK225" s="1201"/>
      <c r="LAL225" s="1201"/>
      <c r="LAM225" s="1201"/>
      <c r="LAN225" s="1201"/>
      <c r="LAO225" s="1201"/>
      <c r="LAP225" s="1201"/>
      <c r="LAQ225" s="1201"/>
      <c r="LAR225" s="1201"/>
      <c r="LAS225" s="1201"/>
      <c r="LAT225" s="1201"/>
      <c r="LAU225" s="1201"/>
      <c r="LAV225" s="1201"/>
      <c r="LAW225" s="1201"/>
      <c r="LAX225" s="1201"/>
      <c r="LAY225" s="1201"/>
      <c r="LAZ225" s="1201"/>
      <c r="LBA225" s="1201"/>
      <c r="LBB225" s="1201"/>
      <c r="LBC225" s="1201"/>
      <c r="LBD225" s="1201"/>
      <c r="LBE225" s="1201"/>
      <c r="LBF225" s="1201"/>
      <c r="LBG225" s="1201"/>
      <c r="LBH225" s="1201"/>
      <c r="LBI225" s="1201"/>
      <c r="LBJ225" s="1201"/>
      <c r="LBK225" s="1201"/>
      <c r="LBL225" s="1201"/>
      <c r="LBM225" s="1201"/>
      <c r="LBN225" s="1201"/>
      <c r="LBO225" s="1201"/>
      <c r="LBP225" s="1201"/>
      <c r="LBQ225" s="1201"/>
      <c r="LBR225" s="1201"/>
      <c r="LBS225" s="1201"/>
      <c r="LBT225" s="1201"/>
      <c r="LBU225" s="1201"/>
      <c r="LBV225" s="1201"/>
      <c r="LBW225" s="1201"/>
      <c r="LBX225" s="1201"/>
      <c r="LBY225" s="1201"/>
      <c r="LBZ225" s="1201"/>
      <c r="LCA225" s="1201"/>
      <c r="LCB225" s="1201"/>
      <c r="LCC225" s="1201"/>
      <c r="LCD225" s="1201"/>
      <c r="LCE225" s="1201"/>
      <c r="LCF225" s="1201"/>
      <c r="LCG225" s="1201"/>
      <c r="LCH225" s="1201"/>
      <c r="LCI225" s="1201"/>
      <c r="LCJ225" s="1201"/>
      <c r="LCK225" s="1201"/>
      <c r="LCL225" s="1201"/>
      <c r="LCM225" s="1201"/>
      <c r="LCN225" s="1201"/>
      <c r="LCO225" s="1201"/>
      <c r="LCP225" s="1201"/>
      <c r="LCQ225" s="1201"/>
      <c r="LCR225" s="1201"/>
      <c r="LCS225" s="1201"/>
      <c r="LCT225" s="1201"/>
      <c r="LCU225" s="1201"/>
      <c r="LCV225" s="1201"/>
      <c r="LCW225" s="1201"/>
      <c r="LCX225" s="1201"/>
      <c r="LCY225" s="1201"/>
      <c r="LCZ225" s="1201"/>
      <c r="LDA225" s="1201"/>
      <c r="LDB225" s="1201"/>
      <c r="LDC225" s="1201"/>
      <c r="LDD225" s="1201"/>
      <c r="LDE225" s="1201"/>
      <c r="LDF225" s="1201"/>
      <c r="LDG225" s="1201"/>
      <c r="LDH225" s="1201"/>
      <c r="LDI225" s="1201"/>
      <c r="LDJ225" s="1201"/>
      <c r="LDK225" s="1201"/>
      <c r="LDL225" s="1201"/>
      <c r="LDM225" s="1201"/>
      <c r="LDN225" s="1201"/>
      <c r="LDO225" s="1201"/>
      <c r="LDP225" s="1201"/>
      <c r="LDQ225" s="1201"/>
      <c r="LDR225" s="1201"/>
      <c r="LDS225" s="1201"/>
      <c r="LDT225" s="1201"/>
      <c r="LDU225" s="1201"/>
      <c r="LDV225" s="1201"/>
      <c r="LDW225" s="1201"/>
      <c r="LDX225" s="1201"/>
      <c r="LDY225" s="1201"/>
      <c r="LDZ225" s="1201"/>
      <c r="LEA225" s="1201"/>
      <c r="LEB225" s="1201"/>
      <c r="LEC225" s="1201"/>
      <c r="LED225" s="1201"/>
      <c r="LEE225" s="1201"/>
      <c r="LEF225" s="1201"/>
      <c r="LEG225" s="1201"/>
      <c r="LEH225" s="1201"/>
      <c r="LEI225" s="1201"/>
      <c r="LEJ225" s="1201"/>
      <c r="LEK225" s="1201"/>
      <c r="LEL225" s="1201"/>
      <c r="LEM225" s="1201"/>
      <c r="LEN225" s="1201"/>
      <c r="LEO225" s="1201"/>
      <c r="LEP225" s="1201"/>
      <c r="LEQ225" s="1201"/>
      <c r="LER225" s="1201"/>
      <c r="LES225" s="1201"/>
      <c r="LET225" s="1201"/>
      <c r="LEU225" s="1201"/>
      <c r="LEV225" s="1201"/>
      <c r="LEW225" s="1201"/>
      <c r="LEX225" s="1201"/>
      <c r="LEY225" s="1201"/>
      <c r="LEZ225" s="1201"/>
      <c r="LFA225" s="1201"/>
      <c r="LFB225" s="1201"/>
      <c r="LFC225" s="1201"/>
      <c r="LFD225" s="1201"/>
      <c r="LFE225" s="1201"/>
      <c r="LFF225" s="1201"/>
      <c r="LFG225" s="1201"/>
      <c r="LFH225" s="1201"/>
      <c r="LFI225" s="1201"/>
      <c r="LFJ225" s="1201"/>
      <c r="LFK225" s="1201"/>
      <c r="LFL225" s="1201"/>
      <c r="LFM225" s="1201"/>
      <c r="LFN225" s="1201"/>
      <c r="LFO225" s="1201"/>
      <c r="LFP225" s="1201"/>
      <c r="LFQ225" s="1201"/>
      <c r="LFR225" s="1201"/>
      <c r="LFS225" s="1201"/>
      <c r="LFT225" s="1201"/>
      <c r="LFU225" s="1201"/>
      <c r="LFV225" s="1201"/>
      <c r="LFW225" s="1201"/>
      <c r="LFX225" s="1201"/>
      <c r="LFY225" s="1201"/>
      <c r="LFZ225" s="1201"/>
      <c r="LGA225" s="1201"/>
      <c r="LGB225" s="1201"/>
      <c r="LGC225" s="1201"/>
      <c r="LGD225" s="1201"/>
      <c r="LGE225" s="1201"/>
      <c r="LGF225" s="1201"/>
      <c r="LGG225" s="1201"/>
      <c r="LGH225" s="1201"/>
      <c r="LGI225" s="1201"/>
      <c r="LGJ225" s="1201"/>
      <c r="LGK225" s="1201"/>
      <c r="LGL225" s="1201"/>
      <c r="LGM225" s="1201"/>
      <c r="LGN225" s="1201"/>
      <c r="LGO225" s="1201"/>
      <c r="LGP225" s="1201"/>
      <c r="LGQ225" s="1201"/>
      <c r="LGR225" s="1201"/>
      <c r="LGS225" s="1201"/>
      <c r="LGT225" s="1201"/>
      <c r="LGU225" s="1201"/>
      <c r="LGV225" s="1201"/>
      <c r="LGW225" s="1201"/>
      <c r="LGX225" s="1201"/>
      <c r="LGY225" s="1201"/>
      <c r="LGZ225" s="1201"/>
      <c r="LHA225" s="1201"/>
      <c r="LHB225" s="1201"/>
      <c r="LHC225" s="1201"/>
      <c r="LHD225" s="1201"/>
      <c r="LHE225" s="1201"/>
      <c r="LHF225" s="1201"/>
      <c r="LHG225" s="1201"/>
      <c r="LHH225" s="1201"/>
      <c r="LHI225" s="1201"/>
      <c r="LHJ225" s="1201"/>
      <c r="LHK225" s="1201"/>
      <c r="LHL225" s="1201"/>
      <c r="LHM225" s="1201"/>
      <c r="LHN225" s="1201"/>
      <c r="LHO225" s="1201"/>
      <c r="LHP225" s="1201"/>
      <c r="LHQ225" s="1201"/>
      <c r="LHR225" s="1201"/>
      <c r="LHS225" s="1201"/>
      <c r="LHT225" s="1201"/>
      <c r="LHU225" s="1201"/>
      <c r="LHV225" s="1201"/>
      <c r="LHW225" s="1201"/>
      <c r="LHX225" s="1201"/>
      <c r="LHY225" s="1201"/>
      <c r="LHZ225" s="1201"/>
      <c r="LIA225" s="1201"/>
      <c r="LIB225" s="1201"/>
      <c r="LIC225" s="1201"/>
      <c r="LID225" s="1201"/>
      <c r="LIE225" s="1201"/>
      <c r="LIF225" s="1201"/>
      <c r="LIG225" s="1201"/>
      <c r="LIH225" s="1201"/>
      <c r="LII225" s="1201"/>
      <c r="LIJ225" s="1201"/>
      <c r="LIK225" s="1201"/>
      <c r="LIL225" s="1201"/>
      <c r="LIM225" s="1201"/>
      <c r="LIN225" s="1201"/>
      <c r="LIO225" s="1201"/>
      <c r="LIP225" s="1201"/>
      <c r="LIQ225" s="1201"/>
      <c r="LIR225" s="1201"/>
      <c r="LIS225" s="1201"/>
      <c r="LIT225" s="1201"/>
      <c r="LIU225" s="1201"/>
      <c r="LIV225" s="1201"/>
      <c r="LIW225" s="1201"/>
      <c r="LIX225" s="1201"/>
      <c r="LIY225" s="1201"/>
      <c r="LIZ225" s="1201"/>
      <c r="LJA225" s="1201"/>
      <c r="LJB225" s="1201"/>
      <c r="LJC225" s="1201"/>
      <c r="LJD225" s="1201"/>
      <c r="LJE225" s="1201"/>
      <c r="LJF225" s="1201"/>
      <c r="LJG225" s="1201"/>
      <c r="LJH225" s="1201"/>
      <c r="LJI225" s="1201"/>
      <c r="LJJ225" s="1201"/>
      <c r="LJK225" s="1201"/>
      <c r="LJL225" s="1201"/>
      <c r="LJM225" s="1201"/>
      <c r="LJN225" s="1201"/>
      <c r="LJO225" s="1201"/>
      <c r="LJP225" s="1201"/>
      <c r="LJQ225" s="1201"/>
      <c r="LJR225" s="1201"/>
      <c r="LJS225" s="1201"/>
      <c r="LJT225" s="1201"/>
      <c r="LJU225" s="1201"/>
      <c r="LJV225" s="1201"/>
      <c r="LJW225" s="1201"/>
      <c r="LJX225" s="1201"/>
      <c r="LJY225" s="1201"/>
      <c r="LJZ225" s="1201"/>
      <c r="LKA225" s="1201"/>
      <c r="LKB225" s="1201"/>
      <c r="LKC225" s="1201"/>
      <c r="LKD225" s="1201"/>
      <c r="LKE225" s="1201"/>
      <c r="LKF225" s="1201"/>
      <c r="LKG225" s="1201"/>
      <c r="LKH225" s="1201"/>
      <c r="LKI225" s="1201"/>
      <c r="LKJ225" s="1201"/>
      <c r="LKK225" s="1201"/>
      <c r="LKL225" s="1201"/>
      <c r="LKM225" s="1201"/>
      <c r="LKN225" s="1201"/>
      <c r="LKO225" s="1201"/>
      <c r="LKP225" s="1201"/>
      <c r="LKQ225" s="1201"/>
      <c r="LKR225" s="1201"/>
      <c r="LKS225" s="1201"/>
      <c r="LKT225" s="1201"/>
      <c r="LKU225" s="1201"/>
      <c r="LKV225" s="1201"/>
      <c r="LKW225" s="1201"/>
      <c r="LKX225" s="1201"/>
      <c r="LKY225" s="1201"/>
      <c r="LKZ225" s="1201"/>
      <c r="LLA225" s="1201"/>
      <c r="LLB225" s="1201"/>
      <c r="LLC225" s="1201"/>
      <c r="LLD225" s="1201"/>
      <c r="LLE225" s="1201"/>
      <c r="LLF225" s="1201"/>
      <c r="LLG225" s="1201"/>
      <c r="LLH225" s="1201"/>
      <c r="LLI225" s="1201"/>
      <c r="LLJ225" s="1201"/>
      <c r="LLK225" s="1201"/>
      <c r="LLL225" s="1201"/>
      <c r="LLM225" s="1201"/>
      <c r="LLN225" s="1201"/>
      <c r="LLO225" s="1201"/>
      <c r="LLP225" s="1201"/>
      <c r="LLQ225" s="1201"/>
      <c r="LLR225" s="1201"/>
      <c r="LLS225" s="1201"/>
      <c r="LLT225" s="1201"/>
      <c r="LLU225" s="1201"/>
      <c r="LLV225" s="1201"/>
      <c r="LLW225" s="1201"/>
      <c r="LLX225" s="1201"/>
      <c r="LLY225" s="1201"/>
      <c r="LLZ225" s="1201"/>
      <c r="LMA225" s="1201"/>
      <c r="LMB225" s="1201"/>
      <c r="LMC225" s="1201"/>
      <c r="LMD225" s="1201"/>
      <c r="LME225" s="1201"/>
      <c r="LMF225" s="1201"/>
      <c r="LMG225" s="1201"/>
      <c r="LMH225" s="1201"/>
      <c r="LMI225" s="1201"/>
      <c r="LMJ225" s="1201"/>
      <c r="LMK225" s="1201"/>
      <c r="LML225" s="1201"/>
      <c r="LMM225" s="1201"/>
      <c r="LMN225" s="1201"/>
      <c r="LMO225" s="1201"/>
      <c r="LMP225" s="1201"/>
      <c r="LMQ225" s="1201"/>
      <c r="LMR225" s="1201"/>
      <c r="LMS225" s="1201"/>
      <c r="LMT225" s="1201"/>
      <c r="LMU225" s="1201"/>
      <c r="LMV225" s="1201"/>
      <c r="LMW225" s="1201"/>
      <c r="LMX225" s="1201"/>
      <c r="LMY225" s="1201"/>
      <c r="LMZ225" s="1201"/>
      <c r="LNA225" s="1201"/>
      <c r="LNB225" s="1201"/>
      <c r="LNC225" s="1201"/>
      <c r="LND225" s="1201"/>
      <c r="LNE225" s="1201"/>
      <c r="LNF225" s="1201"/>
      <c r="LNG225" s="1201"/>
      <c r="LNH225" s="1201"/>
      <c r="LNI225" s="1201"/>
      <c r="LNJ225" s="1201"/>
      <c r="LNK225" s="1201"/>
      <c r="LNL225" s="1201"/>
      <c r="LNM225" s="1201"/>
      <c r="LNN225" s="1201"/>
      <c r="LNO225" s="1201"/>
      <c r="LNP225" s="1201"/>
      <c r="LNQ225" s="1201"/>
      <c r="LNR225" s="1201"/>
      <c r="LNS225" s="1201"/>
      <c r="LNT225" s="1201"/>
      <c r="LNU225" s="1201"/>
      <c r="LNV225" s="1201"/>
      <c r="LNW225" s="1201"/>
      <c r="LNX225" s="1201"/>
      <c r="LNY225" s="1201"/>
      <c r="LNZ225" s="1201"/>
      <c r="LOA225" s="1201"/>
      <c r="LOB225" s="1201"/>
      <c r="LOC225" s="1201"/>
      <c r="LOD225" s="1201"/>
      <c r="LOE225" s="1201"/>
      <c r="LOF225" s="1201"/>
      <c r="LOG225" s="1201"/>
      <c r="LOH225" s="1201"/>
      <c r="LOI225" s="1201"/>
      <c r="LOJ225" s="1201"/>
      <c r="LOK225" s="1201"/>
      <c r="LOL225" s="1201"/>
      <c r="LOM225" s="1201"/>
      <c r="LON225" s="1201"/>
      <c r="LOO225" s="1201"/>
      <c r="LOP225" s="1201"/>
      <c r="LOQ225" s="1201"/>
      <c r="LOR225" s="1201"/>
      <c r="LOS225" s="1201"/>
      <c r="LOT225" s="1201"/>
      <c r="LOU225" s="1201"/>
      <c r="LOV225" s="1201"/>
      <c r="LOW225" s="1201"/>
      <c r="LOX225" s="1201"/>
      <c r="LOY225" s="1201"/>
      <c r="LOZ225" s="1201"/>
      <c r="LPA225" s="1201"/>
      <c r="LPB225" s="1201"/>
      <c r="LPC225" s="1201"/>
      <c r="LPD225" s="1201"/>
      <c r="LPE225" s="1201"/>
      <c r="LPF225" s="1201"/>
      <c r="LPG225" s="1201"/>
      <c r="LPH225" s="1201"/>
      <c r="LPI225" s="1201"/>
      <c r="LPJ225" s="1201"/>
      <c r="LPK225" s="1201"/>
      <c r="LPL225" s="1201"/>
      <c r="LPM225" s="1201"/>
      <c r="LPN225" s="1201"/>
      <c r="LPO225" s="1201"/>
      <c r="LPP225" s="1201"/>
      <c r="LPQ225" s="1201"/>
      <c r="LPR225" s="1201"/>
      <c r="LPS225" s="1201"/>
      <c r="LPT225" s="1201"/>
      <c r="LPU225" s="1201"/>
      <c r="LPV225" s="1201"/>
      <c r="LPW225" s="1201"/>
      <c r="LPX225" s="1201"/>
      <c r="LPY225" s="1201"/>
      <c r="LPZ225" s="1201"/>
      <c r="LQA225" s="1201"/>
      <c r="LQB225" s="1201"/>
      <c r="LQC225" s="1201"/>
      <c r="LQD225" s="1201"/>
      <c r="LQE225" s="1201"/>
      <c r="LQF225" s="1201"/>
      <c r="LQG225" s="1201"/>
      <c r="LQH225" s="1201"/>
      <c r="LQI225" s="1201"/>
      <c r="LQJ225" s="1201"/>
      <c r="LQK225" s="1201"/>
      <c r="LQL225" s="1201"/>
      <c r="LQM225" s="1201"/>
      <c r="LQN225" s="1201"/>
      <c r="LQO225" s="1201"/>
      <c r="LQP225" s="1201"/>
      <c r="LQQ225" s="1201"/>
      <c r="LQR225" s="1201"/>
      <c r="LQS225" s="1201"/>
      <c r="LQT225" s="1201"/>
      <c r="LQU225" s="1201"/>
      <c r="LQV225" s="1201"/>
      <c r="LQW225" s="1201"/>
      <c r="LQX225" s="1201"/>
      <c r="LQY225" s="1201"/>
      <c r="LQZ225" s="1201"/>
      <c r="LRA225" s="1201"/>
      <c r="LRB225" s="1201"/>
      <c r="LRC225" s="1201"/>
      <c r="LRD225" s="1201"/>
      <c r="LRE225" s="1201"/>
      <c r="LRF225" s="1201"/>
      <c r="LRG225" s="1201"/>
      <c r="LRH225" s="1201"/>
      <c r="LRI225" s="1201"/>
      <c r="LRJ225" s="1201"/>
      <c r="LRK225" s="1201"/>
      <c r="LRL225" s="1201"/>
      <c r="LRM225" s="1201"/>
      <c r="LRN225" s="1201"/>
      <c r="LRO225" s="1201"/>
      <c r="LRP225" s="1201"/>
      <c r="LRQ225" s="1201"/>
      <c r="LRR225" s="1201"/>
      <c r="LRS225" s="1201"/>
      <c r="LRT225" s="1201"/>
      <c r="LRU225" s="1201"/>
      <c r="LRV225" s="1201"/>
      <c r="LRW225" s="1201"/>
      <c r="LRX225" s="1201"/>
      <c r="LRY225" s="1201"/>
      <c r="LRZ225" s="1201"/>
      <c r="LSA225" s="1201"/>
      <c r="LSB225" s="1201"/>
      <c r="LSC225" s="1201"/>
      <c r="LSD225" s="1201"/>
      <c r="LSE225" s="1201"/>
      <c r="LSF225" s="1201"/>
      <c r="LSG225" s="1201"/>
      <c r="LSH225" s="1201"/>
      <c r="LSI225" s="1201"/>
      <c r="LSJ225" s="1201"/>
      <c r="LSK225" s="1201"/>
      <c r="LSL225" s="1201"/>
      <c r="LSM225" s="1201"/>
      <c r="LSN225" s="1201"/>
      <c r="LSO225" s="1201"/>
      <c r="LSP225" s="1201"/>
      <c r="LSQ225" s="1201"/>
      <c r="LSR225" s="1201"/>
      <c r="LSS225" s="1201"/>
      <c r="LST225" s="1201"/>
      <c r="LSU225" s="1201"/>
      <c r="LSV225" s="1201"/>
      <c r="LSW225" s="1201"/>
      <c r="LSX225" s="1201"/>
      <c r="LSY225" s="1201"/>
      <c r="LSZ225" s="1201"/>
      <c r="LTA225" s="1201"/>
      <c r="LTB225" s="1201"/>
      <c r="LTC225" s="1201"/>
      <c r="LTD225" s="1201"/>
      <c r="LTE225" s="1201"/>
      <c r="LTF225" s="1201"/>
      <c r="LTG225" s="1201"/>
      <c r="LTH225" s="1201"/>
      <c r="LTI225" s="1201"/>
      <c r="LTJ225" s="1201"/>
      <c r="LTK225" s="1201"/>
      <c r="LTL225" s="1201"/>
      <c r="LTM225" s="1201"/>
      <c r="LTN225" s="1201"/>
      <c r="LTO225" s="1201"/>
      <c r="LTP225" s="1201"/>
      <c r="LTQ225" s="1201"/>
      <c r="LTR225" s="1201"/>
      <c r="LTS225" s="1201"/>
      <c r="LTT225" s="1201"/>
      <c r="LTU225" s="1201"/>
      <c r="LTV225" s="1201"/>
      <c r="LTW225" s="1201"/>
      <c r="LTX225" s="1201"/>
      <c r="LTY225" s="1201"/>
      <c r="LTZ225" s="1201"/>
      <c r="LUA225" s="1201"/>
      <c r="LUB225" s="1201"/>
      <c r="LUC225" s="1201"/>
      <c r="LUD225" s="1201"/>
      <c r="LUE225" s="1201"/>
      <c r="LUF225" s="1201"/>
      <c r="LUG225" s="1201"/>
      <c r="LUH225" s="1201"/>
      <c r="LUI225" s="1201"/>
      <c r="LUJ225" s="1201"/>
      <c r="LUK225" s="1201"/>
      <c r="LUL225" s="1201"/>
      <c r="LUM225" s="1201"/>
      <c r="LUN225" s="1201"/>
      <c r="LUO225" s="1201"/>
      <c r="LUP225" s="1201"/>
      <c r="LUQ225" s="1201"/>
      <c r="LUR225" s="1201"/>
      <c r="LUS225" s="1201"/>
      <c r="LUT225" s="1201"/>
      <c r="LUU225" s="1201"/>
      <c r="LUV225" s="1201"/>
      <c r="LUW225" s="1201"/>
      <c r="LUX225" s="1201"/>
      <c r="LUY225" s="1201"/>
      <c r="LUZ225" s="1201"/>
      <c r="LVA225" s="1201"/>
      <c r="LVB225" s="1201"/>
      <c r="LVC225" s="1201"/>
      <c r="LVD225" s="1201"/>
      <c r="LVE225" s="1201"/>
      <c r="LVF225" s="1201"/>
      <c r="LVG225" s="1201"/>
      <c r="LVH225" s="1201"/>
      <c r="LVI225" s="1201"/>
      <c r="LVJ225" s="1201"/>
      <c r="LVK225" s="1201"/>
      <c r="LVL225" s="1201"/>
      <c r="LVM225" s="1201"/>
      <c r="LVN225" s="1201"/>
      <c r="LVO225" s="1201"/>
      <c r="LVP225" s="1201"/>
      <c r="LVQ225" s="1201"/>
      <c r="LVR225" s="1201"/>
      <c r="LVS225" s="1201"/>
      <c r="LVT225" s="1201"/>
      <c r="LVU225" s="1201"/>
      <c r="LVV225" s="1201"/>
      <c r="LVW225" s="1201"/>
      <c r="LVX225" s="1201"/>
      <c r="LVY225" s="1201"/>
      <c r="LVZ225" s="1201"/>
      <c r="LWA225" s="1201"/>
      <c r="LWB225" s="1201"/>
      <c r="LWC225" s="1201"/>
      <c r="LWD225" s="1201"/>
      <c r="LWE225" s="1201"/>
      <c r="LWF225" s="1201"/>
      <c r="LWG225" s="1201"/>
      <c r="LWH225" s="1201"/>
      <c r="LWI225" s="1201"/>
      <c r="LWJ225" s="1201"/>
      <c r="LWK225" s="1201"/>
      <c r="LWL225" s="1201"/>
      <c r="LWM225" s="1201"/>
      <c r="LWN225" s="1201"/>
      <c r="LWO225" s="1201"/>
      <c r="LWP225" s="1201"/>
      <c r="LWQ225" s="1201"/>
      <c r="LWR225" s="1201"/>
      <c r="LWS225" s="1201"/>
      <c r="LWT225" s="1201"/>
      <c r="LWU225" s="1201"/>
      <c r="LWV225" s="1201"/>
      <c r="LWW225" s="1201"/>
      <c r="LWX225" s="1201"/>
      <c r="LWY225" s="1201"/>
      <c r="LWZ225" s="1201"/>
      <c r="LXA225" s="1201"/>
      <c r="LXB225" s="1201"/>
      <c r="LXC225" s="1201"/>
      <c r="LXD225" s="1201"/>
      <c r="LXE225" s="1201"/>
      <c r="LXF225" s="1201"/>
      <c r="LXG225" s="1201"/>
      <c r="LXH225" s="1201"/>
      <c r="LXI225" s="1201"/>
      <c r="LXJ225" s="1201"/>
      <c r="LXK225" s="1201"/>
      <c r="LXL225" s="1201"/>
      <c r="LXM225" s="1201"/>
      <c r="LXN225" s="1201"/>
      <c r="LXO225" s="1201"/>
      <c r="LXP225" s="1201"/>
      <c r="LXQ225" s="1201"/>
      <c r="LXR225" s="1201"/>
      <c r="LXS225" s="1201"/>
      <c r="LXT225" s="1201"/>
      <c r="LXU225" s="1201"/>
      <c r="LXV225" s="1201"/>
      <c r="LXW225" s="1201"/>
      <c r="LXX225" s="1201"/>
      <c r="LXY225" s="1201"/>
      <c r="LXZ225" s="1201"/>
      <c r="LYA225" s="1201"/>
      <c r="LYB225" s="1201"/>
      <c r="LYC225" s="1201"/>
      <c r="LYD225" s="1201"/>
      <c r="LYE225" s="1201"/>
      <c r="LYF225" s="1201"/>
      <c r="LYG225" s="1201"/>
      <c r="LYH225" s="1201"/>
      <c r="LYI225" s="1201"/>
      <c r="LYJ225" s="1201"/>
      <c r="LYK225" s="1201"/>
      <c r="LYL225" s="1201"/>
      <c r="LYM225" s="1201"/>
      <c r="LYN225" s="1201"/>
      <c r="LYO225" s="1201"/>
      <c r="LYP225" s="1201"/>
      <c r="LYQ225" s="1201"/>
      <c r="LYR225" s="1201"/>
      <c r="LYS225" s="1201"/>
      <c r="LYT225" s="1201"/>
      <c r="LYU225" s="1201"/>
      <c r="LYV225" s="1201"/>
      <c r="LYW225" s="1201"/>
      <c r="LYX225" s="1201"/>
      <c r="LYY225" s="1201"/>
      <c r="LYZ225" s="1201"/>
      <c r="LZA225" s="1201"/>
      <c r="LZB225" s="1201"/>
      <c r="LZC225" s="1201"/>
      <c r="LZD225" s="1201"/>
      <c r="LZE225" s="1201"/>
      <c r="LZF225" s="1201"/>
      <c r="LZG225" s="1201"/>
      <c r="LZH225" s="1201"/>
      <c r="LZI225" s="1201"/>
      <c r="LZJ225" s="1201"/>
      <c r="LZK225" s="1201"/>
      <c r="LZL225" s="1201"/>
      <c r="LZM225" s="1201"/>
      <c r="LZN225" s="1201"/>
      <c r="LZO225" s="1201"/>
      <c r="LZP225" s="1201"/>
      <c r="LZQ225" s="1201"/>
      <c r="LZR225" s="1201"/>
      <c r="LZS225" s="1201"/>
      <c r="LZT225" s="1201"/>
      <c r="LZU225" s="1201"/>
      <c r="LZV225" s="1201"/>
      <c r="LZW225" s="1201"/>
      <c r="LZX225" s="1201"/>
      <c r="LZY225" s="1201"/>
      <c r="LZZ225" s="1201"/>
      <c r="MAA225" s="1201"/>
      <c r="MAB225" s="1201"/>
      <c r="MAC225" s="1201"/>
      <c r="MAD225" s="1201"/>
      <c r="MAE225" s="1201"/>
      <c r="MAF225" s="1201"/>
      <c r="MAG225" s="1201"/>
      <c r="MAH225" s="1201"/>
      <c r="MAI225" s="1201"/>
      <c r="MAJ225" s="1201"/>
      <c r="MAK225" s="1201"/>
      <c r="MAL225" s="1201"/>
      <c r="MAM225" s="1201"/>
      <c r="MAN225" s="1201"/>
      <c r="MAO225" s="1201"/>
      <c r="MAP225" s="1201"/>
      <c r="MAQ225" s="1201"/>
      <c r="MAR225" s="1201"/>
      <c r="MAS225" s="1201"/>
      <c r="MAT225" s="1201"/>
      <c r="MAU225" s="1201"/>
      <c r="MAV225" s="1201"/>
      <c r="MAW225" s="1201"/>
      <c r="MAX225" s="1201"/>
      <c r="MAY225" s="1201"/>
      <c r="MAZ225" s="1201"/>
      <c r="MBA225" s="1201"/>
      <c r="MBB225" s="1201"/>
      <c r="MBC225" s="1201"/>
      <c r="MBD225" s="1201"/>
      <c r="MBE225" s="1201"/>
      <c r="MBF225" s="1201"/>
      <c r="MBG225" s="1201"/>
      <c r="MBH225" s="1201"/>
      <c r="MBI225" s="1201"/>
      <c r="MBJ225" s="1201"/>
      <c r="MBK225" s="1201"/>
      <c r="MBL225" s="1201"/>
      <c r="MBM225" s="1201"/>
      <c r="MBN225" s="1201"/>
      <c r="MBO225" s="1201"/>
      <c r="MBP225" s="1201"/>
      <c r="MBQ225" s="1201"/>
      <c r="MBR225" s="1201"/>
      <c r="MBS225" s="1201"/>
      <c r="MBT225" s="1201"/>
      <c r="MBU225" s="1201"/>
      <c r="MBV225" s="1201"/>
      <c r="MBW225" s="1201"/>
      <c r="MBX225" s="1201"/>
      <c r="MBY225" s="1201"/>
      <c r="MBZ225" s="1201"/>
      <c r="MCA225" s="1201"/>
      <c r="MCB225" s="1201"/>
      <c r="MCC225" s="1201"/>
      <c r="MCD225" s="1201"/>
      <c r="MCE225" s="1201"/>
      <c r="MCF225" s="1201"/>
      <c r="MCG225" s="1201"/>
      <c r="MCH225" s="1201"/>
      <c r="MCI225" s="1201"/>
      <c r="MCJ225" s="1201"/>
      <c r="MCK225" s="1201"/>
      <c r="MCL225" s="1201"/>
      <c r="MCM225" s="1201"/>
      <c r="MCN225" s="1201"/>
      <c r="MCO225" s="1201"/>
      <c r="MCP225" s="1201"/>
      <c r="MCQ225" s="1201"/>
      <c r="MCR225" s="1201"/>
      <c r="MCS225" s="1201"/>
      <c r="MCT225" s="1201"/>
      <c r="MCU225" s="1201"/>
      <c r="MCV225" s="1201"/>
      <c r="MCW225" s="1201"/>
      <c r="MCX225" s="1201"/>
      <c r="MCY225" s="1201"/>
      <c r="MCZ225" s="1201"/>
      <c r="MDA225" s="1201"/>
      <c r="MDB225" s="1201"/>
      <c r="MDC225" s="1201"/>
      <c r="MDD225" s="1201"/>
      <c r="MDE225" s="1201"/>
      <c r="MDF225" s="1201"/>
      <c r="MDG225" s="1201"/>
      <c r="MDH225" s="1201"/>
      <c r="MDI225" s="1201"/>
      <c r="MDJ225" s="1201"/>
      <c r="MDK225" s="1201"/>
      <c r="MDL225" s="1201"/>
      <c r="MDM225" s="1201"/>
      <c r="MDN225" s="1201"/>
      <c r="MDO225" s="1201"/>
      <c r="MDP225" s="1201"/>
      <c r="MDQ225" s="1201"/>
      <c r="MDR225" s="1201"/>
      <c r="MDS225" s="1201"/>
      <c r="MDT225" s="1201"/>
      <c r="MDU225" s="1201"/>
      <c r="MDV225" s="1201"/>
      <c r="MDW225" s="1201"/>
      <c r="MDX225" s="1201"/>
      <c r="MDY225" s="1201"/>
      <c r="MDZ225" s="1201"/>
      <c r="MEA225" s="1201"/>
      <c r="MEB225" s="1201"/>
      <c r="MEC225" s="1201"/>
      <c r="MED225" s="1201"/>
      <c r="MEE225" s="1201"/>
      <c r="MEF225" s="1201"/>
      <c r="MEG225" s="1201"/>
      <c r="MEH225" s="1201"/>
      <c r="MEI225" s="1201"/>
      <c r="MEJ225" s="1201"/>
      <c r="MEK225" s="1201"/>
      <c r="MEL225" s="1201"/>
      <c r="MEM225" s="1201"/>
      <c r="MEN225" s="1201"/>
      <c r="MEO225" s="1201"/>
      <c r="MEP225" s="1201"/>
      <c r="MEQ225" s="1201"/>
      <c r="MER225" s="1201"/>
      <c r="MES225" s="1201"/>
      <c r="MET225" s="1201"/>
      <c r="MEU225" s="1201"/>
      <c r="MEV225" s="1201"/>
      <c r="MEW225" s="1201"/>
      <c r="MEX225" s="1201"/>
      <c r="MEY225" s="1201"/>
      <c r="MEZ225" s="1201"/>
      <c r="MFA225" s="1201"/>
      <c r="MFB225" s="1201"/>
      <c r="MFC225" s="1201"/>
      <c r="MFD225" s="1201"/>
      <c r="MFE225" s="1201"/>
      <c r="MFF225" s="1201"/>
      <c r="MFG225" s="1201"/>
      <c r="MFH225" s="1201"/>
      <c r="MFI225" s="1201"/>
      <c r="MFJ225" s="1201"/>
      <c r="MFK225" s="1201"/>
      <c r="MFL225" s="1201"/>
      <c r="MFM225" s="1201"/>
      <c r="MFN225" s="1201"/>
      <c r="MFO225" s="1201"/>
      <c r="MFP225" s="1201"/>
      <c r="MFQ225" s="1201"/>
      <c r="MFR225" s="1201"/>
      <c r="MFS225" s="1201"/>
      <c r="MFT225" s="1201"/>
      <c r="MFU225" s="1201"/>
      <c r="MFV225" s="1201"/>
      <c r="MFW225" s="1201"/>
      <c r="MFX225" s="1201"/>
      <c r="MFY225" s="1201"/>
      <c r="MFZ225" s="1201"/>
      <c r="MGA225" s="1201"/>
      <c r="MGB225" s="1201"/>
      <c r="MGC225" s="1201"/>
      <c r="MGD225" s="1201"/>
      <c r="MGE225" s="1201"/>
      <c r="MGF225" s="1201"/>
      <c r="MGG225" s="1201"/>
      <c r="MGH225" s="1201"/>
      <c r="MGI225" s="1201"/>
      <c r="MGJ225" s="1201"/>
      <c r="MGK225" s="1201"/>
      <c r="MGL225" s="1201"/>
      <c r="MGM225" s="1201"/>
      <c r="MGN225" s="1201"/>
      <c r="MGO225" s="1201"/>
      <c r="MGP225" s="1201"/>
      <c r="MGQ225" s="1201"/>
      <c r="MGR225" s="1201"/>
      <c r="MGS225" s="1201"/>
      <c r="MGT225" s="1201"/>
      <c r="MGU225" s="1201"/>
      <c r="MGV225" s="1201"/>
      <c r="MGW225" s="1201"/>
      <c r="MGX225" s="1201"/>
      <c r="MGY225" s="1201"/>
      <c r="MGZ225" s="1201"/>
      <c r="MHA225" s="1201"/>
      <c r="MHB225" s="1201"/>
      <c r="MHC225" s="1201"/>
      <c r="MHD225" s="1201"/>
      <c r="MHE225" s="1201"/>
      <c r="MHF225" s="1201"/>
      <c r="MHG225" s="1201"/>
      <c r="MHH225" s="1201"/>
      <c r="MHI225" s="1201"/>
      <c r="MHJ225" s="1201"/>
      <c r="MHK225" s="1201"/>
      <c r="MHL225" s="1201"/>
      <c r="MHM225" s="1201"/>
      <c r="MHN225" s="1201"/>
      <c r="MHO225" s="1201"/>
      <c r="MHP225" s="1201"/>
      <c r="MHQ225" s="1201"/>
      <c r="MHR225" s="1201"/>
      <c r="MHS225" s="1201"/>
      <c r="MHT225" s="1201"/>
      <c r="MHU225" s="1201"/>
      <c r="MHV225" s="1201"/>
      <c r="MHW225" s="1201"/>
      <c r="MHX225" s="1201"/>
      <c r="MHY225" s="1201"/>
      <c r="MHZ225" s="1201"/>
      <c r="MIA225" s="1201"/>
      <c r="MIB225" s="1201"/>
      <c r="MIC225" s="1201"/>
      <c r="MID225" s="1201"/>
      <c r="MIE225" s="1201"/>
      <c r="MIF225" s="1201"/>
      <c r="MIG225" s="1201"/>
      <c r="MIH225" s="1201"/>
      <c r="MII225" s="1201"/>
      <c r="MIJ225" s="1201"/>
      <c r="MIK225" s="1201"/>
      <c r="MIL225" s="1201"/>
      <c r="MIM225" s="1201"/>
      <c r="MIN225" s="1201"/>
      <c r="MIO225" s="1201"/>
      <c r="MIP225" s="1201"/>
      <c r="MIQ225" s="1201"/>
      <c r="MIR225" s="1201"/>
      <c r="MIS225" s="1201"/>
      <c r="MIT225" s="1201"/>
      <c r="MIU225" s="1201"/>
      <c r="MIV225" s="1201"/>
      <c r="MIW225" s="1201"/>
      <c r="MIX225" s="1201"/>
      <c r="MIY225" s="1201"/>
      <c r="MIZ225" s="1201"/>
      <c r="MJA225" s="1201"/>
      <c r="MJB225" s="1201"/>
      <c r="MJC225" s="1201"/>
      <c r="MJD225" s="1201"/>
      <c r="MJE225" s="1201"/>
      <c r="MJF225" s="1201"/>
      <c r="MJG225" s="1201"/>
      <c r="MJH225" s="1201"/>
      <c r="MJI225" s="1201"/>
      <c r="MJJ225" s="1201"/>
      <c r="MJK225" s="1201"/>
      <c r="MJL225" s="1201"/>
      <c r="MJM225" s="1201"/>
      <c r="MJN225" s="1201"/>
      <c r="MJO225" s="1201"/>
      <c r="MJP225" s="1201"/>
      <c r="MJQ225" s="1201"/>
      <c r="MJR225" s="1201"/>
      <c r="MJS225" s="1201"/>
      <c r="MJT225" s="1201"/>
      <c r="MJU225" s="1201"/>
      <c r="MJV225" s="1201"/>
      <c r="MJW225" s="1201"/>
      <c r="MJX225" s="1201"/>
      <c r="MJY225" s="1201"/>
      <c r="MJZ225" s="1201"/>
      <c r="MKA225" s="1201"/>
      <c r="MKB225" s="1201"/>
      <c r="MKC225" s="1201"/>
      <c r="MKD225" s="1201"/>
      <c r="MKE225" s="1201"/>
      <c r="MKF225" s="1201"/>
      <c r="MKG225" s="1201"/>
      <c r="MKH225" s="1201"/>
      <c r="MKI225" s="1201"/>
      <c r="MKJ225" s="1201"/>
      <c r="MKK225" s="1201"/>
      <c r="MKL225" s="1201"/>
      <c r="MKM225" s="1201"/>
      <c r="MKN225" s="1201"/>
      <c r="MKO225" s="1201"/>
      <c r="MKP225" s="1201"/>
      <c r="MKQ225" s="1201"/>
      <c r="MKR225" s="1201"/>
      <c r="MKS225" s="1201"/>
      <c r="MKT225" s="1201"/>
      <c r="MKU225" s="1201"/>
      <c r="MKV225" s="1201"/>
      <c r="MKW225" s="1201"/>
      <c r="MKX225" s="1201"/>
      <c r="MKY225" s="1201"/>
      <c r="MKZ225" s="1201"/>
      <c r="MLA225" s="1201"/>
      <c r="MLB225" s="1201"/>
      <c r="MLC225" s="1201"/>
      <c r="MLD225" s="1201"/>
      <c r="MLE225" s="1201"/>
      <c r="MLF225" s="1201"/>
      <c r="MLG225" s="1201"/>
      <c r="MLH225" s="1201"/>
      <c r="MLI225" s="1201"/>
      <c r="MLJ225" s="1201"/>
      <c r="MLK225" s="1201"/>
      <c r="MLL225" s="1201"/>
      <c r="MLM225" s="1201"/>
      <c r="MLN225" s="1201"/>
      <c r="MLO225" s="1201"/>
      <c r="MLP225" s="1201"/>
      <c r="MLQ225" s="1201"/>
      <c r="MLR225" s="1201"/>
      <c r="MLS225" s="1201"/>
      <c r="MLT225" s="1201"/>
      <c r="MLU225" s="1201"/>
      <c r="MLV225" s="1201"/>
      <c r="MLW225" s="1201"/>
      <c r="MLX225" s="1201"/>
      <c r="MLY225" s="1201"/>
      <c r="MLZ225" s="1201"/>
      <c r="MMA225" s="1201"/>
      <c r="MMB225" s="1201"/>
      <c r="MMC225" s="1201"/>
      <c r="MMD225" s="1201"/>
      <c r="MME225" s="1201"/>
      <c r="MMF225" s="1201"/>
      <c r="MMG225" s="1201"/>
      <c r="MMH225" s="1201"/>
      <c r="MMI225" s="1201"/>
      <c r="MMJ225" s="1201"/>
      <c r="MMK225" s="1201"/>
      <c r="MML225" s="1201"/>
      <c r="MMM225" s="1201"/>
      <c r="MMN225" s="1201"/>
      <c r="MMO225" s="1201"/>
      <c r="MMP225" s="1201"/>
      <c r="MMQ225" s="1201"/>
      <c r="MMR225" s="1201"/>
      <c r="MMS225" s="1201"/>
      <c r="MMT225" s="1201"/>
      <c r="MMU225" s="1201"/>
      <c r="MMV225" s="1201"/>
      <c r="MMW225" s="1201"/>
      <c r="MMX225" s="1201"/>
      <c r="MMY225" s="1201"/>
      <c r="MMZ225" s="1201"/>
      <c r="MNA225" s="1201"/>
      <c r="MNB225" s="1201"/>
      <c r="MNC225" s="1201"/>
      <c r="MND225" s="1201"/>
      <c r="MNE225" s="1201"/>
      <c r="MNF225" s="1201"/>
      <c r="MNG225" s="1201"/>
      <c r="MNH225" s="1201"/>
      <c r="MNI225" s="1201"/>
      <c r="MNJ225" s="1201"/>
      <c r="MNK225" s="1201"/>
      <c r="MNL225" s="1201"/>
      <c r="MNM225" s="1201"/>
      <c r="MNN225" s="1201"/>
      <c r="MNO225" s="1201"/>
      <c r="MNP225" s="1201"/>
      <c r="MNQ225" s="1201"/>
      <c r="MNR225" s="1201"/>
      <c r="MNS225" s="1201"/>
      <c r="MNT225" s="1201"/>
      <c r="MNU225" s="1201"/>
      <c r="MNV225" s="1201"/>
      <c r="MNW225" s="1201"/>
      <c r="MNX225" s="1201"/>
      <c r="MNY225" s="1201"/>
      <c r="MNZ225" s="1201"/>
      <c r="MOA225" s="1201"/>
      <c r="MOB225" s="1201"/>
      <c r="MOC225" s="1201"/>
      <c r="MOD225" s="1201"/>
      <c r="MOE225" s="1201"/>
      <c r="MOF225" s="1201"/>
      <c r="MOG225" s="1201"/>
      <c r="MOH225" s="1201"/>
      <c r="MOI225" s="1201"/>
      <c r="MOJ225" s="1201"/>
      <c r="MOK225" s="1201"/>
      <c r="MOL225" s="1201"/>
      <c r="MOM225" s="1201"/>
      <c r="MON225" s="1201"/>
      <c r="MOO225" s="1201"/>
      <c r="MOP225" s="1201"/>
      <c r="MOQ225" s="1201"/>
      <c r="MOR225" s="1201"/>
      <c r="MOS225" s="1201"/>
      <c r="MOT225" s="1201"/>
      <c r="MOU225" s="1201"/>
      <c r="MOV225" s="1201"/>
      <c r="MOW225" s="1201"/>
      <c r="MOX225" s="1201"/>
      <c r="MOY225" s="1201"/>
      <c r="MOZ225" s="1201"/>
      <c r="MPA225" s="1201"/>
      <c r="MPB225" s="1201"/>
      <c r="MPC225" s="1201"/>
      <c r="MPD225" s="1201"/>
      <c r="MPE225" s="1201"/>
      <c r="MPF225" s="1201"/>
      <c r="MPG225" s="1201"/>
      <c r="MPH225" s="1201"/>
      <c r="MPI225" s="1201"/>
      <c r="MPJ225" s="1201"/>
      <c r="MPK225" s="1201"/>
      <c r="MPL225" s="1201"/>
      <c r="MPM225" s="1201"/>
      <c r="MPN225" s="1201"/>
      <c r="MPO225" s="1201"/>
      <c r="MPP225" s="1201"/>
      <c r="MPQ225" s="1201"/>
      <c r="MPR225" s="1201"/>
      <c r="MPS225" s="1201"/>
      <c r="MPT225" s="1201"/>
      <c r="MPU225" s="1201"/>
      <c r="MPV225" s="1201"/>
      <c r="MPW225" s="1201"/>
      <c r="MPX225" s="1201"/>
      <c r="MPY225" s="1201"/>
      <c r="MPZ225" s="1201"/>
      <c r="MQA225" s="1201"/>
      <c r="MQB225" s="1201"/>
      <c r="MQC225" s="1201"/>
      <c r="MQD225" s="1201"/>
      <c r="MQE225" s="1201"/>
      <c r="MQF225" s="1201"/>
      <c r="MQG225" s="1201"/>
      <c r="MQH225" s="1201"/>
      <c r="MQI225" s="1201"/>
      <c r="MQJ225" s="1201"/>
      <c r="MQK225" s="1201"/>
      <c r="MQL225" s="1201"/>
      <c r="MQM225" s="1201"/>
      <c r="MQN225" s="1201"/>
      <c r="MQO225" s="1201"/>
      <c r="MQP225" s="1201"/>
      <c r="MQQ225" s="1201"/>
      <c r="MQR225" s="1201"/>
      <c r="MQS225" s="1201"/>
      <c r="MQT225" s="1201"/>
      <c r="MQU225" s="1201"/>
      <c r="MQV225" s="1201"/>
      <c r="MQW225" s="1201"/>
      <c r="MQX225" s="1201"/>
      <c r="MQY225" s="1201"/>
      <c r="MQZ225" s="1201"/>
      <c r="MRA225" s="1201"/>
      <c r="MRB225" s="1201"/>
      <c r="MRC225" s="1201"/>
      <c r="MRD225" s="1201"/>
      <c r="MRE225" s="1201"/>
      <c r="MRF225" s="1201"/>
      <c r="MRG225" s="1201"/>
      <c r="MRH225" s="1201"/>
      <c r="MRI225" s="1201"/>
      <c r="MRJ225" s="1201"/>
      <c r="MRK225" s="1201"/>
      <c r="MRL225" s="1201"/>
      <c r="MRM225" s="1201"/>
      <c r="MRN225" s="1201"/>
      <c r="MRO225" s="1201"/>
      <c r="MRP225" s="1201"/>
      <c r="MRQ225" s="1201"/>
      <c r="MRR225" s="1201"/>
      <c r="MRS225" s="1201"/>
      <c r="MRT225" s="1201"/>
      <c r="MRU225" s="1201"/>
      <c r="MRV225" s="1201"/>
      <c r="MRW225" s="1201"/>
      <c r="MRX225" s="1201"/>
      <c r="MRY225" s="1201"/>
      <c r="MRZ225" s="1201"/>
      <c r="MSA225" s="1201"/>
      <c r="MSB225" s="1201"/>
      <c r="MSC225" s="1201"/>
      <c r="MSD225" s="1201"/>
      <c r="MSE225" s="1201"/>
      <c r="MSF225" s="1201"/>
      <c r="MSG225" s="1201"/>
      <c r="MSH225" s="1201"/>
      <c r="MSI225" s="1201"/>
      <c r="MSJ225" s="1201"/>
      <c r="MSK225" s="1201"/>
      <c r="MSL225" s="1201"/>
      <c r="MSM225" s="1201"/>
      <c r="MSN225" s="1201"/>
      <c r="MSO225" s="1201"/>
      <c r="MSP225" s="1201"/>
      <c r="MSQ225" s="1201"/>
      <c r="MSR225" s="1201"/>
      <c r="MSS225" s="1201"/>
      <c r="MST225" s="1201"/>
      <c r="MSU225" s="1201"/>
      <c r="MSV225" s="1201"/>
      <c r="MSW225" s="1201"/>
      <c r="MSX225" s="1201"/>
      <c r="MSY225" s="1201"/>
      <c r="MSZ225" s="1201"/>
      <c r="MTA225" s="1201"/>
      <c r="MTB225" s="1201"/>
      <c r="MTC225" s="1201"/>
      <c r="MTD225" s="1201"/>
      <c r="MTE225" s="1201"/>
      <c r="MTF225" s="1201"/>
      <c r="MTG225" s="1201"/>
      <c r="MTH225" s="1201"/>
      <c r="MTI225" s="1201"/>
      <c r="MTJ225" s="1201"/>
      <c r="MTK225" s="1201"/>
      <c r="MTL225" s="1201"/>
      <c r="MTM225" s="1201"/>
      <c r="MTN225" s="1201"/>
      <c r="MTO225" s="1201"/>
      <c r="MTP225" s="1201"/>
      <c r="MTQ225" s="1201"/>
      <c r="MTR225" s="1201"/>
      <c r="MTS225" s="1201"/>
      <c r="MTT225" s="1201"/>
      <c r="MTU225" s="1201"/>
      <c r="MTV225" s="1201"/>
      <c r="MTW225" s="1201"/>
      <c r="MTX225" s="1201"/>
      <c r="MTY225" s="1201"/>
      <c r="MTZ225" s="1201"/>
      <c r="MUA225" s="1201"/>
      <c r="MUB225" s="1201"/>
      <c r="MUC225" s="1201"/>
      <c r="MUD225" s="1201"/>
      <c r="MUE225" s="1201"/>
      <c r="MUF225" s="1201"/>
      <c r="MUG225" s="1201"/>
      <c r="MUH225" s="1201"/>
      <c r="MUI225" s="1201"/>
      <c r="MUJ225" s="1201"/>
      <c r="MUK225" s="1201"/>
      <c r="MUL225" s="1201"/>
      <c r="MUM225" s="1201"/>
      <c r="MUN225" s="1201"/>
      <c r="MUO225" s="1201"/>
      <c r="MUP225" s="1201"/>
      <c r="MUQ225" s="1201"/>
      <c r="MUR225" s="1201"/>
      <c r="MUS225" s="1201"/>
      <c r="MUT225" s="1201"/>
      <c r="MUU225" s="1201"/>
      <c r="MUV225" s="1201"/>
      <c r="MUW225" s="1201"/>
      <c r="MUX225" s="1201"/>
      <c r="MUY225" s="1201"/>
      <c r="MUZ225" s="1201"/>
      <c r="MVA225" s="1201"/>
      <c r="MVB225" s="1201"/>
      <c r="MVC225" s="1201"/>
      <c r="MVD225" s="1201"/>
      <c r="MVE225" s="1201"/>
      <c r="MVF225" s="1201"/>
      <c r="MVG225" s="1201"/>
      <c r="MVH225" s="1201"/>
      <c r="MVI225" s="1201"/>
      <c r="MVJ225" s="1201"/>
      <c r="MVK225" s="1201"/>
      <c r="MVL225" s="1201"/>
      <c r="MVM225" s="1201"/>
      <c r="MVN225" s="1201"/>
      <c r="MVO225" s="1201"/>
      <c r="MVP225" s="1201"/>
      <c r="MVQ225" s="1201"/>
      <c r="MVR225" s="1201"/>
      <c r="MVS225" s="1201"/>
      <c r="MVT225" s="1201"/>
      <c r="MVU225" s="1201"/>
      <c r="MVV225" s="1201"/>
      <c r="MVW225" s="1201"/>
      <c r="MVX225" s="1201"/>
      <c r="MVY225" s="1201"/>
      <c r="MVZ225" s="1201"/>
      <c r="MWA225" s="1201"/>
      <c r="MWB225" s="1201"/>
      <c r="MWC225" s="1201"/>
      <c r="MWD225" s="1201"/>
      <c r="MWE225" s="1201"/>
      <c r="MWF225" s="1201"/>
      <c r="MWG225" s="1201"/>
      <c r="MWH225" s="1201"/>
      <c r="MWI225" s="1201"/>
      <c r="MWJ225" s="1201"/>
      <c r="MWK225" s="1201"/>
      <c r="MWL225" s="1201"/>
      <c r="MWM225" s="1201"/>
      <c r="MWN225" s="1201"/>
      <c r="MWO225" s="1201"/>
      <c r="MWP225" s="1201"/>
      <c r="MWQ225" s="1201"/>
      <c r="MWR225" s="1201"/>
      <c r="MWS225" s="1201"/>
      <c r="MWT225" s="1201"/>
      <c r="MWU225" s="1201"/>
      <c r="MWV225" s="1201"/>
      <c r="MWW225" s="1201"/>
      <c r="MWX225" s="1201"/>
      <c r="MWY225" s="1201"/>
      <c r="MWZ225" s="1201"/>
      <c r="MXA225" s="1201"/>
      <c r="MXB225" s="1201"/>
      <c r="MXC225" s="1201"/>
      <c r="MXD225" s="1201"/>
      <c r="MXE225" s="1201"/>
      <c r="MXF225" s="1201"/>
      <c r="MXG225" s="1201"/>
      <c r="MXH225" s="1201"/>
      <c r="MXI225" s="1201"/>
      <c r="MXJ225" s="1201"/>
      <c r="MXK225" s="1201"/>
      <c r="MXL225" s="1201"/>
      <c r="MXM225" s="1201"/>
      <c r="MXN225" s="1201"/>
      <c r="MXO225" s="1201"/>
      <c r="MXP225" s="1201"/>
      <c r="MXQ225" s="1201"/>
      <c r="MXR225" s="1201"/>
      <c r="MXS225" s="1201"/>
      <c r="MXT225" s="1201"/>
      <c r="MXU225" s="1201"/>
      <c r="MXV225" s="1201"/>
      <c r="MXW225" s="1201"/>
      <c r="MXX225" s="1201"/>
      <c r="MXY225" s="1201"/>
      <c r="MXZ225" s="1201"/>
      <c r="MYA225" s="1201"/>
      <c r="MYB225" s="1201"/>
      <c r="MYC225" s="1201"/>
      <c r="MYD225" s="1201"/>
      <c r="MYE225" s="1201"/>
      <c r="MYF225" s="1201"/>
      <c r="MYG225" s="1201"/>
      <c r="MYH225" s="1201"/>
      <c r="MYI225" s="1201"/>
      <c r="MYJ225" s="1201"/>
      <c r="MYK225" s="1201"/>
      <c r="MYL225" s="1201"/>
      <c r="MYM225" s="1201"/>
      <c r="MYN225" s="1201"/>
      <c r="MYO225" s="1201"/>
      <c r="MYP225" s="1201"/>
      <c r="MYQ225" s="1201"/>
      <c r="MYR225" s="1201"/>
      <c r="MYS225" s="1201"/>
      <c r="MYT225" s="1201"/>
      <c r="MYU225" s="1201"/>
      <c r="MYV225" s="1201"/>
      <c r="MYW225" s="1201"/>
      <c r="MYX225" s="1201"/>
      <c r="MYY225" s="1201"/>
      <c r="MYZ225" s="1201"/>
      <c r="MZA225" s="1201"/>
      <c r="MZB225" s="1201"/>
      <c r="MZC225" s="1201"/>
      <c r="MZD225" s="1201"/>
      <c r="MZE225" s="1201"/>
      <c r="MZF225" s="1201"/>
      <c r="MZG225" s="1201"/>
      <c r="MZH225" s="1201"/>
      <c r="MZI225" s="1201"/>
      <c r="MZJ225" s="1201"/>
      <c r="MZK225" s="1201"/>
      <c r="MZL225" s="1201"/>
      <c r="MZM225" s="1201"/>
      <c r="MZN225" s="1201"/>
      <c r="MZO225" s="1201"/>
      <c r="MZP225" s="1201"/>
      <c r="MZQ225" s="1201"/>
      <c r="MZR225" s="1201"/>
      <c r="MZS225" s="1201"/>
      <c r="MZT225" s="1201"/>
      <c r="MZU225" s="1201"/>
      <c r="MZV225" s="1201"/>
      <c r="MZW225" s="1201"/>
      <c r="MZX225" s="1201"/>
      <c r="MZY225" s="1201"/>
      <c r="MZZ225" s="1201"/>
      <c r="NAA225" s="1201"/>
      <c r="NAB225" s="1201"/>
      <c r="NAC225" s="1201"/>
      <c r="NAD225" s="1201"/>
      <c r="NAE225" s="1201"/>
      <c r="NAF225" s="1201"/>
      <c r="NAG225" s="1201"/>
      <c r="NAH225" s="1201"/>
      <c r="NAI225" s="1201"/>
      <c r="NAJ225" s="1201"/>
      <c r="NAK225" s="1201"/>
      <c r="NAL225" s="1201"/>
      <c r="NAM225" s="1201"/>
      <c r="NAN225" s="1201"/>
      <c r="NAO225" s="1201"/>
      <c r="NAP225" s="1201"/>
      <c r="NAQ225" s="1201"/>
      <c r="NAR225" s="1201"/>
      <c r="NAS225" s="1201"/>
      <c r="NAT225" s="1201"/>
      <c r="NAU225" s="1201"/>
      <c r="NAV225" s="1201"/>
      <c r="NAW225" s="1201"/>
      <c r="NAX225" s="1201"/>
      <c r="NAY225" s="1201"/>
      <c r="NAZ225" s="1201"/>
      <c r="NBA225" s="1201"/>
      <c r="NBB225" s="1201"/>
      <c r="NBC225" s="1201"/>
      <c r="NBD225" s="1201"/>
      <c r="NBE225" s="1201"/>
      <c r="NBF225" s="1201"/>
      <c r="NBG225" s="1201"/>
      <c r="NBH225" s="1201"/>
      <c r="NBI225" s="1201"/>
      <c r="NBJ225" s="1201"/>
      <c r="NBK225" s="1201"/>
      <c r="NBL225" s="1201"/>
      <c r="NBM225" s="1201"/>
      <c r="NBN225" s="1201"/>
      <c r="NBO225" s="1201"/>
      <c r="NBP225" s="1201"/>
      <c r="NBQ225" s="1201"/>
      <c r="NBR225" s="1201"/>
      <c r="NBS225" s="1201"/>
      <c r="NBT225" s="1201"/>
      <c r="NBU225" s="1201"/>
      <c r="NBV225" s="1201"/>
      <c r="NBW225" s="1201"/>
      <c r="NBX225" s="1201"/>
      <c r="NBY225" s="1201"/>
      <c r="NBZ225" s="1201"/>
      <c r="NCA225" s="1201"/>
      <c r="NCB225" s="1201"/>
      <c r="NCC225" s="1201"/>
      <c r="NCD225" s="1201"/>
      <c r="NCE225" s="1201"/>
      <c r="NCF225" s="1201"/>
      <c r="NCG225" s="1201"/>
      <c r="NCH225" s="1201"/>
      <c r="NCI225" s="1201"/>
      <c r="NCJ225" s="1201"/>
      <c r="NCK225" s="1201"/>
      <c r="NCL225" s="1201"/>
      <c r="NCM225" s="1201"/>
      <c r="NCN225" s="1201"/>
      <c r="NCO225" s="1201"/>
      <c r="NCP225" s="1201"/>
      <c r="NCQ225" s="1201"/>
      <c r="NCR225" s="1201"/>
      <c r="NCS225" s="1201"/>
      <c r="NCT225" s="1201"/>
      <c r="NCU225" s="1201"/>
      <c r="NCV225" s="1201"/>
      <c r="NCW225" s="1201"/>
      <c r="NCX225" s="1201"/>
      <c r="NCY225" s="1201"/>
      <c r="NCZ225" s="1201"/>
      <c r="NDA225" s="1201"/>
      <c r="NDB225" s="1201"/>
      <c r="NDC225" s="1201"/>
      <c r="NDD225" s="1201"/>
      <c r="NDE225" s="1201"/>
      <c r="NDF225" s="1201"/>
      <c r="NDG225" s="1201"/>
      <c r="NDH225" s="1201"/>
      <c r="NDI225" s="1201"/>
      <c r="NDJ225" s="1201"/>
      <c r="NDK225" s="1201"/>
      <c r="NDL225" s="1201"/>
      <c r="NDM225" s="1201"/>
      <c r="NDN225" s="1201"/>
      <c r="NDO225" s="1201"/>
      <c r="NDP225" s="1201"/>
      <c r="NDQ225" s="1201"/>
      <c r="NDR225" s="1201"/>
      <c r="NDS225" s="1201"/>
      <c r="NDT225" s="1201"/>
      <c r="NDU225" s="1201"/>
      <c r="NDV225" s="1201"/>
      <c r="NDW225" s="1201"/>
      <c r="NDX225" s="1201"/>
      <c r="NDY225" s="1201"/>
      <c r="NDZ225" s="1201"/>
      <c r="NEA225" s="1201"/>
      <c r="NEB225" s="1201"/>
      <c r="NEC225" s="1201"/>
      <c r="NED225" s="1201"/>
      <c r="NEE225" s="1201"/>
      <c r="NEF225" s="1201"/>
      <c r="NEG225" s="1201"/>
      <c r="NEH225" s="1201"/>
      <c r="NEI225" s="1201"/>
      <c r="NEJ225" s="1201"/>
      <c r="NEK225" s="1201"/>
      <c r="NEL225" s="1201"/>
      <c r="NEM225" s="1201"/>
      <c r="NEN225" s="1201"/>
      <c r="NEO225" s="1201"/>
      <c r="NEP225" s="1201"/>
      <c r="NEQ225" s="1201"/>
      <c r="NER225" s="1201"/>
      <c r="NES225" s="1201"/>
      <c r="NET225" s="1201"/>
      <c r="NEU225" s="1201"/>
      <c r="NEV225" s="1201"/>
      <c r="NEW225" s="1201"/>
      <c r="NEX225" s="1201"/>
      <c r="NEY225" s="1201"/>
      <c r="NEZ225" s="1201"/>
      <c r="NFA225" s="1201"/>
      <c r="NFB225" s="1201"/>
      <c r="NFC225" s="1201"/>
      <c r="NFD225" s="1201"/>
      <c r="NFE225" s="1201"/>
      <c r="NFF225" s="1201"/>
      <c r="NFG225" s="1201"/>
      <c r="NFH225" s="1201"/>
      <c r="NFI225" s="1201"/>
      <c r="NFJ225" s="1201"/>
      <c r="NFK225" s="1201"/>
      <c r="NFL225" s="1201"/>
      <c r="NFM225" s="1201"/>
      <c r="NFN225" s="1201"/>
      <c r="NFO225" s="1201"/>
      <c r="NFP225" s="1201"/>
      <c r="NFQ225" s="1201"/>
      <c r="NFR225" s="1201"/>
      <c r="NFS225" s="1201"/>
      <c r="NFT225" s="1201"/>
      <c r="NFU225" s="1201"/>
      <c r="NFV225" s="1201"/>
      <c r="NFW225" s="1201"/>
      <c r="NFX225" s="1201"/>
      <c r="NFY225" s="1201"/>
      <c r="NFZ225" s="1201"/>
      <c r="NGA225" s="1201"/>
      <c r="NGB225" s="1201"/>
      <c r="NGC225" s="1201"/>
      <c r="NGD225" s="1201"/>
      <c r="NGE225" s="1201"/>
      <c r="NGF225" s="1201"/>
      <c r="NGG225" s="1201"/>
      <c r="NGH225" s="1201"/>
      <c r="NGI225" s="1201"/>
      <c r="NGJ225" s="1201"/>
      <c r="NGK225" s="1201"/>
      <c r="NGL225" s="1201"/>
      <c r="NGM225" s="1201"/>
      <c r="NGN225" s="1201"/>
      <c r="NGO225" s="1201"/>
      <c r="NGP225" s="1201"/>
      <c r="NGQ225" s="1201"/>
      <c r="NGR225" s="1201"/>
      <c r="NGS225" s="1201"/>
      <c r="NGT225" s="1201"/>
      <c r="NGU225" s="1201"/>
      <c r="NGV225" s="1201"/>
      <c r="NGW225" s="1201"/>
      <c r="NGX225" s="1201"/>
      <c r="NGY225" s="1201"/>
      <c r="NGZ225" s="1201"/>
      <c r="NHA225" s="1201"/>
      <c r="NHB225" s="1201"/>
      <c r="NHC225" s="1201"/>
      <c r="NHD225" s="1201"/>
      <c r="NHE225" s="1201"/>
      <c r="NHF225" s="1201"/>
      <c r="NHG225" s="1201"/>
      <c r="NHH225" s="1201"/>
      <c r="NHI225" s="1201"/>
      <c r="NHJ225" s="1201"/>
      <c r="NHK225" s="1201"/>
      <c r="NHL225" s="1201"/>
      <c r="NHM225" s="1201"/>
      <c r="NHN225" s="1201"/>
      <c r="NHO225" s="1201"/>
      <c r="NHP225" s="1201"/>
      <c r="NHQ225" s="1201"/>
      <c r="NHR225" s="1201"/>
      <c r="NHS225" s="1201"/>
      <c r="NHT225" s="1201"/>
      <c r="NHU225" s="1201"/>
      <c r="NHV225" s="1201"/>
      <c r="NHW225" s="1201"/>
      <c r="NHX225" s="1201"/>
      <c r="NHY225" s="1201"/>
      <c r="NHZ225" s="1201"/>
      <c r="NIA225" s="1201"/>
      <c r="NIB225" s="1201"/>
      <c r="NIC225" s="1201"/>
      <c r="NID225" s="1201"/>
      <c r="NIE225" s="1201"/>
      <c r="NIF225" s="1201"/>
      <c r="NIG225" s="1201"/>
      <c r="NIH225" s="1201"/>
      <c r="NII225" s="1201"/>
      <c r="NIJ225" s="1201"/>
      <c r="NIK225" s="1201"/>
      <c r="NIL225" s="1201"/>
      <c r="NIM225" s="1201"/>
      <c r="NIN225" s="1201"/>
      <c r="NIO225" s="1201"/>
      <c r="NIP225" s="1201"/>
      <c r="NIQ225" s="1201"/>
      <c r="NIR225" s="1201"/>
      <c r="NIS225" s="1201"/>
      <c r="NIT225" s="1201"/>
      <c r="NIU225" s="1201"/>
      <c r="NIV225" s="1201"/>
      <c r="NIW225" s="1201"/>
      <c r="NIX225" s="1201"/>
      <c r="NIY225" s="1201"/>
      <c r="NIZ225" s="1201"/>
      <c r="NJA225" s="1201"/>
      <c r="NJB225" s="1201"/>
      <c r="NJC225" s="1201"/>
      <c r="NJD225" s="1201"/>
      <c r="NJE225" s="1201"/>
      <c r="NJF225" s="1201"/>
      <c r="NJG225" s="1201"/>
      <c r="NJH225" s="1201"/>
      <c r="NJI225" s="1201"/>
      <c r="NJJ225" s="1201"/>
      <c r="NJK225" s="1201"/>
      <c r="NJL225" s="1201"/>
      <c r="NJM225" s="1201"/>
      <c r="NJN225" s="1201"/>
      <c r="NJO225" s="1201"/>
      <c r="NJP225" s="1201"/>
      <c r="NJQ225" s="1201"/>
      <c r="NJR225" s="1201"/>
      <c r="NJS225" s="1201"/>
      <c r="NJT225" s="1201"/>
      <c r="NJU225" s="1201"/>
      <c r="NJV225" s="1201"/>
      <c r="NJW225" s="1201"/>
      <c r="NJX225" s="1201"/>
      <c r="NJY225" s="1201"/>
      <c r="NJZ225" s="1201"/>
      <c r="NKA225" s="1201"/>
      <c r="NKB225" s="1201"/>
      <c r="NKC225" s="1201"/>
      <c r="NKD225" s="1201"/>
      <c r="NKE225" s="1201"/>
      <c r="NKF225" s="1201"/>
      <c r="NKG225" s="1201"/>
      <c r="NKH225" s="1201"/>
      <c r="NKI225" s="1201"/>
      <c r="NKJ225" s="1201"/>
      <c r="NKK225" s="1201"/>
      <c r="NKL225" s="1201"/>
      <c r="NKM225" s="1201"/>
      <c r="NKN225" s="1201"/>
      <c r="NKO225" s="1201"/>
      <c r="NKP225" s="1201"/>
      <c r="NKQ225" s="1201"/>
      <c r="NKR225" s="1201"/>
      <c r="NKS225" s="1201"/>
      <c r="NKT225" s="1201"/>
      <c r="NKU225" s="1201"/>
      <c r="NKV225" s="1201"/>
      <c r="NKW225" s="1201"/>
      <c r="NKX225" s="1201"/>
      <c r="NKY225" s="1201"/>
      <c r="NKZ225" s="1201"/>
      <c r="NLA225" s="1201"/>
      <c r="NLB225" s="1201"/>
      <c r="NLC225" s="1201"/>
      <c r="NLD225" s="1201"/>
      <c r="NLE225" s="1201"/>
      <c r="NLF225" s="1201"/>
      <c r="NLG225" s="1201"/>
      <c r="NLH225" s="1201"/>
      <c r="NLI225" s="1201"/>
      <c r="NLJ225" s="1201"/>
      <c r="NLK225" s="1201"/>
      <c r="NLL225" s="1201"/>
      <c r="NLM225" s="1201"/>
      <c r="NLN225" s="1201"/>
      <c r="NLO225" s="1201"/>
      <c r="NLP225" s="1201"/>
      <c r="NLQ225" s="1201"/>
      <c r="NLR225" s="1201"/>
      <c r="NLS225" s="1201"/>
      <c r="NLT225" s="1201"/>
      <c r="NLU225" s="1201"/>
      <c r="NLV225" s="1201"/>
      <c r="NLW225" s="1201"/>
      <c r="NLX225" s="1201"/>
      <c r="NLY225" s="1201"/>
      <c r="NLZ225" s="1201"/>
      <c r="NMA225" s="1201"/>
      <c r="NMB225" s="1201"/>
      <c r="NMC225" s="1201"/>
      <c r="NMD225" s="1201"/>
      <c r="NME225" s="1201"/>
      <c r="NMF225" s="1201"/>
      <c r="NMG225" s="1201"/>
      <c r="NMH225" s="1201"/>
      <c r="NMI225" s="1201"/>
      <c r="NMJ225" s="1201"/>
      <c r="NMK225" s="1201"/>
      <c r="NML225" s="1201"/>
      <c r="NMM225" s="1201"/>
      <c r="NMN225" s="1201"/>
      <c r="NMO225" s="1201"/>
      <c r="NMP225" s="1201"/>
      <c r="NMQ225" s="1201"/>
      <c r="NMR225" s="1201"/>
      <c r="NMS225" s="1201"/>
      <c r="NMT225" s="1201"/>
      <c r="NMU225" s="1201"/>
      <c r="NMV225" s="1201"/>
      <c r="NMW225" s="1201"/>
      <c r="NMX225" s="1201"/>
      <c r="NMY225" s="1201"/>
      <c r="NMZ225" s="1201"/>
      <c r="NNA225" s="1201"/>
      <c r="NNB225" s="1201"/>
      <c r="NNC225" s="1201"/>
      <c r="NND225" s="1201"/>
      <c r="NNE225" s="1201"/>
      <c r="NNF225" s="1201"/>
      <c r="NNG225" s="1201"/>
      <c r="NNH225" s="1201"/>
      <c r="NNI225" s="1201"/>
      <c r="NNJ225" s="1201"/>
      <c r="NNK225" s="1201"/>
      <c r="NNL225" s="1201"/>
      <c r="NNM225" s="1201"/>
      <c r="NNN225" s="1201"/>
      <c r="NNO225" s="1201"/>
      <c r="NNP225" s="1201"/>
      <c r="NNQ225" s="1201"/>
      <c r="NNR225" s="1201"/>
      <c r="NNS225" s="1201"/>
      <c r="NNT225" s="1201"/>
      <c r="NNU225" s="1201"/>
      <c r="NNV225" s="1201"/>
      <c r="NNW225" s="1201"/>
      <c r="NNX225" s="1201"/>
      <c r="NNY225" s="1201"/>
      <c r="NNZ225" s="1201"/>
      <c r="NOA225" s="1201"/>
      <c r="NOB225" s="1201"/>
      <c r="NOC225" s="1201"/>
      <c r="NOD225" s="1201"/>
      <c r="NOE225" s="1201"/>
      <c r="NOF225" s="1201"/>
      <c r="NOG225" s="1201"/>
      <c r="NOH225" s="1201"/>
      <c r="NOI225" s="1201"/>
      <c r="NOJ225" s="1201"/>
      <c r="NOK225" s="1201"/>
      <c r="NOL225" s="1201"/>
      <c r="NOM225" s="1201"/>
      <c r="NON225" s="1201"/>
      <c r="NOO225" s="1201"/>
      <c r="NOP225" s="1201"/>
      <c r="NOQ225" s="1201"/>
      <c r="NOR225" s="1201"/>
      <c r="NOS225" s="1201"/>
      <c r="NOT225" s="1201"/>
      <c r="NOU225" s="1201"/>
      <c r="NOV225" s="1201"/>
      <c r="NOW225" s="1201"/>
      <c r="NOX225" s="1201"/>
      <c r="NOY225" s="1201"/>
      <c r="NOZ225" s="1201"/>
      <c r="NPA225" s="1201"/>
      <c r="NPB225" s="1201"/>
      <c r="NPC225" s="1201"/>
      <c r="NPD225" s="1201"/>
      <c r="NPE225" s="1201"/>
      <c r="NPF225" s="1201"/>
      <c r="NPG225" s="1201"/>
      <c r="NPH225" s="1201"/>
      <c r="NPI225" s="1201"/>
      <c r="NPJ225" s="1201"/>
      <c r="NPK225" s="1201"/>
      <c r="NPL225" s="1201"/>
      <c r="NPM225" s="1201"/>
      <c r="NPN225" s="1201"/>
      <c r="NPO225" s="1201"/>
      <c r="NPP225" s="1201"/>
      <c r="NPQ225" s="1201"/>
      <c r="NPR225" s="1201"/>
      <c r="NPS225" s="1201"/>
      <c r="NPT225" s="1201"/>
      <c r="NPU225" s="1201"/>
      <c r="NPV225" s="1201"/>
      <c r="NPW225" s="1201"/>
      <c r="NPX225" s="1201"/>
      <c r="NPY225" s="1201"/>
      <c r="NPZ225" s="1201"/>
      <c r="NQA225" s="1201"/>
      <c r="NQB225" s="1201"/>
      <c r="NQC225" s="1201"/>
      <c r="NQD225" s="1201"/>
      <c r="NQE225" s="1201"/>
      <c r="NQF225" s="1201"/>
      <c r="NQG225" s="1201"/>
      <c r="NQH225" s="1201"/>
      <c r="NQI225" s="1201"/>
      <c r="NQJ225" s="1201"/>
      <c r="NQK225" s="1201"/>
      <c r="NQL225" s="1201"/>
      <c r="NQM225" s="1201"/>
      <c r="NQN225" s="1201"/>
      <c r="NQO225" s="1201"/>
      <c r="NQP225" s="1201"/>
      <c r="NQQ225" s="1201"/>
      <c r="NQR225" s="1201"/>
      <c r="NQS225" s="1201"/>
      <c r="NQT225" s="1201"/>
      <c r="NQU225" s="1201"/>
      <c r="NQV225" s="1201"/>
      <c r="NQW225" s="1201"/>
      <c r="NQX225" s="1201"/>
      <c r="NQY225" s="1201"/>
      <c r="NQZ225" s="1201"/>
      <c r="NRA225" s="1201"/>
      <c r="NRB225" s="1201"/>
      <c r="NRC225" s="1201"/>
      <c r="NRD225" s="1201"/>
      <c r="NRE225" s="1201"/>
      <c r="NRF225" s="1201"/>
      <c r="NRG225" s="1201"/>
      <c r="NRH225" s="1201"/>
      <c r="NRI225" s="1201"/>
      <c r="NRJ225" s="1201"/>
      <c r="NRK225" s="1201"/>
      <c r="NRL225" s="1201"/>
      <c r="NRM225" s="1201"/>
      <c r="NRN225" s="1201"/>
      <c r="NRO225" s="1201"/>
      <c r="NRP225" s="1201"/>
      <c r="NRQ225" s="1201"/>
      <c r="NRR225" s="1201"/>
      <c r="NRS225" s="1201"/>
      <c r="NRT225" s="1201"/>
      <c r="NRU225" s="1201"/>
      <c r="NRV225" s="1201"/>
      <c r="NRW225" s="1201"/>
      <c r="NRX225" s="1201"/>
      <c r="NRY225" s="1201"/>
      <c r="NRZ225" s="1201"/>
      <c r="NSA225" s="1201"/>
      <c r="NSB225" s="1201"/>
      <c r="NSC225" s="1201"/>
      <c r="NSD225" s="1201"/>
      <c r="NSE225" s="1201"/>
      <c r="NSF225" s="1201"/>
      <c r="NSG225" s="1201"/>
      <c r="NSH225" s="1201"/>
      <c r="NSI225" s="1201"/>
      <c r="NSJ225" s="1201"/>
      <c r="NSK225" s="1201"/>
      <c r="NSL225" s="1201"/>
      <c r="NSM225" s="1201"/>
      <c r="NSN225" s="1201"/>
      <c r="NSO225" s="1201"/>
      <c r="NSP225" s="1201"/>
      <c r="NSQ225" s="1201"/>
      <c r="NSR225" s="1201"/>
      <c r="NSS225" s="1201"/>
      <c r="NST225" s="1201"/>
      <c r="NSU225" s="1201"/>
      <c r="NSV225" s="1201"/>
      <c r="NSW225" s="1201"/>
      <c r="NSX225" s="1201"/>
      <c r="NSY225" s="1201"/>
      <c r="NSZ225" s="1201"/>
      <c r="NTA225" s="1201"/>
      <c r="NTB225" s="1201"/>
      <c r="NTC225" s="1201"/>
      <c r="NTD225" s="1201"/>
      <c r="NTE225" s="1201"/>
      <c r="NTF225" s="1201"/>
      <c r="NTG225" s="1201"/>
      <c r="NTH225" s="1201"/>
      <c r="NTI225" s="1201"/>
      <c r="NTJ225" s="1201"/>
      <c r="NTK225" s="1201"/>
      <c r="NTL225" s="1201"/>
      <c r="NTM225" s="1201"/>
      <c r="NTN225" s="1201"/>
      <c r="NTO225" s="1201"/>
      <c r="NTP225" s="1201"/>
      <c r="NTQ225" s="1201"/>
      <c r="NTR225" s="1201"/>
      <c r="NTS225" s="1201"/>
      <c r="NTT225" s="1201"/>
      <c r="NTU225" s="1201"/>
      <c r="NTV225" s="1201"/>
      <c r="NTW225" s="1201"/>
      <c r="NTX225" s="1201"/>
      <c r="NTY225" s="1201"/>
      <c r="NTZ225" s="1201"/>
      <c r="NUA225" s="1201"/>
      <c r="NUB225" s="1201"/>
      <c r="NUC225" s="1201"/>
      <c r="NUD225" s="1201"/>
      <c r="NUE225" s="1201"/>
      <c r="NUF225" s="1201"/>
      <c r="NUG225" s="1201"/>
      <c r="NUH225" s="1201"/>
      <c r="NUI225" s="1201"/>
      <c r="NUJ225" s="1201"/>
      <c r="NUK225" s="1201"/>
      <c r="NUL225" s="1201"/>
      <c r="NUM225" s="1201"/>
      <c r="NUN225" s="1201"/>
      <c r="NUO225" s="1201"/>
      <c r="NUP225" s="1201"/>
      <c r="NUQ225" s="1201"/>
      <c r="NUR225" s="1201"/>
      <c r="NUS225" s="1201"/>
      <c r="NUT225" s="1201"/>
      <c r="NUU225" s="1201"/>
      <c r="NUV225" s="1201"/>
      <c r="NUW225" s="1201"/>
      <c r="NUX225" s="1201"/>
      <c r="NUY225" s="1201"/>
      <c r="NUZ225" s="1201"/>
      <c r="NVA225" s="1201"/>
      <c r="NVB225" s="1201"/>
      <c r="NVC225" s="1201"/>
      <c r="NVD225" s="1201"/>
      <c r="NVE225" s="1201"/>
      <c r="NVF225" s="1201"/>
      <c r="NVG225" s="1201"/>
      <c r="NVH225" s="1201"/>
      <c r="NVI225" s="1201"/>
      <c r="NVJ225" s="1201"/>
      <c r="NVK225" s="1201"/>
      <c r="NVL225" s="1201"/>
      <c r="NVM225" s="1201"/>
      <c r="NVN225" s="1201"/>
      <c r="NVO225" s="1201"/>
      <c r="NVP225" s="1201"/>
      <c r="NVQ225" s="1201"/>
      <c r="NVR225" s="1201"/>
      <c r="NVS225" s="1201"/>
      <c r="NVT225" s="1201"/>
      <c r="NVU225" s="1201"/>
      <c r="NVV225" s="1201"/>
      <c r="NVW225" s="1201"/>
      <c r="NVX225" s="1201"/>
      <c r="NVY225" s="1201"/>
      <c r="NVZ225" s="1201"/>
      <c r="NWA225" s="1201"/>
      <c r="NWB225" s="1201"/>
      <c r="NWC225" s="1201"/>
      <c r="NWD225" s="1201"/>
      <c r="NWE225" s="1201"/>
      <c r="NWF225" s="1201"/>
      <c r="NWG225" s="1201"/>
      <c r="NWH225" s="1201"/>
      <c r="NWI225" s="1201"/>
      <c r="NWJ225" s="1201"/>
      <c r="NWK225" s="1201"/>
      <c r="NWL225" s="1201"/>
      <c r="NWM225" s="1201"/>
      <c r="NWN225" s="1201"/>
      <c r="NWO225" s="1201"/>
      <c r="NWP225" s="1201"/>
      <c r="NWQ225" s="1201"/>
      <c r="NWR225" s="1201"/>
      <c r="NWS225" s="1201"/>
      <c r="NWT225" s="1201"/>
      <c r="NWU225" s="1201"/>
      <c r="NWV225" s="1201"/>
      <c r="NWW225" s="1201"/>
      <c r="NWX225" s="1201"/>
      <c r="NWY225" s="1201"/>
      <c r="NWZ225" s="1201"/>
      <c r="NXA225" s="1201"/>
      <c r="NXB225" s="1201"/>
      <c r="NXC225" s="1201"/>
      <c r="NXD225" s="1201"/>
      <c r="NXE225" s="1201"/>
      <c r="NXF225" s="1201"/>
      <c r="NXG225" s="1201"/>
      <c r="NXH225" s="1201"/>
      <c r="NXI225" s="1201"/>
      <c r="NXJ225" s="1201"/>
      <c r="NXK225" s="1201"/>
      <c r="NXL225" s="1201"/>
      <c r="NXM225" s="1201"/>
      <c r="NXN225" s="1201"/>
      <c r="NXO225" s="1201"/>
      <c r="NXP225" s="1201"/>
      <c r="NXQ225" s="1201"/>
      <c r="NXR225" s="1201"/>
      <c r="NXS225" s="1201"/>
      <c r="NXT225" s="1201"/>
      <c r="NXU225" s="1201"/>
      <c r="NXV225" s="1201"/>
      <c r="NXW225" s="1201"/>
      <c r="NXX225" s="1201"/>
      <c r="NXY225" s="1201"/>
      <c r="NXZ225" s="1201"/>
      <c r="NYA225" s="1201"/>
      <c r="NYB225" s="1201"/>
      <c r="NYC225" s="1201"/>
      <c r="NYD225" s="1201"/>
      <c r="NYE225" s="1201"/>
      <c r="NYF225" s="1201"/>
      <c r="NYG225" s="1201"/>
      <c r="NYH225" s="1201"/>
      <c r="NYI225" s="1201"/>
      <c r="NYJ225" s="1201"/>
      <c r="NYK225" s="1201"/>
      <c r="NYL225" s="1201"/>
      <c r="NYM225" s="1201"/>
      <c r="NYN225" s="1201"/>
      <c r="NYO225" s="1201"/>
      <c r="NYP225" s="1201"/>
      <c r="NYQ225" s="1201"/>
      <c r="NYR225" s="1201"/>
      <c r="NYS225" s="1201"/>
      <c r="NYT225" s="1201"/>
      <c r="NYU225" s="1201"/>
      <c r="NYV225" s="1201"/>
      <c r="NYW225" s="1201"/>
      <c r="NYX225" s="1201"/>
      <c r="NYY225" s="1201"/>
      <c r="NYZ225" s="1201"/>
      <c r="NZA225" s="1201"/>
      <c r="NZB225" s="1201"/>
      <c r="NZC225" s="1201"/>
      <c r="NZD225" s="1201"/>
      <c r="NZE225" s="1201"/>
      <c r="NZF225" s="1201"/>
      <c r="NZG225" s="1201"/>
      <c r="NZH225" s="1201"/>
      <c r="NZI225" s="1201"/>
      <c r="NZJ225" s="1201"/>
      <c r="NZK225" s="1201"/>
      <c r="NZL225" s="1201"/>
      <c r="NZM225" s="1201"/>
      <c r="NZN225" s="1201"/>
      <c r="NZO225" s="1201"/>
      <c r="NZP225" s="1201"/>
      <c r="NZQ225" s="1201"/>
      <c r="NZR225" s="1201"/>
      <c r="NZS225" s="1201"/>
      <c r="NZT225" s="1201"/>
      <c r="NZU225" s="1201"/>
      <c r="NZV225" s="1201"/>
      <c r="NZW225" s="1201"/>
      <c r="NZX225" s="1201"/>
      <c r="NZY225" s="1201"/>
      <c r="NZZ225" s="1201"/>
      <c r="OAA225" s="1201"/>
      <c r="OAB225" s="1201"/>
      <c r="OAC225" s="1201"/>
      <c r="OAD225" s="1201"/>
      <c r="OAE225" s="1201"/>
      <c r="OAF225" s="1201"/>
      <c r="OAG225" s="1201"/>
      <c r="OAH225" s="1201"/>
      <c r="OAI225" s="1201"/>
      <c r="OAJ225" s="1201"/>
      <c r="OAK225" s="1201"/>
      <c r="OAL225" s="1201"/>
      <c r="OAM225" s="1201"/>
      <c r="OAN225" s="1201"/>
      <c r="OAO225" s="1201"/>
      <c r="OAP225" s="1201"/>
      <c r="OAQ225" s="1201"/>
      <c r="OAR225" s="1201"/>
      <c r="OAS225" s="1201"/>
      <c r="OAT225" s="1201"/>
      <c r="OAU225" s="1201"/>
      <c r="OAV225" s="1201"/>
      <c r="OAW225" s="1201"/>
      <c r="OAX225" s="1201"/>
      <c r="OAY225" s="1201"/>
      <c r="OAZ225" s="1201"/>
      <c r="OBA225" s="1201"/>
      <c r="OBB225" s="1201"/>
      <c r="OBC225" s="1201"/>
      <c r="OBD225" s="1201"/>
      <c r="OBE225" s="1201"/>
      <c r="OBF225" s="1201"/>
      <c r="OBG225" s="1201"/>
      <c r="OBH225" s="1201"/>
      <c r="OBI225" s="1201"/>
      <c r="OBJ225" s="1201"/>
      <c r="OBK225" s="1201"/>
      <c r="OBL225" s="1201"/>
      <c r="OBM225" s="1201"/>
      <c r="OBN225" s="1201"/>
      <c r="OBO225" s="1201"/>
      <c r="OBP225" s="1201"/>
      <c r="OBQ225" s="1201"/>
      <c r="OBR225" s="1201"/>
      <c r="OBS225" s="1201"/>
      <c r="OBT225" s="1201"/>
      <c r="OBU225" s="1201"/>
      <c r="OBV225" s="1201"/>
      <c r="OBW225" s="1201"/>
      <c r="OBX225" s="1201"/>
      <c r="OBY225" s="1201"/>
      <c r="OBZ225" s="1201"/>
      <c r="OCA225" s="1201"/>
      <c r="OCB225" s="1201"/>
      <c r="OCC225" s="1201"/>
      <c r="OCD225" s="1201"/>
      <c r="OCE225" s="1201"/>
      <c r="OCF225" s="1201"/>
      <c r="OCG225" s="1201"/>
      <c r="OCH225" s="1201"/>
      <c r="OCI225" s="1201"/>
      <c r="OCJ225" s="1201"/>
      <c r="OCK225" s="1201"/>
      <c r="OCL225" s="1201"/>
      <c r="OCM225" s="1201"/>
      <c r="OCN225" s="1201"/>
      <c r="OCO225" s="1201"/>
      <c r="OCP225" s="1201"/>
      <c r="OCQ225" s="1201"/>
      <c r="OCR225" s="1201"/>
      <c r="OCS225" s="1201"/>
      <c r="OCT225" s="1201"/>
      <c r="OCU225" s="1201"/>
      <c r="OCV225" s="1201"/>
      <c r="OCW225" s="1201"/>
      <c r="OCX225" s="1201"/>
      <c r="OCY225" s="1201"/>
      <c r="OCZ225" s="1201"/>
      <c r="ODA225" s="1201"/>
      <c r="ODB225" s="1201"/>
      <c r="ODC225" s="1201"/>
      <c r="ODD225" s="1201"/>
      <c r="ODE225" s="1201"/>
      <c r="ODF225" s="1201"/>
      <c r="ODG225" s="1201"/>
      <c r="ODH225" s="1201"/>
      <c r="ODI225" s="1201"/>
      <c r="ODJ225" s="1201"/>
      <c r="ODK225" s="1201"/>
      <c r="ODL225" s="1201"/>
      <c r="ODM225" s="1201"/>
      <c r="ODN225" s="1201"/>
      <c r="ODO225" s="1201"/>
      <c r="ODP225" s="1201"/>
      <c r="ODQ225" s="1201"/>
      <c r="ODR225" s="1201"/>
      <c r="ODS225" s="1201"/>
      <c r="ODT225" s="1201"/>
      <c r="ODU225" s="1201"/>
      <c r="ODV225" s="1201"/>
      <c r="ODW225" s="1201"/>
      <c r="ODX225" s="1201"/>
      <c r="ODY225" s="1201"/>
      <c r="ODZ225" s="1201"/>
      <c r="OEA225" s="1201"/>
      <c r="OEB225" s="1201"/>
      <c r="OEC225" s="1201"/>
      <c r="OED225" s="1201"/>
      <c r="OEE225" s="1201"/>
      <c r="OEF225" s="1201"/>
      <c r="OEG225" s="1201"/>
      <c r="OEH225" s="1201"/>
      <c r="OEI225" s="1201"/>
      <c r="OEJ225" s="1201"/>
      <c r="OEK225" s="1201"/>
      <c r="OEL225" s="1201"/>
      <c r="OEM225" s="1201"/>
      <c r="OEN225" s="1201"/>
      <c r="OEO225" s="1201"/>
      <c r="OEP225" s="1201"/>
      <c r="OEQ225" s="1201"/>
      <c r="OER225" s="1201"/>
      <c r="OES225" s="1201"/>
      <c r="OET225" s="1201"/>
      <c r="OEU225" s="1201"/>
      <c r="OEV225" s="1201"/>
      <c r="OEW225" s="1201"/>
      <c r="OEX225" s="1201"/>
      <c r="OEY225" s="1201"/>
      <c r="OEZ225" s="1201"/>
      <c r="OFA225" s="1201"/>
      <c r="OFB225" s="1201"/>
      <c r="OFC225" s="1201"/>
      <c r="OFD225" s="1201"/>
      <c r="OFE225" s="1201"/>
      <c r="OFF225" s="1201"/>
      <c r="OFG225" s="1201"/>
      <c r="OFH225" s="1201"/>
      <c r="OFI225" s="1201"/>
      <c r="OFJ225" s="1201"/>
      <c r="OFK225" s="1201"/>
      <c r="OFL225" s="1201"/>
      <c r="OFM225" s="1201"/>
      <c r="OFN225" s="1201"/>
      <c r="OFO225" s="1201"/>
      <c r="OFP225" s="1201"/>
      <c r="OFQ225" s="1201"/>
      <c r="OFR225" s="1201"/>
      <c r="OFS225" s="1201"/>
      <c r="OFT225" s="1201"/>
      <c r="OFU225" s="1201"/>
      <c r="OFV225" s="1201"/>
      <c r="OFW225" s="1201"/>
      <c r="OFX225" s="1201"/>
      <c r="OFY225" s="1201"/>
      <c r="OFZ225" s="1201"/>
      <c r="OGA225" s="1201"/>
      <c r="OGB225" s="1201"/>
      <c r="OGC225" s="1201"/>
      <c r="OGD225" s="1201"/>
      <c r="OGE225" s="1201"/>
      <c r="OGF225" s="1201"/>
      <c r="OGG225" s="1201"/>
      <c r="OGH225" s="1201"/>
      <c r="OGI225" s="1201"/>
      <c r="OGJ225" s="1201"/>
      <c r="OGK225" s="1201"/>
      <c r="OGL225" s="1201"/>
      <c r="OGM225" s="1201"/>
      <c r="OGN225" s="1201"/>
      <c r="OGO225" s="1201"/>
      <c r="OGP225" s="1201"/>
      <c r="OGQ225" s="1201"/>
      <c r="OGR225" s="1201"/>
      <c r="OGS225" s="1201"/>
      <c r="OGT225" s="1201"/>
      <c r="OGU225" s="1201"/>
      <c r="OGV225" s="1201"/>
      <c r="OGW225" s="1201"/>
      <c r="OGX225" s="1201"/>
      <c r="OGY225" s="1201"/>
      <c r="OGZ225" s="1201"/>
      <c r="OHA225" s="1201"/>
      <c r="OHB225" s="1201"/>
      <c r="OHC225" s="1201"/>
      <c r="OHD225" s="1201"/>
      <c r="OHE225" s="1201"/>
      <c r="OHF225" s="1201"/>
      <c r="OHG225" s="1201"/>
      <c r="OHH225" s="1201"/>
      <c r="OHI225" s="1201"/>
      <c r="OHJ225" s="1201"/>
      <c r="OHK225" s="1201"/>
      <c r="OHL225" s="1201"/>
      <c r="OHM225" s="1201"/>
      <c r="OHN225" s="1201"/>
      <c r="OHO225" s="1201"/>
      <c r="OHP225" s="1201"/>
      <c r="OHQ225" s="1201"/>
      <c r="OHR225" s="1201"/>
      <c r="OHS225" s="1201"/>
      <c r="OHT225" s="1201"/>
      <c r="OHU225" s="1201"/>
      <c r="OHV225" s="1201"/>
      <c r="OHW225" s="1201"/>
      <c r="OHX225" s="1201"/>
      <c r="OHY225" s="1201"/>
      <c r="OHZ225" s="1201"/>
      <c r="OIA225" s="1201"/>
      <c r="OIB225" s="1201"/>
      <c r="OIC225" s="1201"/>
      <c r="OID225" s="1201"/>
      <c r="OIE225" s="1201"/>
      <c r="OIF225" s="1201"/>
      <c r="OIG225" s="1201"/>
      <c r="OIH225" s="1201"/>
      <c r="OII225" s="1201"/>
      <c r="OIJ225" s="1201"/>
      <c r="OIK225" s="1201"/>
      <c r="OIL225" s="1201"/>
      <c r="OIM225" s="1201"/>
      <c r="OIN225" s="1201"/>
      <c r="OIO225" s="1201"/>
      <c r="OIP225" s="1201"/>
      <c r="OIQ225" s="1201"/>
      <c r="OIR225" s="1201"/>
      <c r="OIS225" s="1201"/>
      <c r="OIT225" s="1201"/>
      <c r="OIU225" s="1201"/>
      <c r="OIV225" s="1201"/>
      <c r="OIW225" s="1201"/>
      <c r="OIX225" s="1201"/>
      <c r="OIY225" s="1201"/>
      <c r="OIZ225" s="1201"/>
      <c r="OJA225" s="1201"/>
      <c r="OJB225" s="1201"/>
      <c r="OJC225" s="1201"/>
      <c r="OJD225" s="1201"/>
      <c r="OJE225" s="1201"/>
      <c r="OJF225" s="1201"/>
      <c r="OJG225" s="1201"/>
      <c r="OJH225" s="1201"/>
      <c r="OJI225" s="1201"/>
      <c r="OJJ225" s="1201"/>
      <c r="OJK225" s="1201"/>
      <c r="OJL225" s="1201"/>
      <c r="OJM225" s="1201"/>
      <c r="OJN225" s="1201"/>
      <c r="OJO225" s="1201"/>
      <c r="OJP225" s="1201"/>
      <c r="OJQ225" s="1201"/>
      <c r="OJR225" s="1201"/>
      <c r="OJS225" s="1201"/>
      <c r="OJT225" s="1201"/>
      <c r="OJU225" s="1201"/>
      <c r="OJV225" s="1201"/>
      <c r="OJW225" s="1201"/>
      <c r="OJX225" s="1201"/>
      <c r="OJY225" s="1201"/>
      <c r="OJZ225" s="1201"/>
      <c r="OKA225" s="1201"/>
      <c r="OKB225" s="1201"/>
      <c r="OKC225" s="1201"/>
      <c r="OKD225" s="1201"/>
      <c r="OKE225" s="1201"/>
      <c r="OKF225" s="1201"/>
      <c r="OKG225" s="1201"/>
      <c r="OKH225" s="1201"/>
      <c r="OKI225" s="1201"/>
      <c r="OKJ225" s="1201"/>
      <c r="OKK225" s="1201"/>
      <c r="OKL225" s="1201"/>
      <c r="OKM225" s="1201"/>
      <c r="OKN225" s="1201"/>
      <c r="OKO225" s="1201"/>
      <c r="OKP225" s="1201"/>
      <c r="OKQ225" s="1201"/>
      <c r="OKR225" s="1201"/>
      <c r="OKS225" s="1201"/>
      <c r="OKT225" s="1201"/>
      <c r="OKU225" s="1201"/>
      <c r="OKV225" s="1201"/>
      <c r="OKW225" s="1201"/>
      <c r="OKX225" s="1201"/>
      <c r="OKY225" s="1201"/>
      <c r="OKZ225" s="1201"/>
      <c r="OLA225" s="1201"/>
      <c r="OLB225" s="1201"/>
      <c r="OLC225" s="1201"/>
      <c r="OLD225" s="1201"/>
      <c r="OLE225" s="1201"/>
      <c r="OLF225" s="1201"/>
      <c r="OLG225" s="1201"/>
      <c r="OLH225" s="1201"/>
      <c r="OLI225" s="1201"/>
      <c r="OLJ225" s="1201"/>
      <c r="OLK225" s="1201"/>
      <c r="OLL225" s="1201"/>
      <c r="OLM225" s="1201"/>
      <c r="OLN225" s="1201"/>
      <c r="OLO225" s="1201"/>
      <c r="OLP225" s="1201"/>
      <c r="OLQ225" s="1201"/>
      <c r="OLR225" s="1201"/>
      <c r="OLS225" s="1201"/>
      <c r="OLT225" s="1201"/>
      <c r="OLU225" s="1201"/>
      <c r="OLV225" s="1201"/>
      <c r="OLW225" s="1201"/>
      <c r="OLX225" s="1201"/>
      <c r="OLY225" s="1201"/>
      <c r="OLZ225" s="1201"/>
      <c r="OMA225" s="1201"/>
      <c r="OMB225" s="1201"/>
      <c r="OMC225" s="1201"/>
      <c r="OMD225" s="1201"/>
      <c r="OME225" s="1201"/>
      <c r="OMF225" s="1201"/>
      <c r="OMG225" s="1201"/>
      <c r="OMH225" s="1201"/>
      <c r="OMI225" s="1201"/>
      <c r="OMJ225" s="1201"/>
      <c r="OMK225" s="1201"/>
      <c r="OML225" s="1201"/>
      <c r="OMM225" s="1201"/>
      <c r="OMN225" s="1201"/>
      <c r="OMO225" s="1201"/>
      <c r="OMP225" s="1201"/>
      <c r="OMQ225" s="1201"/>
      <c r="OMR225" s="1201"/>
      <c r="OMS225" s="1201"/>
      <c r="OMT225" s="1201"/>
      <c r="OMU225" s="1201"/>
      <c r="OMV225" s="1201"/>
      <c r="OMW225" s="1201"/>
      <c r="OMX225" s="1201"/>
      <c r="OMY225" s="1201"/>
      <c r="OMZ225" s="1201"/>
      <c r="ONA225" s="1201"/>
      <c r="ONB225" s="1201"/>
      <c r="ONC225" s="1201"/>
      <c r="OND225" s="1201"/>
      <c r="ONE225" s="1201"/>
      <c r="ONF225" s="1201"/>
      <c r="ONG225" s="1201"/>
      <c r="ONH225" s="1201"/>
      <c r="ONI225" s="1201"/>
      <c r="ONJ225" s="1201"/>
      <c r="ONK225" s="1201"/>
      <c r="ONL225" s="1201"/>
      <c r="ONM225" s="1201"/>
      <c r="ONN225" s="1201"/>
      <c r="ONO225" s="1201"/>
      <c r="ONP225" s="1201"/>
      <c r="ONQ225" s="1201"/>
      <c r="ONR225" s="1201"/>
      <c r="ONS225" s="1201"/>
      <c r="ONT225" s="1201"/>
      <c r="ONU225" s="1201"/>
      <c r="ONV225" s="1201"/>
      <c r="ONW225" s="1201"/>
      <c r="ONX225" s="1201"/>
      <c r="ONY225" s="1201"/>
      <c r="ONZ225" s="1201"/>
      <c r="OOA225" s="1201"/>
      <c r="OOB225" s="1201"/>
      <c r="OOC225" s="1201"/>
      <c r="OOD225" s="1201"/>
      <c r="OOE225" s="1201"/>
      <c r="OOF225" s="1201"/>
      <c r="OOG225" s="1201"/>
      <c r="OOH225" s="1201"/>
      <c r="OOI225" s="1201"/>
      <c r="OOJ225" s="1201"/>
      <c r="OOK225" s="1201"/>
      <c r="OOL225" s="1201"/>
      <c r="OOM225" s="1201"/>
      <c r="OON225" s="1201"/>
      <c r="OOO225" s="1201"/>
      <c r="OOP225" s="1201"/>
      <c r="OOQ225" s="1201"/>
      <c r="OOR225" s="1201"/>
      <c r="OOS225" s="1201"/>
      <c r="OOT225" s="1201"/>
      <c r="OOU225" s="1201"/>
      <c r="OOV225" s="1201"/>
      <c r="OOW225" s="1201"/>
      <c r="OOX225" s="1201"/>
      <c r="OOY225" s="1201"/>
      <c r="OOZ225" s="1201"/>
      <c r="OPA225" s="1201"/>
      <c r="OPB225" s="1201"/>
      <c r="OPC225" s="1201"/>
      <c r="OPD225" s="1201"/>
      <c r="OPE225" s="1201"/>
      <c r="OPF225" s="1201"/>
      <c r="OPG225" s="1201"/>
      <c r="OPH225" s="1201"/>
      <c r="OPI225" s="1201"/>
      <c r="OPJ225" s="1201"/>
      <c r="OPK225" s="1201"/>
      <c r="OPL225" s="1201"/>
      <c r="OPM225" s="1201"/>
      <c r="OPN225" s="1201"/>
      <c r="OPO225" s="1201"/>
      <c r="OPP225" s="1201"/>
      <c r="OPQ225" s="1201"/>
      <c r="OPR225" s="1201"/>
      <c r="OPS225" s="1201"/>
      <c r="OPT225" s="1201"/>
      <c r="OPU225" s="1201"/>
      <c r="OPV225" s="1201"/>
      <c r="OPW225" s="1201"/>
      <c r="OPX225" s="1201"/>
      <c r="OPY225" s="1201"/>
      <c r="OPZ225" s="1201"/>
      <c r="OQA225" s="1201"/>
      <c r="OQB225" s="1201"/>
      <c r="OQC225" s="1201"/>
      <c r="OQD225" s="1201"/>
      <c r="OQE225" s="1201"/>
      <c r="OQF225" s="1201"/>
      <c r="OQG225" s="1201"/>
      <c r="OQH225" s="1201"/>
      <c r="OQI225" s="1201"/>
      <c r="OQJ225" s="1201"/>
      <c r="OQK225" s="1201"/>
      <c r="OQL225" s="1201"/>
      <c r="OQM225" s="1201"/>
      <c r="OQN225" s="1201"/>
      <c r="OQO225" s="1201"/>
      <c r="OQP225" s="1201"/>
      <c r="OQQ225" s="1201"/>
      <c r="OQR225" s="1201"/>
      <c r="OQS225" s="1201"/>
      <c r="OQT225" s="1201"/>
      <c r="OQU225" s="1201"/>
      <c r="OQV225" s="1201"/>
      <c r="OQW225" s="1201"/>
      <c r="OQX225" s="1201"/>
      <c r="OQY225" s="1201"/>
      <c r="OQZ225" s="1201"/>
      <c r="ORA225" s="1201"/>
      <c r="ORB225" s="1201"/>
      <c r="ORC225" s="1201"/>
      <c r="ORD225" s="1201"/>
      <c r="ORE225" s="1201"/>
      <c r="ORF225" s="1201"/>
      <c r="ORG225" s="1201"/>
      <c r="ORH225" s="1201"/>
      <c r="ORI225" s="1201"/>
      <c r="ORJ225" s="1201"/>
      <c r="ORK225" s="1201"/>
      <c r="ORL225" s="1201"/>
      <c r="ORM225" s="1201"/>
      <c r="ORN225" s="1201"/>
      <c r="ORO225" s="1201"/>
      <c r="ORP225" s="1201"/>
      <c r="ORQ225" s="1201"/>
      <c r="ORR225" s="1201"/>
      <c r="ORS225" s="1201"/>
      <c r="ORT225" s="1201"/>
      <c r="ORU225" s="1201"/>
      <c r="ORV225" s="1201"/>
      <c r="ORW225" s="1201"/>
      <c r="ORX225" s="1201"/>
      <c r="ORY225" s="1201"/>
      <c r="ORZ225" s="1201"/>
      <c r="OSA225" s="1201"/>
      <c r="OSB225" s="1201"/>
      <c r="OSC225" s="1201"/>
      <c r="OSD225" s="1201"/>
      <c r="OSE225" s="1201"/>
      <c r="OSF225" s="1201"/>
      <c r="OSG225" s="1201"/>
      <c r="OSH225" s="1201"/>
      <c r="OSI225" s="1201"/>
      <c r="OSJ225" s="1201"/>
      <c r="OSK225" s="1201"/>
      <c r="OSL225" s="1201"/>
      <c r="OSM225" s="1201"/>
      <c r="OSN225" s="1201"/>
      <c r="OSO225" s="1201"/>
      <c r="OSP225" s="1201"/>
      <c r="OSQ225" s="1201"/>
      <c r="OSR225" s="1201"/>
      <c r="OSS225" s="1201"/>
      <c r="OST225" s="1201"/>
      <c r="OSU225" s="1201"/>
      <c r="OSV225" s="1201"/>
      <c r="OSW225" s="1201"/>
      <c r="OSX225" s="1201"/>
      <c r="OSY225" s="1201"/>
      <c r="OSZ225" s="1201"/>
      <c r="OTA225" s="1201"/>
      <c r="OTB225" s="1201"/>
      <c r="OTC225" s="1201"/>
      <c r="OTD225" s="1201"/>
      <c r="OTE225" s="1201"/>
      <c r="OTF225" s="1201"/>
      <c r="OTG225" s="1201"/>
      <c r="OTH225" s="1201"/>
      <c r="OTI225" s="1201"/>
      <c r="OTJ225" s="1201"/>
      <c r="OTK225" s="1201"/>
      <c r="OTL225" s="1201"/>
      <c r="OTM225" s="1201"/>
      <c r="OTN225" s="1201"/>
      <c r="OTO225" s="1201"/>
      <c r="OTP225" s="1201"/>
      <c r="OTQ225" s="1201"/>
      <c r="OTR225" s="1201"/>
      <c r="OTS225" s="1201"/>
      <c r="OTT225" s="1201"/>
      <c r="OTU225" s="1201"/>
      <c r="OTV225" s="1201"/>
      <c r="OTW225" s="1201"/>
      <c r="OTX225" s="1201"/>
      <c r="OTY225" s="1201"/>
      <c r="OTZ225" s="1201"/>
      <c r="OUA225" s="1201"/>
      <c r="OUB225" s="1201"/>
      <c r="OUC225" s="1201"/>
      <c r="OUD225" s="1201"/>
      <c r="OUE225" s="1201"/>
      <c r="OUF225" s="1201"/>
      <c r="OUG225" s="1201"/>
      <c r="OUH225" s="1201"/>
      <c r="OUI225" s="1201"/>
      <c r="OUJ225" s="1201"/>
      <c r="OUK225" s="1201"/>
      <c r="OUL225" s="1201"/>
      <c r="OUM225" s="1201"/>
      <c r="OUN225" s="1201"/>
      <c r="OUO225" s="1201"/>
      <c r="OUP225" s="1201"/>
      <c r="OUQ225" s="1201"/>
      <c r="OUR225" s="1201"/>
      <c r="OUS225" s="1201"/>
      <c r="OUT225" s="1201"/>
      <c r="OUU225" s="1201"/>
      <c r="OUV225" s="1201"/>
      <c r="OUW225" s="1201"/>
      <c r="OUX225" s="1201"/>
      <c r="OUY225" s="1201"/>
      <c r="OUZ225" s="1201"/>
      <c r="OVA225" s="1201"/>
      <c r="OVB225" s="1201"/>
      <c r="OVC225" s="1201"/>
      <c r="OVD225" s="1201"/>
      <c r="OVE225" s="1201"/>
      <c r="OVF225" s="1201"/>
      <c r="OVG225" s="1201"/>
      <c r="OVH225" s="1201"/>
      <c r="OVI225" s="1201"/>
      <c r="OVJ225" s="1201"/>
      <c r="OVK225" s="1201"/>
      <c r="OVL225" s="1201"/>
      <c r="OVM225" s="1201"/>
      <c r="OVN225" s="1201"/>
      <c r="OVO225" s="1201"/>
      <c r="OVP225" s="1201"/>
      <c r="OVQ225" s="1201"/>
      <c r="OVR225" s="1201"/>
      <c r="OVS225" s="1201"/>
      <c r="OVT225" s="1201"/>
      <c r="OVU225" s="1201"/>
      <c r="OVV225" s="1201"/>
      <c r="OVW225" s="1201"/>
      <c r="OVX225" s="1201"/>
      <c r="OVY225" s="1201"/>
      <c r="OVZ225" s="1201"/>
      <c r="OWA225" s="1201"/>
      <c r="OWB225" s="1201"/>
      <c r="OWC225" s="1201"/>
      <c r="OWD225" s="1201"/>
      <c r="OWE225" s="1201"/>
      <c r="OWF225" s="1201"/>
      <c r="OWG225" s="1201"/>
      <c r="OWH225" s="1201"/>
      <c r="OWI225" s="1201"/>
      <c r="OWJ225" s="1201"/>
      <c r="OWK225" s="1201"/>
      <c r="OWL225" s="1201"/>
      <c r="OWM225" s="1201"/>
      <c r="OWN225" s="1201"/>
      <c r="OWO225" s="1201"/>
      <c r="OWP225" s="1201"/>
      <c r="OWQ225" s="1201"/>
      <c r="OWR225" s="1201"/>
      <c r="OWS225" s="1201"/>
      <c r="OWT225" s="1201"/>
      <c r="OWU225" s="1201"/>
      <c r="OWV225" s="1201"/>
      <c r="OWW225" s="1201"/>
      <c r="OWX225" s="1201"/>
      <c r="OWY225" s="1201"/>
      <c r="OWZ225" s="1201"/>
      <c r="OXA225" s="1201"/>
      <c r="OXB225" s="1201"/>
      <c r="OXC225" s="1201"/>
      <c r="OXD225" s="1201"/>
      <c r="OXE225" s="1201"/>
      <c r="OXF225" s="1201"/>
      <c r="OXG225" s="1201"/>
      <c r="OXH225" s="1201"/>
      <c r="OXI225" s="1201"/>
      <c r="OXJ225" s="1201"/>
      <c r="OXK225" s="1201"/>
      <c r="OXL225" s="1201"/>
      <c r="OXM225" s="1201"/>
      <c r="OXN225" s="1201"/>
      <c r="OXO225" s="1201"/>
      <c r="OXP225" s="1201"/>
      <c r="OXQ225" s="1201"/>
      <c r="OXR225" s="1201"/>
      <c r="OXS225" s="1201"/>
      <c r="OXT225" s="1201"/>
      <c r="OXU225" s="1201"/>
      <c r="OXV225" s="1201"/>
      <c r="OXW225" s="1201"/>
      <c r="OXX225" s="1201"/>
      <c r="OXY225" s="1201"/>
      <c r="OXZ225" s="1201"/>
      <c r="OYA225" s="1201"/>
      <c r="OYB225" s="1201"/>
      <c r="OYC225" s="1201"/>
      <c r="OYD225" s="1201"/>
      <c r="OYE225" s="1201"/>
      <c r="OYF225" s="1201"/>
      <c r="OYG225" s="1201"/>
      <c r="OYH225" s="1201"/>
      <c r="OYI225" s="1201"/>
      <c r="OYJ225" s="1201"/>
      <c r="OYK225" s="1201"/>
      <c r="OYL225" s="1201"/>
      <c r="OYM225" s="1201"/>
      <c r="OYN225" s="1201"/>
      <c r="OYO225" s="1201"/>
      <c r="OYP225" s="1201"/>
      <c r="OYQ225" s="1201"/>
      <c r="OYR225" s="1201"/>
      <c r="OYS225" s="1201"/>
      <c r="OYT225" s="1201"/>
      <c r="OYU225" s="1201"/>
      <c r="OYV225" s="1201"/>
      <c r="OYW225" s="1201"/>
      <c r="OYX225" s="1201"/>
      <c r="OYY225" s="1201"/>
      <c r="OYZ225" s="1201"/>
      <c r="OZA225" s="1201"/>
      <c r="OZB225" s="1201"/>
      <c r="OZC225" s="1201"/>
      <c r="OZD225" s="1201"/>
      <c r="OZE225" s="1201"/>
      <c r="OZF225" s="1201"/>
      <c r="OZG225" s="1201"/>
      <c r="OZH225" s="1201"/>
      <c r="OZI225" s="1201"/>
      <c r="OZJ225" s="1201"/>
      <c r="OZK225" s="1201"/>
      <c r="OZL225" s="1201"/>
      <c r="OZM225" s="1201"/>
      <c r="OZN225" s="1201"/>
      <c r="OZO225" s="1201"/>
      <c r="OZP225" s="1201"/>
      <c r="OZQ225" s="1201"/>
      <c r="OZR225" s="1201"/>
      <c r="OZS225" s="1201"/>
      <c r="OZT225" s="1201"/>
      <c r="OZU225" s="1201"/>
      <c r="OZV225" s="1201"/>
      <c r="OZW225" s="1201"/>
      <c r="OZX225" s="1201"/>
      <c r="OZY225" s="1201"/>
      <c r="OZZ225" s="1201"/>
      <c r="PAA225" s="1201"/>
      <c r="PAB225" s="1201"/>
      <c r="PAC225" s="1201"/>
      <c r="PAD225" s="1201"/>
      <c r="PAE225" s="1201"/>
      <c r="PAF225" s="1201"/>
      <c r="PAG225" s="1201"/>
      <c r="PAH225" s="1201"/>
      <c r="PAI225" s="1201"/>
      <c r="PAJ225" s="1201"/>
      <c r="PAK225" s="1201"/>
      <c r="PAL225" s="1201"/>
      <c r="PAM225" s="1201"/>
      <c r="PAN225" s="1201"/>
      <c r="PAO225" s="1201"/>
      <c r="PAP225" s="1201"/>
      <c r="PAQ225" s="1201"/>
      <c r="PAR225" s="1201"/>
      <c r="PAS225" s="1201"/>
      <c r="PAT225" s="1201"/>
      <c r="PAU225" s="1201"/>
      <c r="PAV225" s="1201"/>
      <c r="PAW225" s="1201"/>
      <c r="PAX225" s="1201"/>
      <c r="PAY225" s="1201"/>
      <c r="PAZ225" s="1201"/>
      <c r="PBA225" s="1201"/>
      <c r="PBB225" s="1201"/>
      <c r="PBC225" s="1201"/>
      <c r="PBD225" s="1201"/>
      <c r="PBE225" s="1201"/>
      <c r="PBF225" s="1201"/>
      <c r="PBG225" s="1201"/>
      <c r="PBH225" s="1201"/>
      <c r="PBI225" s="1201"/>
      <c r="PBJ225" s="1201"/>
      <c r="PBK225" s="1201"/>
      <c r="PBL225" s="1201"/>
      <c r="PBM225" s="1201"/>
      <c r="PBN225" s="1201"/>
      <c r="PBO225" s="1201"/>
      <c r="PBP225" s="1201"/>
      <c r="PBQ225" s="1201"/>
      <c r="PBR225" s="1201"/>
      <c r="PBS225" s="1201"/>
      <c r="PBT225" s="1201"/>
      <c r="PBU225" s="1201"/>
      <c r="PBV225" s="1201"/>
      <c r="PBW225" s="1201"/>
      <c r="PBX225" s="1201"/>
      <c r="PBY225" s="1201"/>
      <c r="PBZ225" s="1201"/>
      <c r="PCA225" s="1201"/>
      <c r="PCB225" s="1201"/>
      <c r="PCC225" s="1201"/>
      <c r="PCD225" s="1201"/>
      <c r="PCE225" s="1201"/>
      <c r="PCF225" s="1201"/>
      <c r="PCG225" s="1201"/>
      <c r="PCH225" s="1201"/>
      <c r="PCI225" s="1201"/>
      <c r="PCJ225" s="1201"/>
      <c r="PCK225" s="1201"/>
      <c r="PCL225" s="1201"/>
      <c r="PCM225" s="1201"/>
      <c r="PCN225" s="1201"/>
      <c r="PCO225" s="1201"/>
      <c r="PCP225" s="1201"/>
      <c r="PCQ225" s="1201"/>
      <c r="PCR225" s="1201"/>
      <c r="PCS225" s="1201"/>
      <c r="PCT225" s="1201"/>
      <c r="PCU225" s="1201"/>
      <c r="PCV225" s="1201"/>
      <c r="PCW225" s="1201"/>
      <c r="PCX225" s="1201"/>
      <c r="PCY225" s="1201"/>
      <c r="PCZ225" s="1201"/>
      <c r="PDA225" s="1201"/>
      <c r="PDB225" s="1201"/>
      <c r="PDC225" s="1201"/>
      <c r="PDD225" s="1201"/>
      <c r="PDE225" s="1201"/>
      <c r="PDF225" s="1201"/>
      <c r="PDG225" s="1201"/>
      <c r="PDH225" s="1201"/>
      <c r="PDI225" s="1201"/>
      <c r="PDJ225" s="1201"/>
      <c r="PDK225" s="1201"/>
      <c r="PDL225" s="1201"/>
      <c r="PDM225" s="1201"/>
      <c r="PDN225" s="1201"/>
      <c r="PDO225" s="1201"/>
      <c r="PDP225" s="1201"/>
      <c r="PDQ225" s="1201"/>
      <c r="PDR225" s="1201"/>
      <c r="PDS225" s="1201"/>
      <c r="PDT225" s="1201"/>
      <c r="PDU225" s="1201"/>
      <c r="PDV225" s="1201"/>
      <c r="PDW225" s="1201"/>
      <c r="PDX225" s="1201"/>
      <c r="PDY225" s="1201"/>
      <c r="PDZ225" s="1201"/>
      <c r="PEA225" s="1201"/>
      <c r="PEB225" s="1201"/>
      <c r="PEC225" s="1201"/>
      <c r="PED225" s="1201"/>
      <c r="PEE225" s="1201"/>
      <c r="PEF225" s="1201"/>
      <c r="PEG225" s="1201"/>
      <c r="PEH225" s="1201"/>
      <c r="PEI225" s="1201"/>
      <c r="PEJ225" s="1201"/>
      <c r="PEK225" s="1201"/>
      <c r="PEL225" s="1201"/>
      <c r="PEM225" s="1201"/>
      <c r="PEN225" s="1201"/>
      <c r="PEO225" s="1201"/>
      <c r="PEP225" s="1201"/>
      <c r="PEQ225" s="1201"/>
      <c r="PER225" s="1201"/>
      <c r="PES225" s="1201"/>
      <c r="PET225" s="1201"/>
      <c r="PEU225" s="1201"/>
      <c r="PEV225" s="1201"/>
      <c r="PEW225" s="1201"/>
      <c r="PEX225" s="1201"/>
      <c r="PEY225" s="1201"/>
      <c r="PEZ225" s="1201"/>
      <c r="PFA225" s="1201"/>
      <c r="PFB225" s="1201"/>
      <c r="PFC225" s="1201"/>
      <c r="PFD225" s="1201"/>
      <c r="PFE225" s="1201"/>
      <c r="PFF225" s="1201"/>
      <c r="PFG225" s="1201"/>
      <c r="PFH225" s="1201"/>
      <c r="PFI225" s="1201"/>
      <c r="PFJ225" s="1201"/>
      <c r="PFK225" s="1201"/>
      <c r="PFL225" s="1201"/>
      <c r="PFM225" s="1201"/>
      <c r="PFN225" s="1201"/>
      <c r="PFO225" s="1201"/>
      <c r="PFP225" s="1201"/>
      <c r="PFQ225" s="1201"/>
      <c r="PFR225" s="1201"/>
      <c r="PFS225" s="1201"/>
      <c r="PFT225" s="1201"/>
      <c r="PFU225" s="1201"/>
      <c r="PFV225" s="1201"/>
      <c r="PFW225" s="1201"/>
      <c r="PFX225" s="1201"/>
      <c r="PFY225" s="1201"/>
      <c r="PFZ225" s="1201"/>
      <c r="PGA225" s="1201"/>
      <c r="PGB225" s="1201"/>
      <c r="PGC225" s="1201"/>
      <c r="PGD225" s="1201"/>
      <c r="PGE225" s="1201"/>
      <c r="PGF225" s="1201"/>
      <c r="PGG225" s="1201"/>
      <c r="PGH225" s="1201"/>
      <c r="PGI225" s="1201"/>
      <c r="PGJ225" s="1201"/>
      <c r="PGK225" s="1201"/>
      <c r="PGL225" s="1201"/>
      <c r="PGM225" s="1201"/>
      <c r="PGN225" s="1201"/>
      <c r="PGO225" s="1201"/>
      <c r="PGP225" s="1201"/>
      <c r="PGQ225" s="1201"/>
      <c r="PGR225" s="1201"/>
      <c r="PGS225" s="1201"/>
      <c r="PGT225" s="1201"/>
      <c r="PGU225" s="1201"/>
      <c r="PGV225" s="1201"/>
      <c r="PGW225" s="1201"/>
      <c r="PGX225" s="1201"/>
      <c r="PGY225" s="1201"/>
      <c r="PGZ225" s="1201"/>
      <c r="PHA225" s="1201"/>
      <c r="PHB225" s="1201"/>
      <c r="PHC225" s="1201"/>
      <c r="PHD225" s="1201"/>
      <c r="PHE225" s="1201"/>
      <c r="PHF225" s="1201"/>
      <c r="PHG225" s="1201"/>
      <c r="PHH225" s="1201"/>
      <c r="PHI225" s="1201"/>
      <c r="PHJ225" s="1201"/>
      <c r="PHK225" s="1201"/>
      <c r="PHL225" s="1201"/>
      <c r="PHM225" s="1201"/>
      <c r="PHN225" s="1201"/>
      <c r="PHO225" s="1201"/>
      <c r="PHP225" s="1201"/>
      <c r="PHQ225" s="1201"/>
      <c r="PHR225" s="1201"/>
      <c r="PHS225" s="1201"/>
      <c r="PHT225" s="1201"/>
      <c r="PHU225" s="1201"/>
      <c r="PHV225" s="1201"/>
      <c r="PHW225" s="1201"/>
      <c r="PHX225" s="1201"/>
      <c r="PHY225" s="1201"/>
      <c r="PHZ225" s="1201"/>
      <c r="PIA225" s="1201"/>
      <c r="PIB225" s="1201"/>
      <c r="PIC225" s="1201"/>
      <c r="PID225" s="1201"/>
      <c r="PIE225" s="1201"/>
      <c r="PIF225" s="1201"/>
      <c r="PIG225" s="1201"/>
      <c r="PIH225" s="1201"/>
      <c r="PII225" s="1201"/>
      <c r="PIJ225" s="1201"/>
      <c r="PIK225" s="1201"/>
      <c r="PIL225" s="1201"/>
      <c r="PIM225" s="1201"/>
      <c r="PIN225" s="1201"/>
      <c r="PIO225" s="1201"/>
      <c r="PIP225" s="1201"/>
      <c r="PIQ225" s="1201"/>
      <c r="PIR225" s="1201"/>
      <c r="PIS225" s="1201"/>
      <c r="PIT225" s="1201"/>
      <c r="PIU225" s="1201"/>
      <c r="PIV225" s="1201"/>
      <c r="PIW225" s="1201"/>
      <c r="PIX225" s="1201"/>
      <c r="PIY225" s="1201"/>
      <c r="PIZ225" s="1201"/>
      <c r="PJA225" s="1201"/>
      <c r="PJB225" s="1201"/>
      <c r="PJC225" s="1201"/>
      <c r="PJD225" s="1201"/>
      <c r="PJE225" s="1201"/>
      <c r="PJF225" s="1201"/>
      <c r="PJG225" s="1201"/>
      <c r="PJH225" s="1201"/>
      <c r="PJI225" s="1201"/>
      <c r="PJJ225" s="1201"/>
      <c r="PJK225" s="1201"/>
      <c r="PJL225" s="1201"/>
      <c r="PJM225" s="1201"/>
      <c r="PJN225" s="1201"/>
      <c r="PJO225" s="1201"/>
      <c r="PJP225" s="1201"/>
      <c r="PJQ225" s="1201"/>
      <c r="PJR225" s="1201"/>
      <c r="PJS225" s="1201"/>
      <c r="PJT225" s="1201"/>
      <c r="PJU225" s="1201"/>
      <c r="PJV225" s="1201"/>
      <c r="PJW225" s="1201"/>
      <c r="PJX225" s="1201"/>
      <c r="PJY225" s="1201"/>
      <c r="PJZ225" s="1201"/>
      <c r="PKA225" s="1201"/>
      <c r="PKB225" s="1201"/>
      <c r="PKC225" s="1201"/>
      <c r="PKD225" s="1201"/>
      <c r="PKE225" s="1201"/>
      <c r="PKF225" s="1201"/>
      <c r="PKG225" s="1201"/>
      <c r="PKH225" s="1201"/>
      <c r="PKI225" s="1201"/>
      <c r="PKJ225" s="1201"/>
      <c r="PKK225" s="1201"/>
      <c r="PKL225" s="1201"/>
      <c r="PKM225" s="1201"/>
      <c r="PKN225" s="1201"/>
      <c r="PKO225" s="1201"/>
      <c r="PKP225" s="1201"/>
      <c r="PKQ225" s="1201"/>
      <c r="PKR225" s="1201"/>
      <c r="PKS225" s="1201"/>
      <c r="PKT225" s="1201"/>
      <c r="PKU225" s="1201"/>
      <c r="PKV225" s="1201"/>
      <c r="PKW225" s="1201"/>
      <c r="PKX225" s="1201"/>
      <c r="PKY225" s="1201"/>
      <c r="PKZ225" s="1201"/>
      <c r="PLA225" s="1201"/>
      <c r="PLB225" s="1201"/>
      <c r="PLC225" s="1201"/>
      <c r="PLD225" s="1201"/>
      <c r="PLE225" s="1201"/>
      <c r="PLF225" s="1201"/>
      <c r="PLG225" s="1201"/>
      <c r="PLH225" s="1201"/>
      <c r="PLI225" s="1201"/>
      <c r="PLJ225" s="1201"/>
      <c r="PLK225" s="1201"/>
      <c r="PLL225" s="1201"/>
      <c r="PLM225" s="1201"/>
      <c r="PLN225" s="1201"/>
      <c r="PLO225" s="1201"/>
      <c r="PLP225" s="1201"/>
      <c r="PLQ225" s="1201"/>
      <c r="PLR225" s="1201"/>
      <c r="PLS225" s="1201"/>
      <c r="PLT225" s="1201"/>
      <c r="PLU225" s="1201"/>
      <c r="PLV225" s="1201"/>
      <c r="PLW225" s="1201"/>
      <c r="PLX225" s="1201"/>
      <c r="PLY225" s="1201"/>
      <c r="PLZ225" s="1201"/>
      <c r="PMA225" s="1201"/>
      <c r="PMB225" s="1201"/>
      <c r="PMC225" s="1201"/>
      <c r="PMD225" s="1201"/>
      <c r="PME225" s="1201"/>
      <c r="PMF225" s="1201"/>
      <c r="PMG225" s="1201"/>
      <c r="PMH225" s="1201"/>
      <c r="PMI225" s="1201"/>
      <c r="PMJ225" s="1201"/>
      <c r="PMK225" s="1201"/>
      <c r="PML225" s="1201"/>
      <c r="PMM225" s="1201"/>
      <c r="PMN225" s="1201"/>
      <c r="PMO225" s="1201"/>
      <c r="PMP225" s="1201"/>
      <c r="PMQ225" s="1201"/>
      <c r="PMR225" s="1201"/>
      <c r="PMS225" s="1201"/>
      <c r="PMT225" s="1201"/>
      <c r="PMU225" s="1201"/>
      <c r="PMV225" s="1201"/>
      <c r="PMW225" s="1201"/>
      <c r="PMX225" s="1201"/>
      <c r="PMY225" s="1201"/>
      <c r="PMZ225" s="1201"/>
      <c r="PNA225" s="1201"/>
      <c r="PNB225" s="1201"/>
      <c r="PNC225" s="1201"/>
      <c r="PND225" s="1201"/>
      <c r="PNE225" s="1201"/>
      <c r="PNF225" s="1201"/>
      <c r="PNG225" s="1201"/>
      <c r="PNH225" s="1201"/>
      <c r="PNI225" s="1201"/>
      <c r="PNJ225" s="1201"/>
      <c r="PNK225" s="1201"/>
      <c r="PNL225" s="1201"/>
      <c r="PNM225" s="1201"/>
      <c r="PNN225" s="1201"/>
      <c r="PNO225" s="1201"/>
      <c r="PNP225" s="1201"/>
      <c r="PNQ225" s="1201"/>
      <c r="PNR225" s="1201"/>
      <c r="PNS225" s="1201"/>
      <c r="PNT225" s="1201"/>
      <c r="PNU225" s="1201"/>
      <c r="PNV225" s="1201"/>
      <c r="PNW225" s="1201"/>
      <c r="PNX225" s="1201"/>
      <c r="PNY225" s="1201"/>
      <c r="PNZ225" s="1201"/>
      <c r="POA225" s="1201"/>
      <c r="POB225" s="1201"/>
      <c r="POC225" s="1201"/>
      <c r="POD225" s="1201"/>
      <c r="POE225" s="1201"/>
      <c r="POF225" s="1201"/>
      <c r="POG225" s="1201"/>
      <c r="POH225" s="1201"/>
      <c r="POI225" s="1201"/>
      <c r="POJ225" s="1201"/>
      <c r="POK225" s="1201"/>
      <c r="POL225" s="1201"/>
      <c r="POM225" s="1201"/>
      <c r="PON225" s="1201"/>
      <c r="POO225" s="1201"/>
      <c r="POP225" s="1201"/>
      <c r="POQ225" s="1201"/>
      <c r="POR225" s="1201"/>
      <c r="POS225" s="1201"/>
      <c r="POT225" s="1201"/>
      <c r="POU225" s="1201"/>
      <c r="POV225" s="1201"/>
      <c r="POW225" s="1201"/>
      <c r="POX225" s="1201"/>
      <c r="POY225" s="1201"/>
      <c r="POZ225" s="1201"/>
      <c r="PPA225" s="1201"/>
      <c r="PPB225" s="1201"/>
      <c r="PPC225" s="1201"/>
      <c r="PPD225" s="1201"/>
      <c r="PPE225" s="1201"/>
      <c r="PPF225" s="1201"/>
      <c r="PPG225" s="1201"/>
      <c r="PPH225" s="1201"/>
      <c r="PPI225" s="1201"/>
      <c r="PPJ225" s="1201"/>
      <c r="PPK225" s="1201"/>
      <c r="PPL225" s="1201"/>
      <c r="PPM225" s="1201"/>
      <c r="PPN225" s="1201"/>
      <c r="PPO225" s="1201"/>
      <c r="PPP225" s="1201"/>
      <c r="PPQ225" s="1201"/>
      <c r="PPR225" s="1201"/>
      <c r="PPS225" s="1201"/>
      <c r="PPT225" s="1201"/>
      <c r="PPU225" s="1201"/>
      <c r="PPV225" s="1201"/>
      <c r="PPW225" s="1201"/>
      <c r="PPX225" s="1201"/>
      <c r="PPY225" s="1201"/>
      <c r="PPZ225" s="1201"/>
      <c r="PQA225" s="1201"/>
      <c r="PQB225" s="1201"/>
      <c r="PQC225" s="1201"/>
      <c r="PQD225" s="1201"/>
      <c r="PQE225" s="1201"/>
      <c r="PQF225" s="1201"/>
      <c r="PQG225" s="1201"/>
      <c r="PQH225" s="1201"/>
      <c r="PQI225" s="1201"/>
      <c r="PQJ225" s="1201"/>
      <c r="PQK225" s="1201"/>
      <c r="PQL225" s="1201"/>
      <c r="PQM225" s="1201"/>
      <c r="PQN225" s="1201"/>
      <c r="PQO225" s="1201"/>
      <c r="PQP225" s="1201"/>
      <c r="PQQ225" s="1201"/>
      <c r="PQR225" s="1201"/>
      <c r="PQS225" s="1201"/>
      <c r="PQT225" s="1201"/>
      <c r="PQU225" s="1201"/>
      <c r="PQV225" s="1201"/>
      <c r="PQW225" s="1201"/>
      <c r="PQX225" s="1201"/>
      <c r="PQY225" s="1201"/>
      <c r="PQZ225" s="1201"/>
      <c r="PRA225" s="1201"/>
      <c r="PRB225" s="1201"/>
      <c r="PRC225" s="1201"/>
      <c r="PRD225" s="1201"/>
      <c r="PRE225" s="1201"/>
      <c r="PRF225" s="1201"/>
      <c r="PRG225" s="1201"/>
      <c r="PRH225" s="1201"/>
      <c r="PRI225" s="1201"/>
      <c r="PRJ225" s="1201"/>
      <c r="PRK225" s="1201"/>
      <c r="PRL225" s="1201"/>
      <c r="PRM225" s="1201"/>
      <c r="PRN225" s="1201"/>
      <c r="PRO225" s="1201"/>
      <c r="PRP225" s="1201"/>
      <c r="PRQ225" s="1201"/>
      <c r="PRR225" s="1201"/>
      <c r="PRS225" s="1201"/>
      <c r="PRT225" s="1201"/>
      <c r="PRU225" s="1201"/>
      <c r="PRV225" s="1201"/>
      <c r="PRW225" s="1201"/>
      <c r="PRX225" s="1201"/>
      <c r="PRY225" s="1201"/>
      <c r="PRZ225" s="1201"/>
      <c r="PSA225" s="1201"/>
      <c r="PSB225" s="1201"/>
      <c r="PSC225" s="1201"/>
      <c r="PSD225" s="1201"/>
      <c r="PSE225" s="1201"/>
      <c r="PSF225" s="1201"/>
      <c r="PSG225" s="1201"/>
      <c r="PSH225" s="1201"/>
      <c r="PSI225" s="1201"/>
      <c r="PSJ225" s="1201"/>
      <c r="PSK225" s="1201"/>
      <c r="PSL225" s="1201"/>
      <c r="PSM225" s="1201"/>
      <c r="PSN225" s="1201"/>
      <c r="PSO225" s="1201"/>
      <c r="PSP225" s="1201"/>
      <c r="PSQ225" s="1201"/>
      <c r="PSR225" s="1201"/>
      <c r="PSS225" s="1201"/>
      <c r="PST225" s="1201"/>
      <c r="PSU225" s="1201"/>
      <c r="PSV225" s="1201"/>
      <c r="PSW225" s="1201"/>
      <c r="PSX225" s="1201"/>
      <c r="PSY225" s="1201"/>
      <c r="PSZ225" s="1201"/>
      <c r="PTA225" s="1201"/>
      <c r="PTB225" s="1201"/>
      <c r="PTC225" s="1201"/>
      <c r="PTD225" s="1201"/>
      <c r="PTE225" s="1201"/>
      <c r="PTF225" s="1201"/>
      <c r="PTG225" s="1201"/>
      <c r="PTH225" s="1201"/>
      <c r="PTI225" s="1201"/>
      <c r="PTJ225" s="1201"/>
      <c r="PTK225" s="1201"/>
      <c r="PTL225" s="1201"/>
      <c r="PTM225" s="1201"/>
      <c r="PTN225" s="1201"/>
      <c r="PTO225" s="1201"/>
      <c r="PTP225" s="1201"/>
      <c r="PTQ225" s="1201"/>
      <c r="PTR225" s="1201"/>
      <c r="PTS225" s="1201"/>
      <c r="PTT225" s="1201"/>
      <c r="PTU225" s="1201"/>
      <c r="PTV225" s="1201"/>
      <c r="PTW225" s="1201"/>
      <c r="PTX225" s="1201"/>
      <c r="PTY225" s="1201"/>
      <c r="PTZ225" s="1201"/>
      <c r="PUA225" s="1201"/>
      <c r="PUB225" s="1201"/>
      <c r="PUC225" s="1201"/>
      <c r="PUD225" s="1201"/>
      <c r="PUE225" s="1201"/>
      <c r="PUF225" s="1201"/>
      <c r="PUG225" s="1201"/>
      <c r="PUH225" s="1201"/>
      <c r="PUI225" s="1201"/>
      <c r="PUJ225" s="1201"/>
      <c r="PUK225" s="1201"/>
      <c r="PUL225" s="1201"/>
      <c r="PUM225" s="1201"/>
      <c r="PUN225" s="1201"/>
      <c r="PUO225" s="1201"/>
      <c r="PUP225" s="1201"/>
      <c r="PUQ225" s="1201"/>
      <c r="PUR225" s="1201"/>
      <c r="PUS225" s="1201"/>
      <c r="PUT225" s="1201"/>
      <c r="PUU225" s="1201"/>
      <c r="PUV225" s="1201"/>
      <c r="PUW225" s="1201"/>
      <c r="PUX225" s="1201"/>
      <c r="PUY225" s="1201"/>
      <c r="PUZ225" s="1201"/>
      <c r="PVA225" s="1201"/>
      <c r="PVB225" s="1201"/>
      <c r="PVC225" s="1201"/>
      <c r="PVD225" s="1201"/>
      <c r="PVE225" s="1201"/>
      <c r="PVF225" s="1201"/>
      <c r="PVG225" s="1201"/>
      <c r="PVH225" s="1201"/>
      <c r="PVI225" s="1201"/>
      <c r="PVJ225" s="1201"/>
      <c r="PVK225" s="1201"/>
      <c r="PVL225" s="1201"/>
      <c r="PVM225" s="1201"/>
      <c r="PVN225" s="1201"/>
      <c r="PVO225" s="1201"/>
      <c r="PVP225" s="1201"/>
      <c r="PVQ225" s="1201"/>
      <c r="PVR225" s="1201"/>
      <c r="PVS225" s="1201"/>
      <c r="PVT225" s="1201"/>
      <c r="PVU225" s="1201"/>
      <c r="PVV225" s="1201"/>
      <c r="PVW225" s="1201"/>
      <c r="PVX225" s="1201"/>
      <c r="PVY225" s="1201"/>
      <c r="PVZ225" s="1201"/>
      <c r="PWA225" s="1201"/>
      <c r="PWB225" s="1201"/>
      <c r="PWC225" s="1201"/>
      <c r="PWD225" s="1201"/>
      <c r="PWE225" s="1201"/>
      <c r="PWF225" s="1201"/>
      <c r="PWG225" s="1201"/>
      <c r="PWH225" s="1201"/>
      <c r="PWI225" s="1201"/>
      <c r="PWJ225" s="1201"/>
      <c r="PWK225" s="1201"/>
      <c r="PWL225" s="1201"/>
      <c r="PWM225" s="1201"/>
      <c r="PWN225" s="1201"/>
      <c r="PWO225" s="1201"/>
      <c r="PWP225" s="1201"/>
      <c r="PWQ225" s="1201"/>
      <c r="PWR225" s="1201"/>
      <c r="PWS225" s="1201"/>
      <c r="PWT225" s="1201"/>
      <c r="PWU225" s="1201"/>
      <c r="PWV225" s="1201"/>
      <c r="PWW225" s="1201"/>
      <c r="PWX225" s="1201"/>
      <c r="PWY225" s="1201"/>
      <c r="PWZ225" s="1201"/>
      <c r="PXA225" s="1201"/>
      <c r="PXB225" s="1201"/>
      <c r="PXC225" s="1201"/>
      <c r="PXD225" s="1201"/>
      <c r="PXE225" s="1201"/>
      <c r="PXF225" s="1201"/>
      <c r="PXG225" s="1201"/>
      <c r="PXH225" s="1201"/>
      <c r="PXI225" s="1201"/>
      <c r="PXJ225" s="1201"/>
      <c r="PXK225" s="1201"/>
      <c r="PXL225" s="1201"/>
      <c r="PXM225" s="1201"/>
      <c r="PXN225" s="1201"/>
      <c r="PXO225" s="1201"/>
      <c r="PXP225" s="1201"/>
      <c r="PXQ225" s="1201"/>
      <c r="PXR225" s="1201"/>
      <c r="PXS225" s="1201"/>
      <c r="PXT225" s="1201"/>
      <c r="PXU225" s="1201"/>
      <c r="PXV225" s="1201"/>
      <c r="PXW225" s="1201"/>
      <c r="PXX225" s="1201"/>
      <c r="PXY225" s="1201"/>
      <c r="PXZ225" s="1201"/>
      <c r="PYA225" s="1201"/>
      <c r="PYB225" s="1201"/>
      <c r="PYC225" s="1201"/>
      <c r="PYD225" s="1201"/>
      <c r="PYE225" s="1201"/>
      <c r="PYF225" s="1201"/>
      <c r="PYG225" s="1201"/>
      <c r="PYH225" s="1201"/>
      <c r="PYI225" s="1201"/>
      <c r="PYJ225" s="1201"/>
      <c r="PYK225" s="1201"/>
      <c r="PYL225" s="1201"/>
      <c r="PYM225" s="1201"/>
      <c r="PYN225" s="1201"/>
      <c r="PYO225" s="1201"/>
      <c r="PYP225" s="1201"/>
      <c r="PYQ225" s="1201"/>
      <c r="PYR225" s="1201"/>
      <c r="PYS225" s="1201"/>
      <c r="PYT225" s="1201"/>
      <c r="PYU225" s="1201"/>
      <c r="PYV225" s="1201"/>
      <c r="PYW225" s="1201"/>
      <c r="PYX225" s="1201"/>
      <c r="PYY225" s="1201"/>
      <c r="PYZ225" s="1201"/>
      <c r="PZA225" s="1201"/>
      <c r="PZB225" s="1201"/>
      <c r="PZC225" s="1201"/>
      <c r="PZD225" s="1201"/>
      <c r="PZE225" s="1201"/>
      <c r="PZF225" s="1201"/>
      <c r="PZG225" s="1201"/>
      <c r="PZH225" s="1201"/>
      <c r="PZI225" s="1201"/>
      <c r="PZJ225" s="1201"/>
      <c r="PZK225" s="1201"/>
      <c r="PZL225" s="1201"/>
      <c r="PZM225" s="1201"/>
      <c r="PZN225" s="1201"/>
      <c r="PZO225" s="1201"/>
      <c r="PZP225" s="1201"/>
      <c r="PZQ225" s="1201"/>
      <c r="PZR225" s="1201"/>
      <c r="PZS225" s="1201"/>
      <c r="PZT225" s="1201"/>
      <c r="PZU225" s="1201"/>
      <c r="PZV225" s="1201"/>
      <c r="PZW225" s="1201"/>
      <c r="PZX225" s="1201"/>
      <c r="PZY225" s="1201"/>
      <c r="PZZ225" s="1201"/>
      <c r="QAA225" s="1201"/>
      <c r="QAB225" s="1201"/>
      <c r="QAC225" s="1201"/>
      <c r="QAD225" s="1201"/>
      <c r="QAE225" s="1201"/>
      <c r="QAF225" s="1201"/>
      <c r="QAG225" s="1201"/>
      <c r="QAH225" s="1201"/>
      <c r="QAI225" s="1201"/>
      <c r="QAJ225" s="1201"/>
      <c r="QAK225" s="1201"/>
      <c r="QAL225" s="1201"/>
      <c r="QAM225" s="1201"/>
      <c r="QAN225" s="1201"/>
      <c r="QAO225" s="1201"/>
      <c r="QAP225" s="1201"/>
      <c r="QAQ225" s="1201"/>
      <c r="QAR225" s="1201"/>
      <c r="QAS225" s="1201"/>
      <c r="QAT225" s="1201"/>
      <c r="QAU225" s="1201"/>
      <c r="QAV225" s="1201"/>
      <c r="QAW225" s="1201"/>
      <c r="QAX225" s="1201"/>
      <c r="QAY225" s="1201"/>
      <c r="QAZ225" s="1201"/>
      <c r="QBA225" s="1201"/>
      <c r="QBB225" s="1201"/>
      <c r="QBC225" s="1201"/>
      <c r="QBD225" s="1201"/>
      <c r="QBE225" s="1201"/>
      <c r="QBF225" s="1201"/>
      <c r="QBG225" s="1201"/>
      <c r="QBH225" s="1201"/>
      <c r="QBI225" s="1201"/>
      <c r="QBJ225" s="1201"/>
      <c r="QBK225" s="1201"/>
      <c r="QBL225" s="1201"/>
      <c r="QBM225" s="1201"/>
      <c r="QBN225" s="1201"/>
      <c r="QBO225" s="1201"/>
      <c r="QBP225" s="1201"/>
      <c r="QBQ225" s="1201"/>
      <c r="QBR225" s="1201"/>
      <c r="QBS225" s="1201"/>
      <c r="QBT225" s="1201"/>
      <c r="QBU225" s="1201"/>
      <c r="QBV225" s="1201"/>
      <c r="QBW225" s="1201"/>
      <c r="QBX225" s="1201"/>
      <c r="QBY225" s="1201"/>
      <c r="QBZ225" s="1201"/>
      <c r="QCA225" s="1201"/>
      <c r="QCB225" s="1201"/>
      <c r="QCC225" s="1201"/>
      <c r="QCD225" s="1201"/>
      <c r="QCE225" s="1201"/>
      <c r="QCF225" s="1201"/>
      <c r="QCG225" s="1201"/>
      <c r="QCH225" s="1201"/>
      <c r="QCI225" s="1201"/>
      <c r="QCJ225" s="1201"/>
      <c r="QCK225" s="1201"/>
      <c r="QCL225" s="1201"/>
      <c r="QCM225" s="1201"/>
      <c r="QCN225" s="1201"/>
      <c r="QCO225" s="1201"/>
      <c r="QCP225" s="1201"/>
      <c r="QCQ225" s="1201"/>
      <c r="QCR225" s="1201"/>
      <c r="QCS225" s="1201"/>
      <c r="QCT225" s="1201"/>
      <c r="QCU225" s="1201"/>
      <c r="QCV225" s="1201"/>
      <c r="QCW225" s="1201"/>
      <c r="QCX225" s="1201"/>
      <c r="QCY225" s="1201"/>
      <c r="QCZ225" s="1201"/>
      <c r="QDA225" s="1201"/>
      <c r="QDB225" s="1201"/>
      <c r="QDC225" s="1201"/>
      <c r="QDD225" s="1201"/>
      <c r="QDE225" s="1201"/>
      <c r="QDF225" s="1201"/>
      <c r="QDG225" s="1201"/>
      <c r="QDH225" s="1201"/>
      <c r="QDI225" s="1201"/>
      <c r="QDJ225" s="1201"/>
      <c r="QDK225" s="1201"/>
      <c r="QDL225" s="1201"/>
      <c r="QDM225" s="1201"/>
      <c r="QDN225" s="1201"/>
      <c r="QDO225" s="1201"/>
      <c r="QDP225" s="1201"/>
      <c r="QDQ225" s="1201"/>
      <c r="QDR225" s="1201"/>
      <c r="QDS225" s="1201"/>
      <c r="QDT225" s="1201"/>
      <c r="QDU225" s="1201"/>
      <c r="QDV225" s="1201"/>
      <c r="QDW225" s="1201"/>
      <c r="QDX225" s="1201"/>
      <c r="QDY225" s="1201"/>
      <c r="QDZ225" s="1201"/>
      <c r="QEA225" s="1201"/>
      <c r="QEB225" s="1201"/>
      <c r="QEC225" s="1201"/>
      <c r="QED225" s="1201"/>
      <c r="QEE225" s="1201"/>
      <c r="QEF225" s="1201"/>
      <c r="QEG225" s="1201"/>
      <c r="QEH225" s="1201"/>
      <c r="QEI225" s="1201"/>
      <c r="QEJ225" s="1201"/>
      <c r="QEK225" s="1201"/>
      <c r="QEL225" s="1201"/>
      <c r="QEM225" s="1201"/>
      <c r="QEN225" s="1201"/>
      <c r="QEO225" s="1201"/>
      <c r="QEP225" s="1201"/>
      <c r="QEQ225" s="1201"/>
      <c r="QER225" s="1201"/>
      <c r="QES225" s="1201"/>
      <c r="QET225" s="1201"/>
      <c r="QEU225" s="1201"/>
      <c r="QEV225" s="1201"/>
      <c r="QEW225" s="1201"/>
      <c r="QEX225" s="1201"/>
      <c r="QEY225" s="1201"/>
      <c r="QEZ225" s="1201"/>
      <c r="QFA225" s="1201"/>
      <c r="QFB225" s="1201"/>
      <c r="QFC225" s="1201"/>
      <c r="QFD225" s="1201"/>
      <c r="QFE225" s="1201"/>
      <c r="QFF225" s="1201"/>
      <c r="QFG225" s="1201"/>
      <c r="QFH225" s="1201"/>
      <c r="QFI225" s="1201"/>
      <c r="QFJ225" s="1201"/>
      <c r="QFK225" s="1201"/>
      <c r="QFL225" s="1201"/>
      <c r="QFM225" s="1201"/>
      <c r="QFN225" s="1201"/>
      <c r="QFO225" s="1201"/>
      <c r="QFP225" s="1201"/>
      <c r="QFQ225" s="1201"/>
      <c r="QFR225" s="1201"/>
      <c r="QFS225" s="1201"/>
      <c r="QFT225" s="1201"/>
      <c r="QFU225" s="1201"/>
      <c r="QFV225" s="1201"/>
      <c r="QFW225" s="1201"/>
      <c r="QFX225" s="1201"/>
      <c r="QFY225" s="1201"/>
      <c r="QFZ225" s="1201"/>
      <c r="QGA225" s="1201"/>
      <c r="QGB225" s="1201"/>
      <c r="QGC225" s="1201"/>
      <c r="QGD225" s="1201"/>
      <c r="QGE225" s="1201"/>
      <c r="QGF225" s="1201"/>
      <c r="QGG225" s="1201"/>
      <c r="QGH225" s="1201"/>
      <c r="QGI225" s="1201"/>
      <c r="QGJ225" s="1201"/>
      <c r="QGK225" s="1201"/>
      <c r="QGL225" s="1201"/>
      <c r="QGM225" s="1201"/>
      <c r="QGN225" s="1201"/>
      <c r="QGO225" s="1201"/>
      <c r="QGP225" s="1201"/>
      <c r="QGQ225" s="1201"/>
      <c r="QGR225" s="1201"/>
      <c r="QGS225" s="1201"/>
      <c r="QGT225" s="1201"/>
      <c r="QGU225" s="1201"/>
      <c r="QGV225" s="1201"/>
      <c r="QGW225" s="1201"/>
      <c r="QGX225" s="1201"/>
      <c r="QGY225" s="1201"/>
      <c r="QGZ225" s="1201"/>
      <c r="QHA225" s="1201"/>
      <c r="QHB225" s="1201"/>
      <c r="QHC225" s="1201"/>
      <c r="QHD225" s="1201"/>
      <c r="QHE225" s="1201"/>
      <c r="QHF225" s="1201"/>
      <c r="QHG225" s="1201"/>
      <c r="QHH225" s="1201"/>
      <c r="QHI225" s="1201"/>
      <c r="QHJ225" s="1201"/>
      <c r="QHK225" s="1201"/>
      <c r="QHL225" s="1201"/>
      <c r="QHM225" s="1201"/>
      <c r="QHN225" s="1201"/>
      <c r="QHO225" s="1201"/>
      <c r="QHP225" s="1201"/>
      <c r="QHQ225" s="1201"/>
      <c r="QHR225" s="1201"/>
      <c r="QHS225" s="1201"/>
      <c r="QHT225" s="1201"/>
      <c r="QHU225" s="1201"/>
      <c r="QHV225" s="1201"/>
      <c r="QHW225" s="1201"/>
      <c r="QHX225" s="1201"/>
      <c r="QHY225" s="1201"/>
      <c r="QHZ225" s="1201"/>
      <c r="QIA225" s="1201"/>
      <c r="QIB225" s="1201"/>
      <c r="QIC225" s="1201"/>
      <c r="QID225" s="1201"/>
      <c r="QIE225" s="1201"/>
      <c r="QIF225" s="1201"/>
      <c r="QIG225" s="1201"/>
      <c r="QIH225" s="1201"/>
      <c r="QII225" s="1201"/>
      <c r="QIJ225" s="1201"/>
      <c r="QIK225" s="1201"/>
      <c r="QIL225" s="1201"/>
      <c r="QIM225" s="1201"/>
      <c r="QIN225" s="1201"/>
      <c r="QIO225" s="1201"/>
      <c r="QIP225" s="1201"/>
      <c r="QIQ225" s="1201"/>
      <c r="QIR225" s="1201"/>
      <c r="QIS225" s="1201"/>
      <c r="QIT225" s="1201"/>
      <c r="QIU225" s="1201"/>
      <c r="QIV225" s="1201"/>
      <c r="QIW225" s="1201"/>
      <c r="QIX225" s="1201"/>
      <c r="QIY225" s="1201"/>
      <c r="QIZ225" s="1201"/>
      <c r="QJA225" s="1201"/>
      <c r="QJB225" s="1201"/>
      <c r="QJC225" s="1201"/>
      <c r="QJD225" s="1201"/>
      <c r="QJE225" s="1201"/>
      <c r="QJF225" s="1201"/>
      <c r="QJG225" s="1201"/>
      <c r="QJH225" s="1201"/>
      <c r="QJI225" s="1201"/>
      <c r="QJJ225" s="1201"/>
      <c r="QJK225" s="1201"/>
      <c r="QJL225" s="1201"/>
      <c r="QJM225" s="1201"/>
      <c r="QJN225" s="1201"/>
      <c r="QJO225" s="1201"/>
      <c r="QJP225" s="1201"/>
      <c r="QJQ225" s="1201"/>
      <c r="QJR225" s="1201"/>
      <c r="QJS225" s="1201"/>
      <c r="QJT225" s="1201"/>
      <c r="QJU225" s="1201"/>
      <c r="QJV225" s="1201"/>
      <c r="QJW225" s="1201"/>
      <c r="QJX225" s="1201"/>
      <c r="QJY225" s="1201"/>
      <c r="QJZ225" s="1201"/>
      <c r="QKA225" s="1201"/>
      <c r="QKB225" s="1201"/>
      <c r="QKC225" s="1201"/>
      <c r="QKD225" s="1201"/>
      <c r="QKE225" s="1201"/>
      <c r="QKF225" s="1201"/>
      <c r="QKG225" s="1201"/>
      <c r="QKH225" s="1201"/>
      <c r="QKI225" s="1201"/>
      <c r="QKJ225" s="1201"/>
      <c r="QKK225" s="1201"/>
      <c r="QKL225" s="1201"/>
      <c r="QKM225" s="1201"/>
      <c r="QKN225" s="1201"/>
      <c r="QKO225" s="1201"/>
      <c r="QKP225" s="1201"/>
      <c r="QKQ225" s="1201"/>
      <c r="QKR225" s="1201"/>
      <c r="QKS225" s="1201"/>
      <c r="QKT225" s="1201"/>
      <c r="QKU225" s="1201"/>
      <c r="QKV225" s="1201"/>
      <c r="QKW225" s="1201"/>
      <c r="QKX225" s="1201"/>
      <c r="QKY225" s="1201"/>
      <c r="QKZ225" s="1201"/>
      <c r="QLA225" s="1201"/>
      <c r="QLB225" s="1201"/>
      <c r="QLC225" s="1201"/>
      <c r="QLD225" s="1201"/>
      <c r="QLE225" s="1201"/>
      <c r="QLF225" s="1201"/>
      <c r="QLG225" s="1201"/>
      <c r="QLH225" s="1201"/>
      <c r="QLI225" s="1201"/>
      <c r="QLJ225" s="1201"/>
      <c r="QLK225" s="1201"/>
      <c r="QLL225" s="1201"/>
      <c r="QLM225" s="1201"/>
      <c r="QLN225" s="1201"/>
      <c r="QLO225" s="1201"/>
      <c r="QLP225" s="1201"/>
      <c r="QLQ225" s="1201"/>
      <c r="QLR225" s="1201"/>
      <c r="QLS225" s="1201"/>
      <c r="QLT225" s="1201"/>
      <c r="QLU225" s="1201"/>
      <c r="QLV225" s="1201"/>
      <c r="QLW225" s="1201"/>
      <c r="QLX225" s="1201"/>
      <c r="QLY225" s="1201"/>
      <c r="QLZ225" s="1201"/>
      <c r="QMA225" s="1201"/>
      <c r="QMB225" s="1201"/>
      <c r="QMC225" s="1201"/>
      <c r="QMD225" s="1201"/>
      <c r="QME225" s="1201"/>
      <c r="QMF225" s="1201"/>
      <c r="QMG225" s="1201"/>
      <c r="QMH225" s="1201"/>
      <c r="QMI225" s="1201"/>
      <c r="QMJ225" s="1201"/>
      <c r="QMK225" s="1201"/>
      <c r="QML225" s="1201"/>
      <c r="QMM225" s="1201"/>
      <c r="QMN225" s="1201"/>
      <c r="QMO225" s="1201"/>
      <c r="QMP225" s="1201"/>
      <c r="QMQ225" s="1201"/>
      <c r="QMR225" s="1201"/>
      <c r="QMS225" s="1201"/>
      <c r="QMT225" s="1201"/>
      <c r="QMU225" s="1201"/>
      <c r="QMV225" s="1201"/>
      <c r="QMW225" s="1201"/>
      <c r="QMX225" s="1201"/>
      <c r="QMY225" s="1201"/>
      <c r="QMZ225" s="1201"/>
      <c r="QNA225" s="1201"/>
      <c r="QNB225" s="1201"/>
      <c r="QNC225" s="1201"/>
      <c r="QND225" s="1201"/>
      <c r="QNE225" s="1201"/>
      <c r="QNF225" s="1201"/>
      <c r="QNG225" s="1201"/>
      <c r="QNH225" s="1201"/>
      <c r="QNI225" s="1201"/>
      <c r="QNJ225" s="1201"/>
      <c r="QNK225" s="1201"/>
      <c r="QNL225" s="1201"/>
      <c r="QNM225" s="1201"/>
      <c r="QNN225" s="1201"/>
      <c r="QNO225" s="1201"/>
      <c r="QNP225" s="1201"/>
      <c r="QNQ225" s="1201"/>
      <c r="QNR225" s="1201"/>
      <c r="QNS225" s="1201"/>
      <c r="QNT225" s="1201"/>
      <c r="QNU225" s="1201"/>
      <c r="QNV225" s="1201"/>
      <c r="QNW225" s="1201"/>
      <c r="QNX225" s="1201"/>
      <c r="QNY225" s="1201"/>
      <c r="QNZ225" s="1201"/>
      <c r="QOA225" s="1201"/>
      <c r="QOB225" s="1201"/>
      <c r="QOC225" s="1201"/>
      <c r="QOD225" s="1201"/>
      <c r="QOE225" s="1201"/>
      <c r="QOF225" s="1201"/>
      <c r="QOG225" s="1201"/>
      <c r="QOH225" s="1201"/>
      <c r="QOI225" s="1201"/>
      <c r="QOJ225" s="1201"/>
      <c r="QOK225" s="1201"/>
      <c r="QOL225" s="1201"/>
      <c r="QOM225" s="1201"/>
      <c r="QON225" s="1201"/>
      <c r="QOO225" s="1201"/>
      <c r="QOP225" s="1201"/>
      <c r="QOQ225" s="1201"/>
      <c r="QOR225" s="1201"/>
      <c r="QOS225" s="1201"/>
      <c r="QOT225" s="1201"/>
      <c r="QOU225" s="1201"/>
      <c r="QOV225" s="1201"/>
      <c r="QOW225" s="1201"/>
      <c r="QOX225" s="1201"/>
      <c r="QOY225" s="1201"/>
      <c r="QOZ225" s="1201"/>
      <c r="QPA225" s="1201"/>
      <c r="QPB225" s="1201"/>
      <c r="QPC225" s="1201"/>
      <c r="QPD225" s="1201"/>
      <c r="QPE225" s="1201"/>
      <c r="QPF225" s="1201"/>
      <c r="QPG225" s="1201"/>
      <c r="QPH225" s="1201"/>
      <c r="QPI225" s="1201"/>
      <c r="QPJ225" s="1201"/>
      <c r="QPK225" s="1201"/>
      <c r="QPL225" s="1201"/>
      <c r="QPM225" s="1201"/>
      <c r="QPN225" s="1201"/>
      <c r="QPO225" s="1201"/>
      <c r="QPP225" s="1201"/>
      <c r="QPQ225" s="1201"/>
      <c r="QPR225" s="1201"/>
      <c r="QPS225" s="1201"/>
      <c r="QPT225" s="1201"/>
      <c r="QPU225" s="1201"/>
      <c r="QPV225" s="1201"/>
      <c r="QPW225" s="1201"/>
      <c r="QPX225" s="1201"/>
      <c r="QPY225" s="1201"/>
      <c r="QPZ225" s="1201"/>
      <c r="QQA225" s="1201"/>
      <c r="QQB225" s="1201"/>
      <c r="QQC225" s="1201"/>
      <c r="QQD225" s="1201"/>
      <c r="QQE225" s="1201"/>
      <c r="QQF225" s="1201"/>
      <c r="QQG225" s="1201"/>
      <c r="QQH225" s="1201"/>
      <c r="QQI225" s="1201"/>
      <c r="QQJ225" s="1201"/>
      <c r="QQK225" s="1201"/>
      <c r="QQL225" s="1201"/>
      <c r="QQM225" s="1201"/>
      <c r="QQN225" s="1201"/>
      <c r="QQO225" s="1201"/>
      <c r="QQP225" s="1201"/>
      <c r="QQQ225" s="1201"/>
      <c r="QQR225" s="1201"/>
      <c r="QQS225" s="1201"/>
      <c r="QQT225" s="1201"/>
      <c r="QQU225" s="1201"/>
      <c r="QQV225" s="1201"/>
      <c r="QQW225" s="1201"/>
      <c r="QQX225" s="1201"/>
      <c r="QQY225" s="1201"/>
      <c r="QQZ225" s="1201"/>
      <c r="QRA225" s="1201"/>
      <c r="QRB225" s="1201"/>
      <c r="QRC225" s="1201"/>
      <c r="QRD225" s="1201"/>
      <c r="QRE225" s="1201"/>
      <c r="QRF225" s="1201"/>
      <c r="QRG225" s="1201"/>
      <c r="QRH225" s="1201"/>
      <c r="QRI225" s="1201"/>
      <c r="QRJ225" s="1201"/>
      <c r="QRK225" s="1201"/>
      <c r="QRL225" s="1201"/>
      <c r="QRM225" s="1201"/>
      <c r="QRN225" s="1201"/>
      <c r="QRO225" s="1201"/>
      <c r="QRP225" s="1201"/>
      <c r="QRQ225" s="1201"/>
      <c r="QRR225" s="1201"/>
      <c r="QRS225" s="1201"/>
      <c r="QRT225" s="1201"/>
      <c r="QRU225" s="1201"/>
      <c r="QRV225" s="1201"/>
      <c r="QRW225" s="1201"/>
      <c r="QRX225" s="1201"/>
      <c r="QRY225" s="1201"/>
      <c r="QRZ225" s="1201"/>
      <c r="QSA225" s="1201"/>
      <c r="QSB225" s="1201"/>
      <c r="QSC225" s="1201"/>
      <c r="QSD225" s="1201"/>
      <c r="QSE225" s="1201"/>
      <c r="QSF225" s="1201"/>
      <c r="QSG225" s="1201"/>
      <c r="QSH225" s="1201"/>
      <c r="QSI225" s="1201"/>
      <c r="QSJ225" s="1201"/>
      <c r="QSK225" s="1201"/>
      <c r="QSL225" s="1201"/>
      <c r="QSM225" s="1201"/>
      <c r="QSN225" s="1201"/>
      <c r="QSO225" s="1201"/>
      <c r="QSP225" s="1201"/>
      <c r="QSQ225" s="1201"/>
      <c r="QSR225" s="1201"/>
      <c r="QSS225" s="1201"/>
      <c r="QST225" s="1201"/>
      <c r="QSU225" s="1201"/>
      <c r="QSV225" s="1201"/>
      <c r="QSW225" s="1201"/>
      <c r="QSX225" s="1201"/>
      <c r="QSY225" s="1201"/>
      <c r="QSZ225" s="1201"/>
      <c r="QTA225" s="1201"/>
      <c r="QTB225" s="1201"/>
      <c r="QTC225" s="1201"/>
      <c r="QTD225" s="1201"/>
      <c r="QTE225" s="1201"/>
      <c r="QTF225" s="1201"/>
      <c r="QTG225" s="1201"/>
      <c r="QTH225" s="1201"/>
      <c r="QTI225" s="1201"/>
      <c r="QTJ225" s="1201"/>
      <c r="QTK225" s="1201"/>
      <c r="QTL225" s="1201"/>
      <c r="QTM225" s="1201"/>
      <c r="QTN225" s="1201"/>
      <c r="QTO225" s="1201"/>
      <c r="QTP225" s="1201"/>
      <c r="QTQ225" s="1201"/>
      <c r="QTR225" s="1201"/>
      <c r="QTS225" s="1201"/>
      <c r="QTT225" s="1201"/>
      <c r="QTU225" s="1201"/>
      <c r="QTV225" s="1201"/>
      <c r="QTW225" s="1201"/>
      <c r="QTX225" s="1201"/>
      <c r="QTY225" s="1201"/>
      <c r="QTZ225" s="1201"/>
      <c r="QUA225" s="1201"/>
      <c r="QUB225" s="1201"/>
      <c r="QUC225" s="1201"/>
      <c r="QUD225" s="1201"/>
      <c r="QUE225" s="1201"/>
      <c r="QUF225" s="1201"/>
      <c r="QUG225" s="1201"/>
      <c r="QUH225" s="1201"/>
      <c r="QUI225" s="1201"/>
      <c r="QUJ225" s="1201"/>
      <c r="QUK225" s="1201"/>
      <c r="QUL225" s="1201"/>
      <c r="QUM225" s="1201"/>
      <c r="QUN225" s="1201"/>
      <c r="QUO225" s="1201"/>
      <c r="QUP225" s="1201"/>
      <c r="QUQ225" s="1201"/>
      <c r="QUR225" s="1201"/>
      <c r="QUS225" s="1201"/>
      <c r="QUT225" s="1201"/>
      <c r="QUU225" s="1201"/>
      <c r="QUV225" s="1201"/>
      <c r="QUW225" s="1201"/>
      <c r="QUX225" s="1201"/>
      <c r="QUY225" s="1201"/>
      <c r="QUZ225" s="1201"/>
      <c r="QVA225" s="1201"/>
      <c r="QVB225" s="1201"/>
      <c r="QVC225" s="1201"/>
      <c r="QVD225" s="1201"/>
      <c r="QVE225" s="1201"/>
      <c r="QVF225" s="1201"/>
      <c r="QVG225" s="1201"/>
      <c r="QVH225" s="1201"/>
      <c r="QVI225" s="1201"/>
      <c r="QVJ225" s="1201"/>
      <c r="QVK225" s="1201"/>
      <c r="QVL225" s="1201"/>
      <c r="QVM225" s="1201"/>
      <c r="QVN225" s="1201"/>
      <c r="QVO225" s="1201"/>
      <c r="QVP225" s="1201"/>
      <c r="QVQ225" s="1201"/>
      <c r="QVR225" s="1201"/>
      <c r="QVS225" s="1201"/>
      <c r="QVT225" s="1201"/>
      <c r="QVU225" s="1201"/>
      <c r="QVV225" s="1201"/>
      <c r="QVW225" s="1201"/>
      <c r="QVX225" s="1201"/>
      <c r="QVY225" s="1201"/>
      <c r="QVZ225" s="1201"/>
      <c r="QWA225" s="1201"/>
      <c r="QWB225" s="1201"/>
      <c r="QWC225" s="1201"/>
      <c r="QWD225" s="1201"/>
      <c r="QWE225" s="1201"/>
      <c r="QWF225" s="1201"/>
      <c r="QWG225" s="1201"/>
      <c r="QWH225" s="1201"/>
      <c r="QWI225" s="1201"/>
      <c r="QWJ225" s="1201"/>
      <c r="QWK225" s="1201"/>
      <c r="QWL225" s="1201"/>
      <c r="QWM225" s="1201"/>
      <c r="QWN225" s="1201"/>
      <c r="QWO225" s="1201"/>
      <c r="QWP225" s="1201"/>
      <c r="QWQ225" s="1201"/>
      <c r="QWR225" s="1201"/>
      <c r="QWS225" s="1201"/>
      <c r="QWT225" s="1201"/>
      <c r="QWU225" s="1201"/>
      <c r="QWV225" s="1201"/>
      <c r="QWW225" s="1201"/>
      <c r="QWX225" s="1201"/>
      <c r="QWY225" s="1201"/>
      <c r="QWZ225" s="1201"/>
      <c r="QXA225" s="1201"/>
      <c r="QXB225" s="1201"/>
      <c r="QXC225" s="1201"/>
      <c r="QXD225" s="1201"/>
      <c r="QXE225" s="1201"/>
      <c r="QXF225" s="1201"/>
      <c r="QXG225" s="1201"/>
      <c r="QXH225" s="1201"/>
      <c r="QXI225" s="1201"/>
      <c r="QXJ225" s="1201"/>
      <c r="QXK225" s="1201"/>
      <c r="QXL225" s="1201"/>
      <c r="QXM225" s="1201"/>
      <c r="QXN225" s="1201"/>
      <c r="QXO225" s="1201"/>
      <c r="QXP225" s="1201"/>
      <c r="QXQ225" s="1201"/>
      <c r="QXR225" s="1201"/>
      <c r="QXS225" s="1201"/>
      <c r="QXT225" s="1201"/>
      <c r="QXU225" s="1201"/>
      <c r="QXV225" s="1201"/>
      <c r="QXW225" s="1201"/>
      <c r="QXX225" s="1201"/>
      <c r="QXY225" s="1201"/>
      <c r="QXZ225" s="1201"/>
      <c r="QYA225" s="1201"/>
      <c r="QYB225" s="1201"/>
      <c r="QYC225" s="1201"/>
      <c r="QYD225" s="1201"/>
      <c r="QYE225" s="1201"/>
      <c r="QYF225" s="1201"/>
      <c r="QYG225" s="1201"/>
      <c r="QYH225" s="1201"/>
      <c r="QYI225" s="1201"/>
      <c r="QYJ225" s="1201"/>
      <c r="QYK225" s="1201"/>
      <c r="QYL225" s="1201"/>
      <c r="QYM225" s="1201"/>
      <c r="QYN225" s="1201"/>
      <c r="QYO225" s="1201"/>
      <c r="QYP225" s="1201"/>
      <c r="QYQ225" s="1201"/>
      <c r="QYR225" s="1201"/>
      <c r="QYS225" s="1201"/>
      <c r="QYT225" s="1201"/>
      <c r="QYU225" s="1201"/>
      <c r="QYV225" s="1201"/>
      <c r="QYW225" s="1201"/>
      <c r="QYX225" s="1201"/>
      <c r="QYY225" s="1201"/>
      <c r="QYZ225" s="1201"/>
      <c r="QZA225" s="1201"/>
      <c r="QZB225" s="1201"/>
      <c r="QZC225" s="1201"/>
      <c r="QZD225" s="1201"/>
      <c r="QZE225" s="1201"/>
      <c r="QZF225" s="1201"/>
      <c r="QZG225" s="1201"/>
      <c r="QZH225" s="1201"/>
      <c r="QZI225" s="1201"/>
      <c r="QZJ225" s="1201"/>
      <c r="QZK225" s="1201"/>
      <c r="QZL225" s="1201"/>
      <c r="QZM225" s="1201"/>
      <c r="QZN225" s="1201"/>
      <c r="QZO225" s="1201"/>
      <c r="QZP225" s="1201"/>
      <c r="QZQ225" s="1201"/>
      <c r="QZR225" s="1201"/>
      <c r="QZS225" s="1201"/>
      <c r="QZT225" s="1201"/>
      <c r="QZU225" s="1201"/>
      <c r="QZV225" s="1201"/>
      <c r="QZW225" s="1201"/>
      <c r="QZX225" s="1201"/>
      <c r="QZY225" s="1201"/>
      <c r="QZZ225" s="1201"/>
      <c r="RAA225" s="1201"/>
      <c r="RAB225" s="1201"/>
      <c r="RAC225" s="1201"/>
      <c r="RAD225" s="1201"/>
      <c r="RAE225" s="1201"/>
      <c r="RAF225" s="1201"/>
      <c r="RAG225" s="1201"/>
      <c r="RAH225" s="1201"/>
      <c r="RAI225" s="1201"/>
      <c r="RAJ225" s="1201"/>
      <c r="RAK225" s="1201"/>
      <c r="RAL225" s="1201"/>
      <c r="RAM225" s="1201"/>
      <c r="RAN225" s="1201"/>
      <c r="RAO225" s="1201"/>
      <c r="RAP225" s="1201"/>
      <c r="RAQ225" s="1201"/>
      <c r="RAR225" s="1201"/>
      <c r="RAS225" s="1201"/>
      <c r="RAT225" s="1201"/>
      <c r="RAU225" s="1201"/>
      <c r="RAV225" s="1201"/>
      <c r="RAW225" s="1201"/>
      <c r="RAX225" s="1201"/>
      <c r="RAY225" s="1201"/>
      <c r="RAZ225" s="1201"/>
      <c r="RBA225" s="1201"/>
      <c r="RBB225" s="1201"/>
      <c r="RBC225" s="1201"/>
      <c r="RBD225" s="1201"/>
      <c r="RBE225" s="1201"/>
      <c r="RBF225" s="1201"/>
      <c r="RBG225" s="1201"/>
      <c r="RBH225" s="1201"/>
      <c r="RBI225" s="1201"/>
      <c r="RBJ225" s="1201"/>
      <c r="RBK225" s="1201"/>
      <c r="RBL225" s="1201"/>
      <c r="RBM225" s="1201"/>
      <c r="RBN225" s="1201"/>
      <c r="RBO225" s="1201"/>
      <c r="RBP225" s="1201"/>
      <c r="RBQ225" s="1201"/>
      <c r="RBR225" s="1201"/>
      <c r="RBS225" s="1201"/>
      <c r="RBT225" s="1201"/>
      <c r="RBU225" s="1201"/>
      <c r="RBV225" s="1201"/>
      <c r="RBW225" s="1201"/>
      <c r="RBX225" s="1201"/>
      <c r="RBY225" s="1201"/>
      <c r="RBZ225" s="1201"/>
      <c r="RCA225" s="1201"/>
      <c r="RCB225" s="1201"/>
      <c r="RCC225" s="1201"/>
      <c r="RCD225" s="1201"/>
      <c r="RCE225" s="1201"/>
      <c r="RCF225" s="1201"/>
      <c r="RCG225" s="1201"/>
      <c r="RCH225" s="1201"/>
      <c r="RCI225" s="1201"/>
      <c r="RCJ225" s="1201"/>
      <c r="RCK225" s="1201"/>
      <c r="RCL225" s="1201"/>
      <c r="RCM225" s="1201"/>
      <c r="RCN225" s="1201"/>
      <c r="RCO225" s="1201"/>
      <c r="RCP225" s="1201"/>
      <c r="RCQ225" s="1201"/>
      <c r="RCR225" s="1201"/>
      <c r="RCS225" s="1201"/>
      <c r="RCT225" s="1201"/>
      <c r="RCU225" s="1201"/>
      <c r="RCV225" s="1201"/>
      <c r="RCW225" s="1201"/>
      <c r="RCX225" s="1201"/>
      <c r="RCY225" s="1201"/>
      <c r="RCZ225" s="1201"/>
      <c r="RDA225" s="1201"/>
      <c r="RDB225" s="1201"/>
      <c r="RDC225" s="1201"/>
      <c r="RDD225" s="1201"/>
      <c r="RDE225" s="1201"/>
      <c r="RDF225" s="1201"/>
      <c r="RDG225" s="1201"/>
      <c r="RDH225" s="1201"/>
      <c r="RDI225" s="1201"/>
      <c r="RDJ225" s="1201"/>
      <c r="RDK225" s="1201"/>
      <c r="RDL225" s="1201"/>
      <c r="RDM225" s="1201"/>
      <c r="RDN225" s="1201"/>
      <c r="RDO225" s="1201"/>
      <c r="RDP225" s="1201"/>
      <c r="RDQ225" s="1201"/>
      <c r="RDR225" s="1201"/>
      <c r="RDS225" s="1201"/>
      <c r="RDT225" s="1201"/>
      <c r="RDU225" s="1201"/>
      <c r="RDV225" s="1201"/>
      <c r="RDW225" s="1201"/>
      <c r="RDX225" s="1201"/>
      <c r="RDY225" s="1201"/>
      <c r="RDZ225" s="1201"/>
      <c r="REA225" s="1201"/>
      <c r="REB225" s="1201"/>
      <c r="REC225" s="1201"/>
      <c r="RED225" s="1201"/>
      <c r="REE225" s="1201"/>
      <c r="REF225" s="1201"/>
      <c r="REG225" s="1201"/>
      <c r="REH225" s="1201"/>
      <c r="REI225" s="1201"/>
      <c r="REJ225" s="1201"/>
      <c r="REK225" s="1201"/>
      <c r="REL225" s="1201"/>
      <c r="REM225" s="1201"/>
      <c r="REN225" s="1201"/>
      <c r="REO225" s="1201"/>
      <c r="REP225" s="1201"/>
      <c r="REQ225" s="1201"/>
      <c r="RER225" s="1201"/>
      <c r="RES225" s="1201"/>
      <c r="RET225" s="1201"/>
      <c r="REU225" s="1201"/>
      <c r="REV225" s="1201"/>
      <c r="REW225" s="1201"/>
      <c r="REX225" s="1201"/>
      <c r="REY225" s="1201"/>
      <c r="REZ225" s="1201"/>
      <c r="RFA225" s="1201"/>
      <c r="RFB225" s="1201"/>
      <c r="RFC225" s="1201"/>
      <c r="RFD225" s="1201"/>
      <c r="RFE225" s="1201"/>
      <c r="RFF225" s="1201"/>
      <c r="RFG225" s="1201"/>
      <c r="RFH225" s="1201"/>
      <c r="RFI225" s="1201"/>
      <c r="RFJ225" s="1201"/>
      <c r="RFK225" s="1201"/>
      <c r="RFL225" s="1201"/>
      <c r="RFM225" s="1201"/>
      <c r="RFN225" s="1201"/>
      <c r="RFO225" s="1201"/>
      <c r="RFP225" s="1201"/>
      <c r="RFQ225" s="1201"/>
      <c r="RFR225" s="1201"/>
      <c r="RFS225" s="1201"/>
      <c r="RFT225" s="1201"/>
      <c r="RFU225" s="1201"/>
      <c r="RFV225" s="1201"/>
      <c r="RFW225" s="1201"/>
      <c r="RFX225" s="1201"/>
      <c r="RFY225" s="1201"/>
      <c r="RFZ225" s="1201"/>
      <c r="RGA225" s="1201"/>
      <c r="RGB225" s="1201"/>
      <c r="RGC225" s="1201"/>
      <c r="RGD225" s="1201"/>
      <c r="RGE225" s="1201"/>
      <c r="RGF225" s="1201"/>
      <c r="RGG225" s="1201"/>
      <c r="RGH225" s="1201"/>
      <c r="RGI225" s="1201"/>
      <c r="RGJ225" s="1201"/>
      <c r="RGK225" s="1201"/>
      <c r="RGL225" s="1201"/>
      <c r="RGM225" s="1201"/>
      <c r="RGN225" s="1201"/>
      <c r="RGO225" s="1201"/>
      <c r="RGP225" s="1201"/>
      <c r="RGQ225" s="1201"/>
      <c r="RGR225" s="1201"/>
      <c r="RGS225" s="1201"/>
      <c r="RGT225" s="1201"/>
      <c r="RGU225" s="1201"/>
      <c r="RGV225" s="1201"/>
      <c r="RGW225" s="1201"/>
      <c r="RGX225" s="1201"/>
      <c r="RGY225" s="1201"/>
      <c r="RGZ225" s="1201"/>
      <c r="RHA225" s="1201"/>
      <c r="RHB225" s="1201"/>
      <c r="RHC225" s="1201"/>
      <c r="RHD225" s="1201"/>
      <c r="RHE225" s="1201"/>
      <c r="RHF225" s="1201"/>
      <c r="RHG225" s="1201"/>
      <c r="RHH225" s="1201"/>
      <c r="RHI225" s="1201"/>
      <c r="RHJ225" s="1201"/>
      <c r="RHK225" s="1201"/>
      <c r="RHL225" s="1201"/>
      <c r="RHM225" s="1201"/>
      <c r="RHN225" s="1201"/>
      <c r="RHO225" s="1201"/>
      <c r="RHP225" s="1201"/>
      <c r="RHQ225" s="1201"/>
      <c r="RHR225" s="1201"/>
      <c r="RHS225" s="1201"/>
      <c r="RHT225" s="1201"/>
      <c r="RHU225" s="1201"/>
      <c r="RHV225" s="1201"/>
      <c r="RHW225" s="1201"/>
      <c r="RHX225" s="1201"/>
      <c r="RHY225" s="1201"/>
      <c r="RHZ225" s="1201"/>
      <c r="RIA225" s="1201"/>
      <c r="RIB225" s="1201"/>
      <c r="RIC225" s="1201"/>
      <c r="RID225" s="1201"/>
      <c r="RIE225" s="1201"/>
      <c r="RIF225" s="1201"/>
      <c r="RIG225" s="1201"/>
      <c r="RIH225" s="1201"/>
      <c r="RII225" s="1201"/>
      <c r="RIJ225" s="1201"/>
      <c r="RIK225" s="1201"/>
      <c r="RIL225" s="1201"/>
      <c r="RIM225" s="1201"/>
      <c r="RIN225" s="1201"/>
      <c r="RIO225" s="1201"/>
      <c r="RIP225" s="1201"/>
      <c r="RIQ225" s="1201"/>
      <c r="RIR225" s="1201"/>
      <c r="RIS225" s="1201"/>
      <c r="RIT225" s="1201"/>
      <c r="RIU225" s="1201"/>
      <c r="RIV225" s="1201"/>
      <c r="RIW225" s="1201"/>
      <c r="RIX225" s="1201"/>
      <c r="RIY225" s="1201"/>
      <c r="RIZ225" s="1201"/>
      <c r="RJA225" s="1201"/>
      <c r="RJB225" s="1201"/>
      <c r="RJC225" s="1201"/>
      <c r="RJD225" s="1201"/>
      <c r="RJE225" s="1201"/>
      <c r="RJF225" s="1201"/>
      <c r="RJG225" s="1201"/>
      <c r="RJH225" s="1201"/>
      <c r="RJI225" s="1201"/>
      <c r="RJJ225" s="1201"/>
      <c r="RJK225" s="1201"/>
      <c r="RJL225" s="1201"/>
      <c r="RJM225" s="1201"/>
      <c r="RJN225" s="1201"/>
      <c r="RJO225" s="1201"/>
      <c r="RJP225" s="1201"/>
      <c r="RJQ225" s="1201"/>
      <c r="RJR225" s="1201"/>
      <c r="RJS225" s="1201"/>
      <c r="RJT225" s="1201"/>
      <c r="RJU225" s="1201"/>
      <c r="RJV225" s="1201"/>
      <c r="RJW225" s="1201"/>
      <c r="RJX225" s="1201"/>
      <c r="RJY225" s="1201"/>
      <c r="RJZ225" s="1201"/>
      <c r="RKA225" s="1201"/>
      <c r="RKB225" s="1201"/>
      <c r="RKC225" s="1201"/>
      <c r="RKD225" s="1201"/>
      <c r="RKE225" s="1201"/>
      <c r="RKF225" s="1201"/>
      <c r="RKG225" s="1201"/>
      <c r="RKH225" s="1201"/>
      <c r="RKI225" s="1201"/>
      <c r="RKJ225" s="1201"/>
      <c r="RKK225" s="1201"/>
      <c r="RKL225" s="1201"/>
      <c r="RKM225" s="1201"/>
      <c r="RKN225" s="1201"/>
      <c r="RKO225" s="1201"/>
      <c r="RKP225" s="1201"/>
      <c r="RKQ225" s="1201"/>
      <c r="RKR225" s="1201"/>
      <c r="RKS225" s="1201"/>
      <c r="RKT225" s="1201"/>
      <c r="RKU225" s="1201"/>
      <c r="RKV225" s="1201"/>
      <c r="RKW225" s="1201"/>
      <c r="RKX225" s="1201"/>
      <c r="RKY225" s="1201"/>
      <c r="RKZ225" s="1201"/>
      <c r="RLA225" s="1201"/>
      <c r="RLB225" s="1201"/>
      <c r="RLC225" s="1201"/>
      <c r="RLD225" s="1201"/>
      <c r="RLE225" s="1201"/>
      <c r="RLF225" s="1201"/>
      <c r="RLG225" s="1201"/>
      <c r="RLH225" s="1201"/>
      <c r="RLI225" s="1201"/>
      <c r="RLJ225" s="1201"/>
      <c r="RLK225" s="1201"/>
      <c r="RLL225" s="1201"/>
      <c r="RLM225" s="1201"/>
      <c r="RLN225" s="1201"/>
      <c r="RLO225" s="1201"/>
      <c r="RLP225" s="1201"/>
      <c r="RLQ225" s="1201"/>
      <c r="RLR225" s="1201"/>
      <c r="RLS225" s="1201"/>
      <c r="RLT225" s="1201"/>
      <c r="RLU225" s="1201"/>
      <c r="RLV225" s="1201"/>
      <c r="RLW225" s="1201"/>
      <c r="RLX225" s="1201"/>
      <c r="RLY225" s="1201"/>
      <c r="RLZ225" s="1201"/>
      <c r="RMA225" s="1201"/>
      <c r="RMB225" s="1201"/>
      <c r="RMC225" s="1201"/>
      <c r="RMD225" s="1201"/>
      <c r="RME225" s="1201"/>
      <c r="RMF225" s="1201"/>
      <c r="RMG225" s="1201"/>
      <c r="RMH225" s="1201"/>
      <c r="RMI225" s="1201"/>
      <c r="RMJ225" s="1201"/>
      <c r="RMK225" s="1201"/>
      <c r="RML225" s="1201"/>
      <c r="RMM225" s="1201"/>
      <c r="RMN225" s="1201"/>
      <c r="RMO225" s="1201"/>
      <c r="RMP225" s="1201"/>
      <c r="RMQ225" s="1201"/>
      <c r="RMR225" s="1201"/>
      <c r="RMS225" s="1201"/>
      <c r="RMT225" s="1201"/>
      <c r="RMU225" s="1201"/>
      <c r="RMV225" s="1201"/>
      <c r="RMW225" s="1201"/>
      <c r="RMX225" s="1201"/>
      <c r="RMY225" s="1201"/>
      <c r="RMZ225" s="1201"/>
      <c r="RNA225" s="1201"/>
      <c r="RNB225" s="1201"/>
      <c r="RNC225" s="1201"/>
      <c r="RND225" s="1201"/>
      <c r="RNE225" s="1201"/>
      <c r="RNF225" s="1201"/>
      <c r="RNG225" s="1201"/>
      <c r="RNH225" s="1201"/>
      <c r="RNI225" s="1201"/>
      <c r="RNJ225" s="1201"/>
      <c r="RNK225" s="1201"/>
      <c r="RNL225" s="1201"/>
      <c r="RNM225" s="1201"/>
      <c r="RNN225" s="1201"/>
      <c r="RNO225" s="1201"/>
      <c r="RNP225" s="1201"/>
      <c r="RNQ225" s="1201"/>
      <c r="RNR225" s="1201"/>
      <c r="RNS225" s="1201"/>
      <c r="RNT225" s="1201"/>
      <c r="RNU225" s="1201"/>
      <c r="RNV225" s="1201"/>
      <c r="RNW225" s="1201"/>
      <c r="RNX225" s="1201"/>
      <c r="RNY225" s="1201"/>
      <c r="RNZ225" s="1201"/>
      <c r="ROA225" s="1201"/>
      <c r="ROB225" s="1201"/>
      <c r="ROC225" s="1201"/>
      <c r="ROD225" s="1201"/>
      <c r="ROE225" s="1201"/>
      <c r="ROF225" s="1201"/>
      <c r="ROG225" s="1201"/>
      <c r="ROH225" s="1201"/>
      <c r="ROI225" s="1201"/>
      <c r="ROJ225" s="1201"/>
      <c r="ROK225" s="1201"/>
      <c r="ROL225" s="1201"/>
      <c r="ROM225" s="1201"/>
      <c r="RON225" s="1201"/>
      <c r="ROO225" s="1201"/>
      <c r="ROP225" s="1201"/>
      <c r="ROQ225" s="1201"/>
      <c r="ROR225" s="1201"/>
      <c r="ROS225" s="1201"/>
      <c r="ROT225" s="1201"/>
      <c r="ROU225" s="1201"/>
      <c r="ROV225" s="1201"/>
      <c r="ROW225" s="1201"/>
      <c r="ROX225" s="1201"/>
      <c r="ROY225" s="1201"/>
      <c r="ROZ225" s="1201"/>
      <c r="RPA225" s="1201"/>
      <c r="RPB225" s="1201"/>
      <c r="RPC225" s="1201"/>
      <c r="RPD225" s="1201"/>
      <c r="RPE225" s="1201"/>
      <c r="RPF225" s="1201"/>
      <c r="RPG225" s="1201"/>
      <c r="RPH225" s="1201"/>
      <c r="RPI225" s="1201"/>
      <c r="RPJ225" s="1201"/>
      <c r="RPK225" s="1201"/>
      <c r="RPL225" s="1201"/>
      <c r="RPM225" s="1201"/>
      <c r="RPN225" s="1201"/>
      <c r="RPO225" s="1201"/>
      <c r="RPP225" s="1201"/>
      <c r="RPQ225" s="1201"/>
      <c r="RPR225" s="1201"/>
      <c r="RPS225" s="1201"/>
      <c r="RPT225" s="1201"/>
      <c r="RPU225" s="1201"/>
      <c r="RPV225" s="1201"/>
      <c r="RPW225" s="1201"/>
      <c r="RPX225" s="1201"/>
      <c r="RPY225" s="1201"/>
      <c r="RPZ225" s="1201"/>
      <c r="RQA225" s="1201"/>
      <c r="RQB225" s="1201"/>
      <c r="RQC225" s="1201"/>
      <c r="RQD225" s="1201"/>
      <c r="RQE225" s="1201"/>
      <c r="RQF225" s="1201"/>
      <c r="RQG225" s="1201"/>
      <c r="RQH225" s="1201"/>
      <c r="RQI225" s="1201"/>
      <c r="RQJ225" s="1201"/>
      <c r="RQK225" s="1201"/>
      <c r="RQL225" s="1201"/>
      <c r="RQM225" s="1201"/>
      <c r="RQN225" s="1201"/>
      <c r="RQO225" s="1201"/>
      <c r="RQP225" s="1201"/>
      <c r="RQQ225" s="1201"/>
      <c r="RQR225" s="1201"/>
      <c r="RQS225" s="1201"/>
      <c r="RQT225" s="1201"/>
      <c r="RQU225" s="1201"/>
      <c r="RQV225" s="1201"/>
      <c r="RQW225" s="1201"/>
      <c r="RQX225" s="1201"/>
      <c r="RQY225" s="1201"/>
      <c r="RQZ225" s="1201"/>
      <c r="RRA225" s="1201"/>
      <c r="RRB225" s="1201"/>
      <c r="RRC225" s="1201"/>
      <c r="RRD225" s="1201"/>
      <c r="RRE225" s="1201"/>
      <c r="RRF225" s="1201"/>
      <c r="RRG225" s="1201"/>
      <c r="RRH225" s="1201"/>
      <c r="RRI225" s="1201"/>
      <c r="RRJ225" s="1201"/>
      <c r="RRK225" s="1201"/>
      <c r="RRL225" s="1201"/>
      <c r="RRM225" s="1201"/>
      <c r="RRN225" s="1201"/>
      <c r="RRO225" s="1201"/>
      <c r="RRP225" s="1201"/>
      <c r="RRQ225" s="1201"/>
      <c r="RRR225" s="1201"/>
      <c r="RRS225" s="1201"/>
      <c r="RRT225" s="1201"/>
      <c r="RRU225" s="1201"/>
      <c r="RRV225" s="1201"/>
      <c r="RRW225" s="1201"/>
      <c r="RRX225" s="1201"/>
      <c r="RRY225" s="1201"/>
      <c r="RRZ225" s="1201"/>
      <c r="RSA225" s="1201"/>
      <c r="RSB225" s="1201"/>
      <c r="RSC225" s="1201"/>
      <c r="RSD225" s="1201"/>
      <c r="RSE225" s="1201"/>
      <c r="RSF225" s="1201"/>
      <c r="RSG225" s="1201"/>
      <c r="RSH225" s="1201"/>
      <c r="RSI225" s="1201"/>
      <c r="RSJ225" s="1201"/>
      <c r="RSK225" s="1201"/>
      <c r="RSL225" s="1201"/>
      <c r="RSM225" s="1201"/>
      <c r="RSN225" s="1201"/>
      <c r="RSO225" s="1201"/>
      <c r="RSP225" s="1201"/>
      <c r="RSQ225" s="1201"/>
      <c r="RSR225" s="1201"/>
      <c r="RSS225" s="1201"/>
      <c r="RST225" s="1201"/>
      <c r="RSU225" s="1201"/>
      <c r="RSV225" s="1201"/>
      <c r="RSW225" s="1201"/>
      <c r="RSX225" s="1201"/>
      <c r="RSY225" s="1201"/>
      <c r="RSZ225" s="1201"/>
      <c r="RTA225" s="1201"/>
      <c r="RTB225" s="1201"/>
      <c r="RTC225" s="1201"/>
      <c r="RTD225" s="1201"/>
      <c r="RTE225" s="1201"/>
      <c r="RTF225" s="1201"/>
      <c r="RTG225" s="1201"/>
      <c r="RTH225" s="1201"/>
      <c r="RTI225" s="1201"/>
      <c r="RTJ225" s="1201"/>
      <c r="RTK225" s="1201"/>
      <c r="RTL225" s="1201"/>
      <c r="RTM225" s="1201"/>
      <c r="RTN225" s="1201"/>
      <c r="RTO225" s="1201"/>
      <c r="RTP225" s="1201"/>
      <c r="RTQ225" s="1201"/>
      <c r="RTR225" s="1201"/>
      <c r="RTS225" s="1201"/>
      <c r="RTT225" s="1201"/>
      <c r="RTU225" s="1201"/>
      <c r="RTV225" s="1201"/>
      <c r="RTW225" s="1201"/>
      <c r="RTX225" s="1201"/>
      <c r="RTY225" s="1201"/>
      <c r="RTZ225" s="1201"/>
      <c r="RUA225" s="1201"/>
      <c r="RUB225" s="1201"/>
      <c r="RUC225" s="1201"/>
      <c r="RUD225" s="1201"/>
      <c r="RUE225" s="1201"/>
      <c r="RUF225" s="1201"/>
      <c r="RUG225" s="1201"/>
      <c r="RUH225" s="1201"/>
      <c r="RUI225" s="1201"/>
      <c r="RUJ225" s="1201"/>
      <c r="RUK225" s="1201"/>
      <c r="RUL225" s="1201"/>
      <c r="RUM225" s="1201"/>
      <c r="RUN225" s="1201"/>
      <c r="RUO225" s="1201"/>
      <c r="RUP225" s="1201"/>
      <c r="RUQ225" s="1201"/>
      <c r="RUR225" s="1201"/>
      <c r="RUS225" s="1201"/>
      <c r="RUT225" s="1201"/>
      <c r="RUU225" s="1201"/>
      <c r="RUV225" s="1201"/>
      <c r="RUW225" s="1201"/>
      <c r="RUX225" s="1201"/>
      <c r="RUY225" s="1201"/>
      <c r="RUZ225" s="1201"/>
      <c r="RVA225" s="1201"/>
      <c r="RVB225" s="1201"/>
      <c r="RVC225" s="1201"/>
      <c r="RVD225" s="1201"/>
      <c r="RVE225" s="1201"/>
      <c r="RVF225" s="1201"/>
      <c r="RVG225" s="1201"/>
      <c r="RVH225" s="1201"/>
      <c r="RVI225" s="1201"/>
      <c r="RVJ225" s="1201"/>
      <c r="RVK225" s="1201"/>
      <c r="RVL225" s="1201"/>
      <c r="RVM225" s="1201"/>
      <c r="RVN225" s="1201"/>
      <c r="RVO225" s="1201"/>
      <c r="RVP225" s="1201"/>
      <c r="RVQ225" s="1201"/>
      <c r="RVR225" s="1201"/>
      <c r="RVS225" s="1201"/>
      <c r="RVT225" s="1201"/>
      <c r="RVU225" s="1201"/>
      <c r="RVV225" s="1201"/>
      <c r="RVW225" s="1201"/>
      <c r="RVX225" s="1201"/>
      <c r="RVY225" s="1201"/>
      <c r="RVZ225" s="1201"/>
      <c r="RWA225" s="1201"/>
      <c r="RWB225" s="1201"/>
      <c r="RWC225" s="1201"/>
      <c r="RWD225" s="1201"/>
      <c r="RWE225" s="1201"/>
      <c r="RWF225" s="1201"/>
      <c r="RWG225" s="1201"/>
      <c r="RWH225" s="1201"/>
      <c r="RWI225" s="1201"/>
      <c r="RWJ225" s="1201"/>
      <c r="RWK225" s="1201"/>
      <c r="RWL225" s="1201"/>
      <c r="RWM225" s="1201"/>
      <c r="RWN225" s="1201"/>
      <c r="RWO225" s="1201"/>
      <c r="RWP225" s="1201"/>
      <c r="RWQ225" s="1201"/>
      <c r="RWR225" s="1201"/>
      <c r="RWS225" s="1201"/>
      <c r="RWT225" s="1201"/>
      <c r="RWU225" s="1201"/>
      <c r="RWV225" s="1201"/>
      <c r="RWW225" s="1201"/>
      <c r="RWX225" s="1201"/>
      <c r="RWY225" s="1201"/>
      <c r="RWZ225" s="1201"/>
      <c r="RXA225" s="1201"/>
      <c r="RXB225" s="1201"/>
      <c r="RXC225" s="1201"/>
      <c r="RXD225" s="1201"/>
      <c r="RXE225" s="1201"/>
      <c r="RXF225" s="1201"/>
      <c r="RXG225" s="1201"/>
      <c r="RXH225" s="1201"/>
      <c r="RXI225" s="1201"/>
      <c r="RXJ225" s="1201"/>
      <c r="RXK225" s="1201"/>
      <c r="RXL225" s="1201"/>
      <c r="RXM225" s="1201"/>
      <c r="RXN225" s="1201"/>
      <c r="RXO225" s="1201"/>
      <c r="RXP225" s="1201"/>
      <c r="RXQ225" s="1201"/>
      <c r="RXR225" s="1201"/>
      <c r="RXS225" s="1201"/>
      <c r="RXT225" s="1201"/>
      <c r="RXU225" s="1201"/>
      <c r="RXV225" s="1201"/>
      <c r="RXW225" s="1201"/>
      <c r="RXX225" s="1201"/>
      <c r="RXY225" s="1201"/>
      <c r="RXZ225" s="1201"/>
      <c r="RYA225" s="1201"/>
      <c r="RYB225" s="1201"/>
      <c r="RYC225" s="1201"/>
      <c r="RYD225" s="1201"/>
      <c r="RYE225" s="1201"/>
      <c r="RYF225" s="1201"/>
      <c r="RYG225" s="1201"/>
      <c r="RYH225" s="1201"/>
      <c r="RYI225" s="1201"/>
      <c r="RYJ225" s="1201"/>
      <c r="RYK225" s="1201"/>
      <c r="RYL225" s="1201"/>
      <c r="RYM225" s="1201"/>
      <c r="RYN225" s="1201"/>
      <c r="RYO225" s="1201"/>
      <c r="RYP225" s="1201"/>
      <c r="RYQ225" s="1201"/>
      <c r="RYR225" s="1201"/>
      <c r="RYS225" s="1201"/>
      <c r="RYT225" s="1201"/>
      <c r="RYU225" s="1201"/>
      <c r="RYV225" s="1201"/>
      <c r="RYW225" s="1201"/>
      <c r="RYX225" s="1201"/>
      <c r="RYY225" s="1201"/>
      <c r="RYZ225" s="1201"/>
      <c r="RZA225" s="1201"/>
      <c r="RZB225" s="1201"/>
      <c r="RZC225" s="1201"/>
      <c r="RZD225" s="1201"/>
      <c r="RZE225" s="1201"/>
      <c r="RZF225" s="1201"/>
      <c r="RZG225" s="1201"/>
      <c r="RZH225" s="1201"/>
      <c r="RZI225" s="1201"/>
      <c r="RZJ225" s="1201"/>
      <c r="RZK225" s="1201"/>
      <c r="RZL225" s="1201"/>
      <c r="RZM225" s="1201"/>
      <c r="RZN225" s="1201"/>
      <c r="RZO225" s="1201"/>
      <c r="RZP225" s="1201"/>
      <c r="RZQ225" s="1201"/>
      <c r="RZR225" s="1201"/>
      <c r="RZS225" s="1201"/>
      <c r="RZT225" s="1201"/>
      <c r="RZU225" s="1201"/>
      <c r="RZV225" s="1201"/>
      <c r="RZW225" s="1201"/>
      <c r="RZX225" s="1201"/>
      <c r="RZY225" s="1201"/>
      <c r="RZZ225" s="1201"/>
      <c r="SAA225" s="1201"/>
      <c r="SAB225" s="1201"/>
      <c r="SAC225" s="1201"/>
      <c r="SAD225" s="1201"/>
      <c r="SAE225" s="1201"/>
      <c r="SAF225" s="1201"/>
      <c r="SAG225" s="1201"/>
      <c r="SAH225" s="1201"/>
      <c r="SAI225" s="1201"/>
      <c r="SAJ225" s="1201"/>
      <c r="SAK225" s="1201"/>
      <c r="SAL225" s="1201"/>
      <c r="SAM225" s="1201"/>
      <c r="SAN225" s="1201"/>
      <c r="SAO225" s="1201"/>
      <c r="SAP225" s="1201"/>
      <c r="SAQ225" s="1201"/>
      <c r="SAR225" s="1201"/>
      <c r="SAS225" s="1201"/>
      <c r="SAT225" s="1201"/>
      <c r="SAU225" s="1201"/>
      <c r="SAV225" s="1201"/>
      <c r="SAW225" s="1201"/>
      <c r="SAX225" s="1201"/>
      <c r="SAY225" s="1201"/>
      <c r="SAZ225" s="1201"/>
      <c r="SBA225" s="1201"/>
      <c r="SBB225" s="1201"/>
      <c r="SBC225" s="1201"/>
      <c r="SBD225" s="1201"/>
      <c r="SBE225" s="1201"/>
      <c r="SBF225" s="1201"/>
      <c r="SBG225" s="1201"/>
      <c r="SBH225" s="1201"/>
      <c r="SBI225" s="1201"/>
      <c r="SBJ225" s="1201"/>
      <c r="SBK225" s="1201"/>
      <c r="SBL225" s="1201"/>
      <c r="SBM225" s="1201"/>
      <c r="SBN225" s="1201"/>
      <c r="SBO225" s="1201"/>
      <c r="SBP225" s="1201"/>
      <c r="SBQ225" s="1201"/>
      <c r="SBR225" s="1201"/>
      <c r="SBS225" s="1201"/>
      <c r="SBT225" s="1201"/>
      <c r="SBU225" s="1201"/>
      <c r="SBV225" s="1201"/>
      <c r="SBW225" s="1201"/>
      <c r="SBX225" s="1201"/>
      <c r="SBY225" s="1201"/>
      <c r="SBZ225" s="1201"/>
      <c r="SCA225" s="1201"/>
      <c r="SCB225" s="1201"/>
      <c r="SCC225" s="1201"/>
      <c r="SCD225" s="1201"/>
      <c r="SCE225" s="1201"/>
      <c r="SCF225" s="1201"/>
      <c r="SCG225" s="1201"/>
      <c r="SCH225" s="1201"/>
      <c r="SCI225" s="1201"/>
      <c r="SCJ225" s="1201"/>
      <c r="SCK225" s="1201"/>
      <c r="SCL225" s="1201"/>
      <c r="SCM225" s="1201"/>
      <c r="SCN225" s="1201"/>
      <c r="SCO225" s="1201"/>
      <c r="SCP225" s="1201"/>
      <c r="SCQ225" s="1201"/>
      <c r="SCR225" s="1201"/>
      <c r="SCS225" s="1201"/>
      <c r="SCT225" s="1201"/>
      <c r="SCU225" s="1201"/>
      <c r="SCV225" s="1201"/>
      <c r="SCW225" s="1201"/>
      <c r="SCX225" s="1201"/>
      <c r="SCY225" s="1201"/>
      <c r="SCZ225" s="1201"/>
      <c r="SDA225" s="1201"/>
      <c r="SDB225" s="1201"/>
      <c r="SDC225" s="1201"/>
      <c r="SDD225" s="1201"/>
      <c r="SDE225" s="1201"/>
      <c r="SDF225" s="1201"/>
      <c r="SDG225" s="1201"/>
      <c r="SDH225" s="1201"/>
      <c r="SDI225" s="1201"/>
      <c r="SDJ225" s="1201"/>
      <c r="SDK225" s="1201"/>
      <c r="SDL225" s="1201"/>
      <c r="SDM225" s="1201"/>
      <c r="SDN225" s="1201"/>
      <c r="SDO225" s="1201"/>
      <c r="SDP225" s="1201"/>
      <c r="SDQ225" s="1201"/>
      <c r="SDR225" s="1201"/>
      <c r="SDS225" s="1201"/>
      <c r="SDT225" s="1201"/>
      <c r="SDU225" s="1201"/>
      <c r="SDV225" s="1201"/>
      <c r="SDW225" s="1201"/>
      <c r="SDX225" s="1201"/>
      <c r="SDY225" s="1201"/>
      <c r="SDZ225" s="1201"/>
      <c r="SEA225" s="1201"/>
      <c r="SEB225" s="1201"/>
      <c r="SEC225" s="1201"/>
      <c r="SED225" s="1201"/>
      <c r="SEE225" s="1201"/>
      <c r="SEF225" s="1201"/>
      <c r="SEG225" s="1201"/>
      <c r="SEH225" s="1201"/>
      <c r="SEI225" s="1201"/>
      <c r="SEJ225" s="1201"/>
      <c r="SEK225" s="1201"/>
      <c r="SEL225" s="1201"/>
      <c r="SEM225" s="1201"/>
      <c r="SEN225" s="1201"/>
      <c r="SEO225" s="1201"/>
      <c r="SEP225" s="1201"/>
      <c r="SEQ225" s="1201"/>
      <c r="SER225" s="1201"/>
      <c r="SES225" s="1201"/>
      <c r="SET225" s="1201"/>
      <c r="SEU225" s="1201"/>
      <c r="SEV225" s="1201"/>
      <c r="SEW225" s="1201"/>
      <c r="SEX225" s="1201"/>
      <c r="SEY225" s="1201"/>
      <c r="SEZ225" s="1201"/>
      <c r="SFA225" s="1201"/>
      <c r="SFB225" s="1201"/>
      <c r="SFC225" s="1201"/>
      <c r="SFD225" s="1201"/>
      <c r="SFE225" s="1201"/>
      <c r="SFF225" s="1201"/>
      <c r="SFG225" s="1201"/>
      <c r="SFH225" s="1201"/>
      <c r="SFI225" s="1201"/>
      <c r="SFJ225" s="1201"/>
      <c r="SFK225" s="1201"/>
      <c r="SFL225" s="1201"/>
      <c r="SFM225" s="1201"/>
      <c r="SFN225" s="1201"/>
      <c r="SFO225" s="1201"/>
      <c r="SFP225" s="1201"/>
      <c r="SFQ225" s="1201"/>
      <c r="SFR225" s="1201"/>
      <c r="SFS225" s="1201"/>
      <c r="SFT225" s="1201"/>
      <c r="SFU225" s="1201"/>
      <c r="SFV225" s="1201"/>
      <c r="SFW225" s="1201"/>
      <c r="SFX225" s="1201"/>
      <c r="SFY225" s="1201"/>
      <c r="SFZ225" s="1201"/>
      <c r="SGA225" s="1201"/>
      <c r="SGB225" s="1201"/>
      <c r="SGC225" s="1201"/>
      <c r="SGD225" s="1201"/>
      <c r="SGE225" s="1201"/>
      <c r="SGF225" s="1201"/>
      <c r="SGG225" s="1201"/>
      <c r="SGH225" s="1201"/>
      <c r="SGI225" s="1201"/>
      <c r="SGJ225" s="1201"/>
      <c r="SGK225" s="1201"/>
      <c r="SGL225" s="1201"/>
      <c r="SGM225" s="1201"/>
      <c r="SGN225" s="1201"/>
      <c r="SGO225" s="1201"/>
      <c r="SGP225" s="1201"/>
      <c r="SGQ225" s="1201"/>
      <c r="SGR225" s="1201"/>
      <c r="SGS225" s="1201"/>
      <c r="SGT225" s="1201"/>
      <c r="SGU225" s="1201"/>
      <c r="SGV225" s="1201"/>
      <c r="SGW225" s="1201"/>
      <c r="SGX225" s="1201"/>
      <c r="SGY225" s="1201"/>
      <c r="SGZ225" s="1201"/>
      <c r="SHA225" s="1201"/>
      <c r="SHB225" s="1201"/>
      <c r="SHC225" s="1201"/>
      <c r="SHD225" s="1201"/>
      <c r="SHE225" s="1201"/>
      <c r="SHF225" s="1201"/>
      <c r="SHG225" s="1201"/>
      <c r="SHH225" s="1201"/>
      <c r="SHI225" s="1201"/>
      <c r="SHJ225" s="1201"/>
      <c r="SHK225" s="1201"/>
      <c r="SHL225" s="1201"/>
      <c r="SHM225" s="1201"/>
      <c r="SHN225" s="1201"/>
      <c r="SHO225" s="1201"/>
      <c r="SHP225" s="1201"/>
      <c r="SHQ225" s="1201"/>
      <c r="SHR225" s="1201"/>
      <c r="SHS225" s="1201"/>
      <c r="SHT225" s="1201"/>
      <c r="SHU225" s="1201"/>
      <c r="SHV225" s="1201"/>
      <c r="SHW225" s="1201"/>
      <c r="SHX225" s="1201"/>
      <c r="SHY225" s="1201"/>
      <c r="SHZ225" s="1201"/>
      <c r="SIA225" s="1201"/>
      <c r="SIB225" s="1201"/>
      <c r="SIC225" s="1201"/>
      <c r="SID225" s="1201"/>
      <c r="SIE225" s="1201"/>
      <c r="SIF225" s="1201"/>
      <c r="SIG225" s="1201"/>
      <c r="SIH225" s="1201"/>
      <c r="SII225" s="1201"/>
      <c r="SIJ225" s="1201"/>
      <c r="SIK225" s="1201"/>
      <c r="SIL225" s="1201"/>
      <c r="SIM225" s="1201"/>
      <c r="SIN225" s="1201"/>
      <c r="SIO225" s="1201"/>
      <c r="SIP225" s="1201"/>
      <c r="SIQ225" s="1201"/>
      <c r="SIR225" s="1201"/>
      <c r="SIS225" s="1201"/>
      <c r="SIT225" s="1201"/>
      <c r="SIU225" s="1201"/>
      <c r="SIV225" s="1201"/>
      <c r="SIW225" s="1201"/>
      <c r="SIX225" s="1201"/>
      <c r="SIY225" s="1201"/>
      <c r="SIZ225" s="1201"/>
      <c r="SJA225" s="1201"/>
      <c r="SJB225" s="1201"/>
      <c r="SJC225" s="1201"/>
      <c r="SJD225" s="1201"/>
      <c r="SJE225" s="1201"/>
      <c r="SJF225" s="1201"/>
      <c r="SJG225" s="1201"/>
      <c r="SJH225" s="1201"/>
      <c r="SJI225" s="1201"/>
      <c r="SJJ225" s="1201"/>
      <c r="SJK225" s="1201"/>
      <c r="SJL225" s="1201"/>
      <c r="SJM225" s="1201"/>
      <c r="SJN225" s="1201"/>
      <c r="SJO225" s="1201"/>
      <c r="SJP225" s="1201"/>
      <c r="SJQ225" s="1201"/>
      <c r="SJR225" s="1201"/>
      <c r="SJS225" s="1201"/>
      <c r="SJT225" s="1201"/>
      <c r="SJU225" s="1201"/>
      <c r="SJV225" s="1201"/>
      <c r="SJW225" s="1201"/>
      <c r="SJX225" s="1201"/>
      <c r="SJY225" s="1201"/>
      <c r="SJZ225" s="1201"/>
      <c r="SKA225" s="1201"/>
      <c r="SKB225" s="1201"/>
      <c r="SKC225" s="1201"/>
      <c r="SKD225" s="1201"/>
      <c r="SKE225" s="1201"/>
      <c r="SKF225" s="1201"/>
      <c r="SKG225" s="1201"/>
      <c r="SKH225" s="1201"/>
      <c r="SKI225" s="1201"/>
      <c r="SKJ225" s="1201"/>
      <c r="SKK225" s="1201"/>
      <c r="SKL225" s="1201"/>
      <c r="SKM225" s="1201"/>
      <c r="SKN225" s="1201"/>
      <c r="SKO225" s="1201"/>
      <c r="SKP225" s="1201"/>
      <c r="SKQ225" s="1201"/>
      <c r="SKR225" s="1201"/>
      <c r="SKS225" s="1201"/>
      <c r="SKT225" s="1201"/>
      <c r="SKU225" s="1201"/>
      <c r="SKV225" s="1201"/>
      <c r="SKW225" s="1201"/>
      <c r="SKX225" s="1201"/>
      <c r="SKY225" s="1201"/>
      <c r="SKZ225" s="1201"/>
      <c r="SLA225" s="1201"/>
      <c r="SLB225" s="1201"/>
      <c r="SLC225" s="1201"/>
      <c r="SLD225" s="1201"/>
      <c r="SLE225" s="1201"/>
      <c r="SLF225" s="1201"/>
      <c r="SLG225" s="1201"/>
      <c r="SLH225" s="1201"/>
      <c r="SLI225" s="1201"/>
      <c r="SLJ225" s="1201"/>
      <c r="SLK225" s="1201"/>
      <c r="SLL225" s="1201"/>
      <c r="SLM225" s="1201"/>
      <c r="SLN225" s="1201"/>
      <c r="SLO225" s="1201"/>
      <c r="SLP225" s="1201"/>
      <c r="SLQ225" s="1201"/>
      <c r="SLR225" s="1201"/>
      <c r="SLS225" s="1201"/>
      <c r="SLT225" s="1201"/>
      <c r="SLU225" s="1201"/>
      <c r="SLV225" s="1201"/>
      <c r="SLW225" s="1201"/>
      <c r="SLX225" s="1201"/>
      <c r="SLY225" s="1201"/>
      <c r="SLZ225" s="1201"/>
      <c r="SMA225" s="1201"/>
      <c r="SMB225" s="1201"/>
      <c r="SMC225" s="1201"/>
      <c r="SMD225" s="1201"/>
      <c r="SME225" s="1201"/>
      <c r="SMF225" s="1201"/>
      <c r="SMG225" s="1201"/>
      <c r="SMH225" s="1201"/>
      <c r="SMI225" s="1201"/>
      <c r="SMJ225" s="1201"/>
      <c r="SMK225" s="1201"/>
      <c r="SML225" s="1201"/>
      <c r="SMM225" s="1201"/>
      <c r="SMN225" s="1201"/>
      <c r="SMO225" s="1201"/>
      <c r="SMP225" s="1201"/>
      <c r="SMQ225" s="1201"/>
      <c r="SMR225" s="1201"/>
      <c r="SMS225" s="1201"/>
      <c r="SMT225" s="1201"/>
      <c r="SMU225" s="1201"/>
      <c r="SMV225" s="1201"/>
      <c r="SMW225" s="1201"/>
      <c r="SMX225" s="1201"/>
      <c r="SMY225" s="1201"/>
      <c r="SMZ225" s="1201"/>
      <c r="SNA225" s="1201"/>
      <c r="SNB225" s="1201"/>
      <c r="SNC225" s="1201"/>
      <c r="SND225" s="1201"/>
      <c r="SNE225" s="1201"/>
      <c r="SNF225" s="1201"/>
      <c r="SNG225" s="1201"/>
      <c r="SNH225" s="1201"/>
      <c r="SNI225" s="1201"/>
      <c r="SNJ225" s="1201"/>
      <c r="SNK225" s="1201"/>
      <c r="SNL225" s="1201"/>
      <c r="SNM225" s="1201"/>
      <c r="SNN225" s="1201"/>
      <c r="SNO225" s="1201"/>
      <c r="SNP225" s="1201"/>
      <c r="SNQ225" s="1201"/>
      <c r="SNR225" s="1201"/>
      <c r="SNS225" s="1201"/>
      <c r="SNT225" s="1201"/>
      <c r="SNU225" s="1201"/>
      <c r="SNV225" s="1201"/>
      <c r="SNW225" s="1201"/>
      <c r="SNX225" s="1201"/>
      <c r="SNY225" s="1201"/>
      <c r="SNZ225" s="1201"/>
      <c r="SOA225" s="1201"/>
      <c r="SOB225" s="1201"/>
      <c r="SOC225" s="1201"/>
      <c r="SOD225" s="1201"/>
      <c r="SOE225" s="1201"/>
      <c r="SOF225" s="1201"/>
      <c r="SOG225" s="1201"/>
      <c r="SOH225" s="1201"/>
      <c r="SOI225" s="1201"/>
      <c r="SOJ225" s="1201"/>
      <c r="SOK225" s="1201"/>
      <c r="SOL225" s="1201"/>
      <c r="SOM225" s="1201"/>
      <c r="SON225" s="1201"/>
      <c r="SOO225" s="1201"/>
      <c r="SOP225" s="1201"/>
      <c r="SOQ225" s="1201"/>
      <c r="SOR225" s="1201"/>
      <c r="SOS225" s="1201"/>
      <c r="SOT225" s="1201"/>
      <c r="SOU225" s="1201"/>
      <c r="SOV225" s="1201"/>
      <c r="SOW225" s="1201"/>
      <c r="SOX225" s="1201"/>
      <c r="SOY225" s="1201"/>
      <c r="SOZ225" s="1201"/>
      <c r="SPA225" s="1201"/>
      <c r="SPB225" s="1201"/>
      <c r="SPC225" s="1201"/>
      <c r="SPD225" s="1201"/>
      <c r="SPE225" s="1201"/>
      <c r="SPF225" s="1201"/>
      <c r="SPG225" s="1201"/>
      <c r="SPH225" s="1201"/>
      <c r="SPI225" s="1201"/>
      <c r="SPJ225" s="1201"/>
      <c r="SPK225" s="1201"/>
      <c r="SPL225" s="1201"/>
      <c r="SPM225" s="1201"/>
      <c r="SPN225" s="1201"/>
      <c r="SPO225" s="1201"/>
      <c r="SPP225" s="1201"/>
      <c r="SPQ225" s="1201"/>
      <c r="SPR225" s="1201"/>
      <c r="SPS225" s="1201"/>
      <c r="SPT225" s="1201"/>
      <c r="SPU225" s="1201"/>
      <c r="SPV225" s="1201"/>
      <c r="SPW225" s="1201"/>
      <c r="SPX225" s="1201"/>
      <c r="SPY225" s="1201"/>
      <c r="SPZ225" s="1201"/>
      <c r="SQA225" s="1201"/>
      <c r="SQB225" s="1201"/>
      <c r="SQC225" s="1201"/>
      <c r="SQD225" s="1201"/>
      <c r="SQE225" s="1201"/>
      <c r="SQF225" s="1201"/>
      <c r="SQG225" s="1201"/>
      <c r="SQH225" s="1201"/>
      <c r="SQI225" s="1201"/>
      <c r="SQJ225" s="1201"/>
      <c r="SQK225" s="1201"/>
      <c r="SQL225" s="1201"/>
      <c r="SQM225" s="1201"/>
      <c r="SQN225" s="1201"/>
      <c r="SQO225" s="1201"/>
      <c r="SQP225" s="1201"/>
      <c r="SQQ225" s="1201"/>
      <c r="SQR225" s="1201"/>
      <c r="SQS225" s="1201"/>
      <c r="SQT225" s="1201"/>
      <c r="SQU225" s="1201"/>
      <c r="SQV225" s="1201"/>
      <c r="SQW225" s="1201"/>
      <c r="SQX225" s="1201"/>
      <c r="SQY225" s="1201"/>
      <c r="SQZ225" s="1201"/>
      <c r="SRA225" s="1201"/>
      <c r="SRB225" s="1201"/>
      <c r="SRC225" s="1201"/>
      <c r="SRD225" s="1201"/>
      <c r="SRE225" s="1201"/>
      <c r="SRF225" s="1201"/>
      <c r="SRG225" s="1201"/>
      <c r="SRH225" s="1201"/>
      <c r="SRI225" s="1201"/>
      <c r="SRJ225" s="1201"/>
      <c r="SRK225" s="1201"/>
      <c r="SRL225" s="1201"/>
      <c r="SRM225" s="1201"/>
      <c r="SRN225" s="1201"/>
      <c r="SRO225" s="1201"/>
      <c r="SRP225" s="1201"/>
      <c r="SRQ225" s="1201"/>
      <c r="SRR225" s="1201"/>
      <c r="SRS225" s="1201"/>
      <c r="SRT225" s="1201"/>
      <c r="SRU225" s="1201"/>
      <c r="SRV225" s="1201"/>
      <c r="SRW225" s="1201"/>
      <c r="SRX225" s="1201"/>
      <c r="SRY225" s="1201"/>
      <c r="SRZ225" s="1201"/>
      <c r="SSA225" s="1201"/>
      <c r="SSB225" s="1201"/>
      <c r="SSC225" s="1201"/>
      <c r="SSD225" s="1201"/>
      <c r="SSE225" s="1201"/>
      <c r="SSF225" s="1201"/>
      <c r="SSG225" s="1201"/>
      <c r="SSH225" s="1201"/>
      <c r="SSI225" s="1201"/>
      <c r="SSJ225" s="1201"/>
      <c r="SSK225" s="1201"/>
      <c r="SSL225" s="1201"/>
      <c r="SSM225" s="1201"/>
      <c r="SSN225" s="1201"/>
      <c r="SSO225" s="1201"/>
      <c r="SSP225" s="1201"/>
      <c r="SSQ225" s="1201"/>
      <c r="SSR225" s="1201"/>
      <c r="SSS225" s="1201"/>
      <c r="SST225" s="1201"/>
      <c r="SSU225" s="1201"/>
      <c r="SSV225" s="1201"/>
      <c r="SSW225" s="1201"/>
      <c r="SSX225" s="1201"/>
      <c r="SSY225" s="1201"/>
      <c r="SSZ225" s="1201"/>
      <c r="STA225" s="1201"/>
      <c r="STB225" s="1201"/>
      <c r="STC225" s="1201"/>
      <c r="STD225" s="1201"/>
      <c r="STE225" s="1201"/>
      <c r="STF225" s="1201"/>
      <c r="STG225" s="1201"/>
      <c r="STH225" s="1201"/>
      <c r="STI225" s="1201"/>
      <c r="STJ225" s="1201"/>
      <c r="STK225" s="1201"/>
      <c r="STL225" s="1201"/>
      <c r="STM225" s="1201"/>
      <c r="STN225" s="1201"/>
      <c r="STO225" s="1201"/>
      <c r="STP225" s="1201"/>
      <c r="STQ225" s="1201"/>
      <c r="STR225" s="1201"/>
      <c r="STS225" s="1201"/>
      <c r="STT225" s="1201"/>
      <c r="STU225" s="1201"/>
      <c r="STV225" s="1201"/>
      <c r="STW225" s="1201"/>
      <c r="STX225" s="1201"/>
      <c r="STY225" s="1201"/>
      <c r="STZ225" s="1201"/>
      <c r="SUA225" s="1201"/>
      <c r="SUB225" s="1201"/>
      <c r="SUC225" s="1201"/>
      <c r="SUD225" s="1201"/>
      <c r="SUE225" s="1201"/>
      <c r="SUF225" s="1201"/>
      <c r="SUG225" s="1201"/>
      <c r="SUH225" s="1201"/>
      <c r="SUI225" s="1201"/>
      <c r="SUJ225" s="1201"/>
      <c r="SUK225" s="1201"/>
      <c r="SUL225" s="1201"/>
      <c r="SUM225" s="1201"/>
      <c r="SUN225" s="1201"/>
      <c r="SUO225" s="1201"/>
      <c r="SUP225" s="1201"/>
      <c r="SUQ225" s="1201"/>
      <c r="SUR225" s="1201"/>
      <c r="SUS225" s="1201"/>
      <c r="SUT225" s="1201"/>
      <c r="SUU225" s="1201"/>
      <c r="SUV225" s="1201"/>
      <c r="SUW225" s="1201"/>
      <c r="SUX225" s="1201"/>
      <c r="SUY225" s="1201"/>
      <c r="SUZ225" s="1201"/>
      <c r="SVA225" s="1201"/>
      <c r="SVB225" s="1201"/>
      <c r="SVC225" s="1201"/>
      <c r="SVD225" s="1201"/>
      <c r="SVE225" s="1201"/>
      <c r="SVF225" s="1201"/>
      <c r="SVG225" s="1201"/>
      <c r="SVH225" s="1201"/>
      <c r="SVI225" s="1201"/>
      <c r="SVJ225" s="1201"/>
      <c r="SVK225" s="1201"/>
      <c r="SVL225" s="1201"/>
      <c r="SVM225" s="1201"/>
      <c r="SVN225" s="1201"/>
      <c r="SVO225" s="1201"/>
      <c r="SVP225" s="1201"/>
      <c r="SVQ225" s="1201"/>
      <c r="SVR225" s="1201"/>
      <c r="SVS225" s="1201"/>
      <c r="SVT225" s="1201"/>
      <c r="SVU225" s="1201"/>
      <c r="SVV225" s="1201"/>
      <c r="SVW225" s="1201"/>
      <c r="SVX225" s="1201"/>
      <c r="SVY225" s="1201"/>
      <c r="SVZ225" s="1201"/>
      <c r="SWA225" s="1201"/>
      <c r="SWB225" s="1201"/>
      <c r="SWC225" s="1201"/>
      <c r="SWD225" s="1201"/>
      <c r="SWE225" s="1201"/>
      <c r="SWF225" s="1201"/>
      <c r="SWG225" s="1201"/>
      <c r="SWH225" s="1201"/>
      <c r="SWI225" s="1201"/>
      <c r="SWJ225" s="1201"/>
      <c r="SWK225" s="1201"/>
      <c r="SWL225" s="1201"/>
      <c r="SWM225" s="1201"/>
      <c r="SWN225" s="1201"/>
      <c r="SWO225" s="1201"/>
      <c r="SWP225" s="1201"/>
      <c r="SWQ225" s="1201"/>
      <c r="SWR225" s="1201"/>
      <c r="SWS225" s="1201"/>
      <c r="SWT225" s="1201"/>
      <c r="SWU225" s="1201"/>
      <c r="SWV225" s="1201"/>
      <c r="SWW225" s="1201"/>
      <c r="SWX225" s="1201"/>
      <c r="SWY225" s="1201"/>
      <c r="SWZ225" s="1201"/>
      <c r="SXA225" s="1201"/>
      <c r="SXB225" s="1201"/>
      <c r="SXC225" s="1201"/>
      <c r="SXD225" s="1201"/>
      <c r="SXE225" s="1201"/>
      <c r="SXF225" s="1201"/>
      <c r="SXG225" s="1201"/>
      <c r="SXH225" s="1201"/>
      <c r="SXI225" s="1201"/>
      <c r="SXJ225" s="1201"/>
      <c r="SXK225" s="1201"/>
      <c r="SXL225" s="1201"/>
      <c r="SXM225" s="1201"/>
      <c r="SXN225" s="1201"/>
      <c r="SXO225" s="1201"/>
      <c r="SXP225" s="1201"/>
      <c r="SXQ225" s="1201"/>
      <c r="SXR225" s="1201"/>
      <c r="SXS225" s="1201"/>
      <c r="SXT225" s="1201"/>
      <c r="SXU225" s="1201"/>
      <c r="SXV225" s="1201"/>
      <c r="SXW225" s="1201"/>
      <c r="SXX225" s="1201"/>
      <c r="SXY225" s="1201"/>
      <c r="SXZ225" s="1201"/>
      <c r="SYA225" s="1201"/>
      <c r="SYB225" s="1201"/>
      <c r="SYC225" s="1201"/>
      <c r="SYD225" s="1201"/>
      <c r="SYE225" s="1201"/>
      <c r="SYF225" s="1201"/>
      <c r="SYG225" s="1201"/>
      <c r="SYH225" s="1201"/>
      <c r="SYI225" s="1201"/>
      <c r="SYJ225" s="1201"/>
      <c r="SYK225" s="1201"/>
      <c r="SYL225" s="1201"/>
      <c r="SYM225" s="1201"/>
      <c r="SYN225" s="1201"/>
      <c r="SYO225" s="1201"/>
      <c r="SYP225" s="1201"/>
      <c r="SYQ225" s="1201"/>
      <c r="SYR225" s="1201"/>
      <c r="SYS225" s="1201"/>
      <c r="SYT225" s="1201"/>
      <c r="SYU225" s="1201"/>
      <c r="SYV225" s="1201"/>
      <c r="SYW225" s="1201"/>
      <c r="SYX225" s="1201"/>
      <c r="SYY225" s="1201"/>
      <c r="SYZ225" s="1201"/>
      <c r="SZA225" s="1201"/>
      <c r="SZB225" s="1201"/>
      <c r="SZC225" s="1201"/>
      <c r="SZD225" s="1201"/>
      <c r="SZE225" s="1201"/>
      <c r="SZF225" s="1201"/>
      <c r="SZG225" s="1201"/>
      <c r="SZH225" s="1201"/>
      <c r="SZI225" s="1201"/>
      <c r="SZJ225" s="1201"/>
      <c r="SZK225" s="1201"/>
      <c r="SZL225" s="1201"/>
      <c r="SZM225" s="1201"/>
      <c r="SZN225" s="1201"/>
      <c r="SZO225" s="1201"/>
      <c r="SZP225" s="1201"/>
      <c r="SZQ225" s="1201"/>
      <c r="SZR225" s="1201"/>
      <c r="SZS225" s="1201"/>
      <c r="SZT225" s="1201"/>
      <c r="SZU225" s="1201"/>
      <c r="SZV225" s="1201"/>
      <c r="SZW225" s="1201"/>
      <c r="SZX225" s="1201"/>
      <c r="SZY225" s="1201"/>
      <c r="SZZ225" s="1201"/>
      <c r="TAA225" s="1201"/>
      <c r="TAB225" s="1201"/>
      <c r="TAC225" s="1201"/>
      <c r="TAD225" s="1201"/>
      <c r="TAE225" s="1201"/>
      <c r="TAF225" s="1201"/>
      <c r="TAG225" s="1201"/>
      <c r="TAH225" s="1201"/>
      <c r="TAI225" s="1201"/>
      <c r="TAJ225" s="1201"/>
      <c r="TAK225" s="1201"/>
      <c r="TAL225" s="1201"/>
      <c r="TAM225" s="1201"/>
      <c r="TAN225" s="1201"/>
      <c r="TAO225" s="1201"/>
      <c r="TAP225" s="1201"/>
      <c r="TAQ225" s="1201"/>
      <c r="TAR225" s="1201"/>
      <c r="TAS225" s="1201"/>
      <c r="TAT225" s="1201"/>
      <c r="TAU225" s="1201"/>
      <c r="TAV225" s="1201"/>
      <c r="TAW225" s="1201"/>
      <c r="TAX225" s="1201"/>
      <c r="TAY225" s="1201"/>
      <c r="TAZ225" s="1201"/>
      <c r="TBA225" s="1201"/>
      <c r="TBB225" s="1201"/>
      <c r="TBC225" s="1201"/>
      <c r="TBD225" s="1201"/>
      <c r="TBE225" s="1201"/>
      <c r="TBF225" s="1201"/>
      <c r="TBG225" s="1201"/>
      <c r="TBH225" s="1201"/>
      <c r="TBI225" s="1201"/>
      <c r="TBJ225" s="1201"/>
      <c r="TBK225" s="1201"/>
      <c r="TBL225" s="1201"/>
      <c r="TBM225" s="1201"/>
      <c r="TBN225" s="1201"/>
      <c r="TBO225" s="1201"/>
      <c r="TBP225" s="1201"/>
      <c r="TBQ225" s="1201"/>
      <c r="TBR225" s="1201"/>
      <c r="TBS225" s="1201"/>
      <c r="TBT225" s="1201"/>
      <c r="TBU225" s="1201"/>
      <c r="TBV225" s="1201"/>
      <c r="TBW225" s="1201"/>
      <c r="TBX225" s="1201"/>
      <c r="TBY225" s="1201"/>
      <c r="TBZ225" s="1201"/>
      <c r="TCA225" s="1201"/>
      <c r="TCB225" s="1201"/>
      <c r="TCC225" s="1201"/>
      <c r="TCD225" s="1201"/>
      <c r="TCE225" s="1201"/>
      <c r="TCF225" s="1201"/>
      <c r="TCG225" s="1201"/>
      <c r="TCH225" s="1201"/>
      <c r="TCI225" s="1201"/>
      <c r="TCJ225" s="1201"/>
      <c r="TCK225" s="1201"/>
      <c r="TCL225" s="1201"/>
      <c r="TCM225" s="1201"/>
      <c r="TCN225" s="1201"/>
      <c r="TCO225" s="1201"/>
      <c r="TCP225" s="1201"/>
      <c r="TCQ225" s="1201"/>
      <c r="TCR225" s="1201"/>
      <c r="TCS225" s="1201"/>
      <c r="TCT225" s="1201"/>
      <c r="TCU225" s="1201"/>
      <c r="TCV225" s="1201"/>
      <c r="TCW225" s="1201"/>
      <c r="TCX225" s="1201"/>
      <c r="TCY225" s="1201"/>
      <c r="TCZ225" s="1201"/>
      <c r="TDA225" s="1201"/>
      <c r="TDB225" s="1201"/>
      <c r="TDC225" s="1201"/>
      <c r="TDD225" s="1201"/>
      <c r="TDE225" s="1201"/>
      <c r="TDF225" s="1201"/>
      <c r="TDG225" s="1201"/>
      <c r="TDH225" s="1201"/>
      <c r="TDI225" s="1201"/>
      <c r="TDJ225" s="1201"/>
      <c r="TDK225" s="1201"/>
      <c r="TDL225" s="1201"/>
      <c r="TDM225" s="1201"/>
      <c r="TDN225" s="1201"/>
      <c r="TDO225" s="1201"/>
      <c r="TDP225" s="1201"/>
      <c r="TDQ225" s="1201"/>
      <c r="TDR225" s="1201"/>
      <c r="TDS225" s="1201"/>
      <c r="TDT225" s="1201"/>
      <c r="TDU225" s="1201"/>
      <c r="TDV225" s="1201"/>
      <c r="TDW225" s="1201"/>
      <c r="TDX225" s="1201"/>
      <c r="TDY225" s="1201"/>
      <c r="TDZ225" s="1201"/>
      <c r="TEA225" s="1201"/>
      <c r="TEB225" s="1201"/>
      <c r="TEC225" s="1201"/>
      <c r="TED225" s="1201"/>
      <c r="TEE225" s="1201"/>
      <c r="TEF225" s="1201"/>
      <c r="TEG225" s="1201"/>
      <c r="TEH225" s="1201"/>
      <c r="TEI225" s="1201"/>
      <c r="TEJ225" s="1201"/>
      <c r="TEK225" s="1201"/>
      <c r="TEL225" s="1201"/>
      <c r="TEM225" s="1201"/>
      <c r="TEN225" s="1201"/>
      <c r="TEO225" s="1201"/>
      <c r="TEP225" s="1201"/>
      <c r="TEQ225" s="1201"/>
      <c r="TER225" s="1201"/>
      <c r="TES225" s="1201"/>
      <c r="TET225" s="1201"/>
      <c r="TEU225" s="1201"/>
      <c r="TEV225" s="1201"/>
      <c r="TEW225" s="1201"/>
      <c r="TEX225" s="1201"/>
      <c r="TEY225" s="1201"/>
      <c r="TEZ225" s="1201"/>
      <c r="TFA225" s="1201"/>
      <c r="TFB225" s="1201"/>
      <c r="TFC225" s="1201"/>
      <c r="TFD225" s="1201"/>
      <c r="TFE225" s="1201"/>
      <c r="TFF225" s="1201"/>
      <c r="TFG225" s="1201"/>
      <c r="TFH225" s="1201"/>
      <c r="TFI225" s="1201"/>
      <c r="TFJ225" s="1201"/>
      <c r="TFK225" s="1201"/>
      <c r="TFL225" s="1201"/>
      <c r="TFM225" s="1201"/>
      <c r="TFN225" s="1201"/>
      <c r="TFO225" s="1201"/>
      <c r="TFP225" s="1201"/>
      <c r="TFQ225" s="1201"/>
      <c r="TFR225" s="1201"/>
      <c r="TFS225" s="1201"/>
      <c r="TFT225" s="1201"/>
      <c r="TFU225" s="1201"/>
      <c r="TFV225" s="1201"/>
      <c r="TFW225" s="1201"/>
      <c r="TFX225" s="1201"/>
      <c r="TFY225" s="1201"/>
      <c r="TFZ225" s="1201"/>
      <c r="TGA225" s="1201"/>
      <c r="TGB225" s="1201"/>
      <c r="TGC225" s="1201"/>
      <c r="TGD225" s="1201"/>
      <c r="TGE225" s="1201"/>
      <c r="TGF225" s="1201"/>
      <c r="TGG225" s="1201"/>
      <c r="TGH225" s="1201"/>
      <c r="TGI225" s="1201"/>
      <c r="TGJ225" s="1201"/>
      <c r="TGK225" s="1201"/>
      <c r="TGL225" s="1201"/>
      <c r="TGM225" s="1201"/>
      <c r="TGN225" s="1201"/>
      <c r="TGO225" s="1201"/>
      <c r="TGP225" s="1201"/>
      <c r="TGQ225" s="1201"/>
      <c r="TGR225" s="1201"/>
      <c r="TGS225" s="1201"/>
      <c r="TGT225" s="1201"/>
      <c r="TGU225" s="1201"/>
      <c r="TGV225" s="1201"/>
      <c r="TGW225" s="1201"/>
      <c r="TGX225" s="1201"/>
      <c r="TGY225" s="1201"/>
      <c r="TGZ225" s="1201"/>
      <c r="THA225" s="1201"/>
      <c r="THB225" s="1201"/>
      <c r="THC225" s="1201"/>
      <c r="THD225" s="1201"/>
      <c r="THE225" s="1201"/>
      <c r="THF225" s="1201"/>
      <c r="THG225" s="1201"/>
      <c r="THH225" s="1201"/>
      <c r="THI225" s="1201"/>
      <c r="THJ225" s="1201"/>
      <c r="THK225" s="1201"/>
      <c r="THL225" s="1201"/>
      <c r="THM225" s="1201"/>
      <c r="THN225" s="1201"/>
      <c r="THO225" s="1201"/>
      <c r="THP225" s="1201"/>
      <c r="THQ225" s="1201"/>
      <c r="THR225" s="1201"/>
      <c r="THS225" s="1201"/>
      <c r="THT225" s="1201"/>
      <c r="THU225" s="1201"/>
      <c r="THV225" s="1201"/>
      <c r="THW225" s="1201"/>
      <c r="THX225" s="1201"/>
      <c r="THY225" s="1201"/>
      <c r="THZ225" s="1201"/>
      <c r="TIA225" s="1201"/>
      <c r="TIB225" s="1201"/>
      <c r="TIC225" s="1201"/>
      <c r="TID225" s="1201"/>
      <c r="TIE225" s="1201"/>
      <c r="TIF225" s="1201"/>
      <c r="TIG225" s="1201"/>
      <c r="TIH225" s="1201"/>
      <c r="TII225" s="1201"/>
      <c r="TIJ225" s="1201"/>
      <c r="TIK225" s="1201"/>
      <c r="TIL225" s="1201"/>
      <c r="TIM225" s="1201"/>
      <c r="TIN225" s="1201"/>
      <c r="TIO225" s="1201"/>
      <c r="TIP225" s="1201"/>
      <c r="TIQ225" s="1201"/>
      <c r="TIR225" s="1201"/>
      <c r="TIS225" s="1201"/>
      <c r="TIT225" s="1201"/>
      <c r="TIU225" s="1201"/>
      <c r="TIV225" s="1201"/>
      <c r="TIW225" s="1201"/>
      <c r="TIX225" s="1201"/>
      <c r="TIY225" s="1201"/>
      <c r="TIZ225" s="1201"/>
      <c r="TJA225" s="1201"/>
      <c r="TJB225" s="1201"/>
      <c r="TJC225" s="1201"/>
      <c r="TJD225" s="1201"/>
      <c r="TJE225" s="1201"/>
      <c r="TJF225" s="1201"/>
      <c r="TJG225" s="1201"/>
      <c r="TJH225" s="1201"/>
      <c r="TJI225" s="1201"/>
      <c r="TJJ225" s="1201"/>
      <c r="TJK225" s="1201"/>
      <c r="TJL225" s="1201"/>
      <c r="TJM225" s="1201"/>
      <c r="TJN225" s="1201"/>
      <c r="TJO225" s="1201"/>
      <c r="TJP225" s="1201"/>
      <c r="TJQ225" s="1201"/>
      <c r="TJR225" s="1201"/>
      <c r="TJS225" s="1201"/>
      <c r="TJT225" s="1201"/>
      <c r="TJU225" s="1201"/>
      <c r="TJV225" s="1201"/>
      <c r="TJW225" s="1201"/>
      <c r="TJX225" s="1201"/>
      <c r="TJY225" s="1201"/>
      <c r="TJZ225" s="1201"/>
      <c r="TKA225" s="1201"/>
      <c r="TKB225" s="1201"/>
      <c r="TKC225" s="1201"/>
      <c r="TKD225" s="1201"/>
      <c r="TKE225" s="1201"/>
      <c r="TKF225" s="1201"/>
      <c r="TKG225" s="1201"/>
      <c r="TKH225" s="1201"/>
      <c r="TKI225" s="1201"/>
      <c r="TKJ225" s="1201"/>
      <c r="TKK225" s="1201"/>
      <c r="TKL225" s="1201"/>
      <c r="TKM225" s="1201"/>
      <c r="TKN225" s="1201"/>
      <c r="TKO225" s="1201"/>
      <c r="TKP225" s="1201"/>
      <c r="TKQ225" s="1201"/>
      <c r="TKR225" s="1201"/>
      <c r="TKS225" s="1201"/>
      <c r="TKT225" s="1201"/>
      <c r="TKU225" s="1201"/>
      <c r="TKV225" s="1201"/>
      <c r="TKW225" s="1201"/>
      <c r="TKX225" s="1201"/>
      <c r="TKY225" s="1201"/>
      <c r="TKZ225" s="1201"/>
      <c r="TLA225" s="1201"/>
      <c r="TLB225" s="1201"/>
      <c r="TLC225" s="1201"/>
      <c r="TLD225" s="1201"/>
      <c r="TLE225" s="1201"/>
      <c r="TLF225" s="1201"/>
      <c r="TLG225" s="1201"/>
      <c r="TLH225" s="1201"/>
      <c r="TLI225" s="1201"/>
      <c r="TLJ225" s="1201"/>
      <c r="TLK225" s="1201"/>
      <c r="TLL225" s="1201"/>
      <c r="TLM225" s="1201"/>
      <c r="TLN225" s="1201"/>
      <c r="TLO225" s="1201"/>
      <c r="TLP225" s="1201"/>
      <c r="TLQ225" s="1201"/>
      <c r="TLR225" s="1201"/>
      <c r="TLS225" s="1201"/>
      <c r="TLT225" s="1201"/>
      <c r="TLU225" s="1201"/>
      <c r="TLV225" s="1201"/>
      <c r="TLW225" s="1201"/>
      <c r="TLX225" s="1201"/>
      <c r="TLY225" s="1201"/>
      <c r="TLZ225" s="1201"/>
      <c r="TMA225" s="1201"/>
      <c r="TMB225" s="1201"/>
      <c r="TMC225" s="1201"/>
      <c r="TMD225" s="1201"/>
      <c r="TME225" s="1201"/>
      <c r="TMF225" s="1201"/>
      <c r="TMG225" s="1201"/>
      <c r="TMH225" s="1201"/>
      <c r="TMI225" s="1201"/>
      <c r="TMJ225" s="1201"/>
      <c r="TMK225" s="1201"/>
      <c r="TML225" s="1201"/>
      <c r="TMM225" s="1201"/>
      <c r="TMN225" s="1201"/>
      <c r="TMO225" s="1201"/>
      <c r="TMP225" s="1201"/>
      <c r="TMQ225" s="1201"/>
      <c r="TMR225" s="1201"/>
      <c r="TMS225" s="1201"/>
      <c r="TMT225" s="1201"/>
      <c r="TMU225" s="1201"/>
      <c r="TMV225" s="1201"/>
      <c r="TMW225" s="1201"/>
      <c r="TMX225" s="1201"/>
      <c r="TMY225" s="1201"/>
      <c r="TMZ225" s="1201"/>
      <c r="TNA225" s="1201"/>
      <c r="TNB225" s="1201"/>
      <c r="TNC225" s="1201"/>
      <c r="TND225" s="1201"/>
      <c r="TNE225" s="1201"/>
      <c r="TNF225" s="1201"/>
      <c r="TNG225" s="1201"/>
      <c r="TNH225" s="1201"/>
      <c r="TNI225" s="1201"/>
      <c r="TNJ225" s="1201"/>
      <c r="TNK225" s="1201"/>
      <c r="TNL225" s="1201"/>
      <c r="TNM225" s="1201"/>
      <c r="TNN225" s="1201"/>
      <c r="TNO225" s="1201"/>
      <c r="TNP225" s="1201"/>
      <c r="TNQ225" s="1201"/>
      <c r="TNR225" s="1201"/>
      <c r="TNS225" s="1201"/>
      <c r="TNT225" s="1201"/>
      <c r="TNU225" s="1201"/>
      <c r="TNV225" s="1201"/>
      <c r="TNW225" s="1201"/>
      <c r="TNX225" s="1201"/>
      <c r="TNY225" s="1201"/>
      <c r="TNZ225" s="1201"/>
      <c r="TOA225" s="1201"/>
      <c r="TOB225" s="1201"/>
      <c r="TOC225" s="1201"/>
      <c r="TOD225" s="1201"/>
      <c r="TOE225" s="1201"/>
      <c r="TOF225" s="1201"/>
      <c r="TOG225" s="1201"/>
      <c r="TOH225" s="1201"/>
      <c r="TOI225" s="1201"/>
      <c r="TOJ225" s="1201"/>
      <c r="TOK225" s="1201"/>
      <c r="TOL225" s="1201"/>
      <c r="TOM225" s="1201"/>
      <c r="TON225" s="1201"/>
      <c r="TOO225" s="1201"/>
      <c r="TOP225" s="1201"/>
      <c r="TOQ225" s="1201"/>
      <c r="TOR225" s="1201"/>
      <c r="TOS225" s="1201"/>
      <c r="TOT225" s="1201"/>
      <c r="TOU225" s="1201"/>
      <c r="TOV225" s="1201"/>
      <c r="TOW225" s="1201"/>
      <c r="TOX225" s="1201"/>
      <c r="TOY225" s="1201"/>
      <c r="TOZ225" s="1201"/>
      <c r="TPA225" s="1201"/>
      <c r="TPB225" s="1201"/>
      <c r="TPC225" s="1201"/>
      <c r="TPD225" s="1201"/>
      <c r="TPE225" s="1201"/>
      <c r="TPF225" s="1201"/>
      <c r="TPG225" s="1201"/>
      <c r="TPH225" s="1201"/>
      <c r="TPI225" s="1201"/>
      <c r="TPJ225" s="1201"/>
      <c r="TPK225" s="1201"/>
      <c r="TPL225" s="1201"/>
      <c r="TPM225" s="1201"/>
      <c r="TPN225" s="1201"/>
      <c r="TPO225" s="1201"/>
      <c r="TPP225" s="1201"/>
      <c r="TPQ225" s="1201"/>
      <c r="TPR225" s="1201"/>
      <c r="TPS225" s="1201"/>
      <c r="TPT225" s="1201"/>
      <c r="TPU225" s="1201"/>
      <c r="TPV225" s="1201"/>
      <c r="TPW225" s="1201"/>
      <c r="TPX225" s="1201"/>
      <c r="TPY225" s="1201"/>
      <c r="TPZ225" s="1201"/>
      <c r="TQA225" s="1201"/>
      <c r="TQB225" s="1201"/>
      <c r="TQC225" s="1201"/>
      <c r="TQD225" s="1201"/>
      <c r="TQE225" s="1201"/>
      <c r="TQF225" s="1201"/>
      <c r="TQG225" s="1201"/>
      <c r="TQH225" s="1201"/>
      <c r="TQI225" s="1201"/>
      <c r="TQJ225" s="1201"/>
      <c r="TQK225" s="1201"/>
      <c r="TQL225" s="1201"/>
      <c r="TQM225" s="1201"/>
      <c r="TQN225" s="1201"/>
      <c r="TQO225" s="1201"/>
      <c r="TQP225" s="1201"/>
      <c r="TQQ225" s="1201"/>
      <c r="TQR225" s="1201"/>
      <c r="TQS225" s="1201"/>
      <c r="TQT225" s="1201"/>
      <c r="TQU225" s="1201"/>
      <c r="TQV225" s="1201"/>
      <c r="TQW225" s="1201"/>
      <c r="TQX225" s="1201"/>
      <c r="TQY225" s="1201"/>
      <c r="TQZ225" s="1201"/>
      <c r="TRA225" s="1201"/>
      <c r="TRB225" s="1201"/>
      <c r="TRC225" s="1201"/>
      <c r="TRD225" s="1201"/>
      <c r="TRE225" s="1201"/>
      <c r="TRF225" s="1201"/>
      <c r="TRG225" s="1201"/>
      <c r="TRH225" s="1201"/>
      <c r="TRI225" s="1201"/>
      <c r="TRJ225" s="1201"/>
      <c r="TRK225" s="1201"/>
      <c r="TRL225" s="1201"/>
      <c r="TRM225" s="1201"/>
      <c r="TRN225" s="1201"/>
      <c r="TRO225" s="1201"/>
      <c r="TRP225" s="1201"/>
      <c r="TRQ225" s="1201"/>
      <c r="TRR225" s="1201"/>
      <c r="TRS225" s="1201"/>
      <c r="TRT225" s="1201"/>
      <c r="TRU225" s="1201"/>
      <c r="TRV225" s="1201"/>
      <c r="TRW225" s="1201"/>
      <c r="TRX225" s="1201"/>
      <c r="TRY225" s="1201"/>
      <c r="TRZ225" s="1201"/>
      <c r="TSA225" s="1201"/>
      <c r="TSB225" s="1201"/>
      <c r="TSC225" s="1201"/>
      <c r="TSD225" s="1201"/>
      <c r="TSE225" s="1201"/>
      <c r="TSF225" s="1201"/>
      <c r="TSG225" s="1201"/>
      <c r="TSH225" s="1201"/>
      <c r="TSI225" s="1201"/>
      <c r="TSJ225" s="1201"/>
      <c r="TSK225" s="1201"/>
      <c r="TSL225" s="1201"/>
      <c r="TSM225" s="1201"/>
      <c r="TSN225" s="1201"/>
      <c r="TSO225" s="1201"/>
      <c r="TSP225" s="1201"/>
      <c r="TSQ225" s="1201"/>
      <c r="TSR225" s="1201"/>
      <c r="TSS225" s="1201"/>
      <c r="TST225" s="1201"/>
      <c r="TSU225" s="1201"/>
      <c r="TSV225" s="1201"/>
      <c r="TSW225" s="1201"/>
      <c r="TSX225" s="1201"/>
      <c r="TSY225" s="1201"/>
      <c r="TSZ225" s="1201"/>
      <c r="TTA225" s="1201"/>
      <c r="TTB225" s="1201"/>
      <c r="TTC225" s="1201"/>
      <c r="TTD225" s="1201"/>
      <c r="TTE225" s="1201"/>
      <c r="TTF225" s="1201"/>
      <c r="TTG225" s="1201"/>
      <c r="TTH225" s="1201"/>
      <c r="TTI225" s="1201"/>
      <c r="TTJ225" s="1201"/>
      <c r="TTK225" s="1201"/>
      <c r="TTL225" s="1201"/>
      <c r="TTM225" s="1201"/>
      <c r="TTN225" s="1201"/>
      <c r="TTO225" s="1201"/>
      <c r="TTP225" s="1201"/>
      <c r="TTQ225" s="1201"/>
      <c r="TTR225" s="1201"/>
      <c r="TTS225" s="1201"/>
      <c r="TTT225" s="1201"/>
      <c r="TTU225" s="1201"/>
      <c r="TTV225" s="1201"/>
      <c r="TTW225" s="1201"/>
      <c r="TTX225" s="1201"/>
      <c r="TTY225" s="1201"/>
      <c r="TTZ225" s="1201"/>
      <c r="TUA225" s="1201"/>
      <c r="TUB225" s="1201"/>
      <c r="TUC225" s="1201"/>
      <c r="TUD225" s="1201"/>
      <c r="TUE225" s="1201"/>
      <c r="TUF225" s="1201"/>
      <c r="TUG225" s="1201"/>
      <c r="TUH225" s="1201"/>
      <c r="TUI225" s="1201"/>
      <c r="TUJ225" s="1201"/>
      <c r="TUK225" s="1201"/>
      <c r="TUL225" s="1201"/>
      <c r="TUM225" s="1201"/>
      <c r="TUN225" s="1201"/>
      <c r="TUO225" s="1201"/>
      <c r="TUP225" s="1201"/>
      <c r="TUQ225" s="1201"/>
      <c r="TUR225" s="1201"/>
      <c r="TUS225" s="1201"/>
      <c r="TUT225" s="1201"/>
      <c r="TUU225" s="1201"/>
      <c r="TUV225" s="1201"/>
      <c r="TUW225" s="1201"/>
      <c r="TUX225" s="1201"/>
      <c r="TUY225" s="1201"/>
      <c r="TUZ225" s="1201"/>
      <c r="TVA225" s="1201"/>
      <c r="TVB225" s="1201"/>
      <c r="TVC225" s="1201"/>
      <c r="TVD225" s="1201"/>
      <c r="TVE225" s="1201"/>
      <c r="TVF225" s="1201"/>
      <c r="TVG225" s="1201"/>
      <c r="TVH225" s="1201"/>
      <c r="TVI225" s="1201"/>
      <c r="TVJ225" s="1201"/>
      <c r="TVK225" s="1201"/>
      <c r="TVL225" s="1201"/>
      <c r="TVM225" s="1201"/>
      <c r="TVN225" s="1201"/>
      <c r="TVO225" s="1201"/>
      <c r="TVP225" s="1201"/>
      <c r="TVQ225" s="1201"/>
      <c r="TVR225" s="1201"/>
      <c r="TVS225" s="1201"/>
      <c r="TVT225" s="1201"/>
      <c r="TVU225" s="1201"/>
      <c r="TVV225" s="1201"/>
      <c r="TVW225" s="1201"/>
      <c r="TVX225" s="1201"/>
      <c r="TVY225" s="1201"/>
      <c r="TVZ225" s="1201"/>
      <c r="TWA225" s="1201"/>
      <c r="TWB225" s="1201"/>
      <c r="TWC225" s="1201"/>
      <c r="TWD225" s="1201"/>
      <c r="TWE225" s="1201"/>
      <c r="TWF225" s="1201"/>
      <c r="TWG225" s="1201"/>
      <c r="TWH225" s="1201"/>
      <c r="TWI225" s="1201"/>
      <c r="TWJ225" s="1201"/>
      <c r="TWK225" s="1201"/>
      <c r="TWL225" s="1201"/>
      <c r="TWM225" s="1201"/>
      <c r="TWN225" s="1201"/>
      <c r="TWO225" s="1201"/>
      <c r="TWP225" s="1201"/>
      <c r="TWQ225" s="1201"/>
      <c r="TWR225" s="1201"/>
      <c r="TWS225" s="1201"/>
      <c r="TWT225" s="1201"/>
      <c r="TWU225" s="1201"/>
      <c r="TWV225" s="1201"/>
      <c r="TWW225" s="1201"/>
      <c r="TWX225" s="1201"/>
      <c r="TWY225" s="1201"/>
      <c r="TWZ225" s="1201"/>
      <c r="TXA225" s="1201"/>
      <c r="TXB225" s="1201"/>
      <c r="TXC225" s="1201"/>
      <c r="TXD225" s="1201"/>
      <c r="TXE225" s="1201"/>
      <c r="TXF225" s="1201"/>
      <c r="TXG225" s="1201"/>
      <c r="TXH225" s="1201"/>
      <c r="TXI225" s="1201"/>
      <c r="TXJ225" s="1201"/>
      <c r="TXK225" s="1201"/>
      <c r="TXL225" s="1201"/>
      <c r="TXM225" s="1201"/>
      <c r="TXN225" s="1201"/>
      <c r="TXO225" s="1201"/>
      <c r="TXP225" s="1201"/>
      <c r="TXQ225" s="1201"/>
      <c r="TXR225" s="1201"/>
      <c r="TXS225" s="1201"/>
      <c r="TXT225" s="1201"/>
      <c r="TXU225" s="1201"/>
      <c r="TXV225" s="1201"/>
      <c r="TXW225" s="1201"/>
      <c r="TXX225" s="1201"/>
      <c r="TXY225" s="1201"/>
      <c r="TXZ225" s="1201"/>
      <c r="TYA225" s="1201"/>
      <c r="TYB225" s="1201"/>
      <c r="TYC225" s="1201"/>
      <c r="TYD225" s="1201"/>
      <c r="TYE225" s="1201"/>
      <c r="TYF225" s="1201"/>
      <c r="TYG225" s="1201"/>
      <c r="TYH225" s="1201"/>
      <c r="TYI225" s="1201"/>
      <c r="TYJ225" s="1201"/>
      <c r="TYK225" s="1201"/>
      <c r="TYL225" s="1201"/>
      <c r="TYM225" s="1201"/>
      <c r="TYN225" s="1201"/>
      <c r="TYO225" s="1201"/>
      <c r="TYP225" s="1201"/>
      <c r="TYQ225" s="1201"/>
      <c r="TYR225" s="1201"/>
      <c r="TYS225" s="1201"/>
      <c r="TYT225" s="1201"/>
      <c r="TYU225" s="1201"/>
      <c r="TYV225" s="1201"/>
      <c r="TYW225" s="1201"/>
      <c r="TYX225" s="1201"/>
      <c r="TYY225" s="1201"/>
      <c r="TYZ225" s="1201"/>
      <c r="TZA225" s="1201"/>
      <c r="TZB225" s="1201"/>
      <c r="TZC225" s="1201"/>
      <c r="TZD225" s="1201"/>
      <c r="TZE225" s="1201"/>
      <c r="TZF225" s="1201"/>
      <c r="TZG225" s="1201"/>
      <c r="TZH225" s="1201"/>
      <c r="TZI225" s="1201"/>
      <c r="TZJ225" s="1201"/>
      <c r="TZK225" s="1201"/>
      <c r="TZL225" s="1201"/>
      <c r="TZM225" s="1201"/>
      <c r="TZN225" s="1201"/>
      <c r="TZO225" s="1201"/>
      <c r="TZP225" s="1201"/>
      <c r="TZQ225" s="1201"/>
      <c r="TZR225" s="1201"/>
      <c r="TZS225" s="1201"/>
      <c r="TZT225" s="1201"/>
      <c r="TZU225" s="1201"/>
      <c r="TZV225" s="1201"/>
      <c r="TZW225" s="1201"/>
      <c r="TZX225" s="1201"/>
      <c r="TZY225" s="1201"/>
      <c r="TZZ225" s="1201"/>
      <c r="UAA225" s="1201"/>
      <c r="UAB225" s="1201"/>
      <c r="UAC225" s="1201"/>
      <c r="UAD225" s="1201"/>
      <c r="UAE225" s="1201"/>
      <c r="UAF225" s="1201"/>
      <c r="UAG225" s="1201"/>
      <c r="UAH225" s="1201"/>
      <c r="UAI225" s="1201"/>
      <c r="UAJ225" s="1201"/>
      <c r="UAK225" s="1201"/>
      <c r="UAL225" s="1201"/>
      <c r="UAM225" s="1201"/>
      <c r="UAN225" s="1201"/>
      <c r="UAO225" s="1201"/>
      <c r="UAP225" s="1201"/>
      <c r="UAQ225" s="1201"/>
      <c r="UAR225" s="1201"/>
      <c r="UAS225" s="1201"/>
      <c r="UAT225" s="1201"/>
      <c r="UAU225" s="1201"/>
      <c r="UAV225" s="1201"/>
      <c r="UAW225" s="1201"/>
      <c r="UAX225" s="1201"/>
      <c r="UAY225" s="1201"/>
      <c r="UAZ225" s="1201"/>
      <c r="UBA225" s="1201"/>
      <c r="UBB225" s="1201"/>
      <c r="UBC225" s="1201"/>
      <c r="UBD225" s="1201"/>
      <c r="UBE225" s="1201"/>
      <c r="UBF225" s="1201"/>
      <c r="UBG225" s="1201"/>
      <c r="UBH225" s="1201"/>
      <c r="UBI225" s="1201"/>
      <c r="UBJ225" s="1201"/>
      <c r="UBK225" s="1201"/>
      <c r="UBL225" s="1201"/>
      <c r="UBM225" s="1201"/>
      <c r="UBN225" s="1201"/>
      <c r="UBO225" s="1201"/>
      <c r="UBP225" s="1201"/>
      <c r="UBQ225" s="1201"/>
      <c r="UBR225" s="1201"/>
      <c r="UBS225" s="1201"/>
      <c r="UBT225" s="1201"/>
      <c r="UBU225" s="1201"/>
      <c r="UBV225" s="1201"/>
      <c r="UBW225" s="1201"/>
      <c r="UBX225" s="1201"/>
      <c r="UBY225" s="1201"/>
      <c r="UBZ225" s="1201"/>
      <c r="UCA225" s="1201"/>
      <c r="UCB225" s="1201"/>
      <c r="UCC225" s="1201"/>
      <c r="UCD225" s="1201"/>
      <c r="UCE225" s="1201"/>
      <c r="UCF225" s="1201"/>
      <c r="UCG225" s="1201"/>
      <c r="UCH225" s="1201"/>
      <c r="UCI225" s="1201"/>
      <c r="UCJ225" s="1201"/>
      <c r="UCK225" s="1201"/>
      <c r="UCL225" s="1201"/>
      <c r="UCM225" s="1201"/>
      <c r="UCN225" s="1201"/>
      <c r="UCO225" s="1201"/>
      <c r="UCP225" s="1201"/>
      <c r="UCQ225" s="1201"/>
      <c r="UCR225" s="1201"/>
      <c r="UCS225" s="1201"/>
      <c r="UCT225" s="1201"/>
      <c r="UCU225" s="1201"/>
      <c r="UCV225" s="1201"/>
      <c r="UCW225" s="1201"/>
      <c r="UCX225" s="1201"/>
      <c r="UCY225" s="1201"/>
      <c r="UCZ225" s="1201"/>
      <c r="UDA225" s="1201"/>
      <c r="UDB225" s="1201"/>
      <c r="UDC225" s="1201"/>
      <c r="UDD225" s="1201"/>
      <c r="UDE225" s="1201"/>
      <c r="UDF225" s="1201"/>
      <c r="UDG225" s="1201"/>
      <c r="UDH225" s="1201"/>
      <c r="UDI225" s="1201"/>
      <c r="UDJ225" s="1201"/>
      <c r="UDK225" s="1201"/>
      <c r="UDL225" s="1201"/>
      <c r="UDM225" s="1201"/>
      <c r="UDN225" s="1201"/>
      <c r="UDO225" s="1201"/>
      <c r="UDP225" s="1201"/>
      <c r="UDQ225" s="1201"/>
      <c r="UDR225" s="1201"/>
      <c r="UDS225" s="1201"/>
      <c r="UDT225" s="1201"/>
      <c r="UDU225" s="1201"/>
      <c r="UDV225" s="1201"/>
      <c r="UDW225" s="1201"/>
      <c r="UDX225" s="1201"/>
      <c r="UDY225" s="1201"/>
      <c r="UDZ225" s="1201"/>
      <c r="UEA225" s="1201"/>
      <c r="UEB225" s="1201"/>
      <c r="UEC225" s="1201"/>
      <c r="UED225" s="1201"/>
      <c r="UEE225" s="1201"/>
      <c r="UEF225" s="1201"/>
      <c r="UEG225" s="1201"/>
      <c r="UEH225" s="1201"/>
      <c r="UEI225" s="1201"/>
      <c r="UEJ225" s="1201"/>
      <c r="UEK225" s="1201"/>
      <c r="UEL225" s="1201"/>
      <c r="UEM225" s="1201"/>
      <c r="UEN225" s="1201"/>
      <c r="UEO225" s="1201"/>
      <c r="UEP225" s="1201"/>
      <c r="UEQ225" s="1201"/>
      <c r="UER225" s="1201"/>
      <c r="UES225" s="1201"/>
      <c r="UET225" s="1201"/>
      <c r="UEU225" s="1201"/>
      <c r="UEV225" s="1201"/>
      <c r="UEW225" s="1201"/>
      <c r="UEX225" s="1201"/>
      <c r="UEY225" s="1201"/>
      <c r="UEZ225" s="1201"/>
      <c r="UFA225" s="1201"/>
      <c r="UFB225" s="1201"/>
      <c r="UFC225" s="1201"/>
      <c r="UFD225" s="1201"/>
      <c r="UFE225" s="1201"/>
      <c r="UFF225" s="1201"/>
      <c r="UFG225" s="1201"/>
      <c r="UFH225" s="1201"/>
      <c r="UFI225" s="1201"/>
      <c r="UFJ225" s="1201"/>
      <c r="UFK225" s="1201"/>
      <c r="UFL225" s="1201"/>
      <c r="UFM225" s="1201"/>
      <c r="UFN225" s="1201"/>
      <c r="UFO225" s="1201"/>
      <c r="UFP225" s="1201"/>
      <c r="UFQ225" s="1201"/>
      <c r="UFR225" s="1201"/>
      <c r="UFS225" s="1201"/>
      <c r="UFT225" s="1201"/>
      <c r="UFU225" s="1201"/>
      <c r="UFV225" s="1201"/>
      <c r="UFW225" s="1201"/>
      <c r="UFX225" s="1201"/>
      <c r="UFY225" s="1201"/>
      <c r="UFZ225" s="1201"/>
      <c r="UGA225" s="1201"/>
      <c r="UGB225" s="1201"/>
      <c r="UGC225" s="1201"/>
      <c r="UGD225" s="1201"/>
      <c r="UGE225" s="1201"/>
      <c r="UGF225" s="1201"/>
      <c r="UGG225" s="1201"/>
      <c r="UGH225" s="1201"/>
      <c r="UGI225" s="1201"/>
      <c r="UGJ225" s="1201"/>
      <c r="UGK225" s="1201"/>
      <c r="UGL225" s="1201"/>
      <c r="UGM225" s="1201"/>
      <c r="UGN225" s="1201"/>
      <c r="UGO225" s="1201"/>
      <c r="UGP225" s="1201"/>
      <c r="UGQ225" s="1201"/>
      <c r="UGR225" s="1201"/>
      <c r="UGS225" s="1201"/>
      <c r="UGT225" s="1201"/>
      <c r="UGU225" s="1201"/>
      <c r="UGV225" s="1201"/>
      <c r="UGW225" s="1201"/>
      <c r="UGX225" s="1201"/>
      <c r="UGY225" s="1201"/>
      <c r="UGZ225" s="1201"/>
      <c r="UHA225" s="1201"/>
      <c r="UHB225" s="1201"/>
      <c r="UHC225" s="1201"/>
      <c r="UHD225" s="1201"/>
      <c r="UHE225" s="1201"/>
      <c r="UHF225" s="1201"/>
      <c r="UHG225" s="1201"/>
      <c r="UHH225" s="1201"/>
      <c r="UHI225" s="1201"/>
      <c r="UHJ225" s="1201"/>
      <c r="UHK225" s="1201"/>
      <c r="UHL225" s="1201"/>
      <c r="UHM225" s="1201"/>
      <c r="UHN225" s="1201"/>
      <c r="UHO225" s="1201"/>
      <c r="UHP225" s="1201"/>
      <c r="UHQ225" s="1201"/>
      <c r="UHR225" s="1201"/>
      <c r="UHS225" s="1201"/>
      <c r="UHT225" s="1201"/>
      <c r="UHU225" s="1201"/>
      <c r="UHV225" s="1201"/>
      <c r="UHW225" s="1201"/>
      <c r="UHX225" s="1201"/>
      <c r="UHY225" s="1201"/>
      <c r="UHZ225" s="1201"/>
      <c r="UIA225" s="1201"/>
      <c r="UIB225" s="1201"/>
      <c r="UIC225" s="1201"/>
      <c r="UID225" s="1201"/>
      <c r="UIE225" s="1201"/>
      <c r="UIF225" s="1201"/>
      <c r="UIG225" s="1201"/>
      <c r="UIH225" s="1201"/>
      <c r="UII225" s="1201"/>
      <c r="UIJ225" s="1201"/>
      <c r="UIK225" s="1201"/>
      <c r="UIL225" s="1201"/>
      <c r="UIM225" s="1201"/>
      <c r="UIN225" s="1201"/>
      <c r="UIO225" s="1201"/>
      <c r="UIP225" s="1201"/>
      <c r="UIQ225" s="1201"/>
      <c r="UIR225" s="1201"/>
      <c r="UIS225" s="1201"/>
      <c r="UIT225" s="1201"/>
      <c r="UIU225" s="1201"/>
      <c r="UIV225" s="1201"/>
      <c r="UIW225" s="1201"/>
      <c r="UIX225" s="1201"/>
      <c r="UIY225" s="1201"/>
      <c r="UIZ225" s="1201"/>
      <c r="UJA225" s="1201"/>
      <c r="UJB225" s="1201"/>
      <c r="UJC225" s="1201"/>
      <c r="UJD225" s="1201"/>
      <c r="UJE225" s="1201"/>
      <c r="UJF225" s="1201"/>
      <c r="UJG225" s="1201"/>
      <c r="UJH225" s="1201"/>
      <c r="UJI225" s="1201"/>
      <c r="UJJ225" s="1201"/>
      <c r="UJK225" s="1201"/>
      <c r="UJL225" s="1201"/>
      <c r="UJM225" s="1201"/>
      <c r="UJN225" s="1201"/>
      <c r="UJO225" s="1201"/>
      <c r="UJP225" s="1201"/>
      <c r="UJQ225" s="1201"/>
      <c r="UJR225" s="1201"/>
      <c r="UJS225" s="1201"/>
      <c r="UJT225" s="1201"/>
      <c r="UJU225" s="1201"/>
      <c r="UJV225" s="1201"/>
      <c r="UJW225" s="1201"/>
      <c r="UJX225" s="1201"/>
      <c r="UJY225" s="1201"/>
      <c r="UJZ225" s="1201"/>
      <c r="UKA225" s="1201"/>
      <c r="UKB225" s="1201"/>
      <c r="UKC225" s="1201"/>
      <c r="UKD225" s="1201"/>
      <c r="UKE225" s="1201"/>
      <c r="UKF225" s="1201"/>
      <c r="UKG225" s="1201"/>
      <c r="UKH225" s="1201"/>
      <c r="UKI225" s="1201"/>
      <c r="UKJ225" s="1201"/>
      <c r="UKK225" s="1201"/>
      <c r="UKL225" s="1201"/>
      <c r="UKM225" s="1201"/>
      <c r="UKN225" s="1201"/>
      <c r="UKO225" s="1201"/>
      <c r="UKP225" s="1201"/>
      <c r="UKQ225" s="1201"/>
      <c r="UKR225" s="1201"/>
      <c r="UKS225" s="1201"/>
      <c r="UKT225" s="1201"/>
      <c r="UKU225" s="1201"/>
      <c r="UKV225" s="1201"/>
      <c r="UKW225" s="1201"/>
      <c r="UKX225" s="1201"/>
      <c r="UKY225" s="1201"/>
      <c r="UKZ225" s="1201"/>
      <c r="ULA225" s="1201"/>
      <c r="ULB225" s="1201"/>
      <c r="ULC225" s="1201"/>
      <c r="ULD225" s="1201"/>
      <c r="ULE225" s="1201"/>
      <c r="ULF225" s="1201"/>
      <c r="ULG225" s="1201"/>
      <c r="ULH225" s="1201"/>
      <c r="ULI225" s="1201"/>
      <c r="ULJ225" s="1201"/>
      <c r="ULK225" s="1201"/>
      <c r="ULL225" s="1201"/>
      <c r="ULM225" s="1201"/>
      <c r="ULN225" s="1201"/>
      <c r="ULO225" s="1201"/>
      <c r="ULP225" s="1201"/>
      <c r="ULQ225" s="1201"/>
      <c r="ULR225" s="1201"/>
      <c r="ULS225" s="1201"/>
      <c r="ULT225" s="1201"/>
      <c r="ULU225" s="1201"/>
      <c r="ULV225" s="1201"/>
      <c r="ULW225" s="1201"/>
      <c r="ULX225" s="1201"/>
      <c r="ULY225" s="1201"/>
      <c r="ULZ225" s="1201"/>
      <c r="UMA225" s="1201"/>
      <c r="UMB225" s="1201"/>
      <c r="UMC225" s="1201"/>
      <c r="UMD225" s="1201"/>
      <c r="UME225" s="1201"/>
      <c r="UMF225" s="1201"/>
      <c r="UMG225" s="1201"/>
      <c r="UMH225" s="1201"/>
      <c r="UMI225" s="1201"/>
      <c r="UMJ225" s="1201"/>
      <c r="UMK225" s="1201"/>
      <c r="UML225" s="1201"/>
      <c r="UMM225" s="1201"/>
      <c r="UMN225" s="1201"/>
      <c r="UMO225" s="1201"/>
      <c r="UMP225" s="1201"/>
      <c r="UMQ225" s="1201"/>
      <c r="UMR225" s="1201"/>
      <c r="UMS225" s="1201"/>
      <c r="UMT225" s="1201"/>
      <c r="UMU225" s="1201"/>
      <c r="UMV225" s="1201"/>
      <c r="UMW225" s="1201"/>
      <c r="UMX225" s="1201"/>
      <c r="UMY225" s="1201"/>
      <c r="UMZ225" s="1201"/>
      <c r="UNA225" s="1201"/>
      <c r="UNB225" s="1201"/>
      <c r="UNC225" s="1201"/>
      <c r="UND225" s="1201"/>
      <c r="UNE225" s="1201"/>
      <c r="UNF225" s="1201"/>
      <c r="UNG225" s="1201"/>
      <c r="UNH225" s="1201"/>
      <c r="UNI225" s="1201"/>
      <c r="UNJ225" s="1201"/>
      <c r="UNK225" s="1201"/>
      <c r="UNL225" s="1201"/>
      <c r="UNM225" s="1201"/>
      <c r="UNN225" s="1201"/>
      <c r="UNO225" s="1201"/>
      <c r="UNP225" s="1201"/>
      <c r="UNQ225" s="1201"/>
      <c r="UNR225" s="1201"/>
      <c r="UNS225" s="1201"/>
      <c r="UNT225" s="1201"/>
      <c r="UNU225" s="1201"/>
      <c r="UNV225" s="1201"/>
      <c r="UNW225" s="1201"/>
      <c r="UNX225" s="1201"/>
      <c r="UNY225" s="1201"/>
      <c r="UNZ225" s="1201"/>
      <c r="UOA225" s="1201"/>
      <c r="UOB225" s="1201"/>
      <c r="UOC225" s="1201"/>
      <c r="UOD225" s="1201"/>
      <c r="UOE225" s="1201"/>
      <c r="UOF225" s="1201"/>
      <c r="UOG225" s="1201"/>
      <c r="UOH225" s="1201"/>
      <c r="UOI225" s="1201"/>
      <c r="UOJ225" s="1201"/>
      <c r="UOK225" s="1201"/>
      <c r="UOL225" s="1201"/>
      <c r="UOM225" s="1201"/>
      <c r="UON225" s="1201"/>
      <c r="UOO225" s="1201"/>
      <c r="UOP225" s="1201"/>
      <c r="UOQ225" s="1201"/>
      <c r="UOR225" s="1201"/>
      <c r="UOS225" s="1201"/>
      <c r="UOT225" s="1201"/>
      <c r="UOU225" s="1201"/>
      <c r="UOV225" s="1201"/>
      <c r="UOW225" s="1201"/>
      <c r="UOX225" s="1201"/>
      <c r="UOY225" s="1201"/>
      <c r="UOZ225" s="1201"/>
      <c r="UPA225" s="1201"/>
      <c r="UPB225" s="1201"/>
      <c r="UPC225" s="1201"/>
      <c r="UPD225" s="1201"/>
      <c r="UPE225" s="1201"/>
      <c r="UPF225" s="1201"/>
      <c r="UPG225" s="1201"/>
      <c r="UPH225" s="1201"/>
      <c r="UPI225" s="1201"/>
      <c r="UPJ225" s="1201"/>
      <c r="UPK225" s="1201"/>
      <c r="UPL225" s="1201"/>
      <c r="UPM225" s="1201"/>
      <c r="UPN225" s="1201"/>
      <c r="UPO225" s="1201"/>
      <c r="UPP225" s="1201"/>
      <c r="UPQ225" s="1201"/>
      <c r="UPR225" s="1201"/>
      <c r="UPS225" s="1201"/>
      <c r="UPT225" s="1201"/>
      <c r="UPU225" s="1201"/>
      <c r="UPV225" s="1201"/>
      <c r="UPW225" s="1201"/>
      <c r="UPX225" s="1201"/>
      <c r="UPY225" s="1201"/>
      <c r="UPZ225" s="1201"/>
      <c r="UQA225" s="1201"/>
      <c r="UQB225" s="1201"/>
      <c r="UQC225" s="1201"/>
      <c r="UQD225" s="1201"/>
      <c r="UQE225" s="1201"/>
      <c r="UQF225" s="1201"/>
      <c r="UQG225" s="1201"/>
      <c r="UQH225" s="1201"/>
      <c r="UQI225" s="1201"/>
      <c r="UQJ225" s="1201"/>
      <c r="UQK225" s="1201"/>
      <c r="UQL225" s="1201"/>
      <c r="UQM225" s="1201"/>
      <c r="UQN225" s="1201"/>
      <c r="UQO225" s="1201"/>
      <c r="UQP225" s="1201"/>
      <c r="UQQ225" s="1201"/>
      <c r="UQR225" s="1201"/>
      <c r="UQS225" s="1201"/>
      <c r="UQT225" s="1201"/>
      <c r="UQU225" s="1201"/>
      <c r="UQV225" s="1201"/>
      <c r="UQW225" s="1201"/>
      <c r="UQX225" s="1201"/>
      <c r="UQY225" s="1201"/>
      <c r="UQZ225" s="1201"/>
      <c r="URA225" s="1201"/>
      <c r="URB225" s="1201"/>
      <c r="URC225" s="1201"/>
      <c r="URD225" s="1201"/>
      <c r="URE225" s="1201"/>
      <c r="URF225" s="1201"/>
      <c r="URG225" s="1201"/>
      <c r="URH225" s="1201"/>
      <c r="URI225" s="1201"/>
      <c r="URJ225" s="1201"/>
      <c r="URK225" s="1201"/>
      <c r="URL225" s="1201"/>
      <c r="URM225" s="1201"/>
      <c r="URN225" s="1201"/>
      <c r="URO225" s="1201"/>
      <c r="URP225" s="1201"/>
      <c r="URQ225" s="1201"/>
      <c r="URR225" s="1201"/>
      <c r="URS225" s="1201"/>
      <c r="URT225" s="1201"/>
      <c r="URU225" s="1201"/>
      <c r="URV225" s="1201"/>
      <c r="URW225" s="1201"/>
      <c r="URX225" s="1201"/>
      <c r="URY225" s="1201"/>
      <c r="URZ225" s="1201"/>
      <c r="USA225" s="1201"/>
      <c r="USB225" s="1201"/>
      <c r="USC225" s="1201"/>
      <c r="USD225" s="1201"/>
      <c r="USE225" s="1201"/>
      <c r="USF225" s="1201"/>
      <c r="USG225" s="1201"/>
      <c r="USH225" s="1201"/>
      <c r="USI225" s="1201"/>
      <c r="USJ225" s="1201"/>
      <c r="USK225" s="1201"/>
      <c r="USL225" s="1201"/>
      <c r="USM225" s="1201"/>
      <c r="USN225" s="1201"/>
      <c r="USO225" s="1201"/>
      <c r="USP225" s="1201"/>
      <c r="USQ225" s="1201"/>
      <c r="USR225" s="1201"/>
      <c r="USS225" s="1201"/>
      <c r="UST225" s="1201"/>
      <c r="USU225" s="1201"/>
      <c r="USV225" s="1201"/>
      <c r="USW225" s="1201"/>
      <c r="USX225" s="1201"/>
      <c r="USY225" s="1201"/>
      <c r="USZ225" s="1201"/>
      <c r="UTA225" s="1201"/>
      <c r="UTB225" s="1201"/>
      <c r="UTC225" s="1201"/>
      <c r="UTD225" s="1201"/>
      <c r="UTE225" s="1201"/>
      <c r="UTF225" s="1201"/>
      <c r="UTG225" s="1201"/>
      <c r="UTH225" s="1201"/>
      <c r="UTI225" s="1201"/>
      <c r="UTJ225" s="1201"/>
      <c r="UTK225" s="1201"/>
      <c r="UTL225" s="1201"/>
      <c r="UTM225" s="1201"/>
      <c r="UTN225" s="1201"/>
      <c r="UTO225" s="1201"/>
      <c r="UTP225" s="1201"/>
      <c r="UTQ225" s="1201"/>
      <c r="UTR225" s="1201"/>
      <c r="UTS225" s="1201"/>
      <c r="UTT225" s="1201"/>
      <c r="UTU225" s="1201"/>
      <c r="UTV225" s="1201"/>
      <c r="UTW225" s="1201"/>
      <c r="UTX225" s="1201"/>
      <c r="UTY225" s="1201"/>
      <c r="UTZ225" s="1201"/>
      <c r="UUA225" s="1201"/>
      <c r="UUB225" s="1201"/>
      <c r="UUC225" s="1201"/>
      <c r="UUD225" s="1201"/>
      <c r="UUE225" s="1201"/>
      <c r="UUF225" s="1201"/>
      <c r="UUG225" s="1201"/>
      <c r="UUH225" s="1201"/>
      <c r="UUI225" s="1201"/>
      <c r="UUJ225" s="1201"/>
      <c r="UUK225" s="1201"/>
      <c r="UUL225" s="1201"/>
      <c r="UUM225" s="1201"/>
      <c r="UUN225" s="1201"/>
      <c r="UUO225" s="1201"/>
      <c r="UUP225" s="1201"/>
      <c r="UUQ225" s="1201"/>
      <c r="UUR225" s="1201"/>
      <c r="UUS225" s="1201"/>
      <c r="UUT225" s="1201"/>
      <c r="UUU225" s="1201"/>
      <c r="UUV225" s="1201"/>
      <c r="UUW225" s="1201"/>
      <c r="UUX225" s="1201"/>
      <c r="UUY225" s="1201"/>
      <c r="UUZ225" s="1201"/>
      <c r="UVA225" s="1201"/>
      <c r="UVB225" s="1201"/>
      <c r="UVC225" s="1201"/>
      <c r="UVD225" s="1201"/>
      <c r="UVE225" s="1201"/>
      <c r="UVF225" s="1201"/>
      <c r="UVG225" s="1201"/>
      <c r="UVH225" s="1201"/>
      <c r="UVI225" s="1201"/>
      <c r="UVJ225" s="1201"/>
      <c r="UVK225" s="1201"/>
      <c r="UVL225" s="1201"/>
      <c r="UVM225" s="1201"/>
      <c r="UVN225" s="1201"/>
      <c r="UVO225" s="1201"/>
      <c r="UVP225" s="1201"/>
      <c r="UVQ225" s="1201"/>
      <c r="UVR225" s="1201"/>
      <c r="UVS225" s="1201"/>
      <c r="UVT225" s="1201"/>
      <c r="UVU225" s="1201"/>
      <c r="UVV225" s="1201"/>
      <c r="UVW225" s="1201"/>
      <c r="UVX225" s="1201"/>
      <c r="UVY225" s="1201"/>
      <c r="UVZ225" s="1201"/>
      <c r="UWA225" s="1201"/>
      <c r="UWB225" s="1201"/>
      <c r="UWC225" s="1201"/>
      <c r="UWD225" s="1201"/>
      <c r="UWE225" s="1201"/>
      <c r="UWF225" s="1201"/>
      <c r="UWG225" s="1201"/>
      <c r="UWH225" s="1201"/>
      <c r="UWI225" s="1201"/>
      <c r="UWJ225" s="1201"/>
      <c r="UWK225" s="1201"/>
      <c r="UWL225" s="1201"/>
      <c r="UWM225" s="1201"/>
      <c r="UWN225" s="1201"/>
      <c r="UWO225" s="1201"/>
      <c r="UWP225" s="1201"/>
      <c r="UWQ225" s="1201"/>
      <c r="UWR225" s="1201"/>
      <c r="UWS225" s="1201"/>
      <c r="UWT225" s="1201"/>
      <c r="UWU225" s="1201"/>
      <c r="UWV225" s="1201"/>
      <c r="UWW225" s="1201"/>
      <c r="UWX225" s="1201"/>
      <c r="UWY225" s="1201"/>
      <c r="UWZ225" s="1201"/>
      <c r="UXA225" s="1201"/>
      <c r="UXB225" s="1201"/>
      <c r="UXC225" s="1201"/>
      <c r="UXD225" s="1201"/>
      <c r="UXE225" s="1201"/>
      <c r="UXF225" s="1201"/>
      <c r="UXG225" s="1201"/>
      <c r="UXH225" s="1201"/>
      <c r="UXI225" s="1201"/>
      <c r="UXJ225" s="1201"/>
      <c r="UXK225" s="1201"/>
      <c r="UXL225" s="1201"/>
      <c r="UXM225" s="1201"/>
      <c r="UXN225" s="1201"/>
      <c r="UXO225" s="1201"/>
      <c r="UXP225" s="1201"/>
      <c r="UXQ225" s="1201"/>
      <c r="UXR225" s="1201"/>
      <c r="UXS225" s="1201"/>
      <c r="UXT225" s="1201"/>
      <c r="UXU225" s="1201"/>
      <c r="UXV225" s="1201"/>
      <c r="UXW225" s="1201"/>
      <c r="UXX225" s="1201"/>
      <c r="UXY225" s="1201"/>
      <c r="UXZ225" s="1201"/>
      <c r="UYA225" s="1201"/>
      <c r="UYB225" s="1201"/>
      <c r="UYC225" s="1201"/>
      <c r="UYD225" s="1201"/>
      <c r="UYE225" s="1201"/>
      <c r="UYF225" s="1201"/>
      <c r="UYG225" s="1201"/>
      <c r="UYH225" s="1201"/>
      <c r="UYI225" s="1201"/>
      <c r="UYJ225" s="1201"/>
      <c r="UYK225" s="1201"/>
      <c r="UYL225" s="1201"/>
      <c r="UYM225" s="1201"/>
      <c r="UYN225" s="1201"/>
      <c r="UYO225" s="1201"/>
      <c r="UYP225" s="1201"/>
      <c r="UYQ225" s="1201"/>
      <c r="UYR225" s="1201"/>
      <c r="UYS225" s="1201"/>
      <c r="UYT225" s="1201"/>
      <c r="UYU225" s="1201"/>
      <c r="UYV225" s="1201"/>
      <c r="UYW225" s="1201"/>
      <c r="UYX225" s="1201"/>
      <c r="UYY225" s="1201"/>
      <c r="UYZ225" s="1201"/>
      <c r="UZA225" s="1201"/>
      <c r="UZB225" s="1201"/>
      <c r="UZC225" s="1201"/>
      <c r="UZD225" s="1201"/>
      <c r="UZE225" s="1201"/>
      <c r="UZF225" s="1201"/>
      <c r="UZG225" s="1201"/>
      <c r="UZH225" s="1201"/>
      <c r="UZI225" s="1201"/>
      <c r="UZJ225" s="1201"/>
      <c r="UZK225" s="1201"/>
      <c r="UZL225" s="1201"/>
      <c r="UZM225" s="1201"/>
      <c r="UZN225" s="1201"/>
      <c r="UZO225" s="1201"/>
      <c r="UZP225" s="1201"/>
      <c r="UZQ225" s="1201"/>
      <c r="UZR225" s="1201"/>
      <c r="UZS225" s="1201"/>
      <c r="UZT225" s="1201"/>
      <c r="UZU225" s="1201"/>
      <c r="UZV225" s="1201"/>
      <c r="UZW225" s="1201"/>
      <c r="UZX225" s="1201"/>
      <c r="UZY225" s="1201"/>
      <c r="UZZ225" s="1201"/>
      <c r="VAA225" s="1201"/>
      <c r="VAB225" s="1201"/>
      <c r="VAC225" s="1201"/>
      <c r="VAD225" s="1201"/>
      <c r="VAE225" s="1201"/>
      <c r="VAF225" s="1201"/>
      <c r="VAG225" s="1201"/>
      <c r="VAH225" s="1201"/>
      <c r="VAI225" s="1201"/>
      <c r="VAJ225" s="1201"/>
      <c r="VAK225" s="1201"/>
      <c r="VAL225" s="1201"/>
      <c r="VAM225" s="1201"/>
      <c r="VAN225" s="1201"/>
      <c r="VAO225" s="1201"/>
      <c r="VAP225" s="1201"/>
      <c r="VAQ225" s="1201"/>
      <c r="VAR225" s="1201"/>
      <c r="VAS225" s="1201"/>
      <c r="VAT225" s="1201"/>
      <c r="VAU225" s="1201"/>
      <c r="VAV225" s="1201"/>
      <c r="VAW225" s="1201"/>
      <c r="VAX225" s="1201"/>
      <c r="VAY225" s="1201"/>
      <c r="VAZ225" s="1201"/>
      <c r="VBA225" s="1201"/>
      <c r="VBB225" s="1201"/>
      <c r="VBC225" s="1201"/>
      <c r="VBD225" s="1201"/>
      <c r="VBE225" s="1201"/>
      <c r="VBF225" s="1201"/>
      <c r="VBG225" s="1201"/>
      <c r="VBH225" s="1201"/>
      <c r="VBI225" s="1201"/>
      <c r="VBJ225" s="1201"/>
      <c r="VBK225" s="1201"/>
      <c r="VBL225" s="1201"/>
      <c r="VBM225" s="1201"/>
      <c r="VBN225" s="1201"/>
      <c r="VBO225" s="1201"/>
      <c r="VBP225" s="1201"/>
      <c r="VBQ225" s="1201"/>
      <c r="VBR225" s="1201"/>
      <c r="VBS225" s="1201"/>
      <c r="VBT225" s="1201"/>
      <c r="VBU225" s="1201"/>
      <c r="VBV225" s="1201"/>
      <c r="VBW225" s="1201"/>
      <c r="VBX225" s="1201"/>
      <c r="VBY225" s="1201"/>
      <c r="VBZ225" s="1201"/>
      <c r="VCA225" s="1201"/>
      <c r="VCB225" s="1201"/>
      <c r="VCC225" s="1201"/>
      <c r="VCD225" s="1201"/>
      <c r="VCE225" s="1201"/>
      <c r="VCF225" s="1201"/>
      <c r="VCG225" s="1201"/>
      <c r="VCH225" s="1201"/>
      <c r="VCI225" s="1201"/>
      <c r="VCJ225" s="1201"/>
      <c r="VCK225" s="1201"/>
      <c r="VCL225" s="1201"/>
      <c r="VCM225" s="1201"/>
      <c r="VCN225" s="1201"/>
      <c r="VCO225" s="1201"/>
      <c r="VCP225" s="1201"/>
      <c r="VCQ225" s="1201"/>
      <c r="VCR225" s="1201"/>
      <c r="VCS225" s="1201"/>
      <c r="VCT225" s="1201"/>
      <c r="VCU225" s="1201"/>
      <c r="VCV225" s="1201"/>
      <c r="VCW225" s="1201"/>
      <c r="VCX225" s="1201"/>
      <c r="VCY225" s="1201"/>
      <c r="VCZ225" s="1201"/>
      <c r="VDA225" s="1201"/>
      <c r="VDB225" s="1201"/>
      <c r="VDC225" s="1201"/>
      <c r="VDD225" s="1201"/>
      <c r="VDE225" s="1201"/>
      <c r="VDF225" s="1201"/>
      <c r="VDG225" s="1201"/>
      <c r="VDH225" s="1201"/>
      <c r="VDI225" s="1201"/>
      <c r="VDJ225" s="1201"/>
      <c r="VDK225" s="1201"/>
      <c r="VDL225" s="1201"/>
      <c r="VDM225" s="1201"/>
      <c r="VDN225" s="1201"/>
      <c r="VDO225" s="1201"/>
      <c r="VDP225" s="1201"/>
      <c r="VDQ225" s="1201"/>
      <c r="VDR225" s="1201"/>
      <c r="VDS225" s="1201"/>
      <c r="VDT225" s="1201"/>
      <c r="VDU225" s="1201"/>
      <c r="VDV225" s="1201"/>
      <c r="VDW225" s="1201"/>
      <c r="VDX225" s="1201"/>
      <c r="VDY225" s="1201"/>
      <c r="VDZ225" s="1201"/>
      <c r="VEA225" s="1201"/>
      <c r="VEB225" s="1201"/>
      <c r="VEC225" s="1201"/>
      <c r="VED225" s="1201"/>
      <c r="VEE225" s="1201"/>
      <c r="VEF225" s="1201"/>
      <c r="VEG225" s="1201"/>
      <c r="VEH225" s="1201"/>
      <c r="VEI225" s="1201"/>
      <c r="VEJ225" s="1201"/>
      <c r="VEK225" s="1201"/>
      <c r="VEL225" s="1201"/>
      <c r="VEM225" s="1201"/>
      <c r="VEN225" s="1201"/>
      <c r="VEO225" s="1201"/>
      <c r="VEP225" s="1201"/>
      <c r="VEQ225" s="1201"/>
      <c r="VER225" s="1201"/>
      <c r="VES225" s="1201"/>
      <c r="VET225" s="1201"/>
      <c r="VEU225" s="1201"/>
      <c r="VEV225" s="1201"/>
      <c r="VEW225" s="1201"/>
      <c r="VEX225" s="1201"/>
      <c r="VEY225" s="1201"/>
      <c r="VEZ225" s="1201"/>
      <c r="VFA225" s="1201"/>
      <c r="VFB225" s="1201"/>
      <c r="VFC225" s="1201"/>
      <c r="VFD225" s="1201"/>
      <c r="VFE225" s="1201"/>
      <c r="VFF225" s="1201"/>
      <c r="VFG225" s="1201"/>
      <c r="VFH225" s="1201"/>
      <c r="VFI225" s="1201"/>
      <c r="VFJ225" s="1201"/>
      <c r="VFK225" s="1201"/>
      <c r="VFL225" s="1201"/>
      <c r="VFM225" s="1201"/>
      <c r="VFN225" s="1201"/>
      <c r="VFO225" s="1201"/>
      <c r="VFP225" s="1201"/>
      <c r="VFQ225" s="1201"/>
      <c r="VFR225" s="1201"/>
      <c r="VFS225" s="1201"/>
      <c r="VFT225" s="1201"/>
      <c r="VFU225" s="1201"/>
      <c r="VFV225" s="1201"/>
      <c r="VFW225" s="1201"/>
      <c r="VFX225" s="1201"/>
      <c r="VFY225" s="1201"/>
      <c r="VFZ225" s="1201"/>
      <c r="VGA225" s="1201"/>
      <c r="VGB225" s="1201"/>
      <c r="VGC225" s="1201"/>
      <c r="VGD225" s="1201"/>
      <c r="VGE225" s="1201"/>
      <c r="VGF225" s="1201"/>
      <c r="VGG225" s="1201"/>
      <c r="VGH225" s="1201"/>
      <c r="VGI225" s="1201"/>
      <c r="VGJ225" s="1201"/>
      <c r="VGK225" s="1201"/>
      <c r="VGL225" s="1201"/>
      <c r="VGM225" s="1201"/>
      <c r="VGN225" s="1201"/>
      <c r="VGO225" s="1201"/>
      <c r="VGP225" s="1201"/>
      <c r="VGQ225" s="1201"/>
      <c r="VGR225" s="1201"/>
      <c r="VGS225" s="1201"/>
      <c r="VGT225" s="1201"/>
      <c r="VGU225" s="1201"/>
      <c r="VGV225" s="1201"/>
      <c r="VGW225" s="1201"/>
      <c r="VGX225" s="1201"/>
      <c r="VGY225" s="1201"/>
      <c r="VGZ225" s="1201"/>
      <c r="VHA225" s="1201"/>
      <c r="VHB225" s="1201"/>
      <c r="VHC225" s="1201"/>
      <c r="VHD225" s="1201"/>
      <c r="VHE225" s="1201"/>
      <c r="VHF225" s="1201"/>
      <c r="VHG225" s="1201"/>
      <c r="VHH225" s="1201"/>
      <c r="VHI225" s="1201"/>
      <c r="VHJ225" s="1201"/>
      <c r="VHK225" s="1201"/>
      <c r="VHL225" s="1201"/>
      <c r="VHM225" s="1201"/>
      <c r="VHN225" s="1201"/>
      <c r="VHO225" s="1201"/>
      <c r="VHP225" s="1201"/>
      <c r="VHQ225" s="1201"/>
      <c r="VHR225" s="1201"/>
      <c r="VHS225" s="1201"/>
      <c r="VHT225" s="1201"/>
      <c r="VHU225" s="1201"/>
      <c r="VHV225" s="1201"/>
      <c r="VHW225" s="1201"/>
      <c r="VHX225" s="1201"/>
      <c r="VHY225" s="1201"/>
      <c r="VHZ225" s="1201"/>
      <c r="VIA225" s="1201"/>
      <c r="VIB225" s="1201"/>
      <c r="VIC225" s="1201"/>
      <c r="VID225" s="1201"/>
      <c r="VIE225" s="1201"/>
      <c r="VIF225" s="1201"/>
      <c r="VIG225" s="1201"/>
      <c r="VIH225" s="1201"/>
      <c r="VII225" s="1201"/>
      <c r="VIJ225" s="1201"/>
      <c r="VIK225" s="1201"/>
      <c r="VIL225" s="1201"/>
      <c r="VIM225" s="1201"/>
      <c r="VIN225" s="1201"/>
      <c r="VIO225" s="1201"/>
      <c r="VIP225" s="1201"/>
      <c r="VIQ225" s="1201"/>
      <c r="VIR225" s="1201"/>
      <c r="VIS225" s="1201"/>
      <c r="VIT225" s="1201"/>
      <c r="VIU225" s="1201"/>
      <c r="VIV225" s="1201"/>
      <c r="VIW225" s="1201"/>
      <c r="VIX225" s="1201"/>
      <c r="VIY225" s="1201"/>
      <c r="VIZ225" s="1201"/>
      <c r="VJA225" s="1201"/>
      <c r="VJB225" s="1201"/>
      <c r="VJC225" s="1201"/>
      <c r="VJD225" s="1201"/>
      <c r="VJE225" s="1201"/>
      <c r="VJF225" s="1201"/>
      <c r="VJG225" s="1201"/>
      <c r="VJH225" s="1201"/>
      <c r="VJI225" s="1201"/>
      <c r="VJJ225" s="1201"/>
      <c r="VJK225" s="1201"/>
      <c r="VJL225" s="1201"/>
      <c r="VJM225" s="1201"/>
      <c r="VJN225" s="1201"/>
      <c r="VJO225" s="1201"/>
      <c r="VJP225" s="1201"/>
      <c r="VJQ225" s="1201"/>
      <c r="VJR225" s="1201"/>
      <c r="VJS225" s="1201"/>
      <c r="VJT225" s="1201"/>
      <c r="VJU225" s="1201"/>
      <c r="VJV225" s="1201"/>
      <c r="VJW225" s="1201"/>
      <c r="VJX225" s="1201"/>
      <c r="VJY225" s="1201"/>
      <c r="VJZ225" s="1201"/>
      <c r="VKA225" s="1201"/>
      <c r="VKB225" s="1201"/>
      <c r="VKC225" s="1201"/>
      <c r="VKD225" s="1201"/>
      <c r="VKE225" s="1201"/>
      <c r="VKF225" s="1201"/>
      <c r="VKG225" s="1201"/>
      <c r="VKH225" s="1201"/>
      <c r="VKI225" s="1201"/>
      <c r="VKJ225" s="1201"/>
      <c r="VKK225" s="1201"/>
      <c r="VKL225" s="1201"/>
      <c r="VKM225" s="1201"/>
      <c r="VKN225" s="1201"/>
      <c r="VKO225" s="1201"/>
      <c r="VKP225" s="1201"/>
      <c r="VKQ225" s="1201"/>
      <c r="VKR225" s="1201"/>
      <c r="VKS225" s="1201"/>
      <c r="VKT225" s="1201"/>
      <c r="VKU225" s="1201"/>
      <c r="VKV225" s="1201"/>
      <c r="VKW225" s="1201"/>
      <c r="VKX225" s="1201"/>
      <c r="VKY225" s="1201"/>
      <c r="VKZ225" s="1201"/>
      <c r="VLA225" s="1201"/>
      <c r="VLB225" s="1201"/>
      <c r="VLC225" s="1201"/>
      <c r="VLD225" s="1201"/>
      <c r="VLE225" s="1201"/>
      <c r="VLF225" s="1201"/>
      <c r="VLG225" s="1201"/>
      <c r="VLH225" s="1201"/>
      <c r="VLI225" s="1201"/>
      <c r="VLJ225" s="1201"/>
      <c r="VLK225" s="1201"/>
      <c r="VLL225" s="1201"/>
      <c r="VLM225" s="1201"/>
      <c r="VLN225" s="1201"/>
      <c r="VLO225" s="1201"/>
      <c r="VLP225" s="1201"/>
      <c r="VLQ225" s="1201"/>
      <c r="VLR225" s="1201"/>
      <c r="VLS225" s="1201"/>
      <c r="VLT225" s="1201"/>
      <c r="VLU225" s="1201"/>
      <c r="VLV225" s="1201"/>
      <c r="VLW225" s="1201"/>
      <c r="VLX225" s="1201"/>
      <c r="VLY225" s="1201"/>
      <c r="VLZ225" s="1201"/>
      <c r="VMA225" s="1201"/>
      <c r="VMB225" s="1201"/>
      <c r="VMC225" s="1201"/>
      <c r="VMD225" s="1201"/>
      <c r="VME225" s="1201"/>
      <c r="VMF225" s="1201"/>
      <c r="VMG225" s="1201"/>
      <c r="VMH225" s="1201"/>
      <c r="VMI225" s="1201"/>
      <c r="VMJ225" s="1201"/>
      <c r="VMK225" s="1201"/>
      <c r="VML225" s="1201"/>
      <c r="VMM225" s="1201"/>
      <c r="VMN225" s="1201"/>
      <c r="VMO225" s="1201"/>
      <c r="VMP225" s="1201"/>
      <c r="VMQ225" s="1201"/>
      <c r="VMR225" s="1201"/>
      <c r="VMS225" s="1201"/>
      <c r="VMT225" s="1201"/>
      <c r="VMU225" s="1201"/>
      <c r="VMV225" s="1201"/>
      <c r="VMW225" s="1201"/>
      <c r="VMX225" s="1201"/>
      <c r="VMY225" s="1201"/>
      <c r="VMZ225" s="1201"/>
      <c r="VNA225" s="1201"/>
      <c r="VNB225" s="1201"/>
      <c r="VNC225" s="1201"/>
      <c r="VND225" s="1201"/>
      <c r="VNE225" s="1201"/>
      <c r="VNF225" s="1201"/>
      <c r="VNG225" s="1201"/>
      <c r="VNH225" s="1201"/>
      <c r="VNI225" s="1201"/>
      <c r="VNJ225" s="1201"/>
      <c r="VNK225" s="1201"/>
      <c r="VNL225" s="1201"/>
      <c r="VNM225" s="1201"/>
      <c r="VNN225" s="1201"/>
      <c r="VNO225" s="1201"/>
      <c r="VNP225" s="1201"/>
      <c r="VNQ225" s="1201"/>
      <c r="VNR225" s="1201"/>
      <c r="VNS225" s="1201"/>
      <c r="VNT225" s="1201"/>
      <c r="VNU225" s="1201"/>
      <c r="VNV225" s="1201"/>
      <c r="VNW225" s="1201"/>
      <c r="VNX225" s="1201"/>
      <c r="VNY225" s="1201"/>
      <c r="VNZ225" s="1201"/>
      <c r="VOA225" s="1201"/>
      <c r="VOB225" s="1201"/>
      <c r="VOC225" s="1201"/>
      <c r="VOD225" s="1201"/>
      <c r="VOE225" s="1201"/>
      <c r="VOF225" s="1201"/>
      <c r="VOG225" s="1201"/>
      <c r="VOH225" s="1201"/>
      <c r="VOI225" s="1201"/>
      <c r="VOJ225" s="1201"/>
      <c r="VOK225" s="1201"/>
      <c r="VOL225" s="1201"/>
      <c r="VOM225" s="1201"/>
      <c r="VON225" s="1201"/>
      <c r="VOO225" s="1201"/>
      <c r="VOP225" s="1201"/>
      <c r="VOQ225" s="1201"/>
      <c r="VOR225" s="1201"/>
      <c r="VOS225" s="1201"/>
      <c r="VOT225" s="1201"/>
      <c r="VOU225" s="1201"/>
      <c r="VOV225" s="1201"/>
      <c r="VOW225" s="1201"/>
      <c r="VOX225" s="1201"/>
      <c r="VOY225" s="1201"/>
      <c r="VOZ225" s="1201"/>
      <c r="VPA225" s="1201"/>
      <c r="VPB225" s="1201"/>
      <c r="VPC225" s="1201"/>
      <c r="VPD225" s="1201"/>
      <c r="VPE225" s="1201"/>
      <c r="VPF225" s="1201"/>
      <c r="VPG225" s="1201"/>
      <c r="VPH225" s="1201"/>
      <c r="VPI225" s="1201"/>
      <c r="VPJ225" s="1201"/>
      <c r="VPK225" s="1201"/>
      <c r="VPL225" s="1201"/>
      <c r="VPM225" s="1201"/>
      <c r="VPN225" s="1201"/>
      <c r="VPO225" s="1201"/>
      <c r="VPP225" s="1201"/>
      <c r="VPQ225" s="1201"/>
      <c r="VPR225" s="1201"/>
      <c r="VPS225" s="1201"/>
      <c r="VPT225" s="1201"/>
      <c r="VPU225" s="1201"/>
      <c r="VPV225" s="1201"/>
      <c r="VPW225" s="1201"/>
      <c r="VPX225" s="1201"/>
      <c r="VPY225" s="1201"/>
      <c r="VPZ225" s="1201"/>
      <c r="VQA225" s="1201"/>
      <c r="VQB225" s="1201"/>
      <c r="VQC225" s="1201"/>
      <c r="VQD225" s="1201"/>
      <c r="VQE225" s="1201"/>
      <c r="VQF225" s="1201"/>
      <c r="VQG225" s="1201"/>
      <c r="VQH225" s="1201"/>
      <c r="VQI225" s="1201"/>
      <c r="VQJ225" s="1201"/>
      <c r="VQK225" s="1201"/>
      <c r="VQL225" s="1201"/>
      <c r="VQM225" s="1201"/>
      <c r="VQN225" s="1201"/>
      <c r="VQO225" s="1201"/>
      <c r="VQP225" s="1201"/>
      <c r="VQQ225" s="1201"/>
      <c r="VQR225" s="1201"/>
      <c r="VQS225" s="1201"/>
      <c r="VQT225" s="1201"/>
      <c r="VQU225" s="1201"/>
      <c r="VQV225" s="1201"/>
      <c r="VQW225" s="1201"/>
      <c r="VQX225" s="1201"/>
      <c r="VQY225" s="1201"/>
      <c r="VQZ225" s="1201"/>
      <c r="VRA225" s="1201"/>
      <c r="VRB225" s="1201"/>
      <c r="VRC225" s="1201"/>
      <c r="VRD225" s="1201"/>
      <c r="VRE225" s="1201"/>
      <c r="VRF225" s="1201"/>
      <c r="VRG225" s="1201"/>
      <c r="VRH225" s="1201"/>
      <c r="VRI225" s="1201"/>
      <c r="VRJ225" s="1201"/>
      <c r="VRK225" s="1201"/>
      <c r="VRL225" s="1201"/>
      <c r="VRM225" s="1201"/>
      <c r="VRN225" s="1201"/>
      <c r="VRO225" s="1201"/>
      <c r="VRP225" s="1201"/>
      <c r="VRQ225" s="1201"/>
      <c r="VRR225" s="1201"/>
      <c r="VRS225" s="1201"/>
      <c r="VRT225" s="1201"/>
      <c r="VRU225" s="1201"/>
      <c r="VRV225" s="1201"/>
      <c r="VRW225" s="1201"/>
      <c r="VRX225" s="1201"/>
      <c r="VRY225" s="1201"/>
      <c r="VRZ225" s="1201"/>
      <c r="VSA225" s="1201"/>
      <c r="VSB225" s="1201"/>
      <c r="VSC225" s="1201"/>
      <c r="VSD225" s="1201"/>
      <c r="VSE225" s="1201"/>
      <c r="VSF225" s="1201"/>
      <c r="VSG225" s="1201"/>
      <c r="VSH225" s="1201"/>
      <c r="VSI225" s="1201"/>
      <c r="VSJ225" s="1201"/>
      <c r="VSK225" s="1201"/>
      <c r="VSL225" s="1201"/>
      <c r="VSM225" s="1201"/>
      <c r="VSN225" s="1201"/>
      <c r="VSO225" s="1201"/>
      <c r="VSP225" s="1201"/>
      <c r="VSQ225" s="1201"/>
      <c r="VSR225" s="1201"/>
      <c r="VSS225" s="1201"/>
      <c r="VST225" s="1201"/>
      <c r="VSU225" s="1201"/>
      <c r="VSV225" s="1201"/>
      <c r="VSW225" s="1201"/>
      <c r="VSX225" s="1201"/>
      <c r="VSY225" s="1201"/>
      <c r="VSZ225" s="1201"/>
      <c r="VTA225" s="1201"/>
      <c r="VTB225" s="1201"/>
      <c r="VTC225" s="1201"/>
      <c r="VTD225" s="1201"/>
      <c r="VTE225" s="1201"/>
      <c r="VTF225" s="1201"/>
      <c r="VTG225" s="1201"/>
      <c r="VTH225" s="1201"/>
      <c r="VTI225" s="1201"/>
      <c r="VTJ225" s="1201"/>
      <c r="VTK225" s="1201"/>
      <c r="VTL225" s="1201"/>
      <c r="VTM225" s="1201"/>
      <c r="VTN225" s="1201"/>
      <c r="VTO225" s="1201"/>
      <c r="VTP225" s="1201"/>
      <c r="VTQ225" s="1201"/>
      <c r="VTR225" s="1201"/>
      <c r="VTS225" s="1201"/>
      <c r="VTT225" s="1201"/>
      <c r="VTU225" s="1201"/>
      <c r="VTV225" s="1201"/>
      <c r="VTW225" s="1201"/>
      <c r="VTX225" s="1201"/>
      <c r="VTY225" s="1201"/>
      <c r="VTZ225" s="1201"/>
      <c r="VUA225" s="1201"/>
      <c r="VUB225" s="1201"/>
      <c r="VUC225" s="1201"/>
      <c r="VUD225" s="1201"/>
      <c r="VUE225" s="1201"/>
      <c r="VUF225" s="1201"/>
      <c r="VUG225" s="1201"/>
      <c r="VUH225" s="1201"/>
      <c r="VUI225" s="1201"/>
      <c r="VUJ225" s="1201"/>
      <c r="VUK225" s="1201"/>
      <c r="VUL225" s="1201"/>
      <c r="VUM225" s="1201"/>
      <c r="VUN225" s="1201"/>
      <c r="VUO225" s="1201"/>
      <c r="VUP225" s="1201"/>
      <c r="VUQ225" s="1201"/>
      <c r="VUR225" s="1201"/>
      <c r="VUS225" s="1201"/>
      <c r="VUT225" s="1201"/>
      <c r="VUU225" s="1201"/>
      <c r="VUV225" s="1201"/>
      <c r="VUW225" s="1201"/>
      <c r="VUX225" s="1201"/>
      <c r="VUY225" s="1201"/>
      <c r="VUZ225" s="1201"/>
      <c r="VVA225" s="1201"/>
      <c r="VVB225" s="1201"/>
      <c r="VVC225" s="1201"/>
      <c r="VVD225" s="1201"/>
      <c r="VVE225" s="1201"/>
      <c r="VVF225" s="1201"/>
      <c r="VVG225" s="1201"/>
      <c r="VVH225" s="1201"/>
      <c r="VVI225" s="1201"/>
      <c r="VVJ225" s="1201"/>
      <c r="VVK225" s="1201"/>
      <c r="VVL225" s="1201"/>
      <c r="VVM225" s="1201"/>
      <c r="VVN225" s="1201"/>
      <c r="VVO225" s="1201"/>
      <c r="VVP225" s="1201"/>
      <c r="VVQ225" s="1201"/>
      <c r="VVR225" s="1201"/>
      <c r="VVS225" s="1201"/>
      <c r="VVT225" s="1201"/>
      <c r="VVU225" s="1201"/>
      <c r="VVV225" s="1201"/>
      <c r="VVW225" s="1201"/>
      <c r="VVX225" s="1201"/>
      <c r="VVY225" s="1201"/>
      <c r="VVZ225" s="1201"/>
      <c r="VWA225" s="1201"/>
      <c r="VWB225" s="1201"/>
      <c r="VWC225" s="1201"/>
      <c r="VWD225" s="1201"/>
      <c r="VWE225" s="1201"/>
      <c r="VWF225" s="1201"/>
      <c r="VWG225" s="1201"/>
      <c r="VWH225" s="1201"/>
      <c r="VWI225" s="1201"/>
      <c r="VWJ225" s="1201"/>
      <c r="VWK225" s="1201"/>
      <c r="VWL225" s="1201"/>
      <c r="VWM225" s="1201"/>
      <c r="VWN225" s="1201"/>
      <c r="VWO225" s="1201"/>
      <c r="VWP225" s="1201"/>
      <c r="VWQ225" s="1201"/>
      <c r="VWR225" s="1201"/>
      <c r="VWS225" s="1201"/>
      <c r="VWT225" s="1201"/>
      <c r="VWU225" s="1201"/>
      <c r="VWV225" s="1201"/>
      <c r="VWW225" s="1201"/>
      <c r="VWX225" s="1201"/>
      <c r="VWY225" s="1201"/>
      <c r="VWZ225" s="1201"/>
      <c r="VXA225" s="1201"/>
      <c r="VXB225" s="1201"/>
      <c r="VXC225" s="1201"/>
      <c r="VXD225" s="1201"/>
      <c r="VXE225" s="1201"/>
      <c r="VXF225" s="1201"/>
      <c r="VXG225" s="1201"/>
      <c r="VXH225" s="1201"/>
      <c r="VXI225" s="1201"/>
      <c r="VXJ225" s="1201"/>
      <c r="VXK225" s="1201"/>
      <c r="VXL225" s="1201"/>
      <c r="VXM225" s="1201"/>
      <c r="VXN225" s="1201"/>
      <c r="VXO225" s="1201"/>
      <c r="VXP225" s="1201"/>
      <c r="VXQ225" s="1201"/>
      <c r="VXR225" s="1201"/>
      <c r="VXS225" s="1201"/>
      <c r="VXT225" s="1201"/>
      <c r="VXU225" s="1201"/>
      <c r="VXV225" s="1201"/>
      <c r="VXW225" s="1201"/>
      <c r="VXX225" s="1201"/>
      <c r="VXY225" s="1201"/>
      <c r="VXZ225" s="1201"/>
      <c r="VYA225" s="1201"/>
      <c r="VYB225" s="1201"/>
      <c r="VYC225" s="1201"/>
      <c r="VYD225" s="1201"/>
      <c r="VYE225" s="1201"/>
      <c r="VYF225" s="1201"/>
      <c r="VYG225" s="1201"/>
      <c r="VYH225" s="1201"/>
      <c r="VYI225" s="1201"/>
      <c r="VYJ225" s="1201"/>
      <c r="VYK225" s="1201"/>
      <c r="VYL225" s="1201"/>
      <c r="VYM225" s="1201"/>
      <c r="VYN225" s="1201"/>
      <c r="VYO225" s="1201"/>
      <c r="VYP225" s="1201"/>
      <c r="VYQ225" s="1201"/>
      <c r="VYR225" s="1201"/>
      <c r="VYS225" s="1201"/>
      <c r="VYT225" s="1201"/>
      <c r="VYU225" s="1201"/>
      <c r="VYV225" s="1201"/>
      <c r="VYW225" s="1201"/>
      <c r="VYX225" s="1201"/>
      <c r="VYY225" s="1201"/>
      <c r="VYZ225" s="1201"/>
      <c r="VZA225" s="1201"/>
      <c r="VZB225" s="1201"/>
      <c r="VZC225" s="1201"/>
      <c r="VZD225" s="1201"/>
      <c r="VZE225" s="1201"/>
      <c r="VZF225" s="1201"/>
      <c r="VZG225" s="1201"/>
      <c r="VZH225" s="1201"/>
      <c r="VZI225" s="1201"/>
      <c r="VZJ225" s="1201"/>
      <c r="VZK225" s="1201"/>
      <c r="VZL225" s="1201"/>
      <c r="VZM225" s="1201"/>
      <c r="VZN225" s="1201"/>
      <c r="VZO225" s="1201"/>
      <c r="VZP225" s="1201"/>
      <c r="VZQ225" s="1201"/>
      <c r="VZR225" s="1201"/>
      <c r="VZS225" s="1201"/>
      <c r="VZT225" s="1201"/>
      <c r="VZU225" s="1201"/>
      <c r="VZV225" s="1201"/>
      <c r="VZW225" s="1201"/>
      <c r="VZX225" s="1201"/>
      <c r="VZY225" s="1201"/>
      <c r="VZZ225" s="1201"/>
      <c r="WAA225" s="1201"/>
      <c r="WAB225" s="1201"/>
      <c r="WAC225" s="1201"/>
      <c r="WAD225" s="1201"/>
      <c r="WAE225" s="1201"/>
      <c r="WAF225" s="1201"/>
      <c r="WAG225" s="1201"/>
      <c r="WAH225" s="1201"/>
      <c r="WAI225" s="1201"/>
      <c r="WAJ225" s="1201"/>
      <c r="WAK225" s="1201"/>
      <c r="WAL225" s="1201"/>
      <c r="WAM225" s="1201"/>
      <c r="WAN225" s="1201"/>
      <c r="WAO225" s="1201"/>
      <c r="WAP225" s="1201"/>
      <c r="WAQ225" s="1201"/>
      <c r="WAR225" s="1201"/>
      <c r="WAS225" s="1201"/>
      <c r="WAT225" s="1201"/>
      <c r="WAU225" s="1201"/>
      <c r="WAV225" s="1201"/>
      <c r="WAW225" s="1201"/>
      <c r="WAX225" s="1201"/>
      <c r="WAY225" s="1201"/>
      <c r="WAZ225" s="1201"/>
      <c r="WBA225" s="1201"/>
      <c r="WBB225" s="1201"/>
      <c r="WBC225" s="1201"/>
      <c r="WBD225" s="1201"/>
      <c r="WBE225" s="1201"/>
      <c r="WBF225" s="1201"/>
      <c r="WBG225" s="1201"/>
      <c r="WBH225" s="1201"/>
      <c r="WBI225" s="1201"/>
      <c r="WBJ225" s="1201"/>
      <c r="WBK225" s="1201"/>
      <c r="WBL225" s="1201"/>
      <c r="WBM225" s="1201"/>
      <c r="WBN225" s="1201"/>
      <c r="WBO225" s="1201"/>
      <c r="WBP225" s="1201"/>
      <c r="WBQ225" s="1201"/>
      <c r="WBR225" s="1201"/>
      <c r="WBS225" s="1201"/>
      <c r="WBT225" s="1201"/>
      <c r="WBU225" s="1201"/>
      <c r="WBV225" s="1201"/>
      <c r="WBW225" s="1201"/>
      <c r="WBX225" s="1201"/>
      <c r="WBY225" s="1201"/>
      <c r="WBZ225" s="1201"/>
      <c r="WCA225" s="1201"/>
      <c r="WCB225" s="1201"/>
      <c r="WCC225" s="1201"/>
      <c r="WCD225" s="1201"/>
      <c r="WCE225" s="1201"/>
      <c r="WCF225" s="1201"/>
      <c r="WCG225" s="1201"/>
      <c r="WCH225" s="1201"/>
      <c r="WCI225" s="1201"/>
      <c r="WCJ225" s="1201"/>
      <c r="WCK225" s="1201"/>
      <c r="WCL225" s="1201"/>
      <c r="WCM225" s="1201"/>
      <c r="WCN225" s="1201"/>
      <c r="WCO225" s="1201"/>
      <c r="WCP225" s="1201"/>
      <c r="WCQ225" s="1201"/>
      <c r="WCR225" s="1201"/>
      <c r="WCS225" s="1201"/>
      <c r="WCT225" s="1201"/>
      <c r="WCU225" s="1201"/>
      <c r="WCV225" s="1201"/>
      <c r="WCW225" s="1201"/>
      <c r="WCX225" s="1201"/>
      <c r="WCY225" s="1201"/>
      <c r="WCZ225" s="1201"/>
      <c r="WDA225" s="1201"/>
      <c r="WDB225" s="1201"/>
      <c r="WDC225" s="1201"/>
      <c r="WDD225" s="1201"/>
      <c r="WDE225" s="1201"/>
      <c r="WDF225" s="1201"/>
      <c r="WDG225" s="1201"/>
      <c r="WDH225" s="1201"/>
      <c r="WDI225" s="1201"/>
      <c r="WDJ225" s="1201"/>
      <c r="WDK225" s="1201"/>
      <c r="WDL225" s="1201"/>
      <c r="WDM225" s="1201"/>
      <c r="WDN225" s="1201"/>
      <c r="WDO225" s="1201"/>
      <c r="WDP225" s="1201"/>
      <c r="WDQ225" s="1201"/>
      <c r="WDR225" s="1201"/>
      <c r="WDS225" s="1201"/>
      <c r="WDT225" s="1201"/>
      <c r="WDU225" s="1201"/>
      <c r="WDV225" s="1201"/>
      <c r="WDW225" s="1201"/>
      <c r="WDX225" s="1201"/>
      <c r="WDY225" s="1201"/>
      <c r="WDZ225" s="1201"/>
      <c r="WEA225" s="1201"/>
      <c r="WEB225" s="1201"/>
      <c r="WEC225" s="1201"/>
      <c r="WED225" s="1201"/>
      <c r="WEE225" s="1201"/>
      <c r="WEF225" s="1201"/>
      <c r="WEG225" s="1201"/>
      <c r="WEH225" s="1201"/>
      <c r="WEI225" s="1201"/>
      <c r="WEJ225" s="1201"/>
      <c r="WEK225" s="1201"/>
      <c r="WEL225" s="1201"/>
      <c r="WEM225" s="1201"/>
      <c r="WEN225" s="1201"/>
      <c r="WEO225" s="1201"/>
      <c r="WEP225" s="1201"/>
      <c r="WEQ225" s="1201"/>
      <c r="WER225" s="1201"/>
      <c r="WES225" s="1201"/>
      <c r="WET225" s="1201"/>
      <c r="WEU225" s="1201"/>
      <c r="WEV225" s="1201"/>
      <c r="WEW225" s="1201"/>
      <c r="WEX225" s="1201"/>
      <c r="WEY225" s="1201"/>
      <c r="WEZ225" s="1201"/>
      <c r="WFA225" s="1201"/>
      <c r="WFB225" s="1201"/>
      <c r="WFC225" s="1201"/>
      <c r="WFD225" s="1201"/>
      <c r="WFE225" s="1201"/>
      <c r="WFF225" s="1201"/>
      <c r="WFG225" s="1201"/>
      <c r="WFH225" s="1201"/>
      <c r="WFI225" s="1201"/>
      <c r="WFJ225" s="1201"/>
      <c r="WFK225" s="1201"/>
      <c r="WFL225" s="1201"/>
      <c r="WFM225" s="1201"/>
      <c r="WFN225" s="1201"/>
      <c r="WFO225" s="1201"/>
      <c r="WFP225" s="1201"/>
      <c r="WFQ225" s="1201"/>
      <c r="WFR225" s="1201"/>
      <c r="WFS225" s="1201"/>
      <c r="WFT225" s="1201"/>
      <c r="WFU225" s="1201"/>
      <c r="WFV225" s="1201"/>
      <c r="WFW225" s="1201"/>
      <c r="WFX225" s="1201"/>
      <c r="WFY225" s="1201"/>
      <c r="WFZ225" s="1201"/>
      <c r="WGA225" s="1201"/>
      <c r="WGB225" s="1201"/>
      <c r="WGC225" s="1201"/>
      <c r="WGD225" s="1201"/>
      <c r="WGE225" s="1201"/>
      <c r="WGF225" s="1201"/>
      <c r="WGG225" s="1201"/>
      <c r="WGH225" s="1201"/>
      <c r="WGI225" s="1201"/>
      <c r="WGJ225" s="1201"/>
      <c r="WGK225" s="1201"/>
      <c r="WGL225" s="1201"/>
      <c r="WGM225" s="1201"/>
      <c r="WGN225" s="1201"/>
      <c r="WGO225" s="1201"/>
      <c r="WGP225" s="1201"/>
      <c r="WGQ225" s="1201"/>
      <c r="WGR225" s="1201"/>
      <c r="WGS225" s="1201"/>
      <c r="WGT225" s="1201"/>
      <c r="WGU225" s="1201"/>
      <c r="WGV225" s="1201"/>
      <c r="WGW225" s="1201"/>
      <c r="WGX225" s="1201"/>
      <c r="WGY225" s="1201"/>
      <c r="WGZ225" s="1201"/>
      <c r="WHA225" s="1201"/>
      <c r="WHB225" s="1201"/>
      <c r="WHC225" s="1201"/>
      <c r="WHD225" s="1201"/>
      <c r="WHE225" s="1201"/>
      <c r="WHF225" s="1201"/>
      <c r="WHG225" s="1201"/>
      <c r="WHH225" s="1201"/>
      <c r="WHI225" s="1201"/>
      <c r="WHJ225" s="1201"/>
      <c r="WHK225" s="1201"/>
      <c r="WHL225" s="1201"/>
      <c r="WHM225" s="1201"/>
      <c r="WHN225" s="1201"/>
      <c r="WHO225" s="1201"/>
      <c r="WHP225" s="1201"/>
      <c r="WHQ225" s="1201"/>
      <c r="WHR225" s="1201"/>
      <c r="WHS225" s="1201"/>
      <c r="WHT225" s="1201"/>
      <c r="WHU225" s="1201"/>
      <c r="WHV225" s="1201"/>
      <c r="WHW225" s="1201"/>
      <c r="WHX225" s="1201"/>
      <c r="WHY225" s="1201"/>
      <c r="WHZ225" s="1201"/>
      <c r="WIA225" s="1201"/>
      <c r="WIB225" s="1201"/>
      <c r="WIC225" s="1201"/>
      <c r="WID225" s="1201"/>
      <c r="WIE225" s="1201"/>
      <c r="WIF225" s="1201"/>
      <c r="WIG225" s="1201"/>
      <c r="WIH225" s="1201"/>
      <c r="WII225" s="1201"/>
      <c r="WIJ225" s="1201"/>
      <c r="WIK225" s="1201"/>
      <c r="WIL225" s="1201"/>
      <c r="WIM225" s="1201"/>
      <c r="WIN225" s="1201"/>
      <c r="WIO225" s="1201"/>
      <c r="WIP225" s="1201"/>
      <c r="WIQ225" s="1201"/>
      <c r="WIR225" s="1201"/>
      <c r="WIS225" s="1201"/>
      <c r="WIT225" s="1201"/>
      <c r="WIU225" s="1201"/>
      <c r="WIV225" s="1201"/>
      <c r="WIW225" s="1201"/>
      <c r="WIX225" s="1201"/>
      <c r="WIY225" s="1201"/>
      <c r="WIZ225" s="1201"/>
      <c r="WJA225" s="1201"/>
      <c r="WJB225" s="1201"/>
      <c r="WJC225" s="1201"/>
      <c r="WJD225" s="1201"/>
      <c r="WJE225" s="1201"/>
      <c r="WJF225" s="1201"/>
      <c r="WJG225" s="1201"/>
      <c r="WJH225" s="1201"/>
      <c r="WJI225" s="1201"/>
      <c r="WJJ225" s="1201"/>
      <c r="WJK225" s="1201"/>
      <c r="WJL225" s="1201"/>
      <c r="WJM225" s="1201"/>
      <c r="WJN225" s="1201"/>
      <c r="WJO225" s="1201"/>
      <c r="WJP225" s="1201"/>
      <c r="WJQ225" s="1201"/>
      <c r="WJR225" s="1201"/>
      <c r="WJS225" s="1201"/>
      <c r="WJT225" s="1201"/>
      <c r="WJU225" s="1201"/>
      <c r="WJV225" s="1201"/>
      <c r="WJW225" s="1201"/>
      <c r="WJX225" s="1201"/>
      <c r="WJY225" s="1201"/>
      <c r="WJZ225" s="1201"/>
      <c r="WKA225" s="1201"/>
      <c r="WKB225" s="1201"/>
      <c r="WKC225" s="1201"/>
      <c r="WKD225" s="1201"/>
      <c r="WKE225" s="1201"/>
      <c r="WKF225" s="1201"/>
      <c r="WKG225" s="1201"/>
      <c r="WKH225" s="1201"/>
      <c r="WKI225" s="1201"/>
      <c r="WKJ225" s="1201"/>
      <c r="WKK225" s="1201"/>
      <c r="WKL225" s="1201"/>
      <c r="WKM225" s="1201"/>
      <c r="WKN225" s="1201"/>
      <c r="WKO225" s="1201"/>
      <c r="WKP225" s="1201"/>
      <c r="WKQ225" s="1201"/>
      <c r="WKR225" s="1201"/>
      <c r="WKS225" s="1201"/>
      <c r="WKT225" s="1201"/>
      <c r="WKU225" s="1201"/>
      <c r="WKV225" s="1201"/>
      <c r="WKW225" s="1201"/>
      <c r="WKX225" s="1201"/>
      <c r="WKY225" s="1201"/>
      <c r="WKZ225" s="1201"/>
      <c r="WLA225" s="1201"/>
      <c r="WLB225" s="1201"/>
      <c r="WLC225" s="1201"/>
      <c r="WLD225" s="1201"/>
      <c r="WLE225" s="1201"/>
      <c r="WLF225" s="1201"/>
      <c r="WLG225" s="1201"/>
      <c r="WLH225" s="1201"/>
      <c r="WLI225" s="1201"/>
      <c r="WLJ225" s="1201"/>
      <c r="WLK225" s="1201"/>
      <c r="WLL225" s="1201"/>
      <c r="WLM225" s="1201"/>
      <c r="WLN225" s="1201"/>
      <c r="WLO225" s="1201"/>
      <c r="WLP225" s="1201"/>
      <c r="WLQ225" s="1201"/>
      <c r="WLR225" s="1201"/>
      <c r="WLS225" s="1201"/>
      <c r="WLT225" s="1201"/>
      <c r="WLU225" s="1201"/>
      <c r="WLV225" s="1201"/>
      <c r="WLW225" s="1201"/>
      <c r="WLX225" s="1201"/>
      <c r="WLY225" s="1201"/>
      <c r="WLZ225" s="1201"/>
      <c r="WMA225" s="1201"/>
      <c r="WMB225" s="1201"/>
      <c r="WMC225" s="1201"/>
      <c r="WMD225" s="1201"/>
      <c r="WME225" s="1201"/>
      <c r="WMF225" s="1201"/>
      <c r="WMG225" s="1201"/>
      <c r="WMH225" s="1201"/>
      <c r="WMI225" s="1201"/>
      <c r="WMJ225" s="1201"/>
      <c r="WMK225" s="1201"/>
      <c r="WML225" s="1201"/>
      <c r="WMM225" s="1201"/>
      <c r="WMN225" s="1201"/>
      <c r="WMO225" s="1201"/>
      <c r="WMP225" s="1201"/>
      <c r="WMQ225" s="1201"/>
      <c r="WMR225" s="1201"/>
      <c r="WMS225" s="1201"/>
      <c r="WMT225" s="1201"/>
      <c r="WMU225" s="1201"/>
      <c r="WMV225" s="1201"/>
      <c r="WMW225" s="1201"/>
      <c r="WMX225" s="1201"/>
      <c r="WMY225" s="1201"/>
      <c r="WMZ225" s="1201"/>
      <c r="WNA225" s="1201"/>
      <c r="WNB225" s="1201"/>
      <c r="WNC225" s="1201"/>
      <c r="WND225" s="1201"/>
      <c r="WNE225" s="1201"/>
      <c r="WNF225" s="1201"/>
      <c r="WNG225" s="1201"/>
      <c r="WNH225" s="1201"/>
      <c r="WNI225" s="1201"/>
      <c r="WNJ225" s="1201"/>
      <c r="WNK225" s="1201"/>
      <c r="WNL225" s="1201"/>
      <c r="WNM225" s="1201"/>
      <c r="WNN225" s="1201"/>
      <c r="WNO225" s="1201"/>
      <c r="WNP225" s="1201"/>
      <c r="WNQ225" s="1201"/>
      <c r="WNR225" s="1201"/>
      <c r="WNS225" s="1201"/>
      <c r="WNT225" s="1201"/>
      <c r="WNU225" s="1201"/>
      <c r="WNV225" s="1201"/>
      <c r="WNW225" s="1201"/>
      <c r="WNX225" s="1201"/>
      <c r="WNY225" s="1201"/>
      <c r="WNZ225" s="1201"/>
      <c r="WOA225" s="1201"/>
      <c r="WOB225" s="1201"/>
      <c r="WOC225" s="1201"/>
      <c r="WOD225" s="1201"/>
      <c r="WOE225" s="1201"/>
      <c r="WOF225" s="1201"/>
      <c r="WOG225" s="1201"/>
      <c r="WOH225" s="1201"/>
      <c r="WOI225" s="1201"/>
      <c r="WOJ225" s="1201"/>
      <c r="WOK225" s="1201"/>
      <c r="WOL225" s="1201"/>
      <c r="WOM225" s="1201"/>
      <c r="WON225" s="1201"/>
      <c r="WOO225" s="1201"/>
      <c r="WOP225" s="1201"/>
      <c r="WOQ225" s="1201"/>
      <c r="WOR225" s="1201"/>
      <c r="WOS225" s="1201"/>
      <c r="WOT225" s="1201"/>
      <c r="WOU225" s="1201"/>
      <c r="WOV225" s="1201"/>
      <c r="WOW225" s="1201"/>
      <c r="WOX225" s="1201"/>
      <c r="WOY225" s="1201"/>
      <c r="WOZ225" s="1201"/>
      <c r="WPA225" s="1201"/>
      <c r="WPB225" s="1201"/>
      <c r="WPC225" s="1201"/>
      <c r="WPD225" s="1201"/>
      <c r="WPE225" s="1201"/>
      <c r="WPF225" s="1201"/>
      <c r="WPG225" s="1201"/>
      <c r="WPH225" s="1201"/>
      <c r="WPI225" s="1201"/>
      <c r="WPJ225" s="1201"/>
      <c r="WPK225" s="1201"/>
      <c r="WPL225" s="1201"/>
      <c r="WPM225" s="1201"/>
      <c r="WPN225" s="1201"/>
      <c r="WPO225" s="1201"/>
      <c r="WPP225" s="1201"/>
      <c r="WPQ225" s="1201"/>
      <c r="WPR225" s="1201"/>
      <c r="WPS225" s="1201"/>
      <c r="WPT225" s="1201"/>
      <c r="WPU225" s="1201"/>
      <c r="WPV225" s="1201"/>
      <c r="WPW225" s="1201"/>
      <c r="WPX225" s="1201"/>
      <c r="WPY225" s="1201"/>
      <c r="WPZ225" s="1201"/>
      <c r="WQA225" s="1201"/>
      <c r="WQB225" s="1201"/>
      <c r="WQC225" s="1201"/>
      <c r="WQD225" s="1201"/>
      <c r="WQE225" s="1201"/>
      <c r="WQF225" s="1201"/>
      <c r="WQG225" s="1201"/>
      <c r="WQH225" s="1201"/>
      <c r="WQI225" s="1201"/>
      <c r="WQJ225" s="1201"/>
      <c r="WQK225" s="1201"/>
      <c r="WQL225" s="1201"/>
      <c r="WQM225" s="1201"/>
      <c r="WQN225" s="1201"/>
      <c r="WQO225" s="1201"/>
      <c r="WQP225" s="1201"/>
      <c r="WQQ225" s="1201"/>
      <c r="WQR225" s="1201"/>
      <c r="WQS225" s="1201"/>
      <c r="WQT225" s="1201"/>
      <c r="WQU225" s="1201"/>
      <c r="WQV225" s="1201"/>
      <c r="WQW225" s="1201"/>
      <c r="WQX225" s="1201"/>
      <c r="WQY225" s="1201"/>
      <c r="WQZ225" s="1201"/>
      <c r="WRA225" s="1201"/>
      <c r="WRB225" s="1201"/>
      <c r="WRC225" s="1201"/>
      <c r="WRD225" s="1201"/>
      <c r="WRE225" s="1201"/>
      <c r="WRF225" s="1201"/>
      <c r="WRG225" s="1201"/>
      <c r="WRH225" s="1201"/>
      <c r="WRI225" s="1201"/>
      <c r="WRJ225" s="1201"/>
      <c r="WRK225" s="1201"/>
      <c r="WRL225" s="1201"/>
      <c r="WRM225" s="1201"/>
      <c r="WRN225" s="1201"/>
      <c r="WRO225" s="1201"/>
      <c r="WRP225" s="1201"/>
      <c r="WRQ225" s="1201"/>
      <c r="WRR225" s="1201"/>
      <c r="WRS225" s="1201"/>
      <c r="WRT225" s="1201"/>
      <c r="WRU225" s="1201"/>
      <c r="WRV225" s="1201"/>
      <c r="WRW225" s="1201"/>
      <c r="WRX225" s="1201"/>
      <c r="WRY225" s="1201"/>
      <c r="WRZ225" s="1201"/>
      <c r="WSA225" s="1201"/>
      <c r="WSB225" s="1201"/>
      <c r="WSC225" s="1201"/>
      <c r="WSD225" s="1201"/>
      <c r="WSE225" s="1201"/>
      <c r="WSF225" s="1201"/>
      <c r="WSG225" s="1201"/>
      <c r="WSH225" s="1201"/>
      <c r="WSI225" s="1201"/>
      <c r="WSJ225" s="1201"/>
      <c r="WSK225" s="1201"/>
      <c r="WSL225" s="1201"/>
      <c r="WSM225" s="1201"/>
      <c r="WSN225" s="1201"/>
      <c r="WSO225" s="1201"/>
      <c r="WSP225" s="1201"/>
      <c r="WSQ225" s="1201"/>
      <c r="WSR225" s="1201"/>
      <c r="WSS225" s="1201"/>
      <c r="WST225" s="1201"/>
      <c r="WSU225" s="1201"/>
      <c r="WSV225" s="1201"/>
      <c r="WSW225" s="1201"/>
      <c r="WSX225" s="1201"/>
      <c r="WSY225" s="1201"/>
      <c r="WSZ225" s="1201"/>
      <c r="WTA225" s="1201"/>
      <c r="WTB225" s="1201"/>
      <c r="WTC225" s="1201"/>
      <c r="WTD225" s="1201"/>
      <c r="WTE225" s="1201"/>
      <c r="WTF225" s="1201"/>
      <c r="WTG225" s="1201"/>
      <c r="WTH225" s="1201"/>
      <c r="WTI225" s="1201"/>
      <c r="WTJ225" s="1201"/>
      <c r="WTK225" s="1201"/>
      <c r="WTL225" s="1201"/>
      <c r="WTM225" s="1201"/>
      <c r="WTN225" s="1201"/>
      <c r="WTO225" s="1201"/>
      <c r="WTP225" s="1201"/>
      <c r="WTQ225" s="1201"/>
      <c r="WTR225" s="1201"/>
      <c r="WTS225" s="1201"/>
      <c r="WTT225" s="1201"/>
      <c r="WTU225" s="1201"/>
      <c r="WTV225" s="1201"/>
      <c r="WTW225" s="1201"/>
      <c r="WTX225" s="1201"/>
      <c r="WTY225" s="1201"/>
      <c r="WTZ225" s="1201"/>
      <c r="WUA225" s="1201"/>
      <c r="WUB225" s="1201"/>
      <c r="WUC225" s="1201"/>
      <c r="WUD225" s="1201"/>
      <c r="WUE225" s="1201"/>
      <c r="WUF225" s="1201"/>
      <c r="WUG225" s="1201"/>
      <c r="WUH225" s="1201"/>
      <c r="WUI225" s="1201"/>
      <c r="WUJ225" s="1201"/>
      <c r="WUK225" s="1201"/>
      <c r="WUL225" s="1201"/>
      <c r="WUM225" s="1201"/>
      <c r="WUN225" s="1201"/>
      <c r="WUO225" s="1201"/>
      <c r="WUP225" s="1201"/>
      <c r="WUQ225" s="1201"/>
      <c r="WUR225" s="1201"/>
      <c r="WUS225" s="1201"/>
      <c r="WUT225" s="1201"/>
      <c r="WUU225" s="1201"/>
      <c r="WUV225" s="1201"/>
      <c r="WUW225" s="1201"/>
      <c r="WUX225" s="1201"/>
      <c r="WUY225" s="1201"/>
      <c r="WUZ225" s="1201"/>
      <c r="WVA225" s="1201"/>
      <c r="WVB225" s="1201"/>
      <c r="WVC225" s="1201"/>
      <c r="WVD225" s="1201"/>
      <c r="WVE225" s="1201"/>
      <c r="WVF225" s="1201"/>
      <c r="WVG225" s="1201"/>
      <c r="WVH225" s="1201"/>
      <c r="WVI225" s="1201"/>
      <c r="WVJ225" s="1201"/>
      <c r="WVK225" s="1201"/>
      <c r="WVL225" s="1201"/>
      <c r="WVM225" s="1201"/>
      <c r="WVN225" s="1201"/>
      <c r="WVO225" s="1201"/>
      <c r="WVP225" s="1201"/>
      <c r="WVQ225" s="1201"/>
      <c r="WVR225" s="1201"/>
      <c r="WVS225" s="1201"/>
      <c r="WVT225" s="1201"/>
      <c r="WVU225" s="1201"/>
      <c r="WVV225" s="1201"/>
      <c r="WVW225" s="1201"/>
      <c r="WVX225" s="1201"/>
      <c r="WVY225" s="1201"/>
      <c r="WVZ225" s="1201"/>
      <c r="WWA225" s="1201"/>
      <c r="WWB225" s="1201"/>
      <c r="WWC225" s="1201"/>
      <c r="WWD225" s="1201"/>
      <c r="WWE225" s="1201"/>
      <c r="WWF225" s="1201"/>
      <c r="WWG225" s="1201"/>
      <c r="WWH225" s="1201"/>
      <c r="WWI225" s="1201"/>
      <c r="WWJ225" s="1201"/>
      <c r="WWK225" s="1201"/>
      <c r="WWL225" s="1201"/>
      <c r="WWM225" s="1201"/>
      <c r="WWN225" s="1201"/>
      <c r="WWO225" s="1201"/>
      <c r="WWP225" s="1201"/>
      <c r="WWQ225" s="1201"/>
      <c r="WWR225" s="1201"/>
      <c r="WWS225" s="1201"/>
      <c r="WWT225" s="1201"/>
      <c r="WWU225" s="1201"/>
      <c r="WWV225" s="1201"/>
      <c r="WWW225" s="1201"/>
      <c r="WWX225" s="1201"/>
      <c r="WWY225" s="1201"/>
      <c r="WWZ225" s="1201"/>
      <c r="WXA225" s="1201"/>
      <c r="WXB225" s="1201"/>
      <c r="WXC225" s="1201"/>
      <c r="WXD225" s="1201"/>
      <c r="WXE225" s="1201"/>
      <c r="WXF225" s="1201"/>
      <c r="WXG225" s="1201"/>
      <c r="WXH225" s="1201"/>
      <c r="WXI225" s="1201"/>
      <c r="WXJ225" s="1201"/>
      <c r="WXK225" s="1201"/>
      <c r="WXL225" s="1201"/>
      <c r="WXM225" s="1201"/>
      <c r="WXN225" s="1201"/>
      <c r="WXO225" s="1201"/>
      <c r="WXP225" s="1201"/>
      <c r="WXQ225" s="1201"/>
      <c r="WXR225" s="1201"/>
      <c r="WXS225" s="1201"/>
      <c r="WXT225" s="1201"/>
      <c r="WXU225" s="1201"/>
      <c r="WXV225" s="1201"/>
      <c r="WXW225" s="1201"/>
      <c r="WXX225" s="1201"/>
      <c r="WXY225" s="1201"/>
      <c r="WXZ225" s="1201"/>
      <c r="WYA225" s="1201"/>
      <c r="WYB225" s="1201"/>
      <c r="WYC225" s="1201"/>
      <c r="WYD225" s="1201"/>
      <c r="WYE225" s="1201"/>
      <c r="WYF225" s="1201"/>
      <c r="WYG225" s="1201"/>
      <c r="WYH225" s="1201"/>
      <c r="WYI225" s="1201"/>
      <c r="WYJ225" s="1201"/>
      <c r="WYK225" s="1201"/>
      <c r="WYL225" s="1201"/>
      <c r="WYM225" s="1201"/>
      <c r="WYN225" s="1201"/>
      <c r="WYO225" s="1201"/>
      <c r="WYP225" s="1201"/>
      <c r="WYQ225" s="1201"/>
      <c r="WYR225" s="1201"/>
      <c r="WYS225" s="1201"/>
      <c r="WYT225" s="1201"/>
      <c r="WYU225" s="1201"/>
      <c r="WYV225" s="1201"/>
      <c r="WYW225" s="1201"/>
      <c r="WYX225" s="1201"/>
      <c r="WYY225" s="1201"/>
      <c r="WYZ225" s="1201"/>
      <c r="WZA225" s="1201"/>
      <c r="WZB225" s="1201"/>
      <c r="WZC225" s="1201"/>
      <c r="WZD225" s="1201"/>
      <c r="WZE225" s="1201"/>
      <c r="WZF225" s="1201"/>
      <c r="WZG225" s="1201"/>
      <c r="WZH225" s="1201"/>
      <c r="WZI225" s="1201"/>
      <c r="WZJ225" s="1201"/>
      <c r="WZK225" s="1201"/>
      <c r="WZL225" s="1201"/>
      <c r="WZM225" s="1201"/>
      <c r="WZN225" s="1201"/>
      <c r="WZO225" s="1201"/>
      <c r="WZP225" s="1201"/>
      <c r="WZQ225" s="1201"/>
      <c r="WZR225" s="1201"/>
      <c r="WZS225" s="1201"/>
      <c r="WZT225" s="1201"/>
      <c r="WZU225" s="1201"/>
      <c r="WZV225" s="1201"/>
      <c r="WZW225" s="1201"/>
      <c r="WZX225" s="1201"/>
      <c r="WZY225" s="1201"/>
      <c r="WZZ225" s="1201"/>
      <c r="XAA225" s="1201"/>
      <c r="XAB225" s="1201"/>
      <c r="XAC225" s="1201"/>
      <c r="XAD225" s="1201"/>
      <c r="XAE225" s="1201"/>
      <c r="XAF225" s="1201"/>
      <c r="XAG225" s="1201"/>
      <c r="XAH225" s="1201"/>
      <c r="XAI225" s="1201"/>
      <c r="XAJ225" s="1201"/>
      <c r="XAK225" s="1201"/>
      <c r="XAL225" s="1201"/>
      <c r="XAM225" s="1201"/>
      <c r="XAN225" s="1201"/>
      <c r="XAO225" s="1201"/>
      <c r="XAP225" s="1201"/>
      <c r="XAQ225" s="1201"/>
      <c r="XAR225" s="1201"/>
      <c r="XAS225" s="1201"/>
      <c r="XAT225" s="1201"/>
      <c r="XAU225" s="1201"/>
      <c r="XAV225" s="1201"/>
      <c r="XAW225" s="1201"/>
      <c r="XAX225" s="1201"/>
      <c r="XAY225" s="1201"/>
      <c r="XAZ225" s="1201"/>
      <c r="XBA225" s="1201"/>
      <c r="XBB225" s="1201"/>
      <c r="XBC225" s="1201"/>
      <c r="XBD225" s="1201"/>
      <c r="XBE225" s="1201"/>
      <c r="XBF225" s="1201"/>
      <c r="XBG225" s="1201"/>
      <c r="XBH225" s="1201"/>
      <c r="XBI225" s="1201"/>
      <c r="XBJ225" s="1201"/>
      <c r="XBK225" s="1201"/>
      <c r="XBL225" s="1201"/>
      <c r="XBM225" s="1201"/>
      <c r="XBN225" s="1201"/>
      <c r="XBO225" s="1201"/>
      <c r="XBP225" s="1201"/>
      <c r="XBQ225" s="1201"/>
      <c r="XBR225" s="1201"/>
      <c r="XBS225" s="1201"/>
      <c r="XBT225" s="1201"/>
      <c r="XBU225" s="1201"/>
      <c r="XBV225" s="1201"/>
      <c r="XBW225" s="1201"/>
      <c r="XBX225" s="1201"/>
      <c r="XBY225" s="1201"/>
      <c r="XBZ225" s="1201"/>
      <c r="XCA225" s="1201"/>
      <c r="XCB225" s="1201"/>
      <c r="XCC225" s="1201"/>
      <c r="XCD225" s="1201"/>
      <c r="XCE225" s="1201"/>
      <c r="XCF225" s="1201"/>
      <c r="XCG225" s="1201"/>
      <c r="XCH225" s="1201"/>
      <c r="XCI225" s="1201"/>
      <c r="XCJ225" s="1201"/>
      <c r="XCK225" s="1201"/>
      <c r="XCL225" s="1201"/>
      <c r="XCM225" s="1201"/>
      <c r="XCN225" s="1201"/>
      <c r="XCO225" s="1201"/>
      <c r="XCP225" s="1201"/>
      <c r="XCQ225" s="1201"/>
      <c r="XCR225" s="1201"/>
      <c r="XCS225" s="1201"/>
      <c r="XCT225" s="1201"/>
      <c r="XCU225" s="1201"/>
      <c r="XCV225" s="1201"/>
      <c r="XCW225" s="1201"/>
      <c r="XCX225" s="1201"/>
      <c r="XCY225" s="1201"/>
      <c r="XCZ225" s="1201"/>
      <c r="XDA225" s="1201"/>
      <c r="XDB225" s="1201"/>
      <c r="XDC225" s="1201"/>
      <c r="XDD225" s="1201"/>
      <c r="XDE225" s="1201"/>
      <c r="XDF225" s="1201"/>
      <c r="XDG225" s="1201"/>
      <c r="XDH225" s="1201"/>
      <c r="XDI225" s="1201"/>
      <c r="XDJ225" s="1201"/>
      <c r="XDK225" s="1201"/>
      <c r="XDL225" s="1201"/>
      <c r="XDM225" s="1201"/>
      <c r="XDN225" s="1201"/>
      <c r="XDO225" s="1201"/>
      <c r="XDP225" s="1201"/>
      <c r="XDQ225" s="1201"/>
      <c r="XDR225" s="1201"/>
      <c r="XDS225" s="1201"/>
      <c r="XDT225" s="1201"/>
      <c r="XDU225" s="1201"/>
      <c r="XDV225" s="1201"/>
      <c r="XDW225" s="1201"/>
      <c r="XDX225" s="1201"/>
      <c r="XDY225" s="1201"/>
      <c r="XDZ225" s="1201"/>
      <c r="XEA225" s="1201"/>
      <c r="XEB225" s="1201"/>
      <c r="XEC225" s="1201"/>
      <c r="XED225" s="1201"/>
      <c r="XEE225" s="1201"/>
      <c r="XEF225" s="1201"/>
      <c r="XEG225" s="1201"/>
      <c r="XEH225" s="1201"/>
      <c r="XEI225" s="1201"/>
      <c r="XEJ225" s="1201"/>
      <c r="XEK225" s="1201"/>
      <c r="XEL225" s="1201"/>
      <c r="XEM225" s="1201"/>
      <c r="XEN225" s="1201"/>
      <c r="XEO225" s="1201"/>
      <c r="XEP225" s="1201"/>
      <c r="XEQ225" s="1201"/>
      <c r="XER225" s="1201"/>
    </row>
    <row r="226" spans="1:16372" s="892" customFormat="1" ht="14" x14ac:dyDescent="0.3">
      <c r="A226" s="1201"/>
      <c r="B226" s="2218"/>
      <c r="C226" s="2218"/>
      <c r="D226" s="1763" t="s">
        <v>1230</v>
      </c>
      <c r="E226" s="2218"/>
      <c r="F226" s="2218"/>
      <c r="G226" s="2218"/>
      <c r="H226" s="2218"/>
      <c r="I226" s="2218"/>
      <c r="J226" s="2218"/>
      <c r="K226" s="2218"/>
      <c r="L226" s="2222"/>
      <c r="M226" s="2220" t="s">
        <v>1232</v>
      </c>
      <c r="N226" s="1201"/>
      <c r="O226" s="1201"/>
      <c r="P226" s="1201"/>
      <c r="Q226" s="1201"/>
      <c r="R226" s="1201"/>
      <c r="S226" s="1201"/>
      <c r="T226" s="1201"/>
      <c r="U226" s="1201"/>
      <c r="V226" s="1201"/>
      <c r="W226" s="1201"/>
      <c r="X226" s="1201"/>
      <c r="Y226" s="1201"/>
      <c r="Z226" s="1201"/>
      <c r="AA226" s="1201"/>
      <c r="AB226" s="1201"/>
      <c r="AC226" s="1201"/>
      <c r="AD226" s="1201"/>
      <c r="AE226" s="1201"/>
      <c r="AF226" s="1201"/>
      <c r="AG226" s="892">
        <v>7</v>
      </c>
      <c r="AH226" s="2213" t="s">
        <v>920</v>
      </c>
      <c r="AI226" s="581">
        <v>79.37</v>
      </c>
      <c r="AJ226" s="581">
        <v>9.68</v>
      </c>
      <c r="AK226" s="581">
        <v>2.64</v>
      </c>
      <c r="AL226" s="581">
        <v>3.3</v>
      </c>
      <c r="AM226" s="581"/>
      <c r="AN226" s="581">
        <v>5.01</v>
      </c>
      <c r="AO226" s="581"/>
      <c r="AP226" s="1762">
        <v>11.108000000000001</v>
      </c>
      <c r="AQ226" s="1271"/>
      <c r="AR226" s="1201"/>
      <c r="AS226" s="1201"/>
      <c r="AT226" s="1201"/>
      <c r="AU226" s="1201"/>
      <c r="AV226" s="1201"/>
      <c r="AW226" s="1201"/>
      <c r="AX226" s="1201"/>
      <c r="AY226" s="1201"/>
      <c r="AZ226" s="1201"/>
      <c r="BA226" s="1201"/>
      <c r="BB226" s="1201"/>
      <c r="BC226" s="1201"/>
      <c r="BD226" s="1201"/>
      <c r="BE226" s="1201"/>
      <c r="BF226" s="1201"/>
      <c r="BG226" s="1201"/>
      <c r="BH226" s="1201"/>
      <c r="BI226" s="1201"/>
      <c r="BJ226" s="1201"/>
      <c r="BK226" s="1201"/>
      <c r="BL226" s="1201"/>
      <c r="BM226" s="1201"/>
      <c r="BN226" s="1201"/>
      <c r="BO226" s="1201"/>
      <c r="BP226" s="1201"/>
      <c r="BQ226" s="1201"/>
      <c r="BR226" s="1201"/>
      <c r="BS226" s="1201"/>
      <c r="BT226" s="1201"/>
      <c r="BU226" s="1201"/>
      <c r="BV226" s="1201"/>
      <c r="BW226" s="1201"/>
      <c r="BX226" s="1201"/>
      <c r="BY226" s="1201"/>
      <c r="BZ226" s="1201"/>
      <c r="CA226" s="1201"/>
      <c r="CB226" s="1201"/>
      <c r="CC226" s="1201"/>
      <c r="CD226" s="1201"/>
      <c r="CE226" s="1201"/>
      <c r="CF226" s="1201"/>
      <c r="CG226" s="1201"/>
      <c r="CH226" s="1201"/>
      <c r="CI226" s="1201"/>
      <c r="CJ226" s="1201"/>
      <c r="CK226" s="1201"/>
      <c r="CL226" s="1201"/>
      <c r="CM226" s="1201"/>
      <c r="CN226" s="1201"/>
      <c r="CO226" s="1201"/>
      <c r="CP226" s="1201"/>
      <c r="CQ226" s="1201"/>
      <c r="CR226" s="1201"/>
      <c r="CS226" s="1201"/>
      <c r="CT226" s="1201"/>
      <c r="CU226" s="1201"/>
      <c r="CV226" s="1201"/>
      <c r="CW226" s="1201"/>
      <c r="CX226" s="1201"/>
      <c r="CY226" s="1201"/>
      <c r="CZ226" s="1201"/>
      <c r="DA226" s="1201"/>
      <c r="DB226" s="1201"/>
      <c r="DC226" s="1201"/>
      <c r="DD226" s="1201"/>
      <c r="DE226" s="1201"/>
      <c r="DF226" s="1201"/>
      <c r="DG226" s="1201"/>
      <c r="DH226" s="1201"/>
      <c r="DI226" s="1201"/>
      <c r="DJ226" s="1201"/>
      <c r="DK226" s="1201"/>
      <c r="DL226" s="1201"/>
      <c r="DM226" s="1201"/>
      <c r="DN226" s="1201"/>
      <c r="DO226" s="1201"/>
      <c r="DP226" s="1201"/>
      <c r="DQ226" s="1201"/>
      <c r="DR226" s="1201"/>
      <c r="DS226" s="1201"/>
      <c r="DT226" s="1201"/>
      <c r="DU226" s="1201"/>
      <c r="DV226" s="1201"/>
      <c r="DW226" s="1201"/>
      <c r="DX226" s="1201"/>
      <c r="DY226" s="1201"/>
      <c r="DZ226" s="1201"/>
      <c r="EA226" s="1201"/>
      <c r="EB226" s="1201"/>
      <c r="EC226" s="1201"/>
      <c r="ED226" s="1201"/>
      <c r="EE226" s="1201"/>
      <c r="EF226" s="1201"/>
      <c r="EG226" s="1201"/>
      <c r="EH226" s="1201"/>
      <c r="EI226" s="1201"/>
      <c r="EJ226" s="1201"/>
      <c r="EK226" s="1201"/>
      <c r="EL226" s="1201"/>
      <c r="EM226" s="1201"/>
      <c r="EN226" s="1201"/>
      <c r="EO226" s="1201"/>
      <c r="EP226" s="1201"/>
      <c r="EQ226" s="1201"/>
      <c r="ER226" s="1201"/>
      <c r="ES226" s="1201"/>
      <c r="ET226" s="1201"/>
      <c r="EU226" s="1201"/>
      <c r="EV226" s="1201"/>
      <c r="EW226" s="1201"/>
      <c r="EX226" s="1201"/>
      <c r="EY226" s="1201"/>
      <c r="EZ226" s="1201"/>
      <c r="FA226" s="1201"/>
      <c r="FB226" s="1201"/>
      <c r="FC226" s="1201"/>
      <c r="FD226" s="1201"/>
      <c r="FE226" s="1201"/>
      <c r="FF226" s="1201"/>
      <c r="FG226" s="1201"/>
      <c r="FH226" s="1201"/>
      <c r="FI226" s="1201"/>
      <c r="FJ226" s="1201"/>
      <c r="FK226" s="1201"/>
      <c r="FL226" s="1201"/>
      <c r="FM226" s="1201"/>
      <c r="FN226" s="1201"/>
      <c r="FO226" s="1201"/>
      <c r="FP226" s="1201"/>
      <c r="FQ226" s="1201"/>
      <c r="FR226" s="1201"/>
      <c r="FS226" s="1201"/>
      <c r="FT226" s="1201"/>
      <c r="FU226" s="1201"/>
      <c r="FV226" s="1201"/>
      <c r="FW226" s="1201"/>
      <c r="FX226" s="1201"/>
      <c r="FY226" s="1201"/>
      <c r="FZ226" s="1201"/>
      <c r="GA226" s="1201"/>
      <c r="GB226" s="1201"/>
      <c r="GC226" s="1201"/>
      <c r="GD226" s="1201"/>
      <c r="GE226" s="1201"/>
      <c r="GF226" s="1201"/>
      <c r="GG226" s="1201"/>
      <c r="GH226" s="1201"/>
      <c r="GI226" s="1201"/>
      <c r="GJ226" s="1201"/>
      <c r="GK226" s="1201"/>
      <c r="GL226" s="1201"/>
      <c r="GM226" s="1201"/>
      <c r="GN226" s="1201"/>
      <c r="GO226" s="1201"/>
      <c r="GP226" s="1201"/>
      <c r="GQ226" s="1201"/>
      <c r="GR226" s="1201"/>
      <c r="GS226" s="1201"/>
      <c r="GT226" s="1201"/>
      <c r="GU226" s="1201"/>
      <c r="GV226" s="1201"/>
      <c r="GW226" s="1201"/>
      <c r="GX226" s="1201"/>
      <c r="GY226" s="1201"/>
      <c r="GZ226" s="1201"/>
      <c r="HA226" s="1201"/>
      <c r="HB226" s="1201"/>
      <c r="HC226" s="1201"/>
      <c r="HD226" s="1201"/>
      <c r="HE226" s="1201"/>
      <c r="HF226" s="1201"/>
      <c r="HG226" s="1201"/>
      <c r="HH226" s="1201"/>
      <c r="HI226" s="1201"/>
      <c r="HJ226" s="1201"/>
      <c r="HK226" s="1201"/>
      <c r="HL226" s="1201"/>
      <c r="HM226" s="1201"/>
      <c r="HN226" s="1201"/>
      <c r="HO226" s="1201"/>
      <c r="HP226" s="1201"/>
      <c r="HQ226" s="1201"/>
      <c r="HR226" s="1201"/>
      <c r="HS226" s="1201"/>
      <c r="HT226" s="1201"/>
      <c r="HU226" s="1201"/>
      <c r="HV226" s="1201"/>
      <c r="HW226" s="1201"/>
      <c r="HX226" s="1201"/>
      <c r="HY226" s="1201"/>
      <c r="HZ226" s="1201"/>
      <c r="IA226" s="1201"/>
      <c r="IB226" s="1201"/>
      <c r="IC226" s="1201"/>
      <c r="ID226" s="1201"/>
      <c r="IE226" s="1201"/>
      <c r="IF226" s="1201"/>
      <c r="IG226" s="1201"/>
      <c r="IH226" s="1201"/>
      <c r="II226" s="1201"/>
      <c r="IJ226" s="1201"/>
      <c r="IK226" s="1201"/>
      <c r="IL226" s="1201"/>
      <c r="IM226" s="1201"/>
      <c r="IN226" s="1201"/>
      <c r="IO226" s="1201"/>
      <c r="IP226" s="1201"/>
      <c r="IQ226" s="1201"/>
      <c r="IR226" s="1201"/>
      <c r="IS226" s="1201"/>
      <c r="IT226" s="1201"/>
      <c r="IU226" s="1201"/>
      <c r="IV226" s="1201"/>
      <c r="IW226" s="1201"/>
      <c r="IX226" s="1201"/>
      <c r="IY226" s="1201"/>
      <c r="IZ226" s="1201"/>
      <c r="JA226" s="1201"/>
      <c r="JB226" s="1201"/>
      <c r="JC226" s="1201"/>
      <c r="JD226" s="1201"/>
      <c r="JE226" s="1201"/>
      <c r="JF226" s="1201"/>
      <c r="JG226" s="1201"/>
      <c r="JH226" s="1201"/>
      <c r="JI226" s="1201"/>
      <c r="JJ226" s="1201"/>
      <c r="JK226" s="1201"/>
      <c r="JL226" s="1201"/>
      <c r="JM226" s="1201"/>
      <c r="JN226" s="1201"/>
      <c r="JO226" s="1201"/>
      <c r="JP226" s="1201"/>
      <c r="JQ226" s="1201"/>
      <c r="JR226" s="1201"/>
      <c r="JS226" s="1201"/>
      <c r="JT226" s="1201"/>
      <c r="JU226" s="1201"/>
      <c r="JV226" s="1201"/>
      <c r="JW226" s="1201"/>
      <c r="JX226" s="1201"/>
      <c r="JY226" s="1201"/>
      <c r="JZ226" s="1201"/>
      <c r="KA226" s="1201"/>
      <c r="KB226" s="1201"/>
      <c r="KC226" s="1201"/>
      <c r="KD226" s="1201"/>
      <c r="KE226" s="1201"/>
      <c r="KF226" s="1201"/>
      <c r="KG226" s="1201"/>
      <c r="KH226" s="1201"/>
      <c r="KI226" s="1201"/>
      <c r="KJ226" s="1201"/>
      <c r="KK226" s="1201"/>
      <c r="KL226" s="1201"/>
      <c r="KM226" s="1201"/>
      <c r="KN226" s="1201"/>
      <c r="KO226" s="1201"/>
      <c r="KP226" s="1201"/>
      <c r="KQ226" s="1201"/>
      <c r="KR226" s="1201"/>
      <c r="KS226" s="1201"/>
      <c r="KT226" s="1201"/>
      <c r="KU226" s="1201"/>
      <c r="KV226" s="1201"/>
      <c r="KW226" s="1201"/>
      <c r="KX226" s="1201"/>
      <c r="KY226" s="1201"/>
      <c r="KZ226" s="1201"/>
      <c r="LA226" s="1201"/>
      <c r="LB226" s="1201"/>
      <c r="LC226" s="1201"/>
      <c r="LD226" s="1201"/>
      <c r="LE226" s="1201"/>
      <c r="LF226" s="1201"/>
      <c r="LG226" s="1201"/>
      <c r="LH226" s="1201"/>
      <c r="LI226" s="1201"/>
      <c r="LJ226" s="1201"/>
      <c r="LK226" s="1201"/>
      <c r="LL226" s="1201"/>
      <c r="LM226" s="1201"/>
      <c r="LN226" s="1201"/>
      <c r="LO226" s="1201"/>
      <c r="LP226" s="1201"/>
      <c r="LQ226" s="1201"/>
      <c r="LR226" s="1201"/>
      <c r="LS226" s="1201"/>
      <c r="LT226" s="1201"/>
      <c r="LU226" s="1201"/>
      <c r="LV226" s="1201"/>
      <c r="LW226" s="1201"/>
      <c r="LX226" s="1201"/>
      <c r="LY226" s="1201"/>
      <c r="LZ226" s="1201"/>
      <c r="MA226" s="1201"/>
      <c r="MB226" s="1201"/>
      <c r="MC226" s="1201"/>
      <c r="MD226" s="1201"/>
      <c r="ME226" s="1201"/>
      <c r="MF226" s="1201"/>
      <c r="MG226" s="1201"/>
      <c r="MH226" s="1201"/>
      <c r="MI226" s="1201"/>
      <c r="MJ226" s="1201"/>
      <c r="MK226" s="1201"/>
      <c r="ML226" s="1201"/>
      <c r="MM226" s="1201"/>
      <c r="MN226" s="1201"/>
      <c r="MO226" s="1201"/>
      <c r="MP226" s="1201"/>
      <c r="MQ226" s="1201"/>
      <c r="MR226" s="1201"/>
      <c r="MS226" s="1201"/>
      <c r="MT226" s="1201"/>
      <c r="MU226" s="1201"/>
      <c r="MV226" s="1201"/>
      <c r="MW226" s="1201"/>
      <c r="MX226" s="1201"/>
      <c r="MY226" s="1201"/>
      <c r="MZ226" s="1201"/>
      <c r="NA226" s="1201"/>
      <c r="NB226" s="1201"/>
      <c r="NC226" s="1201"/>
      <c r="ND226" s="1201"/>
      <c r="NE226" s="1201"/>
      <c r="NF226" s="1201"/>
      <c r="NG226" s="1201"/>
      <c r="NH226" s="1201"/>
      <c r="NI226" s="1201"/>
      <c r="NJ226" s="1201"/>
      <c r="NK226" s="1201"/>
      <c r="NL226" s="1201"/>
      <c r="NM226" s="1201"/>
      <c r="NN226" s="1201"/>
      <c r="NO226" s="1201"/>
      <c r="NP226" s="1201"/>
      <c r="NQ226" s="1201"/>
      <c r="NR226" s="1201"/>
      <c r="NS226" s="1201"/>
      <c r="NT226" s="1201"/>
      <c r="NU226" s="1201"/>
      <c r="NV226" s="1201"/>
      <c r="NW226" s="1201"/>
      <c r="NX226" s="1201"/>
      <c r="NY226" s="1201"/>
      <c r="NZ226" s="1201"/>
      <c r="OA226" s="1201"/>
      <c r="OB226" s="1201"/>
      <c r="OC226" s="1201"/>
      <c r="OD226" s="1201"/>
      <c r="OE226" s="1201"/>
      <c r="OF226" s="1201"/>
      <c r="OG226" s="1201"/>
      <c r="OH226" s="1201"/>
      <c r="OI226" s="1201"/>
      <c r="OJ226" s="1201"/>
      <c r="OK226" s="1201"/>
      <c r="OL226" s="1201"/>
      <c r="OM226" s="1201"/>
      <c r="ON226" s="1201"/>
      <c r="OO226" s="1201"/>
      <c r="OP226" s="1201"/>
      <c r="OQ226" s="1201"/>
      <c r="OR226" s="1201"/>
      <c r="OS226" s="1201"/>
      <c r="OT226" s="1201"/>
      <c r="OU226" s="1201"/>
      <c r="OV226" s="1201"/>
      <c r="OW226" s="1201"/>
      <c r="OX226" s="1201"/>
      <c r="OY226" s="1201"/>
      <c r="OZ226" s="1201"/>
      <c r="PA226" s="1201"/>
      <c r="PB226" s="1201"/>
      <c r="PC226" s="1201"/>
      <c r="PD226" s="1201"/>
      <c r="PE226" s="1201"/>
      <c r="PF226" s="1201"/>
      <c r="PG226" s="1201"/>
      <c r="PH226" s="1201"/>
      <c r="PI226" s="1201"/>
      <c r="PJ226" s="1201"/>
      <c r="PK226" s="1201"/>
      <c r="PL226" s="1201"/>
      <c r="PM226" s="1201"/>
      <c r="PN226" s="1201"/>
      <c r="PO226" s="1201"/>
      <c r="PP226" s="1201"/>
      <c r="PQ226" s="1201"/>
      <c r="PR226" s="1201"/>
      <c r="PS226" s="1201"/>
      <c r="PT226" s="1201"/>
      <c r="PU226" s="1201"/>
      <c r="PV226" s="1201"/>
      <c r="PW226" s="1201"/>
      <c r="PX226" s="1201"/>
      <c r="PY226" s="1201"/>
      <c r="PZ226" s="1201"/>
      <c r="QA226" s="1201"/>
      <c r="QB226" s="1201"/>
      <c r="QC226" s="1201"/>
      <c r="QD226" s="1201"/>
      <c r="QE226" s="1201"/>
      <c r="QF226" s="1201"/>
      <c r="QG226" s="1201"/>
      <c r="QH226" s="1201"/>
      <c r="QI226" s="1201"/>
      <c r="QJ226" s="1201"/>
      <c r="QK226" s="1201"/>
      <c r="QL226" s="1201"/>
      <c r="QM226" s="1201"/>
      <c r="QN226" s="1201"/>
      <c r="QO226" s="1201"/>
      <c r="QP226" s="1201"/>
      <c r="QQ226" s="1201"/>
      <c r="QR226" s="1201"/>
      <c r="QS226" s="1201"/>
      <c r="QT226" s="1201"/>
      <c r="QU226" s="1201"/>
      <c r="QV226" s="1201"/>
      <c r="QW226" s="1201"/>
      <c r="QX226" s="1201"/>
      <c r="QY226" s="1201"/>
      <c r="QZ226" s="1201"/>
      <c r="RA226" s="1201"/>
      <c r="RB226" s="1201"/>
      <c r="RC226" s="1201"/>
      <c r="RD226" s="1201"/>
      <c r="RE226" s="1201"/>
      <c r="RF226" s="1201"/>
      <c r="RG226" s="1201"/>
      <c r="RH226" s="1201"/>
      <c r="RI226" s="1201"/>
      <c r="RJ226" s="1201"/>
      <c r="RK226" s="1201"/>
      <c r="RL226" s="1201"/>
      <c r="RM226" s="1201"/>
      <c r="RN226" s="1201"/>
      <c r="RO226" s="1201"/>
      <c r="RP226" s="1201"/>
      <c r="RQ226" s="1201"/>
      <c r="RR226" s="1201"/>
      <c r="RS226" s="1201"/>
      <c r="RT226" s="1201"/>
      <c r="RU226" s="1201"/>
      <c r="RV226" s="1201"/>
      <c r="RW226" s="1201"/>
      <c r="RX226" s="1201"/>
      <c r="RY226" s="1201"/>
      <c r="RZ226" s="1201"/>
      <c r="SA226" s="1201"/>
      <c r="SB226" s="1201"/>
      <c r="SC226" s="1201"/>
      <c r="SD226" s="1201"/>
      <c r="SE226" s="1201"/>
      <c r="SF226" s="1201"/>
      <c r="SG226" s="1201"/>
      <c r="SH226" s="1201"/>
      <c r="SI226" s="1201"/>
      <c r="SJ226" s="1201"/>
      <c r="SK226" s="1201"/>
      <c r="SL226" s="1201"/>
      <c r="SM226" s="1201"/>
      <c r="SN226" s="1201"/>
      <c r="SO226" s="1201"/>
      <c r="SP226" s="1201"/>
      <c r="SQ226" s="1201"/>
      <c r="SR226" s="1201"/>
      <c r="SS226" s="1201"/>
      <c r="ST226" s="1201"/>
      <c r="SU226" s="1201"/>
      <c r="SV226" s="1201"/>
      <c r="SW226" s="1201"/>
      <c r="SX226" s="1201"/>
      <c r="SY226" s="1201"/>
      <c r="SZ226" s="1201"/>
      <c r="TA226" s="1201"/>
      <c r="TB226" s="1201"/>
      <c r="TC226" s="1201"/>
      <c r="TD226" s="1201"/>
      <c r="TE226" s="1201"/>
      <c r="TF226" s="1201"/>
      <c r="TG226" s="1201"/>
      <c r="TH226" s="1201"/>
      <c r="TI226" s="1201"/>
      <c r="TJ226" s="1201"/>
      <c r="TK226" s="1201"/>
      <c r="TL226" s="1201"/>
      <c r="TM226" s="1201"/>
      <c r="TN226" s="1201"/>
      <c r="TO226" s="1201"/>
      <c r="TP226" s="1201"/>
      <c r="TQ226" s="1201"/>
      <c r="TR226" s="1201"/>
      <c r="TS226" s="1201"/>
      <c r="TT226" s="1201"/>
      <c r="TU226" s="1201"/>
      <c r="TV226" s="1201"/>
      <c r="TW226" s="1201"/>
      <c r="TX226" s="1201"/>
      <c r="TY226" s="1201"/>
      <c r="TZ226" s="1201"/>
      <c r="UA226" s="1201"/>
      <c r="UB226" s="1201"/>
      <c r="UC226" s="1201"/>
      <c r="UD226" s="1201"/>
      <c r="UE226" s="1201"/>
      <c r="UF226" s="1201"/>
      <c r="UG226" s="1201"/>
      <c r="UH226" s="1201"/>
      <c r="UI226" s="1201"/>
      <c r="UJ226" s="1201"/>
      <c r="UK226" s="1201"/>
      <c r="UL226" s="1201"/>
      <c r="UM226" s="1201"/>
      <c r="UN226" s="1201"/>
      <c r="UO226" s="1201"/>
      <c r="UP226" s="1201"/>
      <c r="UQ226" s="1201"/>
      <c r="UR226" s="1201"/>
      <c r="US226" s="1201"/>
      <c r="UT226" s="1201"/>
      <c r="UU226" s="1201"/>
      <c r="UV226" s="1201"/>
      <c r="UW226" s="1201"/>
      <c r="UX226" s="1201"/>
      <c r="UY226" s="1201"/>
      <c r="UZ226" s="1201"/>
      <c r="VA226" s="1201"/>
      <c r="VB226" s="1201"/>
      <c r="VC226" s="1201"/>
      <c r="VD226" s="1201"/>
      <c r="VE226" s="1201"/>
      <c r="VF226" s="1201"/>
      <c r="VG226" s="1201"/>
      <c r="VH226" s="1201"/>
      <c r="VI226" s="1201"/>
      <c r="VJ226" s="1201"/>
      <c r="VK226" s="1201"/>
      <c r="VL226" s="1201"/>
      <c r="VM226" s="1201"/>
      <c r="VN226" s="1201"/>
      <c r="VO226" s="1201"/>
      <c r="VP226" s="1201"/>
      <c r="VQ226" s="1201"/>
      <c r="VR226" s="1201"/>
      <c r="VS226" s="1201"/>
      <c r="VT226" s="1201"/>
      <c r="VU226" s="1201"/>
      <c r="VV226" s="1201"/>
      <c r="VW226" s="1201"/>
      <c r="VX226" s="1201"/>
      <c r="VY226" s="1201"/>
      <c r="VZ226" s="1201"/>
      <c r="WA226" s="1201"/>
      <c r="WB226" s="1201"/>
      <c r="WC226" s="1201"/>
      <c r="WD226" s="1201"/>
      <c r="WE226" s="1201"/>
      <c r="WF226" s="1201"/>
      <c r="WG226" s="1201"/>
      <c r="WH226" s="1201"/>
      <c r="WI226" s="1201"/>
      <c r="WJ226" s="1201"/>
      <c r="WK226" s="1201"/>
      <c r="WL226" s="1201"/>
      <c r="WM226" s="1201"/>
      <c r="WN226" s="1201"/>
      <c r="WO226" s="1201"/>
      <c r="WP226" s="1201"/>
      <c r="WQ226" s="1201"/>
      <c r="WR226" s="1201"/>
      <c r="WS226" s="1201"/>
      <c r="WT226" s="1201"/>
      <c r="WU226" s="1201"/>
      <c r="WV226" s="1201"/>
      <c r="WW226" s="1201"/>
      <c r="WX226" s="1201"/>
      <c r="WY226" s="1201"/>
      <c r="WZ226" s="1201"/>
      <c r="XA226" s="1201"/>
      <c r="XB226" s="1201"/>
      <c r="XC226" s="1201"/>
      <c r="XD226" s="1201"/>
      <c r="XE226" s="1201"/>
      <c r="XF226" s="1201"/>
      <c r="XG226" s="1201"/>
      <c r="XH226" s="1201"/>
      <c r="XI226" s="1201"/>
      <c r="XJ226" s="1201"/>
      <c r="XK226" s="1201"/>
      <c r="XL226" s="1201"/>
      <c r="XM226" s="1201"/>
      <c r="XN226" s="1201"/>
      <c r="XO226" s="1201"/>
      <c r="XP226" s="1201"/>
      <c r="XQ226" s="1201"/>
      <c r="XR226" s="1201"/>
      <c r="XS226" s="1201"/>
      <c r="XT226" s="1201"/>
      <c r="XU226" s="1201"/>
      <c r="XV226" s="1201"/>
      <c r="XW226" s="1201"/>
      <c r="XX226" s="1201"/>
      <c r="XY226" s="1201"/>
      <c r="XZ226" s="1201"/>
      <c r="YA226" s="1201"/>
      <c r="YB226" s="1201"/>
      <c r="YC226" s="1201"/>
      <c r="YD226" s="1201"/>
      <c r="YE226" s="1201"/>
      <c r="YF226" s="1201"/>
      <c r="YG226" s="1201"/>
      <c r="YH226" s="1201"/>
      <c r="YI226" s="1201"/>
      <c r="YJ226" s="1201"/>
      <c r="YK226" s="1201"/>
      <c r="YL226" s="1201"/>
      <c r="YM226" s="1201"/>
      <c r="YN226" s="1201"/>
      <c r="YO226" s="1201"/>
      <c r="YP226" s="1201"/>
      <c r="YQ226" s="1201"/>
      <c r="YR226" s="1201"/>
      <c r="YS226" s="1201"/>
      <c r="YT226" s="1201"/>
      <c r="YU226" s="1201"/>
      <c r="YV226" s="1201"/>
      <c r="YW226" s="1201"/>
      <c r="YX226" s="1201"/>
      <c r="YY226" s="1201"/>
      <c r="YZ226" s="1201"/>
      <c r="ZA226" s="1201"/>
      <c r="ZB226" s="1201"/>
      <c r="ZC226" s="1201"/>
      <c r="ZD226" s="1201"/>
      <c r="ZE226" s="1201"/>
      <c r="ZF226" s="1201"/>
      <c r="ZG226" s="1201"/>
      <c r="ZH226" s="1201"/>
      <c r="ZI226" s="1201"/>
      <c r="ZJ226" s="1201"/>
      <c r="ZK226" s="1201"/>
      <c r="ZL226" s="1201"/>
      <c r="ZM226" s="1201"/>
      <c r="ZN226" s="1201"/>
      <c r="ZO226" s="1201"/>
      <c r="ZP226" s="1201"/>
      <c r="ZQ226" s="1201"/>
      <c r="ZR226" s="1201"/>
      <c r="ZS226" s="1201"/>
      <c r="ZT226" s="1201"/>
      <c r="ZU226" s="1201"/>
      <c r="ZV226" s="1201"/>
      <c r="ZW226" s="1201"/>
      <c r="ZX226" s="1201"/>
      <c r="ZY226" s="1201"/>
      <c r="ZZ226" s="1201"/>
      <c r="AAA226" s="1201"/>
      <c r="AAB226" s="1201"/>
      <c r="AAC226" s="1201"/>
      <c r="AAD226" s="1201"/>
      <c r="AAE226" s="1201"/>
      <c r="AAF226" s="1201"/>
      <c r="AAG226" s="1201"/>
      <c r="AAH226" s="1201"/>
      <c r="AAI226" s="1201"/>
      <c r="AAJ226" s="1201"/>
      <c r="AAK226" s="1201"/>
      <c r="AAL226" s="1201"/>
      <c r="AAM226" s="1201"/>
      <c r="AAN226" s="1201"/>
      <c r="AAO226" s="1201"/>
      <c r="AAP226" s="1201"/>
      <c r="AAQ226" s="1201"/>
      <c r="AAR226" s="1201"/>
      <c r="AAS226" s="1201"/>
      <c r="AAT226" s="1201"/>
      <c r="AAU226" s="1201"/>
      <c r="AAV226" s="1201"/>
      <c r="AAW226" s="1201"/>
      <c r="AAX226" s="1201"/>
      <c r="AAY226" s="1201"/>
      <c r="AAZ226" s="1201"/>
      <c r="ABA226" s="1201"/>
      <c r="ABB226" s="1201"/>
      <c r="ABC226" s="1201"/>
      <c r="ABD226" s="1201"/>
      <c r="ABE226" s="1201"/>
      <c r="ABF226" s="1201"/>
      <c r="ABG226" s="1201"/>
      <c r="ABH226" s="1201"/>
      <c r="ABI226" s="1201"/>
      <c r="ABJ226" s="1201"/>
      <c r="ABK226" s="1201"/>
      <c r="ABL226" s="1201"/>
      <c r="ABM226" s="1201"/>
      <c r="ABN226" s="1201"/>
      <c r="ABO226" s="1201"/>
      <c r="ABP226" s="1201"/>
      <c r="ABQ226" s="1201"/>
      <c r="ABR226" s="1201"/>
      <c r="ABS226" s="1201"/>
      <c r="ABT226" s="1201"/>
      <c r="ABU226" s="1201"/>
      <c r="ABV226" s="1201"/>
      <c r="ABW226" s="1201"/>
      <c r="ABX226" s="1201"/>
      <c r="ABY226" s="1201"/>
      <c r="ABZ226" s="1201"/>
      <c r="ACA226" s="1201"/>
      <c r="ACB226" s="1201"/>
      <c r="ACC226" s="1201"/>
      <c r="ACD226" s="1201"/>
      <c r="ACE226" s="1201"/>
      <c r="ACF226" s="1201"/>
      <c r="ACG226" s="1201"/>
      <c r="ACH226" s="1201"/>
      <c r="ACI226" s="1201"/>
      <c r="ACJ226" s="1201"/>
      <c r="ACK226" s="1201"/>
      <c r="ACL226" s="1201"/>
      <c r="ACM226" s="1201"/>
      <c r="ACN226" s="1201"/>
      <c r="ACO226" s="1201"/>
      <c r="ACP226" s="1201"/>
      <c r="ACQ226" s="1201"/>
      <c r="ACR226" s="1201"/>
      <c r="ACS226" s="1201"/>
      <c r="ACT226" s="1201"/>
      <c r="ACU226" s="1201"/>
      <c r="ACV226" s="1201"/>
      <c r="ACW226" s="1201"/>
      <c r="ACX226" s="1201"/>
      <c r="ACY226" s="1201"/>
      <c r="ACZ226" s="1201"/>
      <c r="ADA226" s="1201"/>
      <c r="ADB226" s="1201"/>
      <c r="ADC226" s="1201"/>
      <c r="ADD226" s="1201"/>
      <c r="ADE226" s="1201"/>
      <c r="ADF226" s="1201"/>
      <c r="ADG226" s="1201"/>
      <c r="ADH226" s="1201"/>
      <c r="ADI226" s="1201"/>
      <c r="ADJ226" s="1201"/>
      <c r="ADK226" s="1201"/>
      <c r="ADL226" s="1201"/>
      <c r="ADM226" s="1201"/>
      <c r="ADN226" s="1201"/>
      <c r="ADO226" s="1201"/>
      <c r="ADP226" s="1201"/>
      <c r="ADQ226" s="1201"/>
      <c r="ADR226" s="1201"/>
      <c r="ADS226" s="1201"/>
      <c r="ADT226" s="1201"/>
      <c r="ADU226" s="1201"/>
      <c r="ADV226" s="1201"/>
      <c r="ADW226" s="1201"/>
      <c r="ADX226" s="1201"/>
      <c r="ADY226" s="1201"/>
      <c r="ADZ226" s="1201"/>
      <c r="AEA226" s="1201"/>
      <c r="AEB226" s="1201"/>
      <c r="AEC226" s="1201"/>
      <c r="AED226" s="1201"/>
      <c r="AEE226" s="1201"/>
      <c r="AEF226" s="1201"/>
      <c r="AEG226" s="1201"/>
      <c r="AEH226" s="1201"/>
      <c r="AEI226" s="1201"/>
      <c r="AEJ226" s="1201"/>
      <c r="AEK226" s="1201"/>
      <c r="AEL226" s="1201"/>
      <c r="AEM226" s="1201"/>
      <c r="AEN226" s="1201"/>
      <c r="AEO226" s="1201"/>
      <c r="AEP226" s="1201"/>
      <c r="AEQ226" s="1201"/>
      <c r="AER226" s="1201"/>
      <c r="AES226" s="1201"/>
      <c r="AET226" s="1201"/>
      <c r="AEU226" s="1201"/>
      <c r="AEV226" s="1201"/>
      <c r="AEW226" s="1201"/>
      <c r="AEX226" s="1201"/>
      <c r="AEY226" s="1201"/>
      <c r="AEZ226" s="1201"/>
      <c r="AFA226" s="1201"/>
      <c r="AFB226" s="1201"/>
      <c r="AFC226" s="1201"/>
      <c r="AFD226" s="1201"/>
      <c r="AFE226" s="1201"/>
      <c r="AFF226" s="1201"/>
      <c r="AFG226" s="1201"/>
      <c r="AFH226" s="1201"/>
      <c r="AFI226" s="1201"/>
      <c r="AFJ226" s="1201"/>
      <c r="AFK226" s="1201"/>
      <c r="AFL226" s="1201"/>
      <c r="AFM226" s="1201"/>
      <c r="AFN226" s="1201"/>
      <c r="AFO226" s="1201"/>
      <c r="AFP226" s="1201"/>
      <c r="AFQ226" s="1201"/>
      <c r="AFR226" s="1201"/>
      <c r="AFS226" s="1201"/>
      <c r="AFT226" s="1201"/>
      <c r="AFU226" s="1201"/>
      <c r="AFV226" s="1201"/>
      <c r="AFW226" s="1201"/>
      <c r="AFX226" s="1201"/>
      <c r="AFY226" s="1201"/>
      <c r="AFZ226" s="1201"/>
      <c r="AGA226" s="1201"/>
      <c r="AGB226" s="1201"/>
      <c r="AGC226" s="1201"/>
      <c r="AGD226" s="1201"/>
      <c r="AGE226" s="1201"/>
      <c r="AGF226" s="1201"/>
      <c r="AGG226" s="1201"/>
      <c r="AGH226" s="1201"/>
      <c r="AGI226" s="1201"/>
      <c r="AGJ226" s="1201"/>
      <c r="AGK226" s="1201"/>
      <c r="AGL226" s="1201"/>
      <c r="AGM226" s="1201"/>
      <c r="AGN226" s="1201"/>
      <c r="AGO226" s="1201"/>
      <c r="AGP226" s="1201"/>
      <c r="AGQ226" s="1201"/>
      <c r="AGR226" s="1201"/>
      <c r="AGS226" s="1201"/>
      <c r="AGT226" s="1201"/>
      <c r="AGU226" s="1201"/>
      <c r="AGV226" s="1201"/>
      <c r="AGW226" s="1201"/>
      <c r="AGX226" s="1201"/>
      <c r="AGY226" s="1201"/>
      <c r="AGZ226" s="1201"/>
      <c r="AHA226" s="1201"/>
      <c r="AHB226" s="1201"/>
      <c r="AHC226" s="1201"/>
      <c r="AHD226" s="1201"/>
      <c r="AHE226" s="1201"/>
      <c r="AHF226" s="1201"/>
      <c r="AHG226" s="1201"/>
      <c r="AHH226" s="1201"/>
      <c r="AHI226" s="1201"/>
      <c r="AHJ226" s="1201"/>
      <c r="AHK226" s="1201"/>
      <c r="AHL226" s="1201"/>
      <c r="AHM226" s="1201"/>
      <c r="AHN226" s="1201"/>
      <c r="AHO226" s="1201"/>
      <c r="AHP226" s="1201"/>
      <c r="AHQ226" s="1201"/>
      <c r="AHR226" s="1201"/>
      <c r="AHS226" s="1201"/>
      <c r="AHT226" s="1201"/>
      <c r="AHU226" s="1201"/>
      <c r="AHV226" s="1201"/>
      <c r="AHW226" s="1201"/>
      <c r="AHX226" s="1201"/>
      <c r="AHY226" s="1201"/>
      <c r="AHZ226" s="1201"/>
      <c r="AIA226" s="1201"/>
      <c r="AIB226" s="1201"/>
      <c r="AIC226" s="1201"/>
      <c r="AID226" s="1201"/>
      <c r="AIE226" s="1201"/>
      <c r="AIF226" s="1201"/>
      <c r="AIG226" s="1201"/>
      <c r="AIH226" s="1201"/>
      <c r="AII226" s="1201"/>
      <c r="AIJ226" s="1201"/>
      <c r="AIK226" s="1201"/>
      <c r="AIL226" s="1201"/>
      <c r="AIM226" s="1201"/>
      <c r="AIN226" s="1201"/>
      <c r="AIO226" s="1201"/>
      <c r="AIP226" s="1201"/>
      <c r="AIQ226" s="1201"/>
      <c r="AIR226" s="1201"/>
      <c r="AIS226" s="1201"/>
      <c r="AIT226" s="1201"/>
      <c r="AIU226" s="1201"/>
      <c r="AIV226" s="1201"/>
      <c r="AIW226" s="1201"/>
      <c r="AIX226" s="1201"/>
      <c r="AIY226" s="1201"/>
      <c r="AIZ226" s="1201"/>
      <c r="AJA226" s="1201"/>
      <c r="AJB226" s="1201"/>
      <c r="AJC226" s="1201"/>
      <c r="AJD226" s="1201"/>
      <c r="AJE226" s="1201"/>
      <c r="AJF226" s="1201"/>
      <c r="AJG226" s="1201"/>
      <c r="AJH226" s="1201"/>
      <c r="AJI226" s="1201"/>
      <c r="AJJ226" s="1201"/>
      <c r="AJK226" s="1201"/>
      <c r="AJL226" s="1201"/>
      <c r="AJM226" s="1201"/>
      <c r="AJN226" s="1201"/>
      <c r="AJO226" s="1201"/>
      <c r="AJP226" s="1201"/>
      <c r="AJQ226" s="1201"/>
      <c r="AJR226" s="1201"/>
      <c r="AJS226" s="1201"/>
      <c r="AJT226" s="1201"/>
      <c r="AJU226" s="1201"/>
      <c r="AJV226" s="1201"/>
      <c r="AJW226" s="1201"/>
      <c r="AJX226" s="1201"/>
      <c r="AJY226" s="1201"/>
      <c r="AJZ226" s="1201"/>
      <c r="AKA226" s="1201"/>
      <c r="AKB226" s="1201"/>
      <c r="AKC226" s="1201"/>
      <c r="AKD226" s="1201"/>
      <c r="AKE226" s="1201"/>
      <c r="AKF226" s="1201"/>
      <c r="AKG226" s="1201"/>
      <c r="AKH226" s="1201"/>
      <c r="AKI226" s="1201"/>
      <c r="AKJ226" s="1201"/>
      <c r="AKK226" s="1201"/>
      <c r="AKL226" s="1201"/>
      <c r="AKM226" s="1201"/>
      <c r="AKN226" s="1201"/>
      <c r="AKO226" s="1201"/>
      <c r="AKP226" s="1201"/>
      <c r="AKQ226" s="1201"/>
      <c r="AKR226" s="1201"/>
      <c r="AKS226" s="1201"/>
      <c r="AKT226" s="1201"/>
      <c r="AKU226" s="1201"/>
      <c r="AKV226" s="1201"/>
      <c r="AKW226" s="1201"/>
      <c r="AKX226" s="1201"/>
      <c r="AKY226" s="1201"/>
      <c r="AKZ226" s="1201"/>
      <c r="ALA226" s="1201"/>
      <c r="ALB226" s="1201"/>
      <c r="ALC226" s="1201"/>
      <c r="ALD226" s="1201"/>
      <c r="ALE226" s="1201"/>
      <c r="ALF226" s="1201"/>
      <c r="ALG226" s="1201"/>
      <c r="ALH226" s="1201"/>
      <c r="ALI226" s="1201"/>
      <c r="ALJ226" s="1201"/>
      <c r="ALK226" s="1201"/>
      <c r="ALL226" s="1201"/>
      <c r="ALM226" s="1201"/>
      <c r="ALN226" s="1201"/>
      <c r="ALO226" s="1201"/>
      <c r="ALP226" s="1201"/>
      <c r="ALQ226" s="1201"/>
      <c r="ALR226" s="1201"/>
      <c r="ALS226" s="1201"/>
      <c r="ALT226" s="1201"/>
      <c r="ALU226" s="1201"/>
      <c r="ALV226" s="1201"/>
      <c r="ALW226" s="1201"/>
      <c r="ALX226" s="1201"/>
      <c r="ALY226" s="1201"/>
      <c r="ALZ226" s="1201"/>
      <c r="AMA226" s="1201"/>
      <c r="AMB226" s="1201"/>
      <c r="AMC226" s="1201"/>
      <c r="AMD226" s="1201"/>
      <c r="AME226" s="1201"/>
      <c r="AMF226" s="1201"/>
      <c r="AMG226" s="1201"/>
      <c r="AMH226" s="1201"/>
      <c r="AMI226" s="1201"/>
      <c r="AMJ226" s="1201"/>
      <c r="AMK226" s="1201"/>
      <c r="AML226" s="1201"/>
      <c r="AMM226" s="1201"/>
      <c r="AMN226" s="1201"/>
      <c r="AMO226" s="1201"/>
      <c r="AMP226" s="1201"/>
      <c r="AMQ226" s="1201"/>
      <c r="AMR226" s="1201"/>
      <c r="AMS226" s="1201"/>
      <c r="AMT226" s="1201"/>
      <c r="AMU226" s="1201"/>
      <c r="AMV226" s="1201"/>
      <c r="AMW226" s="1201"/>
      <c r="AMX226" s="1201"/>
      <c r="AMY226" s="1201"/>
      <c r="AMZ226" s="1201"/>
      <c r="ANA226" s="1201"/>
      <c r="ANB226" s="1201"/>
      <c r="ANC226" s="1201"/>
      <c r="AND226" s="1201"/>
      <c r="ANE226" s="1201"/>
      <c r="ANF226" s="1201"/>
      <c r="ANG226" s="1201"/>
      <c r="ANH226" s="1201"/>
      <c r="ANI226" s="1201"/>
      <c r="ANJ226" s="1201"/>
      <c r="ANK226" s="1201"/>
      <c r="ANL226" s="1201"/>
      <c r="ANM226" s="1201"/>
      <c r="ANN226" s="1201"/>
      <c r="ANO226" s="1201"/>
      <c r="ANP226" s="1201"/>
      <c r="ANQ226" s="1201"/>
      <c r="ANR226" s="1201"/>
      <c r="ANS226" s="1201"/>
      <c r="ANT226" s="1201"/>
      <c r="ANU226" s="1201"/>
      <c r="ANV226" s="1201"/>
      <c r="ANW226" s="1201"/>
      <c r="ANX226" s="1201"/>
      <c r="ANY226" s="1201"/>
      <c r="ANZ226" s="1201"/>
      <c r="AOA226" s="1201"/>
      <c r="AOB226" s="1201"/>
      <c r="AOC226" s="1201"/>
      <c r="AOD226" s="1201"/>
      <c r="AOE226" s="1201"/>
      <c r="AOF226" s="1201"/>
      <c r="AOG226" s="1201"/>
      <c r="AOH226" s="1201"/>
      <c r="AOI226" s="1201"/>
      <c r="AOJ226" s="1201"/>
      <c r="AOK226" s="1201"/>
      <c r="AOL226" s="1201"/>
      <c r="AOM226" s="1201"/>
      <c r="AON226" s="1201"/>
      <c r="AOO226" s="1201"/>
      <c r="AOP226" s="1201"/>
      <c r="AOQ226" s="1201"/>
      <c r="AOR226" s="1201"/>
      <c r="AOS226" s="1201"/>
      <c r="AOT226" s="1201"/>
      <c r="AOU226" s="1201"/>
      <c r="AOV226" s="1201"/>
      <c r="AOW226" s="1201"/>
      <c r="AOX226" s="1201"/>
      <c r="AOY226" s="1201"/>
      <c r="AOZ226" s="1201"/>
      <c r="APA226" s="1201"/>
      <c r="APB226" s="1201"/>
      <c r="APC226" s="1201"/>
      <c r="APD226" s="1201"/>
      <c r="APE226" s="1201"/>
      <c r="APF226" s="1201"/>
      <c r="APG226" s="1201"/>
      <c r="APH226" s="1201"/>
      <c r="API226" s="1201"/>
      <c r="APJ226" s="1201"/>
      <c r="APK226" s="1201"/>
      <c r="APL226" s="1201"/>
      <c r="APM226" s="1201"/>
      <c r="APN226" s="1201"/>
      <c r="APO226" s="1201"/>
      <c r="APP226" s="1201"/>
      <c r="APQ226" s="1201"/>
      <c r="APR226" s="1201"/>
      <c r="APS226" s="1201"/>
      <c r="APT226" s="1201"/>
      <c r="APU226" s="1201"/>
      <c r="APV226" s="1201"/>
      <c r="APW226" s="1201"/>
      <c r="APX226" s="1201"/>
      <c r="APY226" s="1201"/>
      <c r="APZ226" s="1201"/>
      <c r="AQA226" s="1201"/>
      <c r="AQB226" s="1201"/>
      <c r="AQC226" s="1201"/>
      <c r="AQD226" s="1201"/>
      <c r="AQE226" s="1201"/>
      <c r="AQF226" s="1201"/>
      <c r="AQG226" s="1201"/>
      <c r="AQH226" s="1201"/>
      <c r="AQI226" s="1201"/>
      <c r="AQJ226" s="1201"/>
      <c r="AQK226" s="1201"/>
      <c r="AQL226" s="1201"/>
      <c r="AQM226" s="1201"/>
      <c r="AQN226" s="1201"/>
      <c r="AQO226" s="1201"/>
      <c r="AQP226" s="1201"/>
      <c r="AQQ226" s="1201"/>
      <c r="AQR226" s="1201"/>
      <c r="AQS226" s="1201"/>
      <c r="AQT226" s="1201"/>
      <c r="AQU226" s="1201"/>
      <c r="AQV226" s="1201"/>
      <c r="AQW226" s="1201"/>
      <c r="AQX226" s="1201"/>
      <c r="AQY226" s="1201"/>
      <c r="AQZ226" s="1201"/>
      <c r="ARA226" s="1201"/>
      <c r="ARB226" s="1201"/>
      <c r="ARC226" s="1201"/>
      <c r="ARD226" s="1201"/>
      <c r="ARE226" s="1201"/>
      <c r="ARF226" s="1201"/>
      <c r="ARG226" s="1201"/>
      <c r="ARH226" s="1201"/>
      <c r="ARI226" s="1201"/>
      <c r="ARJ226" s="1201"/>
      <c r="ARK226" s="1201"/>
      <c r="ARL226" s="1201"/>
      <c r="ARM226" s="1201"/>
      <c r="ARN226" s="1201"/>
      <c r="ARO226" s="1201"/>
      <c r="ARP226" s="1201"/>
      <c r="ARQ226" s="1201"/>
      <c r="ARR226" s="1201"/>
      <c r="ARS226" s="1201"/>
      <c r="ART226" s="1201"/>
      <c r="ARU226" s="1201"/>
      <c r="ARV226" s="1201"/>
      <c r="ARW226" s="1201"/>
      <c r="ARX226" s="1201"/>
      <c r="ARY226" s="1201"/>
      <c r="ARZ226" s="1201"/>
      <c r="ASA226" s="1201"/>
      <c r="ASB226" s="1201"/>
      <c r="ASC226" s="1201"/>
      <c r="ASD226" s="1201"/>
      <c r="ASE226" s="1201"/>
      <c r="ASF226" s="1201"/>
      <c r="ASG226" s="1201"/>
      <c r="ASH226" s="1201"/>
      <c r="ASI226" s="1201"/>
      <c r="ASJ226" s="1201"/>
      <c r="ASK226" s="1201"/>
      <c r="ASL226" s="1201"/>
      <c r="ASM226" s="1201"/>
      <c r="ASN226" s="1201"/>
      <c r="ASO226" s="1201"/>
      <c r="ASP226" s="1201"/>
      <c r="ASQ226" s="1201"/>
      <c r="ASR226" s="1201"/>
      <c r="ASS226" s="1201"/>
      <c r="AST226" s="1201"/>
      <c r="ASU226" s="1201"/>
      <c r="ASV226" s="1201"/>
      <c r="ASW226" s="1201"/>
      <c r="ASX226" s="1201"/>
      <c r="ASY226" s="1201"/>
      <c r="ASZ226" s="1201"/>
      <c r="ATA226" s="1201"/>
      <c r="ATB226" s="1201"/>
      <c r="ATC226" s="1201"/>
      <c r="ATD226" s="1201"/>
      <c r="ATE226" s="1201"/>
      <c r="ATF226" s="1201"/>
      <c r="ATG226" s="1201"/>
      <c r="ATH226" s="1201"/>
      <c r="ATI226" s="1201"/>
      <c r="ATJ226" s="1201"/>
      <c r="ATK226" s="1201"/>
      <c r="ATL226" s="1201"/>
      <c r="ATM226" s="1201"/>
      <c r="ATN226" s="1201"/>
      <c r="ATO226" s="1201"/>
      <c r="ATP226" s="1201"/>
      <c r="ATQ226" s="1201"/>
      <c r="ATR226" s="1201"/>
      <c r="ATS226" s="1201"/>
      <c r="ATT226" s="1201"/>
      <c r="ATU226" s="1201"/>
      <c r="ATV226" s="1201"/>
      <c r="ATW226" s="1201"/>
      <c r="ATX226" s="1201"/>
      <c r="ATY226" s="1201"/>
      <c r="ATZ226" s="1201"/>
      <c r="AUA226" s="1201"/>
      <c r="AUB226" s="1201"/>
      <c r="AUC226" s="1201"/>
      <c r="AUD226" s="1201"/>
      <c r="AUE226" s="1201"/>
      <c r="AUF226" s="1201"/>
      <c r="AUG226" s="1201"/>
      <c r="AUH226" s="1201"/>
      <c r="AUI226" s="1201"/>
      <c r="AUJ226" s="1201"/>
      <c r="AUK226" s="1201"/>
      <c r="AUL226" s="1201"/>
      <c r="AUM226" s="1201"/>
      <c r="AUN226" s="1201"/>
      <c r="AUO226" s="1201"/>
      <c r="AUP226" s="1201"/>
      <c r="AUQ226" s="1201"/>
      <c r="AUR226" s="1201"/>
      <c r="AUS226" s="1201"/>
      <c r="AUT226" s="1201"/>
      <c r="AUU226" s="1201"/>
      <c r="AUV226" s="1201"/>
      <c r="AUW226" s="1201"/>
      <c r="AUX226" s="1201"/>
      <c r="AUY226" s="1201"/>
      <c r="AUZ226" s="1201"/>
      <c r="AVA226" s="1201"/>
      <c r="AVB226" s="1201"/>
      <c r="AVC226" s="1201"/>
      <c r="AVD226" s="1201"/>
      <c r="AVE226" s="1201"/>
      <c r="AVF226" s="1201"/>
      <c r="AVG226" s="1201"/>
      <c r="AVH226" s="1201"/>
      <c r="AVI226" s="1201"/>
      <c r="AVJ226" s="1201"/>
      <c r="AVK226" s="1201"/>
      <c r="AVL226" s="1201"/>
      <c r="AVM226" s="1201"/>
      <c r="AVN226" s="1201"/>
      <c r="AVO226" s="1201"/>
      <c r="AVP226" s="1201"/>
      <c r="AVQ226" s="1201"/>
      <c r="AVR226" s="1201"/>
      <c r="AVS226" s="1201"/>
      <c r="AVT226" s="1201"/>
      <c r="AVU226" s="1201"/>
      <c r="AVV226" s="1201"/>
      <c r="AVW226" s="1201"/>
      <c r="AVX226" s="1201"/>
      <c r="AVY226" s="1201"/>
      <c r="AVZ226" s="1201"/>
      <c r="AWA226" s="1201"/>
      <c r="AWB226" s="1201"/>
      <c r="AWC226" s="1201"/>
      <c r="AWD226" s="1201"/>
      <c r="AWE226" s="1201"/>
      <c r="AWF226" s="1201"/>
      <c r="AWG226" s="1201"/>
      <c r="AWH226" s="1201"/>
      <c r="AWI226" s="1201"/>
      <c r="AWJ226" s="1201"/>
      <c r="AWK226" s="1201"/>
      <c r="AWL226" s="1201"/>
      <c r="AWM226" s="1201"/>
      <c r="AWN226" s="1201"/>
      <c r="AWO226" s="1201"/>
      <c r="AWP226" s="1201"/>
      <c r="AWQ226" s="1201"/>
      <c r="AWR226" s="1201"/>
      <c r="AWS226" s="1201"/>
      <c r="AWT226" s="1201"/>
      <c r="AWU226" s="1201"/>
      <c r="AWV226" s="1201"/>
      <c r="AWW226" s="1201"/>
      <c r="AWX226" s="1201"/>
      <c r="AWY226" s="1201"/>
      <c r="AWZ226" s="1201"/>
      <c r="AXA226" s="1201"/>
      <c r="AXB226" s="1201"/>
      <c r="AXC226" s="1201"/>
      <c r="AXD226" s="1201"/>
      <c r="AXE226" s="1201"/>
      <c r="AXF226" s="1201"/>
      <c r="AXG226" s="1201"/>
      <c r="AXH226" s="1201"/>
      <c r="AXI226" s="1201"/>
      <c r="AXJ226" s="1201"/>
      <c r="AXK226" s="1201"/>
      <c r="AXL226" s="1201"/>
      <c r="AXM226" s="1201"/>
      <c r="AXN226" s="1201"/>
      <c r="AXO226" s="1201"/>
      <c r="AXP226" s="1201"/>
      <c r="AXQ226" s="1201"/>
      <c r="AXR226" s="1201"/>
      <c r="AXS226" s="1201"/>
      <c r="AXT226" s="1201"/>
      <c r="AXU226" s="1201"/>
      <c r="AXV226" s="1201"/>
      <c r="AXW226" s="1201"/>
      <c r="AXX226" s="1201"/>
      <c r="AXY226" s="1201"/>
      <c r="AXZ226" s="1201"/>
      <c r="AYA226" s="1201"/>
      <c r="AYB226" s="1201"/>
      <c r="AYC226" s="1201"/>
      <c r="AYD226" s="1201"/>
      <c r="AYE226" s="1201"/>
      <c r="AYF226" s="1201"/>
      <c r="AYG226" s="1201"/>
      <c r="AYH226" s="1201"/>
      <c r="AYI226" s="1201"/>
      <c r="AYJ226" s="1201"/>
      <c r="AYK226" s="1201"/>
      <c r="AYL226" s="1201"/>
      <c r="AYM226" s="1201"/>
      <c r="AYN226" s="1201"/>
      <c r="AYO226" s="1201"/>
      <c r="AYP226" s="1201"/>
      <c r="AYQ226" s="1201"/>
      <c r="AYR226" s="1201"/>
      <c r="AYS226" s="1201"/>
      <c r="AYT226" s="1201"/>
      <c r="AYU226" s="1201"/>
      <c r="AYV226" s="1201"/>
      <c r="AYW226" s="1201"/>
      <c r="AYX226" s="1201"/>
      <c r="AYY226" s="1201"/>
      <c r="AYZ226" s="1201"/>
      <c r="AZA226" s="1201"/>
      <c r="AZB226" s="1201"/>
      <c r="AZC226" s="1201"/>
      <c r="AZD226" s="1201"/>
      <c r="AZE226" s="1201"/>
      <c r="AZF226" s="1201"/>
      <c r="AZG226" s="1201"/>
      <c r="AZH226" s="1201"/>
      <c r="AZI226" s="1201"/>
      <c r="AZJ226" s="1201"/>
      <c r="AZK226" s="1201"/>
      <c r="AZL226" s="1201"/>
      <c r="AZM226" s="1201"/>
      <c r="AZN226" s="1201"/>
      <c r="AZO226" s="1201"/>
      <c r="AZP226" s="1201"/>
      <c r="AZQ226" s="1201"/>
      <c r="AZR226" s="1201"/>
      <c r="AZS226" s="1201"/>
      <c r="AZT226" s="1201"/>
      <c r="AZU226" s="1201"/>
      <c r="AZV226" s="1201"/>
      <c r="AZW226" s="1201"/>
      <c r="AZX226" s="1201"/>
      <c r="AZY226" s="1201"/>
      <c r="AZZ226" s="1201"/>
      <c r="BAA226" s="1201"/>
      <c r="BAB226" s="1201"/>
      <c r="BAC226" s="1201"/>
      <c r="BAD226" s="1201"/>
      <c r="BAE226" s="1201"/>
      <c r="BAF226" s="1201"/>
      <c r="BAG226" s="1201"/>
      <c r="BAH226" s="1201"/>
      <c r="BAI226" s="1201"/>
      <c r="BAJ226" s="1201"/>
      <c r="BAK226" s="1201"/>
      <c r="BAL226" s="1201"/>
      <c r="BAM226" s="1201"/>
      <c r="BAN226" s="1201"/>
      <c r="BAO226" s="1201"/>
      <c r="BAP226" s="1201"/>
      <c r="BAQ226" s="1201"/>
      <c r="BAR226" s="1201"/>
      <c r="BAS226" s="1201"/>
      <c r="BAT226" s="1201"/>
      <c r="BAU226" s="1201"/>
      <c r="BAV226" s="1201"/>
      <c r="BAW226" s="1201"/>
      <c r="BAX226" s="1201"/>
      <c r="BAY226" s="1201"/>
      <c r="BAZ226" s="1201"/>
      <c r="BBA226" s="1201"/>
      <c r="BBB226" s="1201"/>
      <c r="BBC226" s="1201"/>
      <c r="BBD226" s="1201"/>
      <c r="BBE226" s="1201"/>
      <c r="BBF226" s="1201"/>
      <c r="BBG226" s="1201"/>
      <c r="BBH226" s="1201"/>
      <c r="BBI226" s="1201"/>
      <c r="BBJ226" s="1201"/>
      <c r="BBK226" s="1201"/>
      <c r="BBL226" s="1201"/>
      <c r="BBM226" s="1201"/>
      <c r="BBN226" s="1201"/>
      <c r="BBO226" s="1201"/>
      <c r="BBP226" s="1201"/>
      <c r="BBQ226" s="1201"/>
      <c r="BBR226" s="1201"/>
      <c r="BBS226" s="1201"/>
      <c r="BBT226" s="1201"/>
      <c r="BBU226" s="1201"/>
      <c r="BBV226" s="1201"/>
      <c r="BBW226" s="1201"/>
      <c r="BBX226" s="1201"/>
      <c r="BBY226" s="1201"/>
      <c r="BBZ226" s="1201"/>
      <c r="BCA226" s="1201"/>
      <c r="BCB226" s="1201"/>
      <c r="BCC226" s="1201"/>
      <c r="BCD226" s="1201"/>
      <c r="BCE226" s="1201"/>
      <c r="BCF226" s="1201"/>
      <c r="BCG226" s="1201"/>
      <c r="BCH226" s="1201"/>
      <c r="BCI226" s="1201"/>
      <c r="BCJ226" s="1201"/>
      <c r="BCK226" s="1201"/>
      <c r="BCL226" s="1201"/>
      <c r="BCM226" s="1201"/>
      <c r="BCN226" s="1201"/>
      <c r="BCO226" s="1201"/>
      <c r="BCP226" s="1201"/>
      <c r="BCQ226" s="1201"/>
      <c r="BCR226" s="1201"/>
      <c r="BCS226" s="1201"/>
      <c r="BCT226" s="1201"/>
      <c r="BCU226" s="1201"/>
      <c r="BCV226" s="1201"/>
      <c r="BCW226" s="1201"/>
      <c r="BCX226" s="1201"/>
      <c r="BCY226" s="1201"/>
      <c r="BCZ226" s="1201"/>
      <c r="BDA226" s="1201"/>
      <c r="BDB226" s="1201"/>
      <c r="BDC226" s="1201"/>
      <c r="BDD226" s="1201"/>
      <c r="BDE226" s="1201"/>
      <c r="BDF226" s="1201"/>
      <c r="BDG226" s="1201"/>
      <c r="BDH226" s="1201"/>
      <c r="BDI226" s="1201"/>
      <c r="BDJ226" s="1201"/>
      <c r="BDK226" s="1201"/>
      <c r="BDL226" s="1201"/>
      <c r="BDM226" s="1201"/>
      <c r="BDN226" s="1201"/>
      <c r="BDO226" s="1201"/>
      <c r="BDP226" s="1201"/>
      <c r="BDQ226" s="1201"/>
      <c r="BDR226" s="1201"/>
      <c r="BDS226" s="1201"/>
      <c r="BDT226" s="1201"/>
      <c r="BDU226" s="1201"/>
      <c r="BDV226" s="1201"/>
      <c r="BDW226" s="1201"/>
      <c r="BDX226" s="1201"/>
      <c r="BDY226" s="1201"/>
      <c r="BDZ226" s="1201"/>
      <c r="BEA226" s="1201"/>
      <c r="BEB226" s="1201"/>
      <c r="BEC226" s="1201"/>
      <c r="BED226" s="1201"/>
      <c r="BEE226" s="1201"/>
      <c r="BEF226" s="1201"/>
      <c r="BEG226" s="1201"/>
      <c r="BEH226" s="1201"/>
      <c r="BEI226" s="1201"/>
      <c r="BEJ226" s="1201"/>
      <c r="BEK226" s="1201"/>
      <c r="BEL226" s="1201"/>
      <c r="BEM226" s="1201"/>
      <c r="BEN226" s="1201"/>
      <c r="BEO226" s="1201"/>
      <c r="BEP226" s="1201"/>
      <c r="BEQ226" s="1201"/>
      <c r="BER226" s="1201"/>
      <c r="BES226" s="1201"/>
      <c r="BET226" s="1201"/>
      <c r="BEU226" s="1201"/>
      <c r="BEV226" s="1201"/>
      <c r="BEW226" s="1201"/>
      <c r="BEX226" s="1201"/>
      <c r="BEY226" s="1201"/>
      <c r="BEZ226" s="1201"/>
      <c r="BFA226" s="1201"/>
      <c r="BFB226" s="1201"/>
      <c r="BFC226" s="1201"/>
      <c r="BFD226" s="1201"/>
      <c r="BFE226" s="1201"/>
      <c r="BFF226" s="1201"/>
      <c r="BFG226" s="1201"/>
      <c r="BFH226" s="1201"/>
      <c r="BFI226" s="1201"/>
      <c r="BFJ226" s="1201"/>
      <c r="BFK226" s="1201"/>
      <c r="BFL226" s="1201"/>
      <c r="BFM226" s="1201"/>
      <c r="BFN226" s="1201"/>
      <c r="BFO226" s="1201"/>
      <c r="BFP226" s="1201"/>
      <c r="BFQ226" s="1201"/>
      <c r="BFR226" s="1201"/>
      <c r="BFS226" s="1201"/>
      <c r="BFT226" s="1201"/>
      <c r="BFU226" s="1201"/>
      <c r="BFV226" s="1201"/>
      <c r="BFW226" s="1201"/>
      <c r="BFX226" s="1201"/>
      <c r="BFY226" s="1201"/>
      <c r="BFZ226" s="1201"/>
      <c r="BGA226" s="1201"/>
      <c r="BGB226" s="1201"/>
      <c r="BGC226" s="1201"/>
      <c r="BGD226" s="1201"/>
      <c r="BGE226" s="1201"/>
      <c r="BGF226" s="1201"/>
      <c r="BGG226" s="1201"/>
      <c r="BGH226" s="1201"/>
      <c r="BGI226" s="1201"/>
      <c r="BGJ226" s="1201"/>
      <c r="BGK226" s="1201"/>
      <c r="BGL226" s="1201"/>
      <c r="BGM226" s="1201"/>
      <c r="BGN226" s="1201"/>
      <c r="BGO226" s="1201"/>
      <c r="BGP226" s="1201"/>
      <c r="BGQ226" s="1201"/>
      <c r="BGR226" s="1201"/>
      <c r="BGS226" s="1201"/>
      <c r="BGT226" s="1201"/>
      <c r="BGU226" s="1201"/>
      <c r="BGV226" s="1201"/>
      <c r="BGW226" s="1201"/>
      <c r="BGX226" s="1201"/>
      <c r="BGY226" s="1201"/>
      <c r="BGZ226" s="1201"/>
      <c r="BHA226" s="1201"/>
      <c r="BHB226" s="1201"/>
      <c r="BHC226" s="1201"/>
      <c r="BHD226" s="1201"/>
      <c r="BHE226" s="1201"/>
      <c r="BHF226" s="1201"/>
      <c r="BHG226" s="1201"/>
      <c r="BHH226" s="1201"/>
      <c r="BHI226" s="1201"/>
      <c r="BHJ226" s="1201"/>
      <c r="BHK226" s="1201"/>
      <c r="BHL226" s="1201"/>
      <c r="BHM226" s="1201"/>
      <c r="BHN226" s="1201"/>
      <c r="BHO226" s="1201"/>
      <c r="BHP226" s="1201"/>
      <c r="BHQ226" s="1201"/>
      <c r="BHR226" s="1201"/>
      <c r="BHS226" s="1201"/>
      <c r="BHT226" s="1201"/>
      <c r="BHU226" s="1201"/>
      <c r="BHV226" s="1201"/>
      <c r="BHW226" s="1201"/>
      <c r="BHX226" s="1201"/>
      <c r="BHY226" s="1201"/>
      <c r="BHZ226" s="1201"/>
      <c r="BIA226" s="1201"/>
      <c r="BIB226" s="1201"/>
      <c r="BIC226" s="1201"/>
      <c r="BID226" s="1201"/>
      <c r="BIE226" s="1201"/>
      <c r="BIF226" s="1201"/>
      <c r="BIG226" s="1201"/>
      <c r="BIH226" s="1201"/>
      <c r="BII226" s="1201"/>
      <c r="BIJ226" s="1201"/>
      <c r="BIK226" s="1201"/>
      <c r="BIL226" s="1201"/>
      <c r="BIM226" s="1201"/>
      <c r="BIN226" s="1201"/>
      <c r="BIO226" s="1201"/>
      <c r="BIP226" s="1201"/>
      <c r="BIQ226" s="1201"/>
      <c r="BIR226" s="1201"/>
      <c r="BIS226" s="1201"/>
      <c r="BIT226" s="1201"/>
      <c r="BIU226" s="1201"/>
      <c r="BIV226" s="1201"/>
      <c r="BIW226" s="1201"/>
      <c r="BIX226" s="1201"/>
      <c r="BIY226" s="1201"/>
      <c r="BIZ226" s="1201"/>
      <c r="BJA226" s="1201"/>
      <c r="BJB226" s="1201"/>
      <c r="BJC226" s="1201"/>
      <c r="BJD226" s="1201"/>
      <c r="BJE226" s="1201"/>
      <c r="BJF226" s="1201"/>
      <c r="BJG226" s="1201"/>
      <c r="BJH226" s="1201"/>
      <c r="BJI226" s="1201"/>
      <c r="BJJ226" s="1201"/>
      <c r="BJK226" s="1201"/>
      <c r="BJL226" s="1201"/>
      <c r="BJM226" s="1201"/>
      <c r="BJN226" s="1201"/>
      <c r="BJO226" s="1201"/>
      <c r="BJP226" s="1201"/>
      <c r="BJQ226" s="1201"/>
      <c r="BJR226" s="1201"/>
      <c r="BJS226" s="1201"/>
      <c r="BJT226" s="1201"/>
      <c r="BJU226" s="1201"/>
      <c r="BJV226" s="1201"/>
      <c r="BJW226" s="1201"/>
      <c r="BJX226" s="1201"/>
      <c r="BJY226" s="1201"/>
      <c r="BJZ226" s="1201"/>
      <c r="BKA226" s="1201"/>
      <c r="BKB226" s="1201"/>
      <c r="BKC226" s="1201"/>
      <c r="BKD226" s="1201"/>
      <c r="BKE226" s="1201"/>
      <c r="BKF226" s="1201"/>
      <c r="BKG226" s="1201"/>
      <c r="BKH226" s="1201"/>
      <c r="BKI226" s="1201"/>
      <c r="BKJ226" s="1201"/>
      <c r="BKK226" s="1201"/>
      <c r="BKL226" s="1201"/>
      <c r="BKM226" s="1201"/>
      <c r="BKN226" s="1201"/>
      <c r="BKO226" s="1201"/>
      <c r="BKP226" s="1201"/>
      <c r="BKQ226" s="1201"/>
      <c r="BKR226" s="1201"/>
      <c r="BKS226" s="1201"/>
      <c r="BKT226" s="1201"/>
      <c r="BKU226" s="1201"/>
      <c r="BKV226" s="1201"/>
      <c r="BKW226" s="1201"/>
      <c r="BKX226" s="1201"/>
      <c r="BKY226" s="1201"/>
      <c r="BKZ226" s="1201"/>
      <c r="BLA226" s="1201"/>
      <c r="BLB226" s="1201"/>
      <c r="BLC226" s="1201"/>
      <c r="BLD226" s="1201"/>
      <c r="BLE226" s="1201"/>
      <c r="BLF226" s="1201"/>
      <c r="BLG226" s="1201"/>
      <c r="BLH226" s="1201"/>
      <c r="BLI226" s="1201"/>
      <c r="BLJ226" s="1201"/>
      <c r="BLK226" s="1201"/>
      <c r="BLL226" s="1201"/>
      <c r="BLM226" s="1201"/>
      <c r="BLN226" s="1201"/>
      <c r="BLO226" s="1201"/>
      <c r="BLP226" s="1201"/>
      <c r="BLQ226" s="1201"/>
      <c r="BLR226" s="1201"/>
      <c r="BLS226" s="1201"/>
      <c r="BLT226" s="1201"/>
      <c r="BLU226" s="1201"/>
      <c r="BLV226" s="1201"/>
      <c r="BLW226" s="1201"/>
      <c r="BLX226" s="1201"/>
      <c r="BLY226" s="1201"/>
      <c r="BLZ226" s="1201"/>
      <c r="BMA226" s="1201"/>
      <c r="BMB226" s="1201"/>
      <c r="BMC226" s="1201"/>
      <c r="BMD226" s="1201"/>
      <c r="BME226" s="1201"/>
      <c r="BMF226" s="1201"/>
      <c r="BMG226" s="1201"/>
      <c r="BMH226" s="1201"/>
      <c r="BMI226" s="1201"/>
      <c r="BMJ226" s="1201"/>
      <c r="BMK226" s="1201"/>
      <c r="BML226" s="1201"/>
      <c r="BMM226" s="1201"/>
      <c r="BMN226" s="1201"/>
      <c r="BMO226" s="1201"/>
      <c r="BMP226" s="1201"/>
      <c r="BMQ226" s="1201"/>
      <c r="BMR226" s="1201"/>
      <c r="BMS226" s="1201"/>
      <c r="BMT226" s="1201"/>
      <c r="BMU226" s="1201"/>
      <c r="BMV226" s="1201"/>
      <c r="BMW226" s="1201"/>
      <c r="BMX226" s="1201"/>
      <c r="BMY226" s="1201"/>
      <c r="BMZ226" s="1201"/>
      <c r="BNA226" s="1201"/>
      <c r="BNB226" s="1201"/>
      <c r="BNC226" s="1201"/>
      <c r="BND226" s="1201"/>
      <c r="BNE226" s="1201"/>
      <c r="BNF226" s="1201"/>
      <c r="BNG226" s="1201"/>
      <c r="BNH226" s="1201"/>
      <c r="BNI226" s="1201"/>
      <c r="BNJ226" s="1201"/>
      <c r="BNK226" s="1201"/>
      <c r="BNL226" s="1201"/>
      <c r="BNM226" s="1201"/>
      <c r="BNN226" s="1201"/>
      <c r="BNO226" s="1201"/>
      <c r="BNP226" s="1201"/>
      <c r="BNQ226" s="1201"/>
      <c r="BNR226" s="1201"/>
      <c r="BNS226" s="1201"/>
      <c r="BNT226" s="1201"/>
      <c r="BNU226" s="1201"/>
      <c r="BNV226" s="1201"/>
      <c r="BNW226" s="1201"/>
      <c r="BNX226" s="1201"/>
      <c r="BNY226" s="1201"/>
      <c r="BNZ226" s="1201"/>
      <c r="BOA226" s="1201"/>
      <c r="BOB226" s="1201"/>
      <c r="BOC226" s="1201"/>
      <c r="BOD226" s="1201"/>
      <c r="BOE226" s="1201"/>
      <c r="BOF226" s="1201"/>
      <c r="BOG226" s="1201"/>
      <c r="BOH226" s="1201"/>
      <c r="BOI226" s="1201"/>
      <c r="BOJ226" s="1201"/>
      <c r="BOK226" s="1201"/>
      <c r="BOL226" s="1201"/>
      <c r="BOM226" s="1201"/>
      <c r="BON226" s="1201"/>
      <c r="BOO226" s="1201"/>
      <c r="BOP226" s="1201"/>
      <c r="BOQ226" s="1201"/>
      <c r="BOR226" s="1201"/>
      <c r="BOS226" s="1201"/>
      <c r="BOT226" s="1201"/>
      <c r="BOU226" s="1201"/>
      <c r="BOV226" s="1201"/>
      <c r="BOW226" s="1201"/>
      <c r="BOX226" s="1201"/>
      <c r="BOY226" s="1201"/>
      <c r="BOZ226" s="1201"/>
      <c r="BPA226" s="1201"/>
      <c r="BPB226" s="1201"/>
      <c r="BPC226" s="1201"/>
      <c r="BPD226" s="1201"/>
      <c r="BPE226" s="1201"/>
      <c r="BPF226" s="1201"/>
      <c r="BPG226" s="1201"/>
      <c r="BPH226" s="1201"/>
      <c r="BPI226" s="1201"/>
      <c r="BPJ226" s="1201"/>
      <c r="BPK226" s="1201"/>
      <c r="BPL226" s="1201"/>
      <c r="BPM226" s="1201"/>
      <c r="BPN226" s="1201"/>
      <c r="BPO226" s="1201"/>
      <c r="BPP226" s="1201"/>
      <c r="BPQ226" s="1201"/>
      <c r="BPR226" s="1201"/>
      <c r="BPS226" s="1201"/>
      <c r="BPT226" s="1201"/>
      <c r="BPU226" s="1201"/>
      <c r="BPV226" s="1201"/>
      <c r="BPW226" s="1201"/>
      <c r="BPX226" s="1201"/>
      <c r="BPY226" s="1201"/>
      <c r="BPZ226" s="1201"/>
      <c r="BQA226" s="1201"/>
      <c r="BQB226" s="1201"/>
      <c r="BQC226" s="1201"/>
      <c r="BQD226" s="1201"/>
      <c r="BQE226" s="1201"/>
      <c r="BQF226" s="1201"/>
      <c r="BQG226" s="1201"/>
      <c r="BQH226" s="1201"/>
      <c r="BQI226" s="1201"/>
      <c r="BQJ226" s="1201"/>
      <c r="BQK226" s="1201"/>
      <c r="BQL226" s="1201"/>
      <c r="BQM226" s="1201"/>
      <c r="BQN226" s="1201"/>
      <c r="BQO226" s="1201"/>
      <c r="BQP226" s="1201"/>
      <c r="BQQ226" s="1201"/>
      <c r="BQR226" s="1201"/>
      <c r="BQS226" s="1201"/>
      <c r="BQT226" s="1201"/>
      <c r="BQU226" s="1201"/>
      <c r="BQV226" s="1201"/>
      <c r="BQW226" s="1201"/>
      <c r="BQX226" s="1201"/>
      <c r="BQY226" s="1201"/>
      <c r="BQZ226" s="1201"/>
      <c r="BRA226" s="1201"/>
      <c r="BRB226" s="1201"/>
      <c r="BRC226" s="1201"/>
      <c r="BRD226" s="1201"/>
      <c r="BRE226" s="1201"/>
      <c r="BRF226" s="1201"/>
      <c r="BRG226" s="1201"/>
      <c r="BRH226" s="1201"/>
      <c r="BRI226" s="1201"/>
      <c r="BRJ226" s="1201"/>
      <c r="BRK226" s="1201"/>
      <c r="BRL226" s="1201"/>
      <c r="BRM226" s="1201"/>
      <c r="BRN226" s="1201"/>
      <c r="BRO226" s="1201"/>
      <c r="BRP226" s="1201"/>
      <c r="BRQ226" s="1201"/>
      <c r="BRR226" s="1201"/>
      <c r="BRS226" s="1201"/>
      <c r="BRT226" s="1201"/>
      <c r="BRU226" s="1201"/>
      <c r="BRV226" s="1201"/>
      <c r="BRW226" s="1201"/>
      <c r="BRX226" s="1201"/>
      <c r="BRY226" s="1201"/>
      <c r="BRZ226" s="1201"/>
      <c r="BSA226" s="1201"/>
      <c r="BSB226" s="1201"/>
      <c r="BSC226" s="1201"/>
      <c r="BSD226" s="1201"/>
      <c r="BSE226" s="1201"/>
      <c r="BSF226" s="1201"/>
      <c r="BSG226" s="1201"/>
      <c r="BSH226" s="1201"/>
      <c r="BSI226" s="1201"/>
      <c r="BSJ226" s="1201"/>
      <c r="BSK226" s="1201"/>
      <c r="BSL226" s="1201"/>
      <c r="BSM226" s="1201"/>
      <c r="BSN226" s="1201"/>
      <c r="BSO226" s="1201"/>
      <c r="BSP226" s="1201"/>
      <c r="BSQ226" s="1201"/>
      <c r="BSR226" s="1201"/>
      <c r="BSS226" s="1201"/>
      <c r="BST226" s="1201"/>
      <c r="BSU226" s="1201"/>
      <c r="BSV226" s="1201"/>
      <c r="BSW226" s="1201"/>
      <c r="BSX226" s="1201"/>
      <c r="BSY226" s="1201"/>
      <c r="BSZ226" s="1201"/>
      <c r="BTA226" s="1201"/>
      <c r="BTB226" s="1201"/>
      <c r="BTC226" s="1201"/>
      <c r="BTD226" s="1201"/>
      <c r="BTE226" s="1201"/>
      <c r="BTF226" s="1201"/>
      <c r="BTG226" s="1201"/>
      <c r="BTH226" s="1201"/>
      <c r="BTI226" s="1201"/>
      <c r="BTJ226" s="1201"/>
      <c r="BTK226" s="1201"/>
      <c r="BTL226" s="1201"/>
      <c r="BTM226" s="1201"/>
      <c r="BTN226" s="1201"/>
      <c r="BTO226" s="1201"/>
      <c r="BTP226" s="1201"/>
      <c r="BTQ226" s="1201"/>
      <c r="BTR226" s="1201"/>
      <c r="BTS226" s="1201"/>
      <c r="BTT226" s="1201"/>
      <c r="BTU226" s="1201"/>
      <c r="BTV226" s="1201"/>
      <c r="BTW226" s="1201"/>
      <c r="BTX226" s="1201"/>
      <c r="BTY226" s="1201"/>
      <c r="BTZ226" s="1201"/>
      <c r="BUA226" s="1201"/>
      <c r="BUB226" s="1201"/>
      <c r="BUC226" s="1201"/>
      <c r="BUD226" s="1201"/>
      <c r="BUE226" s="1201"/>
      <c r="BUF226" s="1201"/>
      <c r="BUG226" s="1201"/>
      <c r="BUH226" s="1201"/>
      <c r="BUI226" s="1201"/>
      <c r="BUJ226" s="1201"/>
      <c r="BUK226" s="1201"/>
      <c r="BUL226" s="1201"/>
      <c r="BUM226" s="1201"/>
      <c r="BUN226" s="1201"/>
      <c r="BUO226" s="1201"/>
      <c r="BUP226" s="1201"/>
      <c r="BUQ226" s="1201"/>
      <c r="BUR226" s="1201"/>
      <c r="BUS226" s="1201"/>
      <c r="BUT226" s="1201"/>
      <c r="BUU226" s="1201"/>
      <c r="BUV226" s="1201"/>
      <c r="BUW226" s="1201"/>
      <c r="BUX226" s="1201"/>
      <c r="BUY226" s="1201"/>
      <c r="BUZ226" s="1201"/>
      <c r="BVA226" s="1201"/>
      <c r="BVB226" s="1201"/>
      <c r="BVC226" s="1201"/>
      <c r="BVD226" s="1201"/>
      <c r="BVE226" s="1201"/>
      <c r="BVF226" s="1201"/>
      <c r="BVG226" s="1201"/>
      <c r="BVH226" s="1201"/>
      <c r="BVI226" s="1201"/>
      <c r="BVJ226" s="1201"/>
      <c r="BVK226" s="1201"/>
      <c r="BVL226" s="1201"/>
      <c r="BVM226" s="1201"/>
      <c r="BVN226" s="1201"/>
      <c r="BVO226" s="1201"/>
      <c r="BVP226" s="1201"/>
      <c r="BVQ226" s="1201"/>
      <c r="BVR226" s="1201"/>
      <c r="BVS226" s="1201"/>
      <c r="BVT226" s="1201"/>
      <c r="BVU226" s="1201"/>
      <c r="BVV226" s="1201"/>
      <c r="BVW226" s="1201"/>
      <c r="BVX226" s="1201"/>
      <c r="BVY226" s="1201"/>
      <c r="BVZ226" s="1201"/>
      <c r="BWA226" s="1201"/>
      <c r="BWB226" s="1201"/>
      <c r="BWC226" s="1201"/>
      <c r="BWD226" s="1201"/>
      <c r="BWE226" s="1201"/>
      <c r="BWF226" s="1201"/>
      <c r="BWG226" s="1201"/>
      <c r="BWH226" s="1201"/>
      <c r="BWI226" s="1201"/>
      <c r="BWJ226" s="1201"/>
      <c r="BWK226" s="1201"/>
      <c r="BWL226" s="1201"/>
      <c r="BWM226" s="1201"/>
      <c r="BWN226" s="1201"/>
      <c r="BWO226" s="1201"/>
      <c r="BWP226" s="1201"/>
      <c r="BWQ226" s="1201"/>
      <c r="BWR226" s="1201"/>
      <c r="BWS226" s="1201"/>
      <c r="BWT226" s="1201"/>
      <c r="BWU226" s="1201"/>
      <c r="BWV226" s="1201"/>
      <c r="BWW226" s="1201"/>
      <c r="BWX226" s="1201"/>
      <c r="BWY226" s="1201"/>
      <c r="BWZ226" s="1201"/>
      <c r="BXA226" s="1201"/>
      <c r="BXB226" s="1201"/>
      <c r="BXC226" s="1201"/>
      <c r="BXD226" s="1201"/>
      <c r="BXE226" s="1201"/>
      <c r="BXF226" s="1201"/>
      <c r="BXG226" s="1201"/>
      <c r="BXH226" s="1201"/>
      <c r="BXI226" s="1201"/>
      <c r="BXJ226" s="1201"/>
      <c r="BXK226" s="1201"/>
      <c r="BXL226" s="1201"/>
      <c r="BXM226" s="1201"/>
      <c r="BXN226" s="1201"/>
      <c r="BXO226" s="1201"/>
      <c r="BXP226" s="1201"/>
      <c r="BXQ226" s="1201"/>
      <c r="BXR226" s="1201"/>
      <c r="BXS226" s="1201"/>
      <c r="BXT226" s="1201"/>
      <c r="BXU226" s="1201"/>
      <c r="BXV226" s="1201"/>
      <c r="BXW226" s="1201"/>
      <c r="BXX226" s="1201"/>
      <c r="BXY226" s="1201"/>
      <c r="BXZ226" s="1201"/>
      <c r="BYA226" s="1201"/>
      <c r="BYB226" s="1201"/>
      <c r="BYC226" s="1201"/>
      <c r="BYD226" s="1201"/>
      <c r="BYE226" s="1201"/>
      <c r="BYF226" s="1201"/>
      <c r="BYG226" s="1201"/>
      <c r="BYH226" s="1201"/>
      <c r="BYI226" s="1201"/>
      <c r="BYJ226" s="1201"/>
      <c r="BYK226" s="1201"/>
      <c r="BYL226" s="1201"/>
      <c r="BYM226" s="1201"/>
      <c r="BYN226" s="1201"/>
      <c r="BYO226" s="1201"/>
      <c r="BYP226" s="1201"/>
      <c r="BYQ226" s="1201"/>
      <c r="BYR226" s="1201"/>
      <c r="BYS226" s="1201"/>
      <c r="BYT226" s="1201"/>
      <c r="BYU226" s="1201"/>
      <c r="BYV226" s="1201"/>
      <c r="BYW226" s="1201"/>
      <c r="BYX226" s="1201"/>
      <c r="BYY226" s="1201"/>
      <c r="BYZ226" s="1201"/>
      <c r="BZA226" s="1201"/>
      <c r="BZB226" s="1201"/>
      <c r="BZC226" s="1201"/>
      <c r="BZD226" s="1201"/>
      <c r="BZE226" s="1201"/>
      <c r="BZF226" s="1201"/>
      <c r="BZG226" s="1201"/>
      <c r="BZH226" s="1201"/>
      <c r="BZI226" s="1201"/>
      <c r="BZJ226" s="1201"/>
      <c r="BZK226" s="1201"/>
      <c r="BZL226" s="1201"/>
      <c r="BZM226" s="1201"/>
      <c r="BZN226" s="1201"/>
      <c r="BZO226" s="1201"/>
      <c r="BZP226" s="1201"/>
      <c r="BZQ226" s="1201"/>
      <c r="BZR226" s="1201"/>
      <c r="BZS226" s="1201"/>
      <c r="BZT226" s="1201"/>
      <c r="BZU226" s="1201"/>
      <c r="BZV226" s="1201"/>
      <c r="BZW226" s="1201"/>
      <c r="BZX226" s="1201"/>
      <c r="BZY226" s="1201"/>
      <c r="BZZ226" s="1201"/>
      <c r="CAA226" s="1201"/>
      <c r="CAB226" s="1201"/>
      <c r="CAC226" s="1201"/>
      <c r="CAD226" s="1201"/>
      <c r="CAE226" s="1201"/>
      <c r="CAF226" s="1201"/>
      <c r="CAG226" s="1201"/>
      <c r="CAH226" s="1201"/>
      <c r="CAI226" s="1201"/>
      <c r="CAJ226" s="1201"/>
      <c r="CAK226" s="1201"/>
      <c r="CAL226" s="1201"/>
      <c r="CAM226" s="1201"/>
      <c r="CAN226" s="1201"/>
      <c r="CAO226" s="1201"/>
      <c r="CAP226" s="1201"/>
      <c r="CAQ226" s="1201"/>
      <c r="CAR226" s="1201"/>
      <c r="CAS226" s="1201"/>
      <c r="CAT226" s="1201"/>
      <c r="CAU226" s="1201"/>
      <c r="CAV226" s="1201"/>
      <c r="CAW226" s="1201"/>
      <c r="CAX226" s="1201"/>
      <c r="CAY226" s="1201"/>
      <c r="CAZ226" s="1201"/>
      <c r="CBA226" s="1201"/>
      <c r="CBB226" s="1201"/>
      <c r="CBC226" s="1201"/>
      <c r="CBD226" s="1201"/>
      <c r="CBE226" s="1201"/>
      <c r="CBF226" s="1201"/>
      <c r="CBG226" s="1201"/>
      <c r="CBH226" s="1201"/>
      <c r="CBI226" s="1201"/>
      <c r="CBJ226" s="1201"/>
      <c r="CBK226" s="1201"/>
      <c r="CBL226" s="1201"/>
      <c r="CBM226" s="1201"/>
      <c r="CBN226" s="1201"/>
      <c r="CBO226" s="1201"/>
      <c r="CBP226" s="1201"/>
      <c r="CBQ226" s="1201"/>
      <c r="CBR226" s="1201"/>
      <c r="CBS226" s="1201"/>
      <c r="CBT226" s="1201"/>
      <c r="CBU226" s="1201"/>
      <c r="CBV226" s="1201"/>
      <c r="CBW226" s="1201"/>
      <c r="CBX226" s="1201"/>
      <c r="CBY226" s="1201"/>
      <c r="CBZ226" s="1201"/>
      <c r="CCA226" s="1201"/>
      <c r="CCB226" s="1201"/>
      <c r="CCC226" s="1201"/>
      <c r="CCD226" s="1201"/>
      <c r="CCE226" s="1201"/>
      <c r="CCF226" s="1201"/>
      <c r="CCG226" s="1201"/>
      <c r="CCH226" s="1201"/>
      <c r="CCI226" s="1201"/>
      <c r="CCJ226" s="1201"/>
      <c r="CCK226" s="1201"/>
      <c r="CCL226" s="1201"/>
      <c r="CCM226" s="1201"/>
      <c r="CCN226" s="1201"/>
      <c r="CCO226" s="1201"/>
      <c r="CCP226" s="1201"/>
      <c r="CCQ226" s="1201"/>
      <c r="CCR226" s="1201"/>
      <c r="CCS226" s="1201"/>
      <c r="CCT226" s="1201"/>
      <c r="CCU226" s="1201"/>
      <c r="CCV226" s="1201"/>
      <c r="CCW226" s="1201"/>
      <c r="CCX226" s="1201"/>
      <c r="CCY226" s="1201"/>
      <c r="CCZ226" s="1201"/>
      <c r="CDA226" s="1201"/>
      <c r="CDB226" s="1201"/>
      <c r="CDC226" s="1201"/>
      <c r="CDD226" s="1201"/>
      <c r="CDE226" s="1201"/>
      <c r="CDF226" s="1201"/>
      <c r="CDG226" s="1201"/>
      <c r="CDH226" s="1201"/>
      <c r="CDI226" s="1201"/>
      <c r="CDJ226" s="1201"/>
      <c r="CDK226" s="1201"/>
      <c r="CDL226" s="1201"/>
      <c r="CDM226" s="1201"/>
      <c r="CDN226" s="1201"/>
      <c r="CDO226" s="1201"/>
      <c r="CDP226" s="1201"/>
      <c r="CDQ226" s="1201"/>
      <c r="CDR226" s="1201"/>
      <c r="CDS226" s="1201"/>
      <c r="CDT226" s="1201"/>
      <c r="CDU226" s="1201"/>
      <c r="CDV226" s="1201"/>
      <c r="CDW226" s="1201"/>
      <c r="CDX226" s="1201"/>
      <c r="CDY226" s="1201"/>
      <c r="CDZ226" s="1201"/>
      <c r="CEA226" s="1201"/>
      <c r="CEB226" s="1201"/>
      <c r="CEC226" s="1201"/>
      <c r="CED226" s="1201"/>
      <c r="CEE226" s="1201"/>
      <c r="CEF226" s="1201"/>
      <c r="CEG226" s="1201"/>
      <c r="CEH226" s="1201"/>
      <c r="CEI226" s="1201"/>
      <c r="CEJ226" s="1201"/>
      <c r="CEK226" s="1201"/>
      <c r="CEL226" s="1201"/>
      <c r="CEM226" s="1201"/>
      <c r="CEN226" s="1201"/>
      <c r="CEO226" s="1201"/>
      <c r="CEP226" s="1201"/>
      <c r="CEQ226" s="1201"/>
      <c r="CER226" s="1201"/>
      <c r="CES226" s="1201"/>
      <c r="CET226" s="1201"/>
      <c r="CEU226" s="1201"/>
      <c r="CEV226" s="1201"/>
      <c r="CEW226" s="1201"/>
      <c r="CEX226" s="1201"/>
      <c r="CEY226" s="1201"/>
      <c r="CEZ226" s="1201"/>
      <c r="CFA226" s="1201"/>
      <c r="CFB226" s="1201"/>
      <c r="CFC226" s="1201"/>
      <c r="CFD226" s="1201"/>
      <c r="CFE226" s="1201"/>
      <c r="CFF226" s="1201"/>
      <c r="CFG226" s="1201"/>
      <c r="CFH226" s="1201"/>
      <c r="CFI226" s="1201"/>
      <c r="CFJ226" s="1201"/>
      <c r="CFK226" s="1201"/>
      <c r="CFL226" s="1201"/>
      <c r="CFM226" s="1201"/>
      <c r="CFN226" s="1201"/>
      <c r="CFO226" s="1201"/>
      <c r="CFP226" s="1201"/>
      <c r="CFQ226" s="1201"/>
      <c r="CFR226" s="1201"/>
      <c r="CFS226" s="1201"/>
      <c r="CFT226" s="1201"/>
      <c r="CFU226" s="1201"/>
      <c r="CFV226" s="1201"/>
      <c r="CFW226" s="1201"/>
      <c r="CFX226" s="1201"/>
      <c r="CFY226" s="1201"/>
      <c r="CFZ226" s="1201"/>
      <c r="CGA226" s="1201"/>
      <c r="CGB226" s="1201"/>
      <c r="CGC226" s="1201"/>
      <c r="CGD226" s="1201"/>
      <c r="CGE226" s="1201"/>
      <c r="CGF226" s="1201"/>
      <c r="CGG226" s="1201"/>
      <c r="CGH226" s="1201"/>
      <c r="CGI226" s="1201"/>
      <c r="CGJ226" s="1201"/>
      <c r="CGK226" s="1201"/>
      <c r="CGL226" s="1201"/>
      <c r="CGM226" s="1201"/>
      <c r="CGN226" s="1201"/>
      <c r="CGO226" s="1201"/>
      <c r="CGP226" s="1201"/>
      <c r="CGQ226" s="1201"/>
      <c r="CGR226" s="1201"/>
      <c r="CGS226" s="1201"/>
      <c r="CGT226" s="1201"/>
      <c r="CGU226" s="1201"/>
      <c r="CGV226" s="1201"/>
      <c r="CGW226" s="1201"/>
      <c r="CGX226" s="1201"/>
      <c r="CGY226" s="1201"/>
      <c r="CGZ226" s="1201"/>
      <c r="CHA226" s="1201"/>
      <c r="CHB226" s="1201"/>
      <c r="CHC226" s="1201"/>
      <c r="CHD226" s="1201"/>
      <c r="CHE226" s="1201"/>
      <c r="CHF226" s="1201"/>
      <c r="CHG226" s="1201"/>
      <c r="CHH226" s="1201"/>
      <c r="CHI226" s="1201"/>
      <c r="CHJ226" s="1201"/>
      <c r="CHK226" s="1201"/>
      <c r="CHL226" s="1201"/>
      <c r="CHM226" s="1201"/>
      <c r="CHN226" s="1201"/>
      <c r="CHO226" s="1201"/>
      <c r="CHP226" s="1201"/>
      <c r="CHQ226" s="1201"/>
      <c r="CHR226" s="1201"/>
      <c r="CHS226" s="1201"/>
      <c r="CHT226" s="1201"/>
      <c r="CHU226" s="1201"/>
      <c r="CHV226" s="1201"/>
      <c r="CHW226" s="1201"/>
      <c r="CHX226" s="1201"/>
      <c r="CHY226" s="1201"/>
      <c r="CHZ226" s="1201"/>
      <c r="CIA226" s="1201"/>
      <c r="CIB226" s="1201"/>
      <c r="CIC226" s="1201"/>
      <c r="CID226" s="1201"/>
      <c r="CIE226" s="1201"/>
      <c r="CIF226" s="1201"/>
      <c r="CIG226" s="1201"/>
      <c r="CIH226" s="1201"/>
      <c r="CII226" s="1201"/>
      <c r="CIJ226" s="1201"/>
      <c r="CIK226" s="1201"/>
      <c r="CIL226" s="1201"/>
      <c r="CIM226" s="1201"/>
      <c r="CIN226" s="1201"/>
      <c r="CIO226" s="1201"/>
      <c r="CIP226" s="1201"/>
      <c r="CIQ226" s="1201"/>
      <c r="CIR226" s="1201"/>
      <c r="CIS226" s="1201"/>
      <c r="CIT226" s="1201"/>
      <c r="CIU226" s="1201"/>
      <c r="CIV226" s="1201"/>
      <c r="CIW226" s="1201"/>
      <c r="CIX226" s="1201"/>
      <c r="CIY226" s="1201"/>
      <c r="CIZ226" s="1201"/>
      <c r="CJA226" s="1201"/>
      <c r="CJB226" s="1201"/>
      <c r="CJC226" s="1201"/>
      <c r="CJD226" s="1201"/>
      <c r="CJE226" s="1201"/>
      <c r="CJF226" s="1201"/>
      <c r="CJG226" s="1201"/>
      <c r="CJH226" s="1201"/>
      <c r="CJI226" s="1201"/>
      <c r="CJJ226" s="1201"/>
      <c r="CJK226" s="1201"/>
      <c r="CJL226" s="1201"/>
      <c r="CJM226" s="1201"/>
      <c r="CJN226" s="1201"/>
      <c r="CJO226" s="1201"/>
      <c r="CJP226" s="1201"/>
      <c r="CJQ226" s="1201"/>
      <c r="CJR226" s="1201"/>
      <c r="CJS226" s="1201"/>
      <c r="CJT226" s="1201"/>
      <c r="CJU226" s="1201"/>
      <c r="CJV226" s="1201"/>
      <c r="CJW226" s="1201"/>
      <c r="CJX226" s="1201"/>
      <c r="CJY226" s="1201"/>
      <c r="CJZ226" s="1201"/>
      <c r="CKA226" s="1201"/>
      <c r="CKB226" s="1201"/>
      <c r="CKC226" s="1201"/>
      <c r="CKD226" s="1201"/>
      <c r="CKE226" s="1201"/>
      <c r="CKF226" s="1201"/>
      <c r="CKG226" s="1201"/>
      <c r="CKH226" s="1201"/>
      <c r="CKI226" s="1201"/>
      <c r="CKJ226" s="1201"/>
      <c r="CKK226" s="1201"/>
      <c r="CKL226" s="1201"/>
      <c r="CKM226" s="1201"/>
      <c r="CKN226" s="1201"/>
      <c r="CKO226" s="1201"/>
      <c r="CKP226" s="1201"/>
      <c r="CKQ226" s="1201"/>
      <c r="CKR226" s="1201"/>
      <c r="CKS226" s="1201"/>
      <c r="CKT226" s="1201"/>
      <c r="CKU226" s="1201"/>
      <c r="CKV226" s="1201"/>
      <c r="CKW226" s="1201"/>
      <c r="CKX226" s="1201"/>
      <c r="CKY226" s="1201"/>
      <c r="CKZ226" s="1201"/>
      <c r="CLA226" s="1201"/>
      <c r="CLB226" s="1201"/>
      <c r="CLC226" s="1201"/>
      <c r="CLD226" s="1201"/>
      <c r="CLE226" s="1201"/>
      <c r="CLF226" s="1201"/>
      <c r="CLG226" s="1201"/>
      <c r="CLH226" s="1201"/>
      <c r="CLI226" s="1201"/>
      <c r="CLJ226" s="1201"/>
      <c r="CLK226" s="1201"/>
      <c r="CLL226" s="1201"/>
      <c r="CLM226" s="1201"/>
      <c r="CLN226" s="1201"/>
      <c r="CLO226" s="1201"/>
      <c r="CLP226" s="1201"/>
      <c r="CLQ226" s="1201"/>
      <c r="CLR226" s="1201"/>
      <c r="CLS226" s="1201"/>
      <c r="CLT226" s="1201"/>
      <c r="CLU226" s="1201"/>
      <c r="CLV226" s="1201"/>
      <c r="CLW226" s="1201"/>
      <c r="CLX226" s="1201"/>
      <c r="CLY226" s="1201"/>
      <c r="CLZ226" s="1201"/>
      <c r="CMA226" s="1201"/>
      <c r="CMB226" s="1201"/>
      <c r="CMC226" s="1201"/>
      <c r="CMD226" s="1201"/>
      <c r="CME226" s="1201"/>
      <c r="CMF226" s="1201"/>
      <c r="CMG226" s="1201"/>
      <c r="CMH226" s="1201"/>
      <c r="CMI226" s="1201"/>
      <c r="CMJ226" s="1201"/>
      <c r="CMK226" s="1201"/>
      <c r="CML226" s="1201"/>
      <c r="CMM226" s="1201"/>
      <c r="CMN226" s="1201"/>
      <c r="CMO226" s="1201"/>
      <c r="CMP226" s="1201"/>
      <c r="CMQ226" s="1201"/>
      <c r="CMR226" s="1201"/>
      <c r="CMS226" s="1201"/>
      <c r="CMT226" s="1201"/>
      <c r="CMU226" s="1201"/>
      <c r="CMV226" s="1201"/>
      <c r="CMW226" s="1201"/>
      <c r="CMX226" s="1201"/>
      <c r="CMY226" s="1201"/>
      <c r="CMZ226" s="1201"/>
      <c r="CNA226" s="1201"/>
      <c r="CNB226" s="1201"/>
      <c r="CNC226" s="1201"/>
      <c r="CND226" s="1201"/>
      <c r="CNE226" s="1201"/>
      <c r="CNF226" s="1201"/>
      <c r="CNG226" s="1201"/>
      <c r="CNH226" s="1201"/>
      <c r="CNI226" s="1201"/>
      <c r="CNJ226" s="1201"/>
      <c r="CNK226" s="1201"/>
      <c r="CNL226" s="1201"/>
      <c r="CNM226" s="1201"/>
      <c r="CNN226" s="1201"/>
      <c r="CNO226" s="1201"/>
      <c r="CNP226" s="1201"/>
      <c r="CNQ226" s="1201"/>
      <c r="CNR226" s="1201"/>
      <c r="CNS226" s="1201"/>
      <c r="CNT226" s="1201"/>
      <c r="CNU226" s="1201"/>
      <c r="CNV226" s="1201"/>
      <c r="CNW226" s="1201"/>
      <c r="CNX226" s="1201"/>
      <c r="CNY226" s="1201"/>
      <c r="CNZ226" s="1201"/>
      <c r="COA226" s="1201"/>
      <c r="COB226" s="1201"/>
      <c r="COC226" s="1201"/>
      <c r="COD226" s="1201"/>
      <c r="COE226" s="1201"/>
      <c r="COF226" s="1201"/>
      <c r="COG226" s="1201"/>
      <c r="COH226" s="1201"/>
      <c r="COI226" s="1201"/>
      <c r="COJ226" s="1201"/>
      <c r="COK226" s="1201"/>
      <c r="COL226" s="1201"/>
      <c r="COM226" s="1201"/>
      <c r="CON226" s="1201"/>
      <c r="COO226" s="1201"/>
      <c r="COP226" s="1201"/>
      <c r="COQ226" s="1201"/>
      <c r="COR226" s="1201"/>
      <c r="COS226" s="1201"/>
      <c r="COT226" s="1201"/>
      <c r="COU226" s="1201"/>
      <c r="COV226" s="1201"/>
      <c r="COW226" s="1201"/>
      <c r="COX226" s="1201"/>
      <c r="COY226" s="1201"/>
      <c r="COZ226" s="1201"/>
      <c r="CPA226" s="1201"/>
      <c r="CPB226" s="1201"/>
      <c r="CPC226" s="1201"/>
      <c r="CPD226" s="1201"/>
      <c r="CPE226" s="1201"/>
      <c r="CPF226" s="1201"/>
      <c r="CPG226" s="1201"/>
      <c r="CPH226" s="1201"/>
      <c r="CPI226" s="1201"/>
      <c r="CPJ226" s="1201"/>
      <c r="CPK226" s="1201"/>
      <c r="CPL226" s="1201"/>
      <c r="CPM226" s="1201"/>
      <c r="CPN226" s="1201"/>
      <c r="CPO226" s="1201"/>
      <c r="CPP226" s="1201"/>
      <c r="CPQ226" s="1201"/>
      <c r="CPR226" s="1201"/>
      <c r="CPS226" s="1201"/>
      <c r="CPT226" s="1201"/>
      <c r="CPU226" s="1201"/>
      <c r="CPV226" s="1201"/>
      <c r="CPW226" s="1201"/>
      <c r="CPX226" s="1201"/>
      <c r="CPY226" s="1201"/>
      <c r="CPZ226" s="1201"/>
      <c r="CQA226" s="1201"/>
      <c r="CQB226" s="1201"/>
      <c r="CQC226" s="1201"/>
      <c r="CQD226" s="1201"/>
      <c r="CQE226" s="1201"/>
      <c r="CQF226" s="1201"/>
      <c r="CQG226" s="1201"/>
      <c r="CQH226" s="1201"/>
      <c r="CQI226" s="1201"/>
      <c r="CQJ226" s="1201"/>
      <c r="CQK226" s="1201"/>
      <c r="CQL226" s="1201"/>
      <c r="CQM226" s="1201"/>
      <c r="CQN226" s="1201"/>
      <c r="CQO226" s="1201"/>
      <c r="CQP226" s="1201"/>
      <c r="CQQ226" s="1201"/>
      <c r="CQR226" s="1201"/>
      <c r="CQS226" s="1201"/>
      <c r="CQT226" s="1201"/>
      <c r="CQU226" s="1201"/>
      <c r="CQV226" s="1201"/>
      <c r="CQW226" s="1201"/>
      <c r="CQX226" s="1201"/>
      <c r="CQY226" s="1201"/>
      <c r="CQZ226" s="1201"/>
      <c r="CRA226" s="1201"/>
      <c r="CRB226" s="1201"/>
      <c r="CRC226" s="1201"/>
      <c r="CRD226" s="1201"/>
      <c r="CRE226" s="1201"/>
      <c r="CRF226" s="1201"/>
      <c r="CRG226" s="1201"/>
      <c r="CRH226" s="1201"/>
      <c r="CRI226" s="1201"/>
      <c r="CRJ226" s="1201"/>
      <c r="CRK226" s="1201"/>
      <c r="CRL226" s="1201"/>
      <c r="CRM226" s="1201"/>
      <c r="CRN226" s="1201"/>
      <c r="CRO226" s="1201"/>
      <c r="CRP226" s="1201"/>
      <c r="CRQ226" s="1201"/>
      <c r="CRR226" s="1201"/>
      <c r="CRS226" s="1201"/>
      <c r="CRT226" s="1201"/>
      <c r="CRU226" s="1201"/>
      <c r="CRV226" s="1201"/>
      <c r="CRW226" s="1201"/>
      <c r="CRX226" s="1201"/>
      <c r="CRY226" s="1201"/>
      <c r="CRZ226" s="1201"/>
      <c r="CSA226" s="1201"/>
      <c r="CSB226" s="1201"/>
      <c r="CSC226" s="1201"/>
      <c r="CSD226" s="1201"/>
      <c r="CSE226" s="1201"/>
      <c r="CSF226" s="1201"/>
      <c r="CSG226" s="1201"/>
      <c r="CSH226" s="1201"/>
      <c r="CSI226" s="1201"/>
      <c r="CSJ226" s="1201"/>
      <c r="CSK226" s="1201"/>
      <c r="CSL226" s="1201"/>
      <c r="CSM226" s="1201"/>
      <c r="CSN226" s="1201"/>
      <c r="CSO226" s="1201"/>
      <c r="CSP226" s="1201"/>
      <c r="CSQ226" s="1201"/>
      <c r="CSR226" s="1201"/>
      <c r="CSS226" s="1201"/>
      <c r="CST226" s="1201"/>
      <c r="CSU226" s="1201"/>
      <c r="CSV226" s="1201"/>
      <c r="CSW226" s="1201"/>
      <c r="CSX226" s="1201"/>
      <c r="CSY226" s="1201"/>
      <c r="CSZ226" s="1201"/>
      <c r="CTA226" s="1201"/>
      <c r="CTB226" s="1201"/>
      <c r="CTC226" s="1201"/>
      <c r="CTD226" s="1201"/>
      <c r="CTE226" s="1201"/>
      <c r="CTF226" s="1201"/>
      <c r="CTG226" s="1201"/>
      <c r="CTH226" s="1201"/>
      <c r="CTI226" s="1201"/>
      <c r="CTJ226" s="1201"/>
      <c r="CTK226" s="1201"/>
      <c r="CTL226" s="1201"/>
      <c r="CTM226" s="1201"/>
      <c r="CTN226" s="1201"/>
      <c r="CTO226" s="1201"/>
      <c r="CTP226" s="1201"/>
      <c r="CTQ226" s="1201"/>
      <c r="CTR226" s="1201"/>
      <c r="CTS226" s="1201"/>
      <c r="CTT226" s="1201"/>
      <c r="CTU226" s="1201"/>
      <c r="CTV226" s="1201"/>
      <c r="CTW226" s="1201"/>
      <c r="CTX226" s="1201"/>
      <c r="CTY226" s="1201"/>
      <c r="CTZ226" s="1201"/>
      <c r="CUA226" s="1201"/>
      <c r="CUB226" s="1201"/>
      <c r="CUC226" s="1201"/>
      <c r="CUD226" s="1201"/>
      <c r="CUE226" s="1201"/>
      <c r="CUF226" s="1201"/>
      <c r="CUG226" s="1201"/>
      <c r="CUH226" s="1201"/>
      <c r="CUI226" s="1201"/>
      <c r="CUJ226" s="1201"/>
      <c r="CUK226" s="1201"/>
      <c r="CUL226" s="1201"/>
      <c r="CUM226" s="1201"/>
      <c r="CUN226" s="1201"/>
      <c r="CUO226" s="1201"/>
      <c r="CUP226" s="1201"/>
      <c r="CUQ226" s="1201"/>
      <c r="CUR226" s="1201"/>
      <c r="CUS226" s="1201"/>
      <c r="CUT226" s="1201"/>
      <c r="CUU226" s="1201"/>
      <c r="CUV226" s="1201"/>
      <c r="CUW226" s="1201"/>
      <c r="CUX226" s="1201"/>
      <c r="CUY226" s="1201"/>
      <c r="CUZ226" s="1201"/>
      <c r="CVA226" s="1201"/>
      <c r="CVB226" s="1201"/>
      <c r="CVC226" s="1201"/>
      <c r="CVD226" s="1201"/>
      <c r="CVE226" s="1201"/>
      <c r="CVF226" s="1201"/>
      <c r="CVG226" s="1201"/>
      <c r="CVH226" s="1201"/>
      <c r="CVI226" s="1201"/>
      <c r="CVJ226" s="1201"/>
      <c r="CVK226" s="1201"/>
      <c r="CVL226" s="1201"/>
      <c r="CVM226" s="1201"/>
      <c r="CVN226" s="1201"/>
      <c r="CVO226" s="1201"/>
      <c r="CVP226" s="1201"/>
      <c r="CVQ226" s="1201"/>
      <c r="CVR226" s="1201"/>
      <c r="CVS226" s="1201"/>
      <c r="CVT226" s="1201"/>
      <c r="CVU226" s="1201"/>
      <c r="CVV226" s="1201"/>
      <c r="CVW226" s="1201"/>
      <c r="CVX226" s="1201"/>
      <c r="CVY226" s="1201"/>
      <c r="CVZ226" s="1201"/>
      <c r="CWA226" s="1201"/>
      <c r="CWB226" s="1201"/>
      <c r="CWC226" s="1201"/>
      <c r="CWD226" s="1201"/>
      <c r="CWE226" s="1201"/>
      <c r="CWF226" s="1201"/>
      <c r="CWG226" s="1201"/>
      <c r="CWH226" s="1201"/>
      <c r="CWI226" s="1201"/>
      <c r="CWJ226" s="1201"/>
      <c r="CWK226" s="1201"/>
      <c r="CWL226" s="1201"/>
      <c r="CWM226" s="1201"/>
      <c r="CWN226" s="1201"/>
      <c r="CWO226" s="1201"/>
      <c r="CWP226" s="1201"/>
      <c r="CWQ226" s="1201"/>
      <c r="CWR226" s="1201"/>
      <c r="CWS226" s="1201"/>
      <c r="CWT226" s="1201"/>
      <c r="CWU226" s="1201"/>
      <c r="CWV226" s="1201"/>
      <c r="CWW226" s="1201"/>
      <c r="CWX226" s="1201"/>
      <c r="CWY226" s="1201"/>
      <c r="CWZ226" s="1201"/>
      <c r="CXA226" s="1201"/>
      <c r="CXB226" s="1201"/>
      <c r="CXC226" s="1201"/>
      <c r="CXD226" s="1201"/>
      <c r="CXE226" s="1201"/>
      <c r="CXF226" s="1201"/>
      <c r="CXG226" s="1201"/>
      <c r="CXH226" s="1201"/>
      <c r="CXI226" s="1201"/>
      <c r="CXJ226" s="1201"/>
      <c r="CXK226" s="1201"/>
      <c r="CXL226" s="1201"/>
      <c r="CXM226" s="1201"/>
      <c r="CXN226" s="1201"/>
      <c r="CXO226" s="1201"/>
      <c r="CXP226" s="1201"/>
      <c r="CXQ226" s="1201"/>
      <c r="CXR226" s="1201"/>
      <c r="CXS226" s="1201"/>
      <c r="CXT226" s="1201"/>
      <c r="CXU226" s="1201"/>
      <c r="CXV226" s="1201"/>
      <c r="CXW226" s="1201"/>
      <c r="CXX226" s="1201"/>
      <c r="CXY226" s="1201"/>
      <c r="CXZ226" s="1201"/>
      <c r="CYA226" s="1201"/>
      <c r="CYB226" s="1201"/>
      <c r="CYC226" s="1201"/>
      <c r="CYD226" s="1201"/>
      <c r="CYE226" s="1201"/>
      <c r="CYF226" s="1201"/>
      <c r="CYG226" s="1201"/>
      <c r="CYH226" s="1201"/>
      <c r="CYI226" s="1201"/>
      <c r="CYJ226" s="1201"/>
      <c r="CYK226" s="1201"/>
      <c r="CYL226" s="1201"/>
      <c r="CYM226" s="1201"/>
      <c r="CYN226" s="1201"/>
      <c r="CYO226" s="1201"/>
      <c r="CYP226" s="1201"/>
      <c r="CYQ226" s="1201"/>
      <c r="CYR226" s="1201"/>
      <c r="CYS226" s="1201"/>
      <c r="CYT226" s="1201"/>
      <c r="CYU226" s="1201"/>
      <c r="CYV226" s="1201"/>
      <c r="CYW226" s="1201"/>
      <c r="CYX226" s="1201"/>
      <c r="CYY226" s="1201"/>
      <c r="CYZ226" s="1201"/>
      <c r="CZA226" s="1201"/>
      <c r="CZB226" s="1201"/>
      <c r="CZC226" s="1201"/>
      <c r="CZD226" s="1201"/>
      <c r="CZE226" s="1201"/>
      <c r="CZF226" s="1201"/>
      <c r="CZG226" s="1201"/>
      <c r="CZH226" s="1201"/>
      <c r="CZI226" s="1201"/>
      <c r="CZJ226" s="1201"/>
      <c r="CZK226" s="1201"/>
      <c r="CZL226" s="1201"/>
      <c r="CZM226" s="1201"/>
      <c r="CZN226" s="1201"/>
      <c r="CZO226" s="1201"/>
      <c r="CZP226" s="1201"/>
      <c r="CZQ226" s="1201"/>
      <c r="CZR226" s="1201"/>
      <c r="CZS226" s="1201"/>
      <c r="CZT226" s="1201"/>
      <c r="CZU226" s="1201"/>
      <c r="CZV226" s="1201"/>
      <c r="CZW226" s="1201"/>
      <c r="CZX226" s="1201"/>
      <c r="CZY226" s="1201"/>
      <c r="CZZ226" s="1201"/>
      <c r="DAA226" s="1201"/>
      <c r="DAB226" s="1201"/>
      <c r="DAC226" s="1201"/>
      <c r="DAD226" s="1201"/>
      <c r="DAE226" s="1201"/>
      <c r="DAF226" s="1201"/>
      <c r="DAG226" s="1201"/>
      <c r="DAH226" s="1201"/>
      <c r="DAI226" s="1201"/>
      <c r="DAJ226" s="1201"/>
      <c r="DAK226" s="1201"/>
      <c r="DAL226" s="1201"/>
      <c r="DAM226" s="1201"/>
      <c r="DAN226" s="1201"/>
      <c r="DAO226" s="1201"/>
      <c r="DAP226" s="1201"/>
      <c r="DAQ226" s="1201"/>
      <c r="DAR226" s="1201"/>
      <c r="DAS226" s="1201"/>
      <c r="DAT226" s="1201"/>
      <c r="DAU226" s="1201"/>
      <c r="DAV226" s="1201"/>
      <c r="DAW226" s="1201"/>
      <c r="DAX226" s="1201"/>
      <c r="DAY226" s="1201"/>
      <c r="DAZ226" s="1201"/>
      <c r="DBA226" s="1201"/>
      <c r="DBB226" s="1201"/>
      <c r="DBC226" s="1201"/>
      <c r="DBD226" s="1201"/>
      <c r="DBE226" s="1201"/>
      <c r="DBF226" s="1201"/>
      <c r="DBG226" s="1201"/>
      <c r="DBH226" s="1201"/>
      <c r="DBI226" s="1201"/>
      <c r="DBJ226" s="1201"/>
      <c r="DBK226" s="1201"/>
      <c r="DBL226" s="1201"/>
      <c r="DBM226" s="1201"/>
      <c r="DBN226" s="1201"/>
      <c r="DBO226" s="1201"/>
      <c r="DBP226" s="1201"/>
      <c r="DBQ226" s="1201"/>
      <c r="DBR226" s="1201"/>
      <c r="DBS226" s="1201"/>
      <c r="DBT226" s="1201"/>
      <c r="DBU226" s="1201"/>
      <c r="DBV226" s="1201"/>
      <c r="DBW226" s="1201"/>
      <c r="DBX226" s="1201"/>
      <c r="DBY226" s="1201"/>
      <c r="DBZ226" s="1201"/>
      <c r="DCA226" s="1201"/>
      <c r="DCB226" s="1201"/>
      <c r="DCC226" s="1201"/>
      <c r="DCD226" s="1201"/>
      <c r="DCE226" s="1201"/>
      <c r="DCF226" s="1201"/>
      <c r="DCG226" s="1201"/>
      <c r="DCH226" s="1201"/>
      <c r="DCI226" s="1201"/>
      <c r="DCJ226" s="1201"/>
      <c r="DCK226" s="1201"/>
      <c r="DCL226" s="1201"/>
      <c r="DCM226" s="1201"/>
      <c r="DCN226" s="1201"/>
      <c r="DCO226" s="1201"/>
      <c r="DCP226" s="1201"/>
      <c r="DCQ226" s="1201"/>
      <c r="DCR226" s="1201"/>
      <c r="DCS226" s="1201"/>
      <c r="DCT226" s="1201"/>
      <c r="DCU226" s="1201"/>
      <c r="DCV226" s="1201"/>
      <c r="DCW226" s="1201"/>
      <c r="DCX226" s="1201"/>
      <c r="DCY226" s="1201"/>
      <c r="DCZ226" s="1201"/>
      <c r="DDA226" s="1201"/>
      <c r="DDB226" s="1201"/>
      <c r="DDC226" s="1201"/>
      <c r="DDD226" s="1201"/>
      <c r="DDE226" s="1201"/>
      <c r="DDF226" s="1201"/>
      <c r="DDG226" s="1201"/>
      <c r="DDH226" s="1201"/>
      <c r="DDI226" s="1201"/>
      <c r="DDJ226" s="1201"/>
      <c r="DDK226" s="1201"/>
      <c r="DDL226" s="1201"/>
      <c r="DDM226" s="1201"/>
      <c r="DDN226" s="1201"/>
      <c r="DDO226" s="1201"/>
      <c r="DDP226" s="1201"/>
      <c r="DDQ226" s="1201"/>
      <c r="DDR226" s="1201"/>
      <c r="DDS226" s="1201"/>
      <c r="DDT226" s="1201"/>
      <c r="DDU226" s="1201"/>
      <c r="DDV226" s="1201"/>
      <c r="DDW226" s="1201"/>
      <c r="DDX226" s="1201"/>
      <c r="DDY226" s="1201"/>
      <c r="DDZ226" s="1201"/>
      <c r="DEA226" s="1201"/>
      <c r="DEB226" s="1201"/>
      <c r="DEC226" s="1201"/>
      <c r="DED226" s="1201"/>
      <c r="DEE226" s="1201"/>
      <c r="DEF226" s="1201"/>
      <c r="DEG226" s="1201"/>
      <c r="DEH226" s="1201"/>
      <c r="DEI226" s="1201"/>
      <c r="DEJ226" s="1201"/>
      <c r="DEK226" s="1201"/>
      <c r="DEL226" s="1201"/>
      <c r="DEM226" s="1201"/>
      <c r="DEN226" s="1201"/>
      <c r="DEO226" s="1201"/>
      <c r="DEP226" s="1201"/>
      <c r="DEQ226" s="1201"/>
      <c r="DER226" s="1201"/>
      <c r="DES226" s="1201"/>
      <c r="DET226" s="1201"/>
      <c r="DEU226" s="1201"/>
      <c r="DEV226" s="1201"/>
      <c r="DEW226" s="1201"/>
      <c r="DEX226" s="1201"/>
      <c r="DEY226" s="1201"/>
      <c r="DEZ226" s="1201"/>
      <c r="DFA226" s="1201"/>
      <c r="DFB226" s="1201"/>
      <c r="DFC226" s="1201"/>
      <c r="DFD226" s="1201"/>
      <c r="DFE226" s="1201"/>
      <c r="DFF226" s="1201"/>
      <c r="DFG226" s="1201"/>
      <c r="DFH226" s="1201"/>
      <c r="DFI226" s="1201"/>
      <c r="DFJ226" s="1201"/>
      <c r="DFK226" s="1201"/>
      <c r="DFL226" s="1201"/>
      <c r="DFM226" s="1201"/>
      <c r="DFN226" s="1201"/>
      <c r="DFO226" s="1201"/>
      <c r="DFP226" s="1201"/>
      <c r="DFQ226" s="1201"/>
      <c r="DFR226" s="1201"/>
      <c r="DFS226" s="1201"/>
      <c r="DFT226" s="1201"/>
      <c r="DFU226" s="1201"/>
      <c r="DFV226" s="1201"/>
      <c r="DFW226" s="1201"/>
      <c r="DFX226" s="1201"/>
      <c r="DFY226" s="1201"/>
      <c r="DFZ226" s="1201"/>
      <c r="DGA226" s="1201"/>
      <c r="DGB226" s="1201"/>
      <c r="DGC226" s="1201"/>
      <c r="DGD226" s="1201"/>
      <c r="DGE226" s="1201"/>
      <c r="DGF226" s="1201"/>
      <c r="DGG226" s="1201"/>
      <c r="DGH226" s="1201"/>
      <c r="DGI226" s="1201"/>
      <c r="DGJ226" s="1201"/>
      <c r="DGK226" s="1201"/>
      <c r="DGL226" s="1201"/>
      <c r="DGM226" s="1201"/>
      <c r="DGN226" s="1201"/>
      <c r="DGO226" s="1201"/>
      <c r="DGP226" s="1201"/>
      <c r="DGQ226" s="1201"/>
      <c r="DGR226" s="1201"/>
      <c r="DGS226" s="1201"/>
      <c r="DGT226" s="1201"/>
      <c r="DGU226" s="1201"/>
      <c r="DGV226" s="1201"/>
      <c r="DGW226" s="1201"/>
      <c r="DGX226" s="1201"/>
      <c r="DGY226" s="1201"/>
      <c r="DGZ226" s="1201"/>
      <c r="DHA226" s="1201"/>
      <c r="DHB226" s="1201"/>
      <c r="DHC226" s="1201"/>
      <c r="DHD226" s="1201"/>
      <c r="DHE226" s="1201"/>
      <c r="DHF226" s="1201"/>
      <c r="DHG226" s="1201"/>
      <c r="DHH226" s="1201"/>
      <c r="DHI226" s="1201"/>
      <c r="DHJ226" s="1201"/>
      <c r="DHK226" s="1201"/>
      <c r="DHL226" s="1201"/>
      <c r="DHM226" s="1201"/>
      <c r="DHN226" s="1201"/>
      <c r="DHO226" s="1201"/>
      <c r="DHP226" s="1201"/>
      <c r="DHQ226" s="1201"/>
      <c r="DHR226" s="1201"/>
      <c r="DHS226" s="1201"/>
      <c r="DHT226" s="1201"/>
      <c r="DHU226" s="1201"/>
      <c r="DHV226" s="1201"/>
      <c r="DHW226" s="1201"/>
      <c r="DHX226" s="1201"/>
      <c r="DHY226" s="1201"/>
      <c r="DHZ226" s="1201"/>
      <c r="DIA226" s="1201"/>
      <c r="DIB226" s="1201"/>
      <c r="DIC226" s="1201"/>
      <c r="DID226" s="1201"/>
      <c r="DIE226" s="1201"/>
      <c r="DIF226" s="1201"/>
      <c r="DIG226" s="1201"/>
      <c r="DIH226" s="1201"/>
      <c r="DII226" s="1201"/>
      <c r="DIJ226" s="1201"/>
      <c r="DIK226" s="1201"/>
      <c r="DIL226" s="1201"/>
      <c r="DIM226" s="1201"/>
      <c r="DIN226" s="1201"/>
      <c r="DIO226" s="1201"/>
      <c r="DIP226" s="1201"/>
      <c r="DIQ226" s="1201"/>
      <c r="DIR226" s="1201"/>
      <c r="DIS226" s="1201"/>
      <c r="DIT226" s="1201"/>
      <c r="DIU226" s="1201"/>
      <c r="DIV226" s="1201"/>
      <c r="DIW226" s="1201"/>
      <c r="DIX226" s="1201"/>
      <c r="DIY226" s="1201"/>
      <c r="DIZ226" s="1201"/>
      <c r="DJA226" s="1201"/>
      <c r="DJB226" s="1201"/>
      <c r="DJC226" s="1201"/>
      <c r="DJD226" s="1201"/>
      <c r="DJE226" s="1201"/>
      <c r="DJF226" s="1201"/>
      <c r="DJG226" s="1201"/>
      <c r="DJH226" s="1201"/>
      <c r="DJI226" s="1201"/>
      <c r="DJJ226" s="1201"/>
      <c r="DJK226" s="1201"/>
      <c r="DJL226" s="1201"/>
      <c r="DJM226" s="1201"/>
      <c r="DJN226" s="1201"/>
      <c r="DJO226" s="1201"/>
      <c r="DJP226" s="1201"/>
      <c r="DJQ226" s="1201"/>
      <c r="DJR226" s="1201"/>
      <c r="DJS226" s="1201"/>
      <c r="DJT226" s="1201"/>
      <c r="DJU226" s="1201"/>
      <c r="DJV226" s="1201"/>
      <c r="DJW226" s="1201"/>
      <c r="DJX226" s="1201"/>
      <c r="DJY226" s="1201"/>
      <c r="DJZ226" s="1201"/>
      <c r="DKA226" s="1201"/>
      <c r="DKB226" s="1201"/>
      <c r="DKC226" s="1201"/>
      <c r="DKD226" s="1201"/>
      <c r="DKE226" s="1201"/>
      <c r="DKF226" s="1201"/>
      <c r="DKG226" s="1201"/>
      <c r="DKH226" s="1201"/>
      <c r="DKI226" s="1201"/>
      <c r="DKJ226" s="1201"/>
      <c r="DKK226" s="1201"/>
      <c r="DKL226" s="1201"/>
      <c r="DKM226" s="1201"/>
      <c r="DKN226" s="1201"/>
      <c r="DKO226" s="1201"/>
      <c r="DKP226" s="1201"/>
      <c r="DKQ226" s="1201"/>
      <c r="DKR226" s="1201"/>
      <c r="DKS226" s="1201"/>
      <c r="DKT226" s="1201"/>
      <c r="DKU226" s="1201"/>
      <c r="DKV226" s="1201"/>
      <c r="DKW226" s="1201"/>
      <c r="DKX226" s="1201"/>
      <c r="DKY226" s="1201"/>
      <c r="DKZ226" s="1201"/>
      <c r="DLA226" s="1201"/>
      <c r="DLB226" s="1201"/>
      <c r="DLC226" s="1201"/>
      <c r="DLD226" s="1201"/>
      <c r="DLE226" s="1201"/>
      <c r="DLF226" s="1201"/>
      <c r="DLG226" s="1201"/>
      <c r="DLH226" s="1201"/>
      <c r="DLI226" s="1201"/>
      <c r="DLJ226" s="1201"/>
      <c r="DLK226" s="1201"/>
      <c r="DLL226" s="1201"/>
      <c r="DLM226" s="1201"/>
      <c r="DLN226" s="1201"/>
      <c r="DLO226" s="1201"/>
      <c r="DLP226" s="1201"/>
      <c r="DLQ226" s="1201"/>
      <c r="DLR226" s="1201"/>
      <c r="DLS226" s="1201"/>
      <c r="DLT226" s="1201"/>
      <c r="DLU226" s="1201"/>
      <c r="DLV226" s="1201"/>
      <c r="DLW226" s="1201"/>
      <c r="DLX226" s="1201"/>
      <c r="DLY226" s="1201"/>
      <c r="DLZ226" s="1201"/>
      <c r="DMA226" s="1201"/>
      <c r="DMB226" s="1201"/>
      <c r="DMC226" s="1201"/>
      <c r="DMD226" s="1201"/>
      <c r="DME226" s="1201"/>
      <c r="DMF226" s="1201"/>
      <c r="DMG226" s="1201"/>
      <c r="DMH226" s="1201"/>
      <c r="DMI226" s="1201"/>
      <c r="DMJ226" s="1201"/>
      <c r="DMK226" s="1201"/>
      <c r="DML226" s="1201"/>
      <c r="DMM226" s="1201"/>
      <c r="DMN226" s="1201"/>
      <c r="DMO226" s="1201"/>
      <c r="DMP226" s="1201"/>
      <c r="DMQ226" s="1201"/>
      <c r="DMR226" s="1201"/>
      <c r="DMS226" s="1201"/>
      <c r="DMT226" s="1201"/>
      <c r="DMU226" s="1201"/>
      <c r="DMV226" s="1201"/>
      <c r="DMW226" s="1201"/>
      <c r="DMX226" s="1201"/>
      <c r="DMY226" s="1201"/>
      <c r="DMZ226" s="1201"/>
      <c r="DNA226" s="1201"/>
      <c r="DNB226" s="1201"/>
      <c r="DNC226" s="1201"/>
      <c r="DND226" s="1201"/>
      <c r="DNE226" s="1201"/>
      <c r="DNF226" s="1201"/>
      <c r="DNG226" s="1201"/>
      <c r="DNH226" s="1201"/>
      <c r="DNI226" s="1201"/>
      <c r="DNJ226" s="1201"/>
      <c r="DNK226" s="1201"/>
      <c r="DNL226" s="1201"/>
      <c r="DNM226" s="1201"/>
      <c r="DNN226" s="1201"/>
      <c r="DNO226" s="1201"/>
      <c r="DNP226" s="1201"/>
      <c r="DNQ226" s="1201"/>
      <c r="DNR226" s="1201"/>
      <c r="DNS226" s="1201"/>
      <c r="DNT226" s="1201"/>
      <c r="DNU226" s="1201"/>
      <c r="DNV226" s="1201"/>
      <c r="DNW226" s="1201"/>
      <c r="DNX226" s="1201"/>
      <c r="DNY226" s="1201"/>
      <c r="DNZ226" s="1201"/>
      <c r="DOA226" s="1201"/>
      <c r="DOB226" s="1201"/>
      <c r="DOC226" s="1201"/>
      <c r="DOD226" s="1201"/>
      <c r="DOE226" s="1201"/>
      <c r="DOF226" s="1201"/>
      <c r="DOG226" s="1201"/>
      <c r="DOH226" s="1201"/>
      <c r="DOI226" s="1201"/>
      <c r="DOJ226" s="1201"/>
      <c r="DOK226" s="1201"/>
      <c r="DOL226" s="1201"/>
      <c r="DOM226" s="1201"/>
      <c r="DON226" s="1201"/>
      <c r="DOO226" s="1201"/>
      <c r="DOP226" s="1201"/>
      <c r="DOQ226" s="1201"/>
      <c r="DOR226" s="1201"/>
      <c r="DOS226" s="1201"/>
      <c r="DOT226" s="1201"/>
      <c r="DOU226" s="1201"/>
      <c r="DOV226" s="1201"/>
      <c r="DOW226" s="1201"/>
      <c r="DOX226" s="1201"/>
      <c r="DOY226" s="1201"/>
      <c r="DOZ226" s="1201"/>
      <c r="DPA226" s="1201"/>
      <c r="DPB226" s="1201"/>
      <c r="DPC226" s="1201"/>
      <c r="DPD226" s="1201"/>
      <c r="DPE226" s="1201"/>
      <c r="DPF226" s="1201"/>
      <c r="DPG226" s="1201"/>
      <c r="DPH226" s="1201"/>
      <c r="DPI226" s="1201"/>
      <c r="DPJ226" s="1201"/>
      <c r="DPK226" s="1201"/>
      <c r="DPL226" s="1201"/>
      <c r="DPM226" s="1201"/>
      <c r="DPN226" s="1201"/>
      <c r="DPO226" s="1201"/>
      <c r="DPP226" s="1201"/>
      <c r="DPQ226" s="1201"/>
      <c r="DPR226" s="1201"/>
      <c r="DPS226" s="1201"/>
      <c r="DPT226" s="1201"/>
      <c r="DPU226" s="1201"/>
      <c r="DPV226" s="1201"/>
      <c r="DPW226" s="1201"/>
      <c r="DPX226" s="1201"/>
      <c r="DPY226" s="1201"/>
      <c r="DPZ226" s="1201"/>
      <c r="DQA226" s="1201"/>
      <c r="DQB226" s="1201"/>
      <c r="DQC226" s="1201"/>
      <c r="DQD226" s="1201"/>
      <c r="DQE226" s="1201"/>
      <c r="DQF226" s="1201"/>
      <c r="DQG226" s="1201"/>
      <c r="DQH226" s="1201"/>
      <c r="DQI226" s="1201"/>
      <c r="DQJ226" s="1201"/>
      <c r="DQK226" s="1201"/>
      <c r="DQL226" s="1201"/>
      <c r="DQM226" s="1201"/>
      <c r="DQN226" s="1201"/>
      <c r="DQO226" s="1201"/>
      <c r="DQP226" s="1201"/>
      <c r="DQQ226" s="1201"/>
      <c r="DQR226" s="1201"/>
      <c r="DQS226" s="1201"/>
      <c r="DQT226" s="1201"/>
      <c r="DQU226" s="1201"/>
      <c r="DQV226" s="1201"/>
      <c r="DQW226" s="1201"/>
      <c r="DQX226" s="1201"/>
      <c r="DQY226" s="1201"/>
      <c r="DQZ226" s="1201"/>
      <c r="DRA226" s="1201"/>
      <c r="DRB226" s="1201"/>
      <c r="DRC226" s="1201"/>
      <c r="DRD226" s="1201"/>
      <c r="DRE226" s="1201"/>
      <c r="DRF226" s="1201"/>
      <c r="DRG226" s="1201"/>
      <c r="DRH226" s="1201"/>
      <c r="DRI226" s="1201"/>
      <c r="DRJ226" s="1201"/>
      <c r="DRK226" s="1201"/>
      <c r="DRL226" s="1201"/>
      <c r="DRM226" s="1201"/>
      <c r="DRN226" s="1201"/>
      <c r="DRO226" s="1201"/>
      <c r="DRP226" s="1201"/>
      <c r="DRQ226" s="1201"/>
      <c r="DRR226" s="1201"/>
      <c r="DRS226" s="1201"/>
      <c r="DRT226" s="1201"/>
      <c r="DRU226" s="1201"/>
      <c r="DRV226" s="1201"/>
      <c r="DRW226" s="1201"/>
      <c r="DRX226" s="1201"/>
      <c r="DRY226" s="1201"/>
      <c r="DRZ226" s="1201"/>
      <c r="DSA226" s="1201"/>
      <c r="DSB226" s="1201"/>
      <c r="DSC226" s="1201"/>
      <c r="DSD226" s="1201"/>
      <c r="DSE226" s="1201"/>
      <c r="DSF226" s="1201"/>
      <c r="DSG226" s="1201"/>
      <c r="DSH226" s="1201"/>
      <c r="DSI226" s="1201"/>
      <c r="DSJ226" s="1201"/>
      <c r="DSK226" s="1201"/>
      <c r="DSL226" s="1201"/>
      <c r="DSM226" s="1201"/>
      <c r="DSN226" s="1201"/>
      <c r="DSO226" s="1201"/>
      <c r="DSP226" s="1201"/>
      <c r="DSQ226" s="1201"/>
      <c r="DSR226" s="1201"/>
      <c r="DSS226" s="1201"/>
      <c r="DST226" s="1201"/>
      <c r="DSU226" s="1201"/>
      <c r="DSV226" s="1201"/>
      <c r="DSW226" s="1201"/>
      <c r="DSX226" s="1201"/>
      <c r="DSY226" s="1201"/>
      <c r="DSZ226" s="1201"/>
      <c r="DTA226" s="1201"/>
      <c r="DTB226" s="1201"/>
      <c r="DTC226" s="1201"/>
      <c r="DTD226" s="1201"/>
      <c r="DTE226" s="1201"/>
      <c r="DTF226" s="1201"/>
      <c r="DTG226" s="1201"/>
      <c r="DTH226" s="1201"/>
      <c r="DTI226" s="1201"/>
      <c r="DTJ226" s="1201"/>
      <c r="DTK226" s="1201"/>
      <c r="DTL226" s="1201"/>
      <c r="DTM226" s="1201"/>
      <c r="DTN226" s="1201"/>
      <c r="DTO226" s="1201"/>
      <c r="DTP226" s="1201"/>
      <c r="DTQ226" s="1201"/>
      <c r="DTR226" s="1201"/>
      <c r="DTS226" s="1201"/>
      <c r="DTT226" s="1201"/>
      <c r="DTU226" s="1201"/>
      <c r="DTV226" s="1201"/>
      <c r="DTW226" s="1201"/>
      <c r="DTX226" s="1201"/>
      <c r="DTY226" s="1201"/>
      <c r="DTZ226" s="1201"/>
      <c r="DUA226" s="1201"/>
      <c r="DUB226" s="1201"/>
      <c r="DUC226" s="1201"/>
      <c r="DUD226" s="1201"/>
      <c r="DUE226" s="1201"/>
      <c r="DUF226" s="1201"/>
      <c r="DUG226" s="1201"/>
      <c r="DUH226" s="1201"/>
      <c r="DUI226" s="1201"/>
      <c r="DUJ226" s="1201"/>
      <c r="DUK226" s="1201"/>
      <c r="DUL226" s="1201"/>
      <c r="DUM226" s="1201"/>
      <c r="DUN226" s="1201"/>
      <c r="DUO226" s="1201"/>
      <c r="DUP226" s="1201"/>
      <c r="DUQ226" s="1201"/>
      <c r="DUR226" s="1201"/>
      <c r="DUS226" s="1201"/>
      <c r="DUT226" s="1201"/>
      <c r="DUU226" s="1201"/>
      <c r="DUV226" s="1201"/>
      <c r="DUW226" s="1201"/>
      <c r="DUX226" s="1201"/>
      <c r="DUY226" s="1201"/>
      <c r="DUZ226" s="1201"/>
      <c r="DVA226" s="1201"/>
      <c r="DVB226" s="1201"/>
      <c r="DVC226" s="1201"/>
      <c r="DVD226" s="1201"/>
      <c r="DVE226" s="1201"/>
      <c r="DVF226" s="1201"/>
      <c r="DVG226" s="1201"/>
      <c r="DVH226" s="1201"/>
      <c r="DVI226" s="1201"/>
      <c r="DVJ226" s="1201"/>
      <c r="DVK226" s="1201"/>
      <c r="DVL226" s="1201"/>
      <c r="DVM226" s="1201"/>
      <c r="DVN226" s="1201"/>
      <c r="DVO226" s="1201"/>
      <c r="DVP226" s="1201"/>
      <c r="DVQ226" s="1201"/>
      <c r="DVR226" s="1201"/>
      <c r="DVS226" s="1201"/>
      <c r="DVT226" s="1201"/>
      <c r="DVU226" s="1201"/>
      <c r="DVV226" s="1201"/>
      <c r="DVW226" s="1201"/>
      <c r="DVX226" s="1201"/>
      <c r="DVY226" s="1201"/>
      <c r="DVZ226" s="1201"/>
      <c r="DWA226" s="1201"/>
      <c r="DWB226" s="1201"/>
      <c r="DWC226" s="1201"/>
      <c r="DWD226" s="1201"/>
      <c r="DWE226" s="1201"/>
      <c r="DWF226" s="1201"/>
      <c r="DWG226" s="1201"/>
      <c r="DWH226" s="1201"/>
      <c r="DWI226" s="1201"/>
      <c r="DWJ226" s="1201"/>
      <c r="DWK226" s="1201"/>
      <c r="DWL226" s="1201"/>
      <c r="DWM226" s="1201"/>
      <c r="DWN226" s="1201"/>
      <c r="DWO226" s="1201"/>
      <c r="DWP226" s="1201"/>
      <c r="DWQ226" s="1201"/>
      <c r="DWR226" s="1201"/>
      <c r="DWS226" s="1201"/>
      <c r="DWT226" s="1201"/>
      <c r="DWU226" s="1201"/>
      <c r="DWV226" s="1201"/>
      <c r="DWW226" s="1201"/>
      <c r="DWX226" s="1201"/>
      <c r="DWY226" s="1201"/>
      <c r="DWZ226" s="1201"/>
      <c r="DXA226" s="1201"/>
      <c r="DXB226" s="1201"/>
      <c r="DXC226" s="1201"/>
      <c r="DXD226" s="1201"/>
      <c r="DXE226" s="1201"/>
      <c r="DXF226" s="1201"/>
      <c r="DXG226" s="1201"/>
      <c r="DXH226" s="1201"/>
      <c r="DXI226" s="1201"/>
      <c r="DXJ226" s="1201"/>
      <c r="DXK226" s="1201"/>
      <c r="DXL226" s="1201"/>
      <c r="DXM226" s="1201"/>
      <c r="DXN226" s="1201"/>
      <c r="DXO226" s="1201"/>
      <c r="DXP226" s="1201"/>
      <c r="DXQ226" s="1201"/>
      <c r="DXR226" s="1201"/>
      <c r="DXS226" s="1201"/>
      <c r="DXT226" s="1201"/>
      <c r="DXU226" s="1201"/>
      <c r="DXV226" s="1201"/>
      <c r="DXW226" s="1201"/>
      <c r="DXX226" s="1201"/>
      <c r="DXY226" s="1201"/>
      <c r="DXZ226" s="1201"/>
      <c r="DYA226" s="1201"/>
      <c r="DYB226" s="1201"/>
      <c r="DYC226" s="1201"/>
      <c r="DYD226" s="1201"/>
      <c r="DYE226" s="1201"/>
      <c r="DYF226" s="1201"/>
      <c r="DYG226" s="1201"/>
      <c r="DYH226" s="1201"/>
      <c r="DYI226" s="1201"/>
      <c r="DYJ226" s="1201"/>
      <c r="DYK226" s="1201"/>
      <c r="DYL226" s="1201"/>
      <c r="DYM226" s="1201"/>
      <c r="DYN226" s="1201"/>
      <c r="DYO226" s="1201"/>
      <c r="DYP226" s="1201"/>
      <c r="DYQ226" s="1201"/>
      <c r="DYR226" s="1201"/>
      <c r="DYS226" s="1201"/>
      <c r="DYT226" s="1201"/>
      <c r="DYU226" s="1201"/>
      <c r="DYV226" s="1201"/>
      <c r="DYW226" s="1201"/>
      <c r="DYX226" s="1201"/>
      <c r="DYY226" s="1201"/>
      <c r="DYZ226" s="1201"/>
      <c r="DZA226" s="1201"/>
      <c r="DZB226" s="1201"/>
      <c r="DZC226" s="1201"/>
      <c r="DZD226" s="1201"/>
      <c r="DZE226" s="1201"/>
      <c r="DZF226" s="1201"/>
      <c r="DZG226" s="1201"/>
      <c r="DZH226" s="1201"/>
      <c r="DZI226" s="1201"/>
      <c r="DZJ226" s="1201"/>
      <c r="DZK226" s="1201"/>
      <c r="DZL226" s="1201"/>
      <c r="DZM226" s="1201"/>
      <c r="DZN226" s="1201"/>
      <c r="DZO226" s="1201"/>
      <c r="DZP226" s="1201"/>
      <c r="DZQ226" s="1201"/>
      <c r="DZR226" s="1201"/>
      <c r="DZS226" s="1201"/>
      <c r="DZT226" s="1201"/>
      <c r="DZU226" s="1201"/>
      <c r="DZV226" s="1201"/>
      <c r="DZW226" s="1201"/>
      <c r="DZX226" s="1201"/>
      <c r="DZY226" s="1201"/>
      <c r="DZZ226" s="1201"/>
      <c r="EAA226" s="1201"/>
      <c r="EAB226" s="1201"/>
      <c r="EAC226" s="1201"/>
      <c r="EAD226" s="1201"/>
      <c r="EAE226" s="1201"/>
      <c r="EAF226" s="1201"/>
      <c r="EAG226" s="1201"/>
      <c r="EAH226" s="1201"/>
      <c r="EAI226" s="1201"/>
      <c r="EAJ226" s="1201"/>
      <c r="EAK226" s="1201"/>
      <c r="EAL226" s="1201"/>
      <c r="EAM226" s="1201"/>
      <c r="EAN226" s="1201"/>
      <c r="EAO226" s="1201"/>
      <c r="EAP226" s="1201"/>
      <c r="EAQ226" s="1201"/>
      <c r="EAR226" s="1201"/>
      <c r="EAS226" s="1201"/>
      <c r="EAT226" s="1201"/>
      <c r="EAU226" s="1201"/>
      <c r="EAV226" s="1201"/>
      <c r="EAW226" s="1201"/>
      <c r="EAX226" s="1201"/>
      <c r="EAY226" s="1201"/>
      <c r="EAZ226" s="1201"/>
      <c r="EBA226" s="1201"/>
      <c r="EBB226" s="1201"/>
      <c r="EBC226" s="1201"/>
      <c r="EBD226" s="1201"/>
      <c r="EBE226" s="1201"/>
      <c r="EBF226" s="1201"/>
      <c r="EBG226" s="1201"/>
      <c r="EBH226" s="1201"/>
      <c r="EBI226" s="1201"/>
      <c r="EBJ226" s="1201"/>
      <c r="EBK226" s="1201"/>
      <c r="EBL226" s="1201"/>
      <c r="EBM226" s="1201"/>
      <c r="EBN226" s="1201"/>
      <c r="EBO226" s="1201"/>
      <c r="EBP226" s="1201"/>
      <c r="EBQ226" s="1201"/>
      <c r="EBR226" s="1201"/>
      <c r="EBS226" s="1201"/>
      <c r="EBT226" s="1201"/>
      <c r="EBU226" s="1201"/>
      <c r="EBV226" s="1201"/>
      <c r="EBW226" s="1201"/>
      <c r="EBX226" s="1201"/>
      <c r="EBY226" s="1201"/>
      <c r="EBZ226" s="1201"/>
      <c r="ECA226" s="1201"/>
      <c r="ECB226" s="1201"/>
      <c r="ECC226" s="1201"/>
      <c r="ECD226" s="1201"/>
      <c r="ECE226" s="1201"/>
      <c r="ECF226" s="1201"/>
      <c r="ECG226" s="1201"/>
      <c r="ECH226" s="1201"/>
      <c r="ECI226" s="1201"/>
      <c r="ECJ226" s="1201"/>
      <c r="ECK226" s="1201"/>
      <c r="ECL226" s="1201"/>
      <c r="ECM226" s="1201"/>
      <c r="ECN226" s="1201"/>
      <c r="ECO226" s="1201"/>
      <c r="ECP226" s="1201"/>
      <c r="ECQ226" s="1201"/>
      <c r="ECR226" s="1201"/>
      <c r="ECS226" s="1201"/>
      <c r="ECT226" s="1201"/>
      <c r="ECU226" s="1201"/>
      <c r="ECV226" s="1201"/>
      <c r="ECW226" s="1201"/>
      <c r="ECX226" s="1201"/>
      <c r="ECY226" s="1201"/>
      <c r="ECZ226" s="1201"/>
      <c r="EDA226" s="1201"/>
      <c r="EDB226" s="1201"/>
      <c r="EDC226" s="1201"/>
      <c r="EDD226" s="1201"/>
      <c r="EDE226" s="1201"/>
      <c r="EDF226" s="1201"/>
      <c r="EDG226" s="1201"/>
      <c r="EDH226" s="1201"/>
      <c r="EDI226" s="1201"/>
      <c r="EDJ226" s="1201"/>
      <c r="EDK226" s="1201"/>
      <c r="EDL226" s="1201"/>
      <c r="EDM226" s="1201"/>
      <c r="EDN226" s="1201"/>
      <c r="EDO226" s="1201"/>
      <c r="EDP226" s="1201"/>
      <c r="EDQ226" s="1201"/>
      <c r="EDR226" s="1201"/>
      <c r="EDS226" s="1201"/>
      <c r="EDT226" s="1201"/>
      <c r="EDU226" s="1201"/>
      <c r="EDV226" s="1201"/>
      <c r="EDW226" s="1201"/>
      <c r="EDX226" s="1201"/>
      <c r="EDY226" s="1201"/>
      <c r="EDZ226" s="1201"/>
      <c r="EEA226" s="1201"/>
      <c r="EEB226" s="1201"/>
      <c r="EEC226" s="1201"/>
      <c r="EED226" s="1201"/>
      <c r="EEE226" s="1201"/>
      <c r="EEF226" s="1201"/>
      <c r="EEG226" s="1201"/>
      <c r="EEH226" s="1201"/>
      <c r="EEI226" s="1201"/>
      <c r="EEJ226" s="1201"/>
      <c r="EEK226" s="1201"/>
      <c r="EEL226" s="1201"/>
      <c r="EEM226" s="1201"/>
      <c r="EEN226" s="1201"/>
      <c r="EEO226" s="1201"/>
      <c r="EEP226" s="1201"/>
      <c r="EEQ226" s="1201"/>
      <c r="EER226" s="1201"/>
      <c r="EES226" s="1201"/>
      <c r="EET226" s="1201"/>
      <c r="EEU226" s="1201"/>
      <c r="EEV226" s="1201"/>
      <c r="EEW226" s="1201"/>
      <c r="EEX226" s="1201"/>
      <c r="EEY226" s="1201"/>
      <c r="EEZ226" s="1201"/>
      <c r="EFA226" s="1201"/>
      <c r="EFB226" s="1201"/>
      <c r="EFC226" s="1201"/>
      <c r="EFD226" s="1201"/>
      <c r="EFE226" s="1201"/>
      <c r="EFF226" s="1201"/>
      <c r="EFG226" s="1201"/>
      <c r="EFH226" s="1201"/>
      <c r="EFI226" s="1201"/>
      <c r="EFJ226" s="1201"/>
      <c r="EFK226" s="1201"/>
      <c r="EFL226" s="1201"/>
      <c r="EFM226" s="1201"/>
      <c r="EFN226" s="1201"/>
      <c r="EFO226" s="1201"/>
      <c r="EFP226" s="1201"/>
      <c r="EFQ226" s="1201"/>
      <c r="EFR226" s="1201"/>
      <c r="EFS226" s="1201"/>
      <c r="EFT226" s="1201"/>
      <c r="EFU226" s="1201"/>
      <c r="EFV226" s="1201"/>
      <c r="EFW226" s="1201"/>
      <c r="EFX226" s="1201"/>
      <c r="EFY226" s="1201"/>
      <c r="EFZ226" s="1201"/>
      <c r="EGA226" s="1201"/>
      <c r="EGB226" s="1201"/>
      <c r="EGC226" s="1201"/>
      <c r="EGD226" s="1201"/>
      <c r="EGE226" s="1201"/>
      <c r="EGF226" s="1201"/>
      <c r="EGG226" s="1201"/>
      <c r="EGH226" s="1201"/>
      <c r="EGI226" s="1201"/>
      <c r="EGJ226" s="1201"/>
      <c r="EGK226" s="1201"/>
      <c r="EGL226" s="1201"/>
      <c r="EGM226" s="1201"/>
      <c r="EGN226" s="1201"/>
      <c r="EGO226" s="1201"/>
      <c r="EGP226" s="1201"/>
      <c r="EGQ226" s="1201"/>
      <c r="EGR226" s="1201"/>
      <c r="EGS226" s="1201"/>
      <c r="EGT226" s="1201"/>
      <c r="EGU226" s="1201"/>
      <c r="EGV226" s="1201"/>
      <c r="EGW226" s="1201"/>
      <c r="EGX226" s="1201"/>
      <c r="EGY226" s="1201"/>
      <c r="EGZ226" s="1201"/>
      <c r="EHA226" s="1201"/>
      <c r="EHB226" s="1201"/>
      <c r="EHC226" s="1201"/>
      <c r="EHD226" s="1201"/>
      <c r="EHE226" s="1201"/>
      <c r="EHF226" s="1201"/>
      <c r="EHG226" s="1201"/>
      <c r="EHH226" s="1201"/>
      <c r="EHI226" s="1201"/>
      <c r="EHJ226" s="1201"/>
      <c r="EHK226" s="1201"/>
      <c r="EHL226" s="1201"/>
      <c r="EHM226" s="1201"/>
      <c r="EHN226" s="1201"/>
      <c r="EHO226" s="1201"/>
      <c r="EHP226" s="1201"/>
      <c r="EHQ226" s="1201"/>
      <c r="EHR226" s="1201"/>
      <c r="EHS226" s="1201"/>
      <c r="EHT226" s="1201"/>
      <c r="EHU226" s="1201"/>
      <c r="EHV226" s="1201"/>
      <c r="EHW226" s="1201"/>
      <c r="EHX226" s="1201"/>
      <c r="EHY226" s="1201"/>
      <c r="EHZ226" s="1201"/>
      <c r="EIA226" s="1201"/>
      <c r="EIB226" s="1201"/>
      <c r="EIC226" s="1201"/>
      <c r="EID226" s="1201"/>
      <c r="EIE226" s="1201"/>
      <c r="EIF226" s="1201"/>
      <c r="EIG226" s="1201"/>
      <c r="EIH226" s="1201"/>
      <c r="EII226" s="1201"/>
      <c r="EIJ226" s="1201"/>
      <c r="EIK226" s="1201"/>
      <c r="EIL226" s="1201"/>
      <c r="EIM226" s="1201"/>
      <c r="EIN226" s="1201"/>
      <c r="EIO226" s="1201"/>
      <c r="EIP226" s="1201"/>
      <c r="EIQ226" s="1201"/>
      <c r="EIR226" s="1201"/>
      <c r="EIS226" s="1201"/>
      <c r="EIT226" s="1201"/>
      <c r="EIU226" s="1201"/>
      <c r="EIV226" s="1201"/>
      <c r="EIW226" s="1201"/>
      <c r="EIX226" s="1201"/>
      <c r="EIY226" s="1201"/>
      <c r="EIZ226" s="1201"/>
      <c r="EJA226" s="1201"/>
      <c r="EJB226" s="1201"/>
      <c r="EJC226" s="1201"/>
      <c r="EJD226" s="1201"/>
      <c r="EJE226" s="1201"/>
      <c r="EJF226" s="1201"/>
      <c r="EJG226" s="1201"/>
      <c r="EJH226" s="1201"/>
      <c r="EJI226" s="1201"/>
      <c r="EJJ226" s="1201"/>
      <c r="EJK226" s="1201"/>
      <c r="EJL226" s="1201"/>
      <c r="EJM226" s="1201"/>
      <c r="EJN226" s="1201"/>
      <c r="EJO226" s="1201"/>
      <c r="EJP226" s="1201"/>
      <c r="EJQ226" s="1201"/>
      <c r="EJR226" s="1201"/>
      <c r="EJS226" s="1201"/>
      <c r="EJT226" s="1201"/>
      <c r="EJU226" s="1201"/>
      <c r="EJV226" s="1201"/>
      <c r="EJW226" s="1201"/>
      <c r="EJX226" s="1201"/>
      <c r="EJY226" s="1201"/>
      <c r="EJZ226" s="1201"/>
      <c r="EKA226" s="1201"/>
      <c r="EKB226" s="1201"/>
      <c r="EKC226" s="1201"/>
      <c r="EKD226" s="1201"/>
      <c r="EKE226" s="1201"/>
      <c r="EKF226" s="1201"/>
      <c r="EKG226" s="1201"/>
      <c r="EKH226" s="1201"/>
      <c r="EKI226" s="1201"/>
      <c r="EKJ226" s="1201"/>
      <c r="EKK226" s="1201"/>
      <c r="EKL226" s="1201"/>
      <c r="EKM226" s="1201"/>
      <c r="EKN226" s="1201"/>
      <c r="EKO226" s="1201"/>
      <c r="EKP226" s="1201"/>
      <c r="EKQ226" s="1201"/>
      <c r="EKR226" s="1201"/>
      <c r="EKS226" s="1201"/>
      <c r="EKT226" s="1201"/>
      <c r="EKU226" s="1201"/>
      <c r="EKV226" s="1201"/>
      <c r="EKW226" s="1201"/>
      <c r="EKX226" s="1201"/>
      <c r="EKY226" s="1201"/>
      <c r="EKZ226" s="1201"/>
      <c r="ELA226" s="1201"/>
      <c r="ELB226" s="1201"/>
      <c r="ELC226" s="1201"/>
      <c r="ELD226" s="1201"/>
      <c r="ELE226" s="1201"/>
      <c r="ELF226" s="1201"/>
      <c r="ELG226" s="1201"/>
      <c r="ELH226" s="1201"/>
      <c r="ELI226" s="1201"/>
      <c r="ELJ226" s="1201"/>
      <c r="ELK226" s="1201"/>
      <c r="ELL226" s="1201"/>
      <c r="ELM226" s="1201"/>
      <c r="ELN226" s="1201"/>
      <c r="ELO226" s="1201"/>
      <c r="ELP226" s="1201"/>
      <c r="ELQ226" s="1201"/>
      <c r="ELR226" s="1201"/>
      <c r="ELS226" s="1201"/>
      <c r="ELT226" s="1201"/>
      <c r="ELU226" s="1201"/>
      <c r="ELV226" s="1201"/>
      <c r="ELW226" s="1201"/>
      <c r="ELX226" s="1201"/>
      <c r="ELY226" s="1201"/>
      <c r="ELZ226" s="1201"/>
      <c r="EMA226" s="1201"/>
      <c r="EMB226" s="1201"/>
      <c r="EMC226" s="1201"/>
      <c r="EMD226" s="1201"/>
      <c r="EME226" s="1201"/>
      <c r="EMF226" s="1201"/>
      <c r="EMG226" s="1201"/>
      <c r="EMH226" s="1201"/>
      <c r="EMI226" s="1201"/>
      <c r="EMJ226" s="1201"/>
      <c r="EMK226" s="1201"/>
      <c r="EML226" s="1201"/>
      <c r="EMM226" s="1201"/>
      <c r="EMN226" s="1201"/>
      <c r="EMO226" s="1201"/>
      <c r="EMP226" s="1201"/>
      <c r="EMQ226" s="1201"/>
      <c r="EMR226" s="1201"/>
      <c r="EMS226" s="1201"/>
      <c r="EMT226" s="1201"/>
      <c r="EMU226" s="1201"/>
      <c r="EMV226" s="1201"/>
      <c r="EMW226" s="1201"/>
      <c r="EMX226" s="1201"/>
      <c r="EMY226" s="1201"/>
      <c r="EMZ226" s="1201"/>
      <c r="ENA226" s="1201"/>
      <c r="ENB226" s="1201"/>
      <c r="ENC226" s="1201"/>
      <c r="END226" s="1201"/>
      <c r="ENE226" s="1201"/>
      <c r="ENF226" s="1201"/>
      <c r="ENG226" s="1201"/>
      <c r="ENH226" s="1201"/>
      <c r="ENI226" s="1201"/>
      <c r="ENJ226" s="1201"/>
      <c r="ENK226" s="1201"/>
      <c r="ENL226" s="1201"/>
      <c r="ENM226" s="1201"/>
      <c r="ENN226" s="1201"/>
      <c r="ENO226" s="1201"/>
      <c r="ENP226" s="1201"/>
      <c r="ENQ226" s="1201"/>
      <c r="ENR226" s="1201"/>
      <c r="ENS226" s="1201"/>
      <c r="ENT226" s="1201"/>
      <c r="ENU226" s="1201"/>
      <c r="ENV226" s="1201"/>
      <c r="ENW226" s="1201"/>
      <c r="ENX226" s="1201"/>
      <c r="ENY226" s="1201"/>
      <c r="ENZ226" s="1201"/>
      <c r="EOA226" s="1201"/>
      <c r="EOB226" s="1201"/>
      <c r="EOC226" s="1201"/>
      <c r="EOD226" s="1201"/>
      <c r="EOE226" s="1201"/>
      <c r="EOF226" s="1201"/>
      <c r="EOG226" s="1201"/>
      <c r="EOH226" s="1201"/>
      <c r="EOI226" s="1201"/>
      <c r="EOJ226" s="1201"/>
      <c r="EOK226" s="1201"/>
      <c r="EOL226" s="1201"/>
      <c r="EOM226" s="1201"/>
      <c r="EON226" s="1201"/>
      <c r="EOO226" s="1201"/>
      <c r="EOP226" s="1201"/>
      <c r="EOQ226" s="1201"/>
      <c r="EOR226" s="1201"/>
      <c r="EOS226" s="1201"/>
      <c r="EOT226" s="1201"/>
      <c r="EOU226" s="1201"/>
      <c r="EOV226" s="1201"/>
      <c r="EOW226" s="1201"/>
      <c r="EOX226" s="1201"/>
      <c r="EOY226" s="1201"/>
      <c r="EOZ226" s="1201"/>
      <c r="EPA226" s="1201"/>
      <c r="EPB226" s="1201"/>
      <c r="EPC226" s="1201"/>
      <c r="EPD226" s="1201"/>
      <c r="EPE226" s="1201"/>
      <c r="EPF226" s="1201"/>
      <c r="EPG226" s="1201"/>
      <c r="EPH226" s="1201"/>
      <c r="EPI226" s="1201"/>
      <c r="EPJ226" s="1201"/>
      <c r="EPK226" s="1201"/>
      <c r="EPL226" s="1201"/>
      <c r="EPM226" s="1201"/>
      <c r="EPN226" s="1201"/>
      <c r="EPO226" s="1201"/>
      <c r="EPP226" s="1201"/>
      <c r="EPQ226" s="1201"/>
      <c r="EPR226" s="1201"/>
      <c r="EPS226" s="1201"/>
      <c r="EPT226" s="1201"/>
      <c r="EPU226" s="1201"/>
      <c r="EPV226" s="1201"/>
      <c r="EPW226" s="1201"/>
      <c r="EPX226" s="1201"/>
      <c r="EPY226" s="1201"/>
      <c r="EPZ226" s="1201"/>
      <c r="EQA226" s="1201"/>
      <c r="EQB226" s="1201"/>
      <c r="EQC226" s="1201"/>
      <c r="EQD226" s="1201"/>
      <c r="EQE226" s="1201"/>
      <c r="EQF226" s="1201"/>
      <c r="EQG226" s="1201"/>
      <c r="EQH226" s="1201"/>
      <c r="EQI226" s="1201"/>
      <c r="EQJ226" s="1201"/>
      <c r="EQK226" s="1201"/>
      <c r="EQL226" s="1201"/>
      <c r="EQM226" s="1201"/>
      <c r="EQN226" s="1201"/>
      <c r="EQO226" s="1201"/>
      <c r="EQP226" s="1201"/>
      <c r="EQQ226" s="1201"/>
      <c r="EQR226" s="1201"/>
      <c r="EQS226" s="1201"/>
      <c r="EQT226" s="1201"/>
      <c r="EQU226" s="1201"/>
      <c r="EQV226" s="1201"/>
      <c r="EQW226" s="1201"/>
      <c r="EQX226" s="1201"/>
      <c r="EQY226" s="1201"/>
      <c r="EQZ226" s="1201"/>
      <c r="ERA226" s="1201"/>
      <c r="ERB226" s="1201"/>
      <c r="ERC226" s="1201"/>
      <c r="ERD226" s="1201"/>
      <c r="ERE226" s="1201"/>
      <c r="ERF226" s="1201"/>
      <c r="ERG226" s="1201"/>
      <c r="ERH226" s="1201"/>
      <c r="ERI226" s="1201"/>
      <c r="ERJ226" s="1201"/>
      <c r="ERK226" s="1201"/>
      <c r="ERL226" s="1201"/>
      <c r="ERM226" s="1201"/>
      <c r="ERN226" s="1201"/>
      <c r="ERO226" s="1201"/>
      <c r="ERP226" s="1201"/>
      <c r="ERQ226" s="1201"/>
      <c r="ERR226" s="1201"/>
      <c r="ERS226" s="1201"/>
      <c r="ERT226" s="1201"/>
      <c r="ERU226" s="1201"/>
      <c r="ERV226" s="1201"/>
      <c r="ERW226" s="1201"/>
      <c r="ERX226" s="1201"/>
      <c r="ERY226" s="1201"/>
      <c r="ERZ226" s="1201"/>
      <c r="ESA226" s="1201"/>
      <c r="ESB226" s="1201"/>
      <c r="ESC226" s="1201"/>
      <c r="ESD226" s="1201"/>
      <c r="ESE226" s="1201"/>
      <c r="ESF226" s="1201"/>
      <c r="ESG226" s="1201"/>
      <c r="ESH226" s="1201"/>
      <c r="ESI226" s="1201"/>
      <c r="ESJ226" s="1201"/>
      <c r="ESK226" s="1201"/>
      <c r="ESL226" s="1201"/>
      <c r="ESM226" s="1201"/>
      <c r="ESN226" s="1201"/>
      <c r="ESO226" s="1201"/>
      <c r="ESP226" s="1201"/>
      <c r="ESQ226" s="1201"/>
      <c r="ESR226" s="1201"/>
      <c r="ESS226" s="1201"/>
      <c r="EST226" s="1201"/>
      <c r="ESU226" s="1201"/>
      <c r="ESV226" s="1201"/>
      <c r="ESW226" s="1201"/>
      <c r="ESX226" s="1201"/>
      <c r="ESY226" s="1201"/>
      <c r="ESZ226" s="1201"/>
      <c r="ETA226" s="1201"/>
      <c r="ETB226" s="1201"/>
      <c r="ETC226" s="1201"/>
      <c r="ETD226" s="1201"/>
      <c r="ETE226" s="1201"/>
      <c r="ETF226" s="1201"/>
      <c r="ETG226" s="1201"/>
      <c r="ETH226" s="1201"/>
      <c r="ETI226" s="1201"/>
      <c r="ETJ226" s="1201"/>
      <c r="ETK226" s="1201"/>
      <c r="ETL226" s="1201"/>
      <c r="ETM226" s="1201"/>
      <c r="ETN226" s="1201"/>
      <c r="ETO226" s="1201"/>
      <c r="ETP226" s="1201"/>
      <c r="ETQ226" s="1201"/>
      <c r="ETR226" s="1201"/>
      <c r="ETS226" s="1201"/>
      <c r="ETT226" s="1201"/>
      <c r="ETU226" s="1201"/>
      <c r="ETV226" s="1201"/>
      <c r="ETW226" s="1201"/>
      <c r="ETX226" s="1201"/>
      <c r="ETY226" s="1201"/>
      <c r="ETZ226" s="1201"/>
      <c r="EUA226" s="1201"/>
      <c r="EUB226" s="1201"/>
      <c r="EUC226" s="1201"/>
      <c r="EUD226" s="1201"/>
      <c r="EUE226" s="1201"/>
      <c r="EUF226" s="1201"/>
      <c r="EUG226" s="1201"/>
      <c r="EUH226" s="1201"/>
      <c r="EUI226" s="1201"/>
      <c r="EUJ226" s="1201"/>
      <c r="EUK226" s="1201"/>
      <c r="EUL226" s="1201"/>
      <c r="EUM226" s="1201"/>
      <c r="EUN226" s="1201"/>
      <c r="EUO226" s="1201"/>
      <c r="EUP226" s="1201"/>
      <c r="EUQ226" s="1201"/>
      <c r="EUR226" s="1201"/>
      <c r="EUS226" s="1201"/>
      <c r="EUT226" s="1201"/>
      <c r="EUU226" s="1201"/>
      <c r="EUV226" s="1201"/>
      <c r="EUW226" s="1201"/>
      <c r="EUX226" s="1201"/>
      <c r="EUY226" s="1201"/>
      <c r="EUZ226" s="1201"/>
      <c r="EVA226" s="1201"/>
      <c r="EVB226" s="1201"/>
      <c r="EVC226" s="1201"/>
      <c r="EVD226" s="1201"/>
      <c r="EVE226" s="1201"/>
      <c r="EVF226" s="1201"/>
      <c r="EVG226" s="1201"/>
      <c r="EVH226" s="1201"/>
      <c r="EVI226" s="1201"/>
      <c r="EVJ226" s="1201"/>
      <c r="EVK226" s="1201"/>
      <c r="EVL226" s="1201"/>
      <c r="EVM226" s="1201"/>
      <c r="EVN226" s="1201"/>
      <c r="EVO226" s="1201"/>
      <c r="EVP226" s="1201"/>
      <c r="EVQ226" s="1201"/>
      <c r="EVR226" s="1201"/>
      <c r="EVS226" s="1201"/>
      <c r="EVT226" s="1201"/>
      <c r="EVU226" s="1201"/>
      <c r="EVV226" s="1201"/>
      <c r="EVW226" s="1201"/>
      <c r="EVX226" s="1201"/>
      <c r="EVY226" s="1201"/>
      <c r="EVZ226" s="1201"/>
      <c r="EWA226" s="1201"/>
      <c r="EWB226" s="1201"/>
      <c r="EWC226" s="1201"/>
      <c r="EWD226" s="1201"/>
      <c r="EWE226" s="1201"/>
      <c r="EWF226" s="1201"/>
      <c r="EWG226" s="1201"/>
      <c r="EWH226" s="1201"/>
      <c r="EWI226" s="1201"/>
      <c r="EWJ226" s="1201"/>
      <c r="EWK226" s="1201"/>
      <c r="EWL226" s="1201"/>
      <c r="EWM226" s="1201"/>
      <c r="EWN226" s="1201"/>
      <c r="EWO226" s="1201"/>
      <c r="EWP226" s="1201"/>
      <c r="EWQ226" s="1201"/>
      <c r="EWR226" s="1201"/>
      <c r="EWS226" s="1201"/>
      <c r="EWT226" s="1201"/>
      <c r="EWU226" s="1201"/>
      <c r="EWV226" s="1201"/>
      <c r="EWW226" s="1201"/>
      <c r="EWX226" s="1201"/>
      <c r="EWY226" s="1201"/>
      <c r="EWZ226" s="1201"/>
      <c r="EXA226" s="1201"/>
      <c r="EXB226" s="1201"/>
      <c r="EXC226" s="1201"/>
      <c r="EXD226" s="1201"/>
      <c r="EXE226" s="1201"/>
      <c r="EXF226" s="1201"/>
      <c r="EXG226" s="1201"/>
      <c r="EXH226" s="1201"/>
      <c r="EXI226" s="1201"/>
      <c r="EXJ226" s="1201"/>
      <c r="EXK226" s="1201"/>
      <c r="EXL226" s="1201"/>
      <c r="EXM226" s="1201"/>
      <c r="EXN226" s="1201"/>
      <c r="EXO226" s="1201"/>
      <c r="EXP226" s="1201"/>
      <c r="EXQ226" s="1201"/>
      <c r="EXR226" s="1201"/>
      <c r="EXS226" s="1201"/>
      <c r="EXT226" s="1201"/>
      <c r="EXU226" s="1201"/>
      <c r="EXV226" s="1201"/>
      <c r="EXW226" s="1201"/>
      <c r="EXX226" s="1201"/>
      <c r="EXY226" s="1201"/>
      <c r="EXZ226" s="1201"/>
      <c r="EYA226" s="1201"/>
      <c r="EYB226" s="1201"/>
      <c r="EYC226" s="1201"/>
      <c r="EYD226" s="1201"/>
      <c r="EYE226" s="1201"/>
      <c r="EYF226" s="1201"/>
      <c r="EYG226" s="1201"/>
      <c r="EYH226" s="1201"/>
      <c r="EYI226" s="1201"/>
      <c r="EYJ226" s="1201"/>
      <c r="EYK226" s="1201"/>
      <c r="EYL226" s="1201"/>
      <c r="EYM226" s="1201"/>
      <c r="EYN226" s="1201"/>
      <c r="EYO226" s="1201"/>
      <c r="EYP226" s="1201"/>
      <c r="EYQ226" s="1201"/>
      <c r="EYR226" s="1201"/>
      <c r="EYS226" s="1201"/>
      <c r="EYT226" s="1201"/>
      <c r="EYU226" s="1201"/>
      <c r="EYV226" s="1201"/>
      <c r="EYW226" s="1201"/>
      <c r="EYX226" s="1201"/>
      <c r="EYY226" s="1201"/>
      <c r="EYZ226" s="1201"/>
      <c r="EZA226" s="1201"/>
      <c r="EZB226" s="1201"/>
      <c r="EZC226" s="1201"/>
      <c r="EZD226" s="1201"/>
      <c r="EZE226" s="1201"/>
      <c r="EZF226" s="1201"/>
      <c r="EZG226" s="1201"/>
      <c r="EZH226" s="1201"/>
      <c r="EZI226" s="1201"/>
      <c r="EZJ226" s="1201"/>
      <c r="EZK226" s="1201"/>
      <c r="EZL226" s="1201"/>
      <c r="EZM226" s="1201"/>
      <c r="EZN226" s="1201"/>
      <c r="EZO226" s="1201"/>
      <c r="EZP226" s="1201"/>
      <c r="EZQ226" s="1201"/>
      <c r="EZR226" s="1201"/>
      <c r="EZS226" s="1201"/>
      <c r="EZT226" s="1201"/>
      <c r="EZU226" s="1201"/>
      <c r="EZV226" s="1201"/>
      <c r="EZW226" s="1201"/>
      <c r="EZX226" s="1201"/>
      <c r="EZY226" s="1201"/>
      <c r="EZZ226" s="1201"/>
      <c r="FAA226" s="1201"/>
      <c r="FAB226" s="1201"/>
      <c r="FAC226" s="1201"/>
      <c r="FAD226" s="1201"/>
      <c r="FAE226" s="1201"/>
      <c r="FAF226" s="1201"/>
      <c r="FAG226" s="1201"/>
      <c r="FAH226" s="1201"/>
      <c r="FAI226" s="1201"/>
      <c r="FAJ226" s="1201"/>
      <c r="FAK226" s="1201"/>
      <c r="FAL226" s="1201"/>
      <c r="FAM226" s="1201"/>
      <c r="FAN226" s="1201"/>
      <c r="FAO226" s="1201"/>
      <c r="FAP226" s="1201"/>
      <c r="FAQ226" s="1201"/>
      <c r="FAR226" s="1201"/>
      <c r="FAS226" s="1201"/>
      <c r="FAT226" s="1201"/>
      <c r="FAU226" s="1201"/>
      <c r="FAV226" s="1201"/>
      <c r="FAW226" s="1201"/>
      <c r="FAX226" s="1201"/>
      <c r="FAY226" s="1201"/>
      <c r="FAZ226" s="1201"/>
      <c r="FBA226" s="1201"/>
      <c r="FBB226" s="1201"/>
      <c r="FBC226" s="1201"/>
      <c r="FBD226" s="1201"/>
      <c r="FBE226" s="1201"/>
      <c r="FBF226" s="1201"/>
      <c r="FBG226" s="1201"/>
      <c r="FBH226" s="1201"/>
      <c r="FBI226" s="1201"/>
      <c r="FBJ226" s="1201"/>
      <c r="FBK226" s="1201"/>
      <c r="FBL226" s="1201"/>
      <c r="FBM226" s="1201"/>
      <c r="FBN226" s="1201"/>
      <c r="FBO226" s="1201"/>
      <c r="FBP226" s="1201"/>
      <c r="FBQ226" s="1201"/>
      <c r="FBR226" s="1201"/>
      <c r="FBS226" s="1201"/>
      <c r="FBT226" s="1201"/>
      <c r="FBU226" s="1201"/>
      <c r="FBV226" s="1201"/>
      <c r="FBW226" s="1201"/>
      <c r="FBX226" s="1201"/>
      <c r="FBY226" s="1201"/>
      <c r="FBZ226" s="1201"/>
      <c r="FCA226" s="1201"/>
      <c r="FCB226" s="1201"/>
      <c r="FCC226" s="1201"/>
      <c r="FCD226" s="1201"/>
      <c r="FCE226" s="1201"/>
      <c r="FCF226" s="1201"/>
      <c r="FCG226" s="1201"/>
      <c r="FCH226" s="1201"/>
      <c r="FCI226" s="1201"/>
      <c r="FCJ226" s="1201"/>
      <c r="FCK226" s="1201"/>
      <c r="FCL226" s="1201"/>
      <c r="FCM226" s="1201"/>
      <c r="FCN226" s="1201"/>
      <c r="FCO226" s="1201"/>
      <c r="FCP226" s="1201"/>
      <c r="FCQ226" s="1201"/>
      <c r="FCR226" s="1201"/>
      <c r="FCS226" s="1201"/>
      <c r="FCT226" s="1201"/>
      <c r="FCU226" s="1201"/>
      <c r="FCV226" s="1201"/>
      <c r="FCW226" s="1201"/>
      <c r="FCX226" s="1201"/>
      <c r="FCY226" s="1201"/>
      <c r="FCZ226" s="1201"/>
      <c r="FDA226" s="1201"/>
      <c r="FDB226" s="1201"/>
      <c r="FDC226" s="1201"/>
      <c r="FDD226" s="1201"/>
      <c r="FDE226" s="1201"/>
      <c r="FDF226" s="1201"/>
      <c r="FDG226" s="1201"/>
      <c r="FDH226" s="1201"/>
      <c r="FDI226" s="1201"/>
      <c r="FDJ226" s="1201"/>
      <c r="FDK226" s="1201"/>
      <c r="FDL226" s="1201"/>
      <c r="FDM226" s="1201"/>
      <c r="FDN226" s="1201"/>
      <c r="FDO226" s="1201"/>
      <c r="FDP226" s="1201"/>
      <c r="FDQ226" s="1201"/>
      <c r="FDR226" s="1201"/>
      <c r="FDS226" s="1201"/>
      <c r="FDT226" s="1201"/>
      <c r="FDU226" s="1201"/>
      <c r="FDV226" s="1201"/>
      <c r="FDW226" s="1201"/>
      <c r="FDX226" s="1201"/>
      <c r="FDY226" s="1201"/>
      <c r="FDZ226" s="1201"/>
      <c r="FEA226" s="1201"/>
      <c r="FEB226" s="1201"/>
      <c r="FEC226" s="1201"/>
      <c r="FED226" s="1201"/>
      <c r="FEE226" s="1201"/>
      <c r="FEF226" s="1201"/>
      <c r="FEG226" s="1201"/>
      <c r="FEH226" s="1201"/>
      <c r="FEI226" s="1201"/>
      <c r="FEJ226" s="1201"/>
      <c r="FEK226" s="1201"/>
      <c r="FEL226" s="1201"/>
      <c r="FEM226" s="1201"/>
      <c r="FEN226" s="1201"/>
      <c r="FEO226" s="1201"/>
      <c r="FEP226" s="1201"/>
      <c r="FEQ226" s="1201"/>
      <c r="FER226" s="1201"/>
      <c r="FES226" s="1201"/>
      <c r="FET226" s="1201"/>
      <c r="FEU226" s="1201"/>
      <c r="FEV226" s="1201"/>
      <c r="FEW226" s="1201"/>
      <c r="FEX226" s="1201"/>
      <c r="FEY226" s="1201"/>
      <c r="FEZ226" s="1201"/>
      <c r="FFA226" s="1201"/>
      <c r="FFB226" s="1201"/>
      <c r="FFC226" s="1201"/>
      <c r="FFD226" s="1201"/>
      <c r="FFE226" s="1201"/>
      <c r="FFF226" s="1201"/>
      <c r="FFG226" s="1201"/>
      <c r="FFH226" s="1201"/>
      <c r="FFI226" s="1201"/>
      <c r="FFJ226" s="1201"/>
      <c r="FFK226" s="1201"/>
      <c r="FFL226" s="1201"/>
      <c r="FFM226" s="1201"/>
      <c r="FFN226" s="1201"/>
      <c r="FFO226" s="1201"/>
      <c r="FFP226" s="1201"/>
      <c r="FFQ226" s="1201"/>
      <c r="FFR226" s="1201"/>
      <c r="FFS226" s="1201"/>
      <c r="FFT226" s="1201"/>
      <c r="FFU226" s="1201"/>
      <c r="FFV226" s="1201"/>
      <c r="FFW226" s="1201"/>
      <c r="FFX226" s="1201"/>
      <c r="FFY226" s="1201"/>
      <c r="FFZ226" s="1201"/>
      <c r="FGA226" s="1201"/>
      <c r="FGB226" s="1201"/>
      <c r="FGC226" s="1201"/>
      <c r="FGD226" s="1201"/>
      <c r="FGE226" s="1201"/>
      <c r="FGF226" s="1201"/>
      <c r="FGG226" s="1201"/>
      <c r="FGH226" s="1201"/>
      <c r="FGI226" s="1201"/>
      <c r="FGJ226" s="1201"/>
      <c r="FGK226" s="1201"/>
      <c r="FGL226" s="1201"/>
      <c r="FGM226" s="1201"/>
      <c r="FGN226" s="1201"/>
      <c r="FGO226" s="1201"/>
      <c r="FGP226" s="1201"/>
      <c r="FGQ226" s="1201"/>
      <c r="FGR226" s="1201"/>
      <c r="FGS226" s="1201"/>
      <c r="FGT226" s="1201"/>
      <c r="FGU226" s="1201"/>
      <c r="FGV226" s="1201"/>
      <c r="FGW226" s="1201"/>
      <c r="FGX226" s="1201"/>
      <c r="FGY226" s="1201"/>
      <c r="FGZ226" s="1201"/>
      <c r="FHA226" s="1201"/>
      <c r="FHB226" s="1201"/>
      <c r="FHC226" s="1201"/>
      <c r="FHD226" s="1201"/>
      <c r="FHE226" s="1201"/>
      <c r="FHF226" s="1201"/>
      <c r="FHG226" s="1201"/>
      <c r="FHH226" s="1201"/>
      <c r="FHI226" s="1201"/>
      <c r="FHJ226" s="1201"/>
      <c r="FHK226" s="1201"/>
      <c r="FHL226" s="1201"/>
      <c r="FHM226" s="1201"/>
      <c r="FHN226" s="1201"/>
      <c r="FHO226" s="1201"/>
      <c r="FHP226" s="1201"/>
      <c r="FHQ226" s="1201"/>
      <c r="FHR226" s="1201"/>
      <c r="FHS226" s="1201"/>
      <c r="FHT226" s="1201"/>
      <c r="FHU226" s="1201"/>
      <c r="FHV226" s="1201"/>
      <c r="FHW226" s="1201"/>
      <c r="FHX226" s="1201"/>
      <c r="FHY226" s="1201"/>
      <c r="FHZ226" s="1201"/>
      <c r="FIA226" s="1201"/>
      <c r="FIB226" s="1201"/>
      <c r="FIC226" s="1201"/>
      <c r="FID226" s="1201"/>
      <c r="FIE226" s="1201"/>
      <c r="FIF226" s="1201"/>
      <c r="FIG226" s="1201"/>
      <c r="FIH226" s="1201"/>
      <c r="FII226" s="1201"/>
      <c r="FIJ226" s="1201"/>
      <c r="FIK226" s="1201"/>
      <c r="FIL226" s="1201"/>
      <c r="FIM226" s="1201"/>
      <c r="FIN226" s="1201"/>
      <c r="FIO226" s="1201"/>
      <c r="FIP226" s="1201"/>
      <c r="FIQ226" s="1201"/>
      <c r="FIR226" s="1201"/>
      <c r="FIS226" s="1201"/>
      <c r="FIT226" s="1201"/>
      <c r="FIU226" s="1201"/>
      <c r="FIV226" s="1201"/>
      <c r="FIW226" s="1201"/>
      <c r="FIX226" s="1201"/>
      <c r="FIY226" s="1201"/>
      <c r="FIZ226" s="1201"/>
      <c r="FJA226" s="1201"/>
      <c r="FJB226" s="1201"/>
      <c r="FJC226" s="1201"/>
      <c r="FJD226" s="1201"/>
      <c r="FJE226" s="1201"/>
      <c r="FJF226" s="1201"/>
      <c r="FJG226" s="1201"/>
      <c r="FJH226" s="1201"/>
      <c r="FJI226" s="1201"/>
      <c r="FJJ226" s="1201"/>
      <c r="FJK226" s="1201"/>
      <c r="FJL226" s="1201"/>
      <c r="FJM226" s="1201"/>
      <c r="FJN226" s="1201"/>
      <c r="FJO226" s="1201"/>
      <c r="FJP226" s="1201"/>
      <c r="FJQ226" s="1201"/>
      <c r="FJR226" s="1201"/>
      <c r="FJS226" s="1201"/>
      <c r="FJT226" s="1201"/>
      <c r="FJU226" s="1201"/>
      <c r="FJV226" s="1201"/>
      <c r="FJW226" s="1201"/>
      <c r="FJX226" s="1201"/>
      <c r="FJY226" s="1201"/>
      <c r="FJZ226" s="1201"/>
      <c r="FKA226" s="1201"/>
      <c r="FKB226" s="1201"/>
      <c r="FKC226" s="1201"/>
      <c r="FKD226" s="1201"/>
      <c r="FKE226" s="1201"/>
      <c r="FKF226" s="1201"/>
      <c r="FKG226" s="1201"/>
      <c r="FKH226" s="1201"/>
      <c r="FKI226" s="1201"/>
      <c r="FKJ226" s="1201"/>
      <c r="FKK226" s="1201"/>
      <c r="FKL226" s="1201"/>
      <c r="FKM226" s="1201"/>
      <c r="FKN226" s="1201"/>
      <c r="FKO226" s="1201"/>
      <c r="FKP226" s="1201"/>
      <c r="FKQ226" s="1201"/>
      <c r="FKR226" s="1201"/>
      <c r="FKS226" s="1201"/>
      <c r="FKT226" s="1201"/>
      <c r="FKU226" s="1201"/>
      <c r="FKV226" s="1201"/>
      <c r="FKW226" s="1201"/>
      <c r="FKX226" s="1201"/>
      <c r="FKY226" s="1201"/>
      <c r="FKZ226" s="1201"/>
      <c r="FLA226" s="1201"/>
      <c r="FLB226" s="1201"/>
      <c r="FLC226" s="1201"/>
      <c r="FLD226" s="1201"/>
      <c r="FLE226" s="1201"/>
      <c r="FLF226" s="1201"/>
      <c r="FLG226" s="1201"/>
      <c r="FLH226" s="1201"/>
      <c r="FLI226" s="1201"/>
      <c r="FLJ226" s="1201"/>
      <c r="FLK226" s="1201"/>
      <c r="FLL226" s="1201"/>
      <c r="FLM226" s="1201"/>
      <c r="FLN226" s="1201"/>
      <c r="FLO226" s="1201"/>
      <c r="FLP226" s="1201"/>
      <c r="FLQ226" s="1201"/>
      <c r="FLR226" s="1201"/>
      <c r="FLS226" s="1201"/>
      <c r="FLT226" s="1201"/>
      <c r="FLU226" s="1201"/>
      <c r="FLV226" s="1201"/>
      <c r="FLW226" s="1201"/>
      <c r="FLX226" s="1201"/>
      <c r="FLY226" s="1201"/>
      <c r="FLZ226" s="1201"/>
      <c r="FMA226" s="1201"/>
      <c r="FMB226" s="1201"/>
      <c r="FMC226" s="1201"/>
      <c r="FMD226" s="1201"/>
      <c r="FME226" s="1201"/>
      <c r="FMF226" s="1201"/>
      <c r="FMG226" s="1201"/>
      <c r="FMH226" s="1201"/>
      <c r="FMI226" s="1201"/>
      <c r="FMJ226" s="1201"/>
      <c r="FMK226" s="1201"/>
      <c r="FML226" s="1201"/>
      <c r="FMM226" s="1201"/>
      <c r="FMN226" s="1201"/>
      <c r="FMO226" s="1201"/>
      <c r="FMP226" s="1201"/>
      <c r="FMQ226" s="1201"/>
      <c r="FMR226" s="1201"/>
      <c r="FMS226" s="1201"/>
      <c r="FMT226" s="1201"/>
      <c r="FMU226" s="1201"/>
      <c r="FMV226" s="1201"/>
      <c r="FMW226" s="1201"/>
      <c r="FMX226" s="1201"/>
      <c r="FMY226" s="1201"/>
      <c r="FMZ226" s="1201"/>
      <c r="FNA226" s="1201"/>
      <c r="FNB226" s="1201"/>
      <c r="FNC226" s="1201"/>
      <c r="FND226" s="1201"/>
      <c r="FNE226" s="1201"/>
      <c r="FNF226" s="1201"/>
      <c r="FNG226" s="1201"/>
      <c r="FNH226" s="1201"/>
      <c r="FNI226" s="1201"/>
      <c r="FNJ226" s="1201"/>
      <c r="FNK226" s="1201"/>
      <c r="FNL226" s="1201"/>
      <c r="FNM226" s="1201"/>
      <c r="FNN226" s="1201"/>
      <c r="FNO226" s="1201"/>
      <c r="FNP226" s="1201"/>
      <c r="FNQ226" s="1201"/>
      <c r="FNR226" s="1201"/>
      <c r="FNS226" s="1201"/>
      <c r="FNT226" s="1201"/>
      <c r="FNU226" s="1201"/>
      <c r="FNV226" s="1201"/>
      <c r="FNW226" s="1201"/>
      <c r="FNX226" s="1201"/>
      <c r="FNY226" s="1201"/>
      <c r="FNZ226" s="1201"/>
      <c r="FOA226" s="1201"/>
      <c r="FOB226" s="1201"/>
      <c r="FOC226" s="1201"/>
      <c r="FOD226" s="1201"/>
      <c r="FOE226" s="1201"/>
      <c r="FOF226" s="1201"/>
      <c r="FOG226" s="1201"/>
      <c r="FOH226" s="1201"/>
      <c r="FOI226" s="1201"/>
      <c r="FOJ226" s="1201"/>
      <c r="FOK226" s="1201"/>
      <c r="FOL226" s="1201"/>
      <c r="FOM226" s="1201"/>
      <c r="FON226" s="1201"/>
      <c r="FOO226" s="1201"/>
      <c r="FOP226" s="1201"/>
      <c r="FOQ226" s="1201"/>
      <c r="FOR226" s="1201"/>
      <c r="FOS226" s="1201"/>
      <c r="FOT226" s="1201"/>
      <c r="FOU226" s="1201"/>
      <c r="FOV226" s="1201"/>
      <c r="FOW226" s="1201"/>
      <c r="FOX226" s="1201"/>
      <c r="FOY226" s="1201"/>
      <c r="FOZ226" s="1201"/>
      <c r="FPA226" s="1201"/>
      <c r="FPB226" s="1201"/>
      <c r="FPC226" s="1201"/>
      <c r="FPD226" s="1201"/>
      <c r="FPE226" s="1201"/>
      <c r="FPF226" s="1201"/>
      <c r="FPG226" s="1201"/>
      <c r="FPH226" s="1201"/>
      <c r="FPI226" s="1201"/>
      <c r="FPJ226" s="1201"/>
      <c r="FPK226" s="1201"/>
      <c r="FPL226" s="1201"/>
      <c r="FPM226" s="1201"/>
      <c r="FPN226" s="1201"/>
      <c r="FPO226" s="1201"/>
      <c r="FPP226" s="1201"/>
      <c r="FPQ226" s="1201"/>
      <c r="FPR226" s="1201"/>
      <c r="FPS226" s="1201"/>
      <c r="FPT226" s="1201"/>
      <c r="FPU226" s="1201"/>
      <c r="FPV226" s="1201"/>
      <c r="FPW226" s="1201"/>
      <c r="FPX226" s="1201"/>
      <c r="FPY226" s="1201"/>
      <c r="FPZ226" s="1201"/>
      <c r="FQA226" s="1201"/>
      <c r="FQB226" s="1201"/>
      <c r="FQC226" s="1201"/>
      <c r="FQD226" s="1201"/>
      <c r="FQE226" s="1201"/>
      <c r="FQF226" s="1201"/>
      <c r="FQG226" s="1201"/>
      <c r="FQH226" s="1201"/>
      <c r="FQI226" s="1201"/>
      <c r="FQJ226" s="1201"/>
      <c r="FQK226" s="1201"/>
      <c r="FQL226" s="1201"/>
      <c r="FQM226" s="1201"/>
      <c r="FQN226" s="1201"/>
      <c r="FQO226" s="1201"/>
      <c r="FQP226" s="1201"/>
      <c r="FQQ226" s="1201"/>
      <c r="FQR226" s="1201"/>
      <c r="FQS226" s="1201"/>
      <c r="FQT226" s="1201"/>
      <c r="FQU226" s="1201"/>
      <c r="FQV226" s="1201"/>
      <c r="FQW226" s="1201"/>
      <c r="FQX226" s="1201"/>
      <c r="FQY226" s="1201"/>
      <c r="FQZ226" s="1201"/>
      <c r="FRA226" s="1201"/>
      <c r="FRB226" s="1201"/>
      <c r="FRC226" s="1201"/>
      <c r="FRD226" s="1201"/>
      <c r="FRE226" s="1201"/>
      <c r="FRF226" s="1201"/>
      <c r="FRG226" s="1201"/>
      <c r="FRH226" s="1201"/>
      <c r="FRI226" s="1201"/>
      <c r="FRJ226" s="1201"/>
      <c r="FRK226" s="1201"/>
      <c r="FRL226" s="1201"/>
      <c r="FRM226" s="1201"/>
      <c r="FRN226" s="1201"/>
      <c r="FRO226" s="1201"/>
      <c r="FRP226" s="1201"/>
      <c r="FRQ226" s="1201"/>
      <c r="FRR226" s="1201"/>
      <c r="FRS226" s="1201"/>
      <c r="FRT226" s="1201"/>
      <c r="FRU226" s="1201"/>
      <c r="FRV226" s="1201"/>
      <c r="FRW226" s="1201"/>
      <c r="FRX226" s="1201"/>
      <c r="FRY226" s="1201"/>
      <c r="FRZ226" s="1201"/>
      <c r="FSA226" s="1201"/>
      <c r="FSB226" s="1201"/>
      <c r="FSC226" s="1201"/>
      <c r="FSD226" s="1201"/>
      <c r="FSE226" s="1201"/>
      <c r="FSF226" s="1201"/>
      <c r="FSG226" s="1201"/>
      <c r="FSH226" s="1201"/>
      <c r="FSI226" s="1201"/>
      <c r="FSJ226" s="1201"/>
      <c r="FSK226" s="1201"/>
      <c r="FSL226" s="1201"/>
      <c r="FSM226" s="1201"/>
      <c r="FSN226" s="1201"/>
      <c r="FSO226" s="1201"/>
      <c r="FSP226" s="1201"/>
      <c r="FSQ226" s="1201"/>
      <c r="FSR226" s="1201"/>
      <c r="FSS226" s="1201"/>
      <c r="FST226" s="1201"/>
      <c r="FSU226" s="1201"/>
      <c r="FSV226" s="1201"/>
      <c r="FSW226" s="1201"/>
      <c r="FSX226" s="1201"/>
      <c r="FSY226" s="1201"/>
      <c r="FSZ226" s="1201"/>
      <c r="FTA226" s="1201"/>
      <c r="FTB226" s="1201"/>
      <c r="FTC226" s="1201"/>
      <c r="FTD226" s="1201"/>
      <c r="FTE226" s="1201"/>
      <c r="FTF226" s="1201"/>
      <c r="FTG226" s="1201"/>
      <c r="FTH226" s="1201"/>
      <c r="FTI226" s="1201"/>
      <c r="FTJ226" s="1201"/>
      <c r="FTK226" s="1201"/>
      <c r="FTL226" s="1201"/>
      <c r="FTM226" s="1201"/>
      <c r="FTN226" s="1201"/>
      <c r="FTO226" s="1201"/>
      <c r="FTP226" s="1201"/>
      <c r="FTQ226" s="1201"/>
      <c r="FTR226" s="1201"/>
      <c r="FTS226" s="1201"/>
      <c r="FTT226" s="1201"/>
      <c r="FTU226" s="1201"/>
      <c r="FTV226" s="1201"/>
      <c r="FTW226" s="1201"/>
      <c r="FTX226" s="1201"/>
      <c r="FTY226" s="1201"/>
      <c r="FTZ226" s="1201"/>
      <c r="FUA226" s="1201"/>
      <c r="FUB226" s="1201"/>
      <c r="FUC226" s="1201"/>
      <c r="FUD226" s="1201"/>
      <c r="FUE226" s="1201"/>
      <c r="FUF226" s="1201"/>
      <c r="FUG226" s="1201"/>
      <c r="FUH226" s="1201"/>
      <c r="FUI226" s="1201"/>
      <c r="FUJ226" s="1201"/>
      <c r="FUK226" s="1201"/>
      <c r="FUL226" s="1201"/>
      <c r="FUM226" s="1201"/>
      <c r="FUN226" s="1201"/>
      <c r="FUO226" s="1201"/>
      <c r="FUP226" s="1201"/>
      <c r="FUQ226" s="1201"/>
      <c r="FUR226" s="1201"/>
      <c r="FUS226" s="1201"/>
      <c r="FUT226" s="1201"/>
      <c r="FUU226" s="1201"/>
      <c r="FUV226" s="1201"/>
      <c r="FUW226" s="1201"/>
      <c r="FUX226" s="1201"/>
      <c r="FUY226" s="1201"/>
      <c r="FUZ226" s="1201"/>
      <c r="FVA226" s="1201"/>
      <c r="FVB226" s="1201"/>
      <c r="FVC226" s="1201"/>
      <c r="FVD226" s="1201"/>
      <c r="FVE226" s="1201"/>
      <c r="FVF226" s="1201"/>
      <c r="FVG226" s="1201"/>
      <c r="FVH226" s="1201"/>
      <c r="FVI226" s="1201"/>
      <c r="FVJ226" s="1201"/>
      <c r="FVK226" s="1201"/>
      <c r="FVL226" s="1201"/>
      <c r="FVM226" s="1201"/>
      <c r="FVN226" s="1201"/>
      <c r="FVO226" s="1201"/>
      <c r="FVP226" s="1201"/>
      <c r="FVQ226" s="1201"/>
      <c r="FVR226" s="1201"/>
      <c r="FVS226" s="1201"/>
      <c r="FVT226" s="1201"/>
      <c r="FVU226" s="1201"/>
      <c r="FVV226" s="1201"/>
      <c r="FVW226" s="1201"/>
      <c r="FVX226" s="1201"/>
      <c r="FVY226" s="1201"/>
      <c r="FVZ226" s="1201"/>
      <c r="FWA226" s="1201"/>
      <c r="FWB226" s="1201"/>
      <c r="FWC226" s="1201"/>
      <c r="FWD226" s="1201"/>
      <c r="FWE226" s="1201"/>
      <c r="FWF226" s="1201"/>
      <c r="FWG226" s="1201"/>
      <c r="FWH226" s="1201"/>
      <c r="FWI226" s="1201"/>
      <c r="FWJ226" s="1201"/>
      <c r="FWK226" s="1201"/>
      <c r="FWL226" s="1201"/>
      <c r="FWM226" s="1201"/>
      <c r="FWN226" s="1201"/>
      <c r="FWO226" s="1201"/>
      <c r="FWP226" s="1201"/>
      <c r="FWQ226" s="1201"/>
      <c r="FWR226" s="1201"/>
      <c r="FWS226" s="1201"/>
      <c r="FWT226" s="1201"/>
      <c r="FWU226" s="1201"/>
      <c r="FWV226" s="1201"/>
      <c r="FWW226" s="1201"/>
      <c r="FWX226" s="1201"/>
      <c r="FWY226" s="1201"/>
      <c r="FWZ226" s="1201"/>
      <c r="FXA226" s="1201"/>
      <c r="FXB226" s="1201"/>
      <c r="FXC226" s="1201"/>
      <c r="FXD226" s="1201"/>
      <c r="FXE226" s="1201"/>
      <c r="FXF226" s="1201"/>
      <c r="FXG226" s="1201"/>
      <c r="FXH226" s="1201"/>
      <c r="FXI226" s="1201"/>
      <c r="FXJ226" s="1201"/>
      <c r="FXK226" s="1201"/>
      <c r="FXL226" s="1201"/>
      <c r="FXM226" s="1201"/>
      <c r="FXN226" s="1201"/>
      <c r="FXO226" s="1201"/>
      <c r="FXP226" s="1201"/>
      <c r="FXQ226" s="1201"/>
      <c r="FXR226" s="1201"/>
      <c r="FXS226" s="1201"/>
      <c r="FXT226" s="1201"/>
      <c r="FXU226" s="1201"/>
      <c r="FXV226" s="1201"/>
      <c r="FXW226" s="1201"/>
      <c r="FXX226" s="1201"/>
      <c r="FXY226" s="1201"/>
      <c r="FXZ226" s="1201"/>
      <c r="FYA226" s="1201"/>
      <c r="FYB226" s="1201"/>
      <c r="FYC226" s="1201"/>
      <c r="FYD226" s="1201"/>
      <c r="FYE226" s="1201"/>
      <c r="FYF226" s="1201"/>
      <c r="FYG226" s="1201"/>
      <c r="FYH226" s="1201"/>
      <c r="FYI226" s="1201"/>
      <c r="FYJ226" s="1201"/>
      <c r="FYK226" s="1201"/>
      <c r="FYL226" s="1201"/>
      <c r="FYM226" s="1201"/>
      <c r="FYN226" s="1201"/>
      <c r="FYO226" s="1201"/>
      <c r="FYP226" s="1201"/>
      <c r="FYQ226" s="1201"/>
      <c r="FYR226" s="1201"/>
      <c r="FYS226" s="1201"/>
      <c r="FYT226" s="1201"/>
      <c r="FYU226" s="1201"/>
      <c r="FYV226" s="1201"/>
      <c r="FYW226" s="1201"/>
      <c r="FYX226" s="1201"/>
      <c r="FYY226" s="1201"/>
      <c r="FYZ226" s="1201"/>
      <c r="FZA226" s="1201"/>
      <c r="FZB226" s="1201"/>
      <c r="FZC226" s="1201"/>
      <c r="FZD226" s="1201"/>
      <c r="FZE226" s="1201"/>
      <c r="FZF226" s="1201"/>
      <c r="FZG226" s="1201"/>
      <c r="FZH226" s="1201"/>
      <c r="FZI226" s="1201"/>
      <c r="FZJ226" s="1201"/>
      <c r="FZK226" s="1201"/>
      <c r="FZL226" s="1201"/>
      <c r="FZM226" s="1201"/>
      <c r="FZN226" s="1201"/>
      <c r="FZO226" s="1201"/>
      <c r="FZP226" s="1201"/>
      <c r="FZQ226" s="1201"/>
      <c r="FZR226" s="1201"/>
      <c r="FZS226" s="1201"/>
      <c r="FZT226" s="1201"/>
      <c r="FZU226" s="1201"/>
      <c r="FZV226" s="1201"/>
      <c r="FZW226" s="1201"/>
      <c r="FZX226" s="1201"/>
      <c r="FZY226" s="1201"/>
      <c r="FZZ226" s="1201"/>
      <c r="GAA226" s="1201"/>
      <c r="GAB226" s="1201"/>
      <c r="GAC226" s="1201"/>
      <c r="GAD226" s="1201"/>
      <c r="GAE226" s="1201"/>
      <c r="GAF226" s="1201"/>
      <c r="GAG226" s="1201"/>
      <c r="GAH226" s="1201"/>
      <c r="GAI226" s="1201"/>
      <c r="GAJ226" s="1201"/>
      <c r="GAK226" s="1201"/>
      <c r="GAL226" s="1201"/>
      <c r="GAM226" s="1201"/>
      <c r="GAN226" s="1201"/>
      <c r="GAO226" s="1201"/>
      <c r="GAP226" s="1201"/>
      <c r="GAQ226" s="1201"/>
      <c r="GAR226" s="1201"/>
      <c r="GAS226" s="1201"/>
      <c r="GAT226" s="1201"/>
      <c r="GAU226" s="1201"/>
      <c r="GAV226" s="1201"/>
      <c r="GAW226" s="1201"/>
      <c r="GAX226" s="1201"/>
      <c r="GAY226" s="1201"/>
      <c r="GAZ226" s="1201"/>
      <c r="GBA226" s="1201"/>
      <c r="GBB226" s="1201"/>
      <c r="GBC226" s="1201"/>
      <c r="GBD226" s="1201"/>
      <c r="GBE226" s="1201"/>
      <c r="GBF226" s="1201"/>
      <c r="GBG226" s="1201"/>
      <c r="GBH226" s="1201"/>
      <c r="GBI226" s="1201"/>
      <c r="GBJ226" s="1201"/>
      <c r="GBK226" s="1201"/>
      <c r="GBL226" s="1201"/>
      <c r="GBM226" s="1201"/>
      <c r="GBN226" s="1201"/>
      <c r="GBO226" s="1201"/>
      <c r="GBP226" s="1201"/>
      <c r="GBQ226" s="1201"/>
      <c r="GBR226" s="1201"/>
      <c r="GBS226" s="1201"/>
      <c r="GBT226" s="1201"/>
      <c r="GBU226" s="1201"/>
      <c r="GBV226" s="1201"/>
      <c r="GBW226" s="1201"/>
      <c r="GBX226" s="1201"/>
      <c r="GBY226" s="1201"/>
      <c r="GBZ226" s="1201"/>
      <c r="GCA226" s="1201"/>
      <c r="GCB226" s="1201"/>
      <c r="GCC226" s="1201"/>
      <c r="GCD226" s="1201"/>
      <c r="GCE226" s="1201"/>
      <c r="GCF226" s="1201"/>
      <c r="GCG226" s="1201"/>
      <c r="GCH226" s="1201"/>
      <c r="GCI226" s="1201"/>
      <c r="GCJ226" s="1201"/>
      <c r="GCK226" s="1201"/>
      <c r="GCL226" s="1201"/>
      <c r="GCM226" s="1201"/>
      <c r="GCN226" s="1201"/>
      <c r="GCO226" s="1201"/>
      <c r="GCP226" s="1201"/>
      <c r="GCQ226" s="1201"/>
      <c r="GCR226" s="1201"/>
      <c r="GCS226" s="1201"/>
      <c r="GCT226" s="1201"/>
      <c r="GCU226" s="1201"/>
      <c r="GCV226" s="1201"/>
      <c r="GCW226" s="1201"/>
      <c r="GCX226" s="1201"/>
      <c r="GCY226" s="1201"/>
      <c r="GCZ226" s="1201"/>
      <c r="GDA226" s="1201"/>
      <c r="GDB226" s="1201"/>
      <c r="GDC226" s="1201"/>
      <c r="GDD226" s="1201"/>
      <c r="GDE226" s="1201"/>
      <c r="GDF226" s="1201"/>
      <c r="GDG226" s="1201"/>
      <c r="GDH226" s="1201"/>
      <c r="GDI226" s="1201"/>
      <c r="GDJ226" s="1201"/>
      <c r="GDK226" s="1201"/>
      <c r="GDL226" s="1201"/>
      <c r="GDM226" s="1201"/>
      <c r="GDN226" s="1201"/>
      <c r="GDO226" s="1201"/>
      <c r="GDP226" s="1201"/>
      <c r="GDQ226" s="1201"/>
      <c r="GDR226" s="1201"/>
      <c r="GDS226" s="1201"/>
      <c r="GDT226" s="1201"/>
      <c r="GDU226" s="1201"/>
      <c r="GDV226" s="1201"/>
      <c r="GDW226" s="1201"/>
      <c r="GDX226" s="1201"/>
      <c r="GDY226" s="1201"/>
      <c r="GDZ226" s="1201"/>
      <c r="GEA226" s="1201"/>
      <c r="GEB226" s="1201"/>
      <c r="GEC226" s="1201"/>
      <c r="GED226" s="1201"/>
      <c r="GEE226" s="1201"/>
      <c r="GEF226" s="1201"/>
      <c r="GEG226" s="1201"/>
      <c r="GEH226" s="1201"/>
      <c r="GEI226" s="1201"/>
      <c r="GEJ226" s="1201"/>
      <c r="GEK226" s="1201"/>
      <c r="GEL226" s="1201"/>
      <c r="GEM226" s="1201"/>
      <c r="GEN226" s="1201"/>
      <c r="GEO226" s="1201"/>
      <c r="GEP226" s="1201"/>
      <c r="GEQ226" s="1201"/>
      <c r="GER226" s="1201"/>
      <c r="GES226" s="1201"/>
      <c r="GET226" s="1201"/>
      <c r="GEU226" s="1201"/>
      <c r="GEV226" s="1201"/>
      <c r="GEW226" s="1201"/>
      <c r="GEX226" s="1201"/>
      <c r="GEY226" s="1201"/>
      <c r="GEZ226" s="1201"/>
      <c r="GFA226" s="1201"/>
      <c r="GFB226" s="1201"/>
      <c r="GFC226" s="1201"/>
      <c r="GFD226" s="1201"/>
      <c r="GFE226" s="1201"/>
      <c r="GFF226" s="1201"/>
      <c r="GFG226" s="1201"/>
      <c r="GFH226" s="1201"/>
      <c r="GFI226" s="1201"/>
      <c r="GFJ226" s="1201"/>
      <c r="GFK226" s="1201"/>
      <c r="GFL226" s="1201"/>
      <c r="GFM226" s="1201"/>
      <c r="GFN226" s="1201"/>
      <c r="GFO226" s="1201"/>
      <c r="GFP226" s="1201"/>
      <c r="GFQ226" s="1201"/>
      <c r="GFR226" s="1201"/>
      <c r="GFS226" s="1201"/>
      <c r="GFT226" s="1201"/>
      <c r="GFU226" s="1201"/>
      <c r="GFV226" s="1201"/>
      <c r="GFW226" s="1201"/>
      <c r="GFX226" s="1201"/>
      <c r="GFY226" s="1201"/>
      <c r="GFZ226" s="1201"/>
      <c r="GGA226" s="1201"/>
      <c r="GGB226" s="1201"/>
      <c r="GGC226" s="1201"/>
      <c r="GGD226" s="1201"/>
      <c r="GGE226" s="1201"/>
      <c r="GGF226" s="1201"/>
      <c r="GGG226" s="1201"/>
      <c r="GGH226" s="1201"/>
      <c r="GGI226" s="1201"/>
      <c r="GGJ226" s="1201"/>
      <c r="GGK226" s="1201"/>
      <c r="GGL226" s="1201"/>
      <c r="GGM226" s="1201"/>
      <c r="GGN226" s="1201"/>
      <c r="GGO226" s="1201"/>
      <c r="GGP226" s="1201"/>
      <c r="GGQ226" s="1201"/>
      <c r="GGR226" s="1201"/>
      <c r="GGS226" s="1201"/>
      <c r="GGT226" s="1201"/>
      <c r="GGU226" s="1201"/>
      <c r="GGV226" s="1201"/>
      <c r="GGW226" s="1201"/>
      <c r="GGX226" s="1201"/>
      <c r="GGY226" s="1201"/>
      <c r="GGZ226" s="1201"/>
      <c r="GHA226" s="1201"/>
      <c r="GHB226" s="1201"/>
      <c r="GHC226" s="1201"/>
      <c r="GHD226" s="1201"/>
      <c r="GHE226" s="1201"/>
      <c r="GHF226" s="1201"/>
      <c r="GHG226" s="1201"/>
      <c r="GHH226" s="1201"/>
      <c r="GHI226" s="1201"/>
      <c r="GHJ226" s="1201"/>
      <c r="GHK226" s="1201"/>
      <c r="GHL226" s="1201"/>
      <c r="GHM226" s="1201"/>
      <c r="GHN226" s="1201"/>
      <c r="GHO226" s="1201"/>
      <c r="GHP226" s="1201"/>
      <c r="GHQ226" s="1201"/>
      <c r="GHR226" s="1201"/>
      <c r="GHS226" s="1201"/>
      <c r="GHT226" s="1201"/>
      <c r="GHU226" s="1201"/>
      <c r="GHV226" s="1201"/>
      <c r="GHW226" s="1201"/>
      <c r="GHX226" s="1201"/>
      <c r="GHY226" s="1201"/>
      <c r="GHZ226" s="1201"/>
      <c r="GIA226" s="1201"/>
      <c r="GIB226" s="1201"/>
      <c r="GIC226" s="1201"/>
      <c r="GID226" s="1201"/>
      <c r="GIE226" s="1201"/>
      <c r="GIF226" s="1201"/>
      <c r="GIG226" s="1201"/>
      <c r="GIH226" s="1201"/>
      <c r="GII226" s="1201"/>
      <c r="GIJ226" s="1201"/>
      <c r="GIK226" s="1201"/>
      <c r="GIL226" s="1201"/>
      <c r="GIM226" s="1201"/>
      <c r="GIN226" s="1201"/>
      <c r="GIO226" s="1201"/>
      <c r="GIP226" s="1201"/>
      <c r="GIQ226" s="1201"/>
      <c r="GIR226" s="1201"/>
      <c r="GIS226" s="1201"/>
      <c r="GIT226" s="1201"/>
      <c r="GIU226" s="1201"/>
      <c r="GIV226" s="1201"/>
      <c r="GIW226" s="1201"/>
      <c r="GIX226" s="1201"/>
      <c r="GIY226" s="1201"/>
      <c r="GIZ226" s="1201"/>
      <c r="GJA226" s="1201"/>
      <c r="GJB226" s="1201"/>
      <c r="GJC226" s="1201"/>
      <c r="GJD226" s="1201"/>
      <c r="GJE226" s="1201"/>
      <c r="GJF226" s="1201"/>
      <c r="GJG226" s="1201"/>
      <c r="GJH226" s="1201"/>
      <c r="GJI226" s="1201"/>
      <c r="GJJ226" s="1201"/>
      <c r="GJK226" s="1201"/>
      <c r="GJL226" s="1201"/>
      <c r="GJM226" s="1201"/>
      <c r="GJN226" s="1201"/>
      <c r="GJO226" s="1201"/>
      <c r="GJP226" s="1201"/>
      <c r="GJQ226" s="1201"/>
      <c r="GJR226" s="1201"/>
      <c r="GJS226" s="1201"/>
      <c r="GJT226" s="1201"/>
      <c r="GJU226" s="1201"/>
      <c r="GJV226" s="1201"/>
      <c r="GJW226" s="1201"/>
      <c r="GJX226" s="1201"/>
      <c r="GJY226" s="1201"/>
      <c r="GJZ226" s="1201"/>
      <c r="GKA226" s="1201"/>
      <c r="GKB226" s="1201"/>
      <c r="GKC226" s="1201"/>
      <c r="GKD226" s="1201"/>
      <c r="GKE226" s="1201"/>
      <c r="GKF226" s="1201"/>
      <c r="GKG226" s="1201"/>
      <c r="GKH226" s="1201"/>
      <c r="GKI226" s="1201"/>
      <c r="GKJ226" s="1201"/>
      <c r="GKK226" s="1201"/>
      <c r="GKL226" s="1201"/>
      <c r="GKM226" s="1201"/>
      <c r="GKN226" s="1201"/>
      <c r="GKO226" s="1201"/>
      <c r="GKP226" s="1201"/>
      <c r="GKQ226" s="1201"/>
      <c r="GKR226" s="1201"/>
      <c r="GKS226" s="1201"/>
      <c r="GKT226" s="1201"/>
      <c r="GKU226" s="1201"/>
      <c r="GKV226" s="1201"/>
      <c r="GKW226" s="1201"/>
      <c r="GKX226" s="1201"/>
      <c r="GKY226" s="1201"/>
      <c r="GKZ226" s="1201"/>
      <c r="GLA226" s="1201"/>
      <c r="GLB226" s="1201"/>
      <c r="GLC226" s="1201"/>
      <c r="GLD226" s="1201"/>
      <c r="GLE226" s="1201"/>
      <c r="GLF226" s="1201"/>
      <c r="GLG226" s="1201"/>
      <c r="GLH226" s="1201"/>
      <c r="GLI226" s="1201"/>
      <c r="GLJ226" s="1201"/>
      <c r="GLK226" s="1201"/>
      <c r="GLL226" s="1201"/>
      <c r="GLM226" s="1201"/>
      <c r="GLN226" s="1201"/>
      <c r="GLO226" s="1201"/>
      <c r="GLP226" s="1201"/>
      <c r="GLQ226" s="1201"/>
      <c r="GLR226" s="1201"/>
      <c r="GLS226" s="1201"/>
      <c r="GLT226" s="1201"/>
      <c r="GLU226" s="1201"/>
      <c r="GLV226" s="1201"/>
      <c r="GLW226" s="1201"/>
      <c r="GLX226" s="1201"/>
      <c r="GLY226" s="1201"/>
      <c r="GLZ226" s="1201"/>
      <c r="GMA226" s="1201"/>
      <c r="GMB226" s="1201"/>
      <c r="GMC226" s="1201"/>
      <c r="GMD226" s="1201"/>
      <c r="GME226" s="1201"/>
      <c r="GMF226" s="1201"/>
      <c r="GMG226" s="1201"/>
      <c r="GMH226" s="1201"/>
      <c r="GMI226" s="1201"/>
      <c r="GMJ226" s="1201"/>
      <c r="GMK226" s="1201"/>
      <c r="GML226" s="1201"/>
      <c r="GMM226" s="1201"/>
      <c r="GMN226" s="1201"/>
      <c r="GMO226" s="1201"/>
      <c r="GMP226" s="1201"/>
      <c r="GMQ226" s="1201"/>
      <c r="GMR226" s="1201"/>
      <c r="GMS226" s="1201"/>
      <c r="GMT226" s="1201"/>
      <c r="GMU226" s="1201"/>
      <c r="GMV226" s="1201"/>
      <c r="GMW226" s="1201"/>
      <c r="GMX226" s="1201"/>
      <c r="GMY226" s="1201"/>
      <c r="GMZ226" s="1201"/>
      <c r="GNA226" s="1201"/>
      <c r="GNB226" s="1201"/>
      <c r="GNC226" s="1201"/>
      <c r="GND226" s="1201"/>
      <c r="GNE226" s="1201"/>
      <c r="GNF226" s="1201"/>
      <c r="GNG226" s="1201"/>
      <c r="GNH226" s="1201"/>
      <c r="GNI226" s="1201"/>
      <c r="GNJ226" s="1201"/>
      <c r="GNK226" s="1201"/>
      <c r="GNL226" s="1201"/>
      <c r="GNM226" s="1201"/>
      <c r="GNN226" s="1201"/>
      <c r="GNO226" s="1201"/>
      <c r="GNP226" s="1201"/>
      <c r="GNQ226" s="1201"/>
      <c r="GNR226" s="1201"/>
      <c r="GNS226" s="1201"/>
      <c r="GNT226" s="1201"/>
      <c r="GNU226" s="1201"/>
      <c r="GNV226" s="1201"/>
      <c r="GNW226" s="1201"/>
      <c r="GNX226" s="1201"/>
      <c r="GNY226" s="1201"/>
      <c r="GNZ226" s="1201"/>
      <c r="GOA226" s="1201"/>
      <c r="GOB226" s="1201"/>
      <c r="GOC226" s="1201"/>
      <c r="GOD226" s="1201"/>
      <c r="GOE226" s="1201"/>
      <c r="GOF226" s="1201"/>
      <c r="GOG226" s="1201"/>
      <c r="GOH226" s="1201"/>
      <c r="GOI226" s="1201"/>
      <c r="GOJ226" s="1201"/>
      <c r="GOK226" s="1201"/>
      <c r="GOL226" s="1201"/>
      <c r="GOM226" s="1201"/>
      <c r="GON226" s="1201"/>
      <c r="GOO226" s="1201"/>
      <c r="GOP226" s="1201"/>
      <c r="GOQ226" s="1201"/>
      <c r="GOR226" s="1201"/>
      <c r="GOS226" s="1201"/>
      <c r="GOT226" s="1201"/>
      <c r="GOU226" s="1201"/>
      <c r="GOV226" s="1201"/>
      <c r="GOW226" s="1201"/>
      <c r="GOX226" s="1201"/>
      <c r="GOY226" s="1201"/>
      <c r="GOZ226" s="1201"/>
      <c r="GPA226" s="1201"/>
      <c r="GPB226" s="1201"/>
      <c r="GPC226" s="1201"/>
      <c r="GPD226" s="1201"/>
      <c r="GPE226" s="1201"/>
      <c r="GPF226" s="1201"/>
      <c r="GPG226" s="1201"/>
      <c r="GPH226" s="1201"/>
      <c r="GPI226" s="1201"/>
      <c r="GPJ226" s="1201"/>
      <c r="GPK226" s="1201"/>
      <c r="GPL226" s="1201"/>
      <c r="GPM226" s="1201"/>
      <c r="GPN226" s="1201"/>
      <c r="GPO226" s="1201"/>
      <c r="GPP226" s="1201"/>
      <c r="GPQ226" s="1201"/>
      <c r="GPR226" s="1201"/>
      <c r="GPS226" s="1201"/>
      <c r="GPT226" s="1201"/>
      <c r="GPU226" s="1201"/>
      <c r="GPV226" s="1201"/>
      <c r="GPW226" s="1201"/>
      <c r="GPX226" s="1201"/>
      <c r="GPY226" s="1201"/>
      <c r="GPZ226" s="1201"/>
      <c r="GQA226" s="1201"/>
      <c r="GQB226" s="1201"/>
      <c r="GQC226" s="1201"/>
      <c r="GQD226" s="1201"/>
      <c r="GQE226" s="1201"/>
      <c r="GQF226" s="1201"/>
      <c r="GQG226" s="1201"/>
      <c r="GQH226" s="1201"/>
      <c r="GQI226" s="1201"/>
      <c r="GQJ226" s="1201"/>
      <c r="GQK226" s="1201"/>
      <c r="GQL226" s="1201"/>
      <c r="GQM226" s="1201"/>
      <c r="GQN226" s="1201"/>
      <c r="GQO226" s="1201"/>
      <c r="GQP226" s="1201"/>
      <c r="GQQ226" s="1201"/>
      <c r="GQR226" s="1201"/>
      <c r="GQS226" s="1201"/>
      <c r="GQT226" s="1201"/>
      <c r="GQU226" s="1201"/>
      <c r="GQV226" s="1201"/>
      <c r="GQW226" s="1201"/>
      <c r="GQX226" s="1201"/>
      <c r="GQY226" s="1201"/>
      <c r="GQZ226" s="1201"/>
      <c r="GRA226" s="1201"/>
      <c r="GRB226" s="1201"/>
      <c r="GRC226" s="1201"/>
      <c r="GRD226" s="1201"/>
      <c r="GRE226" s="1201"/>
      <c r="GRF226" s="1201"/>
      <c r="GRG226" s="1201"/>
      <c r="GRH226" s="1201"/>
      <c r="GRI226" s="1201"/>
      <c r="GRJ226" s="1201"/>
      <c r="GRK226" s="1201"/>
      <c r="GRL226" s="1201"/>
      <c r="GRM226" s="1201"/>
      <c r="GRN226" s="1201"/>
      <c r="GRO226" s="1201"/>
      <c r="GRP226" s="1201"/>
      <c r="GRQ226" s="1201"/>
      <c r="GRR226" s="1201"/>
      <c r="GRS226" s="1201"/>
      <c r="GRT226" s="1201"/>
      <c r="GRU226" s="1201"/>
      <c r="GRV226" s="1201"/>
      <c r="GRW226" s="1201"/>
      <c r="GRX226" s="1201"/>
      <c r="GRY226" s="1201"/>
      <c r="GRZ226" s="1201"/>
      <c r="GSA226" s="1201"/>
      <c r="GSB226" s="1201"/>
      <c r="GSC226" s="1201"/>
      <c r="GSD226" s="1201"/>
      <c r="GSE226" s="1201"/>
      <c r="GSF226" s="1201"/>
      <c r="GSG226" s="1201"/>
      <c r="GSH226" s="1201"/>
      <c r="GSI226" s="1201"/>
      <c r="GSJ226" s="1201"/>
      <c r="GSK226" s="1201"/>
      <c r="GSL226" s="1201"/>
      <c r="GSM226" s="1201"/>
      <c r="GSN226" s="1201"/>
      <c r="GSO226" s="1201"/>
      <c r="GSP226" s="1201"/>
      <c r="GSQ226" s="1201"/>
      <c r="GSR226" s="1201"/>
      <c r="GSS226" s="1201"/>
      <c r="GST226" s="1201"/>
      <c r="GSU226" s="1201"/>
      <c r="GSV226" s="1201"/>
      <c r="GSW226" s="1201"/>
      <c r="GSX226" s="1201"/>
      <c r="GSY226" s="1201"/>
      <c r="GSZ226" s="1201"/>
      <c r="GTA226" s="1201"/>
      <c r="GTB226" s="1201"/>
      <c r="GTC226" s="1201"/>
      <c r="GTD226" s="1201"/>
      <c r="GTE226" s="1201"/>
      <c r="GTF226" s="1201"/>
      <c r="GTG226" s="1201"/>
      <c r="GTH226" s="1201"/>
      <c r="GTI226" s="1201"/>
      <c r="GTJ226" s="1201"/>
      <c r="GTK226" s="1201"/>
      <c r="GTL226" s="1201"/>
      <c r="GTM226" s="1201"/>
      <c r="GTN226" s="1201"/>
      <c r="GTO226" s="1201"/>
      <c r="GTP226" s="1201"/>
      <c r="GTQ226" s="1201"/>
      <c r="GTR226" s="1201"/>
      <c r="GTS226" s="1201"/>
      <c r="GTT226" s="1201"/>
      <c r="GTU226" s="1201"/>
      <c r="GTV226" s="1201"/>
      <c r="GTW226" s="1201"/>
      <c r="GTX226" s="1201"/>
      <c r="GTY226" s="1201"/>
      <c r="GTZ226" s="1201"/>
      <c r="GUA226" s="1201"/>
      <c r="GUB226" s="1201"/>
      <c r="GUC226" s="1201"/>
      <c r="GUD226" s="1201"/>
      <c r="GUE226" s="1201"/>
      <c r="GUF226" s="1201"/>
      <c r="GUG226" s="1201"/>
      <c r="GUH226" s="1201"/>
      <c r="GUI226" s="1201"/>
      <c r="GUJ226" s="1201"/>
      <c r="GUK226" s="1201"/>
      <c r="GUL226" s="1201"/>
      <c r="GUM226" s="1201"/>
      <c r="GUN226" s="1201"/>
      <c r="GUO226" s="1201"/>
      <c r="GUP226" s="1201"/>
      <c r="GUQ226" s="1201"/>
      <c r="GUR226" s="1201"/>
      <c r="GUS226" s="1201"/>
      <c r="GUT226" s="1201"/>
      <c r="GUU226" s="1201"/>
      <c r="GUV226" s="1201"/>
      <c r="GUW226" s="1201"/>
      <c r="GUX226" s="1201"/>
      <c r="GUY226" s="1201"/>
      <c r="GUZ226" s="1201"/>
      <c r="GVA226" s="1201"/>
      <c r="GVB226" s="1201"/>
      <c r="GVC226" s="1201"/>
      <c r="GVD226" s="1201"/>
      <c r="GVE226" s="1201"/>
      <c r="GVF226" s="1201"/>
      <c r="GVG226" s="1201"/>
      <c r="GVH226" s="1201"/>
      <c r="GVI226" s="1201"/>
      <c r="GVJ226" s="1201"/>
      <c r="GVK226" s="1201"/>
      <c r="GVL226" s="1201"/>
      <c r="GVM226" s="1201"/>
      <c r="GVN226" s="1201"/>
      <c r="GVO226" s="1201"/>
      <c r="GVP226" s="1201"/>
      <c r="GVQ226" s="1201"/>
      <c r="GVR226" s="1201"/>
      <c r="GVS226" s="1201"/>
      <c r="GVT226" s="1201"/>
      <c r="GVU226" s="1201"/>
      <c r="GVV226" s="1201"/>
      <c r="GVW226" s="1201"/>
      <c r="GVX226" s="1201"/>
      <c r="GVY226" s="1201"/>
      <c r="GVZ226" s="1201"/>
      <c r="GWA226" s="1201"/>
      <c r="GWB226" s="1201"/>
      <c r="GWC226" s="1201"/>
      <c r="GWD226" s="1201"/>
      <c r="GWE226" s="1201"/>
      <c r="GWF226" s="1201"/>
      <c r="GWG226" s="1201"/>
      <c r="GWH226" s="1201"/>
      <c r="GWI226" s="1201"/>
      <c r="GWJ226" s="1201"/>
      <c r="GWK226" s="1201"/>
      <c r="GWL226" s="1201"/>
      <c r="GWM226" s="1201"/>
      <c r="GWN226" s="1201"/>
      <c r="GWO226" s="1201"/>
      <c r="GWP226" s="1201"/>
      <c r="GWQ226" s="1201"/>
      <c r="GWR226" s="1201"/>
      <c r="GWS226" s="1201"/>
      <c r="GWT226" s="1201"/>
      <c r="GWU226" s="1201"/>
      <c r="GWV226" s="1201"/>
      <c r="GWW226" s="1201"/>
      <c r="GWX226" s="1201"/>
      <c r="GWY226" s="1201"/>
      <c r="GWZ226" s="1201"/>
      <c r="GXA226" s="1201"/>
      <c r="GXB226" s="1201"/>
      <c r="GXC226" s="1201"/>
      <c r="GXD226" s="1201"/>
      <c r="GXE226" s="1201"/>
      <c r="GXF226" s="1201"/>
      <c r="GXG226" s="1201"/>
      <c r="GXH226" s="1201"/>
      <c r="GXI226" s="1201"/>
      <c r="GXJ226" s="1201"/>
      <c r="GXK226" s="1201"/>
      <c r="GXL226" s="1201"/>
      <c r="GXM226" s="1201"/>
      <c r="GXN226" s="1201"/>
      <c r="GXO226" s="1201"/>
      <c r="GXP226" s="1201"/>
      <c r="GXQ226" s="1201"/>
      <c r="GXR226" s="1201"/>
      <c r="GXS226" s="1201"/>
      <c r="GXT226" s="1201"/>
      <c r="GXU226" s="1201"/>
      <c r="GXV226" s="1201"/>
      <c r="GXW226" s="1201"/>
      <c r="GXX226" s="1201"/>
      <c r="GXY226" s="1201"/>
      <c r="GXZ226" s="1201"/>
      <c r="GYA226" s="1201"/>
      <c r="GYB226" s="1201"/>
      <c r="GYC226" s="1201"/>
      <c r="GYD226" s="1201"/>
      <c r="GYE226" s="1201"/>
      <c r="GYF226" s="1201"/>
      <c r="GYG226" s="1201"/>
      <c r="GYH226" s="1201"/>
      <c r="GYI226" s="1201"/>
      <c r="GYJ226" s="1201"/>
      <c r="GYK226" s="1201"/>
      <c r="GYL226" s="1201"/>
      <c r="GYM226" s="1201"/>
      <c r="GYN226" s="1201"/>
      <c r="GYO226" s="1201"/>
      <c r="GYP226" s="1201"/>
      <c r="GYQ226" s="1201"/>
      <c r="GYR226" s="1201"/>
      <c r="GYS226" s="1201"/>
      <c r="GYT226" s="1201"/>
      <c r="GYU226" s="1201"/>
      <c r="GYV226" s="1201"/>
      <c r="GYW226" s="1201"/>
      <c r="GYX226" s="1201"/>
      <c r="GYY226" s="1201"/>
      <c r="GYZ226" s="1201"/>
      <c r="GZA226" s="1201"/>
      <c r="GZB226" s="1201"/>
      <c r="GZC226" s="1201"/>
      <c r="GZD226" s="1201"/>
      <c r="GZE226" s="1201"/>
      <c r="GZF226" s="1201"/>
      <c r="GZG226" s="1201"/>
      <c r="GZH226" s="1201"/>
      <c r="GZI226" s="1201"/>
      <c r="GZJ226" s="1201"/>
      <c r="GZK226" s="1201"/>
      <c r="GZL226" s="1201"/>
      <c r="GZM226" s="1201"/>
      <c r="GZN226" s="1201"/>
      <c r="GZO226" s="1201"/>
      <c r="GZP226" s="1201"/>
      <c r="GZQ226" s="1201"/>
      <c r="GZR226" s="1201"/>
      <c r="GZS226" s="1201"/>
      <c r="GZT226" s="1201"/>
      <c r="GZU226" s="1201"/>
      <c r="GZV226" s="1201"/>
      <c r="GZW226" s="1201"/>
      <c r="GZX226" s="1201"/>
      <c r="GZY226" s="1201"/>
      <c r="GZZ226" s="1201"/>
      <c r="HAA226" s="1201"/>
      <c r="HAB226" s="1201"/>
      <c r="HAC226" s="1201"/>
      <c r="HAD226" s="1201"/>
      <c r="HAE226" s="1201"/>
      <c r="HAF226" s="1201"/>
      <c r="HAG226" s="1201"/>
      <c r="HAH226" s="1201"/>
      <c r="HAI226" s="1201"/>
      <c r="HAJ226" s="1201"/>
      <c r="HAK226" s="1201"/>
      <c r="HAL226" s="1201"/>
      <c r="HAM226" s="1201"/>
      <c r="HAN226" s="1201"/>
      <c r="HAO226" s="1201"/>
      <c r="HAP226" s="1201"/>
      <c r="HAQ226" s="1201"/>
      <c r="HAR226" s="1201"/>
      <c r="HAS226" s="1201"/>
      <c r="HAT226" s="1201"/>
      <c r="HAU226" s="1201"/>
      <c r="HAV226" s="1201"/>
      <c r="HAW226" s="1201"/>
      <c r="HAX226" s="1201"/>
      <c r="HAY226" s="1201"/>
      <c r="HAZ226" s="1201"/>
      <c r="HBA226" s="1201"/>
      <c r="HBB226" s="1201"/>
      <c r="HBC226" s="1201"/>
      <c r="HBD226" s="1201"/>
      <c r="HBE226" s="1201"/>
      <c r="HBF226" s="1201"/>
      <c r="HBG226" s="1201"/>
      <c r="HBH226" s="1201"/>
      <c r="HBI226" s="1201"/>
      <c r="HBJ226" s="1201"/>
      <c r="HBK226" s="1201"/>
      <c r="HBL226" s="1201"/>
      <c r="HBM226" s="1201"/>
      <c r="HBN226" s="1201"/>
      <c r="HBO226" s="1201"/>
      <c r="HBP226" s="1201"/>
      <c r="HBQ226" s="1201"/>
      <c r="HBR226" s="1201"/>
      <c r="HBS226" s="1201"/>
      <c r="HBT226" s="1201"/>
      <c r="HBU226" s="1201"/>
      <c r="HBV226" s="1201"/>
      <c r="HBW226" s="1201"/>
      <c r="HBX226" s="1201"/>
      <c r="HBY226" s="1201"/>
      <c r="HBZ226" s="1201"/>
      <c r="HCA226" s="1201"/>
      <c r="HCB226" s="1201"/>
      <c r="HCC226" s="1201"/>
      <c r="HCD226" s="1201"/>
      <c r="HCE226" s="1201"/>
      <c r="HCF226" s="1201"/>
      <c r="HCG226" s="1201"/>
      <c r="HCH226" s="1201"/>
      <c r="HCI226" s="1201"/>
      <c r="HCJ226" s="1201"/>
      <c r="HCK226" s="1201"/>
      <c r="HCL226" s="1201"/>
      <c r="HCM226" s="1201"/>
      <c r="HCN226" s="1201"/>
      <c r="HCO226" s="1201"/>
      <c r="HCP226" s="1201"/>
      <c r="HCQ226" s="1201"/>
      <c r="HCR226" s="1201"/>
      <c r="HCS226" s="1201"/>
      <c r="HCT226" s="1201"/>
      <c r="HCU226" s="1201"/>
      <c r="HCV226" s="1201"/>
      <c r="HCW226" s="1201"/>
      <c r="HCX226" s="1201"/>
      <c r="HCY226" s="1201"/>
      <c r="HCZ226" s="1201"/>
      <c r="HDA226" s="1201"/>
      <c r="HDB226" s="1201"/>
      <c r="HDC226" s="1201"/>
      <c r="HDD226" s="1201"/>
      <c r="HDE226" s="1201"/>
      <c r="HDF226" s="1201"/>
      <c r="HDG226" s="1201"/>
      <c r="HDH226" s="1201"/>
      <c r="HDI226" s="1201"/>
      <c r="HDJ226" s="1201"/>
      <c r="HDK226" s="1201"/>
      <c r="HDL226" s="1201"/>
      <c r="HDM226" s="1201"/>
      <c r="HDN226" s="1201"/>
      <c r="HDO226" s="1201"/>
      <c r="HDP226" s="1201"/>
      <c r="HDQ226" s="1201"/>
      <c r="HDR226" s="1201"/>
      <c r="HDS226" s="1201"/>
      <c r="HDT226" s="1201"/>
      <c r="HDU226" s="1201"/>
      <c r="HDV226" s="1201"/>
      <c r="HDW226" s="1201"/>
      <c r="HDX226" s="1201"/>
      <c r="HDY226" s="1201"/>
      <c r="HDZ226" s="1201"/>
      <c r="HEA226" s="1201"/>
      <c r="HEB226" s="1201"/>
      <c r="HEC226" s="1201"/>
      <c r="HED226" s="1201"/>
      <c r="HEE226" s="1201"/>
      <c r="HEF226" s="1201"/>
      <c r="HEG226" s="1201"/>
      <c r="HEH226" s="1201"/>
      <c r="HEI226" s="1201"/>
      <c r="HEJ226" s="1201"/>
      <c r="HEK226" s="1201"/>
      <c r="HEL226" s="1201"/>
      <c r="HEM226" s="1201"/>
      <c r="HEN226" s="1201"/>
      <c r="HEO226" s="1201"/>
      <c r="HEP226" s="1201"/>
      <c r="HEQ226" s="1201"/>
      <c r="HER226" s="1201"/>
      <c r="HES226" s="1201"/>
      <c r="HET226" s="1201"/>
      <c r="HEU226" s="1201"/>
      <c r="HEV226" s="1201"/>
      <c r="HEW226" s="1201"/>
      <c r="HEX226" s="1201"/>
      <c r="HEY226" s="1201"/>
      <c r="HEZ226" s="1201"/>
      <c r="HFA226" s="1201"/>
      <c r="HFB226" s="1201"/>
      <c r="HFC226" s="1201"/>
      <c r="HFD226" s="1201"/>
      <c r="HFE226" s="1201"/>
      <c r="HFF226" s="1201"/>
      <c r="HFG226" s="1201"/>
      <c r="HFH226" s="1201"/>
      <c r="HFI226" s="1201"/>
      <c r="HFJ226" s="1201"/>
      <c r="HFK226" s="1201"/>
      <c r="HFL226" s="1201"/>
      <c r="HFM226" s="1201"/>
      <c r="HFN226" s="1201"/>
      <c r="HFO226" s="1201"/>
      <c r="HFP226" s="1201"/>
      <c r="HFQ226" s="1201"/>
      <c r="HFR226" s="1201"/>
      <c r="HFS226" s="1201"/>
      <c r="HFT226" s="1201"/>
      <c r="HFU226" s="1201"/>
      <c r="HFV226" s="1201"/>
      <c r="HFW226" s="1201"/>
      <c r="HFX226" s="1201"/>
      <c r="HFY226" s="1201"/>
      <c r="HFZ226" s="1201"/>
      <c r="HGA226" s="1201"/>
      <c r="HGB226" s="1201"/>
      <c r="HGC226" s="1201"/>
      <c r="HGD226" s="1201"/>
      <c r="HGE226" s="1201"/>
      <c r="HGF226" s="1201"/>
      <c r="HGG226" s="1201"/>
      <c r="HGH226" s="1201"/>
      <c r="HGI226" s="1201"/>
      <c r="HGJ226" s="1201"/>
      <c r="HGK226" s="1201"/>
      <c r="HGL226" s="1201"/>
      <c r="HGM226" s="1201"/>
      <c r="HGN226" s="1201"/>
      <c r="HGO226" s="1201"/>
      <c r="HGP226" s="1201"/>
      <c r="HGQ226" s="1201"/>
      <c r="HGR226" s="1201"/>
      <c r="HGS226" s="1201"/>
      <c r="HGT226" s="1201"/>
      <c r="HGU226" s="1201"/>
      <c r="HGV226" s="1201"/>
      <c r="HGW226" s="1201"/>
      <c r="HGX226" s="1201"/>
      <c r="HGY226" s="1201"/>
      <c r="HGZ226" s="1201"/>
      <c r="HHA226" s="1201"/>
      <c r="HHB226" s="1201"/>
      <c r="HHC226" s="1201"/>
      <c r="HHD226" s="1201"/>
      <c r="HHE226" s="1201"/>
      <c r="HHF226" s="1201"/>
      <c r="HHG226" s="1201"/>
      <c r="HHH226" s="1201"/>
      <c r="HHI226" s="1201"/>
      <c r="HHJ226" s="1201"/>
      <c r="HHK226" s="1201"/>
      <c r="HHL226" s="1201"/>
      <c r="HHM226" s="1201"/>
      <c r="HHN226" s="1201"/>
      <c r="HHO226" s="1201"/>
      <c r="HHP226" s="1201"/>
      <c r="HHQ226" s="1201"/>
      <c r="HHR226" s="1201"/>
      <c r="HHS226" s="1201"/>
      <c r="HHT226" s="1201"/>
      <c r="HHU226" s="1201"/>
      <c r="HHV226" s="1201"/>
      <c r="HHW226" s="1201"/>
      <c r="HHX226" s="1201"/>
      <c r="HHY226" s="1201"/>
      <c r="HHZ226" s="1201"/>
      <c r="HIA226" s="1201"/>
      <c r="HIB226" s="1201"/>
      <c r="HIC226" s="1201"/>
      <c r="HID226" s="1201"/>
      <c r="HIE226" s="1201"/>
      <c r="HIF226" s="1201"/>
      <c r="HIG226" s="1201"/>
      <c r="HIH226" s="1201"/>
      <c r="HII226" s="1201"/>
      <c r="HIJ226" s="1201"/>
      <c r="HIK226" s="1201"/>
      <c r="HIL226" s="1201"/>
      <c r="HIM226" s="1201"/>
      <c r="HIN226" s="1201"/>
      <c r="HIO226" s="1201"/>
      <c r="HIP226" s="1201"/>
      <c r="HIQ226" s="1201"/>
      <c r="HIR226" s="1201"/>
      <c r="HIS226" s="1201"/>
      <c r="HIT226" s="1201"/>
      <c r="HIU226" s="1201"/>
      <c r="HIV226" s="1201"/>
      <c r="HIW226" s="1201"/>
      <c r="HIX226" s="1201"/>
      <c r="HIY226" s="1201"/>
      <c r="HIZ226" s="1201"/>
      <c r="HJA226" s="1201"/>
      <c r="HJB226" s="1201"/>
      <c r="HJC226" s="1201"/>
      <c r="HJD226" s="1201"/>
      <c r="HJE226" s="1201"/>
      <c r="HJF226" s="1201"/>
      <c r="HJG226" s="1201"/>
      <c r="HJH226" s="1201"/>
      <c r="HJI226" s="1201"/>
      <c r="HJJ226" s="1201"/>
      <c r="HJK226" s="1201"/>
      <c r="HJL226" s="1201"/>
      <c r="HJM226" s="1201"/>
      <c r="HJN226" s="1201"/>
      <c r="HJO226" s="1201"/>
      <c r="HJP226" s="1201"/>
      <c r="HJQ226" s="1201"/>
      <c r="HJR226" s="1201"/>
      <c r="HJS226" s="1201"/>
      <c r="HJT226" s="1201"/>
      <c r="HJU226" s="1201"/>
      <c r="HJV226" s="1201"/>
      <c r="HJW226" s="1201"/>
      <c r="HJX226" s="1201"/>
      <c r="HJY226" s="1201"/>
      <c r="HJZ226" s="1201"/>
      <c r="HKA226" s="1201"/>
      <c r="HKB226" s="1201"/>
      <c r="HKC226" s="1201"/>
      <c r="HKD226" s="1201"/>
      <c r="HKE226" s="1201"/>
      <c r="HKF226" s="1201"/>
      <c r="HKG226" s="1201"/>
      <c r="HKH226" s="1201"/>
      <c r="HKI226" s="1201"/>
      <c r="HKJ226" s="1201"/>
      <c r="HKK226" s="1201"/>
      <c r="HKL226" s="1201"/>
      <c r="HKM226" s="1201"/>
      <c r="HKN226" s="1201"/>
      <c r="HKO226" s="1201"/>
      <c r="HKP226" s="1201"/>
      <c r="HKQ226" s="1201"/>
      <c r="HKR226" s="1201"/>
      <c r="HKS226" s="1201"/>
      <c r="HKT226" s="1201"/>
      <c r="HKU226" s="1201"/>
      <c r="HKV226" s="1201"/>
      <c r="HKW226" s="1201"/>
      <c r="HKX226" s="1201"/>
      <c r="HKY226" s="1201"/>
      <c r="HKZ226" s="1201"/>
      <c r="HLA226" s="1201"/>
      <c r="HLB226" s="1201"/>
      <c r="HLC226" s="1201"/>
      <c r="HLD226" s="1201"/>
      <c r="HLE226" s="1201"/>
      <c r="HLF226" s="1201"/>
      <c r="HLG226" s="1201"/>
      <c r="HLH226" s="1201"/>
      <c r="HLI226" s="1201"/>
      <c r="HLJ226" s="1201"/>
      <c r="HLK226" s="1201"/>
      <c r="HLL226" s="1201"/>
      <c r="HLM226" s="1201"/>
      <c r="HLN226" s="1201"/>
      <c r="HLO226" s="1201"/>
      <c r="HLP226" s="1201"/>
      <c r="HLQ226" s="1201"/>
      <c r="HLR226" s="1201"/>
      <c r="HLS226" s="1201"/>
      <c r="HLT226" s="1201"/>
      <c r="HLU226" s="1201"/>
      <c r="HLV226" s="1201"/>
      <c r="HLW226" s="1201"/>
      <c r="HLX226" s="1201"/>
      <c r="HLY226" s="1201"/>
      <c r="HLZ226" s="1201"/>
      <c r="HMA226" s="1201"/>
      <c r="HMB226" s="1201"/>
      <c r="HMC226" s="1201"/>
      <c r="HMD226" s="1201"/>
      <c r="HME226" s="1201"/>
      <c r="HMF226" s="1201"/>
      <c r="HMG226" s="1201"/>
      <c r="HMH226" s="1201"/>
      <c r="HMI226" s="1201"/>
      <c r="HMJ226" s="1201"/>
      <c r="HMK226" s="1201"/>
      <c r="HML226" s="1201"/>
      <c r="HMM226" s="1201"/>
      <c r="HMN226" s="1201"/>
      <c r="HMO226" s="1201"/>
      <c r="HMP226" s="1201"/>
      <c r="HMQ226" s="1201"/>
      <c r="HMR226" s="1201"/>
      <c r="HMS226" s="1201"/>
      <c r="HMT226" s="1201"/>
      <c r="HMU226" s="1201"/>
      <c r="HMV226" s="1201"/>
      <c r="HMW226" s="1201"/>
      <c r="HMX226" s="1201"/>
      <c r="HMY226" s="1201"/>
      <c r="HMZ226" s="1201"/>
      <c r="HNA226" s="1201"/>
      <c r="HNB226" s="1201"/>
      <c r="HNC226" s="1201"/>
      <c r="HND226" s="1201"/>
      <c r="HNE226" s="1201"/>
      <c r="HNF226" s="1201"/>
      <c r="HNG226" s="1201"/>
      <c r="HNH226" s="1201"/>
      <c r="HNI226" s="1201"/>
      <c r="HNJ226" s="1201"/>
      <c r="HNK226" s="1201"/>
      <c r="HNL226" s="1201"/>
      <c r="HNM226" s="1201"/>
      <c r="HNN226" s="1201"/>
      <c r="HNO226" s="1201"/>
      <c r="HNP226" s="1201"/>
      <c r="HNQ226" s="1201"/>
      <c r="HNR226" s="1201"/>
      <c r="HNS226" s="1201"/>
      <c r="HNT226" s="1201"/>
      <c r="HNU226" s="1201"/>
      <c r="HNV226" s="1201"/>
      <c r="HNW226" s="1201"/>
      <c r="HNX226" s="1201"/>
      <c r="HNY226" s="1201"/>
      <c r="HNZ226" s="1201"/>
      <c r="HOA226" s="1201"/>
      <c r="HOB226" s="1201"/>
      <c r="HOC226" s="1201"/>
      <c r="HOD226" s="1201"/>
      <c r="HOE226" s="1201"/>
      <c r="HOF226" s="1201"/>
      <c r="HOG226" s="1201"/>
      <c r="HOH226" s="1201"/>
      <c r="HOI226" s="1201"/>
      <c r="HOJ226" s="1201"/>
      <c r="HOK226" s="1201"/>
      <c r="HOL226" s="1201"/>
      <c r="HOM226" s="1201"/>
      <c r="HON226" s="1201"/>
      <c r="HOO226" s="1201"/>
      <c r="HOP226" s="1201"/>
      <c r="HOQ226" s="1201"/>
      <c r="HOR226" s="1201"/>
      <c r="HOS226" s="1201"/>
      <c r="HOT226" s="1201"/>
      <c r="HOU226" s="1201"/>
      <c r="HOV226" s="1201"/>
      <c r="HOW226" s="1201"/>
      <c r="HOX226" s="1201"/>
      <c r="HOY226" s="1201"/>
      <c r="HOZ226" s="1201"/>
      <c r="HPA226" s="1201"/>
      <c r="HPB226" s="1201"/>
      <c r="HPC226" s="1201"/>
      <c r="HPD226" s="1201"/>
      <c r="HPE226" s="1201"/>
      <c r="HPF226" s="1201"/>
      <c r="HPG226" s="1201"/>
      <c r="HPH226" s="1201"/>
      <c r="HPI226" s="1201"/>
      <c r="HPJ226" s="1201"/>
      <c r="HPK226" s="1201"/>
      <c r="HPL226" s="1201"/>
      <c r="HPM226" s="1201"/>
      <c r="HPN226" s="1201"/>
      <c r="HPO226" s="1201"/>
      <c r="HPP226" s="1201"/>
      <c r="HPQ226" s="1201"/>
      <c r="HPR226" s="1201"/>
      <c r="HPS226" s="1201"/>
      <c r="HPT226" s="1201"/>
      <c r="HPU226" s="1201"/>
      <c r="HPV226" s="1201"/>
      <c r="HPW226" s="1201"/>
      <c r="HPX226" s="1201"/>
      <c r="HPY226" s="1201"/>
      <c r="HPZ226" s="1201"/>
      <c r="HQA226" s="1201"/>
      <c r="HQB226" s="1201"/>
      <c r="HQC226" s="1201"/>
      <c r="HQD226" s="1201"/>
      <c r="HQE226" s="1201"/>
      <c r="HQF226" s="1201"/>
      <c r="HQG226" s="1201"/>
      <c r="HQH226" s="1201"/>
      <c r="HQI226" s="1201"/>
      <c r="HQJ226" s="1201"/>
      <c r="HQK226" s="1201"/>
      <c r="HQL226" s="1201"/>
      <c r="HQM226" s="1201"/>
      <c r="HQN226" s="1201"/>
      <c r="HQO226" s="1201"/>
      <c r="HQP226" s="1201"/>
      <c r="HQQ226" s="1201"/>
      <c r="HQR226" s="1201"/>
      <c r="HQS226" s="1201"/>
      <c r="HQT226" s="1201"/>
      <c r="HQU226" s="1201"/>
      <c r="HQV226" s="1201"/>
      <c r="HQW226" s="1201"/>
      <c r="HQX226" s="1201"/>
      <c r="HQY226" s="1201"/>
      <c r="HQZ226" s="1201"/>
      <c r="HRA226" s="1201"/>
      <c r="HRB226" s="1201"/>
      <c r="HRC226" s="1201"/>
      <c r="HRD226" s="1201"/>
      <c r="HRE226" s="1201"/>
      <c r="HRF226" s="1201"/>
      <c r="HRG226" s="1201"/>
      <c r="HRH226" s="1201"/>
      <c r="HRI226" s="1201"/>
      <c r="HRJ226" s="1201"/>
      <c r="HRK226" s="1201"/>
      <c r="HRL226" s="1201"/>
      <c r="HRM226" s="1201"/>
      <c r="HRN226" s="1201"/>
      <c r="HRO226" s="1201"/>
      <c r="HRP226" s="1201"/>
      <c r="HRQ226" s="1201"/>
      <c r="HRR226" s="1201"/>
      <c r="HRS226" s="1201"/>
      <c r="HRT226" s="1201"/>
      <c r="HRU226" s="1201"/>
      <c r="HRV226" s="1201"/>
      <c r="HRW226" s="1201"/>
      <c r="HRX226" s="1201"/>
      <c r="HRY226" s="1201"/>
      <c r="HRZ226" s="1201"/>
      <c r="HSA226" s="1201"/>
      <c r="HSB226" s="1201"/>
      <c r="HSC226" s="1201"/>
      <c r="HSD226" s="1201"/>
      <c r="HSE226" s="1201"/>
      <c r="HSF226" s="1201"/>
      <c r="HSG226" s="1201"/>
      <c r="HSH226" s="1201"/>
      <c r="HSI226" s="1201"/>
      <c r="HSJ226" s="1201"/>
      <c r="HSK226" s="1201"/>
      <c r="HSL226" s="1201"/>
      <c r="HSM226" s="1201"/>
      <c r="HSN226" s="1201"/>
      <c r="HSO226" s="1201"/>
      <c r="HSP226" s="1201"/>
      <c r="HSQ226" s="1201"/>
      <c r="HSR226" s="1201"/>
      <c r="HSS226" s="1201"/>
      <c r="HST226" s="1201"/>
      <c r="HSU226" s="1201"/>
      <c r="HSV226" s="1201"/>
      <c r="HSW226" s="1201"/>
      <c r="HSX226" s="1201"/>
      <c r="HSY226" s="1201"/>
      <c r="HSZ226" s="1201"/>
      <c r="HTA226" s="1201"/>
      <c r="HTB226" s="1201"/>
      <c r="HTC226" s="1201"/>
      <c r="HTD226" s="1201"/>
      <c r="HTE226" s="1201"/>
      <c r="HTF226" s="1201"/>
      <c r="HTG226" s="1201"/>
      <c r="HTH226" s="1201"/>
      <c r="HTI226" s="1201"/>
      <c r="HTJ226" s="1201"/>
      <c r="HTK226" s="1201"/>
      <c r="HTL226" s="1201"/>
      <c r="HTM226" s="1201"/>
      <c r="HTN226" s="1201"/>
      <c r="HTO226" s="1201"/>
      <c r="HTP226" s="1201"/>
      <c r="HTQ226" s="1201"/>
      <c r="HTR226" s="1201"/>
      <c r="HTS226" s="1201"/>
      <c r="HTT226" s="1201"/>
      <c r="HTU226" s="1201"/>
      <c r="HTV226" s="1201"/>
      <c r="HTW226" s="1201"/>
      <c r="HTX226" s="1201"/>
      <c r="HTY226" s="1201"/>
      <c r="HTZ226" s="1201"/>
      <c r="HUA226" s="1201"/>
      <c r="HUB226" s="1201"/>
      <c r="HUC226" s="1201"/>
      <c r="HUD226" s="1201"/>
      <c r="HUE226" s="1201"/>
      <c r="HUF226" s="1201"/>
      <c r="HUG226" s="1201"/>
      <c r="HUH226" s="1201"/>
      <c r="HUI226" s="1201"/>
      <c r="HUJ226" s="1201"/>
      <c r="HUK226" s="1201"/>
      <c r="HUL226" s="1201"/>
      <c r="HUM226" s="1201"/>
      <c r="HUN226" s="1201"/>
      <c r="HUO226" s="1201"/>
      <c r="HUP226" s="1201"/>
      <c r="HUQ226" s="1201"/>
      <c r="HUR226" s="1201"/>
      <c r="HUS226" s="1201"/>
      <c r="HUT226" s="1201"/>
      <c r="HUU226" s="1201"/>
      <c r="HUV226" s="1201"/>
      <c r="HUW226" s="1201"/>
      <c r="HUX226" s="1201"/>
      <c r="HUY226" s="1201"/>
      <c r="HUZ226" s="1201"/>
      <c r="HVA226" s="1201"/>
      <c r="HVB226" s="1201"/>
      <c r="HVC226" s="1201"/>
      <c r="HVD226" s="1201"/>
      <c r="HVE226" s="1201"/>
      <c r="HVF226" s="1201"/>
      <c r="HVG226" s="1201"/>
      <c r="HVH226" s="1201"/>
      <c r="HVI226" s="1201"/>
      <c r="HVJ226" s="1201"/>
      <c r="HVK226" s="1201"/>
      <c r="HVL226" s="1201"/>
      <c r="HVM226" s="1201"/>
      <c r="HVN226" s="1201"/>
      <c r="HVO226" s="1201"/>
      <c r="HVP226" s="1201"/>
      <c r="HVQ226" s="1201"/>
      <c r="HVR226" s="1201"/>
      <c r="HVS226" s="1201"/>
      <c r="HVT226" s="1201"/>
      <c r="HVU226" s="1201"/>
      <c r="HVV226" s="1201"/>
      <c r="HVW226" s="1201"/>
      <c r="HVX226" s="1201"/>
      <c r="HVY226" s="1201"/>
      <c r="HVZ226" s="1201"/>
      <c r="HWA226" s="1201"/>
      <c r="HWB226" s="1201"/>
      <c r="HWC226" s="1201"/>
      <c r="HWD226" s="1201"/>
      <c r="HWE226" s="1201"/>
      <c r="HWF226" s="1201"/>
      <c r="HWG226" s="1201"/>
      <c r="HWH226" s="1201"/>
      <c r="HWI226" s="1201"/>
      <c r="HWJ226" s="1201"/>
      <c r="HWK226" s="1201"/>
      <c r="HWL226" s="1201"/>
      <c r="HWM226" s="1201"/>
      <c r="HWN226" s="1201"/>
      <c r="HWO226" s="1201"/>
      <c r="HWP226" s="1201"/>
      <c r="HWQ226" s="1201"/>
      <c r="HWR226" s="1201"/>
      <c r="HWS226" s="1201"/>
      <c r="HWT226" s="1201"/>
      <c r="HWU226" s="1201"/>
      <c r="HWV226" s="1201"/>
      <c r="HWW226" s="1201"/>
      <c r="HWX226" s="1201"/>
      <c r="HWY226" s="1201"/>
      <c r="HWZ226" s="1201"/>
      <c r="HXA226" s="1201"/>
      <c r="HXB226" s="1201"/>
      <c r="HXC226" s="1201"/>
      <c r="HXD226" s="1201"/>
      <c r="HXE226" s="1201"/>
      <c r="HXF226" s="1201"/>
      <c r="HXG226" s="1201"/>
      <c r="HXH226" s="1201"/>
      <c r="HXI226" s="1201"/>
      <c r="HXJ226" s="1201"/>
      <c r="HXK226" s="1201"/>
      <c r="HXL226" s="1201"/>
      <c r="HXM226" s="1201"/>
      <c r="HXN226" s="1201"/>
      <c r="HXO226" s="1201"/>
      <c r="HXP226" s="1201"/>
      <c r="HXQ226" s="1201"/>
      <c r="HXR226" s="1201"/>
      <c r="HXS226" s="1201"/>
      <c r="HXT226" s="1201"/>
      <c r="HXU226" s="1201"/>
      <c r="HXV226" s="1201"/>
      <c r="HXW226" s="1201"/>
      <c r="HXX226" s="1201"/>
      <c r="HXY226" s="1201"/>
      <c r="HXZ226" s="1201"/>
      <c r="HYA226" s="1201"/>
      <c r="HYB226" s="1201"/>
      <c r="HYC226" s="1201"/>
      <c r="HYD226" s="1201"/>
      <c r="HYE226" s="1201"/>
      <c r="HYF226" s="1201"/>
      <c r="HYG226" s="1201"/>
      <c r="HYH226" s="1201"/>
      <c r="HYI226" s="1201"/>
      <c r="HYJ226" s="1201"/>
      <c r="HYK226" s="1201"/>
      <c r="HYL226" s="1201"/>
      <c r="HYM226" s="1201"/>
      <c r="HYN226" s="1201"/>
      <c r="HYO226" s="1201"/>
      <c r="HYP226" s="1201"/>
      <c r="HYQ226" s="1201"/>
      <c r="HYR226" s="1201"/>
      <c r="HYS226" s="1201"/>
      <c r="HYT226" s="1201"/>
      <c r="HYU226" s="1201"/>
      <c r="HYV226" s="1201"/>
      <c r="HYW226" s="1201"/>
      <c r="HYX226" s="1201"/>
      <c r="HYY226" s="1201"/>
      <c r="HYZ226" s="1201"/>
      <c r="HZA226" s="1201"/>
      <c r="HZB226" s="1201"/>
      <c r="HZC226" s="1201"/>
      <c r="HZD226" s="1201"/>
      <c r="HZE226" s="1201"/>
      <c r="HZF226" s="1201"/>
      <c r="HZG226" s="1201"/>
      <c r="HZH226" s="1201"/>
      <c r="HZI226" s="1201"/>
      <c r="HZJ226" s="1201"/>
      <c r="HZK226" s="1201"/>
      <c r="HZL226" s="1201"/>
      <c r="HZM226" s="1201"/>
      <c r="HZN226" s="1201"/>
      <c r="HZO226" s="1201"/>
      <c r="HZP226" s="1201"/>
      <c r="HZQ226" s="1201"/>
      <c r="HZR226" s="1201"/>
      <c r="HZS226" s="1201"/>
      <c r="HZT226" s="1201"/>
      <c r="HZU226" s="1201"/>
      <c r="HZV226" s="1201"/>
      <c r="HZW226" s="1201"/>
      <c r="HZX226" s="1201"/>
      <c r="HZY226" s="1201"/>
      <c r="HZZ226" s="1201"/>
      <c r="IAA226" s="1201"/>
      <c r="IAB226" s="1201"/>
      <c r="IAC226" s="1201"/>
      <c r="IAD226" s="1201"/>
      <c r="IAE226" s="1201"/>
      <c r="IAF226" s="1201"/>
      <c r="IAG226" s="1201"/>
      <c r="IAH226" s="1201"/>
      <c r="IAI226" s="1201"/>
      <c r="IAJ226" s="1201"/>
      <c r="IAK226" s="1201"/>
      <c r="IAL226" s="1201"/>
      <c r="IAM226" s="1201"/>
      <c r="IAN226" s="1201"/>
      <c r="IAO226" s="1201"/>
      <c r="IAP226" s="1201"/>
      <c r="IAQ226" s="1201"/>
      <c r="IAR226" s="1201"/>
      <c r="IAS226" s="1201"/>
      <c r="IAT226" s="1201"/>
      <c r="IAU226" s="1201"/>
      <c r="IAV226" s="1201"/>
      <c r="IAW226" s="1201"/>
      <c r="IAX226" s="1201"/>
      <c r="IAY226" s="1201"/>
      <c r="IAZ226" s="1201"/>
      <c r="IBA226" s="1201"/>
      <c r="IBB226" s="1201"/>
      <c r="IBC226" s="1201"/>
      <c r="IBD226" s="1201"/>
      <c r="IBE226" s="1201"/>
      <c r="IBF226" s="1201"/>
      <c r="IBG226" s="1201"/>
      <c r="IBH226" s="1201"/>
      <c r="IBI226" s="1201"/>
      <c r="IBJ226" s="1201"/>
      <c r="IBK226" s="1201"/>
      <c r="IBL226" s="1201"/>
      <c r="IBM226" s="1201"/>
      <c r="IBN226" s="1201"/>
      <c r="IBO226" s="1201"/>
      <c r="IBP226" s="1201"/>
      <c r="IBQ226" s="1201"/>
      <c r="IBR226" s="1201"/>
      <c r="IBS226" s="1201"/>
      <c r="IBT226" s="1201"/>
      <c r="IBU226" s="1201"/>
      <c r="IBV226" s="1201"/>
      <c r="IBW226" s="1201"/>
      <c r="IBX226" s="1201"/>
      <c r="IBY226" s="1201"/>
      <c r="IBZ226" s="1201"/>
      <c r="ICA226" s="1201"/>
      <c r="ICB226" s="1201"/>
      <c r="ICC226" s="1201"/>
      <c r="ICD226" s="1201"/>
      <c r="ICE226" s="1201"/>
      <c r="ICF226" s="1201"/>
      <c r="ICG226" s="1201"/>
      <c r="ICH226" s="1201"/>
      <c r="ICI226" s="1201"/>
      <c r="ICJ226" s="1201"/>
      <c r="ICK226" s="1201"/>
      <c r="ICL226" s="1201"/>
      <c r="ICM226" s="1201"/>
      <c r="ICN226" s="1201"/>
      <c r="ICO226" s="1201"/>
      <c r="ICP226" s="1201"/>
      <c r="ICQ226" s="1201"/>
      <c r="ICR226" s="1201"/>
      <c r="ICS226" s="1201"/>
      <c r="ICT226" s="1201"/>
      <c r="ICU226" s="1201"/>
      <c r="ICV226" s="1201"/>
      <c r="ICW226" s="1201"/>
      <c r="ICX226" s="1201"/>
      <c r="ICY226" s="1201"/>
      <c r="ICZ226" s="1201"/>
      <c r="IDA226" s="1201"/>
      <c r="IDB226" s="1201"/>
      <c r="IDC226" s="1201"/>
      <c r="IDD226" s="1201"/>
      <c r="IDE226" s="1201"/>
      <c r="IDF226" s="1201"/>
      <c r="IDG226" s="1201"/>
      <c r="IDH226" s="1201"/>
      <c r="IDI226" s="1201"/>
      <c r="IDJ226" s="1201"/>
      <c r="IDK226" s="1201"/>
      <c r="IDL226" s="1201"/>
      <c r="IDM226" s="1201"/>
      <c r="IDN226" s="1201"/>
      <c r="IDO226" s="1201"/>
      <c r="IDP226" s="1201"/>
      <c r="IDQ226" s="1201"/>
      <c r="IDR226" s="1201"/>
      <c r="IDS226" s="1201"/>
      <c r="IDT226" s="1201"/>
      <c r="IDU226" s="1201"/>
      <c r="IDV226" s="1201"/>
      <c r="IDW226" s="1201"/>
      <c r="IDX226" s="1201"/>
      <c r="IDY226" s="1201"/>
      <c r="IDZ226" s="1201"/>
      <c r="IEA226" s="1201"/>
      <c r="IEB226" s="1201"/>
      <c r="IEC226" s="1201"/>
      <c r="IED226" s="1201"/>
      <c r="IEE226" s="1201"/>
      <c r="IEF226" s="1201"/>
      <c r="IEG226" s="1201"/>
      <c r="IEH226" s="1201"/>
      <c r="IEI226" s="1201"/>
      <c r="IEJ226" s="1201"/>
      <c r="IEK226" s="1201"/>
      <c r="IEL226" s="1201"/>
      <c r="IEM226" s="1201"/>
      <c r="IEN226" s="1201"/>
      <c r="IEO226" s="1201"/>
      <c r="IEP226" s="1201"/>
      <c r="IEQ226" s="1201"/>
      <c r="IER226" s="1201"/>
      <c r="IES226" s="1201"/>
      <c r="IET226" s="1201"/>
      <c r="IEU226" s="1201"/>
      <c r="IEV226" s="1201"/>
      <c r="IEW226" s="1201"/>
      <c r="IEX226" s="1201"/>
      <c r="IEY226" s="1201"/>
      <c r="IEZ226" s="1201"/>
      <c r="IFA226" s="1201"/>
      <c r="IFB226" s="1201"/>
      <c r="IFC226" s="1201"/>
      <c r="IFD226" s="1201"/>
      <c r="IFE226" s="1201"/>
      <c r="IFF226" s="1201"/>
      <c r="IFG226" s="1201"/>
      <c r="IFH226" s="1201"/>
      <c r="IFI226" s="1201"/>
      <c r="IFJ226" s="1201"/>
      <c r="IFK226" s="1201"/>
      <c r="IFL226" s="1201"/>
      <c r="IFM226" s="1201"/>
      <c r="IFN226" s="1201"/>
      <c r="IFO226" s="1201"/>
      <c r="IFP226" s="1201"/>
      <c r="IFQ226" s="1201"/>
      <c r="IFR226" s="1201"/>
      <c r="IFS226" s="1201"/>
      <c r="IFT226" s="1201"/>
      <c r="IFU226" s="1201"/>
      <c r="IFV226" s="1201"/>
      <c r="IFW226" s="1201"/>
      <c r="IFX226" s="1201"/>
      <c r="IFY226" s="1201"/>
      <c r="IFZ226" s="1201"/>
      <c r="IGA226" s="1201"/>
      <c r="IGB226" s="1201"/>
      <c r="IGC226" s="1201"/>
      <c r="IGD226" s="1201"/>
      <c r="IGE226" s="1201"/>
      <c r="IGF226" s="1201"/>
      <c r="IGG226" s="1201"/>
      <c r="IGH226" s="1201"/>
      <c r="IGI226" s="1201"/>
      <c r="IGJ226" s="1201"/>
      <c r="IGK226" s="1201"/>
      <c r="IGL226" s="1201"/>
      <c r="IGM226" s="1201"/>
      <c r="IGN226" s="1201"/>
      <c r="IGO226" s="1201"/>
      <c r="IGP226" s="1201"/>
      <c r="IGQ226" s="1201"/>
      <c r="IGR226" s="1201"/>
      <c r="IGS226" s="1201"/>
      <c r="IGT226" s="1201"/>
      <c r="IGU226" s="1201"/>
      <c r="IGV226" s="1201"/>
      <c r="IGW226" s="1201"/>
      <c r="IGX226" s="1201"/>
      <c r="IGY226" s="1201"/>
      <c r="IGZ226" s="1201"/>
      <c r="IHA226" s="1201"/>
      <c r="IHB226" s="1201"/>
      <c r="IHC226" s="1201"/>
      <c r="IHD226" s="1201"/>
      <c r="IHE226" s="1201"/>
      <c r="IHF226" s="1201"/>
      <c r="IHG226" s="1201"/>
      <c r="IHH226" s="1201"/>
      <c r="IHI226" s="1201"/>
      <c r="IHJ226" s="1201"/>
      <c r="IHK226" s="1201"/>
      <c r="IHL226" s="1201"/>
      <c r="IHM226" s="1201"/>
      <c r="IHN226" s="1201"/>
      <c r="IHO226" s="1201"/>
      <c r="IHP226" s="1201"/>
      <c r="IHQ226" s="1201"/>
      <c r="IHR226" s="1201"/>
      <c r="IHS226" s="1201"/>
      <c r="IHT226" s="1201"/>
      <c r="IHU226" s="1201"/>
      <c r="IHV226" s="1201"/>
      <c r="IHW226" s="1201"/>
      <c r="IHX226" s="1201"/>
      <c r="IHY226" s="1201"/>
      <c r="IHZ226" s="1201"/>
      <c r="IIA226" s="1201"/>
      <c r="IIB226" s="1201"/>
      <c r="IIC226" s="1201"/>
      <c r="IID226" s="1201"/>
      <c r="IIE226" s="1201"/>
      <c r="IIF226" s="1201"/>
      <c r="IIG226" s="1201"/>
      <c r="IIH226" s="1201"/>
      <c r="III226" s="1201"/>
      <c r="IIJ226" s="1201"/>
      <c r="IIK226" s="1201"/>
      <c r="IIL226" s="1201"/>
      <c r="IIM226" s="1201"/>
      <c r="IIN226" s="1201"/>
      <c r="IIO226" s="1201"/>
      <c r="IIP226" s="1201"/>
      <c r="IIQ226" s="1201"/>
      <c r="IIR226" s="1201"/>
      <c r="IIS226" s="1201"/>
      <c r="IIT226" s="1201"/>
      <c r="IIU226" s="1201"/>
      <c r="IIV226" s="1201"/>
      <c r="IIW226" s="1201"/>
      <c r="IIX226" s="1201"/>
      <c r="IIY226" s="1201"/>
      <c r="IIZ226" s="1201"/>
      <c r="IJA226" s="1201"/>
      <c r="IJB226" s="1201"/>
      <c r="IJC226" s="1201"/>
      <c r="IJD226" s="1201"/>
      <c r="IJE226" s="1201"/>
      <c r="IJF226" s="1201"/>
      <c r="IJG226" s="1201"/>
      <c r="IJH226" s="1201"/>
      <c r="IJI226" s="1201"/>
      <c r="IJJ226" s="1201"/>
      <c r="IJK226" s="1201"/>
      <c r="IJL226" s="1201"/>
      <c r="IJM226" s="1201"/>
      <c r="IJN226" s="1201"/>
      <c r="IJO226" s="1201"/>
      <c r="IJP226" s="1201"/>
      <c r="IJQ226" s="1201"/>
      <c r="IJR226" s="1201"/>
      <c r="IJS226" s="1201"/>
      <c r="IJT226" s="1201"/>
      <c r="IJU226" s="1201"/>
      <c r="IJV226" s="1201"/>
      <c r="IJW226" s="1201"/>
      <c r="IJX226" s="1201"/>
      <c r="IJY226" s="1201"/>
      <c r="IJZ226" s="1201"/>
      <c r="IKA226" s="1201"/>
      <c r="IKB226" s="1201"/>
      <c r="IKC226" s="1201"/>
      <c r="IKD226" s="1201"/>
      <c r="IKE226" s="1201"/>
      <c r="IKF226" s="1201"/>
      <c r="IKG226" s="1201"/>
      <c r="IKH226" s="1201"/>
      <c r="IKI226" s="1201"/>
      <c r="IKJ226" s="1201"/>
      <c r="IKK226" s="1201"/>
      <c r="IKL226" s="1201"/>
      <c r="IKM226" s="1201"/>
      <c r="IKN226" s="1201"/>
      <c r="IKO226" s="1201"/>
      <c r="IKP226" s="1201"/>
      <c r="IKQ226" s="1201"/>
      <c r="IKR226" s="1201"/>
      <c r="IKS226" s="1201"/>
      <c r="IKT226" s="1201"/>
      <c r="IKU226" s="1201"/>
      <c r="IKV226" s="1201"/>
      <c r="IKW226" s="1201"/>
      <c r="IKX226" s="1201"/>
      <c r="IKY226" s="1201"/>
      <c r="IKZ226" s="1201"/>
      <c r="ILA226" s="1201"/>
      <c r="ILB226" s="1201"/>
      <c r="ILC226" s="1201"/>
      <c r="ILD226" s="1201"/>
      <c r="ILE226" s="1201"/>
      <c r="ILF226" s="1201"/>
      <c r="ILG226" s="1201"/>
      <c r="ILH226" s="1201"/>
      <c r="ILI226" s="1201"/>
      <c r="ILJ226" s="1201"/>
      <c r="ILK226" s="1201"/>
      <c r="ILL226" s="1201"/>
      <c r="ILM226" s="1201"/>
      <c r="ILN226" s="1201"/>
      <c r="ILO226" s="1201"/>
      <c r="ILP226" s="1201"/>
      <c r="ILQ226" s="1201"/>
      <c r="ILR226" s="1201"/>
      <c r="ILS226" s="1201"/>
      <c r="ILT226" s="1201"/>
      <c r="ILU226" s="1201"/>
      <c r="ILV226" s="1201"/>
      <c r="ILW226" s="1201"/>
      <c r="ILX226" s="1201"/>
      <c r="ILY226" s="1201"/>
      <c r="ILZ226" s="1201"/>
      <c r="IMA226" s="1201"/>
      <c r="IMB226" s="1201"/>
      <c r="IMC226" s="1201"/>
      <c r="IMD226" s="1201"/>
      <c r="IME226" s="1201"/>
      <c r="IMF226" s="1201"/>
      <c r="IMG226" s="1201"/>
      <c r="IMH226" s="1201"/>
      <c r="IMI226" s="1201"/>
      <c r="IMJ226" s="1201"/>
      <c r="IMK226" s="1201"/>
      <c r="IML226" s="1201"/>
      <c r="IMM226" s="1201"/>
      <c r="IMN226" s="1201"/>
      <c r="IMO226" s="1201"/>
      <c r="IMP226" s="1201"/>
      <c r="IMQ226" s="1201"/>
      <c r="IMR226" s="1201"/>
      <c r="IMS226" s="1201"/>
      <c r="IMT226" s="1201"/>
      <c r="IMU226" s="1201"/>
      <c r="IMV226" s="1201"/>
      <c r="IMW226" s="1201"/>
      <c r="IMX226" s="1201"/>
      <c r="IMY226" s="1201"/>
      <c r="IMZ226" s="1201"/>
      <c r="INA226" s="1201"/>
      <c r="INB226" s="1201"/>
      <c r="INC226" s="1201"/>
      <c r="IND226" s="1201"/>
      <c r="INE226" s="1201"/>
      <c r="INF226" s="1201"/>
      <c r="ING226" s="1201"/>
      <c r="INH226" s="1201"/>
      <c r="INI226" s="1201"/>
      <c r="INJ226" s="1201"/>
      <c r="INK226" s="1201"/>
      <c r="INL226" s="1201"/>
      <c r="INM226" s="1201"/>
      <c r="INN226" s="1201"/>
      <c r="INO226" s="1201"/>
      <c r="INP226" s="1201"/>
      <c r="INQ226" s="1201"/>
      <c r="INR226" s="1201"/>
      <c r="INS226" s="1201"/>
      <c r="INT226" s="1201"/>
      <c r="INU226" s="1201"/>
      <c r="INV226" s="1201"/>
      <c r="INW226" s="1201"/>
      <c r="INX226" s="1201"/>
      <c r="INY226" s="1201"/>
      <c r="INZ226" s="1201"/>
      <c r="IOA226" s="1201"/>
      <c r="IOB226" s="1201"/>
      <c r="IOC226" s="1201"/>
      <c r="IOD226" s="1201"/>
      <c r="IOE226" s="1201"/>
      <c r="IOF226" s="1201"/>
      <c r="IOG226" s="1201"/>
      <c r="IOH226" s="1201"/>
      <c r="IOI226" s="1201"/>
      <c r="IOJ226" s="1201"/>
      <c r="IOK226" s="1201"/>
      <c r="IOL226" s="1201"/>
      <c r="IOM226" s="1201"/>
      <c r="ION226" s="1201"/>
      <c r="IOO226" s="1201"/>
      <c r="IOP226" s="1201"/>
      <c r="IOQ226" s="1201"/>
      <c r="IOR226" s="1201"/>
      <c r="IOS226" s="1201"/>
      <c r="IOT226" s="1201"/>
      <c r="IOU226" s="1201"/>
      <c r="IOV226" s="1201"/>
      <c r="IOW226" s="1201"/>
      <c r="IOX226" s="1201"/>
      <c r="IOY226" s="1201"/>
      <c r="IOZ226" s="1201"/>
      <c r="IPA226" s="1201"/>
      <c r="IPB226" s="1201"/>
      <c r="IPC226" s="1201"/>
      <c r="IPD226" s="1201"/>
      <c r="IPE226" s="1201"/>
      <c r="IPF226" s="1201"/>
      <c r="IPG226" s="1201"/>
      <c r="IPH226" s="1201"/>
      <c r="IPI226" s="1201"/>
      <c r="IPJ226" s="1201"/>
      <c r="IPK226" s="1201"/>
      <c r="IPL226" s="1201"/>
      <c r="IPM226" s="1201"/>
      <c r="IPN226" s="1201"/>
      <c r="IPO226" s="1201"/>
      <c r="IPP226" s="1201"/>
      <c r="IPQ226" s="1201"/>
      <c r="IPR226" s="1201"/>
      <c r="IPS226" s="1201"/>
      <c r="IPT226" s="1201"/>
      <c r="IPU226" s="1201"/>
      <c r="IPV226" s="1201"/>
      <c r="IPW226" s="1201"/>
      <c r="IPX226" s="1201"/>
      <c r="IPY226" s="1201"/>
      <c r="IPZ226" s="1201"/>
      <c r="IQA226" s="1201"/>
      <c r="IQB226" s="1201"/>
      <c r="IQC226" s="1201"/>
      <c r="IQD226" s="1201"/>
      <c r="IQE226" s="1201"/>
      <c r="IQF226" s="1201"/>
      <c r="IQG226" s="1201"/>
      <c r="IQH226" s="1201"/>
      <c r="IQI226" s="1201"/>
      <c r="IQJ226" s="1201"/>
      <c r="IQK226" s="1201"/>
      <c r="IQL226" s="1201"/>
      <c r="IQM226" s="1201"/>
      <c r="IQN226" s="1201"/>
      <c r="IQO226" s="1201"/>
      <c r="IQP226" s="1201"/>
      <c r="IQQ226" s="1201"/>
      <c r="IQR226" s="1201"/>
      <c r="IQS226" s="1201"/>
      <c r="IQT226" s="1201"/>
      <c r="IQU226" s="1201"/>
      <c r="IQV226" s="1201"/>
      <c r="IQW226" s="1201"/>
      <c r="IQX226" s="1201"/>
      <c r="IQY226" s="1201"/>
      <c r="IQZ226" s="1201"/>
      <c r="IRA226" s="1201"/>
      <c r="IRB226" s="1201"/>
      <c r="IRC226" s="1201"/>
      <c r="IRD226" s="1201"/>
      <c r="IRE226" s="1201"/>
      <c r="IRF226" s="1201"/>
      <c r="IRG226" s="1201"/>
      <c r="IRH226" s="1201"/>
      <c r="IRI226" s="1201"/>
      <c r="IRJ226" s="1201"/>
      <c r="IRK226" s="1201"/>
      <c r="IRL226" s="1201"/>
      <c r="IRM226" s="1201"/>
      <c r="IRN226" s="1201"/>
      <c r="IRO226" s="1201"/>
      <c r="IRP226" s="1201"/>
      <c r="IRQ226" s="1201"/>
      <c r="IRR226" s="1201"/>
      <c r="IRS226" s="1201"/>
      <c r="IRT226" s="1201"/>
      <c r="IRU226" s="1201"/>
      <c r="IRV226" s="1201"/>
      <c r="IRW226" s="1201"/>
      <c r="IRX226" s="1201"/>
      <c r="IRY226" s="1201"/>
      <c r="IRZ226" s="1201"/>
      <c r="ISA226" s="1201"/>
      <c r="ISB226" s="1201"/>
      <c r="ISC226" s="1201"/>
      <c r="ISD226" s="1201"/>
      <c r="ISE226" s="1201"/>
      <c r="ISF226" s="1201"/>
      <c r="ISG226" s="1201"/>
      <c r="ISH226" s="1201"/>
      <c r="ISI226" s="1201"/>
      <c r="ISJ226" s="1201"/>
      <c r="ISK226" s="1201"/>
      <c r="ISL226" s="1201"/>
      <c r="ISM226" s="1201"/>
      <c r="ISN226" s="1201"/>
      <c r="ISO226" s="1201"/>
      <c r="ISP226" s="1201"/>
      <c r="ISQ226" s="1201"/>
      <c r="ISR226" s="1201"/>
      <c r="ISS226" s="1201"/>
      <c r="IST226" s="1201"/>
      <c r="ISU226" s="1201"/>
      <c r="ISV226" s="1201"/>
      <c r="ISW226" s="1201"/>
      <c r="ISX226" s="1201"/>
      <c r="ISY226" s="1201"/>
      <c r="ISZ226" s="1201"/>
      <c r="ITA226" s="1201"/>
      <c r="ITB226" s="1201"/>
      <c r="ITC226" s="1201"/>
      <c r="ITD226" s="1201"/>
      <c r="ITE226" s="1201"/>
      <c r="ITF226" s="1201"/>
      <c r="ITG226" s="1201"/>
      <c r="ITH226" s="1201"/>
      <c r="ITI226" s="1201"/>
      <c r="ITJ226" s="1201"/>
      <c r="ITK226" s="1201"/>
      <c r="ITL226" s="1201"/>
      <c r="ITM226" s="1201"/>
      <c r="ITN226" s="1201"/>
      <c r="ITO226" s="1201"/>
      <c r="ITP226" s="1201"/>
      <c r="ITQ226" s="1201"/>
      <c r="ITR226" s="1201"/>
      <c r="ITS226" s="1201"/>
      <c r="ITT226" s="1201"/>
      <c r="ITU226" s="1201"/>
      <c r="ITV226" s="1201"/>
      <c r="ITW226" s="1201"/>
      <c r="ITX226" s="1201"/>
      <c r="ITY226" s="1201"/>
      <c r="ITZ226" s="1201"/>
      <c r="IUA226" s="1201"/>
      <c r="IUB226" s="1201"/>
      <c r="IUC226" s="1201"/>
      <c r="IUD226" s="1201"/>
      <c r="IUE226" s="1201"/>
      <c r="IUF226" s="1201"/>
      <c r="IUG226" s="1201"/>
      <c r="IUH226" s="1201"/>
      <c r="IUI226" s="1201"/>
      <c r="IUJ226" s="1201"/>
      <c r="IUK226" s="1201"/>
      <c r="IUL226" s="1201"/>
      <c r="IUM226" s="1201"/>
      <c r="IUN226" s="1201"/>
      <c r="IUO226" s="1201"/>
      <c r="IUP226" s="1201"/>
      <c r="IUQ226" s="1201"/>
      <c r="IUR226" s="1201"/>
      <c r="IUS226" s="1201"/>
      <c r="IUT226" s="1201"/>
      <c r="IUU226" s="1201"/>
      <c r="IUV226" s="1201"/>
      <c r="IUW226" s="1201"/>
      <c r="IUX226" s="1201"/>
      <c r="IUY226" s="1201"/>
      <c r="IUZ226" s="1201"/>
      <c r="IVA226" s="1201"/>
      <c r="IVB226" s="1201"/>
      <c r="IVC226" s="1201"/>
      <c r="IVD226" s="1201"/>
      <c r="IVE226" s="1201"/>
      <c r="IVF226" s="1201"/>
      <c r="IVG226" s="1201"/>
      <c r="IVH226" s="1201"/>
      <c r="IVI226" s="1201"/>
      <c r="IVJ226" s="1201"/>
      <c r="IVK226" s="1201"/>
      <c r="IVL226" s="1201"/>
      <c r="IVM226" s="1201"/>
      <c r="IVN226" s="1201"/>
      <c r="IVO226" s="1201"/>
      <c r="IVP226" s="1201"/>
      <c r="IVQ226" s="1201"/>
      <c r="IVR226" s="1201"/>
      <c r="IVS226" s="1201"/>
      <c r="IVT226" s="1201"/>
      <c r="IVU226" s="1201"/>
      <c r="IVV226" s="1201"/>
      <c r="IVW226" s="1201"/>
      <c r="IVX226" s="1201"/>
      <c r="IVY226" s="1201"/>
      <c r="IVZ226" s="1201"/>
      <c r="IWA226" s="1201"/>
      <c r="IWB226" s="1201"/>
      <c r="IWC226" s="1201"/>
      <c r="IWD226" s="1201"/>
      <c r="IWE226" s="1201"/>
      <c r="IWF226" s="1201"/>
      <c r="IWG226" s="1201"/>
      <c r="IWH226" s="1201"/>
      <c r="IWI226" s="1201"/>
      <c r="IWJ226" s="1201"/>
      <c r="IWK226" s="1201"/>
      <c r="IWL226" s="1201"/>
      <c r="IWM226" s="1201"/>
      <c r="IWN226" s="1201"/>
      <c r="IWO226" s="1201"/>
      <c r="IWP226" s="1201"/>
      <c r="IWQ226" s="1201"/>
      <c r="IWR226" s="1201"/>
      <c r="IWS226" s="1201"/>
      <c r="IWT226" s="1201"/>
      <c r="IWU226" s="1201"/>
      <c r="IWV226" s="1201"/>
      <c r="IWW226" s="1201"/>
      <c r="IWX226" s="1201"/>
      <c r="IWY226" s="1201"/>
      <c r="IWZ226" s="1201"/>
      <c r="IXA226" s="1201"/>
      <c r="IXB226" s="1201"/>
      <c r="IXC226" s="1201"/>
      <c r="IXD226" s="1201"/>
      <c r="IXE226" s="1201"/>
      <c r="IXF226" s="1201"/>
      <c r="IXG226" s="1201"/>
      <c r="IXH226" s="1201"/>
      <c r="IXI226" s="1201"/>
      <c r="IXJ226" s="1201"/>
      <c r="IXK226" s="1201"/>
      <c r="IXL226" s="1201"/>
      <c r="IXM226" s="1201"/>
      <c r="IXN226" s="1201"/>
      <c r="IXO226" s="1201"/>
      <c r="IXP226" s="1201"/>
      <c r="IXQ226" s="1201"/>
      <c r="IXR226" s="1201"/>
      <c r="IXS226" s="1201"/>
      <c r="IXT226" s="1201"/>
      <c r="IXU226" s="1201"/>
      <c r="IXV226" s="1201"/>
      <c r="IXW226" s="1201"/>
      <c r="IXX226" s="1201"/>
      <c r="IXY226" s="1201"/>
      <c r="IXZ226" s="1201"/>
      <c r="IYA226" s="1201"/>
      <c r="IYB226" s="1201"/>
      <c r="IYC226" s="1201"/>
      <c r="IYD226" s="1201"/>
      <c r="IYE226" s="1201"/>
      <c r="IYF226" s="1201"/>
      <c r="IYG226" s="1201"/>
      <c r="IYH226" s="1201"/>
      <c r="IYI226" s="1201"/>
      <c r="IYJ226" s="1201"/>
      <c r="IYK226" s="1201"/>
      <c r="IYL226" s="1201"/>
      <c r="IYM226" s="1201"/>
      <c r="IYN226" s="1201"/>
      <c r="IYO226" s="1201"/>
      <c r="IYP226" s="1201"/>
      <c r="IYQ226" s="1201"/>
      <c r="IYR226" s="1201"/>
      <c r="IYS226" s="1201"/>
      <c r="IYT226" s="1201"/>
      <c r="IYU226" s="1201"/>
      <c r="IYV226" s="1201"/>
      <c r="IYW226" s="1201"/>
      <c r="IYX226" s="1201"/>
      <c r="IYY226" s="1201"/>
      <c r="IYZ226" s="1201"/>
      <c r="IZA226" s="1201"/>
      <c r="IZB226" s="1201"/>
      <c r="IZC226" s="1201"/>
      <c r="IZD226" s="1201"/>
      <c r="IZE226" s="1201"/>
      <c r="IZF226" s="1201"/>
      <c r="IZG226" s="1201"/>
      <c r="IZH226" s="1201"/>
      <c r="IZI226" s="1201"/>
      <c r="IZJ226" s="1201"/>
      <c r="IZK226" s="1201"/>
      <c r="IZL226" s="1201"/>
      <c r="IZM226" s="1201"/>
      <c r="IZN226" s="1201"/>
      <c r="IZO226" s="1201"/>
      <c r="IZP226" s="1201"/>
      <c r="IZQ226" s="1201"/>
      <c r="IZR226" s="1201"/>
      <c r="IZS226" s="1201"/>
      <c r="IZT226" s="1201"/>
      <c r="IZU226" s="1201"/>
      <c r="IZV226" s="1201"/>
      <c r="IZW226" s="1201"/>
      <c r="IZX226" s="1201"/>
      <c r="IZY226" s="1201"/>
      <c r="IZZ226" s="1201"/>
      <c r="JAA226" s="1201"/>
      <c r="JAB226" s="1201"/>
      <c r="JAC226" s="1201"/>
      <c r="JAD226" s="1201"/>
      <c r="JAE226" s="1201"/>
      <c r="JAF226" s="1201"/>
      <c r="JAG226" s="1201"/>
      <c r="JAH226" s="1201"/>
      <c r="JAI226" s="1201"/>
      <c r="JAJ226" s="1201"/>
      <c r="JAK226" s="1201"/>
      <c r="JAL226" s="1201"/>
      <c r="JAM226" s="1201"/>
      <c r="JAN226" s="1201"/>
      <c r="JAO226" s="1201"/>
      <c r="JAP226" s="1201"/>
      <c r="JAQ226" s="1201"/>
      <c r="JAR226" s="1201"/>
      <c r="JAS226" s="1201"/>
      <c r="JAT226" s="1201"/>
      <c r="JAU226" s="1201"/>
      <c r="JAV226" s="1201"/>
      <c r="JAW226" s="1201"/>
      <c r="JAX226" s="1201"/>
      <c r="JAY226" s="1201"/>
      <c r="JAZ226" s="1201"/>
      <c r="JBA226" s="1201"/>
      <c r="JBB226" s="1201"/>
      <c r="JBC226" s="1201"/>
      <c r="JBD226" s="1201"/>
      <c r="JBE226" s="1201"/>
      <c r="JBF226" s="1201"/>
      <c r="JBG226" s="1201"/>
      <c r="JBH226" s="1201"/>
      <c r="JBI226" s="1201"/>
      <c r="JBJ226" s="1201"/>
      <c r="JBK226" s="1201"/>
      <c r="JBL226" s="1201"/>
      <c r="JBM226" s="1201"/>
      <c r="JBN226" s="1201"/>
      <c r="JBO226" s="1201"/>
      <c r="JBP226" s="1201"/>
      <c r="JBQ226" s="1201"/>
      <c r="JBR226" s="1201"/>
      <c r="JBS226" s="1201"/>
      <c r="JBT226" s="1201"/>
      <c r="JBU226" s="1201"/>
      <c r="JBV226" s="1201"/>
      <c r="JBW226" s="1201"/>
      <c r="JBX226" s="1201"/>
      <c r="JBY226" s="1201"/>
      <c r="JBZ226" s="1201"/>
      <c r="JCA226" s="1201"/>
      <c r="JCB226" s="1201"/>
      <c r="JCC226" s="1201"/>
      <c r="JCD226" s="1201"/>
      <c r="JCE226" s="1201"/>
      <c r="JCF226" s="1201"/>
      <c r="JCG226" s="1201"/>
      <c r="JCH226" s="1201"/>
      <c r="JCI226" s="1201"/>
      <c r="JCJ226" s="1201"/>
      <c r="JCK226" s="1201"/>
      <c r="JCL226" s="1201"/>
      <c r="JCM226" s="1201"/>
      <c r="JCN226" s="1201"/>
      <c r="JCO226" s="1201"/>
      <c r="JCP226" s="1201"/>
      <c r="JCQ226" s="1201"/>
      <c r="JCR226" s="1201"/>
      <c r="JCS226" s="1201"/>
      <c r="JCT226" s="1201"/>
      <c r="JCU226" s="1201"/>
      <c r="JCV226" s="1201"/>
      <c r="JCW226" s="1201"/>
      <c r="JCX226" s="1201"/>
      <c r="JCY226" s="1201"/>
      <c r="JCZ226" s="1201"/>
      <c r="JDA226" s="1201"/>
      <c r="JDB226" s="1201"/>
      <c r="JDC226" s="1201"/>
      <c r="JDD226" s="1201"/>
      <c r="JDE226" s="1201"/>
      <c r="JDF226" s="1201"/>
      <c r="JDG226" s="1201"/>
      <c r="JDH226" s="1201"/>
      <c r="JDI226" s="1201"/>
      <c r="JDJ226" s="1201"/>
      <c r="JDK226" s="1201"/>
      <c r="JDL226" s="1201"/>
      <c r="JDM226" s="1201"/>
      <c r="JDN226" s="1201"/>
      <c r="JDO226" s="1201"/>
      <c r="JDP226" s="1201"/>
      <c r="JDQ226" s="1201"/>
      <c r="JDR226" s="1201"/>
      <c r="JDS226" s="1201"/>
      <c r="JDT226" s="1201"/>
      <c r="JDU226" s="1201"/>
      <c r="JDV226" s="1201"/>
      <c r="JDW226" s="1201"/>
      <c r="JDX226" s="1201"/>
      <c r="JDY226" s="1201"/>
      <c r="JDZ226" s="1201"/>
      <c r="JEA226" s="1201"/>
      <c r="JEB226" s="1201"/>
      <c r="JEC226" s="1201"/>
      <c r="JED226" s="1201"/>
      <c r="JEE226" s="1201"/>
      <c r="JEF226" s="1201"/>
      <c r="JEG226" s="1201"/>
      <c r="JEH226" s="1201"/>
      <c r="JEI226" s="1201"/>
      <c r="JEJ226" s="1201"/>
      <c r="JEK226" s="1201"/>
      <c r="JEL226" s="1201"/>
      <c r="JEM226" s="1201"/>
      <c r="JEN226" s="1201"/>
      <c r="JEO226" s="1201"/>
      <c r="JEP226" s="1201"/>
      <c r="JEQ226" s="1201"/>
      <c r="JER226" s="1201"/>
      <c r="JES226" s="1201"/>
      <c r="JET226" s="1201"/>
      <c r="JEU226" s="1201"/>
      <c r="JEV226" s="1201"/>
      <c r="JEW226" s="1201"/>
      <c r="JEX226" s="1201"/>
      <c r="JEY226" s="1201"/>
      <c r="JEZ226" s="1201"/>
      <c r="JFA226" s="1201"/>
      <c r="JFB226" s="1201"/>
      <c r="JFC226" s="1201"/>
      <c r="JFD226" s="1201"/>
      <c r="JFE226" s="1201"/>
      <c r="JFF226" s="1201"/>
      <c r="JFG226" s="1201"/>
      <c r="JFH226" s="1201"/>
      <c r="JFI226" s="1201"/>
      <c r="JFJ226" s="1201"/>
      <c r="JFK226" s="1201"/>
      <c r="JFL226" s="1201"/>
      <c r="JFM226" s="1201"/>
      <c r="JFN226" s="1201"/>
      <c r="JFO226" s="1201"/>
      <c r="JFP226" s="1201"/>
      <c r="JFQ226" s="1201"/>
      <c r="JFR226" s="1201"/>
      <c r="JFS226" s="1201"/>
      <c r="JFT226" s="1201"/>
      <c r="JFU226" s="1201"/>
      <c r="JFV226" s="1201"/>
      <c r="JFW226" s="1201"/>
      <c r="JFX226" s="1201"/>
      <c r="JFY226" s="1201"/>
      <c r="JFZ226" s="1201"/>
      <c r="JGA226" s="1201"/>
      <c r="JGB226" s="1201"/>
      <c r="JGC226" s="1201"/>
      <c r="JGD226" s="1201"/>
      <c r="JGE226" s="1201"/>
      <c r="JGF226" s="1201"/>
      <c r="JGG226" s="1201"/>
      <c r="JGH226" s="1201"/>
      <c r="JGI226" s="1201"/>
      <c r="JGJ226" s="1201"/>
      <c r="JGK226" s="1201"/>
      <c r="JGL226" s="1201"/>
      <c r="JGM226" s="1201"/>
      <c r="JGN226" s="1201"/>
      <c r="JGO226" s="1201"/>
      <c r="JGP226" s="1201"/>
      <c r="JGQ226" s="1201"/>
      <c r="JGR226" s="1201"/>
      <c r="JGS226" s="1201"/>
      <c r="JGT226" s="1201"/>
      <c r="JGU226" s="1201"/>
      <c r="JGV226" s="1201"/>
      <c r="JGW226" s="1201"/>
      <c r="JGX226" s="1201"/>
      <c r="JGY226" s="1201"/>
      <c r="JGZ226" s="1201"/>
      <c r="JHA226" s="1201"/>
      <c r="JHB226" s="1201"/>
      <c r="JHC226" s="1201"/>
      <c r="JHD226" s="1201"/>
      <c r="JHE226" s="1201"/>
      <c r="JHF226" s="1201"/>
      <c r="JHG226" s="1201"/>
      <c r="JHH226" s="1201"/>
      <c r="JHI226" s="1201"/>
      <c r="JHJ226" s="1201"/>
      <c r="JHK226" s="1201"/>
      <c r="JHL226" s="1201"/>
      <c r="JHM226" s="1201"/>
      <c r="JHN226" s="1201"/>
      <c r="JHO226" s="1201"/>
      <c r="JHP226" s="1201"/>
      <c r="JHQ226" s="1201"/>
      <c r="JHR226" s="1201"/>
      <c r="JHS226" s="1201"/>
      <c r="JHT226" s="1201"/>
      <c r="JHU226" s="1201"/>
      <c r="JHV226" s="1201"/>
      <c r="JHW226" s="1201"/>
      <c r="JHX226" s="1201"/>
      <c r="JHY226" s="1201"/>
      <c r="JHZ226" s="1201"/>
      <c r="JIA226" s="1201"/>
      <c r="JIB226" s="1201"/>
      <c r="JIC226" s="1201"/>
      <c r="JID226" s="1201"/>
      <c r="JIE226" s="1201"/>
      <c r="JIF226" s="1201"/>
      <c r="JIG226" s="1201"/>
      <c r="JIH226" s="1201"/>
      <c r="JII226" s="1201"/>
      <c r="JIJ226" s="1201"/>
      <c r="JIK226" s="1201"/>
      <c r="JIL226" s="1201"/>
      <c r="JIM226" s="1201"/>
      <c r="JIN226" s="1201"/>
      <c r="JIO226" s="1201"/>
      <c r="JIP226" s="1201"/>
      <c r="JIQ226" s="1201"/>
      <c r="JIR226" s="1201"/>
      <c r="JIS226" s="1201"/>
      <c r="JIT226" s="1201"/>
      <c r="JIU226" s="1201"/>
      <c r="JIV226" s="1201"/>
      <c r="JIW226" s="1201"/>
      <c r="JIX226" s="1201"/>
      <c r="JIY226" s="1201"/>
      <c r="JIZ226" s="1201"/>
      <c r="JJA226" s="1201"/>
      <c r="JJB226" s="1201"/>
      <c r="JJC226" s="1201"/>
      <c r="JJD226" s="1201"/>
      <c r="JJE226" s="1201"/>
      <c r="JJF226" s="1201"/>
      <c r="JJG226" s="1201"/>
      <c r="JJH226" s="1201"/>
      <c r="JJI226" s="1201"/>
      <c r="JJJ226" s="1201"/>
      <c r="JJK226" s="1201"/>
      <c r="JJL226" s="1201"/>
      <c r="JJM226" s="1201"/>
      <c r="JJN226" s="1201"/>
      <c r="JJO226" s="1201"/>
      <c r="JJP226" s="1201"/>
      <c r="JJQ226" s="1201"/>
      <c r="JJR226" s="1201"/>
      <c r="JJS226" s="1201"/>
      <c r="JJT226" s="1201"/>
      <c r="JJU226" s="1201"/>
      <c r="JJV226" s="1201"/>
      <c r="JJW226" s="1201"/>
      <c r="JJX226" s="1201"/>
      <c r="JJY226" s="1201"/>
      <c r="JJZ226" s="1201"/>
      <c r="JKA226" s="1201"/>
      <c r="JKB226" s="1201"/>
      <c r="JKC226" s="1201"/>
      <c r="JKD226" s="1201"/>
      <c r="JKE226" s="1201"/>
      <c r="JKF226" s="1201"/>
      <c r="JKG226" s="1201"/>
      <c r="JKH226" s="1201"/>
      <c r="JKI226" s="1201"/>
      <c r="JKJ226" s="1201"/>
      <c r="JKK226" s="1201"/>
      <c r="JKL226" s="1201"/>
      <c r="JKM226" s="1201"/>
      <c r="JKN226" s="1201"/>
      <c r="JKO226" s="1201"/>
      <c r="JKP226" s="1201"/>
      <c r="JKQ226" s="1201"/>
      <c r="JKR226" s="1201"/>
      <c r="JKS226" s="1201"/>
      <c r="JKT226" s="1201"/>
      <c r="JKU226" s="1201"/>
      <c r="JKV226" s="1201"/>
      <c r="JKW226" s="1201"/>
      <c r="JKX226" s="1201"/>
      <c r="JKY226" s="1201"/>
      <c r="JKZ226" s="1201"/>
      <c r="JLA226" s="1201"/>
      <c r="JLB226" s="1201"/>
      <c r="JLC226" s="1201"/>
      <c r="JLD226" s="1201"/>
      <c r="JLE226" s="1201"/>
      <c r="JLF226" s="1201"/>
      <c r="JLG226" s="1201"/>
      <c r="JLH226" s="1201"/>
      <c r="JLI226" s="1201"/>
      <c r="JLJ226" s="1201"/>
      <c r="JLK226" s="1201"/>
      <c r="JLL226" s="1201"/>
      <c r="JLM226" s="1201"/>
      <c r="JLN226" s="1201"/>
      <c r="JLO226" s="1201"/>
      <c r="JLP226" s="1201"/>
      <c r="JLQ226" s="1201"/>
      <c r="JLR226" s="1201"/>
      <c r="JLS226" s="1201"/>
      <c r="JLT226" s="1201"/>
      <c r="JLU226" s="1201"/>
      <c r="JLV226" s="1201"/>
      <c r="JLW226" s="1201"/>
      <c r="JLX226" s="1201"/>
      <c r="JLY226" s="1201"/>
      <c r="JLZ226" s="1201"/>
      <c r="JMA226" s="1201"/>
      <c r="JMB226" s="1201"/>
      <c r="JMC226" s="1201"/>
      <c r="JMD226" s="1201"/>
      <c r="JME226" s="1201"/>
      <c r="JMF226" s="1201"/>
      <c r="JMG226" s="1201"/>
      <c r="JMH226" s="1201"/>
      <c r="JMI226" s="1201"/>
      <c r="JMJ226" s="1201"/>
      <c r="JMK226" s="1201"/>
      <c r="JML226" s="1201"/>
      <c r="JMM226" s="1201"/>
      <c r="JMN226" s="1201"/>
      <c r="JMO226" s="1201"/>
      <c r="JMP226" s="1201"/>
      <c r="JMQ226" s="1201"/>
      <c r="JMR226" s="1201"/>
      <c r="JMS226" s="1201"/>
      <c r="JMT226" s="1201"/>
      <c r="JMU226" s="1201"/>
      <c r="JMV226" s="1201"/>
      <c r="JMW226" s="1201"/>
      <c r="JMX226" s="1201"/>
      <c r="JMY226" s="1201"/>
      <c r="JMZ226" s="1201"/>
      <c r="JNA226" s="1201"/>
      <c r="JNB226" s="1201"/>
      <c r="JNC226" s="1201"/>
      <c r="JND226" s="1201"/>
      <c r="JNE226" s="1201"/>
      <c r="JNF226" s="1201"/>
      <c r="JNG226" s="1201"/>
      <c r="JNH226" s="1201"/>
      <c r="JNI226" s="1201"/>
      <c r="JNJ226" s="1201"/>
      <c r="JNK226" s="1201"/>
      <c r="JNL226" s="1201"/>
      <c r="JNM226" s="1201"/>
      <c r="JNN226" s="1201"/>
      <c r="JNO226" s="1201"/>
      <c r="JNP226" s="1201"/>
      <c r="JNQ226" s="1201"/>
      <c r="JNR226" s="1201"/>
      <c r="JNS226" s="1201"/>
      <c r="JNT226" s="1201"/>
      <c r="JNU226" s="1201"/>
      <c r="JNV226" s="1201"/>
      <c r="JNW226" s="1201"/>
      <c r="JNX226" s="1201"/>
      <c r="JNY226" s="1201"/>
      <c r="JNZ226" s="1201"/>
      <c r="JOA226" s="1201"/>
      <c r="JOB226" s="1201"/>
      <c r="JOC226" s="1201"/>
      <c r="JOD226" s="1201"/>
      <c r="JOE226" s="1201"/>
      <c r="JOF226" s="1201"/>
      <c r="JOG226" s="1201"/>
      <c r="JOH226" s="1201"/>
      <c r="JOI226" s="1201"/>
      <c r="JOJ226" s="1201"/>
      <c r="JOK226" s="1201"/>
      <c r="JOL226" s="1201"/>
      <c r="JOM226" s="1201"/>
      <c r="JON226" s="1201"/>
      <c r="JOO226" s="1201"/>
      <c r="JOP226" s="1201"/>
      <c r="JOQ226" s="1201"/>
      <c r="JOR226" s="1201"/>
      <c r="JOS226" s="1201"/>
      <c r="JOT226" s="1201"/>
      <c r="JOU226" s="1201"/>
      <c r="JOV226" s="1201"/>
      <c r="JOW226" s="1201"/>
      <c r="JOX226" s="1201"/>
      <c r="JOY226" s="1201"/>
      <c r="JOZ226" s="1201"/>
      <c r="JPA226" s="1201"/>
      <c r="JPB226" s="1201"/>
      <c r="JPC226" s="1201"/>
      <c r="JPD226" s="1201"/>
      <c r="JPE226" s="1201"/>
      <c r="JPF226" s="1201"/>
      <c r="JPG226" s="1201"/>
      <c r="JPH226" s="1201"/>
      <c r="JPI226" s="1201"/>
      <c r="JPJ226" s="1201"/>
      <c r="JPK226" s="1201"/>
      <c r="JPL226" s="1201"/>
      <c r="JPM226" s="1201"/>
      <c r="JPN226" s="1201"/>
      <c r="JPO226" s="1201"/>
      <c r="JPP226" s="1201"/>
      <c r="JPQ226" s="1201"/>
      <c r="JPR226" s="1201"/>
      <c r="JPS226" s="1201"/>
      <c r="JPT226" s="1201"/>
      <c r="JPU226" s="1201"/>
      <c r="JPV226" s="1201"/>
      <c r="JPW226" s="1201"/>
      <c r="JPX226" s="1201"/>
      <c r="JPY226" s="1201"/>
      <c r="JPZ226" s="1201"/>
      <c r="JQA226" s="1201"/>
      <c r="JQB226" s="1201"/>
      <c r="JQC226" s="1201"/>
      <c r="JQD226" s="1201"/>
      <c r="JQE226" s="1201"/>
      <c r="JQF226" s="1201"/>
      <c r="JQG226" s="1201"/>
      <c r="JQH226" s="1201"/>
      <c r="JQI226" s="1201"/>
      <c r="JQJ226" s="1201"/>
      <c r="JQK226" s="1201"/>
      <c r="JQL226" s="1201"/>
      <c r="JQM226" s="1201"/>
      <c r="JQN226" s="1201"/>
      <c r="JQO226" s="1201"/>
      <c r="JQP226" s="1201"/>
      <c r="JQQ226" s="1201"/>
      <c r="JQR226" s="1201"/>
      <c r="JQS226" s="1201"/>
      <c r="JQT226" s="1201"/>
      <c r="JQU226" s="1201"/>
      <c r="JQV226" s="1201"/>
      <c r="JQW226" s="1201"/>
      <c r="JQX226" s="1201"/>
      <c r="JQY226" s="1201"/>
      <c r="JQZ226" s="1201"/>
      <c r="JRA226" s="1201"/>
      <c r="JRB226" s="1201"/>
      <c r="JRC226" s="1201"/>
      <c r="JRD226" s="1201"/>
      <c r="JRE226" s="1201"/>
      <c r="JRF226" s="1201"/>
      <c r="JRG226" s="1201"/>
      <c r="JRH226" s="1201"/>
      <c r="JRI226" s="1201"/>
      <c r="JRJ226" s="1201"/>
      <c r="JRK226" s="1201"/>
      <c r="JRL226" s="1201"/>
      <c r="JRM226" s="1201"/>
      <c r="JRN226" s="1201"/>
      <c r="JRO226" s="1201"/>
      <c r="JRP226" s="1201"/>
      <c r="JRQ226" s="1201"/>
      <c r="JRR226" s="1201"/>
      <c r="JRS226" s="1201"/>
      <c r="JRT226" s="1201"/>
      <c r="JRU226" s="1201"/>
      <c r="JRV226" s="1201"/>
      <c r="JRW226" s="1201"/>
      <c r="JRX226" s="1201"/>
      <c r="JRY226" s="1201"/>
      <c r="JRZ226" s="1201"/>
      <c r="JSA226" s="1201"/>
      <c r="JSB226" s="1201"/>
      <c r="JSC226" s="1201"/>
      <c r="JSD226" s="1201"/>
      <c r="JSE226" s="1201"/>
      <c r="JSF226" s="1201"/>
      <c r="JSG226" s="1201"/>
      <c r="JSH226" s="1201"/>
      <c r="JSI226" s="1201"/>
      <c r="JSJ226" s="1201"/>
      <c r="JSK226" s="1201"/>
      <c r="JSL226" s="1201"/>
      <c r="JSM226" s="1201"/>
      <c r="JSN226" s="1201"/>
      <c r="JSO226" s="1201"/>
      <c r="JSP226" s="1201"/>
      <c r="JSQ226" s="1201"/>
      <c r="JSR226" s="1201"/>
      <c r="JSS226" s="1201"/>
      <c r="JST226" s="1201"/>
      <c r="JSU226" s="1201"/>
      <c r="JSV226" s="1201"/>
      <c r="JSW226" s="1201"/>
      <c r="JSX226" s="1201"/>
      <c r="JSY226" s="1201"/>
      <c r="JSZ226" s="1201"/>
      <c r="JTA226" s="1201"/>
      <c r="JTB226" s="1201"/>
      <c r="JTC226" s="1201"/>
      <c r="JTD226" s="1201"/>
      <c r="JTE226" s="1201"/>
      <c r="JTF226" s="1201"/>
      <c r="JTG226" s="1201"/>
      <c r="JTH226" s="1201"/>
      <c r="JTI226" s="1201"/>
      <c r="JTJ226" s="1201"/>
      <c r="JTK226" s="1201"/>
      <c r="JTL226" s="1201"/>
      <c r="JTM226" s="1201"/>
      <c r="JTN226" s="1201"/>
      <c r="JTO226" s="1201"/>
      <c r="JTP226" s="1201"/>
      <c r="JTQ226" s="1201"/>
      <c r="JTR226" s="1201"/>
      <c r="JTS226" s="1201"/>
      <c r="JTT226" s="1201"/>
      <c r="JTU226" s="1201"/>
      <c r="JTV226" s="1201"/>
      <c r="JTW226" s="1201"/>
      <c r="JTX226" s="1201"/>
      <c r="JTY226" s="1201"/>
      <c r="JTZ226" s="1201"/>
      <c r="JUA226" s="1201"/>
      <c r="JUB226" s="1201"/>
      <c r="JUC226" s="1201"/>
      <c r="JUD226" s="1201"/>
      <c r="JUE226" s="1201"/>
      <c r="JUF226" s="1201"/>
      <c r="JUG226" s="1201"/>
      <c r="JUH226" s="1201"/>
      <c r="JUI226" s="1201"/>
      <c r="JUJ226" s="1201"/>
      <c r="JUK226" s="1201"/>
      <c r="JUL226" s="1201"/>
      <c r="JUM226" s="1201"/>
      <c r="JUN226" s="1201"/>
      <c r="JUO226" s="1201"/>
      <c r="JUP226" s="1201"/>
      <c r="JUQ226" s="1201"/>
      <c r="JUR226" s="1201"/>
      <c r="JUS226" s="1201"/>
      <c r="JUT226" s="1201"/>
      <c r="JUU226" s="1201"/>
      <c r="JUV226" s="1201"/>
      <c r="JUW226" s="1201"/>
      <c r="JUX226" s="1201"/>
      <c r="JUY226" s="1201"/>
      <c r="JUZ226" s="1201"/>
      <c r="JVA226" s="1201"/>
      <c r="JVB226" s="1201"/>
      <c r="JVC226" s="1201"/>
      <c r="JVD226" s="1201"/>
      <c r="JVE226" s="1201"/>
      <c r="JVF226" s="1201"/>
      <c r="JVG226" s="1201"/>
      <c r="JVH226" s="1201"/>
      <c r="JVI226" s="1201"/>
      <c r="JVJ226" s="1201"/>
      <c r="JVK226" s="1201"/>
      <c r="JVL226" s="1201"/>
      <c r="JVM226" s="1201"/>
      <c r="JVN226" s="1201"/>
      <c r="JVO226" s="1201"/>
      <c r="JVP226" s="1201"/>
      <c r="JVQ226" s="1201"/>
      <c r="JVR226" s="1201"/>
      <c r="JVS226" s="1201"/>
      <c r="JVT226" s="1201"/>
      <c r="JVU226" s="1201"/>
      <c r="JVV226" s="1201"/>
      <c r="JVW226" s="1201"/>
      <c r="JVX226" s="1201"/>
      <c r="JVY226" s="1201"/>
      <c r="JVZ226" s="1201"/>
      <c r="JWA226" s="1201"/>
      <c r="JWB226" s="1201"/>
      <c r="JWC226" s="1201"/>
      <c r="JWD226" s="1201"/>
      <c r="JWE226" s="1201"/>
      <c r="JWF226" s="1201"/>
      <c r="JWG226" s="1201"/>
      <c r="JWH226" s="1201"/>
      <c r="JWI226" s="1201"/>
      <c r="JWJ226" s="1201"/>
      <c r="JWK226" s="1201"/>
      <c r="JWL226" s="1201"/>
      <c r="JWM226" s="1201"/>
      <c r="JWN226" s="1201"/>
      <c r="JWO226" s="1201"/>
      <c r="JWP226" s="1201"/>
      <c r="JWQ226" s="1201"/>
      <c r="JWR226" s="1201"/>
      <c r="JWS226" s="1201"/>
      <c r="JWT226" s="1201"/>
      <c r="JWU226" s="1201"/>
      <c r="JWV226" s="1201"/>
      <c r="JWW226" s="1201"/>
      <c r="JWX226" s="1201"/>
      <c r="JWY226" s="1201"/>
      <c r="JWZ226" s="1201"/>
      <c r="JXA226" s="1201"/>
      <c r="JXB226" s="1201"/>
      <c r="JXC226" s="1201"/>
      <c r="JXD226" s="1201"/>
      <c r="JXE226" s="1201"/>
      <c r="JXF226" s="1201"/>
      <c r="JXG226" s="1201"/>
      <c r="JXH226" s="1201"/>
      <c r="JXI226" s="1201"/>
      <c r="JXJ226" s="1201"/>
      <c r="JXK226" s="1201"/>
      <c r="JXL226" s="1201"/>
      <c r="JXM226" s="1201"/>
      <c r="JXN226" s="1201"/>
      <c r="JXO226" s="1201"/>
      <c r="JXP226" s="1201"/>
      <c r="JXQ226" s="1201"/>
      <c r="JXR226" s="1201"/>
      <c r="JXS226" s="1201"/>
      <c r="JXT226" s="1201"/>
      <c r="JXU226" s="1201"/>
      <c r="JXV226" s="1201"/>
      <c r="JXW226" s="1201"/>
      <c r="JXX226" s="1201"/>
      <c r="JXY226" s="1201"/>
      <c r="JXZ226" s="1201"/>
      <c r="JYA226" s="1201"/>
      <c r="JYB226" s="1201"/>
      <c r="JYC226" s="1201"/>
      <c r="JYD226" s="1201"/>
      <c r="JYE226" s="1201"/>
      <c r="JYF226" s="1201"/>
      <c r="JYG226" s="1201"/>
      <c r="JYH226" s="1201"/>
      <c r="JYI226" s="1201"/>
      <c r="JYJ226" s="1201"/>
      <c r="JYK226" s="1201"/>
      <c r="JYL226" s="1201"/>
      <c r="JYM226" s="1201"/>
      <c r="JYN226" s="1201"/>
      <c r="JYO226" s="1201"/>
      <c r="JYP226" s="1201"/>
      <c r="JYQ226" s="1201"/>
      <c r="JYR226" s="1201"/>
      <c r="JYS226" s="1201"/>
      <c r="JYT226" s="1201"/>
      <c r="JYU226" s="1201"/>
      <c r="JYV226" s="1201"/>
      <c r="JYW226" s="1201"/>
      <c r="JYX226" s="1201"/>
      <c r="JYY226" s="1201"/>
      <c r="JYZ226" s="1201"/>
      <c r="JZA226" s="1201"/>
      <c r="JZB226" s="1201"/>
      <c r="JZC226" s="1201"/>
      <c r="JZD226" s="1201"/>
      <c r="JZE226" s="1201"/>
      <c r="JZF226" s="1201"/>
      <c r="JZG226" s="1201"/>
      <c r="JZH226" s="1201"/>
      <c r="JZI226" s="1201"/>
      <c r="JZJ226" s="1201"/>
      <c r="JZK226" s="1201"/>
      <c r="JZL226" s="1201"/>
      <c r="JZM226" s="1201"/>
      <c r="JZN226" s="1201"/>
      <c r="JZO226" s="1201"/>
      <c r="JZP226" s="1201"/>
      <c r="JZQ226" s="1201"/>
      <c r="JZR226" s="1201"/>
      <c r="JZS226" s="1201"/>
      <c r="JZT226" s="1201"/>
      <c r="JZU226" s="1201"/>
      <c r="JZV226" s="1201"/>
      <c r="JZW226" s="1201"/>
      <c r="JZX226" s="1201"/>
      <c r="JZY226" s="1201"/>
      <c r="JZZ226" s="1201"/>
      <c r="KAA226" s="1201"/>
      <c r="KAB226" s="1201"/>
      <c r="KAC226" s="1201"/>
      <c r="KAD226" s="1201"/>
      <c r="KAE226" s="1201"/>
      <c r="KAF226" s="1201"/>
      <c r="KAG226" s="1201"/>
      <c r="KAH226" s="1201"/>
      <c r="KAI226" s="1201"/>
      <c r="KAJ226" s="1201"/>
      <c r="KAK226" s="1201"/>
      <c r="KAL226" s="1201"/>
      <c r="KAM226" s="1201"/>
      <c r="KAN226" s="1201"/>
      <c r="KAO226" s="1201"/>
      <c r="KAP226" s="1201"/>
      <c r="KAQ226" s="1201"/>
      <c r="KAR226" s="1201"/>
      <c r="KAS226" s="1201"/>
      <c r="KAT226" s="1201"/>
      <c r="KAU226" s="1201"/>
      <c r="KAV226" s="1201"/>
      <c r="KAW226" s="1201"/>
      <c r="KAX226" s="1201"/>
      <c r="KAY226" s="1201"/>
      <c r="KAZ226" s="1201"/>
      <c r="KBA226" s="1201"/>
      <c r="KBB226" s="1201"/>
      <c r="KBC226" s="1201"/>
      <c r="KBD226" s="1201"/>
      <c r="KBE226" s="1201"/>
      <c r="KBF226" s="1201"/>
      <c r="KBG226" s="1201"/>
      <c r="KBH226" s="1201"/>
      <c r="KBI226" s="1201"/>
      <c r="KBJ226" s="1201"/>
      <c r="KBK226" s="1201"/>
      <c r="KBL226" s="1201"/>
      <c r="KBM226" s="1201"/>
      <c r="KBN226" s="1201"/>
      <c r="KBO226" s="1201"/>
      <c r="KBP226" s="1201"/>
      <c r="KBQ226" s="1201"/>
      <c r="KBR226" s="1201"/>
      <c r="KBS226" s="1201"/>
      <c r="KBT226" s="1201"/>
      <c r="KBU226" s="1201"/>
      <c r="KBV226" s="1201"/>
      <c r="KBW226" s="1201"/>
      <c r="KBX226" s="1201"/>
      <c r="KBY226" s="1201"/>
      <c r="KBZ226" s="1201"/>
      <c r="KCA226" s="1201"/>
      <c r="KCB226" s="1201"/>
      <c r="KCC226" s="1201"/>
      <c r="KCD226" s="1201"/>
      <c r="KCE226" s="1201"/>
      <c r="KCF226" s="1201"/>
      <c r="KCG226" s="1201"/>
      <c r="KCH226" s="1201"/>
      <c r="KCI226" s="1201"/>
      <c r="KCJ226" s="1201"/>
      <c r="KCK226" s="1201"/>
      <c r="KCL226" s="1201"/>
      <c r="KCM226" s="1201"/>
      <c r="KCN226" s="1201"/>
      <c r="KCO226" s="1201"/>
      <c r="KCP226" s="1201"/>
      <c r="KCQ226" s="1201"/>
      <c r="KCR226" s="1201"/>
      <c r="KCS226" s="1201"/>
      <c r="KCT226" s="1201"/>
      <c r="KCU226" s="1201"/>
      <c r="KCV226" s="1201"/>
      <c r="KCW226" s="1201"/>
      <c r="KCX226" s="1201"/>
      <c r="KCY226" s="1201"/>
      <c r="KCZ226" s="1201"/>
      <c r="KDA226" s="1201"/>
      <c r="KDB226" s="1201"/>
      <c r="KDC226" s="1201"/>
      <c r="KDD226" s="1201"/>
      <c r="KDE226" s="1201"/>
      <c r="KDF226" s="1201"/>
      <c r="KDG226" s="1201"/>
      <c r="KDH226" s="1201"/>
      <c r="KDI226" s="1201"/>
      <c r="KDJ226" s="1201"/>
      <c r="KDK226" s="1201"/>
      <c r="KDL226" s="1201"/>
      <c r="KDM226" s="1201"/>
      <c r="KDN226" s="1201"/>
      <c r="KDO226" s="1201"/>
      <c r="KDP226" s="1201"/>
      <c r="KDQ226" s="1201"/>
      <c r="KDR226" s="1201"/>
      <c r="KDS226" s="1201"/>
      <c r="KDT226" s="1201"/>
      <c r="KDU226" s="1201"/>
      <c r="KDV226" s="1201"/>
      <c r="KDW226" s="1201"/>
      <c r="KDX226" s="1201"/>
      <c r="KDY226" s="1201"/>
      <c r="KDZ226" s="1201"/>
      <c r="KEA226" s="1201"/>
      <c r="KEB226" s="1201"/>
      <c r="KEC226" s="1201"/>
      <c r="KED226" s="1201"/>
      <c r="KEE226" s="1201"/>
      <c r="KEF226" s="1201"/>
      <c r="KEG226" s="1201"/>
      <c r="KEH226" s="1201"/>
      <c r="KEI226" s="1201"/>
      <c r="KEJ226" s="1201"/>
      <c r="KEK226" s="1201"/>
      <c r="KEL226" s="1201"/>
      <c r="KEM226" s="1201"/>
      <c r="KEN226" s="1201"/>
      <c r="KEO226" s="1201"/>
      <c r="KEP226" s="1201"/>
      <c r="KEQ226" s="1201"/>
      <c r="KER226" s="1201"/>
      <c r="KES226" s="1201"/>
      <c r="KET226" s="1201"/>
      <c r="KEU226" s="1201"/>
      <c r="KEV226" s="1201"/>
      <c r="KEW226" s="1201"/>
      <c r="KEX226" s="1201"/>
      <c r="KEY226" s="1201"/>
      <c r="KEZ226" s="1201"/>
      <c r="KFA226" s="1201"/>
      <c r="KFB226" s="1201"/>
      <c r="KFC226" s="1201"/>
      <c r="KFD226" s="1201"/>
      <c r="KFE226" s="1201"/>
      <c r="KFF226" s="1201"/>
      <c r="KFG226" s="1201"/>
      <c r="KFH226" s="1201"/>
      <c r="KFI226" s="1201"/>
      <c r="KFJ226" s="1201"/>
      <c r="KFK226" s="1201"/>
      <c r="KFL226" s="1201"/>
      <c r="KFM226" s="1201"/>
      <c r="KFN226" s="1201"/>
      <c r="KFO226" s="1201"/>
      <c r="KFP226" s="1201"/>
      <c r="KFQ226" s="1201"/>
      <c r="KFR226" s="1201"/>
      <c r="KFS226" s="1201"/>
      <c r="KFT226" s="1201"/>
      <c r="KFU226" s="1201"/>
      <c r="KFV226" s="1201"/>
      <c r="KFW226" s="1201"/>
      <c r="KFX226" s="1201"/>
      <c r="KFY226" s="1201"/>
      <c r="KFZ226" s="1201"/>
      <c r="KGA226" s="1201"/>
      <c r="KGB226" s="1201"/>
      <c r="KGC226" s="1201"/>
      <c r="KGD226" s="1201"/>
      <c r="KGE226" s="1201"/>
      <c r="KGF226" s="1201"/>
      <c r="KGG226" s="1201"/>
      <c r="KGH226" s="1201"/>
      <c r="KGI226" s="1201"/>
      <c r="KGJ226" s="1201"/>
      <c r="KGK226" s="1201"/>
      <c r="KGL226" s="1201"/>
      <c r="KGM226" s="1201"/>
      <c r="KGN226" s="1201"/>
      <c r="KGO226" s="1201"/>
      <c r="KGP226" s="1201"/>
      <c r="KGQ226" s="1201"/>
      <c r="KGR226" s="1201"/>
      <c r="KGS226" s="1201"/>
      <c r="KGT226" s="1201"/>
      <c r="KGU226" s="1201"/>
      <c r="KGV226" s="1201"/>
      <c r="KGW226" s="1201"/>
      <c r="KGX226" s="1201"/>
      <c r="KGY226" s="1201"/>
      <c r="KGZ226" s="1201"/>
      <c r="KHA226" s="1201"/>
      <c r="KHB226" s="1201"/>
      <c r="KHC226" s="1201"/>
      <c r="KHD226" s="1201"/>
      <c r="KHE226" s="1201"/>
      <c r="KHF226" s="1201"/>
      <c r="KHG226" s="1201"/>
      <c r="KHH226" s="1201"/>
      <c r="KHI226" s="1201"/>
      <c r="KHJ226" s="1201"/>
      <c r="KHK226" s="1201"/>
      <c r="KHL226" s="1201"/>
      <c r="KHM226" s="1201"/>
      <c r="KHN226" s="1201"/>
      <c r="KHO226" s="1201"/>
      <c r="KHP226" s="1201"/>
      <c r="KHQ226" s="1201"/>
      <c r="KHR226" s="1201"/>
      <c r="KHS226" s="1201"/>
      <c r="KHT226" s="1201"/>
      <c r="KHU226" s="1201"/>
      <c r="KHV226" s="1201"/>
      <c r="KHW226" s="1201"/>
      <c r="KHX226" s="1201"/>
      <c r="KHY226" s="1201"/>
      <c r="KHZ226" s="1201"/>
      <c r="KIA226" s="1201"/>
      <c r="KIB226" s="1201"/>
      <c r="KIC226" s="1201"/>
      <c r="KID226" s="1201"/>
      <c r="KIE226" s="1201"/>
      <c r="KIF226" s="1201"/>
      <c r="KIG226" s="1201"/>
      <c r="KIH226" s="1201"/>
      <c r="KII226" s="1201"/>
      <c r="KIJ226" s="1201"/>
      <c r="KIK226" s="1201"/>
      <c r="KIL226" s="1201"/>
      <c r="KIM226" s="1201"/>
      <c r="KIN226" s="1201"/>
      <c r="KIO226" s="1201"/>
      <c r="KIP226" s="1201"/>
      <c r="KIQ226" s="1201"/>
      <c r="KIR226" s="1201"/>
      <c r="KIS226" s="1201"/>
      <c r="KIT226" s="1201"/>
      <c r="KIU226" s="1201"/>
      <c r="KIV226" s="1201"/>
      <c r="KIW226" s="1201"/>
      <c r="KIX226" s="1201"/>
      <c r="KIY226" s="1201"/>
      <c r="KIZ226" s="1201"/>
      <c r="KJA226" s="1201"/>
      <c r="KJB226" s="1201"/>
      <c r="KJC226" s="1201"/>
      <c r="KJD226" s="1201"/>
      <c r="KJE226" s="1201"/>
      <c r="KJF226" s="1201"/>
      <c r="KJG226" s="1201"/>
      <c r="KJH226" s="1201"/>
      <c r="KJI226" s="1201"/>
      <c r="KJJ226" s="1201"/>
      <c r="KJK226" s="1201"/>
      <c r="KJL226" s="1201"/>
      <c r="KJM226" s="1201"/>
      <c r="KJN226" s="1201"/>
      <c r="KJO226" s="1201"/>
      <c r="KJP226" s="1201"/>
      <c r="KJQ226" s="1201"/>
      <c r="KJR226" s="1201"/>
      <c r="KJS226" s="1201"/>
      <c r="KJT226" s="1201"/>
      <c r="KJU226" s="1201"/>
      <c r="KJV226" s="1201"/>
      <c r="KJW226" s="1201"/>
      <c r="KJX226" s="1201"/>
      <c r="KJY226" s="1201"/>
      <c r="KJZ226" s="1201"/>
      <c r="KKA226" s="1201"/>
      <c r="KKB226" s="1201"/>
      <c r="KKC226" s="1201"/>
      <c r="KKD226" s="1201"/>
      <c r="KKE226" s="1201"/>
      <c r="KKF226" s="1201"/>
      <c r="KKG226" s="1201"/>
      <c r="KKH226" s="1201"/>
      <c r="KKI226" s="1201"/>
      <c r="KKJ226" s="1201"/>
      <c r="KKK226" s="1201"/>
      <c r="KKL226" s="1201"/>
      <c r="KKM226" s="1201"/>
      <c r="KKN226" s="1201"/>
      <c r="KKO226" s="1201"/>
      <c r="KKP226" s="1201"/>
      <c r="KKQ226" s="1201"/>
      <c r="KKR226" s="1201"/>
      <c r="KKS226" s="1201"/>
      <c r="KKT226" s="1201"/>
      <c r="KKU226" s="1201"/>
      <c r="KKV226" s="1201"/>
      <c r="KKW226" s="1201"/>
      <c r="KKX226" s="1201"/>
      <c r="KKY226" s="1201"/>
      <c r="KKZ226" s="1201"/>
      <c r="KLA226" s="1201"/>
      <c r="KLB226" s="1201"/>
      <c r="KLC226" s="1201"/>
      <c r="KLD226" s="1201"/>
      <c r="KLE226" s="1201"/>
      <c r="KLF226" s="1201"/>
      <c r="KLG226" s="1201"/>
      <c r="KLH226" s="1201"/>
      <c r="KLI226" s="1201"/>
      <c r="KLJ226" s="1201"/>
      <c r="KLK226" s="1201"/>
      <c r="KLL226" s="1201"/>
      <c r="KLM226" s="1201"/>
      <c r="KLN226" s="1201"/>
      <c r="KLO226" s="1201"/>
      <c r="KLP226" s="1201"/>
      <c r="KLQ226" s="1201"/>
      <c r="KLR226" s="1201"/>
      <c r="KLS226" s="1201"/>
      <c r="KLT226" s="1201"/>
      <c r="KLU226" s="1201"/>
      <c r="KLV226" s="1201"/>
      <c r="KLW226" s="1201"/>
      <c r="KLX226" s="1201"/>
      <c r="KLY226" s="1201"/>
      <c r="KLZ226" s="1201"/>
      <c r="KMA226" s="1201"/>
      <c r="KMB226" s="1201"/>
      <c r="KMC226" s="1201"/>
      <c r="KMD226" s="1201"/>
      <c r="KME226" s="1201"/>
      <c r="KMF226" s="1201"/>
      <c r="KMG226" s="1201"/>
      <c r="KMH226" s="1201"/>
      <c r="KMI226" s="1201"/>
      <c r="KMJ226" s="1201"/>
      <c r="KMK226" s="1201"/>
      <c r="KML226" s="1201"/>
      <c r="KMM226" s="1201"/>
      <c r="KMN226" s="1201"/>
      <c r="KMO226" s="1201"/>
      <c r="KMP226" s="1201"/>
      <c r="KMQ226" s="1201"/>
      <c r="KMR226" s="1201"/>
      <c r="KMS226" s="1201"/>
      <c r="KMT226" s="1201"/>
      <c r="KMU226" s="1201"/>
      <c r="KMV226" s="1201"/>
      <c r="KMW226" s="1201"/>
      <c r="KMX226" s="1201"/>
      <c r="KMY226" s="1201"/>
      <c r="KMZ226" s="1201"/>
      <c r="KNA226" s="1201"/>
      <c r="KNB226" s="1201"/>
      <c r="KNC226" s="1201"/>
      <c r="KND226" s="1201"/>
      <c r="KNE226" s="1201"/>
      <c r="KNF226" s="1201"/>
      <c r="KNG226" s="1201"/>
      <c r="KNH226" s="1201"/>
      <c r="KNI226" s="1201"/>
      <c r="KNJ226" s="1201"/>
      <c r="KNK226" s="1201"/>
      <c r="KNL226" s="1201"/>
      <c r="KNM226" s="1201"/>
      <c r="KNN226" s="1201"/>
      <c r="KNO226" s="1201"/>
      <c r="KNP226" s="1201"/>
      <c r="KNQ226" s="1201"/>
      <c r="KNR226" s="1201"/>
      <c r="KNS226" s="1201"/>
      <c r="KNT226" s="1201"/>
      <c r="KNU226" s="1201"/>
      <c r="KNV226" s="1201"/>
      <c r="KNW226" s="1201"/>
      <c r="KNX226" s="1201"/>
      <c r="KNY226" s="1201"/>
      <c r="KNZ226" s="1201"/>
      <c r="KOA226" s="1201"/>
      <c r="KOB226" s="1201"/>
      <c r="KOC226" s="1201"/>
      <c r="KOD226" s="1201"/>
      <c r="KOE226" s="1201"/>
      <c r="KOF226" s="1201"/>
      <c r="KOG226" s="1201"/>
      <c r="KOH226" s="1201"/>
      <c r="KOI226" s="1201"/>
      <c r="KOJ226" s="1201"/>
      <c r="KOK226" s="1201"/>
      <c r="KOL226" s="1201"/>
      <c r="KOM226" s="1201"/>
      <c r="KON226" s="1201"/>
      <c r="KOO226" s="1201"/>
      <c r="KOP226" s="1201"/>
      <c r="KOQ226" s="1201"/>
      <c r="KOR226" s="1201"/>
      <c r="KOS226" s="1201"/>
      <c r="KOT226" s="1201"/>
      <c r="KOU226" s="1201"/>
      <c r="KOV226" s="1201"/>
      <c r="KOW226" s="1201"/>
      <c r="KOX226" s="1201"/>
      <c r="KOY226" s="1201"/>
      <c r="KOZ226" s="1201"/>
      <c r="KPA226" s="1201"/>
      <c r="KPB226" s="1201"/>
      <c r="KPC226" s="1201"/>
      <c r="KPD226" s="1201"/>
      <c r="KPE226" s="1201"/>
      <c r="KPF226" s="1201"/>
      <c r="KPG226" s="1201"/>
      <c r="KPH226" s="1201"/>
      <c r="KPI226" s="1201"/>
      <c r="KPJ226" s="1201"/>
      <c r="KPK226" s="1201"/>
      <c r="KPL226" s="1201"/>
      <c r="KPM226" s="1201"/>
      <c r="KPN226" s="1201"/>
      <c r="KPO226" s="1201"/>
      <c r="KPP226" s="1201"/>
      <c r="KPQ226" s="1201"/>
      <c r="KPR226" s="1201"/>
      <c r="KPS226" s="1201"/>
      <c r="KPT226" s="1201"/>
      <c r="KPU226" s="1201"/>
      <c r="KPV226" s="1201"/>
      <c r="KPW226" s="1201"/>
      <c r="KPX226" s="1201"/>
      <c r="KPY226" s="1201"/>
      <c r="KPZ226" s="1201"/>
      <c r="KQA226" s="1201"/>
      <c r="KQB226" s="1201"/>
      <c r="KQC226" s="1201"/>
      <c r="KQD226" s="1201"/>
      <c r="KQE226" s="1201"/>
      <c r="KQF226" s="1201"/>
      <c r="KQG226" s="1201"/>
      <c r="KQH226" s="1201"/>
      <c r="KQI226" s="1201"/>
      <c r="KQJ226" s="1201"/>
      <c r="KQK226" s="1201"/>
      <c r="KQL226" s="1201"/>
      <c r="KQM226" s="1201"/>
      <c r="KQN226" s="1201"/>
      <c r="KQO226" s="1201"/>
      <c r="KQP226" s="1201"/>
      <c r="KQQ226" s="1201"/>
      <c r="KQR226" s="1201"/>
      <c r="KQS226" s="1201"/>
      <c r="KQT226" s="1201"/>
      <c r="KQU226" s="1201"/>
      <c r="KQV226" s="1201"/>
      <c r="KQW226" s="1201"/>
      <c r="KQX226" s="1201"/>
      <c r="KQY226" s="1201"/>
      <c r="KQZ226" s="1201"/>
      <c r="KRA226" s="1201"/>
      <c r="KRB226" s="1201"/>
      <c r="KRC226" s="1201"/>
      <c r="KRD226" s="1201"/>
      <c r="KRE226" s="1201"/>
      <c r="KRF226" s="1201"/>
      <c r="KRG226" s="1201"/>
      <c r="KRH226" s="1201"/>
      <c r="KRI226" s="1201"/>
      <c r="KRJ226" s="1201"/>
      <c r="KRK226" s="1201"/>
      <c r="KRL226" s="1201"/>
      <c r="KRM226" s="1201"/>
      <c r="KRN226" s="1201"/>
      <c r="KRO226" s="1201"/>
      <c r="KRP226" s="1201"/>
      <c r="KRQ226" s="1201"/>
      <c r="KRR226" s="1201"/>
      <c r="KRS226" s="1201"/>
      <c r="KRT226" s="1201"/>
      <c r="KRU226" s="1201"/>
      <c r="KRV226" s="1201"/>
      <c r="KRW226" s="1201"/>
      <c r="KRX226" s="1201"/>
      <c r="KRY226" s="1201"/>
      <c r="KRZ226" s="1201"/>
      <c r="KSA226" s="1201"/>
      <c r="KSB226" s="1201"/>
      <c r="KSC226" s="1201"/>
      <c r="KSD226" s="1201"/>
      <c r="KSE226" s="1201"/>
      <c r="KSF226" s="1201"/>
      <c r="KSG226" s="1201"/>
      <c r="KSH226" s="1201"/>
      <c r="KSI226" s="1201"/>
      <c r="KSJ226" s="1201"/>
      <c r="KSK226" s="1201"/>
      <c r="KSL226" s="1201"/>
      <c r="KSM226" s="1201"/>
      <c r="KSN226" s="1201"/>
      <c r="KSO226" s="1201"/>
      <c r="KSP226" s="1201"/>
      <c r="KSQ226" s="1201"/>
      <c r="KSR226" s="1201"/>
      <c r="KSS226" s="1201"/>
      <c r="KST226" s="1201"/>
      <c r="KSU226" s="1201"/>
      <c r="KSV226" s="1201"/>
      <c r="KSW226" s="1201"/>
      <c r="KSX226" s="1201"/>
      <c r="KSY226" s="1201"/>
      <c r="KSZ226" s="1201"/>
      <c r="KTA226" s="1201"/>
      <c r="KTB226" s="1201"/>
      <c r="KTC226" s="1201"/>
      <c r="KTD226" s="1201"/>
      <c r="KTE226" s="1201"/>
      <c r="KTF226" s="1201"/>
      <c r="KTG226" s="1201"/>
      <c r="KTH226" s="1201"/>
      <c r="KTI226" s="1201"/>
      <c r="KTJ226" s="1201"/>
      <c r="KTK226" s="1201"/>
      <c r="KTL226" s="1201"/>
      <c r="KTM226" s="1201"/>
      <c r="KTN226" s="1201"/>
      <c r="KTO226" s="1201"/>
      <c r="KTP226" s="1201"/>
      <c r="KTQ226" s="1201"/>
      <c r="KTR226" s="1201"/>
      <c r="KTS226" s="1201"/>
      <c r="KTT226" s="1201"/>
      <c r="KTU226" s="1201"/>
      <c r="KTV226" s="1201"/>
      <c r="KTW226" s="1201"/>
      <c r="KTX226" s="1201"/>
      <c r="KTY226" s="1201"/>
      <c r="KTZ226" s="1201"/>
      <c r="KUA226" s="1201"/>
      <c r="KUB226" s="1201"/>
      <c r="KUC226" s="1201"/>
      <c r="KUD226" s="1201"/>
      <c r="KUE226" s="1201"/>
      <c r="KUF226" s="1201"/>
      <c r="KUG226" s="1201"/>
      <c r="KUH226" s="1201"/>
      <c r="KUI226" s="1201"/>
      <c r="KUJ226" s="1201"/>
      <c r="KUK226" s="1201"/>
      <c r="KUL226" s="1201"/>
      <c r="KUM226" s="1201"/>
      <c r="KUN226" s="1201"/>
      <c r="KUO226" s="1201"/>
      <c r="KUP226" s="1201"/>
      <c r="KUQ226" s="1201"/>
      <c r="KUR226" s="1201"/>
      <c r="KUS226" s="1201"/>
      <c r="KUT226" s="1201"/>
      <c r="KUU226" s="1201"/>
      <c r="KUV226" s="1201"/>
      <c r="KUW226" s="1201"/>
      <c r="KUX226" s="1201"/>
      <c r="KUY226" s="1201"/>
      <c r="KUZ226" s="1201"/>
      <c r="KVA226" s="1201"/>
      <c r="KVB226" s="1201"/>
      <c r="KVC226" s="1201"/>
      <c r="KVD226" s="1201"/>
      <c r="KVE226" s="1201"/>
      <c r="KVF226" s="1201"/>
      <c r="KVG226" s="1201"/>
      <c r="KVH226" s="1201"/>
      <c r="KVI226" s="1201"/>
      <c r="KVJ226" s="1201"/>
      <c r="KVK226" s="1201"/>
      <c r="KVL226" s="1201"/>
      <c r="KVM226" s="1201"/>
      <c r="KVN226" s="1201"/>
      <c r="KVO226" s="1201"/>
      <c r="KVP226" s="1201"/>
      <c r="KVQ226" s="1201"/>
      <c r="KVR226" s="1201"/>
      <c r="KVS226" s="1201"/>
      <c r="KVT226" s="1201"/>
      <c r="KVU226" s="1201"/>
      <c r="KVV226" s="1201"/>
      <c r="KVW226" s="1201"/>
      <c r="KVX226" s="1201"/>
      <c r="KVY226" s="1201"/>
      <c r="KVZ226" s="1201"/>
      <c r="KWA226" s="1201"/>
      <c r="KWB226" s="1201"/>
      <c r="KWC226" s="1201"/>
      <c r="KWD226" s="1201"/>
      <c r="KWE226" s="1201"/>
      <c r="KWF226" s="1201"/>
      <c r="KWG226" s="1201"/>
      <c r="KWH226" s="1201"/>
      <c r="KWI226" s="1201"/>
      <c r="KWJ226" s="1201"/>
      <c r="KWK226" s="1201"/>
      <c r="KWL226" s="1201"/>
      <c r="KWM226" s="1201"/>
      <c r="KWN226" s="1201"/>
      <c r="KWO226" s="1201"/>
      <c r="KWP226" s="1201"/>
      <c r="KWQ226" s="1201"/>
      <c r="KWR226" s="1201"/>
      <c r="KWS226" s="1201"/>
      <c r="KWT226" s="1201"/>
      <c r="KWU226" s="1201"/>
      <c r="KWV226" s="1201"/>
      <c r="KWW226" s="1201"/>
      <c r="KWX226" s="1201"/>
      <c r="KWY226" s="1201"/>
      <c r="KWZ226" s="1201"/>
      <c r="KXA226" s="1201"/>
      <c r="KXB226" s="1201"/>
      <c r="KXC226" s="1201"/>
      <c r="KXD226" s="1201"/>
      <c r="KXE226" s="1201"/>
      <c r="KXF226" s="1201"/>
      <c r="KXG226" s="1201"/>
      <c r="KXH226" s="1201"/>
      <c r="KXI226" s="1201"/>
      <c r="KXJ226" s="1201"/>
      <c r="KXK226" s="1201"/>
      <c r="KXL226" s="1201"/>
      <c r="KXM226" s="1201"/>
      <c r="KXN226" s="1201"/>
      <c r="KXO226" s="1201"/>
      <c r="KXP226" s="1201"/>
      <c r="KXQ226" s="1201"/>
      <c r="KXR226" s="1201"/>
      <c r="KXS226" s="1201"/>
      <c r="KXT226" s="1201"/>
      <c r="KXU226" s="1201"/>
      <c r="KXV226" s="1201"/>
      <c r="KXW226" s="1201"/>
      <c r="KXX226" s="1201"/>
      <c r="KXY226" s="1201"/>
      <c r="KXZ226" s="1201"/>
      <c r="KYA226" s="1201"/>
      <c r="KYB226" s="1201"/>
      <c r="KYC226" s="1201"/>
      <c r="KYD226" s="1201"/>
      <c r="KYE226" s="1201"/>
      <c r="KYF226" s="1201"/>
      <c r="KYG226" s="1201"/>
      <c r="KYH226" s="1201"/>
      <c r="KYI226" s="1201"/>
      <c r="KYJ226" s="1201"/>
      <c r="KYK226" s="1201"/>
      <c r="KYL226" s="1201"/>
      <c r="KYM226" s="1201"/>
      <c r="KYN226" s="1201"/>
      <c r="KYO226" s="1201"/>
      <c r="KYP226" s="1201"/>
      <c r="KYQ226" s="1201"/>
      <c r="KYR226" s="1201"/>
      <c r="KYS226" s="1201"/>
      <c r="KYT226" s="1201"/>
      <c r="KYU226" s="1201"/>
      <c r="KYV226" s="1201"/>
      <c r="KYW226" s="1201"/>
      <c r="KYX226" s="1201"/>
      <c r="KYY226" s="1201"/>
      <c r="KYZ226" s="1201"/>
      <c r="KZA226" s="1201"/>
      <c r="KZB226" s="1201"/>
      <c r="KZC226" s="1201"/>
      <c r="KZD226" s="1201"/>
      <c r="KZE226" s="1201"/>
      <c r="KZF226" s="1201"/>
      <c r="KZG226" s="1201"/>
      <c r="KZH226" s="1201"/>
      <c r="KZI226" s="1201"/>
      <c r="KZJ226" s="1201"/>
      <c r="KZK226" s="1201"/>
      <c r="KZL226" s="1201"/>
      <c r="KZM226" s="1201"/>
      <c r="KZN226" s="1201"/>
      <c r="KZO226" s="1201"/>
      <c r="KZP226" s="1201"/>
      <c r="KZQ226" s="1201"/>
      <c r="KZR226" s="1201"/>
      <c r="KZS226" s="1201"/>
      <c r="KZT226" s="1201"/>
      <c r="KZU226" s="1201"/>
      <c r="KZV226" s="1201"/>
      <c r="KZW226" s="1201"/>
      <c r="KZX226" s="1201"/>
      <c r="KZY226" s="1201"/>
      <c r="KZZ226" s="1201"/>
      <c r="LAA226" s="1201"/>
      <c r="LAB226" s="1201"/>
      <c r="LAC226" s="1201"/>
      <c r="LAD226" s="1201"/>
      <c r="LAE226" s="1201"/>
      <c r="LAF226" s="1201"/>
      <c r="LAG226" s="1201"/>
      <c r="LAH226" s="1201"/>
      <c r="LAI226" s="1201"/>
      <c r="LAJ226" s="1201"/>
      <c r="LAK226" s="1201"/>
      <c r="LAL226" s="1201"/>
      <c r="LAM226" s="1201"/>
      <c r="LAN226" s="1201"/>
      <c r="LAO226" s="1201"/>
      <c r="LAP226" s="1201"/>
      <c r="LAQ226" s="1201"/>
      <c r="LAR226" s="1201"/>
      <c r="LAS226" s="1201"/>
      <c r="LAT226" s="1201"/>
      <c r="LAU226" s="1201"/>
      <c r="LAV226" s="1201"/>
      <c r="LAW226" s="1201"/>
      <c r="LAX226" s="1201"/>
      <c r="LAY226" s="1201"/>
      <c r="LAZ226" s="1201"/>
      <c r="LBA226" s="1201"/>
      <c r="LBB226" s="1201"/>
      <c r="LBC226" s="1201"/>
      <c r="LBD226" s="1201"/>
      <c r="LBE226" s="1201"/>
      <c r="LBF226" s="1201"/>
      <c r="LBG226" s="1201"/>
      <c r="LBH226" s="1201"/>
      <c r="LBI226" s="1201"/>
      <c r="LBJ226" s="1201"/>
      <c r="LBK226" s="1201"/>
      <c r="LBL226" s="1201"/>
      <c r="LBM226" s="1201"/>
      <c r="LBN226" s="1201"/>
      <c r="LBO226" s="1201"/>
      <c r="LBP226" s="1201"/>
      <c r="LBQ226" s="1201"/>
      <c r="LBR226" s="1201"/>
      <c r="LBS226" s="1201"/>
      <c r="LBT226" s="1201"/>
      <c r="LBU226" s="1201"/>
      <c r="LBV226" s="1201"/>
      <c r="LBW226" s="1201"/>
      <c r="LBX226" s="1201"/>
      <c r="LBY226" s="1201"/>
      <c r="LBZ226" s="1201"/>
      <c r="LCA226" s="1201"/>
      <c r="LCB226" s="1201"/>
      <c r="LCC226" s="1201"/>
      <c r="LCD226" s="1201"/>
      <c r="LCE226" s="1201"/>
      <c r="LCF226" s="1201"/>
      <c r="LCG226" s="1201"/>
      <c r="LCH226" s="1201"/>
      <c r="LCI226" s="1201"/>
      <c r="LCJ226" s="1201"/>
      <c r="LCK226" s="1201"/>
      <c r="LCL226" s="1201"/>
      <c r="LCM226" s="1201"/>
      <c r="LCN226" s="1201"/>
      <c r="LCO226" s="1201"/>
      <c r="LCP226" s="1201"/>
      <c r="LCQ226" s="1201"/>
      <c r="LCR226" s="1201"/>
      <c r="LCS226" s="1201"/>
      <c r="LCT226" s="1201"/>
      <c r="LCU226" s="1201"/>
      <c r="LCV226" s="1201"/>
      <c r="LCW226" s="1201"/>
      <c r="LCX226" s="1201"/>
      <c r="LCY226" s="1201"/>
      <c r="LCZ226" s="1201"/>
      <c r="LDA226" s="1201"/>
      <c r="LDB226" s="1201"/>
      <c r="LDC226" s="1201"/>
      <c r="LDD226" s="1201"/>
      <c r="LDE226" s="1201"/>
      <c r="LDF226" s="1201"/>
      <c r="LDG226" s="1201"/>
      <c r="LDH226" s="1201"/>
      <c r="LDI226" s="1201"/>
      <c r="LDJ226" s="1201"/>
      <c r="LDK226" s="1201"/>
      <c r="LDL226" s="1201"/>
      <c r="LDM226" s="1201"/>
      <c r="LDN226" s="1201"/>
      <c r="LDO226" s="1201"/>
      <c r="LDP226" s="1201"/>
      <c r="LDQ226" s="1201"/>
      <c r="LDR226" s="1201"/>
      <c r="LDS226" s="1201"/>
      <c r="LDT226" s="1201"/>
      <c r="LDU226" s="1201"/>
      <c r="LDV226" s="1201"/>
      <c r="LDW226" s="1201"/>
      <c r="LDX226" s="1201"/>
      <c r="LDY226" s="1201"/>
      <c r="LDZ226" s="1201"/>
      <c r="LEA226" s="1201"/>
      <c r="LEB226" s="1201"/>
      <c r="LEC226" s="1201"/>
      <c r="LED226" s="1201"/>
      <c r="LEE226" s="1201"/>
      <c r="LEF226" s="1201"/>
      <c r="LEG226" s="1201"/>
      <c r="LEH226" s="1201"/>
      <c r="LEI226" s="1201"/>
      <c r="LEJ226" s="1201"/>
      <c r="LEK226" s="1201"/>
      <c r="LEL226" s="1201"/>
      <c r="LEM226" s="1201"/>
      <c r="LEN226" s="1201"/>
      <c r="LEO226" s="1201"/>
      <c r="LEP226" s="1201"/>
      <c r="LEQ226" s="1201"/>
      <c r="LER226" s="1201"/>
      <c r="LES226" s="1201"/>
      <c r="LET226" s="1201"/>
      <c r="LEU226" s="1201"/>
      <c r="LEV226" s="1201"/>
      <c r="LEW226" s="1201"/>
      <c r="LEX226" s="1201"/>
      <c r="LEY226" s="1201"/>
      <c r="LEZ226" s="1201"/>
      <c r="LFA226" s="1201"/>
      <c r="LFB226" s="1201"/>
      <c r="LFC226" s="1201"/>
      <c r="LFD226" s="1201"/>
      <c r="LFE226" s="1201"/>
      <c r="LFF226" s="1201"/>
      <c r="LFG226" s="1201"/>
      <c r="LFH226" s="1201"/>
      <c r="LFI226" s="1201"/>
      <c r="LFJ226" s="1201"/>
      <c r="LFK226" s="1201"/>
      <c r="LFL226" s="1201"/>
      <c r="LFM226" s="1201"/>
      <c r="LFN226" s="1201"/>
      <c r="LFO226" s="1201"/>
      <c r="LFP226" s="1201"/>
      <c r="LFQ226" s="1201"/>
      <c r="LFR226" s="1201"/>
      <c r="LFS226" s="1201"/>
      <c r="LFT226" s="1201"/>
      <c r="LFU226" s="1201"/>
      <c r="LFV226" s="1201"/>
      <c r="LFW226" s="1201"/>
      <c r="LFX226" s="1201"/>
      <c r="LFY226" s="1201"/>
      <c r="LFZ226" s="1201"/>
      <c r="LGA226" s="1201"/>
      <c r="LGB226" s="1201"/>
      <c r="LGC226" s="1201"/>
      <c r="LGD226" s="1201"/>
      <c r="LGE226" s="1201"/>
      <c r="LGF226" s="1201"/>
      <c r="LGG226" s="1201"/>
      <c r="LGH226" s="1201"/>
      <c r="LGI226" s="1201"/>
      <c r="LGJ226" s="1201"/>
      <c r="LGK226" s="1201"/>
      <c r="LGL226" s="1201"/>
      <c r="LGM226" s="1201"/>
      <c r="LGN226" s="1201"/>
      <c r="LGO226" s="1201"/>
      <c r="LGP226" s="1201"/>
      <c r="LGQ226" s="1201"/>
      <c r="LGR226" s="1201"/>
      <c r="LGS226" s="1201"/>
      <c r="LGT226" s="1201"/>
      <c r="LGU226" s="1201"/>
      <c r="LGV226" s="1201"/>
      <c r="LGW226" s="1201"/>
      <c r="LGX226" s="1201"/>
      <c r="LGY226" s="1201"/>
      <c r="LGZ226" s="1201"/>
      <c r="LHA226" s="1201"/>
      <c r="LHB226" s="1201"/>
      <c r="LHC226" s="1201"/>
      <c r="LHD226" s="1201"/>
      <c r="LHE226" s="1201"/>
      <c r="LHF226" s="1201"/>
      <c r="LHG226" s="1201"/>
      <c r="LHH226" s="1201"/>
      <c r="LHI226" s="1201"/>
      <c r="LHJ226" s="1201"/>
      <c r="LHK226" s="1201"/>
      <c r="LHL226" s="1201"/>
      <c r="LHM226" s="1201"/>
      <c r="LHN226" s="1201"/>
      <c r="LHO226" s="1201"/>
      <c r="LHP226" s="1201"/>
      <c r="LHQ226" s="1201"/>
      <c r="LHR226" s="1201"/>
      <c r="LHS226" s="1201"/>
      <c r="LHT226" s="1201"/>
      <c r="LHU226" s="1201"/>
      <c r="LHV226" s="1201"/>
      <c r="LHW226" s="1201"/>
      <c r="LHX226" s="1201"/>
      <c r="LHY226" s="1201"/>
      <c r="LHZ226" s="1201"/>
      <c r="LIA226" s="1201"/>
      <c r="LIB226" s="1201"/>
      <c r="LIC226" s="1201"/>
      <c r="LID226" s="1201"/>
      <c r="LIE226" s="1201"/>
      <c r="LIF226" s="1201"/>
      <c r="LIG226" s="1201"/>
      <c r="LIH226" s="1201"/>
      <c r="LII226" s="1201"/>
      <c r="LIJ226" s="1201"/>
      <c r="LIK226" s="1201"/>
      <c r="LIL226" s="1201"/>
      <c r="LIM226" s="1201"/>
      <c r="LIN226" s="1201"/>
      <c r="LIO226" s="1201"/>
      <c r="LIP226" s="1201"/>
      <c r="LIQ226" s="1201"/>
      <c r="LIR226" s="1201"/>
      <c r="LIS226" s="1201"/>
      <c r="LIT226" s="1201"/>
      <c r="LIU226" s="1201"/>
      <c r="LIV226" s="1201"/>
      <c r="LIW226" s="1201"/>
      <c r="LIX226" s="1201"/>
      <c r="LIY226" s="1201"/>
      <c r="LIZ226" s="1201"/>
      <c r="LJA226" s="1201"/>
      <c r="LJB226" s="1201"/>
      <c r="LJC226" s="1201"/>
      <c r="LJD226" s="1201"/>
      <c r="LJE226" s="1201"/>
      <c r="LJF226" s="1201"/>
      <c r="LJG226" s="1201"/>
      <c r="LJH226" s="1201"/>
      <c r="LJI226" s="1201"/>
      <c r="LJJ226" s="1201"/>
      <c r="LJK226" s="1201"/>
      <c r="LJL226" s="1201"/>
      <c r="LJM226" s="1201"/>
      <c r="LJN226" s="1201"/>
      <c r="LJO226" s="1201"/>
      <c r="LJP226" s="1201"/>
      <c r="LJQ226" s="1201"/>
      <c r="LJR226" s="1201"/>
      <c r="LJS226" s="1201"/>
      <c r="LJT226" s="1201"/>
      <c r="LJU226" s="1201"/>
      <c r="LJV226" s="1201"/>
      <c r="LJW226" s="1201"/>
      <c r="LJX226" s="1201"/>
      <c r="LJY226" s="1201"/>
      <c r="LJZ226" s="1201"/>
      <c r="LKA226" s="1201"/>
      <c r="LKB226" s="1201"/>
      <c r="LKC226" s="1201"/>
      <c r="LKD226" s="1201"/>
      <c r="LKE226" s="1201"/>
      <c r="LKF226" s="1201"/>
      <c r="LKG226" s="1201"/>
      <c r="LKH226" s="1201"/>
      <c r="LKI226" s="1201"/>
      <c r="LKJ226" s="1201"/>
      <c r="LKK226" s="1201"/>
      <c r="LKL226" s="1201"/>
      <c r="LKM226" s="1201"/>
      <c r="LKN226" s="1201"/>
      <c r="LKO226" s="1201"/>
      <c r="LKP226" s="1201"/>
      <c r="LKQ226" s="1201"/>
      <c r="LKR226" s="1201"/>
      <c r="LKS226" s="1201"/>
      <c r="LKT226" s="1201"/>
      <c r="LKU226" s="1201"/>
      <c r="LKV226" s="1201"/>
      <c r="LKW226" s="1201"/>
      <c r="LKX226" s="1201"/>
      <c r="LKY226" s="1201"/>
      <c r="LKZ226" s="1201"/>
      <c r="LLA226" s="1201"/>
      <c r="LLB226" s="1201"/>
      <c r="LLC226" s="1201"/>
      <c r="LLD226" s="1201"/>
      <c r="LLE226" s="1201"/>
      <c r="LLF226" s="1201"/>
      <c r="LLG226" s="1201"/>
      <c r="LLH226" s="1201"/>
      <c r="LLI226" s="1201"/>
      <c r="LLJ226" s="1201"/>
      <c r="LLK226" s="1201"/>
      <c r="LLL226" s="1201"/>
      <c r="LLM226" s="1201"/>
      <c r="LLN226" s="1201"/>
      <c r="LLO226" s="1201"/>
      <c r="LLP226" s="1201"/>
      <c r="LLQ226" s="1201"/>
      <c r="LLR226" s="1201"/>
      <c r="LLS226" s="1201"/>
      <c r="LLT226" s="1201"/>
      <c r="LLU226" s="1201"/>
      <c r="LLV226" s="1201"/>
      <c r="LLW226" s="1201"/>
      <c r="LLX226" s="1201"/>
      <c r="LLY226" s="1201"/>
      <c r="LLZ226" s="1201"/>
      <c r="LMA226" s="1201"/>
      <c r="LMB226" s="1201"/>
      <c r="LMC226" s="1201"/>
      <c r="LMD226" s="1201"/>
      <c r="LME226" s="1201"/>
      <c r="LMF226" s="1201"/>
      <c r="LMG226" s="1201"/>
      <c r="LMH226" s="1201"/>
      <c r="LMI226" s="1201"/>
      <c r="LMJ226" s="1201"/>
      <c r="LMK226" s="1201"/>
      <c r="LML226" s="1201"/>
      <c r="LMM226" s="1201"/>
      <c r="LMN226" s="1201"/>
      <c r="LMO226" s="1201"/>
      <c r="LMP226" s="1201"/>
      <c r="LMQ226" s="1201"/>
      <c r="LMR226" s="1201"/>
      <c r="LMS226" s="1201"/>
      <c r="LMT226" s="1201"/>
      <c r="LMU226" s="1201"/>
      <c r="LMV226" s="1201"/>
      <c r="LMW226" s="1201"/>
      <c r="LMX226" s="1201"/>
      <c r="LMY226" s="1201"/>
      <c r="LMZ226" s="1201"/>
      <c r="LNA226" s="1201"/>
      <c r="LNB226" s="1201"/>
      <c r="LNC226" s="1201"/>
      <c r="LND226" s="1201"/>
      <c r="LNE226" s="1201"/>
      <c r="LNF226" s="1201"/>
      <c r="LNG226" s="1201"/>
      <c r="LNH226" s="1201"/>
      <c r="LNI226" s="1201"/>
      <c r="LNJ226" s="1201"/>
      <c r="LNK226" s="1201"/>
      <c r="LNL226" s="1201"/>
      <c r="LNM226" s="1201"/>
      <c r="LNN226" s="1201"/>
      <c r="LNO226" s="1201"/>
      <c r="LNP226" s="1201"/>
      <c r="LNQ226" s="1201"/>
      <c r="LNR226" s="1201"/>
      <c r="LNS226" s="1201"/>
      <c r="LNT226" s="1201"/>
      <c r="LNU226" s="1201"/>
      <c r="LNV226" s="1201"/>
      <c r="LNW226" s="1201"/>
      <c r="LNX226" s="1201"/>
      <c r="LNY226" s="1201"/>
      <c r="LNZ226" s="1201"/>
      <c r="LOA226" s="1201"/>
      <c r="LOB226" s="1201"/>
      <c r="LOC226" s="1201"/>
      <c r="LOD226" s="1201"/>
      <c r="LOE226" s="1201"/>
      <c r="LOF226" s="1201"/>
      <c r="LOG226" s="1201"/>
      <c r="LOH226" s="1201"/>
      <c r="LOI226" s="1201"/>
      <c r="LOJ226" s="1201"/>
      <c r="LOK226" s="1201"/>
      <c r="LOL226" s="1201"/>
      <c r="LOM226" s="1201"/>
      <c r="LON226" s="1201"/>
      <c r="LOO226" s="1201"/>
      <c r="LOP226" s="1201"/>
      <c r="LOQ226" s="1201"/>
      <c r="LOR226" s="1201"/>
      <c r="LOS226" s="1201"/>
      <c r="LOT226" s="1201"/>
      <c r="LOU226" s="1201"/>
      <c r="LOV226" s="1201"/>
      <c r="LOW226" s="1201"/>
      <c r="LOX226" s="1201"/>
      <c r="LOY226" s="1201"/>
      <c r="LOZ226" s="1201"/>
      <c r="LPA226" s="1201"/>
      <c r="LPB226" s="1201"/>
      <c r="LPC226" s="1201"/>
      <c r="LPD226" s="1201"/>
      <c r="LPE226" s="1201"/>
      <c r="LPF226" s="1201"/>
      <c r="LPG226" s="1201"/>
      <c r="LPH226" s="1201"/>
      <c r="LPI226" s="1201"/>
      <c r="LPJ226" s="1201"/>
      <c r="LPK226" s="1201"/>
      <c r="LPL226" s="1201"/>
      <c r="LPM226" s="1201"/>
      <c r="LPN226" s="1201"/>
      <c r="LPO226" s="1201"/>
      <c r="LPP226" s="1201"/>
      <c r="LPQ226" s="1201"/>
      <c r="LPR226" s="1201"/>
      <c r="LPS226" s="1201"/>
      <c r="LPT226" s="1201"/>
      <c r="LPU226" s="1201"/>
      <c r="LPV226" s="1201"/>
      <c r="LPW226" s="1201"/>
      <c r="LPX226" s="1201"/>
      <c r="LPY226" s="1201"/>
      <c r="LPZ226" s="1201"/>
      <c r="LQA226" s="1201"/>
      <c r="LQB226" s="1201"/>
      <c r="LQC226" s="1201"/>
      <c r="LQD226" s="1201"/>
      <c r="LQE226" s="1201"/>
      <c r="LQF226" s="1201"/>
      <c r="LQG226" s="1201"/>
      <c r="LQH226" s="1201"/>
      <c r="LQI226" s="1201"/>
      <c r="LQJ226" s="1201"/>
      <c r="LQK226" s="1201"/>
      <c r="LQL226" s="1201"/>
      <c r="LQM226" s="1201"/>
      <c r="LQN226" s="1201"/>
      <c r="LQO226" s="1201"/>
      <c r="LQP226" s="1201"/>
      <c r="LQQ226" s="1201"/>
      <c r="LQR226" s="1201"/>
      <c r="LQS226" s="1201"/>
      <c r="LQT226" s="1201"/>
      <c r="LQU226" s="1201"/>
      <c r="LQV226" s="1201"/>
      <c r="LQW226" s="1201"/>
      <c r="LQX226" s="1201"/>
      <c r="LQY226" s="1201"/>
      <c r="LQZ226" s="1201"/>
      <c r="LRA226" s="1201"/>
      <c r="LRB226" s="1201"/>
      <c r="LRC226" s="1201"/>
      <c r="LRD226" s="1201"/>
      <c r="LRE226" s="1201"/>
      <c r="LRF226" s="1201"/>
      <c r="LRG226" s="1201"/>
      <c r="LRH226" s="1201"/>
      <c r="LRI226" s="1201"/>
      <c r="LRJ226" s="1201"/>
      <c r="LRK226" s="1201"/>
      <c r="LRL226" s="1201"/>
      <c r="LRM226" s="1201"/>
      <c r="LRN226" s="1201"/>
      <c r="LRO226" s="1201"/>
      <c r="LRP226" s="1201"/>
      <c r="LRQ226" s="1201"/>
      <c r="LRR226" s="1201"/>
      <c r="LRS226" s="1201"/>
      <c r="LRT226" s="1201"/>
      <c r="LRU226" s="1201"/>
      <c r="LRV226" s="1201"/>
      <c r="LRW226" s="1201"/>
      <c r="LRX226" s="1201"/>
      <c r="LRY226" s="1201"/>
      <c r="LRZ226" s="1201"/>
      <c r="LSA226" s="1201"/>
      <c r="LSB226" s="1201"/>
      <c r="LSC226" s="1201"/>
      <c r="LSD226" s="1201"/>
      <c r="LSE226" s="1201"/>
      <c r="LSF226" s="1201"/>
      <c r="LSG226" s="1201"/>
      <c r="LSH226" s="1201"/>
      <c r="LSI226" s="1201"/>
      <c r="LSJ226" s="1201"/>
      <c r="LSK226" s="1201"/>
      <c r="LSL226" s="1201"/>
      <c r="LSM226" s="1201"/>
      <c r="LSN226" s="1201"/>
      <c r="LSO226" s="1201"/>
      <c r="LSP226" s="1201"/>
      <c r="LSQ226" s="1201"/>
      <c r="LSR226" s="1201"/>
      <c r="LSS226" s="1201"/>
      <c r="LST226" s="1201"/>
      <c r="LSU226" s="1201"/>
      <c r="LSV226" s="1201"/>
      <c r="LSW226" s="1201"/>
      <c r="LSX226" s="1201"/>
      <c r="LSY226" s="1201"/>
      <c r="LSZ226" s="1201"/>
      <c r="LTA226" s="1201"/>
      <c r="LTB226" s="1201"/>
      <c r="LTC226" s="1201"/>
      <c r="LTD226" s="1201"/>
      <c r="LTE226" s="1201"/>
      <c r="LTF226" s="1201"/>
      <c r="LTG226" s="1201"/>
      <c r="LTH226" s="1201"/>
      <c r="LTI226" s="1201"/>
      <c r="LTJ226" s="1201"/>
      <c r="LTK226" s="1201"/>
      <c r="LTL226" s="1201"/>
      <c r="LTM226" s="1201"/>
      <c r="LTN226" s="1201"/>
      <c r="LTO226" s="1201"/>
      <c r="LTP226" s="1201"/>
      <c r="LTQ226" s="1201"/>
      <c r="LTR226" s="1201"/>
      <c r="LTS226" s="1201"/>
      <c r="LTT226" s="1201"/>
      <c r="LTU226" s="1201"/>
      <c r="LTV226" s="1201"/>
      <c r="LTW226" s="1201"/>
      <c r="LTX226" s="1201"/>
      <c r="LTY226" s="1201"/>
      <c r="LTZ226" s="1201"/>
      <c r="LUA226" s="1201"/>
      <c r="LUB226" s="1201"/>
      <c r="LUC226" s="1201"/>
      <c r="LUD226" s="1201"/>
      <c r="LUE226" s="1201"/>
      <c r="LUF226" s="1201"/>
      <c r="LUG226" s="1201"/>
      <c r="LUH226" s="1201"/>
      <c r="LUI226" s="1201"/>
      <c r="LUJ226" s="1201"/>
      <c r="LUK226" s="1201"/>
      <c r="LUL226" s="1201"/>
      <c r="LUM226" s="1201"/>
      <c r="LUN226" s="1201"/>
      <c r="LUO226" s="1201"/>
      <c r="LUP226" s="1201"/>
      <c r="LUQ226" s="1201"/>
      <c r="LUR226" s="1201"/>
      <c r="LUS226" s="1201"/>
      <c r="LUT226" s="1201"/>
      <c r="LUU226" s="1201"/>
      <c r="LUV226" s="1201"/>
      <c r="LUW226" s="1201"/>
      <c r="LUX226" s="1201"/>
      <c r="LUY226" s="1201"/>
      <c r="LUZ226" s="1201"/>
      <c r="LVA226" s="1201"/>
      <c r="LVB226" s="1201"/>
      <c r="LVC226" s="1201"/>
      <c r="LVD226" s="1201"/>
      <c r="LVE226" s="1201"/>
      <c r="LVF226" s="1201"/>
      <c r="LVG226" s="1201"/>
      <c r="LVH226" s="1201"/>
      <c r="LVI226" s="1201"/>
      <c r="LVJ226" s="1201"/>
      <c r="LVK226" s="1201"/>
      <c r="LVL226" s="1201"/>
      <c r="LVM226" s="1201"/>
      <c r="LVN226" s="1201"/>
      <c r="LVO226" s="1201"/>
      <c r="LVP226" s="1201"/>
      <c r="LVQ226" s="1201"/>
      <c r="LVR226" s="1201"/>
      <c r="LVS226" s="1201"/>
      <c r="LVT226" s="1201"/>
      <c r="LVU226" s="1201"/>
      <c r="LVV226" s="1201"/>
      <c r="LVW226" s="1201"/>
      <c r="LVX226" s="1201"/>
      <c r="LVY226" s="1201"/>
      <c r="LVZ226" s="1201"/>
      <c r="LWA226" s="1201"/>
      <c r="LWB226" s="1201"/>
      <c r="LWC226" s="1201"/>
      <c r="LWD226" s="1201"/>
      <c r="LWE226" s="1201"/>
      <c r="LWF226" s="1201"/>
      <c r="LWG226" s="1201"/>
      <c r="LWH226" s="1201"/>
      <c r="LWI226" s="1201"/>
      <c r="LWJ226" s="1201"/>
      <c r="LWK226" s="1201"/>
      <c r="LWL226" s="1201"/>
      <c r="LWM226" s="1201"/>
      <c r="LWN226" s="1201"/>
      <c r="LWO226" s="1201"/>
      <c r="LWP226" s="1201"/>
      <c r="LWQ226" s="1201"/>
      <c r="LWR226" s="1201"/>
      <c r="LWS226" s="1201"/>
      <c r="LWT226" s="1201"/>
      <c r="LWU226" s="1201"/>
      <c r="LWV226" s="1201"/>
      <c r="LWW226" s="1201"/>
      <c r="LWX226" s="1201"/>
      <c r="LWY226" s="1201"/>
      <c r="LWZ226" s="1201"/>
      <c r="LXA226" s="1201"/>
      <c r="LXB226" s="1201"/>
      <c r="LXC226" s="1201"/>
      <c r="LXD226" s="1201"/>
      <c r="LXE226" s="1201"/>
      <c r="LXF226" s="1201"/>
      <c r="LXG226" s="1201"/>
      <c r="LXH226" s="1201"/>
      <c r="LXI226" s="1201"/>
      <c r="LXJ226" s="1201"/>
      <c r="LXK226" s="1201"/>
      <c r="LXL226" s="1201"/>
      <c r="LXM226" s="1201"/>
      <c r="LXN226" s="1201"/>
      <c r="LXO226" s="1201"/>
      <c r="LXP226" s="1201"/>
      <c r="LXQ226" s="1201"/>
      <c r="LXR226" s="1201"/>
      <c r="LXS226" s="1201"/>
      <c r="LXT226" s="1201"/>
      <c r="LXU226" s="1201"/>
      <c r="LXV226" s="1201"/>
      <c r="LXW226" s="1201"/>
      <c r="LXX226" s="1201"/>
      <c r="LXY226" s="1201"/>
      <c r="LXZ226" s="1201"/>
      <c r="LYA226" s="1201"/>
      <c r="LYB226" s="1201"/>
      <c r="LYC226" s="1201"/>
      <c r="LYD226" s="1201"/>
      <c r="LYE226" s="1201"/>
      <c r="LYF226" s="1201"/>
      <c r="LYG226" s="1201"/>
      <c r="LYH226" s="1201"/>
      <c r="LYI226" s="1201"/>
      <c r="LYJ226" s="1201"/>
      <c r="LYK226" s="1201"/>
      <c r="LYL226" s="1201"/>
      <c r="LYM226" s="1201"/>
      <c r="LYN226" s="1201"/>
      <c r="LYO226" s="1201"/>
      <c r="LYP226" s="1201"/>
      <c r="LYQ226" s="1201"/>
      <c r="LYR226" s="1201"/>
      <c r="LYS226" s="1201"/>
      <c r="LYT226" s="1201"/>
      <c r="LYU226" s="1201"/>
      <c r="LYV226" s="1201"/>
      <c r="LYW226" s="1201"/>
      <c r="LYX226" s="1201"/>
      <c r="LYY226" s="1201"/>
      <c r="LYZ226" s="1201"/>
      <c r="LZA226" s="1201"/>
      <c r="LZB226" s="1201"/>
      <c r="LZC226" s="1201"/>
      <c r="LZD226" s="1201"/>
      <c r="LZE226" s="1201"/>
      <c r="LZF226" s="1201"/>
      <c r="LZG226" s="1201"/>
      <c r="LZH226" s="1201"/>
      <c r="LZI226" s="1201"/>
      <c r="LZJ226" s="1201"/>
      <c r="LZK226" s="1201"/>
      <c r="LZL226" s="1201"/>
      <c r="LZM226" s="1201"/>
      <c r="LZN226" s="1201"/>
      <c r="LZO226" s="1201"/>
      <c r="LZP226" s="1201"/>
      <c r="LZQ226" s="1201"/>
      <c r="LZR226" s="1201"/>
      <c r="LZS226" s="1201"/>
      <c r="LZT226" s="1201"/>
      <c r="LZU226" s="1201"/>
      <c r="LZV226" s="1201"/>
      <c r="LZW226" s="1201"/>
      <c r="LZX226" s="1201"/>
      <c r="LZY226" s="1201"/>
      <c r="LZZ226" s="1201"/>
      <c r="MAA226" s="1201"/>
      <c r="MAB226" s="1201"/>
      <c r="MAC226" s="1201"/>
      <c r="MAD226" s="1201"/>
      <c r="MAE226" s="1201"/>
      <c r="MAF226" s="1201"/>
      <c r="MAG226" s="1201"/>
      <c r="MAH226" s="1201"/>
      <c r="MAI226" s="1201"/>
      <c r="MAJ226" s="1201"/>
      <c r="MAK226" s="1201"/>
      <c r="MAL226" s="1201"/>
      <c r="MAM226" s="1201"/>
      <c r="MAN226" s="1201"/>
      <c r="MAO226" s="1201"/>
      <c r="MAP226" s="1201"/>
      <c r="MAQ226" s="1201"/>
      <c r="MAR226" s="1201"/>
      <c r="MAS226" s="1201"/>
      <c r="MAT226" s="1201"/>
      <c r="MAU226" s="1201"/>
      <c r="MAV226" s="1201"/>
      <c r="MAW226" s="1201"/>
      <c r="MAX226" s="1201"/>
      <c r="MAY226" s="1201"/>
      <c r="MAZ226" s="1201"/>
      <c r="MBA226" s="1201"/>
      <c r="MBB226" s="1201"/>
      <c r="MBC226" s="1201"/>
      <c r="MBD226" s="1201"/>
      <c r="MBE226" s="1201"/>
      <c r="MBF226" s="1201"/>
      <c r="MBG226" s="1201"/>
      <c r="MBH226" s="1201"/>
      <c r="MBI226" s="1201"/>
      <c r="MBJ226" s="1201"/>
      <c r="MBK226" s="1201"/>
      <c r="MBL226" s="1201"/>
      <c r="MBM226" s="1201"/>
      <c r="MBN226" s="1201"/>
      <c r="MBO226" s="1201"/>
      <c r="MBP226" s="1201"/>
      <c r="MBQ226" s="1201"/>
      <c r="MBR226" s="1201"/>
      <c r="MBS226" s="1201"/>
      <c r="MBT226" s="1201"/>
      <c r="MBU226" s="1201"/>
      <c r="MBV226" s="1201"/>
      <c r="MBW226" s="1201"/>
      <c r="MBX226" s="1201"/>
      <c r="MBY226" s="1201"/>
      <c r="MBZ226" s="1201"/>
      <c r="MCA226" s="1201"/>
      <c r="MCB226" s="1201"/>
      <c r="MCC226" s="1201"/>
      <c r="MCD226" s="1201"/>
      <c r="MCE226" s="1201"/>
      <c r="MCF226" s="1201"/>
      <c r="MCG226" s="1201"/>
      <c r="MCH226" s="1201"/>
      <c r="MCI226" s="1201"/>
      <c r="MCJ226" s="1201"/>
      <c r="MCK226" s="1201"/>
      <c r="MCL226" s="1201"/>
      <c r="MCM226" s="1201"/>
      <c r="MCN226" s="1201"/>
      <c r="MCO226" s="1201"/>
      <c r="MCP226" s="1201"/>
      <c r="MCQ226" s="1201"/>
      <c r="MCR226" s="1201"/>
      <c r="MCS226" s="1201"/>
      <c r="MCT226" s="1201"/>
      <c r="MCU226" s="1201"/>
      <c r="MCV226" s="1201"/>
      <c r="MCW226" s="1201"/>
      <c r="MCX226" s="1201"/>
      <c r="MCY226" s="1201"/>
      <c r="MCZ226" s="1201"/>
      <c r="MDA226" s="1201"/>
      <c r="MDB226" s="1201"/>
      <c r="MDC226" s="1201"/>
      <c r="MDD226" s="1201"/>
      <c r="MDE226" s="1201"/>
      <c r="MDF226" s="1201"/>
      <c r="MDG226" s="1201"/>
      <c r="MDH226" s="1201"/>
      <c r="MDI226" s="1201"/>
      <c r="MDJ226" s="1201"/>
      <c r="MDK226" s="1201"/>
      <c r="MDL226" s="1201"/>
      <c r="MDM226" s="1201"/>
      <c r="MDN226" s="1201"/>
      <c r="MDO226" s="1201"/>
      <c r="MDP226" s="1201"/>
      <c r="MDQ226" s="1201"/>
      <c r="MDR226" s="1201"/>
      <c r="MDS226" s="1201"/>
      <c r="MDT226" s="1201"/>
      <c r="MDU226" s="1201"/>
      <c r="MDV226" s="1201"/>
      <c r="MDW226" s="1201"/>
      <c r="MDX226" s="1201"/>
      <c r="MDY226" s="1201"/>
      <c r="MDZ226" s="1201"/>
      <c r="MEA226" s="1201"/>
      <c r="MEB226" s="1201"/>
      <c r="MEC226" s="1201"/>
      <c r="MED226" s="1201"/>
      <c r="MEE226" s="1201"/>
      <c r="MEF226" s="1201"/>
      <c r="MEG226" s="1201"/>
      <c r="MEH226" s="1201"/>
      <c r="MEI226" s="1201"/>
      <c r="MEJ226" s="1201"/>
      <c r="MEK226" s="1201"/>
      <c r="MEL226" s="1201"/>
      <c r="MEM226" s="1201"/>
      <c r="MEN226" s="1201"/>
      <c r="MEO226" s="1201"/>
      <c r="MEP226" s="1201"/>
      <c r="MEQ226" s="1201"/>
      <c r="MER226" s="1201"/>
      <c r="MES226" s="1201"/>
      <c r="MET226" s="1201"/>
      <c r="MEU226" s="1201"/>
      <c r="MEV226" s="1201"/>
      <c r="MEW226" s="1201"/>
      <c r="MEX226" s="1201"/>
      <c r="MEY226" s="1201"/>
      <c r="MEZ226" s="1201"/>
      <c r="MFA226" s="1201"/>
      <c r="MFB226" s="1201"/>
      <c r="MFC226" s="1201"/>
      <c r="MFD226" s="1201"/>
      <c r="MFE226" s="1201"/>
      <c r="MFF226" s="1201"/>
      <c r="MFG226" s="1201"/>
      <c r="MFH226" s="1201"/>
      <c r="MFI226" s="1201"/>
      <c r="MFJ226" s="1201"/>
      <c r="MFK226" s="1201"/>
      <c r="MFL226" s="1201"/>
      <c r="MFM226" s="1201"/>
      <c r="MFN226" s="1201"/>
      <c r="MFO226" s="1201"/>
      <c r="MFP226" s="1201"/>
      <c r="MFQ226" s="1201"/>
      <c r="MFR226" s="1201"/>
      <c r="MFS226" s="1201"/>
      <c r="MFT226" s="1201"/>
      <c r="MFU226" s="1201"/>
      <c r="MFV226" s="1201"/>
      <c r="MFW226" s="1201"/>
      <c r="MFX226" s="1201"/>
      <c r="MFY226" s="1201"/>
      <c r="MFZ226" s="1201"/>
      <c r="MGA226" s="1201"/>
      <c r="MGB226" s="1201"/>
      <c r="MGC226" s="1201"/>
      <c r="MGD226" s="1201"/>
      <c r="MGE226" s="1201"/>
      <c r="MGF226" s="1201"/>
      <c r="MGG226" s="1201"/>
      <c r="MGH226" s="1201"/>
      <c r="MGI226" s="1201"/>
      <c r="MGJ226" s="1201"/>
      <c r="MGK226" s="1201"/>
      <c r="MGL226" s="1201"/>
      <c r="MGM226" s="1201"/>
      <c r="MGN226" s="1201"/>
      <c r="MGO226" s="1201"/>
      <c r="MGP226" s="1201"/>
      <c r="MGQ226" s="1201"/>
      <c r="MGR226" s="1201"/>
      <c r="MGS226" s="1201"/>
      <c r="MGT226" s="1201"/>
      <c r="MGU226" s="1201"/>
      <c r="MGV226" s="1201"/>
      <c r="MGW226" s="1201"/>
      <c r="MGX226" s="1201"/>
      <c r="MGY226" s="1201"/>
      <c r="MGZ226" s="1201"/>
      <c r="MHA226" s="1201"/>
      <c r="MHB226" s="1201"/>
      <c r="MHC226" s="1201"/>
      <c r="MHD226" s="1201"/>
      <c r="MHE226" s="1201"/>
      <c r="MHF226" s="1201"/>
      <c r="MHG226" s="1201"/>
      <c r="MHH226" s="1201"/>
      <c r="MHI226" s="1201"/>
      <c r="MHJ226" s="1201"/>
      <c r="MHK226" s="1201"/>
      <c r="MHL226" s="1201"/>
      <c r="MHM226" s="1201"/>
      <c r="MHN226" s="1201"/>
      <c r="MHO226" s="1201"/>
      <c r="MHP226" s="1201"/>
      <c r="MHQ226" s="1201"/>
      <c r="MHR226" s="1201"/>
      <c r="MHS226" s="1201"/>
      <c r="MHT226" s="1201"/>
      <c r="MHU226" s="1201"/>
      <c r="MHV226" s="1201"/>
      <c r="MHW226" s="1201"/>
      <c r="MHX226" s="1201"/>
      <c r="MHY226" s="1201"/>
      <c r="MHZ226" s="1201"/>
      <c r="MIA226" s="1201"/>
      <c r="MIB226" s="1201"/>
      <c r="MIC226" s="1201"/>
      <c r="MID226" s="1201"/>
      <c r="MIE226" s="1201"/>
      <c r="MIF226" s="1201"/>
      <c r="MIG226" s="1201"/>
      <c r="MIH226" s="1201"/>
      <c r="MII226" s="1201"/>
      <c r="MIJ226" s="1201"/>
      <c r="MIK226" s="1201"/>
      <c r="MIL226" s="1201"/>
      <c r="MIM226" s="1201"/>
      <c r="MIN226" s="1201"/>
      <c r="MIO226" s="1201"/>
      <c r="MIP226" s="1201"/>
      <c r="MIQ226" s="1201"/>
      <c r="MIR226" s="1201"/>
      <c r="MIS226" s="1201"/>
      <c r="MIT226" s="1201"/>
      <c r="MIU226" s="1201"/>
      <c r="MIV226" s="1201"/>
      <c r="MIW226" s="1201"/>
      <c r="MIX226" s="1201"/>
      <c r="MIY226" s="1201"/>
      <c r="MIZ226" s="1201"/>
      <c r="MJA226" s="1201"/>
      <c r="MJB226" s="1201"/>
      <c r="MJC226" s="1201"/>
      <c r="MJD226" s="1201"/>
      <c r="MJE226" s="1201"/>
      <c r="MJF226" s="1201"/>
      <c r="MJG226" s="1201"/>
      <c r="MJH226" s="1201"/>
      <c r="MJI226" s="1201"/>
      <c r="MJJ226" s="1201"/>
      <c r="MJK226" s="1201"/>
      <c r="MJL226" s="1201"/>
      <c r="MJM226" s="1201"/>
      <c r="MJN226" s="1201"/>
      <c r="MJO226" s="1201"/>
      <c r="MJP226" s="1201"/>
      <c r="MJQ226" s="1201"/>
      <c r="MJR226" s="1201"/>
      <c r="MJS226" s="1201"/>
      <c r="MJT226" s="1201"/>
      <c r="MJU226" s="1201"/>
      <c r="MJV226" s="1201"/>
      <c r="MJW226" s="1201"/>
      <c r="MJX226" s="1201"/>
      <c r="MJY226" s="1201"/>
      <c r="MJZ226" s="1201"/>
      <c r="MKA226" s="1201"/>
      <c r="MKB226" s="1201"/>
      <c r="MKC226" s="1201"/>
      <c r="MKD226" s="1201"/>
      <c r="MKE226" s="1201"/>
      <c r="MKF226" s="1201"/>
      <c r="MKG226" s="1201"/>
      <c r="MKH226" s="1201"/>
      <c r="MKI226" s="1201"/>
      <c r="MKJ226" s="1201"/>
      <c r="MKK226" s="1201"/>
      <c r="MKL226" s="1201"/>
      <c r="MKM226" s="1201"/>
      <c r="MKN226" s="1201"/>
      <c r="MKO226" s="1201"/>
      <c r="MKP226" s="1201"/>
      <c r="MKQ226" s="1201"/>
      <c r="MKR226" s="1201"/>
      <c r="MKS226" s="1201"/>
      <c r="MKT226" s="1201"/>
      <c r="MKU226" s="1201"/>
      <c r="MKV226" s="1201"/>
      <c r="MKW226" s="1201"/>
      <c r="MKX226" s="1201"/>
      <c r="MKY226" s="1201"/>
      <c r="MKZ226" s="1201"/>
      <c r="MLA226" s="1201"/>
      <c r="MLB226" s="1201"/>
      <c r="MLC226" s="1201"/>
      <c r="MLD226" s="1201"/>
      <c r="MLE226" s="1201"/>
      <c r="MLF226" s="1201"/>
      <c r="MLG226" s="1201"/>
      <c r="MLH226" s="1201"/>
      <c r="MLI226" s="1201"/>
      <c r="MLJ226" s="1201"/>
      <c r="MLK226" s="1201"/>
      <c r="MLL226" s="1201"/>
      <c r="MLM226" s="1201"/>
      <c r="MLN226" s="1201"/>
      <c r="MLO226" s="1201"/>
      <c r="MLP226" s="1201"/>
      <c r="MLQ226" s="1201"/>
      <c r="MLR226" s="1201"/>
      <c r="MLS226" s="1201"/>
      <c r="MLT226" s="1201"/>
      <c r="MLU226" s="1201"/>
      <c r="MLV226" s="1201"/>
      <c r="MLW226" s="1201"/>
      <c r="MLX226" s="1201"/>
      <c r="MLY226" s="1201"/>
      <c r="MLZ226" s="1201"/>
      <c r="MMA226" s="1201"/>
      <c r="MMB226" s="1201"/>
      <c r="MMC226" s="1201"/>
      <c r="MMD226" s="1201"/>
      <c r="MME226" s="1201"/>
      <c r="MMF226" s="1201"/>
      <c r="MMG226" s="1201"/>
      <c r="MMH226" s="1201"/>
      <c r="MMI226" s="1201"/>
      <c r="MMJ226" s="1201"/>
      <c r="MMK226" s="1201"/>
      <c r="MML226" s="1201"/>
      <c r="MMM226" s="1201"/>
      <c r="MMN226" s="1201"/>
      <c r="MMO226" s="1201"/>
      <c r="MMP226" s="1201"/>
      <c r="MMQ226" s="1201"/>
      <c r="MMR226" s="1201"/>
      <c r="MMS226" s="1201"/>
      <c r="MMT226" s="1201"/>
      <c r="MMU226" s="1201"/>
      <c r="MMV226" s="1201"/>
      <c r="MMW226" s="1201"/>
      <c r="MMX226" s="1201"/>
      <c r="MMY226" s="1201"/>
      <c r="MMZ226" s="1201"/>
      <c r="MNA226" s="1201"/>
      <c r="MNB226" s="1201"/>
      <c r="MNC226" s="1201"/>
      <c r="MND226" s="1201"/>
      <c r="MNE226" s="1201"/>
      <c r="MNF226" s="1201"/>
      <c r="MNG226" s="1201"/>
      <c r="MNH226" s="1201"/>
      <c r="MNI226" s="1201"/>
      <c r="MNJ226" s="1201"/>
      <c r="MNK226" s="1201"/>
      <c r="MNL226" s="1201"/>
      <c r="MNM226" s="1201"/>
      <c r="MNN226" s="1201"/>
      <c r="MNO226" s="1201"/>
      <c r="MNP226" s="1201"/>
      <c r="MNQ226" s="1201"/>
      <c r="MNR226" s="1201"/>
      <c r="MNS226" s="1201"/>
      <c r="MNT226" s="1201"/>
      <c r="MNU226" s="1201"/>
      <c r="MNV226" s="1201"/>
      <c r="MNW226" s="1201"/>
      <c r="MNX226" s="1201"/>
      <c r="MNY226" s="1201"/>
      <c r="MNZ226" s="1201"/>
      <c r="MOA226" s="1201"/>
      <c r="MOB226" s="1201"/>
      <c r="MOC226" s="1201"/>
      <c r="MOD226" s="1201"/>
      <c r="MOE226" s="1201"/>
      <c r="MOF226" s="1201"/>
      <c r="MOG226" s="1201"/>
      <c r="MOH226" s="1201"/>
      <c r="MOI226" s="1201"/>
      <c r="MOJ226" s="1201"/>
      <c r="MOK226" s="1201"/>
      <c r="MOL226" s="1201"/>
      <c r="MOM226" s="1201"/>
      <c r="MON226" s="1201"/>
      <c r="MOO226" s="1201"/>
      <c r="MOP226" s="1201"/>
      <c r="MOQ226" s="1201"/>
      <c r="MOR226" s="1201"/>
      <c r="MOS226" s="1201"/>
      <c r="MOT226" s="1201"/>
      <c r="MOU226" s="1201"/>
      <c r="MOV226" s="1201"/>
      <c r="MOW226" s="1201"/>
      <c r="MOX226" s="1201"/>
      <c r="MOY226" s="1201"/>
      <c r="MOZ226" s="1201"/>
      <c r="MPA226" s="1201"/>
      <c r="MPB226" s="1201"/>
      <c r="MPC226" s="1201"/>
      <c r="MPD226" s="1201"/>
      <c r="MPE226" s="1201"/>
      <c r="MPF226" s="1201"/>
      <c r="MPG226" s="1201"/>
      <c r="MPH226" s="1201"/>
      <c r="MPI226" s="1201"/>
      <c r="MPJ226" s="1201"/>
      <c r="MPK226" s="1201"/>
      <c r="MPL226" s="1201"/>
      <c r="MPM226" s="1201"/>
      <c r="MPN226" s="1201"/>
      <c r="MPO226" s="1201"/>
      <c r="MPP226" s="1201"/>
      <c r="MPQ226" s="1201"/>
      <c r="MPR226" s="1201"/>
      <c r="MPS226" s="1201"/>
      <c r="MPT226" s="1201"/>
      <c r="MPU226" s="1201"/>
      <c r="MPV226" s="1201"/>
      <c r="MPW226" s="1201"/>
      <c r="MPX226" s="1201"/>
      <c r="MPY226" s="1201"/>
      <c r="MPZ226" s="1201"/>
      <c r="MQA226" s="1201"/>
      <c r="MQB226" s="1201"/>
      <c r="MQC226" s="1201"/>
      <c r="MQD226" s="1201"/>
      <c r="MQE226" s="1201"/>
      <c r="MQF226" s="1201"/>
      <c r="MQG226" s="1201"/>
      <c r="MQH226" s="1201"/>
      <c r="MQI226" s="1201"/>
      <c r="MQJ226" s="1201"/>
      <c r="MQK226" s="1201"/>
      <c r="MQL226" s="1201"/>
      <c r="MQM226" s="1201"/>
      <c r="MQN226" s="1201"/>
      <c r="MQO226" s="1201"/>
      <c r="MQP226" s="1201"/>
      <c r="MQQ226" s="1201"/>
      <c r="MQR226" s="1201"/>
      <c r="MQS226" s="1201"/>
      <c r="MQT226" s="1201"/>
      <c r="MQU226" s="1201"/>
      <c r="MQV226" s="1201"/>
      <c r="MQW226" s="1201"/>
      <c r="MQX226" s="1201"/>
      <c r="MQY226" s="1201"/>
      <c r="MQZ226" s="1201"/>
      <c r="MRA226" s="1201"/>
      <c r="MRB226" s="1201"/>
      <c r="MRC226" s="1201"/>
      <c r="MRD226" s="1201"/>
      <c r="MRE226" s="1201"/>
      <c r="MRF226" s="1201"/>
      <c r="MRG226" s="1201"/>
      <c r="MRH226" s="1201"/>
      <c r="MRI226" s="1201"/>
      <c r="MRJ226" s="1201"/>
      <c r="MRK226" s="1201"/>
      <c r="MRL226" s="1201"/>
      <c r="MRM226" s="1201"/>
      <c r="MRN226" s="1201"/>
      <c r="MRO226" s="1201"/>
      <c r="MRP226" s="1201"/>
      <c r="MRQ226" s="1201"/>
      <c r="MRR226" s="1201"/>
      <c r="MRS226" s="1201"/>
      <c r="MRT226" s="1201"/>
      <c r="MRU226" s="1201"/>
      <c r="MRV226" s="1201"/>
      <c r="MRW226" s="1201"/>
      <c r="MRX226" s="1201"/>
      <c r="MRY226" s="1201"/>
      <c r="MRZ226" s="1201"/>
      <c r="MSA226" s="1201"/>
      <c r="MSB226" s="1201"/>
      <c r="MSC226" s="1201"/>
      <c r="MSD226" s="1201"/>
      <c r="MSE226" s="1201"/>
      <c r="MSF226" s="1201"/>
      <c r="MSG226" s="1201"/>
      <c r="MSH226" s="1201"/>
      <c r="MSI226" s="1201"/>
      <c r="MSJ226" s="1201"/>
      <c r="MSK226" s="1201"/>
      <c r="MSL226" s="1201"/>
      <c r="MSM226" s="1201"/>
      <c r="MSN226" s="1201"/>
      <c r="MSO226" s="1201"/>
      <c r="MSP226" s="1201"/>
      <c r="MSQ226" s="1201"/>
      <c r="MSR226" s="1201"/>
      <c r="MSS226" s="1201"/>
      <c r="MST226" s="1201"/>
      <c r="MSU226" s="1201"/>
      <c r="MSV226" s="1201"/>
      <c r="MSW226" s="1201"/>
      <c r="MSX226" s="1201"/>
      <c r="MSY226" s="1201"/>
      <c r="MSZ226" s="1201"/>
      <c r="MTA226" s="1201"/>
      <c r="MTB226" s="1201"/>
      <c r="MTC226" s="1201"/>
      <c r="MTD226" s="1201"/>
      <c r="MTE226" s="1201"/>
      <c r="MTF226" s="1201"/>
      <c r="MTG226" s="1201"/>
      <c r="MTH226" s="1201"/>
      <c r="MTI226" s="1201"/>
      <c r="MTJ226" s="1201"/>
      <c r="MTK226" s="1201"/>
      <c r="MTL226" s="1201"/>
      <c r="MTM226" s="1201"/>
      <c r="MTN226" s="1201"/>
      <c r="MTO226" s="1201"/>
      <c r="MTP226" s="1201"/>
      <c r="MTQ226" s="1201"/>
      <c r="MTR226" s="1201"/>
      <c r="MTS226" s="1201"/>
      <c r="MTT226" s="1201"/>
      <c r="MTU226" s="1201"/>
      <c r="MTV226" s="1201"/>
      <c r="MTW226" s="1201"/>
      <c r="MTX226" s="1201"/>
      <c r="MTY226" s="1201"/>
      <c r="MTZ226" s="1201"/>
      <c r="MUA226" s="1201"/>
      <c r="MUB226" s="1201"/>
      <c r="MUC226" s="1201"/>
      <c r="MUD226" s="1201"/>
      <c r="MUE226" s="1201"/>
      <c r="MUF226" s="1201"/>
      <c r="MUG226" s="1201"/>
      <c r="MUH226" s="1201"/>
      <c r="MUI226" s="1201"/>
      <c r="MUJ226" s="1201"/>
      <c r="MUK226" s="1201"/>
      <c r="MUL226" s="1201"/>
      <c r="MUM226" s="1201"/>
      <c r="MUN226" s="1201"/>
      <c r="MUO226" s="1201"/>
      <c r="MUP226" s="1201"/>
      <c r="MUQ226" s="1201"/>
      <c r="MUR226" s="1201"/>
      <c r="MUS226" s="1201"/>
      <c r="MUT226" s="1201"/>
      <c r="MUU226" s="1201"/>
      <c r="MUV226" s="1201"/>
      <c r="MUW226" s="1201"/>
      <c r="MUX226" s="1201"/>
      <c r="MUY226" s="1201"/>
      <c r="MUZ226" s="1201"/>
      <c r="MVA226" s="1201"/>
      <c r="MVB226" s="1201"/>
      <c r="MVC226" s="1201"/>
      <c r="MVD226" s="1201"/>
      <c r="MVE226" s="1201"/>
      <c r="MVF226" s="1201"/>
      <c r="MVG226" s="1201"/>
      <c r="MVH226" s="1201"/>
      <c r="MVI226" s="1201"/>
      <c r="MVJ226" s="1201"/>
      <c r="MVK226" s="1201"/>
      <c r="MVL226" s="1201"/>
      <c r="MVM226" s="1201"/>
      <c r="MVN226" s="1201"/>
      <c r="MVO226" s="1201"/>
      <c r="MVP226" s="1201"/>
      <c r="MVQ226" s="1201"/>
      <c r="MVR226" s="1201"/>
      <c r="MVS226" s="1201"/>
      <c r="MVT226" s="1201"/>
      <c r="MVU226" s="1201"/>
      <c r="MVV226" s="1201"/>
      <c r="MVW226" s="1201"/>
      <c r="MVX226" s="1201"/>
      <c r="MVY226" s="1201"/>
      <c r="MVZ226" s="1201"/>
      <c r="MWA226" s="1201"/>
      <c r="MWB226" s="1201"/>
      <c r="MWC226" s="1201"/>
      <c r="MWD226" s="1201"/>
      <c r="MWE226" s="1201"/>
      <c r="MWF226" s="1201"/>
      <c r="MWG226" s="1201"/>
      <c r="MWH226" s="1201"/>
      <c r="MWI226" s="1201"/>
      <c r="MWJ226" s="1201"/>
      <c r="MWK226" s="1201"/>
      <c r="MWL226" s="1201"/>
      <c r="MWM226" s="1201"/>
      <c r="MWN226" s="1201"/>
      <c r="MWO226" s="1201"/>
      <c r="MWP226" s="1201"/>
      <c r="MWQ226" s="1201"/>
      <c r="MWR226" s="1201"/>
      <c r="MWS226" s="1201"/>
      <c r="MWT226" s="1201"/>
      <c r="MWU226" s="1201"/>
      <c r="MWV226" s="1201"/>
      <c r="MWW226" s="1201"/>
      <c r="MWX226" s="1201"/>
      <c r="MWY226" s="1201"/>
      <c r="MWZ226" s="1201"/>
      <c r="MXA226" s="1201"/>
      <c r="MXB226" s="1201"/>
      <c r="MXC226" s="1201"/>
      <c r="MXD226" s="1201"/>
      <c r="MXE226" s="1201"/>
      <c r="MXF226" s="1201"/>
      <c r="MXG226" s="1201"/>
      <c r="MXH226" s="1201"/>
      <c r="MXI226" s="1201"/>
      <c r="MXJ226" s="1201"/>
      <c r="MXK226" s="1201"/>
      <c r="MXL226" s="1201"/>
      <c r="MXM226" s="1201"/>
      <c r="MXN226" s="1201"/>
      <c r="MXO226" s="1201"/>
      <c r="MXP226" s="1201"/>
      <c r="MXQ226" s="1201"/>
      <c r="MXR226" s="1201"/>
      <c r="MXS226" s="1201"/>
      <c r="MXT226" s="1201"/>
      <c r="MXU226" s="1201"/>
      <c r="MXV226" s="1201"/>
      <c r="MXW226" s="1201"/>
      <c r="MXX226" s="1201"/>
      <c r="MXY226" s="1201"/>
      <c r="MXZ226" s="1201"/>
      <c r="MYA226" s="1201"/>
      <c r="MYB226" s="1201"/>
      <c r="MYC226" s="1201"/>
      <c r="MYD226" s="1201"/>
      <c r="MYE226" s="1201"/>
      <c r="MYF226" s="1201"/>
      <c r="MYG226" s="1201"/>
      <c r="MYH226" s="1201"/>
      <c r="MYI226" s="1201"/>
      <c r="MYJ226" s="1201"/>
      <c r="MYK226" s="1201"/>
      <c r="MYL226" s="1201"/>
      <c r="MYM226" s="1201"/>
      <c r="MYN226" s="1201"/>
      <c r="MYO226" s="1201"/>
      <c r="MYP226" s="1201"/>
      <c r="MYQ226" s="1201"/>
      <c r="MYR226" s="1201"/>
      <c r="MYS226" s="1201"/>
      <c r="MYT226" s="1201"/>
      <c r="MYU226" s="1201"/>
      <c r="MYV226" s="1201"/>
      <c r="MYW226" s="1201"/>
      <c r="MYX226" s="1201"/>
      <c r="MYY226" s="1201"/>
      <c r="MYZ226" s="1201"/>
      <c r="MZA226" s="1201"/>
      <c r="MZB226" s="1201"/>
      <c r="MZC226" s="1201"/>
      <c r="MZD226" s="1201"/>
      <c r="MZE226" s="1201"/>
      <c r="MZF226" s="1201"/>
      <c r="MZG226" s="1201"/>
      <c r="MZH226" s="1201"/>
      <c r="MZI226" s="1201"/>
      <c r="MZJ226" s="1201"/>
      <c r="MZK226" s="1201"/>
      <c r="MZL226" s="1201"/>
      <c r="MZM226" s="1201"/>
      <c r="MZN226" s="1201"/>
      <c r="MZO226" s="1201"/>
      <c r="MZP226" s="1201"/>
      <c r="MZQ226" s="1201"/>
      <c r="MZR226" s="1201"/>
      <c r="MZS226" s="1201"/>
      <c r="MZT226" s="1201"/>
      <c r="MZU226" s="1201"/>
      <c r="MZV226" s="1201"/>
      <c r="MZW226" s="1201"/>
      <c r="MZX226" s="1201"/>
      <c r="MZY226" s="1201"/>
      <c r="MZZ226" s="1201"/>
      <c r="NAA226" s="1201"/>
      <c r="NAB226" s="1201"/>
      <c r="NAC226" s="1201"/>
      <c r="NAD226" s="1201"/>
      <c r="NAE226" s="1201"/>
      <c r="NAF226" s="1201"/>
      <c r="NAG226" s="1201"/>
      <c r="NAH226" s="1201"/>
      <c r="NAI226" s="1201"/>
      <c r="NAJ226" s="1201"/>
      <c r="NAK226" s="1201"/>
      <c r="NAL226" s="1201"/>
      <c r="NAM226" s="1201"/>
      <c r="NAN226" s="1201"/>
      <c r="NAO226" s="1201"/>
      <c r="NAP226" s="1201"/>
      <c r="NAQ226" s="1201"/>
      <c r="NAR226" s="1201"/>
      <c r="NAS226" s="1201"/>
      <c r="NAT226" s="1201"/>
      <c r="NAU226" s="1201"/>
      <c r="NAV226" s="1201"/>
      <c r="NAW226" s="1201"/>
      <c r="NAX226" s="1201"/>
      <c r="NAY226" s="1201"/>
      <c r="NAZ226" s="1201"/>
      <c r="NBA226" s="1201"/>
      <c r="NBB226" s="1201"/>
      <c r="NBC226" s="1201"/>
      <c r="NBD226" s="1201"/>
      <c r="NBE226" s="1201"/>
      <c r="NBF226" s="1201"/>
      <c r="NBG226" s="1201"/>
      <c r="NBH226" s="1201"/>
      <c r="NBI226" s="1201"/>
      <c r="NBJ226" s="1201"/>
      <c r="NBK226" s="1201"/>
      <c r="NBL226" s="1201"/>
      <c r="NBM226" s="1201"/>
      <c r="NBN226" s="1201"/>
      <c r="NBO226" s="1201"/>
      <c r="NBP226" s="1201"/>
      <c r="NBQ226" s="1201"/>
      <c r="NBR226" s="1201"/>
      <c r="NBS226" s="1201"/>
      <c r="NBT226" s="1201"/>
      <c r="NBU226" s="1201"/>
      <c r="NBV226" s="1201"/>
      <c r="NBW226" s="1201"/>
      <c r="NBX226" s="1201"/>
      <c r="NBY226" s="1201"/>
      <c r="NBZ226" s="1201"/>
      <c r="NCA226" s="1201"/>
      <c r="NCB226" s="1201"/>
      <c r="NCC226" s="1201"/>
      <c r="NCD226" s="1201"/>
      <c r="NCE226" s="1201"/>
      <c r="NCF226" s="1201"/>
      <c r="NCG226" s="1201"/>
      <c r="NCH226" s="1201"/>
      <c r="NCI226" s="1201"/>
      <c r="NCJ226" s="1201"/>
      <c r="NCK226" s="1201"/>
      <c r="NCL226" s="1201"/>
      <c r="NCM226" s="1201"/>
      <c r="NCN226" s="1201"/>
      <c r="NCO226" s="1201"/>
      <c r="NCP226" s="1201"/>
      <c r="NCQ226" s="1201"/>
      <c r="NCR226" s="1201"/>
      <c r="NCS226" s="1201"/>
      <c r="NCT226" s="1201"/>
      <c r="NCU226" s="1201"/>
      <c r="NCV226" s="1201"/>
      <c r="NCW226" s="1201"/>
      <c r="NCX226" s="1201"/>
      <c r="NCY226" s="1201"/>
      <c r="NCZ226" s="1201"/>
      <c r="NDA226" s="1201"/>
      <c r="NDB226" s="1201"/>
      <c r="NDC226" s="1201"/>
      <c r="NDD226" s="1201"/>
      <c r="NDE226" s="1201"/>
      <c r="NDF226" s="1201"/>
      <c r="NDG226" s="1201"/>
      <c r="NDH226" s="1201"/>
      <c r="NDI226" s="1201"/>
      <c r="NDJ226" s="1201"/>
      <c r="NDK226" s="1201"/>
      <c r="NDL226" s="1201"/>
      <c r="NDM226" s="1201"/>
      <c r="NDN226" s="1201"/>
      <c r="NDO226" s="1201"/>
      <c r="NDP226" s="1201"/>
      <c r="NDQ226" s="1201"/>
      <c r="NDR226" s="1201"/>
      <c r="NDS226" s="1201"/>
      <c r="NDT226" s="1201"/>
      <c r="NDU226" s="1201"/>
      <c r="NDV226" s="1201"/>
      <c r="NDW226" s="1201"/>
      <c r="NDX226" s="1201"/>
      <c r="NDY226" s="1201"/>
      <c r="NDZ226" s="1201"/>
      <c r="NEA226" s="1201"/>
      <c r="NEB226" s="1201"/>
      <c r="NEC226" s="1201"/>
      <c r="NED226" s="1201"/>
      <c r="NEE226" s="1201"/>
      <c r="NEF226" s="1201"/>
      <c r="NEG226" s="1201"/>
      <c r="NEH226" s="1201"/>
      <c r="NEI226" s="1201"/>
      <c r="NEJ226" s="1201"/>
      <c r="NEK226" s="1201"/>
      <c r="NEL226" s="1201"/>
      <c r="NEM226" s="1201"/>
      <c r="NEN226" s="1201"/>
      <c r="NEO226" s="1201"/>
      <c r="NEP226" s="1201"/>
      <c r="NEQ226" s="1201"/>
      <c r="NER226" s="1201"/>
      <c r="NES226" s="1201"/>
      <c r="NET226" s="1201"/>
      <c r="NEU226" s="1201"/>
      <c r="NEV226" s="1201"/>
      <c r="NEW226" s="1201"/>
      <c r="NEX226" s="1201"/>
      <c r="NEY226" s="1201"/>
      <c r="NEZ226" s="1201"/>
      <c r="NFA226" s="1201"/>
      <c r="NFB226" s="1201"/>
      <c r="NFC226" s="1201"/>
      <c r="NFD226" s="1201"/>
      <c r="NFE226" s="1201"/>
      <c r="NFF226" s="1201"/>
      <c r="NFG226" s="1201"/>
      <c r="NFH226" s="1201"/>
      <c r="NFI226" s="1201"/>
      <c r="NFJ226" s="1201"/>
      <c r="NFK226" s="1201"/>
      <c r="NFL226" s="1201"/>
      <c r="NFM226" s="1201"/>
      <c r="NFN226" s="1201"/>
      <c r="NFO226" s="1201"/>
      <c r="NFP226" s="1201"/>
      <c r="NFQ226" s="1201"/>
      <c r="NFR226" s="1201"/>
      <c r="NFS226" s="1201"/>
      <c r="NFT226" s="1201"/>
      <c r="NFU226" s="1201"/>
      <c r="NFV226" s="1201"/>
      <c r="NFW226" s="1201"/>
      <c r="NFX226" s="1201"/>
      <c r="NFY226" s="1201"/>
      <c r="NFZ226" s="1201"/>
      <c r="NGA226" s="1201"/>
      <c r="NGB226" s="1201"/>
      <c r="NGC226" s="1201"/>
      <c r="NGD226" s="1201"/>
      <c r="NGE226" s="1201"/>
      <c r="NGF226" s="1201"/>
      <c r="NGG226" s="1201"/>
      <c r="NGH226" s="1201"/>
      <c r="NGI226" s="1201"/>
      <c r="NGJ226" s="1201"/>
      <c r="NGK226" s="1201"/>
      <c r="NGL226" s="1201"/>
      <c r="NGM226" s="1201"/>
      <c r="NGN226" s="1201"/>
      <c r="NGO226" s="1201"/>
      <c r="NGP226" s="1201"/>
      <c r="NGQ226" s="1201"/>
      <c r="NGR226" s="1201"/>
      <c r="NGS226" s="1201"/>
      <c r="NGT226" s="1201"/>
      <c r="NGU226" s="1201"/>
      <c r="NGV226" s="1201"/>
      <c r="NGW226" s="1201"/>
      <c r="NGX226" s="1201"/>
      <c r="NGY226" s="1201"/>
      <c r="NGZ226" s="1201"/>
      <c r="NHA226" s="1201"/>
      <c r="NHB226" s="1201"/>
      <c r="NHC226" s="1201"/>
      <c r="NHD226" s="1201"/>
      <c r="NHE226" s="1201"/>
      <c r="NHF226" s="1201"/>
      <c r="NHG226" s="1201"/>
      <c r="NHH226" s="1201"/>
      <c r="NHI226" s="1201"/>
      <c r="NHJ226" s="1201"/>
      <c r="NHK226" s="1201"/>
      <c r="NHL226" s="1201"/>
      <c r="NHM226" s="1201"/>
      <c r="NHN226" s="1201"/>
      <c r="NHO226" s="1201"/>
      <c r="NHP226" s="1201"/>
      <c r="NHQ226" s="1201"/>
      <c r="NHR226" s="1201"/>
      <c r="NHS226" s="1201"/>
      <c r="NHT226" s="1201"/>
      <c r="NHU226" s="1201"/>
      <c r="NHV226" s="1201"/>
      <c r="NHW226" s="1201"/>
      <c r="NHX226" s="1201"/>
      <c r="NHY226" s="1201"/>
      <c r="NHZ226" s="1201"/>
      <c r="NIA226" s="1201"/>
      <c r="NIB226" s="1201"/>
      <c r="NIC226" s="1201"/>
      <c r="NID226" s="1201"/>
      <c r="NIE226" s="1201"/>
      <c r="NIF226" s="1201"/>
      <c r="NIG226" s="1201"/>
      <c r="NIH226" s="1201"/>
      <c r="NII226" s="1201"/>
      <c r="NIJ226" s="1201"/>
      <c r="NIK226" s="1201"/>
      <c r="NIL226" s="1201"/>
      <c r="NIM226" s="1201"/>
      <c r="NIN226" s="1201"/>
      <c r="NIO226" s="1201"/>
      <c r="NIP226" s="1201"/>
      <c r="NIQ226" s="1201"/>
      <c r="NIR226" s="1201"/>
      <c r="NIS226" s="1201"/>
      <c r="NIT226" s="1201"/>
      <c r="NIU226" s="1201"/>
      <c r="NIV226" s="1201"/>
      <c r="NIW226" s="1201"/>
      <c r="NIX226" s="1201"/>
      <c r="NIY226" s="1201"/>
      <c r="NIZ226" s="1201"/>
      <c r="NJA226" s="1201"/>
      <c r="NJB226" s="1201"/>
      <c r="NJC226" s="1201"/>
      <c r="NJD226" s="1201"/>
      <c r="NJE226" s="1201"/>
      <c r="NJF226" s="1201"/>
      <c r="NJG226" s="1201"/>
      <c r="NJH226" s="1201"/>
      <c r="NJI226" s="1201"/>
      <c r="NJJ226" s="1201"/>
      <c r="NJK226" s="1201"/>
      <c r="NJL226" s="1201"/>
      <c r="NJM226" s="1201"/>
      <c r="NJN226" s="1201"/>
      <c r="NJO226" s="1201"/>
      <c r="NJP226" s="1201"/>
      <c r="NJQ226" s="1201"/>
      <c r="NJR226" s="1201"/>
      <c r="NJS226" s="1201"/>
      <c r="NJT226" s="1201"/>
      <c r="NJU226" s="1201"/>
      <c r="NJV226" s="1201"/>
      <c r="NJW226" s="1201"/>
      <c r="NJX226" s="1201"/>
      <c r="NJY226" s="1201"/>
      <c r="NJZ226" s="1201"/>
      <c r="NKA226" s="1201"/>
      <c r="NKB226" s="1201"/>
      <c r="NKC226" s="1201"/>
      <c r="NKD226" s="1201"/>
      <c r="NKE226" s="1201"/>
      <c r="NKF226" s="1201"/>
      <c r="NKG226" s="1201"/>
      <c r="NKH226" s="1201"/>
      <c r="NKI226" s="1201"/>
      <c r="NKJ226" s="1201"/>
      <c r="NKK226" s="1201"/>
      <c r="NKL226" s="1201"/>
      <c r="NKM226" s="1201"/>
      <c r="NKN226" s="1201"/>
      <c r="NKO226" s="1201"/>
      <c r="NKP226" s="1201"/>
      <c r="NKQ226" s="1201"/>
      <c r="NKR226" s="1201"/>
      <c r="NKS226" s="1201"/>
      <c r="NKT226" s="1201"/>
      <c r="NKU226" s="1201"/>
      <c r="NKV226" s="1201"/>
      <c r="NKW226" s="1201"/>
      <c r="NKX226" s="1201"/>
      <c r="NKY226" s="1201"/>
      <c r="NKZ226" s="1201"/>
      <c r="NLA226" s="1201"/>
      <c r="NLB226" s="1201"/>
      <c r="NLC226" s="1201"/>
      <c r="NLD226" s="1201"/>
      <c r="NLE226" s="1201"/>
      <c r="NLF226" s="1201"/>
      <c r="NLG226" s="1201"/>
      <c r="NLH226" s="1201"/>
      <c r="NLI226" s="1201"/>
      <c r="NLJ226" s="1201"/>
      <c r="NLK226" s="1201"/>
      <c r="NLL226" s="1201"/>
      <c r="NLM226" s="1201"/>
      <c r="NLN226" s="1201"/>
      <c r="NLO226" s="1201"/>
      <c r="NLP226" s="1201"/>
      <c r="NLQ226" s="1201"/>
      <c r="NLR226" s="1201"/>
      <c r="NLS226" s="1201"/>
      <c r="NLT226" s="1201"/>
      <c r="NLU226" s="1201"/>
      <c r="NLV226" s="1201"/>
      <c r="NLW226" s="1201"/>
      <c r="NLX226" s="1201"/>
      <c r="NLY226" s="1201"/>
      <c r="NLZ226" s="1201"/>
      <c r="NMA226" s="1201"/>
      <c r="NMB226" s="1201"/>
      <c r="NMC226" s="1201"/>
      <c r="NMD226" s="1201"/>
      <c r="NME226" s="1201"/>
      <c r="NMF226" s="1201"/>
      <c r="NMG226" s="1201"/>
      <c r="NMH226" s="1201"/>
      <c r="NMI226" s="1201"/>
      <c r="NMJ226" s="1201"/>
      <c r="NMK226" s="1201"/>
      <c r="NML226" s="1201"/>
      <c r="NMM226" s="1201"/>
      <c r="NMN226" s="1201"/>
      <c r="NMO226" s="1201"/>
      <c r="NMP226" s="1201"/>
      <c r="NMQ226" s="1201"/>
      <c r="NMR226" s="1201"/>
      <c r="NMS226" s="1201"/>
      <c r="NMT226" s="1201"/>
      <c r="NMU226" s="1201"/>
      <c r="NMV226" s="1201"/>
      <c r="NMW226" s="1201"/>
      <c r="NMX226" s="1201"/>
      <c r="NMY226" s="1201"/>
      <c r="NMZ226" s="1201"/>
      <c r="NNA226" s="1201"/>
      <c r="NNB226" s="1201"/>
      <c r="NNC226" s="1201"/>
      <c r="NND226" s="1201"/>
      <c r="NNE226" s="1201"/>
      <c r="NNF226" s="1201"/>
      <c r="NNG226" s="1201"/>
      <c r="NNH226" s="1201"/>
      <c r="NNI226" s="1201"/>
      <c r="NNJ226" s="1201"/>
      <c r="NNK226" s="1201"/>
      <c r="NNL226" s="1201"/>
      <c r="NNM226" s="1201"/>
      <c r="NNN226" s="1201"/>
      <c r="NNO226" s="1201"/>
      <c r="NNP226" s="1201"/>
      <c r="NNQ226" s="1201"/>
      <c r="NNR226" s="1201"/>
      <c r="NNS226" s="1201"/>
      <c r="NNT226" s="1201"/>
      <c r="NNU226" s="1201"/>
      <c r="NNV226" s="1201"/>
      <c r="NNW226" s="1201"/>
      <c r="NNX226" s="1201"/>
      <c r="NNY226" s="1201"/>
      <c r="NNZ226" s="1201"/>
      <c r="NOA226" s="1201"/>
      <c r="NOB226" s="1201"/>
      <c r="NOC226" s="1201"/>
      <c r="NOD226" s="1201"/>
      <c r="NOE226" s="1201"/>
      <c r="NOF226" s="1201"/>
      <c r="NOG226" s="1201"/>
      <c r="NOH226" s="1201"/>
      <c r="NOI226" s="1201"/>
      <c r="NOJ226" s="1201"/>
      <c r="NOK226" s="1201"/>
      <c r="NOL226" s="1201"/>
      <c r="NOM226" s="1201"/>
      <c r="NON226" s="1201"/>
      <c r="NOO226" s="1201"/>
      <c r="NOP226" s="1201"/>
      <c r="NOQ226" s="1201"/>
      <c r="NOR226" s="1201"/>
      <c r="NOS226" s="1201"/>
      <c r="NOT226" s="1201"/>
      <c r="NOU226" s="1201"/>
      <c r="NOV226" s="1201"/>
      <c r="NOW226" s="1201"/>
      <c r="NOX226" s="1201"/>
      <c r="NOY226" s="1201"/>
      <c r="NOZ226" s="1201"/>
      <c r="NPA226" s="1201"/>
      <c r="NPB226" s="1201"/>
      <c r="NPC226" s="1201"/>
      <c r="NPD226" s="1201"/>
      <c r="NPE226" s="1201"/>
      <c r="NPF226" s="1201"/>
      <c r="NPG226" s="1201"/>
      <c r="NPH226" s="1201"/>
      <c r="NPI226" s="1201"/>
      <c r="NPJ226" s="1201"/>
      <c r="NPK226" s="1201"/>
      <c r="NPL226" s="1201"/>
      <c r="NPM226" s="1201"/>
      <c r="NPN226" s="1201"/>
      <c r="NPO226" s="1201"/>
      <c r="NPP226" s="1201"/>
      <c r="NPQ226" s="1201"/>
      <c r="NPR226" s="1201"/>
      <c r="NPS226" s="1201"/>
      <c r="NPT226" s="1201"/>
      <c r="NPU226" s="1201"/>
      <c r="NPV226" s="1201"/>
      <c r="NPW226" s="1201"/>
      <c r="NPX226" s="1201"/>
      <c r="NPY226" s="1201"/>
      <c r="NPZ226" s="1201"/>
      <c r="NQA226" s="1201"/>
      <c r="NQB226" s="1201"/>
      <c r="NQC226" s="1201"/>
      <c r="NQD226" s="1201"/>
      <c r="NQE226" s="1201"/>
      <c r="NQF226" s="1201"/>
      <c r="NQG226" s="1201"/>
      <c r="NQH226" s="1201"/>
      <c r="NQI226" s="1201"/>
      <c r="NQJ226" s="1201"/>
      <c r="NQK226" s="1201"/>
      <c r="NQL226" s="1201"/>
      <c r="NQM226" s="1201"/>
      <c r="NQN226" s="1201"/>
      <c r="NQO226" s="1201"/>
      <c r="NQP226" s="1201"/>
      <c r="NQQ226" s="1201"/>
      <c r="NQR226" s="1201"/>
      <c r="NQS226" s="1201"/>
      <c r="NQT226" s="1201"/>
      <c r="NQU226" s="1201"/>
      <c r="NQV226" s="1201"/>
      <c r="NQW226" s="1201"/>
      <c r="NQX226" s="1201"/>
      <c r="NQY226" s="1201"/>
      <c r="NQZ226" s="1201"/>
      <c r="NRA226" s="1201"/>
      <c r="NRB226" s="1201"/>
      <c r="NRC226" s="1201"/>
      <c r="NRD226" s="1201"/>
      <c r="NRE226" s="1201"/>
      <c r="NRF226" s="1201"/>
      <c r="NRG226" s="1201"/>
      <c r="NRH226" s="1201"/>
      <c r="NRI226" s="1201"/>
      <c r="NRJ226" s="1201"/>
      <c r="NRK226" s="1201"/>
      <c r="NRL226" s="1201"/>
      <c r="NRM226" s="1201"/>
      <c r="NRN226" s="1201"/>
      <c r="NRO226" s="1201"/>
      <c r="NRP226" s="1201"/>
      <c r="NRQ226" s="1201"/>
      <c r="NRR226" s="1201"/>
      <c r="NRS226" s="1201"/>
      <c r="NRT226" s="1201"/>
      <c r="NRU226" s="1201"/>
      <c r="NRV226" s="1201"/>
      <c r="NRW226" s="1201"/>
      <c r="NRX226" s="1201"/>
      <c r="NRY226" s="1201"/>
      <c r="NRZ226" s="1201"/>
      <c r="NSA226" s="1201"/>
      <c r="NSB226" s="1201"/>
      <c r="NSC226" s="1201"/>
      <c r="NSD226" s="1201"/>
      <c r="NSE226" s="1201"/>
      <c r="NSF226" s="1201"/>
      <c r="NSG226" s="1201"/>
      <c r="NSH226" s="1201"/>
      <c r="NSI226" s="1201"/>
      <c r="NSJ226" s="1201"/>
      <c r="NSK226" s="1201"/>
      <c r="NSL226" s="1201"/>
      <c r="NSM226" s="1201"/>
      <c r="NSN226" s="1201"/>
      <c r="NSO226" s="1201"/>
      <c r="NSP226" s="1201"/>
      <c r="NSQ226" s="1201"/>
      <c r="NSR226" s="1201"/>
      <c r="NSS226" s="1201"/>
      <c r="NST226" s="1201"/>
      <c r="NSU226" s="1201"/>
      <c r="NSV226" s="1201"/>
      <c r="NSW226" s="1201"/>
      <c r="NSX226" s="1201"/>
      <c r="NSY226" s="1201"/>
      <c r="NSZ226" s="1201"/>
      <c r="NTA226" s="1201"/>
      <c r="NTB226" s="1201"/>
      <c r="NTC226" s="1201"/>
      <c r="NTD226" s="1201"/>
      <c r="NTE226" s="1201"/>
      <c r="NTF226" s="1201"/>
      <c r="NTG226" s="1201"/>
      <c r="NTH226" s="1201"/>
      <c r="NTI226" s="1201"/>
      <c r="NTJ226" s="1201"/>
      <c r="NTK226" s="1201"/>
      <c r="NTL226" s="1201"/>
      <c r="NTM226" s="1201"/>
      <c r="NTN226" s="1201"/>
      <c r="NTO226" s="1201"/>
      <c r="NTP226" s="1201"/>
      <c r="NTQ226" s="1201"/>
      <c r="NTR226" s="1201"/>
      <c r="NTS226" s="1201"/>
      <c r="NTT226" s="1201"/>
      <c r="NTU226" s="1201"/>
      <c r="NTV226" s="1201"/>
      <c r="NTW226" s="1201"/>
      <c r="NTX226" s="1201"/>
      <c r="NTY226" s="1201"/>
      <c r="NTZ226" s="1201"/>
      <c r="NUA226" s="1201"/>
      <c r="NUB226" s="1201"/>
      <c r="NUC226" s="1201"/>
      <c r="NUD226" s="1201"/>
      <c r="NUE226" s="1201"/>
      <c r="NUF226" s="1201"/>
      <c r="NUG226" s="1201"/>
      <c r="NUH226" s="1201"/>
      <c r="NUI226" s="1201"/>
      <c r="NUJ226" s="1201"/>
      <c r="NUK226" s="1201"/>
      <c r="NUL226" s="1201"/>
      <c r="NUM226" s="1201"/>
      <c r="NUN226" s="1201"/>
      <c r="NUO226" s="1201"/>
      <c r="NUP226" s="1201"/>
      <c r="NUQ226" s="1201"/>
      <c r="NUR226" s="1201"/>
      <c r="NUS226" s="1201"/>
      <c r="NUT226" s="1201"/>
      <c r="NUU226" s="1201"/>
      <c r="NUV226" s="1201"/>
      <c r="NUW226" s="1201"/>
      <c r="NUX226" s="1201"/>
      <c r="NUY226" s="1201"/>
      <c r="NUZ226" s="1201"/>
      <c r="NVA226" s="1201"/>
      <c r="NVB226" s="1201"/>
      <c r="NVC226" s="1201"/>
      <c r="NVD226" s="1201"/>
      <c r="NVE226" s="1201"/>
      <c r="NVF226" s="1201"/>
      <c r="NVG226" s="1201"/>
      <c r="NVH226" s="1201"/>
      <c r="NVI226" s="1201"/>
      <c r="NVJ226" s="1201"/>
      <c r="NVK226" s="1201"/>
      <c r="NVL226" s="1201"/>
      <c r="NVM226" s="1201"/>
      <c r="NVN226" s="1201"/>
      <c r="NVO226" s="1201"/>
      <c r="NVP226" s="1201"/>
      <c r="NVQ226" s="1201"/>
      <c r="NVR226" s="1201"/>
      <c r="NVS226" s="1201"/>
      <c r="NVT226" s="1201"/>
      <c r="NVU226" s="1201"/>
      <c r="NVV226" s="1201"/>
      <c r="NVW226" s="1201"/>
      <c r="NVX226" s="1201"/>
      <c r="NVY226" s="1201"/>
      <c r="NVZ226" s="1201"/>
      <c r="NWA226" s="1201"/>
      <c r="NWB226" s="1201"/>
      <c r="NWC226" s="1201"/>
      <c r="NWD226" s="1201"/>
      <c r="NWE226" s="1201"/>
      <c r="NWF226" s="1201"/>
      <c r="NWG226" s="1201"/>
      <c r="NWH226" s="1201"/>
      <c r="NWI226" s="1201"/>
      <c r="NWJ226" s="1201"/>
      <c r="NWK226" s="1201"/>
      <c r="NWL226" s="1201"/>
      <c r="NWM226" s="1201"/>
      <c r="NWN226" s="1201"/>
      <c r="NWO226" s="1201"/>
      <c r="NWP226" s="1201"/>
      <c r="NWQ226" s="1201"/>
      <c r="NWR226" s="1201"/>
      <c r="NWS226" s="1201"/>
      <c r="NWT226" s="1201"/>
      <c r="NWU226" s="1201"/>
      <c r="NWV226" s="1201"/>
      <c r="NWW226" s="1201"/>
      <c r="NWX226" s="1201"/>
      <c r="NWY226" s="1201"/>
      <c r="NWZ226" s="1201"/>
      <c r="NXA226" s="1201"/>
      <c r="NXB226" s="1201"/>
      <c r="NXC226" s="1201"/>
      <c r="NXD226" s="1201"/>
      <c r="NXE226" s="1201"/>
      <c r="NXF226" s="1201"/>
      <c r="NXG226" s="1201"/>
      <c r="NXH226" s="1201"/>
      <c r="NXI226" s="1201"/>
      <c r="NXJ226" s="1201"/>
      <c r="NXK226" s="1201"/>
      <c r="NXL226" s="1201"/>
      <c r="NXM226" s="1201"/>
      <c r="NXN226" s="1201"/>
      <c r="NXO226" s="1201"/>
      <c r="NXP226" s="1201"/>
      <c r="NXQ226" s="1201"/>
      <c r="NXR226" s="1201"/>
      <c r="NXS226" s="1201"/>
      <c r="NXT226" s="1201"/>
      <c r="NXU226" s="1201"/>
      <c r="NXV226" s="1201"/>
      <c r="NXW226" s="1201"/>
      <c r="NXX226" s="1201"/>
      <c r="NXY226" s="1201"/>
      <c r="NXZ226" s="1201"/>
      <c r="NYA226" s="1201"/>
      <c r="NYB226" s="1201"/>
      <c r="NYC226" s="1201"/>
      <c r="NYD226" s="1201"/>
      <c r="NYE226" s="1201"/>
      <c r="NYF226" s="1201"/>
      <c r="NYG226" s="1201"/>
      <c r="NYH226" s="1201"/>
      <c r="NYI226" s="1201"/>
      <c r="NYJ226" s="1201"/>
      <c r="NYK226" s="1201"/>
      <c r="NYL226" s="1201"/>
      <c r="NYM226" s="1201"/>
      <c r="NYN226" s="1201"/>
      <c r="NYO226" s="1201"/>
      <c r="NYP226" s="1201"/>
      <c r="NYQ226" s="1201"/>
      <c r="NYR226" s="1201"/>
      <c r="NYS226" s="1201"/>
      <c r="NYT226" s="1201"/>
      <c r="NYU226" s="1201"/>
      <c r="NYV226" s="1201"/>
      <c r="NYW226" s="1201"/>
      <c r="NYX226" s="1201"/>
      <c r="NYY226" s="1201"/>
      <c r="NYZ226" s="1201"/>
      <c r="NZA226" s="1201"/>
      <c r="NZB226" s="1201"/>
      <c r="NZC226" s="1201"/>
      <c r="NZD226" s="1201"/>
      <c r="NZE226" s="1201"/>
      <c r="NZF226" s="1201"/>
      <c r="NZG226" s="1201"/>
      <c r="NZH226" s="1201"/>
      <c r="NZI226" s="1201"/>
      <c r="NZJ226" s="1201"/>
      <c r="NZK226" s="1201"/>
      <c r="NZL226" s="1201"/>
      <c r="NZM226" s="1201"/>
      <c r="NZN226" s="1201"/>
      <c r="NZO226" s="1201"/>
      <c r="NZP226" s="1201"/>
      <c r="NZQ226" s="1201"/>
      <c r="NZR226" s="1201"/>
      <c r="NZS226" s="1201"/>
      <c r="NZT226" s="1201"/>
      <c r="NZU226" s="1201"/>
      <c r="NZV226" s="1201"/>
      <c r="NZW226" s="1201"/>
      <c r="NZX226" s="1201"/>
      <c r="NZY226" s="1201"/>
      <c r="NZZ226" s="1201"/>
      <c r="OAA226" s="1201"/>
      <c r="OAB226" s="1201"/>
      <c r="OAC226" s="1201"/>
      <c r="OAD226" s="1201"/>
      <c r="OAE226" s="1201"/>
      <c r="OAF226" s="1201"/>
      <c r="OAG226" s="1201"/>
      <c r="OAH226" s="1201"/>
      <c r="OAI226" s="1201"/>
      <c r="OAJ226" s="1201"/>
      <c r="OAK226" s="1201"/>
      <c r="OAL226" s="1201"/>
      <c r="OAM226" s="1201"/>
      <c r="OAN226" s="1201"/>
      <c r="OAO226" s="1201"/>
      <c r="OAP226" s="1201"/>
      <c r="OAQ226" s="1201"/>
      <c r="OAR226" s="1201"/>
      <c r="OAS226" s="1201"/>
      <c r="OAT226" s="1201"/>
      <c r="OAU226" s="1201"/>
      <c r="OAV226" s="1201"/>
      <c r="OAW226" s="1201"/>
      <c r="OAX226" s="1201"/>
      <c r="OAY226" s="1201"/>
      <c r="OAZ226" s="1201"/>
      <c r="OBA226" s="1201"/>
      <c r="OBB226" s="1201"/>
      <c r="OBC226" s="1201"/>
      <c r="OBD226" s="1201"/>
      <c r="OBE226" s="1201"/>
      <c r="OBF226" s="1201"/>
      <c r="OBG226" s="1201"/>
      <c r="OBH226" s="1201"/>
      <c r="OBI226" s="1201"/>
      <c r="OBJ226" s="1201"/>
      <c r="OBK226" s="1201"/>
      <c r="OBL226" s="1201"/>
      <c r="OBM226" s="1201"/>
      <c r="OBN226" s="1201"/>
      <c r="OBO226" s="1201"/>
      <c r="OBP226" s="1201"/>
      <c r="OBQ226" s="1201"/>
      <c r="OBR226" s="1201"/>
      <c r="OBS226" s="1201"/>
      <c r="OBT226" s="1201"/>
      <c r="OBU226" s="1201"/>
      <c r="OBV226" s="1201"/>
      <c r="OBW226" s="1201"/>
      <c r="OBX226" s="1201"/>
      <c r="OBY226" s="1201"/>
      <c r="OBZ226" s="1201"/>
      <c r="OCA226" s="1201"/>
      <c r="OCB226" s="1201"/>
      <c r="OCC226" s="1201"/>
      <c r="OCD226" s="1201"/>
      <c r="OCE226" s="1201"/>
      <c r="OCF226" s="1201"/>
      <c r="OCG226" s="1201"/>
      <c r="OCH226" s="1201"/>
      <c r="OCI226" s="1201"/>
      <c r="OCJ226" s="1201"/>
      <c r="OCK226" s="1201"/>
      <c r="OCL226" s="1201"/>
      <c r="OCM226" s="1201"/>
      <c r="OCN226" s="1201"/>
      <c r="OCO226" s="1201"/>
      <c r="OCP226" s="1201"/>
      <c r="OCQ226" s="1201"/>
      <c r="OCR226" s="1201"/>
      <c r="OCS226" s="1201"/>
      <c r="OCT226" s="1201"/>
      <c r="OCU226" s="1201"/>
      <c r="OCV226" s="1201"/>
      <c r="OCW226" s="1201"/>
      <c r="OCX226" s="1201"/>
      <c r="OCY226" s="1201"/>
      <c r="OCZ226" s="1201"/>
      <c r="ODA226" s="1201"/>
      <c r="ODB226" s="1201"/>
      <c r="ODC226" s="1201"/>
      <c r="ODD226" s="1201"/>
      <c r="ODE226" s="1201"/>
      <c r="ODF226" s="1201"/>
      <c r="ODG226" s="1201"/>
      <c r="ODH226" s="1201"/>
      <c r="ODI226" s="1201"/>
      <c r="ODJ226" s="1201"/>
      <c r="ODK226" s="1201"/>
      <c r="ODL226" s="1201"/>
      <c r="ODM226" s="1201"/>
      <c r="ODN226" s="1201"/>
      <c r="ODO226" s="1201"/>
      <c r="ODP226" s="1201"/>
      <c r="ODQ226" s="1201"/>
      <c r="ODR226" s="1201"/>
      <c r="ODS226" s="1201"/>
      <c r="ODT226" s="1201"/>
      <c r="ODU226" s="1201"/>
      <c r="ODV226" s="1201"/>
      <c r="ODW226" s="1201"/>
      <c r="ODX226" s="1201"/>
      <c r="ODY226" s="1201"/>
      <c r="ODZ226" s="1201"/>
      <c r="OEA226" s="1201"/>
      <c r="OEB226" s="1201"/>
      <c r="OEC226" s="1201"/>
      <c r="OED226" s="1201"/>
      <c r="OEE226" s="1201"/>
      <c r="OEF226" s="1201"/>
      <c r="OEG226" s="1201"/>
      <c r="OEH226" s="1201"/>
      <c r="OEI226" s="1201"/>
      <c r="OEJ226" s="1201"/>
      <c r="OEK226" s="1201"/>
      <c r="OEL226" s="1201"/>
      <c r="OEM226" s="1201"/>
      <c r="OEN226" s="1201"/>
      <c r="OEO226" s="1201"/>
      <c r="OEP226" s="1201"/>
      <c r="OEQ226" s="1201"/>
      <c r="OER226" s="1201"/>
      <c r="OES226" s="1201"/>
      <c r="OET226" s="1201"/>
      <c r="OEU226" s="1201"/>
      <c r="OEV226" s="1201"/>
      <c r="OEW226" s="1201"/>
      <c r="OEX226" s="1201"/>
      <c r="OEY226" s="1201"/>
      <c r="OEZ226" s="1201"/>
      <c r="OFA226" s="1201"/>
      <c r="OFB226" s="1201"/>
      <c r="OFC226" s="1201"/>
      <c r="OFD226" s="1201"/>
      <c r="OFE226" s="1201"/>
      <c r="OFF226" s="1201"/>
      <c r="OFG226" s="1201"/>
      <c r="OFH226" s="1201"/>
      <c r="OFI226" s="1201"/>
      <c r="OFJ226" s="1201"/>
      <c r="OFK226" s="1201"/>
      <c r="OFL226" s="1201"/>
      <c r="OFM226" s="1201"/>
      <c r="OFN226" s="1201"/>
      <c r="OFO226" s="1201"/>
      <c r="OFP226" s="1201"/>
      <c r="OFQ226" s="1201"/>
      <c r="OFR226" s="1201"/>
      <c r="OFS226" s="1201"/>
      <c r="OFT226" s="1201"/>
      <c r="OFU226" s="1201"/>
      <c r="OFV226" s="1201"/>
      <c r="OFW226" s="1201"/>
      <c r="OFX226" s="1201"/>
      <c r="OFY226" s="1201"/>
      <c r="OFZ226" s="1201"/>
      <c r="OGA226" s="1201"/>
      <c r="OGB226" s="1201"/>
      <c r="OGC226" s="1201"/>
      <c r="OGD226" s="1201"/>
      <c r="OGE226" s="1201"/>
      <c r="OGF226" s="1201"/>
      <c r="OGG226" s="1201"/>
      <c r="OGH226" s="1201"/>
      <c r="OGI226" s="1201"/>
      <c r="OGJ226" s="1201"/>
      <c r="OGK226" s="1201"/>
      <c r="OGL226" s="1201"/>
      <c r="OGM226" s="1201"/>
      <c r="OGN226" s="1201"/>
      <c r="OGO226" s="1201"/>
      <c r="OGP226" s="1201"/>
      <c r="OGQ226" s="1201"/>
      <c r="OGR226" s="1201"/>
      <c r="OGS226" s="1201"/>
      <c r="OGT226" s="1201"/>
      <c r="OGU226" s="1201"/>
      <c r="OGV226" s="1201"/>
      <c r="OGW226" s="1201"/>
      <c r="OGX226" s="1201"/>
      <c r="OGY226" s="1201"/>
      <c r="OGZ226" s="1201"/>
      <c r="OHA226" s="1201"/>
      <c r="OHB226" s="1201"/>
      <c r="OHC226" s="1201"/>
      <c r="OHD226" s="1201"/>
      <c r="OHE226" s="1201"/>
      <c r="OHF226" s="1201"/>
      <c r="OHG226" s="1201"/>
      <c r="OHH226" s="1201"/>
      <c r="OHI226" s="1201"/>
      <c r="OHJ226" s="1201"/>
      <c r="OHK226" s="1201"/>
      <c r="OHL226" s="1201"/>
      <c r="OHM226" s="1201"/>
      <c r="OHN226" s="1201"/>
      <c r="OHO226" s="1201"/>
      <c r="OHP226" s="1201"/>
      <c r="OHQ226" s="1201"/>
      <c r="OHR226" s="1201"/>
      <c r="OHS226" s="1201"/>
      <c r="OHT226" s="1201"/>
      <c r="OHU226" s="1201"/>
      <c r="OHV226" s="1201"/>
      <c r="OHW226" s="1201"/>
      <c r="OHX226" s="1201"/>
      <c r="OHY226" s="1201"/>
      <c r="OHZ226" s="1201"/>
      <c r="OIA226" s="1201"/>
      <c r="OIB226" s="1201"/>
      <c r="OIC226" s="1201"/>
      <c r="OID226" s="1201"/>
      <c r="OIE226" s="1201"/>
      <c r="OIF226" s="1201"/>
      <c r="OIG226" s="1201"/>
      <c r="OIH226" s="1201"/>
      <c r="OII226" s="1201"/>
      <c r="OIJ226" s="1201"/>
      <c r="OIK226" s="1201"/>
      <c r="OIL226" s="1201"/>
      <c r="OIM226" s="1201"/>
      <c r="OIN226" s="1201"/>
      <c r="OIO226" s="1201"/>
      <c r="OIP226" s="1201"/>
      <c r="OIQ226" s="1201"/>
      <c r="OIR226" s="1201"/>
      <c r="OIS226" s="1201"/>
      <c r="OIT226" s="1201"/>
      <c r="OIU226" s="1201"/>
      <c r="OIV226" s="1201"/>
      <c r="OIW226" s="1201"/>
      <c r="OIX226" s="1201"/>
      <c r="OIY226" s="1201"/>
      <c r="OIZ226" s="1201"/>
      <c r="OJA226" s="1201"/>
      <c r="OJB226" s="1201"/>
      <c r="OJC226" s="1201"/>
      <c r="OJD226" s="1201"/>
      <c r="OJE226" s="1201"/>
      <c r="OJF226" s="1201"/>
      <c r="OJG226" s="1201"/>
      <c r="OJH226" s="1201"/>
      <c r="OJI226" s="1201"/>
      <c r="OJJ226" s="1201"/>
      <c r="OJK226" s="1201"/>
      <c r="OJL226" s="1201"/>
      <c r="OJM226" s="1201"/>
      <c r="OJN226" s="1201"/>
      <c r="OJO226" s="1201"/>
      <c r="OJP226" s="1201"/>
      <c r="OJQ226" s="1201"/>
      <c r="OJR226" s="1201"/>
      <c r="OJS226" s="1201"/>
      <c r="OJT226" s="1201"/>
      <c r="OJU226" s="1201"/>
      <c r="OJV226" s="1201"/>
      <c r="OJW226" s="1201"/>
      <c r="OJX226" s="1201"/>
      <c r="OJY226" s="1201"/>
      <c r="OJZ226" s="1201"/>
      <c r="OKA226" s="1201"/>
      <c r="OKB226" s="1201"/>
      <c r="OKC226" s="1201"/>
      <c r="OKD226" s="1201"/>
      <c r="OKE226" s="1201"/>
      <c r="OKF226" s="1201"/>
      <c r="OKG226" s="1201"/>
      <c r="OKH226" s="1201"/>
      <c r="OKI226" s="1201"/>
      <c r="OKJ226" s="1201"/>
      <c r="OKK226" s="1201"/>
      <c r="OKL226" s="1201"/>
      <c r="OKM226" s="1201"/>
      <c r="OKN226" s="1201"/>
      <c r="OKO226" s="1201"/>
      <c r="OKP226" s="1201"/>
      <c r="OKQ226" s="1201"/>
      <c r="OKR226" s="1201"/>
      <c r="OKS226" s="1201"/>
      <c r="OKT226" s="1201"/>
      <c r="OKU226" s="1201"/>
      <c r="OKV226" s="1201"/>
      <c r="OKW226" s="1201"/>
      <c r="OKX226" s="1201"/>
      <c r="OKY226" s="1201"/>
      <c r="OKZ226" s="1201"/>
      <c r="OLA226" s="1201"/>
      <c r="OLB226" s="1201"/>
      <c r="OLC226" s="1201"/>
      <c r="OLD226" s="1201"/>
      <c r="OLE226" s="1201"/>
      <c r="OLF226" s="1201"/>
      <c r="OLG226" s="1201"/>
      <c r="OLH226" s="1201"/>
      <c r="OLI226" s="1201"/>
      <c r="OLJ226" s="1201"/>
      <c r="OLK226" s="1201"/>
      <c r="OLL226" s="1201"/>
      <c r="OLM226" s="1201"/>
      <c r="OLN226" s="1201"/>
      <c r="OLO226" s="1201"/>
      <c r="OLP226" s="1201"/>
      <c r="OLQ226" s="1201"/>
      <c r="OLR226" s="1201"/>
      <c r="OLS226" s="1201"/>
      <c r="OLT226" s="1201"/>
      <c r="OLU226" s="1201"/>
      <c r="OLV226" s="1201"/>
      <c r="OLW226" s="1201"/>
      <c r="OLX226" s="1201"/>
      <c r="OLY226" s="1201"/>
      <c r="OLZ226" s="1201"/>
      <c r="OMA226" s="1201"/>
      <c r="OMB226" s="1201"/>
      <c r="OMC226" s="1201"/>
      <c r="OMD226" s="1201"/>
      <c r="OME226" s="1201"/>
      <c r="OMF226" s="1201"/>
      <c r="OMG226" s="1201"/>
      <c r="OMH226" s="1201"/>
      <c r="OMI226" s="1201"/>
      <c r="OMJ226" s="1201"/>
      <c r="OMK226" s="1201"/>
      <c r="OML226" s="1201"/>
      <c r="OMM226" s="1201"/>
      <c r="OMN226" s="1201"/>
      <c r="OMO226" s="1201"/>
      <c r="OMP226" s="1201"/>
      <c r="OMQ226" s="1201"/>
      <c r="OMR226" s="1201"/>
      <c r="OMS226" s="1201"/>
      <c r="OMT226" s="1201"/>
      <c r="OMU226" s="1201"/>
      <c r="OMV226" s="1201"/>
      <c r="OMW226" s="1201"/>
      <c r="OMX226" s="1201"/>
      <c r="OMY226" s="1201"/>
      <c r="OMZ226" s="1201"/>
      <c r="ONA226" s="1201"/>
      <c r="ONB226" s="1201"/>
      <c r="ONC226" s="1201"/>
      <c r="OND226" s="1201"/>
      <c r="ONE226" s="1201"/>
      <c r="ONF226" s="1201"/>
      <c r="ONG226" s="1201"/>
      <c r="ONH226" s="1201"/>
      <c r="ONI226" s="1201"/>
      <c r="ONJ226" s="1201"/>
      <c r="ONK226" s="1201"/>
      <c r="ONL226" s="1201"/>
      <c r="ONM226" s="1201"/>
      <c r="ONN226" s="1201"/>
      <c r="ONO226" s="1201"/>
      <c r="ONP226" s="1201"/>
      <c r="ONQ226" s="1201"/>
      <c r="ONR226" s="1201"/>
      <c r="ONS226" s="1201"/>
      <c r="ONT226" s="1201"/>
      <c r="ONU226" s="1201"/>
      <c r="ONV226" s="1201"/>
      <c r="ONW226" s="1201"/>
      <c r="ONX226" s="1201"/>
      <c r="ONY226" s="1201"/>
      <c r="ONZ226" s="1201"/>
      <c r="OOA226" s="1201"/>
      <c r="OOB226" s="1201"/>
      <c r="OOC226" s="1201"/>
      <c r="OOD226" s="1201"/>
      <c r="OOE226" s="1201"/>
      <c r="OOF226" s="1201"/>
      <c r="OOG226" s="1201"/>
      <c r="OOH226" s="1201"/>
      <c r="OOI226" s="1201"/>
      <c r="OOJ226" s="1201"/>
      <c r="OOK226" s="1201"/>
      <c r="OOL226" s="1201"/>
      <c r="OOM226" s="1201"/>
      <c r="OON226" s="1201"/>
      <c r="OOO226" s="1201"/>
      <c r="OOP226" s="1201"/>
      <c r="OOQ226" s="1201"/>
      <c r="OOR226" s="1201"/>
      <c r="OOS226" s="1201"/>
      <c r="OOT226" s="1201"/>
      <c r="OOU226" s="1201"/>
      <c r="OOV226" s="1201"/>
      <c r="OOW226" s="1201"/>
      <c r="OOX226" s="1201"/>
      <c r="OOY226" s="1201"/>
      <c r="OOZ226" s="1201"/>
      <c r="OPA226" s="1201"/>
      <c r="OPB226" s="1201"/>
      <c r="OPC226" s="1201"/>
      <c r="OPD226" s="1201"/>
      <c r="OPE226" s="1201"/>
      <c r="OPF226" s="1201"/>
      <c r="OPG226" s="1201"/>
      <c r="OPH226" s="1201"/>
      <c r="OPI226" s="1201"/>
      <c r="OPJ226" s="1201"/>
      <c r="OPK226" s="1201"/>
      <c r="OPL226" s="1201"/>
      <c r="OPM226" s="1201"/>
      <c r="OPN226" s="1201"/>
      <c r="OPO226" s="1201"/>
      <c r="OPP226" s="1201"/>
      <c r="OPQ226" s="1201"/>
      <c r="OPR226" s="1201"/>
      <c r="OPS226" s="1201"/>
      <c r="OPT226" s="1201"/>
      <c r="OPU226" s="1201"/>
      <c r="OPV226" s="1201"/>
      <c r="OPW226" s="1201"/>
      <c r="OPX226" s="1201"/>
      <c r="OPY226" s="1201"/>
      <c r="OPZ226" s="1201"/>
      <c r="OQA226" s="1201"/>
      <c r="OQB226" s="1201"/>
      <c r="OQC226" s="1201"/>
      <c r="OQD226" s="1201"/>
      <c r="OQE226" s="1201"/>
      <c r="OQF226" s="1201"/>
      <c r="OQG226" s="1201"/>
      <c r="OQH226" s="1201"/>
      <c r="OQI226" s="1201"/>
      <c r="OQJ226" s="1201"/>
      <c r="OQK226" s="1201"/>
      <c r="OQL226" s="1201"/>
      <c r="OQM226" s="1201"/>
      <c r="OQN226" s="1201"/>
      <c r="OQO226" s="1201"/>
      <c r="OQP226" s="1201"/>
      <c r="OQQ226" s="1201"/>
      <c r="OQR226" s="1201"/>
      <c r="OQS226" s="1201"/>
      <c r="OQT226" s="1201"/>
      <c r="OQU226" s="1201"/>
      <c r="OQV226" s="1201"/>
      <c r="OQW226" s="1201"/>
      <c r="OQX226" s="1201"/>
      <c r="OQY226" s="1201"/>
      <c r="OQZ226" s="1201"/>
      <c r="ORA226" s="1201"/>
      <c r="ORB226" s="1201"/>
      <c r="ORC226" s="1201"/>
      <c r="ORD226" s="1201"/>
      <c r="ORE226" s="1201"/>
      <c r="ORF226" s="1201"/>
      <c r="ORG226" s="1201"/>
      <c r="ORH226" s="1201"/>
      <c r="ORI226" s="1201"/>
      <c r="ORJ226" s="1201"/>
      <c r="ORK226" s="1201"/>
      <c r="ORL226" s="1201"/>
      <c r="ORM226" s="1201"/>
      <c r="ORN226" s="1201"/>
      <c r="ORO226" s="1201"/>
      <c r="ORP226" s="1201"/>
      <c r="ORQ226" s="1201"/>
      <c r="ORR226" s="1201"/>
      <c r="ORS226" s="1201"/>
      <c r="ORT226" s="1201"/>
      <c r="ORU226" s="1201"/>
      <c r="ORV226" s="1201"/>
      <c r="ORW226" s="1201"/>
      <c r="ORX226" s="1201"/>
      <c r="ORY226" s="1201"/>
      <c r="ORZ226" s="1201"/>
      <c r="OSA226" s="1201"/>
      <c r="OSB226" s="1201"/>
      <c r="OSC226" s="1201"/>
      <c r="OSD226" s="1201"/>
      <c r="OSE226" s="1201"/>
      <c r="OSF226" s="1201"/>
      <c r="OSG226" s="1201"/>
      <c r="OSH226" s="1201"/>
      <c r="OSI226" s="1201"/>
      <c r="OSJ226" s="1201"/>
      <c r="OSK226" s="1201"/>
      <c r="OSL226" s="1201"/>
      <c r="OSM226" s="1201"/>
      <c r="OSN226" s="1201"/>
      <c r="OSO226" s="1201"/>
      <c r="OSP226" s="1201"/>
      <c r="OSQ226" s="1201"/>
      <c r="OSR226" s="1201"/>
      <c r="OSS226" s="1201"/>
      <c r="OST226" s="1201"/>
      <c r="OSU226" s="1201"/>
      <c r="OSV226" s="1201"/>
      <c r="OSW226" s="1201"/>
      <c r="OSX226" s="1201"/>
      <c r="OSY226" s="1201"/>
      <c r="OSZ226" s="1201"/>
      <c r="OTA226" s="1201"/>
      <c r="OTB226" s="1201"/>
      <c r="OTC226" s="1201"/>
      <c r="OTD226" s="1201"/>
      <c r="OTE226" s="1201"/>
      <c r="OTF226" s="1201"/>
      <c r="OTG226" s="1201"/>
      <c r="OTH226" s="1201"/>
      <c r="OTI226" s="1201"/>
      <c r="OTJ226" s="1201"/>
      <c r="OTK226" s="1201"/>
      <c r="OTL226" s="1201"/>
      <c r="OTM226" s="1201"/>
      <c r="OTN226" s="1201"/>
      <c r="OTO226" s="1201"/>
      <c r="OTP226" s="1201"/>
      <c r="OTQ226" s="1201"/>
      <c r="OTR226" s="1201"/>
      <c r="OTS226" s="1201"/>
      <c r="OTT226" s="1201"/>
      <c r="OTU226" s="1201"/>
      <c r="OTV226" s="1201"/>
      <c r="OTW226" s="1201"/>
      <c r="OTX226" s="1201"/>
      <c r="OTY226" s="1201"/>
      <c r="OTZ226" s="1201"/>
      <c r="OUA226" s="1201"/>
      <c r="OUB226" s="1201"/>
      <c r="OUC226" s="1201"/>
      <c r="OUD226" s="1201"/>
      <c r="OUE226" s="1201"/>
      <c r="OUF226" s="1201"/>
      <c r="OUG226" s="1201"/>
      <c r="OUH226" s="1201"/>
      <c r="OUI226" s="1201"/>
      <c r="OUJ226" s="1201"/>
      <c r="OUK226" s="1201"/>
      <c r="OUL226" s="1201"/>
      <c r="OUM226" s="1201"/>
      <c r="OUN226" s="1201"/>
      <c r="OUO226" s="1201"/>
      <c r="OUP226" s="1201"/>
      <c r="OUQ226" s="1201"/>
      <c r="OUR226" s="1201"/>
      <c r="OUS226" s="1201"/>
      <c r="OUT226" s="1201"/>
      <c r="OUU226" s="1201"/>
      <c r="OUV226" s="1201"/>
      <c r="OUW226" s="1201"/>
      <c r="OUX226" s="1201"/>
      <c r="OUY226" s="1201"/>
      <c r="OUZ226" s="1201"/>
      <c r="OVA226" s="1201"/>
      <c r="OVB226" s="1201"/>
      <c r="OVC226" s="1201"/>
      <c r="OVD226" s="1201"/>
      <c r="OVE226" s="1201"/>
      <c r="OVF226" s="1201"/>
      <c r="OVG226" s="1201"/>
      <c r="OVH226" s="1201"/>
      <c r="OVI226" s="1201"/>
      <c r="OVJ226" s="1201"/>
      <c r="OVK226" s="1201"/>
      <c r="OVL226" s="1201"/>
      <c r="OVM226" s="1201"/>
      <c r="OVN226" s="1201"/>
      <c r="OVO226" s="1201"/>
      <c r="OVP226" s="1201"/>
      <c r="OVQ226" s="1201"/>
      <c r="OVR226" s="1201"/>
      <c r="OVS226" s="1201"/>
      <c r="OVT226" s="1201"/>
      <c r="OVU226" s="1201"/>
      <c r="OVV226" s="1201"/>
      <c r="OVW226" s="1201"/>
      <c r="OVX226" s="1201"/>
      <c r="OVY226" s="1201"/>
      <c r="OVZ226" s="1201"/>
      <c r="OWA226" s="1201"/>
      <c r="OWB226" s="1201"/>
      <c r="OWC226" s="1201"/>
      <c r="OWD226" s="1201"/>
      <c r="OWE226" s="1201"/>
      <c r="OWF226" s="1201"/>
      <c r="OWG226" s="1201"/>
      <c r="OWH226" s="1201"/>
      <c r="OWI226" s="1201"/>
      <c r="OWJ226" s="1201"/>
      <c r="OWK226" s="1201"/>
      <c r="OWL226" s="1201"/>
      <c r="OWM226" s="1201"/>
      <c r="OWN226" s="1201"/>
      <c r="OWO226" s="1201"/>
      <c r="OWP226" s="1201"/>
      <c r="OWQ226" s="1201"/>
      <c r="OWR226" s="1201"/>
      <c r="OWS226" s="1201"/>
      <c r="OWT226" s="1201"/>
      <c r="OWU226" s="1201"/>
      <c r="OWV226" s="1201"/>
      <c r="OWW226" s="1201"/>
      <c r="OWX226" s="1201"/>
      <c r="OWY226" s="1201"/>
      <c r="OWZ226" s="1201"/>
      <c r="OXA226" s="1201"/>
      <c r="OXB226" s="1201"/>
      <c r="OXC226" s="1201"/>
      <c r="OXD226" s="1201"/>
      <c r="OXE226" s="1201"/>
      <c r="OXF226" s="1201"/>
      <c r="OXG226" s="1201"/>
      <c r="OXH226" s="1201"/>
      <c r="OXI226" s="1201"/>
      <c r="OXJ226" s="1201"/>
      <c r="OXK226" s="1201"/>
      <c r="OXL226" s="1201"/>
      <c r="OXM226" s="1201"/>
      <c r="OXN226" s="1201"/>
      <c r="OXO226" s="1201"/>
      <c r="OXP226" s="1201"/>
      <c r="OXQ226" s="1201"/>
      <c r="OXR226" s="1201"/>
      <c r="OXS226" s="1201"/>
      <c r="OXT226" s="1201"/>
      <c r="OXU226" s="1201"/>
      <c r="OXV226" s="1201"/>
      <c r="OXW226" s="1201"/>
      <c r="OXX226" s="1201"/>
      <c r="OXY226" s="1201"/>
      <c r="OXZ226" s="1201"/>
      <c r="OYA226" s="1201"/>
      <c r="OYB226" s="1201"/>
      <c r="OYC226" s="1201"/>
      <c r="OYD226" s="1201"/>
      <c r="OYE226" s="1201"/>
      <c r="OYF226" s="1201"/>
      <c r="OYG226" s="1201"/>
      <c r="OYH226" s="1201"/>
      <c r="OYI226" s="1201"/>
      <c r="OYJ226" s="1201"/>
      <c r="OYK226" s="1201"/>
      <c r="OYL226" s="1201"/>
      <c r="OYM226" s="1201"/>
      <c r="OYN226" s="1201"/>
      <c r="OYO226" s="1201"/>
      <c r="OYP226" s="1201"/>
      <c r="OYQ226" s="1201"/>
      <c r="OYR226" s="1201"/>
      <c r="OYS226" s="1201"/>
      <c r="OYT226" s="1201"/>
      <c r="OYU226" s="1201"/>
      <c r="OYV226" s="1201"/>
      <c r="OYW226" s="1201"/>
      <c r="OYX226" s="1201"/>
      <c r="OYY226" s="1201"/>
      <c r="OYZ226" s="1201"/>
      <c r="OZA226" s="1201"/>
      <c r="OZB226" s="1201"/>
      <c r="OZC226" s="1201"/>
      <c r="OZD226" s="1201"/>
      <c r="OZE226" s="1201"/>
      <c r="OZF226" s="1201"/>
      <c r="OZG226" s="1201"/>
      <c r="OZH226" s="1201"/>
      <c r="OZI226" s="1201"/>
      <c r="OZJ226" s="1201"/>
      <c r="OZK226" s="1201"/>
      <c r="OZL226" s="1201"/>
      <c r="OZM226" s="1201"/>
      <c r="OZN226" s="1201"/>
      <c r="OZO226" s="1201"/>
      <c r="OZP226" s="1201"/>
      <c r="OZQ226" s="1201"/>
      <c r="OZR226" s="1201"/>
      <c r="OZS226" s="1201"/>
      <c r="OZT226" s="1201"/>
      <c r="OZU226" s="1201"/>
      <c r="OZV226" s="1201"/>
      <c r="OZW226" s="1201"/>
      <c r="OZX226" s="1201"/>
      <c r="OZY226" s="1201"/>
      <c r="OZZ226" s="1201"/>
      <c r="PAA226" s="1201"/>
      <c r="PAB226" s="1201"/>
      <c r="PAC226" s="1201"/>
      <c r="PAD226" s="1201"/>
      <c r="PAE226" s="1201"/>
      <c r="PAF226" s="1201"/>
      <c r="PAG226" s="1201"/>
      <c r="PAH226" s="1201"/>
      <c r="PAI226" s="1201"/>
      <c r="PAJ226" s="1201"/>
      <c r="PAK226" s="1201"/>
      <c r="PAL226" s="1201"/>
      <c r="PAM226" s="1201"/>
      <c r="PAN226" s="1201"/>
      <c r="PAO226" s="1201"/>
      <c r="PAP226" s="1201"/>
      <c r="PAQ226" s="1201"/>
      <c r="PAR226" s="1201"/>
      <c r="PAS226" s="1201"/>
      <c r="PAT226" s="1201"/>
      <c r="PAU226" s="1201"/>
      <c r="PAV226" s="1201"/>
      <c r="PAW226" s="1201"/>
      <c r="PAX226" s="1201"/>
      <c r="PAY226" s="1201"/>
      <c r="PAZ226" s="1201"/>
      <c r="PBA226" s="1201"/>
      <c r="PBB226" s="1201"/>
      <c r="PBC226" s="1201"/>
      <c r="PBD226" s="1201"/>
      <c r="PBE226" s="1201"/>
      <c r="PBF226" s="1201"/>
      <c r="PBG226" s="1201"/>
      <c r="PBH226" s="1201"/>
      <c r="PBI226" s="1201"/>
      <c r="PBJ226" s="1201"/>
      <c r="PBK226" s="1201"/>
      <c r="PBL226" s="1201"/>
      <c r="PBM226" s="1201"/>
      <c r="PBN226" s="1201"/>
      <c r="PBO226" s="1201"/>
      <c r="PBP226" s="1201"/>
      <c r="PBQ226" s="1201"/>
      <c r="PBR226" s="1201"/>
      <c r="PBS226" s="1201"/>
      <c r="PBT226" s="1201"/>
      <c r="PBU226" s="1201"/>
      <c r="PBV226" s="1201"/>
      <c r="PBW226" s="1201"/>
      <c r="PBX226" s="1201"/>
      <c r="PBY226" s="1201"/>
      <c r="PBZ226" s="1201"/>
      <c r="PCA226" s="1201"/>
      <c r="PCB226" s="1201"/>
      <c r="PCC226" s="1201"/>
      <c r="PCD226" s="1201"/>
      <c r="PCE226" s="1201"/>
      <c r="PCF226" s="1201"/>
      <c r="PCG226" s="1201"/>
      <c r="PCH226" s="1201"/>
      <c r="PCI226" s="1201"/>
      <c r="PCJ226" s="1201"/>
      <c r="PCK226" s="1201"/>
      <c r="PCL226" s="1201"/>
      <c r="PCM226" s="1201"/>
      <c r="PCN226" s="1201"/>
      <c r="PCO226" s="1201"/>
      <c r="PCP226" s="1201"/>
      <c r="PCQ226" s="1201"/>
      <c r="PCR226" s="1201"/>
      <c r="PCS226" s="1201"/>
      <c r="PCT226" s="1201"/>
      <c r="PCU226" s="1201"/>
      <c r="PCV226" s="1201"/>
      <c r="PCW226" s="1201"/>
      <c r="PCX226" s="1201"/>
      <c r="PCY226" s="1201"/>
      <c r="PCZ226" s="1201"/>
      <c r="PDA226" s="1201"/>
      <c r="PDB226" s="1201"/>
      <c r="PDC226" s="1201"/>
      <c r="PDD226" s="1201"/>
      <c r="PDE226" s="1201"/>
      <c r="PDF226" s="1201"/>
      <c r="PDG226" s="1201"/>
      <c r="PDH226" s="1201"/>
      <c r="PDI226" s="1201"/>
      <c r="PDJ226" s="1201"/>
      <c r="PDK226" s="1201"/>
      <c r="PDL226" s="1201"/>
      <c r="PDM226" s="1201"/>
      <c r="PDN226" s="1201"/>
      <c r="PDO226" s="1201"/>
      <c r="PDP226" s="1201"/>
      <c r="PDQ226" s="1201"/>
      <c r="PDR226" s="1201"/>
      <c r="PDS226" s="1201"/>
      <c r="PDT226" s="1201"/>
      <c r="PDU226" s="1201"/>
      <c r="PDV226" s="1201"/>
      <c r="PDW226" s="1201"/>
      <c r="PDX226" s="1201"/>
      <c r="PDY226" s="1201"/>
      <c r="PDZ226" s="1201"/>
      <c r="PEA226" s="1201"/>
      <c r="PEB226" s="1201"/>
      <c r="PEC226" s="1201"/>
      <c r="PED226" s="1201"/>
      <c r="PEE226" s="1201"/>
      <c r="PEF226" s="1201"/>
      <c r="PEG226" s="1201"/>
      <c r="PEH226" s="1201"/>
      <c r="PEI226" s="1201"/>
      <c r="PEJ226" s="1201"/>
      <c r="PEK226" s="1201"/>
      <c r="PEL226" s="1201"/>
      <c r="PEM226" s="1201"/>
      <c r="PEN226" s="1201"/>
      <c r="PEO226" s="1201"/>
      <c r="PEP226" s="1201"/>
      <c r="PEQ226" s="1201"/>
      <c r="PER226" s="1201"/>
      <c r="PES226" s="1201"/>
      <c r="PET226" s="1201"/>
      <c r="PEU226" s="1201"/>
      <c r="PEV226" s="1201"/>
      <c r="PEW226" s="1201"/>
      <c r="PEX226" s="1201"/>
      <c r="PEY226" s="1201"/>
      <c r="PEZ226" s="1201"/>
      <c r="PFA226" s="1201"/>
      <c r="PFB226" s="1201"/>
      <c r="PFC226" s="1201"/>
      <c r="PFD226" s="1201"/>
      <c r="PFE226" s="1201"/>
      <c r="PFF226" s="1201"/>
      <c r="PFG226" s="1201"/>
      <c r="PFH226" s="1201"/>
      <c r="PFI226" s="1201"/>
      <c r="PFJ226" s="1201"/>
      <c r="PFK226" s="1201"/>
      <c r="PFL226" s="1201"/>
      <c r="PFM226" s="1201"/>
      <c r="PFN226" s="1201"/>
      <c r="PFO226" s="1201"/>
      <c r="PFP226" s="1201"/>
      <c r="PFQ226" s="1201"/>
      <c r="PFR226" s="1201"/>
      <c r="PFS226" s="1201"/>
      <c r="PFT226" s="1201"/>
      <c r="PFU226" s="1201"/>
      <c r="PFV226" s="1201"/>
      <c r="PFW226" s="1201"/>
      <c r="PFX226" s="1201"/>
      <c r="PFY226" s="1201"/>
      <c r="PFZ226" s="1201"/>
      <c r="PGA226" s="1201"/>
      <c r="PGB226" s="1201"/>
      <c r="PGC226" s="1201"/>
      <c r="PGD226" s="1201"/>
      <c r="PGE226" s="1201"/>
      <c r="PGF226" s="1201"/>
      <c r="PGG226" s="1201"/>
      <c r="PGH226" s="1201"/>
      <c r="PGI226" s="1201"/>
      <c r="PGJ226" s="1201"/>
      <c r="PGK226" s="1201"/>
      <c r="PGL226" s="1201"/>
      <c r="PGM226" s="1201"/>
      <c r="PGN226" s="1201"/>
      <c r="PGO226" s="1201"/>
      <c r="PGP226" s="1201"/>
      <c r="PGQ226" s="1201"/>
      <c r="PGR226" s="1201"/>
      <c r="PGS226" s="1201"/>
      <c r="PGT226" s="1201"/>
      <c r="PGU226" s="1201"/>
      <c r="PGV226" s="1201"/>
      <c r="PGW226" s="1201"/>
      <c r="PGX226" s="1201"/>
      <c r="PGY226" s="1201"/>
      <c r="PGZ226" s="1201"/>
      <c r="PHA226" s="1201"/>
      <c r="PHB226" s="1201"/>
      <c r="PHC226" s="1201"/>
      <c r="PHD226" s="1201"/>
      <c r="PHE226" s="1201"/>
      <c r="PHF226" s="1201"/>
      <c r="PHG226" s="1201"/>
      <c r="PHH226" s="1201"/>
      <c r="PHI226" s="1201"/>
      <c r="PHJ226" s="1201"/>
      <c r="PHK226" s="1201"/>
      <c r="PHL226" s="1201"/>
      <c r="PHM226" s="1201"/>
      <c r="PHN226" s="1201"/>
      <c r="PHO226" s="1201"/>
      <c r="PHP226" s="1201"/>
      <c r="PHQ226" s="1201"/>
      <c r="PHR226" s="1201"/>
      <c r="PHS226" s="1201"/>
      <c r="PHT226" s="1201"/>
      <c r="PHU226" s="1201"/>
      <c r="PHV226" s="1201"/>
      <c r="PHW226" s="1201"/>
      <c r="PHX226" s="1201"/>
      <c r="PHY226" s="1201"/>
      <c r="PHZ226" s="1201"/>
      <c r="PIA226" s="1201"/>
      <c r="PIB226" s="1201"/>
      <c r="PIC226" s="1201"/>
      <c r="PID226" s="1201"/>
      <c r="PIE226" s="1201"/>
      <c r="PIF226" s="1201"/>
      <c r="PIG226" s="1201"/>
      <c r="PIH226" s="1201"/>
      <c r="PII226" s="1201"/>
      <c r="PIJ226" s="1201"/>
      <c r="PIK226" s="1201"/>
      <c r="PIL226" s="1201"/>
      <c r="PIM226" s="1201"/>
      <c r="PIN226" s="1201"/>
      <c r="PIO226" s="1201"/>
      <c r="PIP226" s="1201"/>
      <c r="PIQ226" s="1201"/>
      <c r="PIR226" s="1201"/>
      <c r="PIS226" s="1201"/>
      <c r="PIT226" s="1201"/>
      <c r="PIU226" s="1201"/>
      <c r="PIV226" s="1201"/>
      <c r="PIW226" s="1201"/>
      <c r="PIX226" s="1201"/>
      <c r="PIY226" s="1201"/>
      <c r="PIZ226" s="1201"/>
      <c r="PJA226" s="1201"/>
      <c r="PJB226" s="1201"/>
      <c r="PJC226" s="1201"/>
      <c r="PJD226" s="1201"/>
      <c r="PJE226" s="1201"/>
      <c r="PJF226" s="1201"/>
      <c r="PJG226" s="1201"/>
      <c r="PJH226" s="1201"/>
      <c r="PJI226" s="1201"/>
      <c r="PJJ226" s="1201"/>
      <c r="PJK226" s="1201"/>
      <c r="PJL226" s="1201"/>
      <c r="PJM226" s="1201"/>
      <c r="PJN226" s="1201"/>
      <c r="PJO226" s="1201"/>
      <c r="PJP226" s="1201"/>
      <c r="PJQ226" s="1201"/>
      <c r="PJR226" s="1201"/>
      <c r="PJS226" s="1201"/>
      <c r="PJT226" s="1201"/>
      <c r="PJU226" s="1201"/>
      <c r="PJV226" s="1201"/>
      <c r="PJW226" s="1201"/>
      <c r="PJX226" s="1201"/>
      <c r="PJY226" s="1201"/>
      <c r="PJZ226" s="1201"/>
      <c r="PKA226" s="1201"/>
      <c r="PKB226" s="1201"/>
      <c r="PKC226" s="1201"/>
      <c r="PKD226" s="1201"/>
      <c r="PKE226" s="1201"/>
      <c r="PKF226" s="1201"/>
      <c r="PKG226" s="1201"/>
      <c r="PKH226" s="1201"/>
      <c r="PKI226" s="1201"/>
      <c r="PKJ226" s="1201"/>
      <c r="PKK226" s="1201"/>
      <c r="PKL226" s="1201"/>
      <c r="PKM226" s="1201"/>
      <c r="PKN226" s="1201"/>
      <c r="PKO226" s="1201"/>
      <c r="PKP226" s="1201"/>
      <c r="PKQ226" s="1201"/>
      <c r="PKR226" s="1201"/>
      <c r="PKS226" s="1201"/>
      <c r="PKT226" s="1201"/>
      <c r="PKU226" s="1201"/>
      <c r="PKV226" s="1201"/>
      <c r="PKW226" s="1201"/>
      <c r="PKX226" s="1201"/>
      <c r="PKY226" s="1201"/>
      <c r="PKZ226" s="1201"/>
      <c r="PLA226" s="1201"/>
      <c r="PLB226" s="1201"/>
      <c r="PLC226" s="1201"/>
      <c r="PLD226" s="1201"/>
      <c r="PLE226" s="1201"/>
      <c r="PLF226" s="1201"/>
      <c r="PLG226" s="1201"/>
      <c r="PLH226" s="1201"/>
      <c r="PLI226" s="1201"/>
      <c r="PLJ226" s="1201"/>
      <c r="PLK226" s="1201"/>
      <c r="PLL226" s="1201"/>
      <c r="PLM226" s="1201"/>
      <c r="PLN226" s="1201"/>
      <c r="PLO226" s="1201"/>
      <c r="PLP226" s="1201"/>
      <c r="PLQ226" s="1201"/>
      <c r="PLR226" s="1201"/>
      <c r="PLS226" s="1201"/>
      <c r="PLT226" s="1201"/>
      <c r="PLU226" s="1201"/>
      <c r="PLV226" s="1201"/>
      <c r="PLW226" s="1201"/>
      <c r="PLX226" s="1201"/>
      <c r="PLY226" s="1201"/>
      <c r="PLZ226" s="1201"/>
      <c r="PMA226" s="1201"/>
      <c r="PMB226" s="1201"/>
      <c r="PMC226" s="1201"/>
      <c r="PMD226" s="1201"/>
      <c r="PME226" s="1201"/>
      <c r="PMF226" s="1201"/>
      <c r="PMG226" s="1201"/>
      <c r="PMH226" s="1201"/>
      <c r="PMI226" s="1201"/>
      <c r="PMJ226" s="1201"/>
      <c r="PMK226" s="1201"/>
      <c r="PML226" s="1201"/>
      <c r="PMM226" s="1201"/>
      <c r="PMN226" s="1201"/>
      <c r="PMO226" s="1201"/>
      <c r="PMP226" s="1201"/>
      <c r="PMQ226" s="1201"/>
      <c r="PMR226" s="1201"/>
      <c r="PMS226" s="1201"/>
      <c r="PMT226" s="1201"/>
      <c r="PMU226" s="1201"/>
      <c r="PMV226" s="1201"/>
      <c r="PMW226" s="1201"/>
      <c r="PMX226" s="1201"/>
      <c r="PMY226" s="1201"/>
      <c r="PMZ226" s="1201"/>
      <c r="PNA226" s="1201"/>
      <c r="PNB226" s="1201"/>
      <c r="PNC226" s="1201"/>
      <c r="PND226" s="1201"/>
      <c r="PNE226" s="1201"/>
      <c r="PNF226" s="1201"/>
      <c r="PNG226" s="1201"/>
      <c r="PNH226" s="1201"/>
      <c r="PNI226" s="1201"/>
      <c r="PNJ226" s="1201"/>
      <c r="PNK226" s="1201"/>
      <c r="PNL226" s="1201"/>
      <c r="PNM226" s="1201"/>
      <c r="PNN226" s="1201"/>
      <c r="PNO226" s="1201"/>
      <c r="PNP226" s="1201"/>
      <c r="PNQ226" s="1201"/>
      <c r="PNR226" s="1201"/>
      <c r="PNS226" s="1201"/>
      <c r="PNT226" s="1201"/>
      <c r="PNU226" s="1201"/>
      <c r="PNV226" s="1201"/>
      <c r="PNW226" s="1201"/>
      <c r="PNX226" s="1201"/>
      <c r="PNY226" s="1201"/>
      <c r="PNZ226" s="1201"/>
      <c r="POA226" s="1201"/>
      <c r="POB226" s="1201"/>
      <c r="POC226" s="1201"/>
      <c r="POD226" s="1201"/>
      <c r="POE226" s="1201"/>
      <c r="POF226" s="1201"/>
      <c r="POG226" s="1201"/>
      <c r="POH226" s="1201"/>
      <c r="POI226" s="1201"/>
      <c r="POJ226" s="1201"/>
      <c r="POK226" s="1201"/>
      <c r="POL226" s="1201"/>
      <c r="POM226" s="1201"/>
      <c r="PON226" s="1201"/>
      <c r="POO226" s="1201"/>
      <c r="POP226" s="1201"/>
      <c r="POQ226" s="1201"/>
      <c r="POR226" s="1201"/>
      <c r="POS226" s="1201"/>
      <c r="POT226" s="1201"/>
      <c r="POU226" s="1201"/>
      <c r="POV226" s="1201"/>
      <c r="POW226" s="1201"/>
      <c r="POX226" s="1201"/>
      <c r="POY226" s="1201"/>
      <c r="POZ226" s="1201"/>
      <c r="PPA226" s="1201"/>
      <c r="PPB226" s="1201"/>
      <c r="PPC226" s="1201"/>
      <c r="PPD226" s="1201"/>
      <c r="PPE226" s="1201"/>
      <c r="PPF226" s="1201"/>
      <c r="PPG226" s="1201"/>
      <c r="PPH226" s="1201"/>
      <c r="PPI226" s="1201"/>
      <c r="PPJ226" s="1201"/>
      <c r="PPK226" s="1201"/>
      <c r="PPL226" s="1201"/>
      <c r="PPM226" s="1201"/>
      <c r="PPN226" s="1201"/>
      <c r="PPO226" s="1201"/>
      <c r="PPP226" s="1201"/>
      <c r="PPQ226" s="1201"/>
      <c r="PPR226" s="1201"/>
      <c r="PPS226" s="1201"/>
      <c r="PPT226" s="1201"/>
      <c r="PPU226" s="1201"/>
      <c r="PPV226" s="1201"/>
      <c r="PPW226" s="1201"/>
      <c r="PPX226" s="1201"/>
      <c r="PPY226" s="1201"/>
      <c r="PPZ226" s="1201"/>
      <c r="PQA226" s="1201"/>
      <c r="PQB226" s="1201"/>
      <c r="PQC226" s="1201"/>
      <c r="PQD226" s="1201"/>
      <c r="PQE226" s="1201"/>
      <c r="PQF226" s="1201"/>
      <c r="PQG226" s="1201"/>
      <c r="PQH226" s="1201"/>
      <c r="PQI226" s="1201"/>
      <c r="PQJ226" s="1201"/>
      <c r="PQK226" s="1201"/>
      <c r="PQL226" s="1201"/>
      <c r="PQM226" s="1201"/>
      <c r="PQN226" s="1201"/>
      <c r="PQO226" s="1201"/>
      <c r="PQP226" s="1201"/>
      <c r="PQQ226" s="1201"/>
      <c r="PQR226" s="1201"/>
      <c r="PQS226" s="1201"/>
      <c r="PQT226" s="1201"/>
      <c r="PQU226" s="1201"/>
      <c r="PQV226" s="1201"/>
      <c r="PQW226" s="1201"/>
      <c r="PQX226" s="1201"/>
      <c r="PQY226" s="1201"/>
      <c r="PQZ226" s="1201"/>
      <c r="PRA226" s="1201"/>
      <c r="PRB226" s="1201"/>
      <c r="PRC226" s="1201"/>
      <c r="PRD226" s="1201"/>
      <c r="PRE226" s="1201"/>
      <c r="PRF226" s="1201"/>
      <c r="PRG226" s="1201"/>
      <c r="PRH226" s="1201"/>
      <c r="PRI226" s="1201"/>
      <c r="PRJ226" s="1201"/>
      <c r="PRK226" s="1201"/>
      <c r="PRL226" s="1201"/>
      <c r="PRM226" s="1201"/>
      <c r="PRN226" s="1201"/>
      <c r="PRO226" s="1201"/>
      <c r="PRP226" s="1201"/>
      <c r="PRQ226" s="1201"/>
      <c r="PRR226" s="1201"/>
      <c r="PRS226" s="1201"/>
      <c r="PRT226" s="1201"/>
      <c r="PRU226" s="1201"/>
      <c r="PRV226" s="1201"/>
      <c r="PRW226" s="1201"/>
      <c r="PRX226" s="1201"/>
      <c r="PRY226" s="1201"/>
      <c r="PRZ226" s="1201"/>
      <c r="PSA226" s="1201"/>
      <c r="PSB226" s="1201"/>
      <c r="PSC226" s="1201"/>
      <c r="PSD226" s="1201"/>
      <c r="PSE226" s="1201"/>
      <c r="PSF226" s="1201"/>
      <c r="PSG226" s="1201"/>
      <c r="PSH226" s="1201"/>
      <c r="PSI226" s="1201"/>
      <c r="PSJ226" s="1201"/>
      <c r="PSK226" s="1201"/>
      <c r="PSL226" s="1201"/>
      <c r="PSM226" s="1201"/>
      <c r="PSN226" s="1201"/>
      <c r="PSO226" s="1201"/>
      <c r="PSP226" s="1201"/>
      <c r="PSQ226" s="1201"/>
      <c r="PSR226" s="1201"/>
      <c r="PSS226" s="1201"/>
      <c r="PST226" s="1201"/>
      <c r="PSU226" s="1201"/>
      <c r="PSV226" s="1201"/>
      <c r="PSW226" s="1201"/>
      <c r="PSX226" s="1201"/>
      <c r="PSY226" s="1201"/>
      <c r="PSZ226" s="1201"/>
      <c r="PTA226" s="1201"/>
      <c r="PTB226" s="1201"/>
      <c r="PTC226" s="1201"/>
      <c r="PTD226" s="1201"/>
      <c r="PTE226" s="1201"/>
      <c r="PTF226" s="1201"/>
      <c r="PTG226" s="1201"/>
      <c r="PTH226" s="1201"/>
      <c r="PTI226" s="1201"/>
      <c r="PTJ226" s="1201"/>
      <c r="PTK226" s="1201"/>
      <c r="PTL226" s="1201"/>
      <c r="PTM226" s="1201"/>
      <c r="PTN226" s="1201"/>
      <c r="PTO226" s="1201"/>
      <c r="PTP226" s="1201"/>
      <c r="PTQ226" s="1201"/>
      <c r="PTR226" s="1201"/>
      <c r="PTS226" s="1201"/>
      <c r="PTT226" s="1201"/>
      <c r="PTU226" s="1201"/>
      <c r="PTV226" s="1201"/>
      <c r="PTW226" s="1201"/>
      <c r="PTX226" s="1201"/>
      <c r="PTY226" s="1201"/>
      <c r="PTZ226" s="1201"/>
      <c r="PUA226" s="1201"/>
      <c r="PUB226" s="1201"/>
      <c r="PUC226" s="1201"/>
      <c r="PUD226" s="1201"/>
      <c r="PUE226" s="1201"/>
      <c r="PUF226" s="1201"/>
      <c r="PUG226" s="1201"/>
      <c r="PUH226" s="1201"/>
      <c r="PUI226" s="1201"/>
      <c r="PUJ226" s="1201"/>
      <c r="PUK226" s="1201"/>
      <c r="PUL226" s="1201"/>
      <c r="PUM226" s="1201"/>
      <c r="PUN226" s="1201"/>
      <c r="PUO226" s="1201"/>
      <c r="PUP226" s="1201"/>
      <c r="PUQ226" s="1201"/>
      <c r="PUR226" s="1201"/>
      <c r="PUS226" s="1201"/>
      <c r="PUT226" s="1201"/>
      <c r="PUU226" s="1201"/>
      <c r="PUV226" s="1201"/>
      <c r="PUW226" s="1201"/>
      <c r="PUX226" s="1201"/>
      <c r="PUY226" s="1201"/>
      <c r="PUZ226" s="1201"/>
      <c r="PVA226" s="1201"/>
      <c r="PVB226" s="1201"/>
      <c r="PVC226" s="1201"/>
      <c r="PVD226" s="1201"/>
      <c r="PVE226" s="1201"/>
      <c r="PVF226" s="1201"/>
      <c r="PVG226" s="1201"/>
      <c r="PVH226" s="1201"/>
      <c r="PVI226" s="1201"/>
      <c r="PVJ226" s="1201"/>
      <c r="PVK226" s="1201"/>
      <c r="PVL226" s="1201"/>
      <c r="PVM226" s="1201"/>
      <c r="PVN226" s="1201"/>
      <c r="PVO226" s="1201"/>
      <c r="PVP226" s="1201"/>
      <c r="PVQ226" s="1201"/>
      <c r="PVR226" s="1201"/>
      <c r="PVS226" s="1201"/>
      <c r="PVT226" s="1201"/>
      <c r="PVU226" s="1201"/>
      <c r="PVV226" s="1201"/>
      <c r="PVW226" s="1201"/>
      <c r="PVX226" s="1201"/>
      <c r="PVY226" s="1201"/>
      <c r="PVZ226" s="1201"/>
      <c r="PWA226" s="1201"/>
      <c r="PWB226" s="1201"/>
      <c r="PWC226" s="1201"/>
      <c r="PWD226" s="1201"/>
      <c r="PWE226" s="1201"/>
      <c r="PWF226" s="1201"/>
      <c r="PWG226" s="1201"/>
      <c r="PWH226" s="1201"/>
      <c r="PWI226" s="1201"/>
      <c r="PWJ226" s="1201"/>
      <c r="PWK226" s="1201"/>
      <c r="PWL226" s="1201"/>
      <c r="PWM226" s="1201"/>
      <c r="PWN226" s="1201"/>
      <c r="PWO226" s="1201"/>
      <c r="PWP226" s="1201"/>
      <c r="PWQ226" s="1201"/>
      <c r="PWR226" s="1201"/>
      <c r="PWS226" s="1201"/>
      <c r="PWT226" s="1201"/>
      <c r="PWU226" s="1201"/>
      <c r="PWV226" s="1201"/>
      <c r="PWW226" s="1201"/>
      <c r="PWX226" s="1201"/>
      <c r="PWY226" s="1201"/>
      <c r="PWZ226" s="1201"/>
      <c r="PXA226" s="1201"/>
      <c r="PXB226" s="1201"/>
      <c r="PXC226" s="1201"/>
      <c r="PXD226" s="1201"/>
      <c r="PXE226" s="1201"/>
      <c r="PXF226" s="1201"/>
      <c r="PXG226" s="1201"/>
      <c r="PXH226" s="1201"/>
      <c r="PXI226" s="1201"/>
      <c r="PXJ226" s="1201"/>
      <c r="PXK226" s="1201"/>
      <c r="PXL226" s="1201"/>
      <c r="PXM226" s="1201"/>
      <c r="PXN226" s="1201"/>
      <c r="PXO226" s="1201"/>
      <c r="PXP226" s="1201"/>
      <c r="PXQ226" s="1201"/>
      <c r="PXR226" s="1201"/>
      <c r="PXS226" s="1201"/>
      <c r="PXT226" s="1201"/>
      <c r="PXU226" s="1201"/>
      <c r="PXV226" s="1201"/>
      <c r="PXW226" s="1201"/>
      <c r="PXX226" s="1201"/>
      <c r="PXY226" s="1201"/>
      <c r="PXZ226" s="1201"/>
      <c r="PYA226" s="1201"/>
      <c r="PYB226" s="1201"/>
      <c r="PYC226" s="1201"/>
      <c r="PYD226" s="1201"/>
      <c r="PYE226" s="1201"/>
      <c r="PYF226" s="1201"/>
      <c r="PYG226" s="1201"/>
      <c r="PYH226" s="1201"/>
      <c r="PYI226" s="1201"/>
      <c r="PYJ226" s="1201"/>
      <c r="PYK226" s="1201"/>
      <c r="PYL226" s="1201"/>
      <c r="PYM226" s="1201"/>
      <c r="PYN226" s="1201"/>
      <c r="PYO226" s="1201"/>
      <c r="PYP226" s="1201"/>
      <c r="PYQ226" s="1201"/>
      <c r="PYR226" s="1201"/>
      <c r="PYS226" s="1201"/>
      <c r="PYT226" s="1201"/>
      <c r="PYU226" s="1201"/>
      <c r="PYV226" s="1201"/>
      <c r="PYW226" s="1201"/>
      <c r="PYX226" s="1201"/>
      <c r="PYY226" s="1201"/>
      <c r="PYZ226" s="1201"/>
      <c r="PZA226" s="1201"/>
      <c r="PZB226" s="1201"/>
      <c r="PZC226" s="1201"/>
      <c r="PZD226" s="1201"/>
      <c r="PZE226" s="1201"/>
      <c r="PZF226" s="1201"/>
      <c r="PZG226" s="1201"/>
      <c r="PZH226" s="1201"/>
      <c r="PZI226" s="1201"/>
      <c r="PZJ226" s="1201"/>
      <c r="PZK226" s="1201"/>
      <c r="PZL226" s="1201"/>
      <c r="PZM226" s="1201"/>
      <c r="PZN226" s="1201"/>
      <c r="PZO226" s="1201"/>
      <c r="PZP226" s="1201"/>
      <c r="PZQ226" s="1201"/>
      <c r="PZR226" s="1201"/>
      <c r="PZS226" s="1201"/>
      <c r="PZT226" s="1201"/>
      <c r="PZU226" s="1201"/>
      <c r="PZV226" s="1201"/>
      <c r="PZW226" s="1201"/>
      <c r="PZX226" s="1201"/>
      <c r="PZY226" s="1201"/>
      <c r="PZZ226" s="1201"/>
      <c r="QAA226" s="1201"/>
      <c r="QAB226" s="1201"/>
      <c r="QAC226" s="1201"/>
      <c r="QAD226" s="1201"/>
      <c r="QAE226" s="1201"/>
      <c r="QAF226" s="1201"/>
      <c r="QAG226" s="1201"/>
      <c r="QAH226" s="1201"/>
      <c r="QAI226" s="1201"/>
      <c r="QAJ226" s="1201"/>
      <c r="QAK226" s="1201"/>
      <c r="QAL226" s="1201"/>
      <c r="QAM226" s="1201"/>
      <c r="QAN226" s="1201"/>
      <c r="QAO226" s="1201"/>
      <c r="QAP226" s="1201"/>
      <c r="QAQ226" s="1201"/>
      <c r="QAR226" s="1201"/>
      <c r="QAS226" s="1201"/>
      <c r="QAT226" s="1201"/>
      <c r="QAU226" s="1201"/>
      <c r="QAV226" s="1201"/>
      <c r="QAW226" s="1201"/>
      <c r="QAX226" s="1201"/>
      <c r="QAY226" s="1201"/>
      <c r="QAZ226" s="1201"/>
      <c r="QBA226" s="1201"/>
      <c r="QBB226" s="1201"/>
      <c r="QBC226" s="1201"/>
      <c r="QBD226" s="1201"/>
      <c r="QBE226" s="1201"/>
      <c r="QBF226" s="1201"/>
      <c r="QBG226" s="1201"/>
      <c r="QBH226" s="1201"/>
      <c r="QBI226" s="1201"/>
      <c r="QBJ226" s="1201"/>
      <c r="QBK226" s="1201"/>
      <c r="QBL226" s="1201"/>
      <c r="QBM226" s="1201"/>
      <c r="QBN226" s="1201"/>
      <c r="QBO226" s="1201"/>
      <c r="QBP226" s="1201"/>
      <c r="QBQ226" s="1201"/>
      <c r="QBR226" s="1201"/>
      <c r="QBS226" s="1201"/>
      <c r="QBT226" s="1201"/>
      <c r="QBU226" s="1201"/>
      <c r="QBV226" s="1201"/>
      <c r="QBW226" s="1201"/>
      <c r="QBX226" s="1201"/>
      <c r="QBY226" s="1201"/>
      <c r="QBZ226" s="1201"/>
      <c r="QCA226" s="1201"/>
      <c r="QCB226" s="1201"/>
      <c r="QCC226" s="1201"/>
      <c r="QCD226" s="1201"/>
      <c r="QCE226" s="1201"/>
      <c r="QCF226" s="1201"/>
      <c r="QCG226" s="1201"/>
      <c r="QCH226" s="1201"/>
      <c r="QCI226" s="1201"/>
      <c r="QCJ226" s="1201"/>
      <c r="QCK226" s="1201"/>
      <c r="QCL226" s="1201"/>
      <c r="QCM226" s="1201"/>
      <c r="QCN226" s="1201"/>
      <c r="QCO226" s="1201"/>
      <c r="QCP226" s="1201"/>
      <c r="QCQ226" s="1201"/>
      <c r="QCR226" s="1201"/>
      <c r="QCS226" s="1201"/>
      <c r="QCT226" s="1201"/>
      <c r="QCU226" s="1201"/>
      <c r="QCV226" s="1201"/>
      <c r="QCW226" s="1201"/>
      <c r="QCX226" s="1201"/>
      <c r="QCY226" s="1201"/>
      <c r="QCZ226" s="1201"/>
      <c r="QDA226" s="1201"/>
      <c r="QDB226" s="1201"/>
      <c r="QDC226" s="1201"/>
      <c r="QDD226" s="1201"/>
      <c r="QDE226" s="1201"/>
      <c r="QDF226" s="1201"/>
      <c r="QDG226" s="1201"/>
      <c r="QDH226" s="1201"/>
      <c r="QDI226" s="1201"/>
      <c r="QDJ226" s="1201"/>
      <c r="QDK226" s="1201"/>
      <c r="QDL226" s="1201"/>
      <c r="QDM226" s="1201"/>
      <c r="QDN226" s="1201"/>
      <c r="QDO226" s="1201"/>
      <c r="QDP226" s="1201"/>
      <c r="QDQ226" s="1201"/>
      <c r="QDR226" s="1201"/>
      <c r="QDS226" s="1201"/>
      <c r="QDT226" s="1201"/>
      <c r="QDU226" s="1201"/>
      <c r="QDV226" s="1201"/>
      <c r="QDW226" s="1201"/>
      <c r="QDX226" s="1201"/>
      <c r="QDY226" s="1201"/>
      <c r="QDZ226" s="1201"/>
      <c r="QEA226" s="1201"/>
      <c r="QEB226" s="1201"/>
      <c r="QEC226" s="1201"/>
      <c r="QED226" s="1201"/>
      <c r="QEE226" s="1201"/>
      <c r="QEF226" s="1201"/>
      <c r="QEG226" s="1201"/>
      <c r="QEH226" s="1201"/>
      <c r="QEI226" s="1201"/>
      <c r="QEJ226" s="1201"/>
      <c r="QEK226" s="1201"/>
      <c r="QEL226" s="1201"/>
      <c r="QEM226" s="1201"/>
      <c r="QEN226" s="1201"/>
      <c r="QEO226" s="1201"/>
      <c r="QEP226" s="1201"/>
      <c r="QEQ226" s="1201"/>
      <c r="QER226" s="1201"/>
      <c r="QES226" s="1201"/>
      <c r="QET226" s="1201"/>
      <c r="QEU226" s="1201"/>
      <c r="QEV226" s="1201"/>
      <c r="QEW226" s="1201"/>
      <c r="QEX226" s="1201"/>
      <c r="QEY226" s="1201"/>
      <c r="QEZ226" s="1201"/>
      <c r="QFA226" s="1201"/>
      <c r="QFB226" s="1201"/>
      <c r="QFC226" s="1201"/>
      <c r="QFD226" s="1201"/>
      <c r="QFE226" s="1201"/>
      <c r="QFF226" s="1201"/>
      <c r="QFG226" s="1201"/>
      <c r="QFH226" s="1201"/>
      <c r="QFI226" s="1201"/>
      <c r="QFJ226" s="1201"/>
      <c r="QFK226" s="1201"/>
      <c r="QFL226" s="1201"/>
      <c r="QFM226" s="1201"/>
      <c r="QFN226" s="1201"/>
      <c r="QFO226" s="1201"/>
      <c r="QFP226" s="1201"/>
      <c r="QFQ226" s="1201"/>
      <c r="QFR226" s="1201"/>
      <c r="QFS226" s="1201"/>
      <c r="QFT226" s="1201"/>
      <c r="QFU226" s="1201"/>
      <c r="QFV226" s="1201"/>
      <c r="QFW226" s="1201"/>
      <c r="QFX226" s="1201"/>
      <c r="QFY226" s="1201"/>
      <c r="QFZ226" s="1201"/>
      <c r="QGA226" s="1201"/>
      <c r="QGB226" s="1201"/>
      <c r="QGC226" s="1201"/>
      <c r="QGD226" s="1201"/>
      <c r="QGE226" s="1201"/>
      <c r="QGF226" s="1201"/>
      <c r="QGG226" s="1201"/>
      <c r="QGH226" s="1201"/>
      <c r="QGI226" s="1201"/>
      <c r="QGJ226" s="1201"/>
      <c r="QGK226" s="1201"/>
      <c r="QGL226" s="1201"/>
      <c r="QGM226" s="1201"/>
      <c r="QGN226" s="1201"/>
      <c r="QGO226" s="1201"/>
      <c r="QGP226" s="1201"/>
      <c r="QGQ226" s="1201"/>
      <c r="QGR226" s="1201"/>
      <c r="QGS226" s="1201"/>
      <c r="QGT226" s="1201"/>
      <c r="QGU226" s="1201"/>
      <c r="QGV226" s="1201"/>
      <c r="QGW226" s="1201"/>
      <c r="QGX226" s="1201"/>
      <c r="QGY226" s="1201"/>
      <c r="QGZ226" s="1201"/>
      <c r="QHA226" s="1201"/>
      <c r="QHB226" s="1201"/>
      <c r="QHC226" s="1201"/>
      <c r="QHD226" s="1201"/>
      <c r="QHE226" s="1201"/>
      <c r="QHF226" s="1201"/>
      <c r="QHG226" s="1201"/>
      <c r="QHH226" s="1201"/>
      <c r="QHI226" s="1201"/>
      <c r="QHJ226" s="1201"/>
      <c r="QHK226" s="1201"/>
      <c r="QHL226" s="1201"/>
      <c r="QHM226" s="1201"/>
      <c r="QHN226" s="1201"/>
      <c r="QHO226" s="1201"/>
      <c r="QHP226" s="1201"/>
      <c r="QHQ226" s="1201"/>
      <c r="QHR226" s="1201"/>
      <c r="QHS226" s="1201"/>
      <c r="QHT226" s="1201"/>
      <c r="QHU226" s="1201"/>
      <c r="QHV226" s="1201"/>
      <c r="QHW226" s="1201"/>
      <c r="QHX226" s="1201"/>
      <c r="QHY226" s="1201"/>
      <c r="QHZ226" s="1201"/>
      <c r="QIA226" s="1201"/>
      <c r="QIB226" s="1201"/>
      <c r="QIC226" s="1201"/>
      <c r="QID226" s="1201"/>
      <c r="QIE226" s="1201"/>
      <c r="QIF226" s="1201"/>
      <c r="QIG226" s="1201"/>
      <c r="QIH226" s="1201"/>
      <c r="QII226" s="1201"/>
      <c r="QIJ226" s="1201"/>
      <c r="QIK226" s="1201"/>
      <c r="QIL226" s="1201"/>
      <c r="QIM226" s="1201"/>
      <c r="QIN226" s="1201"/>
      <c r="QIO226" s="1201"/>
      <c r="QIP226" s="1201"/>
      <c r="QIQ226" s="1201"/>
      <c r="QIR226" s="1201"/>
      <c r="QIS226" s="1201"/>
      <c r="QIT226" s="1201"/>
      <c r="QIU226" s="1201"/>
      <c r="QIV226" s="1201"/>
      <c r="QIW226" s="1201"/>
      <c r="QIX226" s="1201"/>
      <c r="QIY226" s="1201"/>
      <c r="QIZ226" s="1201"/>
      <c r="QJA226" s="1201"/>
      <c r="QJB226" s="1201"/>
      <c r="QJC226" s="1201"/>
      <c r="QJD226" s="1201"/>
      <c r="QJE226" s="1201"/>
      <c r="QJF226" s="1201"/>
      <c r="QJG226" s="1201"/>
      <c r="QJH226" s="1201"/>
      <c r="QJI226" s="1201"/>
      <c r="QJJ226" s="1201"/>
      <c r="QJK226" s="1201"/>
      <c r="QJL226" s="1201"/>
      <c r="QJM226" s="1201"/>
      <c r="QJN226" s="1201"/>
      <c r="QJO226" s="1201"/>
      <c r="QJP226" s="1201"/>
      <c r="QJQ226" s="1201"/>
      <c r="QJR226" s="1201"/>
      <c r="QJS226" s="1201"/>
      <c r="QJT226" s="1201"/>
      <c r="QJU226" s="1201"/>
      <c r="QJV226" s="1201"/>
      <c r="QJW226" s="1201"/>
      <c r="QJX226" s="1201"/>
      <c r="QJY226" s="1201"/>
      <c r="QJZ226" s="1201"/>
      <c r="QKA226" s="1201"/>
      <c r="QKB226" s="1201"/>
      <c r="QKC226" s="1201"/>
      <c r="QKD226" s="1201"/>
      <c r="QKE226" s="1201"/>
      <c r="QKF226" s="1201"/>
      <c r="QKG226" s="1201"/>
      <c r="QKH226" s="1201"/>
      <c r="QKI226" s="1201"/>
      <c r="QKJ226" s="1201"/>
      <c r="QKK226" s="1201"/>
      <c r="QKL226" s="1201"/>
      <c r="QKM226" s="1201"/>
      <c r="QKN226" s="1201"/>
      <c r="QKO226" s="1201"/>
      <c r="QKP226" s="1201"/>
      <c r="QKQ226" s="1201"/>
      <c r="QKR226" s="1201"/>
      <c r="QKS226" s="1201"/>
      <c r="QKT226" s="1201"/>
      <c r="QKU226" s="1201"/>
      <c r="QKV226" s="1201"/>
      <c r="QKW226" s="1201"/>
      <c r="QKX226" s="1201"/>
      <c r="QKY226" s="1201"/>
      <c r="QKZ226" s="1201"/>
      <c r="QLA226" s="1201"/>
      <c r="QLB226" s="1201"/>
      <c r="QLC226" s="1201"/>
      <c r="QLD226" s="1201"/>
      <c r="QLE226" s="1201"/>
      <c r="QLF226" s="1201"/>
      <c r="QLG226" s="1201"/>
      <c r="QLH226" s="1201"/>
      <c r="QLI226" s="1201"/>
      <c r="QLJ226" s="1201"/>
      <c r="QLK226" s="1201"/>
      <c r="QLL226" s="1201"/>
      <c r="QLM226" s="1201"/>
      <c r="QLN226" s="1201"/>
      <c r="QLO226" s="1201"/>
      <c r="QLP226" s="1201"/>
      <c r="QLQ226" s="1201"/>
      <c r="QLR226" s="1201"/>
      <c r="QLS226" s="1201"/>
      <c r="QLT226" s="1201"/>
      <c r="QLU226" s="1201"/>
      <c r="QLV226" s="1201"/>
      <c r="QLW226" s="1201"/>
      <c r="QLX226" s="1201"/>
      <c r="QLY226" s="1201"/>
      <c r="QLZ226" s="1201"/>
      <c r="QMA226" s="1201"/>
      <c r="QMB226" s="1201"/>
      <c r="QMC226" s="1201"/>
      <c r="QMD226" s="1201"/>
      <c r="QME226" s="1201"/>
      <c r="QMF226" s="1201"/>
      <c r="QMG226" s="1201"/>
      <c r="QMH226" s="1201"/>
      <c r="QMI226" s="1201"/>
      <c r="QMJ226" s="1201"/>
      <c r="QMK226" s="1201"/>
      <c r="QML226" s="1201"/>
      <c r="QMM226" s="1201"/>
      <c r="QMN226" s="1201"/>
      <c r="QMO226" s="1201"/>
      <c r="QMP226" s="1201"/>
      <c r="QMQ226" s="1201"/>
      <c r="QMR226" s="1201"/>
      <c r="QMS226" s="1201"/>
      <c r="QMT226" s="1201"/>
      <c r="QMU226" s="1201"/>
      <c r="QMV226" s="1201"/>
      <c r="QMW226" s="1201"/>
      <c r="QMX226" s="1201"/>
      <c r="QMY226" s="1201"/>
      <c r="QMZ226" s="1201"/>
      <c r="QNA226" s="1201"/>
      <c r="QNB226" s="1201"/>
      <c r="QNC226" s="1201"/>
      <c r="QND226" s="1201"/>
      <c r="QNE226" s="1201"/>
      <c r="QNF226" s="1201"/>
      <c r="QNG226" s="1201"/>
      <c r="QNH226" s="1201"/>
      <c r="QNI226" s="1201"/>
      <c r="QNJ226" s="1201"/>
      <c r="QNK226" s="1201"/>
      <c r="QNL226" s="1201"/>
      <c r="QNM226" s="1201"/>
      <c r="QNN226" s="1201"/>
      <c r="QNO226" s="1201"/>
      <c r="QNP226" s="1201"/>
      <c r="QNQ226" s="1201"/>
      <c r="QNR226" s="1201"/>
      <c r="QNS226" s="1201"/>
      <c r="QNT226" s="1201"/>
      <c r="QNU226" s="1201"/>
      <c r="QNV226" s="1201"/>
      <c r="QNW226" s="1201"/>
      <c r="QNX226" s="1201"/>
      <c r="QNY226" s="1201"/>
      <c r="QNZ226" s="1201"/>
      <c r="QOA226" s="1201"/>
      <c r="QOB226" s="1201"/>
      <c r="QOC226" s="1201"/>
      <c r="QOD226" s="1201"/>
      <c r="QOE226" s="1201"/>
      <c r="QOF226" s="1201"/>
      <c r="QOG226" s="1201"/>
      <c r="QOH226" s="1201"/>
      <c r="QOI226" s="1201"/>
      <c r="QOJ226" s="1201"/>
      <c r="QOK226" s="1201"/>
      <c r="QOL226" s="1201"/>
      <c r="QOM226" s="1201"/>
      <c r="QON226" s="1201"/>
      <c r="QOO226" s="1201"/>
      <c r="QOP226" s="1201"/>
      <c r="QOQ226" s="1201"/>
      <c r="QOR226" s="1201"/>
      <c r="QOS226" s="1201"/>
      <c r="QOT226" s="1201"/>
      <c r="QOU226" s="1201"/>
      <c r="QOV226" s="1201"/>
      <c r="QOW226" s="1201"/>
      <c r="QOX226" s="1201"/>
      <c r="QOY226" s="1201"/>
      <c r="QOZ226" s="1201"/>
      <c r="QPA226" s="1201"/>
      <c r="QPB226" s="1201"/>
      <c r="QPC226" s="1201"/>
      <c r="QPD226" s="1201"/>
      <c r="QPE226" s="1201"/>
      <c r="QPF226" s="1201"/>
      <c r="QPG226" s="1201"/>
      <c r="QPH226" s="1201"/>
      <c r="QPI226" s="1201"/>
      <c r="QPJ226" s="1201"/>
      <c r="QPK226" s="1201"/>
      <c r="QPL226" s="1201"/>
      <c r="QPM226" s="1201"/>
      <c r="QPN226" s="1201"/>
      <c r="QPO226" s="1201"/>
      <c r="QPP226" s="1201"/>
      <c r="QPQ226" s="1201"/>
      <c r="QPR226" s="1201"/>
      <c r="QPS226" s="1201"/>
      <c r="QPT226" s="1201"/>
      <c r="QPU226" s="1201"/>
      <c r="QPV226" s="1201"/>
      <c r="QPW226" s="1201"/>
      <c r="QPX226" s="1201"/>
      <c r="QPY226" s="1201"/>
      <c r="QPZ226" s="1201"/>
      <c r="QQA226" s="1201"/>
      <c r="QQB226" s="1201"/>
      <c r="QQC226" s="1201"/>
      <c r="QQD226" s="1201"/>
      <c r="QQE226" s="1201"/>
      <c r="QQF226" s="1201"/>
      <c r="QQG226" s="1201"/>
      <c r="QQH226" s="1201"/>
      <c r="QQI226" s="1201"/>
      <c r="QQJ226" s="1201"/>
      <c r="QQK226" s="1201"/>
      <c r="QQL226" s="1201"/>
      <c r="QQM226" s="1201"/>
      <c r="QQN226" s="1201"/>
      <c r="QQO226" s="1201"/>
      <c r="QQP226" s="1201"/>
      <c r="QQQ226" s="1201"/>
      <c r="QQR226" s="1201"/>
      <c r="QQS226" s="1201"/>
      <c r="QQT226" s="1201"/>
      <c r="QQU226" s="1201"/>
      <c r="QQV226" s="1201"/>
      <c r="QQW226" s="1201"/>
      <c r="QQX226" s="1201"/>
      <c r="QQY226" s="1201"/>
      <c r="QQZ226" s="1201"/>
      <c r="QRA226" s="1201"/>
      <c r="QRB226" s="1201"/>
      <c r="QRC226" s="1201"/>
      <c r="QRD226" s="1201"/>
      <c r="QRE226" s="1201"/>
      <c r="QRF226" s="1201"/>
      <c r="QRG226" s="1201"/>
      <c r="QRH226" s="1201"/>
      <c r="QRI226" s="1201"/>
      <c r="QRJ226" s="1201"/>
      <c r="QRK226" s="1201"/>
      <c r="QRL226" s="1201"/>
      <c r="QRM226" s="1201"/>
      <c r="QRN226" s="1201"/>
      <c r="QRO226" s="1201"/>
      <c r="QRP226" s="1201"/>
      <c r="QRQ226" s="1201"/>
      <c r="QRR226" s="1201"/>
      <c r="QRS226" s="1201"/>
      <c r="QRT226" s="1201"/>
      <c r="QRU226" s="1201"/>
      <c r="QRV226" s="1201"/>
      <c r="QRW226" s="1201"/>
      <c r="QRX226" s="1201"/>
      <c r="QRY226" s="1201"/>
      <c r="QRZ226" s="1201"/>
      <c r="QSA226" s="1201"/>
      <c r="QSB226" s="1201"/>
      <c r="QSC226" s="1201"/>
      <c r="QSD226" s="1201"/>
      <c r="QSE226" s="1201"/>
      <c r="QSF226" s="1201"/>
      <c r="QSG226" s="1201"/>
      <c r="QSH226" s="1201"/>
      <c r="QSI226" s="1201"/>
      <c r="QSJ226" s="1201"/>
      <c r="QSK226" s="1201"/>
      <c r="QSL226" s="1201"/>
      <c r="QSM226" s="1201"/>
      <c r="QSN226" s="1201"/>
      <c r="QSO226" s="1201"/>
      <c r="QSP226" s="1201"/>
      <c r="QSQ226" s="1201"/>
      <c r="QSR226" s="1201"/>
      <c r="QSS226" s="1201"/>
      <c r="QST226" s="1201"/>
      <c r="QSU226" s="1201"/>
      <c r="QSV226" s="1201"/>
      <c r="QSW226" s="1201"/>
      <c r="QSX226" s="1201"/>
      <c r="QSY226" s="1201"/>
      <c r="QSZ226" s="1201"/>
      <c r="QTA226" s="1201"/>
      <c r="QTB226" s="1201"/>
      <c r="QTC226" s="1201"/>
      <c r="QTD226" s="1201"/>
      <c r="QTE226" s="1201"/>
      <c r="QTF226" s="1201"/>
      <c r="QTG226" s="1201"/>
      <c r="QTH226" s="1201"/>
      <c r="QTI226" s="1201"/>
      <c r="QTJ226" s="1201"/>
      <c r="QTK226" s="1201"/>
      <c r="QTL226" s="1201"/>
      <c r="QTM226" s="1201"/>
      <c r="QTN226" s="1201"/>
      <c r="QTO226" s="1201"/>
      <c r="QTP226" s="1201"/>
      <c r="QTQ226" s="1201"/>
      <c r="QTR226" s="1201"/>
      <c r="QTS226" s="1201"/>
      <c r="QTT226" s="1201"/>
      <c r="QTU226" s="1201"/>
      <c r="QTV226" s="1201"/>
      <c r="QTW226" s="1201"/>
      <c r="QTX226" s="1201"/>
      <c r="QTY226" s="1201"/>
      <c r="QTZ226" s="1201"/>
      <c r="QUA226" s="1201"/>
      <c r="QUB226" s="1201"/>
      <c r="QUC226" s="1201"/>
      <c r="QUD226" s="1201"/>
      <c r="QUE226" s="1201"/>
      <c r="QUF226" s="1201"/>
      <c r="QUG226" s="1201"/>
      <c r="QUH226" s="1201"/>
      <c r="QUI226" s="1201"/>
      <c r="QUJ226" s="1201"/>
      <c r="QUK226" s="1201"/>
      <c r="QUL226" s="1201"/>
      <c r="QUM226" s="1201"/>
      <c r="QUN226" s="1201"/>
      <c r="QUO226" s="1201"/>
      <c r="QUP226" s="1201"/>
      <c r="QUQ226" s="1201"/>
      <c r="QUR226" s="1201"/>
      <c r="QUS226" s="1201"/>
      <c r="QUT226" s="1201"/>
      <c r="QUU226" s="1201"/>
      <c r="QUV226" s="1201"/>
      <c r="QUW226" s="1201"/>
      <c r="QUX226" s="1201"/>
      <c r="QUY226" s="1201"/>
      <c r="QUZ226" s="1201"/>
      <c r="QVA226" s="1201"/>
      <c r="QVB226" s="1201"/>
      <c r="QVC226" s="1201"/>
      <c r="QVD226" s="1201"/>
      <c r="QVE226" s="1201"/>
      <c r="QVF226" s="1201"/>
      <c r="QVG226" s="1201"/>
      <c r="QVH226" s="1201"/>
      <c r="QVI226" s="1201"/>
      <c r="QVJ226" s="1201"/>
      <c r="QVK226" s="1201"/>
      <c r="QVL226" s="1201"/>
      <c r="QVM226" s="1201"/>
      <c r="QVN226" s="1201"/>
      <c r="QVO226" s="1201"/>
      <c r="QVP226" s="1201"/>
      <c r="QVQ226" s="1201"/>
      <c r="QVR226" s="1201"/>
      <c r="QVS226" s="1201"/>
      <c r="QVT226" s="1201"/>
      <c r="QVU226" s="1201"/>
      <c r="QVV226" s="1201"/>
      <c r="QVW226" s="1201"/>
      <c r="QVX226" s="1201"/>
      <c r="QVY226" s="1201"/>
      <c r="QVZ226" s="1201"/>
      <c r="QWA226" s="1201"/>
      <c r="QWB226" s="1201"/>
      <c r="QWC226" s="1201"/>
      <c r="QWD226" s="1201"/>
      <c r="QWE226" s="1201"/>
      <c r="QWF226" s="1201"/>
      <c r="QWG226" s="1201"/>
      <c r="QWH226" s="1201"/>
      <c r="QWI226" s="1201"/>
      <c r="QWJ226" s="1201"/>
      <c r="QWK226" s="1201"/>
      <c r="QWL226" s="1201"/>
      <c r="QWM226" s="1201"/>
      <c r="QWN226" s="1201"/>
      <c r="QWO226" s="1201"/>
      <c r="QWP226" s="1201"/>
      <c r="QWQ226" s="1201"/>
      <c r="QWR226" s="1201"/>
      <c r="QWS226" s="1201"/>
      <c r="QWT226" s="1201"/>
      <c r="QWU226" s="1201"/>
      <c r="QWV226" s="1201"/>
      <c r="QWW226" s="1201"/>
      <c r="QWX226" s="1201"/>
      <c r="QWY226" s="1201"/>
      <c r="QWZ226" s="1201"/>
      <c r="QXA226" s="1201"/>
      <c r="QXB226" s="1201"/>
      <c r="QXC226" s="1201"/>
      <c r="QXD226" s="1201"/>
      <c r="QXE226" s="1201"/>
      <c r="QXF226" s="1201"/>
      <c r="QXG226" s="1201"/>
      <c r="QXH226" s="1201"/>
      <c r="QXI226" s="1201"/>
      <c r="QXJ226" s="1201"/>
      <c r="QXK226" s="1201"/>
      <c r="QXL226" s="1201"/>
      <c r="QXM226" s="1201"/>
      <c r="QXN226" s="1201"/>
      <c r="QXO226" s="1201"/>
      <c r="QXP226" s="1201"/>
      <c r="QXQ226" s="1201"/>
      <c r="QXR226" s="1201"/>
      <c r="QXS226" s="1201"/>
      <c r="QXT226" s="1201"/>
      <c r="QXU226" s="1201"/>
      <c r="QXV226" s="1201"/>
      <c r="QXW226" s="1201"/>
      <c r="QXX226" s="1201"/>
      <c r="QXY226" s="1201"/>
      <c r="QXZ226" s="1201"/>
      <c r="QYA226" s="1201"/>
      <c r="QYB226" s="1201"/>
      <c r="QYC226" s="1201"/>
      <c r="QYD226" s="1201"/>
      <c r="QYE226" s="1201"/>
      <c r="QYF226" s="1201"/>
      <c r="QYG226" s="1201"/>
      <c r="QYH226" s="1201"/>
      <c r="QYI226" s="1201"/>
      <c r="QYJ226" s="1201"/>
      <c r="QYK226" s="1201"/>
      <c r="QYL226" s="1201"/>
      <c r="QYM226" s="1201"/>
      <c r="QYN226" s="1201"/>
      <c r="QYO226" s="1201"/>
      <c r="QYP226" s="1201"/>
      <c r="QYQ226" s="1201"/>
      <c r="QYR226" s="1201"/>
      <c r="QYS226" s="1201"/>
      <c r="QYT226" s="1201"/>
      <c r="QYU226" s="1201"/>
      <c r="QYV226" s="1201"/>
      <c r="QYW226" s="1201"/>
      <c r="QYX226" s="1201"/>
      <c r="QYY226" s="1201"/>
      <c r="QYZ226" s="1201"/>
      <c r="QZA226" s="1201"/>
      <c r="QZB226" s="1201"/>
      <c r="QZC226" s="1201"/>
      <c r="QZD226" s="1201"/>
      <c r="QZE226" s="1201"/>
      <c r="QZF226" s="1201"/>
      <c r="QZG226" s="1201"/>
      <c r="QZH226" s="1201"/>
      <c r="QZI226" s="1201"/>
      <c r="QZJ226" s="1201"/>
      <c r="QZK226" s="1201"/>
      <c r="QZL226" s="1201"/>
      <c r="QZM226" s="1201"/>
      <c r="QZN226" s="1201"/>
      <c r="QZO226" s="1201"/>
      <c r="QZP226" s="1201"/>
      <c r="QZQ226" s="1201"/>
      <c r="QZR226" s="1201"/>
      <c r="QZS226" s="1201"/>
      <c r="QZT226" s="1201"/>
      <c r="QZU226" s="1201"/>
      <c r="QZV226" s="1201"/>
      <c r="QZW226" s="1201"/>
      <c r="QZX226" s="1201"/>
      <c r="QZY226" s="1201"/>
      <c r="QZZ226" s="1201"/>
      <c r="RAA226" s="1201"/>
      <c r="RAB226" s="1201"/>
      <c r="RAC226" s="1201"/>
      <c r="RAD226" s="1201"/>
      <c r="RAE226" s="1201"/>
      <c r="RAF226" s="1201"/>
      <c r="RAG226" s="1201"/>
      <c r="RAH226" s="1201"/>
      <c r="RAI226" s="1201"/>
      <c r="RAJ226" s="1201"/>
      <c r="RAK226" s="1201"/>
      <c r="RAL226" s="1201"/>
      <c r="RAM226" s="1201"/>
      <c r="RAN226" s="1201"/>
      <c r="RAO226" s="1201"/>
      <c r="RAP226" s="1201"/>
      <c r="RAQ226" s="1201"/>
      <c r="RAR226" s="1201"/>
      <c r="RAS226" s="1201"/>
      <c r="RAT226" s="1201"/>
      <c r="RAU226" s="1201"/>
      <c r="RAV226" s="1201"/>
      <c r="RAW226" s="1201"/>
      <c r="RAX226" s="1201"/>
      <c r="RAY226" s="1201"/>
      <c r="RAZ226" s="1201"/>
      <c r="RBA226" s="1201"/>
      <c r="RBB226" s="1201"/>
      <c r="RBC226" s="1201"/>
      <c r="RBD226" s="1201"/>
      <c r="RBE226" s="1201"/>
      <c r="RBF226" s="1201"/>
      <c r="RBG226" s="1201"/>
      <c r="RBH226" s="1201"/>
      <c r="RBI226" s="1201"/>
      <c r="RBJ226" s="1201"/>
      <c r="RBK226" s="1201"/>
      <c r="RBL226" s="1201"/>
      <c r="RBM226" s="1201"/>
      <c r="RBN226" s="1201"/>
      <c r="RBO226" s="1201"/>
      <c r="RBP226" s="1201"/>
      <c r="RBQ226" s="1201"/>
      <c r="RBR226" s="1201"/>
      <c r="RBS226" s="1201"/>
      <c r="RBT226" s="1201"/>
      <c r="RBU226" s="1201"/>
      <c r="RBV226" s="1201"/>
      <c r="RBW226" s="1201"/>
      <c r="RBX226" s="1201"/>
      <c r="RBY226" s="1201"/>
      <c r="RBZ226" s="1201"/>
      <c r="RCA226" s="1201"/>
      <c r="RCB226" s="1201"/>
      <c r="RCC226" s="1201"/>
      <c r="RCD226" s="1201"/>
      <c r="RCE226" s="1201"/>
      <c r="RCF226" s="1201"/>
      <c r="RCG226" s="1201"/>
      <c r="RCH226" s="1201"/>
      <c r="RCI226" s="1201"/>
      <c r="RCJ226" s="1201"/>
      <c r="RCK226" s="1201"/>
      <c r="RCL226" s="1201"/>
      <c r="RCM226" s="1201"/>
      <c r="RCN226" s="1201"/>
      <c r="RCO226" s="1201"/>
      <c r="RCP226" s="1201"/>
      <c r="RCQ226" s="1201"/>
      <c r="RCR226" s="1201"/>
      <c r="RCS226" s="1201"/>
      <c r="RCT226" s="1201"/>
      <c r="RCU226" s="1201"/>
      <c r="RCV226" s="1201"/>
      <c r="RCW226" s="1201"/>
      <c r="RCX226" s="1201"/>
      <c r="RCY226" s="1201"/>
      <c r="RCZ226" s="1201"/>
      <c r="RDA226" s="1201"/>
      <c r="RDB226" s="1201"/>
      <c r="RDC226" s="1201"/>
      <c r="RDD226" s="1201"/>
      <c r="RDE226" s="1201"/>
      <c r="RDF226" s="1201"/>
      <c r="RDG226" s="1201"/>
      <c r="RDH226" s="1201"/>
      <c r="RDI226" s="1201"/>
      <c r="RDJ226" s="1201"/>
      <c r="RDK226" s="1201"/>
      <c r="RDL226" s="1201"/>
      <c r="RDM226" s="1201"/>
      <c r="RDN226" s="1201"/>
      <c r="RDO226" s="1201"/>
      <c r="RDP226" s="1201"/>
      <c r="RDQ226" s="1201"/>
      <c r="RDR226" s="1201"/>
      <c r="RDS226" s="1201"/>
      <c r="RDT226" s="1201"/>
      <c r="RDU226" s="1201"/>
      <c r="RDV226" s="1201"/>
      <c r="RDW226" s="1201"/>
      <c r="RDX226" s="1201"/>
      <c r="RDY226" s="1201"/>
      <c r="RDZ226" s="1201"/>
      <c r="REA226" s="1201"/>
      <c r="REB226" s="1201"/>
      <c r="REC226" s="1201"/>
      <c r="RED226" s="1201"/>
      <c r="REE226" s="1201"/>
      <c r="REF226" s="1201"/>
      <c r="REG226" s="1201"/>
      <c r="REH226" s="1201"/>
      <c r="REI226" s="1201"/>
      <c r="REJ226" s="1201"/>
      <c r="REK226" s="1201"/>
      <c r="REL226" s="1201"/>
      <c r="REM226" s="1201"/>
      <c r="REN226" s="1201"/>
      <c r="REO226" s="1201"/>
      <c r="REP226" s="1201"/>
      <c r="REQ226" s="1201"/>
      <c r="RER226" s="1201"/>
      <c r="RES226" s="1201"/>
      <c r="RET226" s="1201"/>
      <c r="REU226" s="1201"/>
      <c r="REV226" s="1201"/>
      <c r="REW226" s="1201"/>
      <c r="REX226" s="1201"/>
      <c r="REY226" s="1201"/>
      <c r="REZ226" s="1201"/>
      <c r="RFA226" s="1201"/>
      <c r="RFB226" s="1201"/>
      <c r="RFC226" s="1201"/>
      <c r="RFD226" s="1201"/>
      <c r="RFE226" s="1201"/>
      <c r="RFF226" s="1201"/>
      <c r="RFG226" s="1201"/>
      <c r="RFH226" s="1201"/>
      <c r="RFI226" s="1201"/>
      <c r="RFJ226" s="1201"/>
      <c r="RFK226" s="1201"/>
      <c r="RFL226" s="1201"/>
      <c r="RFM226" s="1201"/>
      <c r="RFN226" s="1201"/>
      <c r="RFO226" s="1201"/>
      <c r="RFP226" s="1201"/>
      <c r="RFQ226" s="1201"/>
      <c r="RFR226" s="1201"/>
      <c r="RFS226" s="1201"/>
      <c r="RFT226" s="1201"/>
      <c r="RFU226" s="1201"/>
      <c r="RFV226" s="1201"/>
      <c r="RFW226" s="1201"/>
      <c r="RFX226" s="1201"/>
      <c r="RFY226" s="1201"/>
      <c r="RFZ226" s="1201"/>
      <c r="RGA226" s="1201"/>
      <c r="RGB226" s="1201"/>
      <c r="RGC226" s="1201"/>
      <c r="RGD226" s="1201"/>
      <c r="RGE226" s="1201"/>
      <c r="RGF226" s="1201"/>
      <c r="RGG226" s="1201"/>
      <c r="RGH226" s="1201"/>
      <c r="RGI226" s="1201"/>
      <c r="RGJ226" s="1201"/>
      <c r="RGK226" s="1201"/>
      <c r="RGL226" s="1201"/>
      <c r="RGM226" s="1201"/>
      <c r="RGN226" s="1201"/>
      <c r="RGO226" s="1201"/>
      <c r="RGP226" s="1201"/>
      <c r="RGQ226" s="1201"/>
      <c r="RGR226" s="1201"/>
      <c r="RGS226" s="1201"/>
      <c r="RGT226" s="1201"/>
      <c r="RGU226" s="1201"/>
      <c r="RGV226" s="1201"/>
      <c r="RGW226" s="1201"/>
      <c r="RGX226" s="1201"/>
      <c r="RGY226" s="1201"/>
      <c r="RGZ226" s="1201"/>
      <c r="RHA226" s="1201"/>
      <c r="RHB226" s="1201"/>
      <c r="RHC226" s="1201"/>
      <c r="RHD226" s="1201"/>
      <c r="RHE226" s="1201"/>
      <c r="RHF226" s="1201"/>
      <c r="RHG226" s="1201"/>
      <c r="RHH226" s="1201"/>
      <c r="RHI226" s="1201"/>
      <c r="RHJ226" s="1201"/>
      <c r="RHK226" s="1201"/>
      <c r="RHL226" s="1201"/>
      <c r="RHM226" s="1201"/>
      <c r="RHN226" s="1201"/>
      <c r="RHO226" s="1201"/>
      <c r="RHP226" s="1201"/>
      <c r="RHQ226" s="1201"/>
      <c r="RHR226" s="1201"/>
      <c r="RHS226" s="1201"/>
      <c r="RHT226" s="1201"/>
      <c r="RHU226" s="1201"/>
      <c r="RHV226" s="1201"/>
      <c r="RHW226" s="1201"/>
      <c r="RHX226" s="1201"/>
      <c r="RHY226" s="1201"/>
      <c r="RHZ226" s="1201"/>
      <c r="RIA226" s="1201"/>
      <c r="RIB226" s="1201"/>
      <c r="RIC226" s="1201"/>
      <c r="RID226" s="1201"/>
      <c r="RIE226" s="1201"/>
      <c r="RIF226" s="1201"/>
      <c r="RIG226" s="1201"/>
      <c r="RIH226" s="1201"/>
      <c r="RII226" s="1201"/>
      <c r="RIJ226" s="1201"/>
      <c r="RIK226" s="1201"/>
      <c r="RIL226" s="1201"/>
      <c r="RIM226" s="1201"/>
      <c r="RIN226" s="1201"/>
      <c r="RIO226" s="1201"/>
      <c r="RIP226" s="1201"/>
      <c r="RIQ226" s="1201"/>
      <c r="RIR226" s="1201"/>
      <c r="RIS226" s="1201"/>
      <c r="RIT226" s="1201"/>
      <c r="RIU226" s="1201"/>
      <c r="RIV226" s="1201"/>
      <c r="RIW226" s="1201"/>
      <c r="RIX226" s="1201"/>
      <c r="RIY226" s="1201"/>
      <c r="RIZ226" s="1201"/>
      <c r="RJA226" s="1201"/>
      <c r="RJB226" s="1201"/>
      <c r="RJC226" s="1201"/>
      <c r="RJD226" s="1201"/>
      <c r="RJE226" s="1201"/>
      <c r="RJF226" s="1201"/>
      <c r="RJG226" s="1201"/>
      <c r="RJH226" s="1201"/>
      <c r="RJI226" s="1201"/>
      <c r="RJJ226" s="1201"/>
      <c r="RJK226" s="1201"/>
      <c r="RJL226" s="1201"/>
      <c r="RJM226" s="1201"/>
      <c r="RJN226" s="1201"/>
      <c r="RJO226" s="1201"/>
      <c r="RJP226" s="1201"/>
      <c r="RJQ226" s="1201"/>
      <c r="RJR226" s="1201"/>
      <c r="RJS226" s="1201"/>
      <c r="RJT226" s="1201"/>
      <c r="RJU226" s="1201"/>
      <c r="RJV226" s="1201"/>
      <c r="RJW226" s="1201"/>
      <c r="RJX226" s="1201"/>
      <c r="RJY226" s="1201"/>
      <c r="RJZ226" s="1201"/>
      <c r="RKA226" s="1201"/>
      <c r="RKB226" s="1201"/>
      <c r="RKC226" s="1201"/>
      <c r="RKD226" s="1201"/>
      <c r="RKE226" s="1201"/>
      <c r="RKF226" s="1201"/>
      <c r="RKG226" s="1201"/>
      <c r="RKH226" s="1201"/>
      <c r="RKI226" s="1201"/>
      <c r="RKJ226" s="1201"/>
      <c r="RKK226" s="1201"/>
      <c r="RKL226" s="1201"/>
      <c r="RKM226" s="1201"/>
      <c r="RKN226" s="1201"/>
      <c r="RKO226" s="1201"/>
      <c r="RKP226" s="1201"/>
      <c r="RKQ226" s="1201"/>
      <c r="RKR226" s="1201"/>
      <c r="RKS226" s="1201"/>
      <c r="RKT226" s="1201"/>
      <c r="RKU226" s="1201"/>
      <c r="RKV226" s="1201"/>
      <c r="RKW226" s="1201"/>
      <c r="RKX226" s="1201"/>
      <c r="RKY226" s="1201"/>
      <c r="RKZ226" s="1201"/>
      <c r="RLA226" s="1201"/>
      <c r="RLB226" s="1201"/>
      <c r="RLC226" s="1201"/>
      <c r="RLD226" s="1201"/>
      <c r="RLE226" s="1201"/>
      <c r="RLF226" s="1201"/>
      <c r="RLG226" s="1201"/>
      <c r="RLH226" s="1201"/>
      <c r="RLI226" s="1201"/>
      <c r="RLJ226" s="1201"/>
      <c r="RLK226" s="1201"/>
      <c r="RLL226" s="1201"/>
      <c r="RLM226" s="1201"/>
      <c r="RLN226" s="1201"/>
      <c r="RLO226" s="1201"/>
      <c r="RLP226" s="1201"/>
      <c r="RLQ226" s="1201"/>
      <c r="RLR226" s="1201"/>
      <c r="RLS226" s="1201"/>
      <c r="RLT226" s="1201"/>
      <c r="RLU226" s="1201"/>
      <c r="RLV226" s="1201"/>
      <c r="RLW226" s="1201"/>
      <c r="RLX226" s="1201"/>
      <c r="RLY226" s="1201"/>
      <c r="RLZ226" s="1201"/>
      <c r="RMA226" s="1201"/>
      <c r="RMB226" s="1201"/>
      <c r="RMC226" s="1201"/>
      <c r="RMD226" s="1201"/>
      <c r="RME226" s="1201"/>
      <c r="RMF226" s="1201"/>
      <c r="RMG226" s="1201"/>
      <c r="RMH226" s="1201"/>
      <c r="RMI226" s="1201"/>
      <c r="RMJ226" s="1201"/>
      <c r="RMK226" s="1201"/>
      <c r="RML226" s="1201"/>
      <c r="RMM226" s="1201"/>
      <c r="RMN226" s="1201"/>
      <c r="RMO226" s="1201"/>
      <c r="RMP226" s="1201"/>
      <c r="RMQ226" s="1201"/>
      <c r="RMR226" s="1201"/>
      <c r="RMS226" s="1201"/>
      <c r="RMT226" s="1201"/>
      <c r="RMU226" s="1201"/>
      <c r="RMV226" s="1201"/>
      <c r="RMW226" s="1201"/>
      <c r="RMX226" s="1201"/>
      <c r="RMY226" s="1201"/>
      <c r="RMZ226" s="1201"/>
      <c r="RNA226" s="1201"/>
      <c r="RNB226" s="1201"/>
      <c r="RNC226" s="1201"/>
      <c r="RND226" s="1201"/>
      <c r="RNE226" s="1201"/>
      <c r="RNF226" s="1201"/>
      <c r="RNG226" s="1201"/>
      <c r="RNH226" s="1201"/>
      <c r="RNI226" s="1201"/>
      <c r="RNJ226" s="1201"/>
      <c r="RNK226" s="1201"/>
      <c r="RNL226" s="1201"/>
      <c r="RNM226" s="1201"/>
      <c r="RNN226" s="1201"/>
      <c r="RNO226" s="1201"/>
      <c r="RNP226" s="1201"/>
      <c r="RNQ226" s="1201"/>
      <c r="RNR226" s="1201"/>
      <c r="RNS226" s="1201"/>
      <c r="RNT226" s="1201"/>
      <c r="RNU226" s="1201"/>
      <c r="RNV226" s="1201"/>
      <c r="RNW226" s="1201"/>
      <c r="RNX226" s="1201"/>
      <c r="RNY226" s="1201"/>
      <c r="RNZ226" s="1201"/>
      <c r="ROA226" s="1201"/>
      <c r="ROB226" s="1201"/>
      <c r="ROC226" s="1201"/>
      <c r="ROD226" s="1201"/>
      <c r="ROE226" s="1201"/>
      <c r="ROF226" s="1201"/>
      <c r="ROG226" s="1201"/>
      <c r="ROH226" s="1201"/>
      <c r="ROI226" s="1201"/>
      <c r="ROJ226" s="1201"/>
      <c r="ROK226" s="1201"/>
      <c r="ROL226" s="1201"/>
      <c r="ROM226" s="1201"/>
      <c r="RON226" s="1201"/>
      <c r="ROO226" s="1201"/>
      <c r="ROP226" s="1201"/>
      <c r="ROQ226" s="1201"/>
      <c r="ROR226" s="1201"/>
      <c r="ROS226" s="1201"/>
      <c r="ROT226" s="1201"/>
      <c r="ROU226" s="1201"/>
      <c r="ROV226" s="1201"/>
      <c r="ROW226" s="1201"/>
      <c r="ROX226" s="1201"/>
      <c r="ROY226" s="1201"/>
      <c r="ROZ226" s="1201"/>
      <c r="RPA226" s="1201"/>
      <c r="RPB226" s="1201"/>
      <c r="RPC226" s="1201"/>
      <c r="RPD226" s="1201"/>
      <c r="RPE226" s="1201"/>
      <c r="RPF226" s="1201"/>
      <c r="RPG226" s="1201"/>
      <c r="RPH226" s="1201"/>
      <c r="RPI226" s="1201"/>
      <c r="RPJ226" s="1201"/>
      <c r="RPK226" s="1201"/>
      <c r="RPL226" s="1201"/>
      <c r="RPM226" s="1201"/>
      <c r="RPN226" s="1201"/>
      <c r="RPO226" s="1201"/>
      <c r="RPP226" s="1201"/>
      <c r="RPQ226" s="1201"/>
      <c r="RPR226" s="1201"/>
      <c r="RPS226" s="1201"/>
      <c r="RPT226" s="1201"/>
      <c r="RPU226" s="1201"/>
      <c r="RPV226" s="1201"/>
      <c r="RPW226" s="1201"/>
      <c r="RPX226" s="1201"/>
      <c r="RPY226" s="1201"/>
      <c r="RPZ226" s="1201"/>
      <c r="RQA226" s="1201"/>
      <c r="RQB226" s="1201"/>
      <c r="RQC226" s="1201"/>
      <c r="RQD226" s="1201"/>
      <c r="RQE226" s="1201"/>
      <c r="RQF226" s="1201"/>
      <c r="RQG226" s="1201"/>
      <c r="RQH226" s="1201"/>
      <c r="RQI226" s="1201"/>
      <c r="RQJ226" s="1201"/>
      <c r="RQK226" s="1201"/>
      <c r="RQL226" s="1201"/>
      <c r="RQM226" s="1201"/>
      <c r="RQN226" s="1201"/>
      <c r="RQO226" s="1201"/>
      <c r="RQP226" s="1201"/>
      <c r="RQQ226" s="1201"/>
      <c r="RQR226" s="1201"/>
      <c r="RQS226" s="1201"/>
      <c r="RQT226" s="1201"/>
      <c r="RQU226" s="1201"/>
      <c r="RQV226" s="1201"/>
      <c r="RQW226" s="1201"/>
      <c r="RQX226" s="1201"/>
      <c r="RQY226" s="1201"/>
      <c r="RQZ226" s="1201"/>
      <c r="RRA226" s="1201"/>
      <c r="RRB226" s="1201"/>
      <c r="RRC226" s="1201"/>
      <c r="RRD226" s="1201"/>
      <c r="RRE226" s="1201"/>
      <c r="RRF226" s="1201"/>
      <c r="RRG226" s="1201"/>
      <c r="RRH226" s="1201"/>
      <c r="RRI226" s="1201"/>
      <c r="RRJ226" s="1201"/>
      <c r="RRK226" s="1201"/>
      <c r="RRL226" s="1201"/>
      <c r="RRM226" s="1201"/>
      <c r="RRN226" s="1201"/>
      <c r="RRO226" s="1201"/>
      <c r="RRP226" s="1201"/>
      <c r="RRQ226" s="1201"/>
      <c r="RRR226" s="1201"/>
      <c r="RRS226" s="1201"/>
      <c r="RRT226" s="1201"/>
      <c r="RRU226" s="1201"/>
      <c r="RRV226" s="1201"/>
      <c r="RRW226" s="1201"/>
      <c r="RRX226" s="1201"/>
      <c r="RRY226" s="1201"/>
      <c r="RRZ226" s="1201"/>
      <c r="RSA226" s="1201"/>
      <c r="RSB226" s="1201"/>
      <c r="RSC226" s="1201"/>
      <c r="RSD226" s="1201"/>
      <c r="RSE226" s="1201"/>
      <c r="RSF226" s="1201"/>
      <c r="RSG226" s="1201"/>
      <c r="RSH226" s="1201"/>
      <c r="RSI226" s="1201"/>
      <c r="RSJ226" s="1201"/>
      <c r="RSK226" s="1201"/>
      <c r="RSL226" s="1201"/>
      <c r="RSM226" s="1201"/>
      <c r="RSN226" s="1201"/>
      <c r="RSO226" s="1201"/>
      <c r="RSP226" s="1201"/>
      <c r="RSQ226" s="1201"/>
      <c r="RSR226" s="1201"/>
      <c r="RSS226" s="1201"/>
      <c r="RST226" s="1201"/>
      <c r="RSU226" s="1201"/>
      <c r="RSV226" s="1201"/>
      <c r="RSW226" s="1201"/>
      <c r="RSX226" s="1201"/>
      <c r="RSY226" s="1201"/>
      <c r="RSZ226" s="1201"/>
      <c r="RTA226" s="1201"/>
      <c r="RTB226" s="1201"/>
      <c r="RTC226" s="1201"/>
      <c r="RTD226" s="1201"/>
      <c r="RTE226" s="1201"/>
      <c r="RTF226" s="1201"/>
      <c r="RTG226" s="1201"/>
      <c r="RTH226" s="1201"/>
      <c r="RTI226" s="1201"/>
      <c r="RTJ226" s="1201"/>
      <c r="RTK226" s="1201"/>
      <c r="RTL226" s="1201"/>
      <c r="RTM226" s="1201"/>
      <c r="RTN226" s="1201"/>
      <c r="RTO226" s="1201"/>
      <c r="RTP226" s="1201"/>
      <c r="RTQ226" s="1201"/>
      <c r="RTR226" s="1201"/>
      <c r="RTS226" s="1201"/>
      <c r="RTT226" s="1201"/>
      <c r="RTU226" s="1201"/>
      <c r="RTV226" s="1201"/>
      <c r="RTW226" s="1201"/>
      <c r="RTX226" s="1201"/>
      <c r="RTY226" s="1201"/>
      <c r="RTZ226" s="1201"/>
      <c r="RUA226" s="1201"/>
      <c r="RUB226" s="1201"/>
      <c r="RUC226" s="1201"/>
      <c r="RUD226" s="1201"/>
      <c r="RUE226" s="1201"/>
      <c r="RUF226" s="1201"/>
      <c r="RUG226" s="1201"/>
      <c r="RUH226" s="1201"/>
      <c r="RUI226" s="1201"/>
      <c r="RUJ226" s="1201"/>
      <c r="RUK226" s="1201"/>
      <c r="RUL226" s="1201"/>
      <c r="RUM226" s="1201"/>
      <c r="RUN226" s="1201"/>
      <c r="RUO226" s="1201"/>
      <c r="RUP226" s="1201"/>
      <c r="RUQ226" s="1201"/>
      <c r="RUR226" s="1201"/>
      <c r="RUS226" s="1201"/>
      <c r="RUT226" s="1201"/>
      <c r="RUU226" s="1201"/>
      <c r="RUV226" s="1201"/>
      <c r="RUW226" s="1201"/>
      <c r="RUX226" s="1201"/>
      <c r="RUY226" s="1201"/>
      <c r="RUZ226" s="1201"/>
      <c r="RVA226" s="1201"/>
      <c r="RVB226" s="1201"/>
      <c r="RVC226" s="1201"/>
      <c r="RVD226" s="1201"/>
      <c r="RVE226" s="1201"/>
      <c r="RVF226" s="1201"/>
      <c r="RVG226" s="1201"/>
      <c r="RVH226" s="1201"/>
      <c r="RVI226" s="1201"/>
      <c r="RVJ226" s="1201"/>
      <c r="RVK226" s="1201"/>
      <c r="RVL226" s="1201"/>
      <c r="RVM226" s="1201"/>
      <c r="RVN226" s="1201"/>
      <c r="RVO226" s="1201"/>
      <c r="RVP226" s="1201"/>
      <c r="RVQ226" s="1201"/>
      <c r="RVR226" s="1201"/>
      <c r="RVS226" s="1201"/>
      <c r="RVT226" s="1201"/>
      <c r="RVU226" s="1201"/>
      <c r="RVV226" s="1201"/>
      <c r="RVW226" s="1201"/>
      <c r="RVX226" s="1201"/>
      <c r="RVY226" s="1201"/>
      <c r="RVZ226" s="1201"/>
      <c r="RWA226" s="1201"/>
      <c r="RWB226" s="1201"/>
      <c r="RWC226" s="1201"/>
      <c r="RWD226" s="1201"/>
      <c r="RWE226" s="1201"/>
      <c r="RWF226" s="1201"/>
      <c r="RWG226" s="1201"/>
      <c r="RWH226" s="1201"/>
      <c r="RWI226" s="1201"/>
      <c r="RWJ226" s="1201"/>
      <c r="RWK226" s="1201"/>
      <c r="RWL226" s="1201"/>
      <c r="RWM226" s="1201"/>
      <c r="RWN226" s="1201"/>
      <c r="RWO226" s="1201"/>
      <c r="RWP226" s="1201"/>
      <c r="RWQ226" s="1201"/>
      <c r="RWR226" s="1201"/>
      <c r="RWS226" s="1201"/>
      <c r="RWT226" s="1201"/>
      <c r="RWU226" s="1201"/>
      <c r="RWV226" s="1201"/>
      <c r="RWW226" s="1201"/>
      <c r="RWX226" s="1201"/>
      <c r="RWY226" s="1201"/>
      <c r="RWZ226" s="1201"/>
      <c r="RXA226" s="1201"/>
      <c r="RXB226" s="1201"/>
      <c r="RXC226" s="1201"/>
      <c r="RXD226" s="1201"/>
      <c r="RXE226" s="1201"/>
      <c r="RXF226" s="1201"/>
      <c r="RXG226" s="1201"/>
      <c r="RXH226" s="1201"/>
      <c r="RXI226" s="1201"/>
      <c r="RXJ226" s="1201"/>
      <c r="RXK226" s="1201"/>
      <c r="RXL226" s="1201"/>
      <c r="RXM226" s="1201"/>
      <c r="RXN226" s="1201"/>
      <c r="RXO226" s="1201"/>
      <c r="RXP226" s="1201"/>
      <c r="RXQ226" s="1201"/>
      <c r="RXR226" s="1201"/>
      <c r="RXS226" s="1201"/>
      <c r="RXT226" s="1201"/>
      <c r="RXU226" s="1201"/>
      <c r="RXV226" s="1201"/>
      <c r="RXW226" s="1201"/>
      <c r="RXX226" s="1201"/>
      <c r="RXY226" s="1201"/>
      <c r="RXZ226" s="1201"/>
      <c r="RYA226" s="1201"/>
      <c r="RYB226" s="1201"/>
      <c r="RYC226" s="1201"/>
      <c r="RYD226" s="1201"/>
      <c r="RYE226" s="1201"/>
      <c r="RYF226" s="1201"/>
      <c r="RYG226" s="1201"/>
      <c r="RYH226" s="1201"/>
      <c r="RYI226" s="1201"/>
      <c r="RYJ226" s="1201"/>
      <c r="RYK226" s="1201"/>
      <c r="RYL226" s="1201"/>
      <c r="RYM226" s="1201"/>
      <c r="RYN226" s="1201"/>
      <c r="RYO226" s="1201"/>
      <c r="RYP226" s="1201"/>
      <c r="RYQ226" s="1201"/>
      <c r="RYR226" s="1201"/>
      <c r="RYS226" s="1201"/>
      <c r="RYT226" s="1201"/>
      <c r="RYU226" s="1201"/>
      <c r="RYV226" s="1201"/>
      <c r="RYW226" s="1201"/>
      <c r="RYX226" s="1201"/>
      <c r="RYY226" s="1201"/>
      <c r="RYZ226" s="1201"/>
      <c r="RZA226" s="1201"/>
      <c r="RZB226" s="1201"/>
      <c r="RZC226" s="1201"/>
      <c r="RZD226" s="1201"/>
      <c r="RZE226" s="1201"/>
      <c r="RZF226" s="1201"/>
      <c r="RZG226" s="1201"/>
      <c r="RZH226" s="1201"/>
      <c r="RZI226" s="1201"/>
      <c r="RZJ226" s="1201"/>
      <c r="RZK226" s="1201"/>
      <c r="RZL226" s="1201"/>
      <c r="RZM226" s="1201"/>
      <c r="RZN226" s="1201"/>
      <c r="RZO226" s="1201"/>
      <c r="RZP226" s="1201"/>
      <c r="RZQ226" s="1201"/>
      <c r="RZR226" s="1201"/>
      <c r="RZS226" s="1201"/>
      <c r="RZT226" s="1201"/>
      <c r="RZU226" s="1201"/>
      <c r="RZV226" s="1201"/>
      <c r="RZW226" s="1201"/>
      <c r="RZX226" s="1201"/>
      <c r="RZY226" s="1201"/>
      <c r="RZZ226" s="1201"/>
      <c r="SAA226" s="1201"/>
      <c r="SAB226" s="1201"/>
      <c r="SAC226" s="1201"/>
      <c r="SAD226" s="1201"/>
      <c r="SAE226" s="1201"/>
      <c r="SAF226" s="1201"/>
      <c r="SAG226" s="1201"/>
      <c r="SAH226" s="1201"/>
      <c r="SAI226" s="1201"/>
      <c r="SAJ226" s="1201"/>
      <c r="SAK226" s="1201"/>
      <c r="SAL226" s="1201"/>
      <c r="SAM226" s="1201"/>
      <c r="SAN226" s="1201"/>
      <c r="SAO226" s="1201"/>
      <c r="SAP226" s="1201"/>
      <c r="SAQ226" s="1201"/>
      <c r="SAR226" s="1201"/>
      <c r="SAS226" s="1201"/>
      <c r="SAT226" s="1201"/>
      <c r="SAU226" s="1201"/>
      <c r="SAV226" s="1201"/>
      <c r="SAW226" s="1201"/>
      <c r="SAX226" s="1201"/>
      <c r="SAY226" s="1201"/>
      <c r="SAZ226" s="1201"/>
      <c r="SBA226" s="1201"/>
      <c r="SBB226" s="1201"/>
      <c r="SBC226" s="1201"/>
      <c r="SBD226" s="1201"/>
      <c r="SBE226" s="1201"/>
      <c r="SBF226" s="1201"/>
      <c r="SBG226" s="1201"/>
      <c r="SBH226" s="1201"/>
      <c r="SBI226" s="1201"/>
      <c r="SBJ226" s="1201"/>
      <c r="SBK226" s="1201"/>
      <c r="SBL226" s="1201"/>
      <c r="SBM226" s="1201"/>
      <c r="SBN226" s="1201"/>
      <c r="SBO226" s="1201"/>
      <c r="SBP226" s="1201"/>
      <c r="SBQ226" s="1201"/>
      <c r="SBR226" s="1201"/>
      <c r="SBS226" s="1201"/>
      <c r="SBT226" s="1201"/>
      <c r="SBU226" s="1201"/>
      <c r="SBV226" s="1201"/>
      <c r="SBW226" s="1201"/>
      <c r="SBX226" s="1201"/>
      <c r="SBY226" s="1201"/>
      <c r="SBZ226" s="1201"/>
      <c r="SCA226" s="1201"/>
      <c r="SCB226" s="1201"/>
      <c r="SCC226" s="1201"/>
      <c r="SCD226" s="1201"/>
      <c r="SCE226" s="1201"/>
      <c r="SCF226" s="1201"/>
      <c r="SCG226" s="1201"/>
      <c r="SCH226" s="1201"/>
      <c r="SCI226" s="1201"/>
      <c r="SCJ226" s="1201"/>
      <c r="SCK226" s="1201"/>
      <c r="SCL226" s="1201"/>
      <c r="SCM226" s="1201"/>
      <c r="SCN226" s="1201"/>
      <c r="SCO226" s="1201"/>
      <c r="SCP226" s="1201"/>
      <c r="SCQ226" s="1201"/>
      <c r="SCR226" s="1201"/>
      <c r="SCS226" s="1201"/>
      <c r="SCT226" s="1201"/>
      <c r="SCU226" s="1201"/>
      <c r="SCV226" s="1201"/>
      <c r="SCW226" s="1201"/>
      <c r="SCX226" s="1201"/>
      <c r="SCY226" s="1201"/>
      <c r="SCZ226" s="1201"/>
      <c r="SDA226" s="1201"/>
      <c r="SDB226" s="1201"/>
      <c r="SDC226" s="1201"/>
      <c r="SDD226" s="1201"/>
      <c r="SDE226" s="1201"/>
      <c r="SDF226" s="1201"/>
      <c r="SDG226" s="1201"/>
      <c r="SDH226" s="1201"/>
      <c r="SDI226" s="1201"/>
      <c r="SDJ226" s="1201"/>
      <c r="SDK226" s="1201"/>
      <c r="SDL226" s="1201"/>
      <c r="SDM226" s="1201"/>
      <c r="SDN226" s="1201"/>
      <c r="SDO226" s="1201"/>
      <c r="SDP226" s="1201"/>
      <c r="SDQ226" s="1201"/>
      <c r="SDR226" s="1201"/>
      <c r="SDS226" s="1201"/>
      <c r="SDT226" s="1201"/>
      <c r="SDU226" s="1201"/>
      <c r="SDV226" s="1201"/>
      <c r="SDW226" s="1201"/>
      <c r="SDX226" s="1201"/>
      <c r="SDY226" s="1201"/>
      <c r="SDZ226" s="1201"/>
      <c r="SEA226" s="1201"/>
      <c r="SEB226" s="1201"/>
      <c r="SEC226" s="1201"/>
      <c r="SED226" s="1201"/>
      <c r="SEE226" s="1201"/>
      <c r="SEF226" s="1201"/>
      <c r="SEG226" s="1201"/>
      <c r="SEH226" s="1201"/>
      <c r="SEI226" s="1201"/>
      <c r="SEJ226" s="1201"/>
      <c r="SEK226" s="1201"/>
      <c r="SEL226" s="1201"/>
      <c r="SEM226" s="1201"/>
      <c r="SEN226" s="1201"/>
      <c r="SEO226" s="1201"/>
      <c r="SEP226" s="1201"/>
      <c r="SEQ226" s="1201"/>
      <c r="SER226" s="1201"/>
      <c r="SES226" s="1201"/>
      <c r="SET226" s="1201"/>
      <c r="SEU226" s="1201"/>
      <c r="SEV226" s="1201"/>
      <c r="SEW226" s="1201"/>
      <c r="SEX226" s="1201"/>
      <c r="SEY226" s="1201"/>
      <c r="SEZ226" s="1201"/>
      <c r="SFA226" s="1201"/>
      <c r="SFB226" s="1201"/>
      <c r="SFC226" s="1201"/>
      <c r="SFD226" s="1201"/>
      <c r="SFE226" s="1201"/>
      <c r="SFF226" s="1201"/>
      <c r="SFG226" s="1201"/>
      <c r="SFH226" s="1201"/>
      <c r="SFI226" s="1201"/>
      <c r="SFJ226" s="1201"/>
      <c r="SFK226" s="1201"/>
      <c r="SFL226" s="1201"/>
      <c r="SFM226" s="1201"/>
      <c r="SFN226" s="1201"/>
      <c r="SFO226" s="1201"/>
      <c r="SFP226" s="1201"/>
      <c r="SFQ226" s="1201"/>
      <c r="SFR226" s="1201"/>
      <c r="SFS226" s="1201"/>
      <c r="SFT226" s="1201"/>
      <c r="SFU226" s="1201"/>
      <c r="SFV226" s="1201"/>
      <c r="SFW226" s="1201"/>
      <c r="SFX226" s="1201"/>
      <c r="SFY226" s="1201"/>
      <c r="SFZ226" s="1201"/>
      <c r="SGA226" s="1201"/>
      <c r="SGB226" s="1201"/>
      <c r="SGC226" s="1201"/>
      <c r="SGD226" s="1201"/>
      <c r="SGE226" s="1201"/>
      <c r="SGF226" s="1201"/>
      <c r="SGG226" s="1201"/>
      <c r="SGH226" s="1201"/>
      <c r="SGI226" s="1201"/>
      <c r="SGJ226" s="1201"/>
      <c r="SGK226" s="1201"/>
      <c r="SGL226" s="1201"/>
      <c r="SGM226" s="1201"/>
      <c r="SGN226" s="1201"/>
      <c r="SGO226" s="1201"/>
      <c r="SGP226" s="1201"/>
      <c r="SGQ226" s="1201"/>
      <c r="SGR226" s="1201"/>
      <c r="SGS226" s="1201"/>
      <c r="SGT226" s="1201"/>
      <c r="SGU226" s="1201"/>
      <c r="SGV226" s="1201"/>
      <c r="SGW226" s="1201"/>
      <c r="SGX226" s="1201"/>
      <c r="SGY226" s="1201"/>
      <c r="SGZ226" s="1201"/>
      <c r="SHA226" s="1201"/>
      <c r="SHB226" s="1201"/>
      <c r="SHC226" s="1201"/>
      <c r="SHD226" s="1201"/>
      <c r="SHE226" s="1201"/>
      <c r="SHF226" s="1201"/>
      <c r="SHG226" s="1201"/>
      <c r="SHH226" s="1201"/>
      <c r="SHI226" s="1201"/>
      <c r="SHJ226" s="1201"/>
      <c r="SHK226" s="1201"/>
      <c r="SHL226" s="1201"/>
      <c r="SHM226" s="1201"/>
      <c r="SHN226" s="1201"/>
      <c r="SHO226" s="1201"/>
      <c r="SHP226" s="1201"/>
      <c r="SHQ226" s="1201"/>
      <c r="SHR226" s="1201"/>
      <c r="SHS226" s="1201"/>
      <c r="SHT226" s="1201"/>
      <c r="SHU226" s="1201"/>
      <c r="SHV226" s="1201"/>
      <c r="SHW226" s="1201"/>
      <c r="SHX226" s="1201"/>
      <c r="SHY226" s="1201"/>
      <c r="SHZ226" s="1201"/>
      <c r="SIA226" s="1201"/>
      <c r="SIB226" s="1201"/>
      <c r="SIC226" s="1201"/>
      <c r="SID226" s="1201"/>
      <c r="SIE226" s="1201"/>
      <c r="SIF226" s="1201"/>
      <c r="SIG226" s="1201"/>
      <c r="SIH226" s="1201"/>
      <c r="SII226" s="1201"/>
      <c r="SIJ226" s="1201"/>
      <c r="SIK226" s="1201"/>
      <c r="SIL226" s="1201"/>
      <c r="SIM226" s="1201"/>
      <c r="SIN226" s="1201"/>
      <c r="SIO226" s="1201"/>
      <c r="SIP226" s="1201"/>
      <c r="SIQ226" s="1201"/>
      <c r="SIR226" s="1201"/>
      <c r="SIS226" s="1201"/>
      <c r="SIT226" s="1201"/>
      <c r="SIU226" s="1201"/>
      <c r="SIV226" s="1201"/>
      <c r="SIW226" s="1201"/>
      <c r="SIX226" s="1201"/>
      <c r="SIY226" s="1201"/>
      <c r="SIZ226" s="1201"/>
      <c r="SJA226" s="1201"/>
      <c r="SJB226" s="1201"/>
      <c r="SJC226" s="1201"/>
      <c r="SJD226" s="1201"/>
      <c r="SJE226" s="1201"/>
      <c r="SJF226" s="1201"/>
      <c r="SJG226" s="1201"/>
      <c r="SJH226" s="1201"/>
      <c r="SJI226" s="1201"/>
      <c r="SJJ226" s="1201"/>
      <c r="SJK226" s="1201"/>
      <c r="SJL226" s="1201"/>
      <c r="SJM226" s="1201"/>
      <c r="SJN226" s="1201"/>
      <c r="SJO226" s="1201"/>
      <c r="SJP226" s="1201"/>
      <c r="SJQ226" s="1201"/>
      <c r="SJR226" s="1201"/>
      <c r="SJS226" s="1201"/>
      <c r="SJT226" s="1201"/>
      <c r="SJU226" s="1201"/>
      <c r="SJV226" s="1201"/>
      <c r="SJW226" s="1201"/>
      <c r="SJX226" s="1201"/>
      <c r="SJY226" s="1201"/>
      <c r="SJZ226" s="1201"/>
      <c r="SKA226" s="1201"/>
      <c r="SKB226" s="1201"/>
      <c r="SKC226" s="1201"/>
      <c r="SKD226" s="1201"/>
      <c r="SKE226" s="1201"/>
      <c r="SKF226" s="1201"/>
      <c r="SKG226" s="1201"/>
      <c r="SKH226" s="1201"/>
      <c r="SKI226" s="1201"/>
      <c r="SKJ226" s="1201"/>
      <c r="SKK226" s="1201"/>
      <c r="SKL226" s="1201"/>
      <c r="SKM226" s="1201"/>
      <c r="SKN226" s="1201"/>
      <c r="SKO226" s="1201"/>
      <c r="SKP226" s="1201"/>
      <c r="SKQ226" s="1201"/>
      <c r="SKR226" s="1201"/>
      <c r="SKS226" s="1201"/>
      <c r="SKT226" s="1201"/>
      <c r="SKU226" s="1201"/>
      <c r="SKV226" s="1201"/>
      <c r="SKW226" s="1201"/>
      <c r="SKX226" s="1201"/>
      <c r="SKY226" s="1201"/>
      <c r="SKZ226" s="1201"/>
      <c r="SLA226" s="1201"/>
      <c r="SLB226" s="1201"/>
      <c r="SLC226" s="1201"/>
      <c r="SLD226" s="1201"/>
      <c r="SLE226" s="1201"/>
      <c r="SLF226" s="1201"/>
      <c r="SLG226" s="1201"/>
      <c r="SLH226" s="1201"/>
      <c r="SLI226" s="1201"/>
      <c r="SLJ226" s="1201"/>
      <c r="SLK226" s="1201"/>
      <c r="SLL226" s="1201"/>
      <c r="SLM226" s="1201"/>
      <c r="SLN226" s="1201"/>
      <c r="SLO226" s="1201"/>
      <c r="SLP226" s="1201"/>
      <c r="SLQ226" s="1201"/>
      <c r="SLR226" s="1201"/>
      <c r="SLS226" s="1201"/>
      <c r="SLT226" s="1201"/>
      <c r="SLU226" s="1201"/>
      <c r="SLV226" s="1201"/>
      <c r="SLW226" s="1201"/>
      <c r="SLX226" s="1201"/>
      <c r="SLY226" s="1201"/>
      <c r="SLZ226" s="1201"/>
      <c r="SMA226" s="1201"/>
      <c r="SMB226" s="1201"/>
      <c r="SMC226" s="1201"/>
      <c r="SMD226" s="1201"/>
      <c r="SME226" s="1201"/>
      <c r="SMF226" s="1201"/>
      <c r="SMG226" s="1201"/>
      <c r="SMH226" s="1201"/>
      <c r="SMI226" s="1201"/>
      <c r="SMJ226" s="1201"/>
      <c r="SMK226" s="1201"/>
      <c r="SML226" s="1201"/>
      <c r="SMM226" s="1201"/>
      <c r="SMN226" s="1201"/>
      <c r="SMO226" s="1201"/>
      <c r="SMP226" s="1201"/>
      <c r="SMQ226" s="1201"/>
      <c r="SMR226" s="1201"/>
      <c r="SMS226" s="1201"/>
      <c r="SMT226" s="1201"/>
      <c r="SMU226" s="1201"/>
      <c r="SMV226" s="1201"/>
      <c r="SMW226" s="1201"/>
      <c r="SMX226" s="1201"/>
      <c r="SMY226" s="1201"/>
      <c r="SMZ226" s="1201"/>
      <c r="SNA226" s="1201"/>
      <c r="SNB226" s="1201"/>
      <c r="SNC226" s="1201"/>
      <c r="SND226" s="1201"/>
      <c r="SNE226" s="1201"/>
      <c r="SNF226" s="1201"/>
      <c r="SNG226" s="1201"/>
      <c r="SNH226" s="1201"/>
      <c r="SNI226" s="1201"/>
      <c r="SNJ226" s="1201"/>
      <c r="SNK226" s="1201"/>
      <c r="SNL226" s="1201"/>
      <c r="SNM226" s="1201"/>
      <c r="SNN226" s="1201"/>
      <c r="SNO226" s="1201"/>
      <c r="SNP226" s="1201"/>
      <c r="SNQ226" s="1201"/>
      <c r="SNR226" s="1201"/>
      <c r="SNS226" s="1201"/>
      <c r="SNT226" s="1201"/>
      <c r="SNU226" s="1201"/>
      <c r="SNV226" s="1201"/>
      <c r="SNW226" s="1201"/>
      <c r="SNX226" s="1201"/>
      <c r="SNY226" s="1201"/>
      <c r="SNZ226" s="1201"/>
      <c r="SOA226" s="1201"/>
      <c r="SOB226" s="1201"/>
      <c r="SOC226" s="1201"/>
      <c r="SOD226" s="1201"/>
      <c r="SOE226" s="1201"/>
      <c r="SOF226" s="1201"/>
      <c r="SOG226" s="1201"/>
      <c r="SOH226" s="1201"/>
      <c r="SOI226" s="1201"/>
      <c r="SOJ226" s="1201"/>
      <c r="SOK226" s="1201"/>
      <c r="SOL226" s="1201"/>
      <c r="SOM226" s="1201"/>
      <c r="SON226" s="1201"/>
      <c r="SOO226" s="1201"/>
      <c r="SOP226" s="1201"/>
      <c r="SOQ226" s="1201"/>
      <c r="SOR226" s="1201"/>
      <c r="SOS226" s="1201"/>
      <c r="SOT226" s="1201"/>
      <c r="SOU226" s="1201"/>
      <c r="SOV226" s="1201"/>
      <c r="SOW226" s="1201"/>
      <c r="SOX226" s="1201"/>
      <c r="SOY226" s="1201"/>
      <c r="SOZ226" s="1201"/>
      <c r="SPA226" s="1201"/>
      <c r="SPB226" s="1201"/>
      <c r="SPC226" s="1201"/>
      <c r="SPD226" s="1201"/>
      <c r="SPE226" s="1201"/>
      <c r="SPF226" s="1201"/>
      <c r="SPG226" s="1201"/>
      <c r="SPH226" s="1201"/>
      <c r="SPI226" s="1201"/>
      <c r="SPJ226" s="1201"/>
      <c r="SPK226" s="1201"/>
      <c r="SPL226" s="1201"/>
      <c r="SPM226" s="1201"/>
      <c r="SPN226" s="1201"/>
      <c r="SPO226" s="1201"/>
      <c r="SPP226" s="1201"/>
      <c r="SPQ226" s="1201"/>
      <c r="SPR226" s="1201"/>
      <c r="SPS226" s="1201"/>
      <c r="SPT226" s="1201"/>
      <c r="SPU226" s="1201"/>
      <c r="SPV226" s="1201"/>
      <c r="SPW226" s="1201"/>
      <c r="SPX226" s="1201"/>
      <c r="SPY226" s="1201"/>
      <c r="SPZ226" s="1201"/>
      <c r="SQA226" s="1201"/>
      <c r="SQB226" s="1201"/>
      <c r="SQC226" s="1201"/>
      <c r="SQD226" s="1201"/>
      <c r="SQE226" s="1201"/>
      <c r="SQF226" s="1201"/>
      <c r="SQG226" s="1201"/>
      <c r="SQH226" s="1201"/>
      <c r="SQI226" s="1201"/>
      <c r="SQJ226" s="1201"/>
      <c r="SQK226" s="1201"/>
      <c r="SQL226" s="1201"/>
      <c r="SQM226" s="1201"/>
      <c r="SQN226" s="1201"/>
      <c r="SQO226" s="1201"/>
      <c r="SQP226" s="1201"/>
      <c r="SQQ226" s="1201"/>
      <c r="SQR226" s="1201"/>
      <c r="SQS226" s="1201"/>
      <c r="SQT226" s="1201"/>
      <c r="SQU226" s="1201"/>
      <c r="SQV226" s="1201"/>
      <c r="SQW226" s="1201"/>
      <c r="SQX226" s="1201"/>
      <c r="SQY226" s="1201"/>
      <c r="SQZ226" s="1201"/>
      <c r="SRA226" s="1201"/>
      <c r="SRB226" s="1201"/>
      <c r="SRC226" s="1201"/>
      <c r="SRD226" s="1201"/>
      <c r="SRE226" s="1201"/>
      <c r="SRF226" s="1201"/>
      <c r="SRG226" s="1201"/>
      <c r="SRH226" s="1201"/>
      <c r="SRI226" s="1201"/>
      <c r="SRJ226" s="1201"/>
      <c r="SRK226" s="1201"/>
      <c r="SRL226" s="1201"/>
      <c r="SRM226" s="1201"/>
      <c r="SRN226" s="1201"/>
      <c r="SRO226" s="1201"/>
      <c r="SRP226" s="1201"/>
      <c r="SRQ226" s="1201"/>
      <c r="SRR226" s="1201"/>
      <c r="SRS226" s="1201"/>
      <c r="SRT226" s="1201"/>
      <c r="SRU226" s="1201"/>
      <c r="SRV226" s="1201"/>
      <c r="SRW226" s="1201"/>
      <c r="SRX226" s="1201"/>
      <c r="SRY226" s="1201"/>
      <c r="SRZ226" s="1201"/>
      <c r="SSA226" s="1201"/>
      <c r="SSB226" s="1201"/>
      <c r="SSC226" s="1201"/>
      <c r="SSD226" s="1201"/>
      <c r="SSE226" s="1201"/>
      <c r="SSF226" s="1201"/>
      <c r="SSG226" s="1201"/>
      <c r="SSH226" s="1201"/>
      <c r="SSI226" s="1201"/>
      <c r="SSJ226" s="1201"/>
      <c r="SSK226" s="1201"/>
      <c r="SSL226" s="1201"/>
      <c r="SSM226" s="1201"/>
      <c r="SSN226" s="1201"/>
      <c r="SSO226" s="1201"/>
      <c r="SSP226" s="1201"/>
      <c r="SSQ226" s="1201"/>
      <c r="SSR226" s="1201"/>
      <c r="SSS226" s="1201"/>
      <c r="SST226" s="1201"/>
      <c r="SSU226" s="1201"/>
      <c r="SSV226" s="1201"/>
      <c r="SSW226" s="1201"/>
      <c r="SSX226" s="1201"/>
      <c r="SSY226" s="1201"/>
      <c r="SSZ226" s="1201"/>
      <c r="STA226" s="1201"/>
      <c r="STB226" s="1201"/>
      <c r="STC226" s="1201"/>
      <c r="STD226" s="1201"/>
      <c r="STE226" s="1201"/>
      <c r="STF226" s="1201"/>
      <c r="STG226" s="1201"/>
      <c r="STH226" s="1201"/>
      <c r="STI226" s="1201"/>
      <c r="STJ226" s="1201"/>
      <c r="STK226" s="1201"/>
      <c r="STL226" s="1201"/>
      <c r="STM226" s="1201"/>
      <c r="STN226" s="1201"/>
      <c r="STO226" s="1201"/>
      <c r="STP226" s="1201"/>
      <c r="STQ226" s="1201"/>
      <c r="STR226" s="1201"/>
      <c r="STS226" s="1201"/>
      <c r="STT226" s="1201"/>
      <c r="STU226" s="1201"/>
      <c r="STV226" s="1201"/>
      <c r="STW226" s="1201"/>
      <c r="STX226" s="1201"/>
      <c r="STY226" s="1201"/>
      <c r="STZ226" s="1201"/>
      <c r="SUA226" s="1201"/>
      <c r="SUB226" s="1201"/>
      <c r="SUC226" s="1201"/>
      <c r="SUD226" s="1201"/>
      <c r="SUE226" s="1201"/>
      <c r="SUF226" s="1201"/>
      <c r="SUG226" s="1201"/>
      <c r="SUH226" s="1201"/>
      <c r="SUI226" s="1201"/>
      <c r="SUJ226" s="1201"/>
      <c r="SUK226" s="1201"/>
      <c r="SUL226" s="1201"/>
      <c r="SUM226" s="1201"/>
      <c r="SUN226" s="1201"/>
      <c r="SUO226" s="1201"/>
      <c r="SUP226" s="1201"/>
      <c r="SUQ226" s="1201"/>
      <c r="SUR226" s="1201"/>
      <c r="SUS226" s="1201"/>
      <c r="SUT226" s="1201"/>
      <c r="SUU226" s="1201"/>
      <c r="SUV226" s="1201"/>
      <c r="SUW226" s="1201"/>
      <c r="SUX226" s="1201"/>
      <c r="SUY226" s="1201"/>
      <c r="SUZ226" s="1201"/>
      <c r="SVA226" s="1201"/>
      <c r="SVB226" s="1201"/>
      <c r="SVC226" s="1201"/>
      <c r="SVD226" s="1201"/>
      <c r="SVE226" s="1201"/>
      <c r="SVF226" s="1201"/>
      <c r="SVG226" s="1201"/>
      <c r="SVH226" s="1201"/>
      <c r="SVI226" s="1201"/>
      <c r="SVJ226" s="1201"/>
      <c r="SVK226" s="1201"/>
      <c r="SVL226" s="1201"/>
      <c r="SVM226" s="1201"/>
      <c r="SVN226" s="1201"/>
      <c r="SVO226" s="1201"/>
      <c r="SVP226" s="1201"/>
      <c r="SVQ226" s="1201"/>
      <c r="SVR226" s="1201"/>
      <c r="SVS226" s="1201"/>
      <c r="SVT226" s="1201"/>
      <c r="SVU226" s="1201"/>
      <c r="SVV226" s="1201"/>
      <c r="SVW226" s="1201"/>
      <c r="SVX226" s="1201"/>
      <c r="SVY226" s="1201"/>
      <c r="SVZ226" s="1201"/>
      <c r="SWA226" s="1201"/>
      <c r="SWB226" s="1201"/>
      <c r="SWC226" s="1201"/>
      <c r="SWD226" s="1201"/>
      <c r="SWE226" s="1201"/>
      <c r="SWF226" s="1201"/>
      <c r="SWG226" s="1201"/>
      <c r="SWH226" s="1201"/>
      <c r="SWI226" s="1201"/>
      <c r="SWJ226" s="1201"/>
      <c r="SWK226" s="1201"/>
      <c r="SWL226" s="1201"/>
      <c r="SWM226" s="1201"/>
      <c r="SWN226" s="1201"/>
      <c r="SWO226" s="1201"/>
      <c r="SWP226" s="1201"/>
      <c r="SWQ226" s="1201"/>
      <c r="SWR226" s="1201"/>
      <c r="SWS226" s="1201"/>
      <c r="SWT226" s="1201"/>
      <c r="SWU226" s="1201"/>
      <c r="SWV226" s="1201"/>
      <c r="SWW226" s="1201"/>
      <c r="SWX226" s="1201"/>
      <c r="SWY226" s="1201"/>
      <c r="SWZ226" s="1201"/>
      <c r="SXA226" s="1201"/>
      <c r="SXB226" s="1201"/>
      <c r="SXC226" s="1201"/>
      <c r="SXD226" s="1201"/>
      <c r="SXE226" s="1201"/>
      <c r="SXF226" s="1201"/>
      <c r="SXG226" s="1201"/>
      <c r="SXH226" s="1201"/>
      <c r="SXI226" s="1201"/>
      <c r="SXJ226" s="1201"/>
      <c r="SXK226" s="1201"/>
      <c r="SXL226" s="1201"/>
      <c r="SXM226" s="1201"/>
      <c r="SXN226" s="1201"/>
      <c r="SXO226" s="1201"/>
      <c r="SXP226" s="1201"/>
      <c r="SXQ226" s="1201"/>
      <c r="SXR226" s="1201"/>
      <c r="SXS226" s="1201"/>
      <c r="SXT226" s="1201"/>
      <c r="SXU226" s="1201"/>
      <c r="SXV226" s="1201"/>
      <c r="SXW226" s="1201"/>
      <c r="SXX226" s="1201"/>
      <c r="SXY226" s="1201"/>
      <c r="SXZ226" s="1201"/>
      <c r="SYA226" s="1201"/>
      <c r="SYB226" s="1201"/>
      <c r="SYC226" s="1201"/>
      <c r="SYD226" s="1201"/>
      <c r="SYE226" s="1201"/>
      <c r="SYF226" s="1201"/>
      <c r="SYG226" s="1201"/>
      <c r="SYH226" s="1201"/>
      <c r="SYI226" s="1201"/>
      <c r="SYJ226" s="1201"/>
      <c r="SYK226" s="1201"/>
      <c r="SYL226" s="1201"/>
      <c r="SYM226" s="1201"/>
      <c r="SYN226" s="1201"/>
      <c r="SYO226" s="1201"/>
      <c r="SYP226" s="1201"/>
      <c r="SYQ226" s="1201"/>
      <c r="SYR226" s="1201"/>
      <c r="SYS226" s="1201"/>
      <c r="SYT226" s="1201"/>
      <c r="SYU226" s="1201"/>
      <c r="SYV226" s="1201"/>
      <c r="SYW226" s="1201"/>
      <c r="SYX226" s="1201"/>
      <c r="SYY226" s="1201"/>
      <c r="SYZ226" s="1201"/>
      <c r="SZA226" s="1201"/>
      <c r="SZB226" s="1201"/>
      <c r="SZC226" s="1201"/>
      <c r="SZD226" s="1201"/>
      <c r="SZE226" s="1201"/>
      <c r="SZF226" s="1201"/>
      <c r="SZG226" s="1201"/>
      <c r="SZH226" s="1201"/>
      <c r="SZI226" s="1201"/>
      <c r="SZJ226" s="1201"/>
      <c r="SZK226" s="1201"/>
      <c r="SZL226" s="1201"/>
      <c r="SZM226" s="1201"/>
      <c r="SZN226" s="1201"/>
      <c r="SZO226" s="1201"/>
      <c r="SZP226" s="1201"/>
      <c r="SZQ226" s="1201"/>
      <c r="SZR226" s="1201"/>
      <c r="SZS226" s="1201"/>
      <c r="SZT226" s="1201"/>
      <c r="SZU226" s="1201"/>
      <c r="SZV226" s="1201"/>
      <c r="SZW226" s="1201"/>
      <c r="SZX226" s="1201"/>
      <c r="SZY226" s="1201"/>
      <c r="SZZ226" s="1201"/>
      <c r="TAA226" s="1201"/>
      <c r="TAB226" s="1201"/>
      <c r="TAC226" s="1201"/>
      <c r="TAD226" s="1201"/>
      <c r="TAE226" s="1201"/>
      <c r="TAF226" s="1201"/>
      <c r="TAG226" s="1201"/>
      <c r="TAH226" s="1201"/>
      <c r="TAI226" s="1201"/>
      <c r="TAJ226" s="1201"/>
      <c r="TAK226" s="1201"/>
      <c r="TAL226" s="1201"/>
      <c r="TAM226" s="1201"/>
      <c r="TAN226" s="1201"/>
      <c r="TAO226" s="1201"/>
      <c r="TAP226" s="1201"/>
      <c r="TAQ226" s="1201"/>
      <c r="TAR226" s="1201"/>
      <c r="TAS226" s="1201"/>
      <c r="TAT226" s="1201"/>
      <c r="TAU226" s="1201"/>
      <c r="TAV226" s="1201"/>
      <c r="TAW226" s="1201"/>
      <c r="TAX226" s="1201"/>
      <c r="TAY226" s="1201"/>
      <c r="TAZ226" s="1201"/>
      <c r="TBA226" s="1201"/>
      <c r="TBB226" s="1201"/>
      <c r="TBC226" s="1201"/>
      <c r="TBD226" s="1201"/>
      <c r="TBE226" s="1201"/>
      <c r="TBF226" s="1201"/>
      <c r="TBG226" s="1201"/>
      <c r="TBH226" s="1201"/>
      <c r="TBI226" s="1201"/>
      <c r="TBJ226" s="1201"/>
      <c r="TBK226" s="1201"/>
      <c r="TBL226" s="1201"/>
      <c r="TBM226" s="1201"/>
      <c r="TBN226" s="1201"/>
      <c r="TBO226" s="1201"/>
      <c r="TBP226" s="1201"/>
      <c r="TBQ226" s="1201"/>
      <c r="TBR226" s="1201"/>
      <c r="TBS226" s="1201"/>
      <c r="TBT226" s="1201"/>
      <c r="TBU226" s="1201"/>
      <c r="TBV226" s="1201"/>
      <c r="TBW226" s="1201"/>
      <c r="TBX226" s="1201"/>
      <c r="TBY226" s="1201"/>
      <c r="TBZ226" s="1201"/>
      <c r="TCA226" s="1201"/>
      <c r="TCB226" s="1201"/>
      <c r="TCC226" s="1201"/>
      <c r="TCD226" s="1201"/>
      <c r="TCE226" s="1201"/>
      <c r="TCF226" s="1201"/>
      <c r="TCG226" s="1201"/>
      <c r="TCH226" s="1201"/>
      <c r="TCI226" s="1201"/>
      <c r="TCJ226" s="1201"/>
      <c r="TCK226" s="1201"/>
      <c r="TCL226" s="1201"/>
      <c r="TCM226" s="1201"/>
      <c r="TCN226" s="1201"/>
      <c r="TCO226" s="1201"/>
      <c r="TCP226" s="1201"/>
      <c r="TCQ226" s="1201"/>
      <c r="TCR226" s="1201"/>
      <c r="TCS226" s="1201"/>
      <c r="TCT226" s="1201"/>
      <c r="TCU226" s="1201"/>
      <c r="TCV226" s="1201"/>
      <c r="TCW226" s="1201"/>
      <c r="TCX226" s="1201"/>
      <c r="TCY226" s="1201"/>
      <c r="TCZ226" s="1201"/>
      <c r="TDA226" s="1201"/>
      <c r="TDB226" s="1201"/>
      <c r="TDC226" s="1201"/>
      <c r="TDD226" s="1201"/>
      <c r="TDE226" s="1201"/>
      <c r="TDF226" s="1201"/>
      <c r="TDG226" s="1201"/>
      <c r="TDH226" s="1201"/>
      <c r="TDI226" s="1201"/>
      <c r="TDJ226" s="1201"/>
      <c r="TDK226" s="1201"/>
      <c r="TDL226" s="1201"/>
      <c r="TDM226" s="1201"/>
      <c r="TDN226" s="1201"/>
      <c r="TDO226" s="1201"/>
      <c r="TDP226" s="1201"/>
      <c r="TDQ226" s="1201"/>
      <c r="TDR226" s="1201"/>
      <c r="TDS226" s="1201"/>
      <c r="TDT226" s="1201"/>
      <c r="TDU226" s="1201"/>
      <c r="TDV226" s="1201"/>
      <c r="TDW226" s="1201"/>
      <c r="TDX226" s="1201"/>
      <c r="TDY226" s="1201"/>
      <c r="TDZ226" s="1201"/>
      <c r="TEA226" s="1201"/>
      <c r="TEB226" s="1201"/>
      <c r="TEC226" s="1201"/>
      <c r="TED226" s="1201"/>
      <c r="TEE226" s="1201"/>
      <c r="TEF226" s="1201"/>
      <c r="TEG226" s="1201"/>
      <c r="TEH226" s="1201"/>
      <c r="TEI226" s="1201"/>
      <c r="TEJ226" s="1201"/>
      <c r="TEK226" s="1201"/>
      <c r="TEL226" s="1201"/>
      <c r="TEM226" s="1201"/>
      <c r="TEN226" s="1201"/>
      <c r="TEO226" s="1201"/>
      <c r="TEP226" s="1201"/>
      <c r="TEQ226" s="1201"/>
      <c r="TER226" s="1201"/>
      <c r="TES226" s="1201"/>
      <c r="TET226" s="1201"/>
      <c r="TEU226" s="1201"/>
      <c r="TEV226" s="1201"/>
      <c r="TEW226" s="1201"/>
      <c r="TEX226" s="1201"/>
      <c r="TEY226" s="1201"/>
      <c r="TEZ226" s="1201"/>
      <c r="TFA226" s="1201"/>
      <c r="TFB226" s="1201"/>
      <c r="TFC226" s="1201"/>
      <c r="TFD226" s="1201"/>
      <c r="TFE226" s="1201"/>
      <c r="TFF226" s="1201"/>
      <c r="TFG226" s="1201"/>
      <c r="TFH226" s="1201"/>
      <c r="TFI226" s="1201"/>
      <c r="TFJ226" s="1201"/>
      <c r="TFK226" s="1201"/>
      <c r="TFL226" s="1201"/>
      <c r="TFM226" s="1201"/>
      <c r="TFN226" s="1201"/>
      <c r="TFO226" s="1201"/>
      <c r="TFP226" s="1201"/>
      <c r="TFQ226" s="1201"/>
      <c r="TFR226" s="1201"/>
      <c r="TFS226" s="1201"/>
      <c r="TFT226" s="1201"/>
      <c r="TFU226" s="1201"/>
      <c r="TFV226" s="1201"/>
      <c r="TFW226" s="1201"/>
      <c r="TFX226" s="1201"/>
      <c r="TFY226" s="1201"/>
      <c r="TFZ226" s="1201"/>
      <c r="TGA226" s="1201"/>
      <c r="TGB226" s="1201"/>
      <c r="TGC226" s="1201"/>
      <c r="TGD226" s="1201"/>
      <c r="TGE226" s="1201"/>
      <c r="TGF226" s="1201"/>
      <c r="TGG226" s="1201"/>
      <c r="TGH226" s="1201"/>
      <c r="TGI226" s="1201"/>
      <c r="TGJ226" s="1201"/>
      <c r="TGK226" s="1201"/>
      <c r="TGL226" s="1201"/>
      <c r="TGM226" s="1201"/>
      <c r="TGN226" s="1201"/>
      <c r="TGO226" s="1201"/>
      <c r="TGP226" s="1201"/>
      <c r="TGQ226" s="1201"/>
      <c r="TGR226" s="1201"/>
      <c r="TGS226" s="1201"/>
      <c r="TGT226" s="1201"/>
      <c r="TGU226" s="1201"/>
      <c r="TGV226" s="1201"/>
      <c r="TGW226" s="1201"/>
      <c r="TGX226" s="1201"/>
      <c r="TGY226" s="1201"/>
      <c r="TGZ226" s="1201"/>
      <c r="THA226" s="1201"/>
      <c r="THB226" s="1201"/>
      <c r="THC226" s="1201"/>
      <c r="THD226" s="1201"/>
      <c r="THE226" s="1201"/>
      <c r="THF226" s="1201"/>
      <c r="THG226" s="1201"/>
      <c r="THH226" s="1201"/>
      <c r="THI226" s="1201"/>
      <c r="THJ226" s="1201"/>
      <c r="THK226" s="1201"/>
      <c r="THL226" s="1201"/>
      <c r="THM226" s="1201"/>
      <c r="THN226" s="1201"/>
      <c r="THO226" s="1201"/>
      <c r="THP226" s="1201"/>
      <c r="THQ226" s="1201"/>
      <c r="THR226" s="1201"/>
      <c r="THS226" s="1201"/>
      <c r="THT226" s="1201"/>
      <c r="THU226" s="1201"/>
      <c r="THV226" s="1201"/>
      <c r="THW226" s="1201"/>
      <c r="THX226" s="1201"/>
      <c r="THY226" s="1201"/>
      <c r="THZ226" s="1201"/>
      <c r="TIA226" s="1201"/>
      <c r="TIB226" s="1201"/>
      <c r="TIC226" s="1201"/>
      <c r="TID226" s="1201"/>
      <c r="TIE226" s="1201"/>
      <c r="TIF226" s="1201"/>
      <c r="TIG226" s="1201"/>
      <c r="TIH226" s="1201"/>
      <c r="TII226" s="1201"/>
      <c r="TIJ226" s="1201"/>
      <c r="TIK226" s="1201"/>
      <c r="TIL226" s="1201"/>
      <c r="TIM226" s="1201"/>
      <c r="TIN226" s="1201"/>
      <c r="TIO226" s="1201"/>
      <c r="TIP226" s="1201"/>
      <c r="TIQ226" s="1201"/>
      <c r="TIR226" s="1201"/>
      <c r="TIS226" s="1201"/>
      <c r="TIT226" s="1201"/>
      <c r="TIU226" s="1201"/>
      <c r="TIV226" s="1201"/>
      <c r="TIW226" s="1201"/>
      <c r="TIX226" s="1201"/>
      <c r="TIY226" s="1201"/>
      <c r="TIZ226" s="1201"/>
      <c r="TJA226" s="1201"/>
      <c r="TJB226" s="1201"/>
      <c r="TJC226" s="1201"/>
      <c r="TJD226" s="1201"/>
      <c r="TJE226" s="1201"/>
      <c r="TJF226" s="1201"/>
      <c r="TJG226" s="1201"/>
      <c r="TJH226" s="1201"/>
      <c r="TJI226" s="1201"/>
      <c r="TJJ226" s="1201"/>
      <c r="TJK226" s="1201"/>
      <c r="TJL226" s="1201"/>
      <c r="TJM226" s="1201"/>
      <c r="TJN226" s="1201"/>
      <c r="TJO226" s="1201"/>
      <c r="TJP226" s="1201"/>
      <c r="TJQ226" s="1201"/>
      <c r="TJR226" s="1201"/>
      <c r="TJS226" s="1201"/>
      <c r="TJT226" s="1201"/>
      <c r="TJU226" s="1201"/>
      <c r="TJV226" s="1201"/>
      <c r="TJW226" s="1201"/>
      <c r="TJX226" s="1201"/>
      <c r="TJY226" s="1201"/>
      <c r="TJZ226" s="1201"/>
      <c r="TKA226" s="1201"/>
      <c r="TKB226" s="1201"/>
      <c r="TKC226" s="1201"/>
      <c r="TKD226" s="1201"/>
      <c r="TKE226" s="1201"/>
      <c r="TKF226" s="1201"/>
      <c r="TKG226" s="1201"/>
      <c r="TKH226" s="1201"/>
      <c r="TKI226" s="1201"/>
      <c r="TKJ226" s="1201"/>
      <c r="TKK226" s="1201"/>
      <c r="TKL226" s="1201"/>
      <c r="TKM226" s="1201"/>
      <c r="TKN226" s="1201"/>
      <c r="TKO226" s="1201"/>
      <c r="TKP226" s="1201"/>
      <c r="TKQ226" s="1201"/>
      <c r="TKR226" s="1201"/>
      <c r="TKS226" s="1201"/>
      <c r="TKT226" s="1201"/>
      <c r="TKU226" s="1201"/>
      <c r="TKV226" s="1201"/>
      <c r="TKW226" s="1201"/>
      <c r="TKX226" s="1201"/>
      <c r="TKY226" s="1201"/>
      <c r="TKZ226" s="1201"/>
      <c r="TLA226" s="1201"/>
      <c r="TLB226" s="1201"/>
      <c r="TLC226" s="1201"/>
      <c r="TLD226" s="1201"/>
      <c r="TLE226" s="1201"/>
      <c r="TLF226" s="1201"/>
      <c r="TLG226" s="1201"/>
      <c r="TLH226" s="1201"/>
      <c r="TLI226" s="1201"/>
      <c r="TLJ226" s="1201"/>
      <c r="TLK226" s="1201"/>
      <c r="TLL226" s="1201"/>
      <c r="TLM226" s="1201"/>
      <c r="TLN226" s="1201"/>
      <c r="TLO226" s="1201"/>
      <c r="TLP226" s="1201"/>
      <c r="TLQ226" s="1201"/>
      <c r="TLR226" s="1201"/>
      <c r="TLS226" s="1201"/>
      <c r="TLT226" s="1201"/>
      <c r="TLU226" s="1201"/>
      <c r="TLV226" s="1201"/>
      <c r="TLW226" s="1201"/>
      <c r="TLX226" s="1201"/>
      <c r="TLY226" s="1201"/>
      <c r="TLZ226" s="1201"/>
      <c r="TMA226" s="1201"/>
      <c r="TMB226" s="1201"/>
      <c r="TMC226" s="1201"/>
      <c r="TMD226" s="1201"/>
      <c r="TME226" s="1201"/>
      <c r="TMF226" s="1201"/>
      <c r="TMG226" s="1201"/>
      <c r="TMH226" s="1201"/>
      <c r="TMI226" s="1201"/>
      <c r="TMJ226" s="1201"/>
      <c r="TMK226" s="1201"/>
      <c r="TML226" s="1201"/>
      <c r="TMM226" s="1201"/>
      <c r="TMN226" s="1201"/>
      <c r="TMO226" s="1201"/>
      <c r="TMP226" s="1201"/>
      <c r="TMQ226" s="1201"/>
      <c r="TMR226" s="1201"/>
      <c r="TMS226" s="1201"/>
      <c r="TMT226" s="1201"/>
      <c r="TMU226" s="1201"/>
      <c r="TMV226" s="1201"/>
      <c r="TMW226" s="1201"/>
      <c r="TMX226" s="1201"/>
      <c r="TMY226" s="1201"/>
      <c r="TMZ226" s="1201"/>
      <c r="TNA226" s="1201"/>
      <c r="TNB226" s="1201"/>
      <c r="TNC226" s="1201"/>
      <c r="TND226" s="1201"/>
      <c r="TNE226" s="1201"/>
      <c r="TNF226" s="1201"/>
      <c r="TNG226" s="1201"/>
      <c r="TNH226" s="1201"/>
      <c r="TNI226" s="1201"/>
      <c r="TNJ226" s="1201"/>
      <c r="TNK226" s="1201"/>
      <c r="TNL226" s="1201"/>
      <c r="TNM226" s="1201"/>
      <c r="TNN226" s="1201"/>
      <c r="TNO226" s="1201"/>
      <c r="TNP226" s="1201"/>
      <c r="TNQ226" s="1201"/>
      <c r="TNR226" s="1201"/>
      <c r="TNS226" s="1201"/>
      <c r="TNT226" s="1201"/>
      <c r="TNU226" s="1201"/>
      <c r="TNV226" s="1201"/>
      <c r="TNW226" s="1201"/>
      <c r="TNX226" s="1201"/>
      <c r="TNY226" s="1201"/>
      <c r="TNZ226" s="1201"/>
      <c r="TOA226" s="1201"/>
      <c r="TOB226" s="1201"/>
      <c r="TOC226" s="1201"/>
      <c r="TOD226" s="1201"/>
      <c r="TOE226" s="1201"/>
      <c r="TOF226" s="1201"/>
      <c r="TOG226" s="1201"/>
      <c r="TOH226" s="1201"/>
      <c r="TOI226" s="1201"/>
      <c r="TOJ226" s="1201"/>
      <c r="TOK226" s="1201"/>
      <c r="TOL226" s="1201"/>
      <c r="TOM226" s="1201"/>
      <c r="TON226" s="1201"/>
      <c r="TOO226" s="1201"/>
      <c r="TOP226" s="1201"/>
      <c r="TOQ226" s="1201"/>
      <c r="TOR226" s="1201"/>
      <c r="TOS226" s="1201"/>
      <c r="TOT226" s="1201"/>
      <c r="TOU226" s="1201"/>
      <c r="TOV226" s="1201"/>
      <c r="TOW226" s="1201"/>
      <c r="TOX226" s="1201"/>
      <c r="TOY226" s="1201"/>
      <c r="TOZ226" s="1201"/>
      <c r="TPA226" s="1201"/>
      <c r="TPB226" s="1201"/>
      <c r="TPC226" s="1201"/>
      <c r="TPD226" s="1201"/>
      <c r="TPE226" s="1201"/>
      <c r="TPF226" s="1201"/>
      <c r="TPG226" s="1201"/>
      <c r="TPH226" s="1201"/>
      <c r="TPI226" s="1201"/>
      <c r="TPJ226" s="1201"/>
      <c r="TPK226" s="1201"/>
      <c r="TPL226" s="1201"/>
      <c r="TPM226" s="1201"/>
      <c r="TPN226" s="1201"/>
      <c r="TPO226" s="1201"/>
      <c r="TPP226" s="1201"/>
      <c r="TPQ226" s="1201"/>
      <c r="TPR226" s="1201"/>
      <c r="TPS226" s="1201"/>
      <c r="TPT226" s="1201"/>
      <c r="TPU226" s="1201"/>
      <c r="TPV226" s="1201"/>
      <c r="TPW226" s="1201"/>
      <c r="TPX226" s="1201"/>
      <c r="TPY226" s="1201"/>
      <c r="TPZ226" s="1201"/>
      <c r="TQA226" s="1201"/>
      <c r="TQB226" s="1201"/>
      <c r="TQC226" s="1201"/>
      <c r="TQD226" s="1201"/>
      <c r="TQE226" s="1201"/>
      <c r="TQF226" s="1201"/>
      <c r="TQG226" s="1201"/>
      <c r="TQH226" s="1201"/>
      <c r="TQI226" s="1201"/>
      <c r="TQJ226" s="1201"/>
      <c r="TQK226" s="1201"/>
      <c r="TQL226" s="1201"/>
      <c r="TQM226" s="1201"/>
      <c r="TQN226" s="1201"/>
      <c r="TQO226" s="1201"/>
      <c r="TQP226" s="1201"/>
      <c r="TQQ226" s="1201"/>
      <c r="TQR226" s="1201"/>
      <c r="TQS226" s="1201"/>
      <c r="TQT226" s="1201"/>
      <c r="TQU226" s="1201"/>
      <c r="TQV226" s="1201"/>
      <c r="TQW226" s="1201"/>
      <c r="TQX226" s="1201"/>
      <c r="TQY226" s="1201"/>
      <c r="TQZ226" s="1201"/>
      <c r="TRA226" s="1201"/>
      <c r="TRB226" s="1201"/>
      <c r="TRC226" s="1201"/>
      <c r="TRD226" s="1201"/>
      <c r="TRE226" s="1201"/>
      <c r="TRF226" s="1201"/>
      <c r="TRG226" s="1201"/>
      <c r="TRH226" s="1201"/>
      <c r="TRI226" s="1201"/>
      <c r="TRJ226" s="1201"/>
      <c r="TRK226" s="1201"/>
      <c r="TRL226" s="1201"/>
      <c r="TRM226" s="1201"/>
      <c r="TRN226" s="1201"/>
      <c r="TRO226" s="1201"/>
      <c r="TRP226" s="1201"/>
      <c r="TRQ226" s="1201"/>
      <c r="TRR226" s="1201"/>
      <c r="TRS226" s="1201"/>
      <c r="TRT226" s="1201"/>
      <c r="TRU226" s="1201"/>
      <c r="TRV226" s="1201"/>
      <c r="TRW226" s="1201"/>
      <c r="TRX226" s="1201"/>
      <c r="TRY226" s="1201"/>
      <c r="TRZ226" s="1201"/>
      <c r="TSA226" s="1201"/>
      <c r="TSB226" s="1201"/>
      <c r="TSC226" s="1201"/>
      <c r="TSD226" s="1201"/>
      <c r="TSE226" s="1201"/>
      <c r="TSF226" s="1201"/>
      <c r="TSG226" s="1201"/>
      <c r="TSH226" s="1201"/>
      <c r="TSI226" s="1201"/>
      <c r="TSJ226" s="1201"/>
      <c r="TSK226" s="1201"/>
      <c r="TSL226" s="1201"/>
      <c r="TSM226" s="1201"/>
      <c r="TSN226" s="1201"/>
      <c r="TSO226" s="1201"/>
      <c r="TSP226" s="1201"/>
      <c r="TSQ226" s="1201"/>
      <c r="TSR226" s="1201"/>
      <c r="TSS226" s="1201"/>
      <c r="TST226" s="1201"/>
      <c r="TSU226" s="1201"/>
      <c r="TSV226" s="1201"/>
      <c r="TSW226" s="1201"/>
      <c r="TSX226" s="1201"/>
      <c r="TSY226" s="1201"/>
      <c r="TSZ226" s="1201"/>
      <c r="TTA226" s="1201"/>
      <c r="TTB226" s="1201"/>
      <c r="TTC226" s="1201"/>
      <c r="TTD226" s="1201"/>
      <c r="TTE226" s="1201"/>
      <c r="TTF226" s="1201"/>
      <c r="TTG226" s="1201"/>
      <c r="TTH226" s="1201"/>
      <c r="TTI226" s="1201"/>
      <c r="TTJ226" s="1201"/>
      <c r="TTK226" s="1201"/>
      <c r="TTL226" s="1201"/>
      <c r="TTM226" s="1201"/>
      <c r="TTN226" s="1201"/>
      <c r="TTO226" s="1201"/>
      <c r="TTP226" s="1201"/>
      <c r="TTQ226" s="1201"/>
      <c r="TTR226" s="1201"/>
      <c r="TTS226" s="1201"/>
      <c r="TTT226" s="1201"/>
      <c r="TTU226" s="1201"/>
      <c r="TTV226" s="1201"/>
      <c r="TTW226" s="1201"/>
      <c r="TTX226" s="1201"/>
      <c r="TTY226" s="1201"/>
      <c r="TTZ226" s="1201"/>
      <c r="TUA226" s="1201"/>
      <c r="TUB226" s="1201"/>
      <c r="TUC226" s="1201"/>
      <c r="TUD226" s="1201"/>
      <c r="TUE226" s="1201"/>
      <c r="TUF226" s="1201"/>
      <c r="TUG226" s="1201"/>
      <c r="TUH226" s="1201"/>
      <c r="TUI226" s="1201"/>
      <c r="TUJ226" s="1201"/>
      <c r="TUK226" s="1201"/>
      <c r="TUL226" s="1201"/>
      <c r="TUM226" s="1201"/>
      <c r="TUN226" s="1201"/>
      <c r="TUO226" s="1201"/>
      <c r="TUP226" s="1201"/>
      <c r="TUQ226" s="1201"/>
      <c r="TUR226" s="1201"/>
      <c r="TUS226" s="1201"/>
      <c r="TUT226" s="1201"/>
      <c r="TUU226" s="1201"/>
      <c r="TUV226" s="1201"/>
      <c r="TUW226" s="1201"/>
      <c r="TUX226" s="1201"/>
      <c r="TUY226" s="1201"/>
      <c r="TUZ226" s="1201"/>
      <c r="TVA226" s="1201"/>
      <c r="TVB226" s="1201"/>
      <c r="TVC226" s="1201"/>
      <c r="TVD226" s="1201"/>
      <c r="TVE226" s="1201"/>
      <c r="TVF226" s="1201"/>
      <c r="TVG226" s="1201"/>
      <c r="TVH226" s="1201"/>
      <c r="TVI226" s="1201"/>
      <c r="TVJ226" s="1201"/>
      <c r="TVK226" s="1201"/>
      <c r="TVL226" s="1201"/>
      <c r="TVM226" s="1201"/>
      <c r="TVN226" s="1201"/>
      <c r="TVO226" s="1201"/>
      <c r="TVP226" s="1201"/>
      <c r="TVQ226" s="1201"/>
      <c r="TVR226" s="1201"/>
      <c r="TVS226" s="1201"/>
      <c r="TVT226" s="1201"/>
      <c r="TVU226" s="1201"/>
      <c r="TVV226" s="1201"/>
      <c r="TVW226" s="1201"/>
      <c r="TVX226" s="1201"/>
      <c r="TVY226" s="1201"/>
      <c r="TVZ226" s="1201"/>
      <c r="TWA226" s="1201"/>
      <c r="TWB226" s="1201"/>
      <c r="TWC226" s="1201"/>
      <c r="TWD226" s="1201"/>
      <c r="TWE226" s="1201"/>
      <c r="TWF226" s="1201"/>
      <c r="TWG226" s="1201"/>
      <c r="TWH226" s="1201"/>
      <c r="TWI226" s="1201"/>
      <c r="TWJ226" s="1201"/>
      <c r="TWK226" s="1201"/>
      <c r="TWL226" s="1201"/>
      <c r="TWM226" s="1201"/>
      <c r="TWN226" s="1201"/>
      <c r="TWO226" s="1201"/>
      <c r="TWP226" s="1201"/>
      <c r="TWQ226" s="1201"/>
      <c r="TWR226" s="1201"/>
      <c r="TWS226" s="1201"/>
      <c r="TWT226" s="1201"/>
      <c r="TWU226" s="1201"/>
      <c r="TWV226" s="1201"/>
      <c r="TWW226" s="1201"/>
      <c r="TWX226" s="1201"/>
      <c r="TWY226" s="1201"/>
      <c r="TWZ226" s="1201"/>
      <c r="TXA226" s="1201"/>
      <c r="TXB226" s="1201"/>
      <c r="TXC226" s="1201"/>
      <c r="TXD226" s="1201"/>
      <c r="TXE226" s="1201"/>
      <c r="TXF226" s="1201"/>
      <c r="TXG226" s="1201"/>
      <c r="TXH226" s="1201"/>
      <c r="TXI226" s="1201"/>
      <c r="TXJ226" s="1201"/>
      <c r="TXK226" s="1201"/>
      <c r="TXL226" s="1201"/>
      <c r="TXM226" s="1201"/>
      <c r="TXN226" s="1201"/>
      <c r="TXO226" s="1201"/>
      <c r="TXP226" s="1201"/>
      <c r="TXQ226" s="1201"/>
      <c r="TXR226" s="1201"/>
      <c r="TXS226" s="1201"/>
      <c r="TXT226" s="1201"/>
      <c r="TXU226" s="1201"/>
      <c r="TXV226" s="1201"/>
      <c r="TXW226" s="1201"/>
      <c r="TXX226" s="1201"/>
      <c r="TXY226" s="1201"/>
      <c r="TXZ226" s="1201"/>
      <c r="TYA226" s="1201"/>
      <c r="TYB226" s="1201"/>
      <c r="TYC226" s="1201"/>
      <c r="TYD226" s="1201"/>
      <c r="TYE226" s="1201"/>
      <c r="TYF226" s="1201"/>
      <c r="TYG226" s="1201"/>
      <c r="TYH226" s="1201"/>
      <c r="TYI226" s="1201"/>
      <c r="TYJ226" s="1201"/>
      <c r="TYK226" s="1201"/>
      <c r="TYL226" s="1201"/>
      <c r="TYM226" s="1201"/>
      <c r="TYN226" s="1201"/>
      <c r="TYO226" s="1201"/>
      <c r="TYP226" s="1201"/>
      <c r="TYQ226" s="1201"/>
      <c r="TYR226" s="1201"/>
      <c r="TYS226" s="1201"/>
      <c r="TYT226" s="1201"/>
      <c r="TYU226" s="1201"/>
      <c r="TYV226" s="1201"/>
      <c r="TYW226" s="1201"/>
      <c r="TYX226" s="1201"/>
      <c r="TYY226" s="1201"/>
      <c r="TYZ226" s="1201"/>
      <c r="TZA226" s="1201"/>
      <c r="TZB226" s="1201"/>
      <c r="TZC226" s="1201"/>
      <c r="TZD226" s="1201"/>
      <c r="TZE226" s="1201"/>
      <c r="TZF226" s="1201"/>
      <c r="TZG226" s="1201"/>
      <c r="TZH226" s="1201"/>
      <c r="TZI226" s="1201"/>
      <c r="TZJ226" s="1201"/>
      <c r="TZK226" s="1201"/>
      <c r="TZL226" s="1201"/>
      <c r="TZM226" s="1201"/>
      <c r="TZN226" s="1201"/>
      <c r="TZO226" s="1201"/>
      <c r="TZP226" s="1201"/>
      <c r="TZQ226" s="1201"/>
      <c r="TZR226" s="1201"/>
      <c r="TZS226" s="1201"/>
      <c r="TZT226" s="1201"/>
      <c r="TZU226" s="1201"/>
      <c r="TZV226" s="1201"/>
      <c r="TZW226" s="1201"/>
      <c r="TZX226" s="1201"/>
      <c r="TZY226" s="1201"/>
      <c r="TZZ226" s="1201"/>
      <c r="UAA226" s="1201"/>
      <c r="UAB226" s="1201"/>
      <c r="UAC226" s="1201"/>
      <c r="UAD226" s="1201"/>
      <c r="UAE226" s="1201"/>
      <c r="UAF226" s="1201"/>
      <c r="UAG226" s="1201"/>
      <c r="UAH226" s="1201"/>
      <c r="UAI226" s="1201"/>
      <c r="UAJ226" s="1201"/>
      <c r="UAK226" s="1201"/>
      <c r="UAL226" s="1201"/>
      <c r="UAM226" s="1201"/>
      <c r="UAN226" s="1201"/>
      <c r="UAO226" s="1201"/>
      <c r="UAP226" s="1201"/>
      <c r="UAQ226" s="1201"/>
      <c r="UAR226" s="1201"/>
      <c r="UAS226" s="1201"/>
      <c r="UAT226" s="1201"/>
      <c r="UAU226" s="1201"/>
      <c r="UAV226" s="1201"/>
      <c r="UAW226" s="1201"/>
      <c r="UAX226" s="1201"/>
      <c r="UAY226" s="1201"/>
      <c r="UAZ226" s="1201"/>
      <c r="UBA226" s="1201"/>
      <c r="UBB226" s="1201"/>
      <c r="UBC226" s="1201"/>
      <c r="UBD226" s="1201"/>
      <c r="UBE226" s="1201"/>
      <c r="UBF226" s="1201"/>
      <c r="UBG226" s="1201"/>
      <c r="UBH226" s="1201"/>
      <c r="UBI226" s="1201"/>
      <c r="UBJ226" s="1201"/>
      <c r="UBK226" s="1201"/>
      <c r="UBL226" s="1201"/>
      <c r="UBM226" s="1201"/>
      <c r="UBN226" s="1201"/>
      <c r="UBO226" s="1201"/>
      <c r="UBP226" s="1201"/>
      <c r="UBQ226" s="1201"/>
      <c r="UBR226" s="1201"/>
      <c r="UBS226" s="1201"/>
      <c r="UBT226" s="1201"/>
      <c r="UBU226" s="1201"/>
      <c r="UBV226" s="1201"/>
      <c r="UBW226" s="1201"/>
      <c r="UBX226" s="1201"/>
      <c r="UBY226" s="1201"/>
      <c r="UBZ226" s="1201"/>
      <c r="UCA226" s="1201"/>
      <c r="UCB226" s="1201"/>
      <c r="UCC226" s="1201"/>
      <c r="UCD226" s="1201"/>
      <c r="UCE226" s="1201"/>
      <c r="UCF226" s="1201"/>
      <c r="UCG226" s="1201"/>
      <c r="UCH226" s="1201"/>
      <c r="UCI226" s="1201"/>
      <c r="UCJ226" s="1201"/>
      <c r="UCK226" s="1201"/>
      <c r="UCL226" s="1201"/>
      <c r="UCM226" s="1201"/>
      <c r="UCN226" s="1201"/>
      <c r="UCO226" s="1201"/>
      <c r="UCP226" s="1201"/>
      <c r="UCQ226" s="1201"/>
      <c r="UCR226" s="1201"/>
      <c r="UCS226" s="1201"/>
      <c r="UCT226" s="1201"/>
      <c r="UCU226" s="1201"/>
      <c r="UCV226" s="1201"/>
      <c r="UCW226" s="1201"/>
      <c r="UCX226" s="1201"/>
      <c r="UCY226" s="1201"/>
      <c r="UCZ226" s="1201"/>
      <c r="UDA226" s="1201"/>
      <c r="UDB226" s="1201"/>
      <c r="UDC226" s="1201"/>
      <c r="UDD226" s="1201"/>
      <c r="UDE226" s="1201"/>
      <c r="UDF226" s="1201"/>
      <c r="UDG226" s="1201"/>
      <c r="UDH226" s="1201"/>
      <c r="UDI226" s="1201"/>
      <c r="UDJ226" s="1201"/>
      <c r="UDK226" s="1201"/>
      <c r="UDL226" s="1201"/>
      <c r="UDM226" s="1201"/>
      <c r="UDN226" s="1201"/>
      <c r="UDO226" s="1201"/>
      <c r="UDP226" s="1201"/>
      <c r="UDQ226" s="1201"/>
      <c r="UDR226" s="1201"/>
      <c r="UDS226" s="1201"/>
      <c r="UDT226" s="1201"/>
      <c r="UDU226" s="1201"/>
      <c r="UDV226" s="1201"/>
      <c r="UDW226" s="1201"/>
      <c r="UDX226" s="1201"/>
      <c r="UDY226" s="1201"/>
      <c r="UDZ226" s="1201"/>
      <c r="UEA226" s="1201"/>
      <c r="UEB226" s="1201"/>
      <c r="UEC226" s="1201"/>
      <c r="UED226" s="1201"/>
      <c r="UEE226" s="1201"/>
      <c r="UEF226" s="1201"/>
      <c r="UEG226" s="1201"/>
      <c r="UEH226" s="1201"/>
      <c r="UEI226" s="1201"/>
      <c r="UEJ226" s="1201"/>
      <c r="UEK226" s="1201"/>
      <c r="UEL226" s="1201"/>
      <c r="UEM226" s="1201"/>
      <c r="UEN226" s="1201"/>
      <c r="UEO226" s="1201"/>
      <c r="UEP226" s="1201"/>
      <c r="UEQ226" s="1201"/>
      <c r="UER226" s="1201"/>
      <c r="UES226" s="1201"/>
      <c r="UET226" s="1201"/>
      <c r="UEU226" s="1201"/>
      <c r="UEV226" s="1201"/>
      <c r="UEW226" s="1201"/>
      <c r="UEX226" s="1201"/>
      <c r="UEY226" s="1201"/>
      <c r="UEZ226" s="1201"/>
      <c r="UFA226" s="1201"/>
      <c r="UFB226" s="1201"/>
      <c r="UFC226" s="1201"/>
      <c r="UFD226" s="1201"/>
      <c r="UFE226" s="1201"/>
      <c r="UFF226" s="1201"/>
      <c r="UFG226" s="1201"/>
      <c r="UFH226" s="1201"/>
      <c r="UFI226" s="1201"/>
      <c r="UFJ226" s="1201"/>
      <c r="UFK226" s="1201"/>
      <c r="UFL226" s="1201"/>
      <c r="UFM226" s="1201"/>
      <c r="UFN226" s="1201"/>
      <c r="UFO226" s="1201"/>
      <c r="UFP226" s="1201"/>
      <c r="UFQ226" s="1201"/>
      <c r="UFR226" s="1201"/>
      <c r="UFS226" s="1201"/>
      <c r="UFT226" s="1201"/>
      <c r="UFU226" s="1201"/>
      <c r="UFV226" s="1201"/>
      <c r="UFW226" s="1201"/>
      <c r="UFX226" s="1201"/>
      <c r="UFY226" s="1201"/>
      <c r="UFZ226" s="1201"/>
      <c r="UGA226" s="1201"/>
      <c r="UGB226" s="1201"/>
      <c r="UGC226" s="1201"/>
      <c r="UGD226" s="1201"/>
      <c r="UGE226" s="1201"/>
      <c r="UGF226" s="1201"/>
      <c r="UGG226" s="1201"/>
      <c r="UGH226" s="1201"/>
      <c r="UGI226" s="1201"/>
      <c r="UGJ226" s="1201"/>
      <c r="UGK226" s="1201"/>
      <c r="UGL226" s="1201"/>
      <c r="UGM226" s="1201"/>
      <c r="UGN226" s="1201"/>
      <c r="UGO226" s="1201"/>
      <c r="UGP226" s="1201"/>
      <c r="UGQ226" s="1201"/>
      <c r="UGR226" s="1201"/>
      <c r="UGS226" s="1201"/>
      <c r="UGT226" s="1201"/>
      <c r="UGU226" s="1201"/>
      <c r="UGV226" s="1201"/>
      <c r="UGW226" s="1201"/>
      <c r="UGX226" s="1201"/>
      <c r="UGY226" s="1201"/>
      <c r="UGZ226" s="1201"/>
      <c r="UHA226" s="1201"/>
      <c r="UHB226" s="1201"/>
      <c r="UHC226" s="1201"/>
      <c r="UHD226" s="1201"/>
      <c r="UHE226" s="1201"/>
      <c r="UHF226" s="1201"/>
      <c r="UHG226" s="1201"/>
      <c r="UHH226" s="1201"/>
      <c r="UHI226" s="1201"/>
      <c r="UHJ226" s="1201"/>
      <c r="UHK226" s="1201"/>
      <c r="UHL226" s="1201"/>
      <c r="UHM226" s="1201"/>
      <c r="UHN226" s="1201"/>
      <c r="UHO226" s="1201"/>
      <c r="UHP226" s="1201"/>
      <c r="UHQ226" s="1201"/>
      <c r="UHR226" s="1201"/>
      <c r="UHS226" s="1201"/>
      <c r="UHT226" s="1201"/>
      <c r="UHU226" s="1201"/>
      <c r="UHV226" s="1201"/>
      <c r="UHW226" s="1201"/>
      <c r="UHX226" s="1201"/>
      <c r="UHY226" s="1201"/>
      <c r="UHZ226" s="1201"/>
      <c r="UIA226" s="1201"/>
      <c r="UIB226" s="1201"/>
      <c r="UIC226" s="1201"/>
      <c r="UID226" s="1201"/>
      <c r="UIE226" s="1201"/>
      <c r="UIF226" s="1201"/>
      <c r="UIG226" s="1201"/>
      <c r="UIH226" s="1201"/>
      <c r="UII226" s="1201"/>
      <c r="UIJ226" s="1201"/>
      <c r="UIK226" s="1201"/>
      <c r="UIL226" s="1201"/>
      <c r="UIM226" s="1201"/>
      <c r="UIN226" s="1201"/>
      <c r="UIO226" s="1201"/>
      <c r="UIP226" s="1201"/>
      <c r="UIQ226" s="1201"/>
      <c r="UIR226" s="1201"/>
      <c r="UIS226" s="1201"/>
      <c r="UIT226" s="1201"/>
      <c r="UIU226" s="1201"/>
      <c r="UIV226" s="1201"/>
      <c r="UIW226" s="1201"/>
      <c r="UIX226" s="1201"/>
      <c r="UIY226" s="1201"/>
      <c r="UIZ226" s="1201"/>
      <c r="UJA226" s="1201"/>
      <c r="UJB226" s="1201"/>
      <c r="UJC226" s="1201"/>
      <c r="UJD226" s="1201"/>
      <c r="UJE226" s="1201"/>
      <c r="UJF226" s="1201"/>
      <c r="UJG226" s="1201"/>
      <c r="UJH226" s="1201"/>
      <c r="UJI226" s="1201"/>
      <c r="UJJ226" s="1201"/>
      <c r="UJK226" s="1201"/>
      <c r="UJL226" s="1201"/>
      <c r="UJM226" s="1201"/>
      <c r="UJN226" s="1201"/>
      <c r="UJO226" s="1201"/>
      <c r="UJP226" s="1201"/>
      <c r="UJQ226" s="1201"/>
      <c r="UJR226" s="1201"/>
      <c r="UJS226" s="1201"/>
      <c r="UJT226" s="1201"/>
      <c r="UJU226" s="1201"/>
      <c r="UJV226" s="1201"/>
      <c r="UJW226" s="1201"/>
      <c r="UJX226" s="1201"/>
      <c r="UJY226" s="1201"/>
      <c r="UJZ226" s="1201"/>
      <c r="UKA226" s="1201"/>
      <c r="UKB226" s="1201"/>
      <c r="UKC226" s="1201"/>
      <c r="UKD226" s="1201"/>
      <c r="UKE226" s="1201"/>
      <c r="UKF226" s="1201"/>
      <c r="UKG226" s="1201"/>
      <c r="UKH226" s="1201"/>
      <c r="UKI226" s="1201"/>
      <c r="UKJ226" s="1201"/>
      <c r="UKK226" s="1201"/>
      <c r="UKL226" s="1201"/>
      <c r="UKM226" s="1201"/>
      <c r="UKN226" s="1201"/>
      <c r="UKO226" s="1201"/>
      <c r="UKP226" s="1201"/>
      <c r="UKQ226" s="1201"/>
      <c r="UKR226" s="1201"/>
      <c r="UKS226" s="1201"/>
      <c r="UKT226" s="1201"/>
      <c r="UKU226" s="1201"/>
      <c r="UKV226" s="1201"/>
      <c r="UKW226" s="1201"/>
      <c r="UKX226" s="1201"/>
      <c r="UKY226" s="1201"/>
      <c r="UKZ226" s="1201"/>
      <c r="ULA226" s="1201"/>
      <c r="ULB226" s="1201"/>
      <c r="ULC226" s="1201"/>
      <c r="ULD226" s="1201"/>
      <c r="ULE226" s="1201"/>
      <c r="ULF226" s="1201"/>
      <c r="ULG226" s="1201"/>
      <c r="ULH226" s="1201"/>
      <c r="ULI226" s="1201"/>
      <c r="ULJ226" s="1201"/>
      <c r="ULK226" s="1201"/>
      <c r="ULL226" s="1201"/>
      <c r="ULM226" s="1201"/>
      <c r="ULN226" s="1201"/>
      <c r="ULO226" s="1201"/>
      <c r="ULP226" s="1201"/>
      <c r="ULQ226" s="1201"/>
      <c r="ULR226" s="1201"/>
      <c r="ULS226" s="1201"/>
      <c r="ULT226" s="1201"/>
      <c r="ULU226" s="1201"/>
      <c r="ULV226" s="1201"/>
      <c r="ULW226" s="1201"/>
      <c r="ULX226" s="1201"/>
      <c r="ULY226" s="1201"/>
      <c r="ULZ226" s="1201"/>
      <c r="UMA226" s="1201"/>
      <c r="UMB226" s="1201"/>
      <c r="UMC226" s="1201"/>
      <c r="UMD226" s="1201"/>
      <c r="UME226" s="1201"/>
      <c r="UMF226" s="1201"/>
      <c r="UMG226" s="1201"/>
      <c r="UMH226" s="1201"/>
      <c r="UMI226" s="1201"/>
      <c r="UMJ226" s="1201"/>
      <c r="UMK226" s="1201"/>
      <c r="UML226" s="1201"/>
      <c r="UMM226" s="1201"/>
      <c r="UMN226" s="1201"/>
      <c r="UMO226" s="1201"/>
      <c r="UMP226" s="1201"/>
      <c r="UMQ226" s="1201"/>
      <c r="UMR226" s="1201"/>
      <c r="UMS226" s="1201"/>
      <c r="UMT226" s="1201"/>
      <c r="UMU226" s="1201"/>
      <c r="UMV226" s="1201"/>
      <c r="UMW226" s="1201"/>
      <c r="UMX226" s="1201"/>
      <c r="UMY226" s="1201"/>
      <c r="UMZ226" s="1201"/>
      <c r="UNA226" s="1201"/>
      <c r="UNB226" s="1201"/>
      <c r="UNC226" s="1201"/>
      <c r="UND226" s="1201"/>
      <c r="UNE226" s="1201"/>
      <c r="UNF226" s="1201"/>
      <c r="UNG226" s="1201"/>
      <c r="UNH226" s="1201"/>
      <c r="UNI226" s="1201"/>
      <c r="UNJ226" s="1201"/>
      <c r="UNK226" s="1201"/>
      <c r="UNL226" s="1201"/>
      <c r="UNM226" s="1201"/>
      <c r="UNN226" s="1201"/>
      <c r="UNO226" s="1201"/>
      <c r="UNP226" s="1201"/>
      <c r="UNQ226" s="1201"/>
      <c r="UNR226" s="1201"/>
      <c r="UNS226" s="1201"/>
      <c r="UNT226" s="1201"/>
      <c r="UNU226" s="1201"/>
      <c r="UNV226" s="1201"/>
      <c r="UNW226" s="1201"/>
      <c r="UNX226" s="1201"/>
      <c r="UNY226" s="1201"/>
      <c r="UNZ226" s="1201"/>
      <c r="UOA226" s="1201"/>
      <c r="UOB226" s="1201"/>
      <c r="UOC226" s="1201"/>
      <c r="UOD226" s="1201"/>
      <c r="UOE226" s="1201"/>
      <c r="UOF226" s="1201"/>
      <c r="UOG226" s="1201"/>
      <c r="UOH226" s="1201"/>
      <c r="UOI226" s="1201"/>
      <c r="UOJ226" s="1201"/>
      <c r="UOK226" s="1201"/>
      <c r="UOL226" s="1201"/>
      <c r="UOM226" s="1201"/>
      <c r="UON226" s="1201"/>
      <c r="UOO226" s="1201"/>
      <c r="UOP226" s="1201"/>
      <c r="UOQ226" s="1201"/>
      <c r="UOR226" s="1201"/>
      <c r="UOS226" s="1201"/>
      <c r="UOT226" s="1201"/>
      <c r="UOU226" s="1201"/>
      <c r="UOV226" s="1201"/>
      <c r="UOW226" s="1201"/>
      <c r="UOX226" s="1201"/>
      <c r="UOY226" s="1201"/>
      <c r="UOZ226" s="1201"/>
      <c r="UPA226" s="1201"/>
      <c r="UPB226" s="1201"/>
      <c r="UPC226" s="1201"/>
      <c r="UPD226" s="1201"/>
      <c r="UPE226" s="1201"/>
      <c r="UPF226" s="1201"/>
      <c r="UPG226" s="1201"/>
      <c r="UPH226" s="1201"/>
      <c r="UPI226" s="1201"/>
      <c r="UPJ226" s="1201"/>
      <c r="UPK226" s="1201"/>
      <c r="UPL226" s="1201"/>
      <c r="UPM226" s="1201"/>
      <c r="UPN226" s="1201"/>
      <c r="UPO226" s="1201"/>
      <c r="UPP226" s="1201"/>
      <c r="UPQ226" s="1201"/>
      <c r="UPR226" s="1201"/>
      <c r="UPS226" s="1201"/>
      <c r="UPT226" s="1201"/>
      <c r="UPU226" s="1201"/>
      <c r="UPV226" s="1201"/>
      <c r="UPW226" s="1201"/>
      <c r="UPX226" s="1201"/>
      <c r="UPY226" s="1201"/>
      <c r="UPZ226" s="1201"/>
      <c r="UQA226" s="1201"/>
      <c r="UQB226" s="1201"/>
      <c r="UQC226" s="1201"/>
      <c r="UQD226" s="1201"/>
      <c r="UQE226" s="1201"/>
      <c r="UQF226" s="1201"/>
      <c r="UQG226" s="1201"/>
      <c r="UQH226" s="1201"/>
      <c r="UQI226" s="1201"/>
      <c r="UQJ226" s="1201"/>
      <c r="UQK226" s="1201"/>
      <c r="UQL226" s="1201"/>
      <c r="UQM226" s="1201"/>
      <c r="UQN226" s="1201"/>
      <c r="UQO226" s="1201"/>
      <c r="UQP226" s="1201"/>
      <c r="UQQ226" s="1201"/>
      <c r="UQR226" s="1201"/>
      <c r="UQS226" s="1201"/>
      <c r="UQT226" s="1201"/>
      <c r="UQU226" s="1201"/>
      <c r="UQV226" s="1201"/>
      <c r="UQW226" s="1201"/>
      <c r="UQX226" s="1201"/>
      <c r="UQY226" s="1201"/>
      <c r="UQZ226" s="1201"/>
      <c r="URA226" s="1201"/>
      <c r="URB226" s="1201"/>
      <c r="URC226" s="1201"/>
      <c r="URD226" s="1201"/>
      <c r="URE226" s="1201"/>
      <c r="URF226" s="1201"/>
      <c r="URG226" s="1201"/>
      <c r="URH226" s="1201"/>
      <c r="URI226" s="1201"/>
      <c r="URJ226" s="1201"/>
      <c r="URK226" s="1201"/>
      <c r="URL226" s="1201"/>
      <c r="URM226" s="1201"/>
      <c r="URN226" s="1201"/>
      <c r="URO226" s="1201"/>
      <c r="URP226" s="1201"/>
      <c r="URQ226" s="1201"/>
      <c r="URR226" s="1201"/>
      <c r="URS226" s="1201"/>
      <c r="URT226" s="1201"/>
      <c r="URU226" s="1201"/>
      <c r="URV226" s="1201"/>
      <c r="URW226" s="1201"/>
      <c r="URX226" s="1201"/>
      <c r="URY226" s="1201"/>
      <c r="URZ226" s="1201"/>
      <c r="USA226" s="1201"/>
      <c r="USB226" s="1201"/>
      <c r="USC226" s="1201"/>
      <c r="USD226" s="1201"/>
      <c r="USE226" s="1201"/>
      <c r="USF226" s="1201"/>
      <c r="USG226" s="1201"/>
      <c r="USH226" s="1201"/>
      <c r="USI226" s="1201"/>
      <c r="USJ226" s="1201"/>
      <c r="USK226" s="1201"/>
      <c r="USL226" s="1201"/>
      <c r="USM226" s="1201"/>
      <c r="USN226" s="1201"/>
      <c r="USO226" s="1201"/>
      <c r="USP226" s="1201"/>
      <c r="USQ226" s="1201"/>
      <c r="USR226" s="1201"/>
      <c r="USS226" s="1201"/>
      <c r="UST226" s="1201"/>
      <c r="USU226" s="1201"/>
      <c r="USV226" s="1201"/>
      <c r="USW226" s="1201"/>
      <c r="USX226" s="1201"/>
      <c r="USY226" s="1201"/>
      <c r="USZ226" s="1201"/>
      <c r="UTA226" s="1201"/>
      <c r="UTB226" s="1201"/>
      <c r="UTC226" s="1201"/>
      <c r="UTD226" s="1201"/>
      <c r="UTE226" s="1201"/>
      <c r="UTF226" s="1201"/>
      <c r="UTG226" s="1201"/>
      <c r="UTH226" s="1201"/>
      <c r="UTI226" s="1201"/>
      <c r="UTJ226" s="1201"/>
      <c r="UTK226" s="1201"/>
      <c r="UTL226" s="1201"/>
      <c r="UTM226" s="1201"/>
      <c r="UTN226" s="1201"/>
      <c r="UTO226" s="1201"/>
      <c r="UTP226" s="1201"/>
      <c r="UTQ226" s="1201"/>
      <c r="UTR226" s="1201"/>
      <c r="UTS226" s="1201"/>
      <c r="UTT226" s="1201"/>
      <c r="UTU226" s="1201"/>
      <c r="UTV226" s="1201"/>
      <c r="UTW226" s="1201"/>
      <c r="UTX226" s="1201"/>
      <c r="UTY226" s="1201"/>
      <c r="UTZ226" s="1201"/>
      <c r="UUA226" s="1201"/>
      <c r="UUB226" s="1201"/>
      <c r="UUC226" s="1201"/>
      <c r="UUD226" s="1201"/>
      <c r="UUE226" s="1201"/>
      <c r="UUF226" s="1201"/>
      <c r="UUG226" s="1201"/>
      <c r="UUH226" s="1201"/>
      <c r="UUI226" s="1201"/>
      <c r="UUJ226" s="1201"/>
      <c r="UUK226" s="1201"/>
      <c r="UUL226" s="1201"/>
      <c r="UUM226" s="1201"/>
      <c r="UUN226" s="1201"/>
      <c r="UUO226" s="1201"/>
      <c r="UUP226" s="1201"/>
      <c r="UUQ226" s="1201"/>
      <c r="UUR226" s="1201"/>
      <c r="UUS226" s="1201"/>
      <c r="UUT226" s="1201"/>
      <c r="UUU226" s="1201"/>
      <c r="UUV226" s="1201"/>
      <c r="UUW226" s="1201"/>
      <c r="UUX226" s="1201"/>
      <c r="UUY226" s="1201"/>
      <c r="UUZ226" s="1201"/>
      <c r="UVA226" s="1201"/>
      <c r="UVB226" s="1201"/>
      <c r="UVC226" s="1201"/>
      <c r="UVD226" s="1201"/>
      <c r="UVE226" s="1201"/>
      <c r="UVF226" s="1201"/>
      <c r="UVG226" s="1201"/>
      <c r="UVH226" s="1201"/>
      <c r="UVI226" s="1201"/>
      <c r="UVJ226" s="1201"/>
      <c r="UVK226" s="1201"/>
      <c r="UVL226" s="1201"/>
      <c r="UVM226" s="1201"/>
      <c r="UVN226" s="1201"/>
      <c r="UVO226" s="1201"/>
      <c r="UVP226" s="1201"/>
      <c r="UVQ226" s="1201"/>
      <c r="UVR226" s="1201"/>
      <c r="UVS226" s="1201"/>
      <c r="UVT226" s="1201"/>
      <c r="UVU226" s="1201"/>
      <c r="UVV226" s="1201"/>
      <c r="UVW226" s="1201"/>
      <c r="UVX226" s="1201"/>
      <c r="UVY226" s="1201"/>
      <c r="UVZ226" s="1201"/>
      <c r="UWA226" s="1201"/>
      <c r="UWB226" s="1201"/>
      <c r="UWC226" s="1201"/>
      <c r="UWD226" s="1201"/>
      <c r="UWE226" s="1201"/>
      <c r="UWF226" s="1201"/>
      <c r="UWG226" s="1201"/>
      <c r="UWH226" s="1201"/>
      <c r="UWI226" s="1201"/>
      <c r="UWJ226" s="1201"/>
      <c r="UWK226" s="1201"/>
      <c r="UWL226" s="1201"/>
      <c r="UWM226" s="1201"/>
      <c r="UWN226" s="1201"/>
      <c r="UWO226" s="1201"/>
      <c r="UWP226" s="1201"/>
      <c r="UWQ226" s="1201"/>
      <c r="UWR226" s="1201"/>
      <c r="UWS226" s="1201"/>
      <c r="UWT226" s="1201"/>
      <c r="UWU226" s="1201"/>
      <c r="UWV226" s="1201"/>
      <c r="UWW226" s="1201"/>
      <c r="UWX226" s="1201"/>
      <c r="UWY226" s="1201"/>
      <c r="UWZ226" s="1201"/>
      <c r="UXA226" s="1201"/>
      <c r="UXB226" s="1201"/>
      <c r="UXC226" s="1201"/>
      <c r="UXD226" s="1201"/>
      <c r="UXE226" s="1201"/>
      <c r="UXF226" s="1201"/>
      <c r="UXG226" s="1201"/>
      <c r="UXH226" s="1201"/>
      <c r="UXI226" s="1201"/>
      <c r="UXJ226" s="1201"/>
      <c r="UXK226" s="1201"/>
      <c r="UXL226" s="1201"/>
      <c r="UXM226" s="1201"/>
      <c r="UXN226" s="1201"/>
      <c r="UXO226" s="1201"/>
      <c r="UXP226" s="1201"/>
      <c r="UXQ226" s="1201"/>
      <c r="UXR226" s="1201"/>
      <c r="UXS226" s="1201"/>
      <c r="UXT226" s="1201"/>
      <c r="UXU226" s="1201"/>
      <c r="UXV226" s="1201"/>
      <c r="UXW226" s="1201"/>
      <c r="UXX226" s="1201"/>
      <c r="UXY226" s="1201"/>
      <c r="UXZ226" s="1201"/>
      <c r="UYA226" s="1201"/>
      <c r="UYB226" s="1201"/>
      <c r="UYC226" s="1201"/>
      <c r="UYD226" s="1201"/>
      <c r="UYE226" s="1201"/>
      <c r="UYF226" s="1201"/>
      <c r="UYG226" s="1201"/>
      <c r="UYH226" s="1201"/>
      <c r="UYI226" s="1201"/>
      <c r="UYJ226" s="1201"/>
      <c r="UYK226" s="1201"/>
      <c r="UYL226" s="1201"/>
      <c r="UYM226" s="1201"/>
      <c r="UYN226" s="1201"/>
      <c r="UYO226" s="1201"/>
      <c r="UYP226" s="1201"/>
      <c r="UYQ226" s="1201"/>
      <c r="UYR226" s="1201"/>
      <c r="UYS226" s="1201"/>
      <c r="UYT226" s="1201"/>
      <c r="UYU226" s="1201"/>
      <c r="UYV226" s="1201"/>
      <c r="UYW226" s="1201"/>
      <c r="UYX226" s="1201"/>
      <c r="UYY226" s="1201"/>
      <c r="UYZ226" s="1201"/>
      <c r="UZA226" s="1201"/>
      <c r="UZB226" s="1201"/>
      <c r="UZC226" s="1201"/>
      <c r="UZD226" s="1201"/>
      <c r="UZE226" s="1201"/>
      <c r="UZF226" s="1201"/>
      <c r="UZG226" s="1201"/>
      <c r="UZH226" s="1201"/>
      <c r="UZI226" s="1201"/>
      <c r="UZJ226" s="1201"/>
      <c r="UZK226" s="1201"/>
      <c r="UZL226" s="1201"/>
      <c r="UZM226" s="1201"/>
      <c r="UZN226" s="1201"/>
      <c r="UZO226" s="1201"/>
      <c r="UZP226" s="1201"/>
      <c r="UZQ226" s="1201"/>
      <c r="UZR226" s="1201"/>
      <c r="UZS226" s="1201"/>
      <c r="UZT226" s="1201"/>
      <c r="UZU226" s="1201"/>
      <c r="UZV226" s="1201"/>
      <c r="UZW226" s="1201"/>
      <c r="UZX226" s="1201"/>
      <c r="UZY226" s="1201"/>
      <c r="UZZ226" s="1201"/>
      <c r="VAA226" s="1201"/>
      <c r="VAB226" s="1201"/>
      <c r="VAC226" s="1201"/>
      <c r="VAD226" s="1201"/>
      <c r="VAE226" s="1201"/>
      <c r="VAF226" s="1201"/>
      <c r="VAG226" s="1201"/>
      <c r="VAH226" s="1201"/>
      <c r="VAI226" s="1201"/>
      <c r="VAJ226" s="1201"/>
      <c r="VAK226" s="1201"/>
      <c r="VAL226" s="1201"/>
      <c r="VAM226" s="1201"/>
      <c r="VAN226" s="1201"/>
      <c r="VAO226" s="1201"/>
      <c r="VAP226" s="1201"/>
      <c r="VAQ226" s="1201"/>
      <c r="VAR226" s="1201"/>
      <c r="VAS226" s="1201"/>
      <c r="VAT226" s="1201"/>
      <c r="VAU226" s="1201"/>
      <c r="VAV226" s="1201"/>
      <c r="VAW226" s="1201"/>
      <c r="VAX226" s="1201"/>
      <c r="VAY226" s="1201"/>
      <c r="VAZ226" s="1201"/>
      <c r="VBA226" s="1201"/>
      <c r="VBB226" s="1201"/>
      <c r="VBC226" s="1201"/>
      <c r="VBD226" s="1201"/>
      <c r="VBE226" s="1201"/>
      <c r="VBF226" s="1201"/>
      <c r="VBG226" s="1201"/>
      <c r="VBH226" s="1201"/>
      <c r="VBI226" s="1201"/>
      <c r="VBJ226" s="1201"/>
      <c r="VBK226" s="1201"/>
      <c r="VBL226" s="1201"/>
      <c r="VBM226" s="1201"/>
      <c r="VBN226" s="1201"/>
      <c r="VBO226" s="1201"/>
      <c r="VBP226" s="1201"/>
      <c r="VBQ226" s="1201"/>
      <c r="VBR226" s="1201"/>
      <c r="VBS226" s="1201"/>
      <c r="VBT226" s="1201"/>
      <c r="VBU226" s="1201"/>
      <c r="VBV226" s="1201"/>
      <c r="VBW226" s="1201"/>
      <c r="VBX226" s="1201"/>
      <c r="VBY226" s="1201"/>
      <c r="VBZ226" s="1201"/>
      <c r="VCA226" s="1201"/>
      <c r="VCB226" s="1201"/>
      <c r="VCC226" s="1201"/>
      <c r="VCD226" s="1201"/>
      <c r="VCE226" s="1201"/>
      <c r="VCF226" s="1201"/>
      <c r="VCG226" s="1201"/>
      <c r="VCH226" s="1201"/>
      <c r="VCI226" s="1201"/>
      <c r="VCJ226" s="1201"/>
      <c r="VCK226" s="1201"/>
      <c r="VCL226" s="1201"/>
      <c r="VCM226" s="1201"/>
      <c r="VCN226" s="1201"/>
      <c r="VCO226" s="1201"/>
      <c r="VCP226" s="1201"/>
      <c r="VCQ226" s="1201"/>
      <c r="VCR226" s="1201"/>
      <c r="VCS226" s="1201"/>
      <c r="VCT226" s="1201"/>
      <c r="VCU226" s="1201"/>
      <c r="VCV226" s="1201"/>
      <c r="VCW226" s="1201"/>
      <c r="VCX226" s="1201"/>
      <c r="VCY226" s="1201"/>
      <c r="VCZ226" s="1201"/>
      <c r="VDA226" s="1201"/>
      <c r="VDB226" s="1201"/>
      <c r="VDC226" s="1201"/>
      <c r="VDD226" s="1201"/>
      <c r="VDE226" s="1201"/>
      <c r="VDF226" s="1201"/>
      <c r="VDG226" s="1201"/>
      <c r="VDH226" s="1201"/>
      <c r="VDI226" s="1201"/>
      <c r="VDJ226" s="1201"/>
      <c r="VDK226" s="1201"/>
      <c r="VDL226" s="1201"/>
      <c r="VDM226" s="1201"/>
      <c r="VDN226" s="1201"/>
      <c r="VDO226" s="1201"/>
      <c r="VDP226" s="1201"/>
      <c r="VDQ226" s="1201"/>
      <c r="VDR226" s="1201"/>
      <c r="VDS226" s="1201"/>
      <c r="VDT226" s="1201"/>
      <c r="VDU226" s="1201"/>
      <c r="VDV226" s="1201"/>
      <c r="VDW226" s="1201"/>
      <c r="VDX226" s="1201"/>
      <c r="VDY226" s="1201"/>
      <c r="VDZ226" s="1201"/>
      <c r="VEA226" s="1201"/>
      <c r="VEB226" s="1201"/>
      <c r="VEC226" s="1201"/>
      <c r="VED226" s="1201"/>
      <c r="VEE226" s="1201"/>
      <c r="VEF226" s="1201"/>
      <c r="VEG226" s="1201"/>
      <c r="VEH226" s="1201"/>
      <c r="VEI226" s="1201"/>
      <c r="VEJ226" s="1201"/>
      <c r="VEK226" s="1201"/>
      <c r="VEL226" s="1201"/>
      <c r="VEM226" s="1201"/>
      <c r="VEN226" s="1201"/>
      <c r="VEO226" s="1201"/>
      <c r="VEP226" s="1201"/>
      <c r="VEQ226" s="1201"/>
      <c r="VER226" s="1201"/>
      <c r="VES226" s="1201"/>
      <c r="VET226" s="1201"/>
      <c r="VEU226" s="1201"/>
      <c r="VEV226" s="1201"/>
      <c r="VEW226" s="1201"/>
      <c r="VEX226" s="1201"/>
      <c r="VEY226" s="1201"/>
      <c r="VEZ226" s="1201"/>
      <c r="VFA226" s="1201"/>
      <c r="VFB226" s="1201"/>
      <c r="VFC226" s="1201"/>
      <c r="VFD226" s="1201"/>
      <c r="VFE226" s="1201"/>
      <c r="VFF226" s="1201"/>
      <c r="VFG226" s="1201"/>
      <c r="VFH226" s="1201"/>
      <c r="VFI226" s="1201"/>
      <c r="VFJ226" s="1201"/>
      <c r="VFK226" s="1201"/>
      <c r="VFL226" s="1201"/>
      <c r="VFM226" s="1201"/>
      <c r="VFN226" s="1201"/>
      <c r="VFO226" s="1201"/>
      <c r="VFP226" s="1201"/>
      <c r="VFQ226" s="1201"/>
      <c r="VFR226" s="1201"/>
      <c r="VFS226" s="1201"/>
      <c r="VFT226" s="1201"/>
      <c r="VFU226" s="1201"/>
      <c r="VFV226" s="1201"/>
      <c r="VFW226" s="1201"/>
      <c r="VFX226" s="1201"/>
      <c r="VFY226" s="1201"/>
      <c r="VFZ226" s="1201"/>
      <c r="VGA226" s="1201"/>
      <c r="VGB226" s="1201"/>
      <c r="VGC226" s="1201"/>
      <c r="VGD226" s="1201"/>
      <c r="VGE226" s="1201"/>
      <c r="VGF226" s="1201"/>
      <c r="VGG226" s="1201"/>
      <c r="VGH226" s="1201"/>
      <c r="VGI226" s="1201"/>
      <c r="VGJ226" s="1201"/>
      <c r="VGK226" s="1201"/>
      <c r="VGL226" s="1201"/>
      <c r="VGM226" s="1201"/>
      <c r="VGN226" s="1201"/>
      <c r="VGO226" s="1201"/>
      <c r="VGP226" s="1201"/>
      <c r="VGQ226" s="1201"/>
      <c r="VGR226" s="1201"/>
      <c r="VGS226" s="1201"/>
      <c r="VGT226" s="1201"/>
      <c r="VGU226" s="1201"/>
      <c r="VGV226" s="1201"/>
      <c r="VGW226" s="1201"/>
      <c r="VGX226" s="1201"/>
      <c r="VGY226" s="1201"/>
      <c r="VGZ226" s="1201"/>
      <c r="VHA226" s="1201"/>
      <c r="VHB226" s="1201"/>
      <c r="VHC226" s="1201"/>
      <c r="VHD226" s="1201"/>
      <c r="VHE226" s="1201"/>
      <c r="VHF226" s="1201"/>
      <c r="VHG226" s="1201"/>
      <c r="VHH226" s="1201"/>
      <c r="VHI226" s="1201"/>
      <c r="VHJ226" s="1201"/>
      <c r="VHK226" s="1201"/>
      <c r="VHL226" s="1201"/>
      <c r="VHM226" s="1201"/>
      <c r="VHN226" s="1201"/>
      <c r="VHO226" s="1201"/>
      <c r="VHP226" s="1201"/>
      <c r="VHQ226" s="1201"/>
      <c r="VHR226" s="1201"/>
      <c r="VHS226" s="1201"/>
      <c r="VHT226" s="1201"/>
      <c r="VHU226" s="1201"/>
      <c r="VHV226" s="1201"/>
      <c r="VHW226" s="1201"/>
      <c r="VHX226" s="1201"/>
      <c r="VHY226" s="1201"/>
      <c r="VHZ226" s="1201"/>
      <c r="VIA226" s="1201"/>
      <c r="VIB226" s="1201"/>
      <c r="VIC226" s="1201"/>
      <c r="VID226" s="1201"/>
      <c r="VIE226" s="1201"/>
      <c r="VIF226" s="1201"/>
      <c r="VIG226" s="1201"/>
      <c r="VIH226" s="1201"/>
      <c r="VII226" s="1201"/>
      <c r="VIJ226" s="1201"/>
      <c r="VIK226" s="1201"/>
      <c r="VIL226" s="1201"/>
      <c r="VIM226" s="1201"/>
      <c r="VIN226" s="1201"/>
      <c r="VIO226" s="1201"/>
      <c r="VIP226" s="1201"/>
      <c r="VIQ226" s="1201"/>
      <c r="VIR226" s="1201"/>
      <c r="VIS226" s="1201"/>
      <c r="VIT226" s="1201"/>
      <c r="VIU226" s="1201"/>
      <c r="VIV226" s="1201"/>
      <c r="VIW226" s="1201"/>
      <c r="VIX226" s="1201"/>
      <c r="VIY226" s="1201"/>
      <c r="VIZ226" s="1201"/>
      <c r="VJA226" s="1201"/>
      <c r="VJB226" s="1201"/>
      <c r="VJC226" s="1201"/>
      <c r="VJD226" s="1201"/>
      <c r="VJE226" s="1201"/>
      <c r="VJF226" s="1201"/>
      <c r="VJG226" s="1201"/>
      <c r="VJH226" s="1201"/>
      <c r="VJI226" s="1201"/>
      <c r="VJJ226" s="1201"/>
      <c r="VJK226" s="1201"/>
      <c r="VJL226" s="1201"/>
      <c r="VJM226" s="1201"/>
      <c r="VJN226" s="1201"/>
      <c r="VJO226" s="1201"/>
      <c r="VJP226" s="1201"/>
      <c r="VJQ226" s="1201"/>
      <c r="VJR226" s="1201"/>
      <c r="VJS226" s="1201"/>
      <c r="VJT226" s="1201"/>
      <c r="VJU226" s="1201"/>
      <c r="VJV226" s="1201"/>
      <c r="VJW226" s="1201"/>
      <c r="VJX226" s="1201"/>
      <c r="VJY226" s="1201"/>
      <c r="VJZ226" s="1201"/>
      <c r="VKA226" s="1201"/>
      <c r="VKB226" s="1201"/>
      <c r="VKC226" s="1201"/>
      <c r="VKD226" s="1201"/>
      <c r="VKE226" s="1201"/>
      <c r="VKF226" s="1201"/>
      <c r="VKG226" s="1201"/>
      <c r="VKH226" s="1201"/>
      <c r="VKI226" s="1201"/>
      <c r="VKJ226" s="1201"/>
      <c r="VKK226" s="1201"/>
      <c r="VKL226" s="1201"/>
      <c r="VKM226" s="1201"/>
      <c r="VKN226" s="1201"/>
      <c r="VKO226" s="1201"/>
      <c r="VKP226" s="1201"/>
      <c r="VKQ226" s="1201"/>
      <c r="VKR226" s="1201"/>
      <c r="VKS226" s="1201"/>
      <c r="VKT226" s="1201"/>
      <c r="VKU226" s="1201"/>
      <c r="VKV226" s="1201"/>
      <c r="VKW226" s="1201"/>
      <c r="VKX226" s="1201"/>
      <c r="VKY226" s="1201"/>
      <c r="VKZ226" s="1201"/>
      <c r="VLA226" s="1201"/>
      <c r="VLB226" s="1201"/>
      <c r="VLC226" s="1201"/>
      <c r="VLD226" s="1201"/>
      <c r="VLE226" s="1201"/>
      <c r="VLF226" s="1201"/>
      <c r="VLG226" s="1201"/>
      <c r="VLH226" s="1201"/>
      <c r="VLI226" s="1201"/>
      <c r="VLJ226" s="1201"/>
      <c r="VLK226" s="1201"/>
      <c r="VLL226" s="1201"/>
      <c r="VLM226" s="1201"/>
      <c r="VLN226" s="1201"/>
      <c r="VLO226" s="1201"/>
      <c r="VLP226" s="1201"/>
      <c r="VLQ226" s="1201"/>
      <c r="VLR226" s="1201"/>
      <c r="VLS226" s="1201"/>
      <c r="VLT226" s="1201"/>
      <c r="VLU226" s="1201"/>
      <c r="VLV226" s="1201"/>
      <c r="VLW226" s="1201"/>
      <c r="VLX226" s="1201"/>
      <c r="VLY226" s="1201"/>
      <c r="VLZ226" s="1201"/>
      <c r="VMA226" s="1201"/>
      <c r="VMB226" s="1201"/>
      <c r="VMC226" s="1201"/>
      <c r="VMD226" s="1201"/>
      <c r="VME226" s="1201"/>
      <c r="VMF226" s="1201"/>
      <c r="VMG226" s="1201"/>
      <c r="VMH226" s="1201"/>
      <c r="VMI226" s="1201"/>
      <c r="VMJ226" s="1201"/>
      <c r="VMK226" s="1201"/>
      <c r="VML226" s="1201"/>
      <c r="VMM226" s="1201"/>
      <c r="VMN226" s="1201"/>
      <c r="VMO226" s="1201"/>
      <c r="VMP226" s="1201"/>
      <c r="VMQ226" s="1201"/>
      <c r="VMR226" s="1201"/>
      <c r="VMS226" s="1201"/>
      <c r="VMT226" s="1201"/>
      <c r="VMU226" s="1201"/>
      <c r="VMV226" s="1201"/>
      <c r="VMW226" s="1201"/>
      <c r="VMX226" s="1201"/>
      <c r="VMY226" s="1201"/>
      <c r="VMZ226" s="1201"/>
      <c r="VNA226" s="1201"/>
      <c r="VNB226" s="1201"/>
      <c r="VNC226" s="1201"/>
      <c r="VND226" s="1201"/>
      <c r="VNE226" s="1201"/>
      <c r="VNF226" s="1201"/>
      <c r="VNG226" s="1201"/>
      <c r="VNH226" s="1201"/>
      <c r="VNI226" s="1201"/>
      <c r="VNJ226" s="1201"/>
      <c r="VNK226" s="1201"/>
      <c r="VNL226" s="1201"/>
      <c r="VNM226" s="1201"/>
      <c r="VNN226" s="1201"/>
      <c r="VNO226" s="1201"/>
      <c r="VNP226" s="1201"/>
      <c r="VNQ226" s="1201"/>
      <c r="VNR226" s="1201"/>
      <c r="VNS226" s="1201"/>
      <c r="VNT226" s="1201"/>
      <c r="VNU226" s="1201"/>
      <c r="VNV226" s="1201"/>
      <c r="VNW226" s="1201"/>
      <c r="VNX226" s="1201"/>
      <c r="VNY226" s="1201"/>
      <c r="VNZ226" s="1201"/>
      <c r="VOA226" s="1201"/>
      <c r="VOB226" s="1201"/>
      <c r="VOC226" s="1201"/>
      <c r="VOD226" s="1201"/>
      <c r="VOE226" s="1201"/>
      <c r="VOF226" s="1201"/>
      <c r="VOG226" s="1201"/>
      <c r="VOH226" s="1201"/>
      <c r="VOI226" s="1201"/>
      <c r="VOJ226" s="1201"/>
      <c r="VOK226" s="1201"/>
      <c r="VOL226" s="1201"/>
      <c r="VOM226" s="1201"/>
      <c r="VON226" s="1201"/>
      <c r="VOO226" s="1201"/>
      <c r="VOP226" s="1201"/>
      <c r="VOQ226" s="1201"/>
      <c r="VOR226" s="1201"/>
      <c r="VOS226" s="1201"/>
      <c r="VOT226" s="1201"/>
      <c r="VOU226" s="1201"/>
      <c r="VOV226" s="1201"/>
      <c r="VOW226" s="1201"/>
      <c r="VOX226" s="1201"/>
      <c r="VOY226" s="1201"/>
      <c r="VOZ226" s="1201"/>
      <c r="VPA226" s="1201"/>
      <c r="VPB226" s="1201"/>
      <c r="VPC226" s="1201"/>
      <c r="VPD226" s="1201"/>
      <c r="VPE226" s="1201"/>
      <c r="VPF226" s="1201"/>
      <c r="VPG226" s="1201"/>
      <c r="VPH226" s="1201"/>
      <c r="VPI226" s="1201"/>
      <c r="VPJ226" s="1201"/>
      <c r="VPK226" s="1201"/>
      <c r="VPL226" s="1201"/>
      <c r="VPM226" s="1201"/>
      <c r="VPN226" s="1201"/>
      <c r="VPO226" s="1201"/>
      <c r="VPP226" s="1201"/>
      <c r="VPQ226" s="1201"/>
      <c r="VPR226" s="1201"/>
      <c r="VPS226" s="1201"/>
      <c r="VPT226" s="1201"/>
      <c r="VPU226" s="1201"/>
      <c r="VPV226" s="1201"/>
      <c r="VPW226" s="1201"/>
      <c r="VPX226" s="1201"/>
      <c r="VPY226" s="1201"/>
      <c r="VPZ226" s="1201"/>
      <c r="VQA226" s="1201"/>
      <c r="VQB226" s="1201"/>
      <c r="VQC226" s="1201"/>
      <c r="VQD226" s="1201"/>
      <c r="VQE226" s="1201"/>
      <c r="VQF226" s="1201"/>
      <c r="VQG226" s="1201"/>
      <c r="VQH226" s="1201"/>
      <c r="VQI226" s="1201"/>
      <c r="VQJ226" s="1201"/>
      <c r="VQK226" s="1201"/>
      <c r="VQL226" s="1201"/>
      <c r="VQM226" s="1201"/>
      <c r="VQN226" s="1201"/>
      <c r="VQO226" s="1201"/>
      <c r="VQP226" s="1201"/>
      <c r="VQQ226" s="1201"/>
      <c r="VQR226" s="1201"/>
      <c r="VQS226" s="1201"/>
      <c r="VQT226" s="1201"/>
      <c r="VQU226" s="1201"/>
      <c r="VQV226" s="1201"/>
      <c r="VQW226" s="1201"/>
      <c r="VQX226" s="1201"/>
      <c r="VQY226" s="1201"/>
      <c r="VQZ226" s="1201"/>
      <c r="VRA226" s="1201"/>
      <c r="VRB226" s="1201"/>
      <c r="VRC226" s="1201"/>
      <c r="VRD226" s="1201"/>
      <c r="VRE226" s="1201"/>
      <c r="VRF226" s="1201"/>
      <c r="VRG226" s="1201"/>
      <c r="VRH226" s="1201"/>
      <c r="VRI226" s="1201"/>
      <c r="VRJ226" s="1201"/>
      <c r="VRK226" s="1201"/>
      <c r="VRL226" s="1201"/>
      <c r="VRM226" s="1201"/>
      <c r="VRN226" s="1201"/>
      <c r="VRO226" s="1201"/>
      <c r="VRP226" s="1201"/>
      <c r="VRQ226" s="1201"/>
      <c r="VRR226" s="1201"/>
      <c r="VRS226" s="1201"/>
      <c r="VRT226" s="1201"/>
      <c r="VRU226" s="1201"/>
      <c r="VRV226" s="1201"/>
      <c r="VRW226" s="1201"/>
      <c r="VRX226" s="1201"/>
      <c r="VRY226" s="1201"/>
      <c r="VRZ226" s="1201"/>
      <c r="VSA226" s="1201"/>
      <c r="VSB226" s="1201"/>
      <c r="VSC226" s="1201"/>
      <c r="VSD226" s="1201"/>
      <c r="VSE226" s="1201"/>
      <c r="VSF226" s="1201"/>
      <c r="VSG226" s="1201"/>
      <c r="VSH226" s="1201"/>
      <c r="VSI226" s="1201"/>
      <c r="VSJ226" s="1201"/>
      <c r="VSK226" s="1201"/>
      <c r="VSL226" s="1201"/>
      <c r="VSM226" s="1201"/>
      <c r="VSN226" s="1201"/>
      <c r="VSO226" s="1201"/>
      <c r="VSP226" s="1201"/>
      <c r="VSQ226" s="1201"/>
      <c r="VSR226" s="1201"/>
      <c r="VSS226" s="1201"/>
      <c r="VST226" s="1201"/>
      <c r="VSU226" s="1201"/>
      <c r="VSV226" s="1201"/>
      <c r="VSW226" s="1201"/>
      <c r="VSX226" s="1201"/>
      <c r="VSY226" s="1201"/>
      <c r="VSZ226" s="1201"/>
      <c r="VTA226" s="1201"/>
      <c r="VTB226" s="1201"/>
      <c r="VTC226" s="1201"/>
      <c r="VTD226" s="1201"/>
      <c r="VTE226" s="1201"/>
      <c r="VTF226" s="1201"/>
      <c r="VTG226" s="1201"/>
      <c r="VTH226" s="1201"/>
      <c r="VTI226" s="1201"/>
      <c r="VTJ226" s="1201"/>
      <c r="VTK226" s="1201"/>
      <c r="VTL226" s="1201"/>
      <c r="VTM226" s="1201"/>
      <c r="VTN226" s="1201"/>
      <c r="VTO226" s="1201"/>
      <c r="VTP226" s="1201"/>
      <c r="VTQ226" s="1201"/>
      <c r="VTR226" s="1201"/>
      <c r="VTS226" s="1201"/>
      <c r="VTT226" s="1201"/>
      <c r="VTU226" s="1201"/>
      <c r="VTV226" s="1201"/>
      <c r="VTW226" s="1201"/>
      <c r="VTX226" s="1201"/>
      <c r="VTY226" s="1201"/>
      <c r="VTZ226" s="1201"/>
      <c r="VUA226" s="1201"/>
      <c r="VUB226" s="1201"/>
      <c r="VUC226" s="1201"/>
      <c r="VUD226" s="1201"/>
      <c r="VUE226" s="1201"/>
      <c r="VUF226" s="1201"/>
      <c r="VUG226" s="1201"/>
      <c r="VUH226" s="1201"/>
      <c r="VUI226" s="1201"/>
      <c r="VUJ226" s="1201"/>
      <c r="VUK226" s="1201"/>
      <c r="VUL226" s="1201"/>
      <c r="VUM226" s="1201"/>
      <c r="VUN226" s="1201"/>
      <c r="VUO226" s="1201"/>
      <c r="VUP226" s="1201"/>
      <c r="VUQ226" s="1201"/>
      <c r="VUR226" s="1201"/>
      <c r="VUS226" s="1201"/>
      <c r="VUT226" s="1201"/>
      <c r="VUU226" s="1201"/>
      <c r="VUV226" s="1201"/>
      <c r="VUW226" s="1201"/>
      <c r="VUX226" s="1201"/>
      <c r="VUY226" s="1201"/>
      <c r="VUZ226" s="1201"/>
      <c r="VVA226" s="1201"/>
      <c r="VVB226" s="1201"/>
      <c r="VVC226" s="1201"/>
      <c r="VVD226" s="1201"/>
      <c r="VVE226" s="1201"/>
      <c r="VVF226" s="1201"/>
      <c r="VVG226" s="1201"/>
      <c r="VVH226" s="1201"/>
      <c r="VVI226" s="1201"/>
      <c r="VVJ226" s="1201"/>
      <c r="VVK226" s="1201"/>
      <c r="VVL226" s="1201"/>
      <c r="VVM226" s="1201"/>
      <c r="VVN226" s="1201"/>
      <c r="VVO226" s="1201"/>
      <c r="VVP226" s="1201"/>
      <c r="VVQ226" s="1201"/>
      <c r="VVR226" s="1201"/>
      <c r="VVS226" s="1201"/>
      <c r="VVT226" s="1201"/>
      <c r="VVU226" s="1201"/>
      <c r="VVV226" s="1201"/>
      <c r="VVW226" s="1201"/>
      <c r="VVX226" s="1201"/>
      <c r="VVY226" s="1201"/>
      <c r="VVZ226" s="1201"/>
      <c r="VWA226" s="1201"/>
      <c r="VWB226" s="1201"/>
      <c r="VWC226" s="1201"/>
      <c r="VWD226" s="1201"/>
      <c r="VWE226" s="1201"/>
      <c r="VWF226" s="1201"/>
      <c r="VWG226" s="1201"/>
      <c r="VWH226" s="1201"/>
      <c r="VWI226" s="1201"/>
      <c r="VWJ226" s="1201"/>
      <c r="VWK226" s="1201"/>
      <c r="VWL226" s="1201"/>
      <c r="VWM226" s="1201"/>
      <c r="VWN226" s="1201"/>
      <c r="VWO226" s="1201"/>
      <c r="VWP226" s="1201"/>
      <c r="VWQ226" s="1201"/>
      <c r="VWR226" s="1201"/>
      <c r="VWS226" s="1201"/>
      <c r="VWT226" s="1201"/>
      <c r="VWU226" s="1201"/>
      <c r="VWV226" s="1201"/>
      <c r="VWW226" s="1201"/>
      <c r="VWX226" s="1201"/>
      <c r="VWY226" s="1201"/>
      <c r="VWZ226" s="1201"/>
      <c r="VXA226" s="1201"/>
      <c r="VXB226" s="1201"/>
      <c r="VXC226" s="1201"/>
      <c r="VXD226" s="1201"/>
      <c r="VXE226" s="1201"/>
      <c r="VXF226" s="1201"/>
      <c r="VXG226" s="1201"/>
      <c r="VXH226" s="1201"/>
      <c r="VXI226" s="1201"/>
      <c r="VXJ226" s="1201"/>
      <c r="VXK226" s="1201"/>
      <c r="VXL226" s="1201"/>
      <c r="VXM226" s="1201"/>
      <c r="VXN226" s="1201"/>
      <c r="VXO226" s="1201"/>
      <c r="VXP226" s="1201"/>
      <c r="VXQ226" s="1201"/>
      <c r="VXR226" s="1201"/>
      <c r="VXS226" s="1201"/>
      <c r="VXT226" s="1201"/>
      <c r="VXU226" s="1201"/>
      <c r="VXV226" s="1201"/>
      <c r="VXW226" s="1201"/>
      <c r="VXX226" s="1201"/>
      <c r="VXY226" s="1201"/>
      <c r="VXZ226" s="1201"/>
      <c r="VYA226" s="1201"/>
      <c r="VYB226" s="1201"/>
      <c r="VYC226" s="1201"/>
      <c r="VYD226" s="1201"/>
      <c r="VYE226" s="1201"/>
      <c r="VYF226" s="1201"/>
      <c r="VYG226" s="1201"/>
      <c r="VYH226" s="1201"/>
      <c r="VYI226" s="1201"/>
      <c r="VYJ226" s="1201"/>
      <c r="VYK226" s="1201"/>
      <c r="VYL226" s="1201"/>
      <c r="VYM226" s="1201"/>
      <c r="VYN226" s="1201"/>
      <c r="VYO226" s="1201"/>
      <c r="VYP226" s="1201"/>
      <c r="VYQ226" s="1201"/>
      <c r="VYR226" s="1201"/>
      <c r="VYS226" s="1201"/>
      <c r="VYT226" s="1201"/>
      <c r="VYU226" s="1201"/>
      <c r="VYV226" s="1201"/>
      <c r="VYW226" s="1201"/>
      <c r="VYX226" s="1201"/>
      <c r="VYY226" s="1201"/>
      <c r="VYZ226" s="1201"/>
      <c r="VZA226" s="1201"/>
      <c r="VZB226" s="1201"/>
      <c r="VZC226" s="1201"/>
      <c r="VZD226" s="1201"/>
      <c r="VZE226" s="1201"/>
      <c r="VZF226" s="1201"/>
      <c r="VZG226" s="1201"/>
      <c r="VZH226" s="1201"/>
      <c r="VZI226" s="1201"/>
      <c r="VZJ226" s="1201"/>
      <c r="VZK226" s="1201"/>
      <c r="VZL226" s="1201"/>
      <c r="VZM226" s="1201"/>
      <c r="VZN226" s="1201"/>
      <c r="VZO226" s="1201"/>
      <c r="VZP226" s="1201"/>
      <c r="VZQ226" s="1201"/>
      <c r="VZR226" s="1201"/>
      <c r="VZS226" s="1201"/>
      <c r="VZT226" s="1201"/>
      <c r="VZU226" s="1201"/>
      <c r="VZV226" s="1201"/>
      <c r="VZW226" s="1201"/>
      <c r="VZX226" s="1201"/>
      <c r="VZY226" s="1201"/>
      <c r="VZZ226" s="1201"/>
      <c r="WAA226" s="1201"/>
      <c r="WAB226" s="1201"/>
      <c r="WAC226" s="1201"/>
      <c r="WAD226" s="1201"/>
      <c r="WAE226" s="1201"/>
      <c r="WAF226" s="1201"/>
      <c r="WAG226" s="1201"/>
      <c r="WAH226" s="1201"/>
      <c r="WAI226" s="1201"/>
      <c r="WAJ226" s="1201"/>
      <c r="WAK226" s="1201"/>
      <c r="WAL226" s="1201"/>
      <c r="WAM226" s="1201"/>
      <c r="WAN226" s="1201"/>
      <c r="WAO226" s="1201"/>
      <c r="WAP226" s="1201"/>
      <c r="WAQ226" s="1201"/>
      <c r="WAR226" s="1201"/>
      <c r="WAS226" s="1201"/>
      <c r="WAT226" s="1201"/>
      <c r="WAU226" s="1201"/>
      <c r="WAV226" s="1201"/>
      <c r="WAW226" s="1201"/>
      <c r="WAX226" s="1201"/>
      <c r="WAY226" s="1201"/>
      <c r="WAZ226" s="1201"/>
      <c r="WBA226" s="1201"/>
      <c r="WBB226" s="1201"/>
      <c r="WBC226" s="1201"/>
      <c r="WBD226" s="1201"/>
      <c r="WBE226" s="1201"/>
      <c r="WBF226" s="1201"/>
      <c r="WBG226" s="1201"/>
      <c r="WBH226" s="1201"/>
      <c r="WBI226" s="1201"/>
      <c r="WBJ226" s="1201"/>
      <c r="WBK226" s="1201"/>
      <c r="WBL226" s="1201"/>
      <c r="WBM226" s="1201"/>
      <c r="WBN226" s="1201"/>
      <c r="WBO226" s="1201"/>
      <c r="WBP226" s="1201"/>
      <c r="WBQ226" s="1201"/>
      <c r="WBR226" s="1201"/>
      <c r="WBS226" s="1201"/>
      <c r="WBT226" s="1201"/>
      <c r="WBU226" s="1201"/>
      <c r="WBV226" s="1201"/>
      <c r="WBW226" s="1201"/>
      <c r="WBX226" s="1201"/>
      <c r="WBY226" s="1201"/>
      <c r="WBZ226" s="1201"/>
      <c r="WCA226" s="1201"/>
      <c r="WCB226" s="1201"/>
      <c r="WCC226" s="1201"/>
      <c r="WCD226" s="1201"/>
      <c r="WCE226" s="1201"/>
      <c r="WCF226" s="1201"/>
      <c r="WCG226" s="1201"/>
      <c r="WCH226" s="1201"/>
      <c r="WCI226" s="1201"/>
      <c r="WCJ226" s="1201"/>
      <c r="WCK226" s="1201"/>
      <c r="WCL226" s="1201"/>
      <c r="WCM226" s="1201"/>
      <c r="WCN226" s="1201"/>
      <c r="WCO226" s="1201"/>
      <c r="WCP226" s="1201"/>
      <c r="WCQ226" s="1201"/>
      <c r="WCR226" s="1201"/>
      <c r="WCS226" s="1201"/>
      <c r="WCT226" s="1201"/>
      <c r="WCU226" s="1201"/>
      <c r="WCV226" s="1201"/>
      <c r="WCW226" s="1201"/>
      <c r="WCX226" s="1201"/>
      <c r="WCY226" s="1201"/>
      <c r="WCZ226" s="1201"/>
      <c r="WDA226" s="1201"/>
      <c r="WDB226" s="1201"/>
      <c r="WDC226" s="1201"/>
      <c r="WDD226" s="1201"/>
      <c r="WDE226" s="1201"/>
      <c r="WDF226" s="1201"/>
      <c r="WDG226" s="1201"/>
      <c r="WDH226" s="1201"/>
      <c r="WDI226" s="1201"/>
      <c r="WDJ226" s="1201"/>
      <c r="WDK226" s="1201"/>
      <c r="WDL226" s="1201"/>
      <c r="WDM226" s="1201"/>
      <c r="WDN226" s="1201"/>
      <c r="WDO226" s="1201"/>
      <c r="WDP226" s="1201"/>
      <c r="WDQ226" s="1201"/>
      <c r="WDR226" s="1201"/>
      <c r="WDS226" s="1201"/>
      <c r="WDT226" s="1201"/>
      <c r="WDU226" s="1201"/>
      <c r="WDV226" s="1201"/>
      <c r="WDW226" s="1201"/>
      <c r="WDX226" s="1201"/>
      <c r="WDY226" s="1201"/>
      <c r="WDZ226" s="1201"/>
      <c r="WEA226" s="1201"/>
      <c r="WEB226" s="1201"/>
      <c r="WEC226" s="1201"/>
      <c r="WED226" s="1201"/>
      <c r="WEE226" s="1201"/>
      <c r="WEF226" s="1201"/>
      <c r="WEG226" s="1201"/>
      <c r="WEH226" s="1201"/>
      <c r="WEI226" s="1201"/>
      <c r="WEJ226" s="1201"/>
      <c r="WEK226" s="1201"/>
      <c r="WEL226" s="1201"/>
      <c r="WEM226" s="1201"/>
      <c r="WEN226" s="1201"/>
      <c r="WEO226" s="1201"/>
      <c r="WEP226" s="1201"/>
      <c r="WEQ226" s="1201"/>
      <c r="WER226" s="1201"/>
      <c r="WES226" s="1201"/>
      <c r="WET226" s="1201"/>
      <c r="WEU226" s="1201"/>
      <c r="WEV226" s="1201"/>
      <c r="WEW226" s="1201"/>
      <c r="WEX226" s="1201"/>
      <c r="WEY226" s="1201"/>
      <c r="WEZ226" s="1201"/>
      <c r="WFA226" s="1201"/>
      <c r="WFB226" s="1201"/>
      <c r="WFC226" s="1201"/>
      <c r="WFD226" s="1201"/>
      <c r="WFE226" s="1201"/>
      <c r="WFF226" s="1201"/>
      <c r="WFG226" s="1201"/>
      <c r="WFH226" s="1201"/>
      <c r="WFI226" s="1201"/>
      <c r="WFJ226" s="1201"/>
      <c r="WFK226" s="1201"/>
      <c r="WFL226" s="1201"/>
      <c r="WFM226" s="1201"/>
      <c r="WFN226" s="1201"/>
      <c r="WFO226" s="1201"/>
      <c r="WFP226" s="1201"/>
      <c r="WFQ226" s="1201"/>
      <c r="WFR226" s="1201"/>
      <c r="WFS226" s="1201"/>
      <c r="WFT226" s="1201"/>
      <c r="WFU226" s="1201"/>
      <c r="WFV226" s="1201"/>
      <c r="WFW226" s="1201"/>
      <c r="WFX226" s="1201"/>
      <c r="WFY226" s="1201"/>
      <c r="WFZ226" s="1201"/>
      <c r="WGA226" s="1201"/>
      <c r="WGB226" s="1201"/>
      <c r="WGC226" s="1201"/>
      <c r="WGD226" s="1201"/>
      <c r="WGE226" s="1201"/>
      <c r="WGF226" s="1201"/>
      <c r="WGG226" s="1201"/>
      <c r="WGH226" s="1201"/>
      <c r="WGI226" s="1201"/>
      <c r="WGJ226" s="1201"/>
      <c r="WGK226" s="1201"/>
      <c r="WGL226" s="1201"/>
      <c r="WGM226" s="1201"/>
      <c r="WGN226" s="1201"/>
      <c r="WGO226" s="1201"/>
      <c r="WGP226" s="1201"/>
      <c r="WGQ226" s="1201"/>
      <c r="WGR226" s="1201"/>
      <c r="WGS226" s="1201"/>
      <c r="WGT226" s="1201"/>
      <c r="WGU226" s="1201"/>
      <c r="WGV226" s="1201"/>
      <c r="WGW226" s="1201"/>
      <c r="WGX226" s="1201"/>
      <c r="WGY226" s="1201"/>
      <c r="WGZ226" s="1201"/>
      <c r="WHA226" s="1201"/>
      <c r="WHB226" s="1201"/>
      <c r="WHC226" s="1201"/>
      <c r="WHD226" s="1201"/>
      <c r="WHE226" s="1201"/>
      <c r="WHF226" s="1201"/>
      <c r="WHG226" s="1201"/>
      <c r="WHH226" s="1201"/>
      <c r="WHI226" s="1201"/>
      <c r="WHJ226" s="1201"/>
      <c r="WHK226" s="1201"/>
      <c r="WHL226" s="1201"/>
      <c r="WHM226" s="1201"/>
      <c r="WHN226" s="1201"/>
      <c r="WHO226" s="1201"/>
      <c r="WHP226" s="1201"/>
      <c r="WHQ226" s="1201"/>
      <c r="WHR226" s="1201"/>
      <c r="WHS226" s="1201"/>
      <c r="WHT226" s="1201"/>
      <c r="WHU226" s="1201"/>
      <c r="WHV226" s="1201"/>
      <c r="WHW226" s="1201"/>
      <c r="WHX226" s="1201"/>
      <c r="WHY226" s="1201"/>
      <c r="WHZ226" s="1201"/>
      <c r="WIA226" s="1201"/>
      <c r="WIB226" s="1201"/>
      <c r="WIC226" s="1201"/>
      <c r="WID226" s="1201"/>
      <c r="WIE226" s="1201"/>
      <c r="WIF226" s="1201"/>
      <c r="WIG226" s="1201"/>
      <c r="WIH226" s="1201"/>
      <c r="WII226" s="1201"/>
      <c r="WIJ226" s="1201"/>
      <c r="WIK226" s="1201"/>
      <c r="WIL226" s="1201"/>
      <c r="WIM226" s="1201"/>
      <c r="WIN226" s="1201"/>
      <c r="WIO226" s="1201"/>
      <c r="WIP226" s="1201"/>
      <c r="WIQ226" s="1201"/>
      <c r="WIR226" s="1201"/>
      <c r="WIS226" s="1201"/>
      <c r="WIT226" s="1201"/>
      <c r="WIU226" s="1201"/>
      <c r="WIV226" s="1201"/>
      <c r="WIW226" s="1201"/>
      <c r="WIX226" s="1201"/>
      <c r="WIY226" s="1201"/>
      <c r="WIZ226" s="1201"/>
      <c r="WJA226" s="1201"/>
      <c r="WJB226" s="1201"/>
      <c r="WJC226" s="1201"/>
      <c r="WJD226" s="1201"/>
      <c r="WJE226" s="1201"/>
      <c r="WJF226" s="1201"/>
      <c r="WJG226" s="1201"/>
      <c r="WJH226" s="1201"/>
      <c r="WJI226" s="1201"/>
      <c r="WJJ226" s="1201"/>
      <c r="WJK226" s="1201"/>
      <c r="WJL226" s="1201"/>
      <c r="WJM226" s="1201"/>
      <c r="WJN226" s="1201"/>
      <c r="WJO226" s="1201"/>
      <c r="WJP226" s="1201"/>
      <c r="WJQ226" s="1201"/>
      <c r="WJR226" s="1201"/>
      <c r="WJS226" s="1201"/>
      <c r="WJT226" s="1201"/>
      <c r="WJU226" s="1201"/>
      <c r="WJV226" s="1201"/>
      <c r="WJW226" s="1201"/>
      <c r="WJX226" s="1201"/>
      <c r="WJY226" s="1201"/>
      <c r="WJZ226" s="1201"/>
      <c r="WKA226" s="1201"/>
      <c r="WKB226" s="1201"/>
      <c r="WKC226" s="1201"/>
      <c r="WKD226" s="1201"/>
      <c r="WKE226" s="1201"/>
      <c r="WKF226" s="1201"/>
      <c r="WKG226" s="1201"/>
      <c r="WKH226" s="1201"/>
      <c r="WKI226" s="1201"/>
      <c r="WKJ226" s="1201"/>
      <c r="WKK226" s="1201"/>
      <c r="WKL226" s="1201"/>
      <c r="WKM226" s="1201"/>
      <c r="WKN226" s="1201"/>
      <c r="WKO226" s="1201"/>
      <c r="WKP226" s="1201"/>
      <c r="WKQ226" s="1201"/>
      <c r="WKR226" s="1201"/>
      <c r="WKS226" s="1201"/>
      <c r="WKT226" s="1201"/>
      <c r="WKU226" s="1201"/>
      <c r="WKV226" s="1201"/>
      <c r="WKW226" s="1201"/>
      <c r="WKX226" s="1201"/>
      <c r="WKY226" s="1201"/>
      <c r="WKZ226" s="1201"/>
      <c r="WLA226" s="1201"/>
      <c r="WLB226" s="1201"/>
      <c r="WLC226" s="1201"/>
      <c r="WLD226" s="1201"/>
      <c r="WLE226" s="1201"/>
      <c r="WLF226" s="1201"/>
      <c r="WLG226" s="1201"/>
      <c r="WLH226" s="1201"/>
      <c r="WLI226" s="1201"/>
      <c r="WLJ226" s="1201"/>
      <c r="WLK226" s="1201"/>
      <c r="WLL226" s="1201"/>
      <c r="WLM226" s="1201"/>
      <c r="WLN226" s="1201"/>
      <c r="WLO226" s="1201"/>
      <c r="WLP226" s="1201"/>
      <c r="WLQ226" s="1201"/>
      <c r="WLR226" s="1201"/>
      <c r="WLS226" s="1201"/>
      <c r="WLT226" s="1201"/>
      <c r="WLU226" s="1201"/>
      <c r="WLV226" s="1201"/>
      <c r="WLW226" s="1201"/>
      <c r="WLX226" s="1201"/>
      <c r="WLY226" s="1201"/>
      <c r="WLZ226" s="1201"/>
      <c r="WMA226" s="1201"/>
      <c r="WMB226" s="1201"/>
      <c r="WMC226" s="1201"/>
      <c r="WMD226" s="1201"/>
      <c r="WME226" s="1201"/>
      <c r="WMF226" s="1201"/>
      <c r="WMG226" s="1201"/>
      <c r="WMH226" s="1201"/>
      <c r="WMI226" s="1201"/>
      <c r="WMJ226" s="1201"/>
      <c r="WMK226" s="1201"/>
      <c r="WML226" s="1201"/>
      <c r="WMM226" s="1201"/>
      <c r="WMN226" s="1201"/>
      <c r="WMO226" s="1201"/>
      <c r="WMP226" s="1201"/>
      <c r="WMQ226" s="1201"/>
      <c r="WMR226" s="1201"/>
      <c r="WMS226" s="1201"/>
      <c r="WMT226" s="1201"/>
      <c r="WMU226" s="1201"/>
      <c r="WMV226" s="1201"/>
      <c r="WMW226" s="1201"/>
      <c r="WMX226" s="1201"/>
      <c r="WMY226" s="1201"/>
      <c r="WMZ226" s="1201"/>
      <c r="WNA226" s="1201"/>
      <c r="WNB226" s="1201"/>
      <c r="WNC226" s="1201"/>
      <c r="WND226" s="1201"/>
      <c r="WNE226" s="1201"/>
      <c r="WNF226" s="1201"/>
      <c r="WNG226" s="1201"/>
      <c r="WNH226" s="1201"/>
      <c r="WNI226" s="1201"/>
      <c r="WNJ226" s="1201"/>
      <c r="WNK226" s="1201"/>
      <c r="WNL226" s="1201"/>
      <c r="WNM226" s="1201"/>
      <c r="WNN226" s="1201"/>
      <c r="WNO226" s="1201"/>
      <c r="WNP226" s="1201"/>
      <c r="WNQ226" s="1201"/>
      <c r="WNR226" s="1201"/>
      <c r="WNS226" s="1201"/>
      <c r="WNT226" s="1201"/>
      <c r="WNU226" s="1201"/>
      <c r="WNV226" s="1201"/>
      <c r="WNW226" s="1201"/>
      <c r="WNX226" s="1201"/>
      <c r="WNY226" s="1201"/>
      <c r="WNZ226" s="1201"/>
      <c r="WOA226" s="1201"/>
      <c r="WOB226" s="1201"/>
      <c r="WOC226" s="1201"/>
      <c r="WOD226" s="1201"/>
      <c r="WOE226" s="1201"/>
      <c r="WOF226" s="1201"/>
      <c r="WOG226" s="1201"/>
      <c r="WOH226" s="1201"/>
      <c r="WOI226" s="1201"/>
      <c r="WOJ226" s="1201"/>
      <c r="WOK226" s="1201"/>
      <c r="WOL226" s="1201"/>
      <c r="WOM226" s="1201"/>
      <c r="WON226" s="1201"/>
      <c r="WOO226" s="1201"/>
      <c r="WOP226" s="1201"/>
      <c r="WOQ226" s="1201"/>
      <c r="WOR226" s="1201"/>
      <c r="WOS226" s="1201"/>
      <c r="WOT226" s="1201"/>
      <c r="WOU226" s="1201"/>
      <c r="WOV226" s="1201"/>
      <c r="WOW226" s="1201"/>
      <c r="WOX226" s="1201"/>
      <c r="WOY226" s="1201"/>
      <c r="WOZ226" s="1201"/>
      <c r="WPA226" s="1201"/>
      <c r="WPB226" s="1201"/>
      <c r="WPC226" s="1201"/>
      <c r="WPD226" s="1201"/>
      <c r="WPE226" s="1201"/>
      <c r="WPF226" s="1201"/>
      <c r="WPG226" s="1201"/>
      <c r="WPH226" s="1201"/>
      <c r="WPI226" s="1201"/>
      <c r="WPJ226" s="1201"/>
      <c r="WPK226" s="1201"/>
      <c r="WPL226" s="1201"/>
      <c r="WPM226" s="1201"/>
      <c r="WPN226" s="1201"/>
      <c r="WPO226" s="1201"/>
      <c r="WPP226" s="1201"/>
      <c r="WPQ226" s="1201"/>
      <c r="WPR226" s="1201"/>
      <c r="WPS226" s="1201"/>
      <c r="WPT226" s="1201"/>
      <c r="WPU226" s="1201"/>
      <c r="WPV226" s="1201"/>
      <c r="WPW226" s="1201"/>
      <c r="WPX226" s="1201"/>
      <c r="WPY226" s="1201"/>
      <c r="WPZ226" s="1201"/>
      <c r="WQA226" s="1201"/>
      <c r="WQB226" s="1201"/>
      <c r="WQC226" s="1201"/>
      <c r="WQD226" s="1201"/>
      <c r="WQE226" s="1201"/>
      <c r="WQF226" s="1201"/>
      <c r="WQG226" s="1201"/>
      <c r="WQH226" s="1201"/>
      <c r="WQI226" s="1201"/>
      <c r="WQJ226" s="1201"/>
      <c r="WQK226" s="1201"/>
      <c r="WQL226" s="1201"/>
      <c r="WQM226" s="1201"/>
      <c r="WQN226" s="1201"/>
      <c r="WQO226" s="1201"/>
      <c r="WQP226" s="1201"/>
      <c r="WQQ226" s="1201"/>
      <c r="WQR226" s="1201"/>
      <c r="WQS226" s="1201"/>
      <c r="WQT226" s="1201"/>
      <c r="WQU226" s="1201"/>
      <c r="WQV226" s="1201"/>
      <c r="WQW226" s="1201"/>
      <c r="WQX226" s="1201"/>
      <c r="WQY226" s="1201"/>
      <c r="WQZ226" s="1201"/>
      <c r="WRA226" s="1201"/>
      <c r="WRB226" s="1201"/>
      <c r="WRC226" s="1201"/>
      <c r="WRD226" s="1201"/>
      <c r="WRE226" s="1201"/>
      <c r="WRF226" s="1201"/>
      <c r="WRG226" s="1201"/>
      <c r="WRH226" s="1201"/>
      <c r="WRI226" s="1201"/>
      <c r="WRJ226" s="1201"/>
      <c r="WRK226" s="1201"/>
      <c r="WRL226" s="1201"/>
      <c r="WRM226" s="1201"/>
      <c r="WRN226" s="1201"/>
      <c r="WRO226" s="1201"/>
      <c r="WRP226" s="1201"/>
      <c r="WRQ226" s="1201"/>
      <c r="WRR226" s="1201"/>
      <c r="WRS226" s="1201"/>
      <c r="WRT226" s="1201"/>
      <c r="WRU226" s="1201"/>
      <c r="WRV226" s="1201"/>
      <c r="WRW226" s="1201"/>
      <c r="WRX226" s="1201"/>
      <c r="WRY226" s="1201"/>
      <c r="WRZ226" s="1201"/>
      <c r="WSA226" s="1201"/>
      <c r="WSB226" s="1201"/>
      <c r="WSC226" s="1201"/>
      <c r="WSD226" s="1201"/>
      <c r="WSE226" s="1201"/>
      <c r="WSF226" s="1201"/>
      <c r="WSG226" s="1201"/>
      <c r="WSH226" s="1201"/>
      <c r="WSI226" s="1201"/>
      <c r="WSJ226" s="1201"/>
      <c r="WSK226" s="1201"/>
      <c r="WSL226" s="1201"/>
      <c r="WSM226" s="1201"/>
      <c r="WSN226" s="1201"/>
      <c r="WSO226" s="1201"/>
      <c r="WSP226" s="1201"/>
      <c r="WSQ226" s="1201"/>
      <c r="WSR226" s="1201"/>
      <c r="WSS226" s="1201"/>
      <c r="WST226" s="1201"/>
      <c r="WSU226" s="1201"/>
      <c r="WSV226" s="1201"/>
      <c r="WSW226" s="1201"/>
      <c r="WSX226" s="1201"/>
      <c r="WSY226" s="1201"/>
      <c r="WSZ226" s="1201"/>
      <c r="WTA226" s="1201"/>
      <c r="WTB226" s="1201"/>
      <c r="WTC226" s="1201"/>
      <c r="WTD226" s="1201"/>
      <c r="WTE226" s="1201"/>
      <c r="WTF226" s="1201"/>
      <c r="WTG226" s="1201"/>
      <c r="WTH226" s="1201"/>
      <c r="WTI226" s="1201"/>
      <c r="WTJ226" s="1201"/>
      <c r="WTK226" s="1201"/>
      <c r="WTL226" s="1201"/>
      <c r="WTM226" s="1201"/>
      <c r="WTN226" s="1201"/>
      <c r="WTO226" s="1201"/>
      <c r="WTP226" s="1201"/>
      <c r="WTQ226" s="1201"/>
      <c r="WTR226" s="1201"/>
      <c r="WTS226" s="1201"/>
      <c r="WTT226" s="1201"/>
      <c r="WTU226" s="1201"/>
      <c r="WTV226" s="1201"/>
      <c r="WTW226" s="1201"/>
      <c r="WTX226" s="1201"/>
      <c r="WTY226" s="1201"/>
      <c r="WTZ226" s="1201"/>
      <c r="WUA226" s="1201"/>
      <c r="WUB226" s="1201"/>
      <c r="WUC226" s="1201"/>
      <c r="WUD226" s="1201"/>
      <c r="WUE226" s="1201"/>
      <c r="WUF226" s="1201"/>
      <c r="WUG226" s="1201"/>
      <c r="WUH226" s="1201"/>
      <c r="WUI226" s="1201"/>
      <c r="WUJ226" s="1201"/>
      <c r="WUK226" s="1201"/>
      <c r="WUL226" s="1201"/>
      <c r="WUM226" s="1201"/>
      <c r="WUN226" s="1201"/>
      <c r="WUO226" s="1201"/>
      <c r="WUP226" s="1201"/>
      <c r="WUQ226" s="1201"/>
      <c r="WUR226" s="1201"/>
      <c r="WUS226" s="1201"/>
      <c r="WUT226" s="1201"/>
      <c r="WUU226" s="1201"/>
      <c r="WUV226" s="1201"/>
      <c r="WUW226" s="1201"/>
      <c r="WUX226" s="1201"/>
      <c r="WUY226" s="1201"/>
      <c r="WUZ226" s="1201"/>
      <c r="WVA226" s="1201"/>
      <c r="WVB226" s="1201"/>
      <c r="WVC226" s="1201"/>
      <c r="WVD226" s="1201"/>
      <c r="WVE226" s="1201"/>
      <c r="WVF226" s="1201"/>
      <c r="WVG226" s="1201"/>
      <c r="WVH226" s="1201"/>
      <c r="WVI226" s="1201"/>
      <c r="WVJ226" s="1201"/>
      <c r="WVK226" s="1201"/>
      <c r="WVL226" s="1201"/>
      <c r="WVM226" s="1201"/>
      <c r="WVN226" s="1201"/>
      <c r="WVO226" s="1201"/>
      <c r="WVP226" s="1201"/>
      <c r="WVQ226" s="1201"/>
      <c r="WVR226" s="1201"/>
      <c r="WVS226" s="1201"/>
      <c r="WVT226" s="1201"/>
      <c r="WVU226" s="1201"/>
      <c r="WVV226" s="1201"/>
      <c r="WVW226" s="1201"/>
      <c r="WVX226" s="1201"/>
      <c r="WVY226" s="1201"/>
      <c r="WVZ226" s="1201"/>
      <c r="WWA226" s="1201"/>
      <c r="WWB226" s="1201"/>
      <c r="WWC226" s="1201"/>
      <c r="WWD226" s="1201"/>
      <c r="WWE226" s="1201"/>
      <c r="WWF226" s="1201"/>
      <c r="WWG226" s="1201"/>
      <c r="WWH226" s="1201"/>
      <c r="WWI226" s="1201"/>
      <c r="WWJ226" s="1201"/>
      <c r="WWK226" s="1201"/>
      <c r="WWL226" s="1201"/>
      <c r="WWM226" s="1201"/>
      <c r="WWN226" s="1201"/>
      <c r="WWO226" s="1201"/>
      <c r="WWP226" s="1201"/>
      <c r="WWQ226" s="1201"/>
      <c r="WWR226" s="1201"/>
      <c r="WWS226" s="1201"/>
      <c r="WWT226" s="1201"/>
      <c r="WWU226" s="1201"/>
      <c r="WWV226" s="1201"/>
      <c r="WWW226" s="1201"/>
      <c r="WWX226" s="1201"/>
      <c r="WWY226" s="1201"/>
      <c r="WWZ226" s="1201"/>
      <c r="WXA226" s="1201"/>
      <c r="WXB226" s="1201"/>
      <c r="WXC226" s="1201"/>
      <c r="WXD226" s="1201"/>
      <c r="WXE226" s="1201"/>
      <c r="WXF226" s="1201"/>
      <c r="WXG226" s="1201"/>
      <c r="WXH226" s="1201"/>
      <c r="WXI226" s="1201"/>
      <c r="WXJ226" s="1201"/>
      <c r="WXK226" s="1201"/>
      <c r="WXL226" s="1201"/>
      <c r="WXM226" s="1201"/>
      <c r="WXN226" s="1201"/>
      <c r="WXO226" s="1201"/>
      <c r="WXP226" s="1201"/>
      <c r="WXQ226" s="1201"/>
      <c r="WXR226" s="1201"/>
      <c r="WXS226" s="1201"/>
      <c r="WXT226" s="1201"/>
      <c r="WXU226" s="1201"/>
      <c r="WXV226" s="1201"/>
      <c r="WXW226" s="1201"/>
      <c r="WXX226" s="1201"/>
      <c r="WXY226" s="1201"/>
      <c r="WXZ226" s="1201"/>
      <c r="WYA226" s="1201"/>
      <c r="WYB226" s="1201"/>
      <c r="WYC226" s="1201"/>
      <c r="WYD226" s="1201"/>
      <c r="WYE226" s="1201"/>
      <c r="WYF226" s="1201"/>
      <c r="WYG226" s="1201"/>
      <c r="WYH226" s="1201"/>
      <c r="WYI226" s="1201"/>
      <c r="WYJ226" s="1201"/>
      <c r="WYK226" s="1201"/>
      <c r="WYL226" s="1201"/>
      <c r="WYM226" s="1201"/>
      <c r="WYN226" s="1201"/>
      <c r="WYO226" s="1201"/>
      <c r="WYP226" s="1201"/>
      <c r="WYQ226" s="1201"/>
      <c r="WYR226" s="1201"/>
      <c r="WYS226" s="1201"/>
      <c r="WYT226" s="1201"/>
      <c r="WYU226" s="1201"/>
      <c r="WYV226" s="1201"/>
      <c r="WYW226" s="1201"/>
      <c r="WYX226" s="1201"/>
      <c r="WYY226" s="1201"/>
      <c r="WYZ226" s="1201"/>
      <c r="WZA226" s="1201"/>
      <c r="WZB226" s="1201"/>
      <c r="WZC226" s="1201"/>
      <c r="WZD226" s="1201"/>
      <c r="WZE226" s="1201"/>
      <c r="WZF226" s="1201"/>
      <c r="WZG226" s="1201"/>
      <c r="WZH226" s="1201"/>
      <c r="WZI226" s="1201"/>
      <c r="WZJ226" s="1201"/>
      <c r="WZK226" s="1201"/>
      <c r="WZL226" s="1201"/>
      <c r="WZM226" s="1201"/>
      <c r="WZN226" s="1201"/>
      <c r="WZO226" s="1201"/>
      <c r="WZP226" s="1201"/>
      <c r="WZQ226" s="1201"/>
      <c r="WZR226" s="1201"/>
      <c r="WZS226" s="1201"/>
      <c r="WZT226" s="1201"/>
      <c r="WZU226" s="1201"/>
      <c r="WZV226" s="1201"/>
      <c r="WZW226" s="1201"/>
      <c r="WZX226" s="1201"/>
      <c r="WZY226" s="1201"/>
      <c r="WZZ226" s="1201"/>
      <c r="XAA226" s="1201"/>
      <c r="XAB226" s="1201"/>
      <c r="XAC226" s="1201"/>
      <c r="XAD226" s="1201"/>
      <c r="XAE226" s="1201"/>
      <c r="XAF226" s="1201"/>
      <c r="XAG226" s="1201"/>
      <c r="XAH226" s="1201"/>
      <c r="XAI226" s="1201"/>
      <c r="XAJ226" s="1201"/>
      <c r="XAK226" s="1201"/>
      <c r="XAL226" s="1201"/>
      <c r="XAM226" s="1201"/>
      <c r="XAN226" s="1201"/>
      <c r="XAO226" s="1201"/>
      <c r="XAP226" s="1201"/>
      <c r="XAQ226" s="1201"/>
      <c r="XAR226" s="1201"/>
      <c r="XAS226" s="1201"/>
      <c r="XAT226" s="1201"/>
      <c r="XAU226" s="1201"/>
      <c r="XAV226" s="1201"/>
      <c r="XAW226" s="1201"/>
      <c r="XAX226" s="1201"/>
      <c r="XAY226" s="1201"/>
      <c r="XAZ226" s="1201"/>
      <c r="XBA226" s="1201"/>
      <c r="XBB226" s="1201"/>
      <c r="XBC226" s="1201"/>
      <c r="XBD226" s="1201"/>
      <c r="XBE226" s="1201"/>
      <c r="XBF226" s="1201"/>
      <c r="XBG226" s="1201"/>
      <c r="XBH226" s="1201"/>
      <c r="XBI226" s="1201"/>
      <c r="XBJ226" s="1201"/>
      <c r="XBK226" s="1201"/>
      <c r="XBL226" s="1201"/>
      <c r="XBM226" s="1201"/>
      <c r="XBN226" s="1201"/>
      <c r="XBO226" s="1201"/>
      <c r="XBP226" s="1201"/>
      <c r="XBQ226" s="1201"/>
      <c r="XBR226" s="1201"/>
      <c r="XBS226" s="1201"/>
      <c r="XBT226" s="1201"/>
      <c r="XBU226" s="1201"/>
      <c r="XBV226" s="1201"/>
      <c r="XBW226" s="1201"/>
      <c r="XBX226" s="1201"/>
      <c r="XBY226" s="1201"/>
      <c r="XBZ226" s="1201"/>
      <c r="XCA226" s="1201"/>
      <c r="XCB226" s="1201"/>
      <c r="XCC226" s="1201"/>
      <c r="XCD226" s="1201"/>
      <c r="XCE226" s="1201"/>
      <c r="XCF226" s="1201"/>
      <c r="XCG226" s="1201"/>
      <c r="XCH226" s="1201"/>
      <c r="XCI226" s="1201"/>
      <c r="XCJ226" s="1201"/>
      <c r="XCK226" s="1201"/>
      <c r="XCL226" s="1201"/>
      <c r="XCM226" s="1201"/>
      <c r="XCN226" s="1201"/>
      <c r="XCO226" s="1201"/>
      <c r="XCP226" s="1201"/>
      <c r="XCQ226" s="1201"/>
      <c r="XCR226" s="1201"/>
      <c r="XCS226" s="1201"/>
      <c r="XCT226" s="1201"/>
      <c r="XCU226" s="1201"/>
      <c r="XCV226" s="1201"/>
      <c r="XCW226" s="1201"/>
      <c r="XCX226" s="1201"/>
      <c r="XCY226" s="1201"/>
      <c r="XCZ226" s="1201"/>
      <c r="XDA226" s="1201"/>
      <c r="XDB226" s="1201"/>
      <c r="XDC226" s="1201"/>
      <c r="XDD226" s="1201"/>
      <c r="XDE226" s="1201"/>
      <c r="XDF226" s="1201"/>
      <c r="XDG226" s="1201"/>
      <c r="XDH226" s="1201"/>
      <c r="XDI226" s="1201"/>
      <c r="XDJ226" s="1201"/>
      <c r="XDK226" s="1201"/>
      <c r="XDL226" s="1201"/>
      <c r="XDM226" s="1201"/>
      <c r="XDN226" s="1201"/>
      <c r="XDO226" s="1201"/>
      <c r="XDP226" s="1201"/>
      <c r="XDQ226" s="1201"/>
      <c r="XDR226" s="1201"/>
      <c r="XDS226" s="1201"/>
      <c r="XDT226" s="1201"/>
      <c r="XDU226" s="1201"/>
      <c r="XDV226" s="1201"/>
      <c r="XDW226" s="1201"/>
      <c r="XDX226" s="1201"/>
      <c r="XDY226" s="1201"/>
      <c r="XDZ226" s="1201"/>
      <c r="XEA226" s="1201"/>
      <c r="XEB226" s="1201"/>
      <c r="XEC226" s="1201"/>
      <c r="XED226" s="1201"/>
      <c r="XEE226" s="1201"/>
      <c r="XEF226" s="1201"/>
      <c r="XEG226" s="1201"/>
      <c r="XEH226" s="1201"/>
      <c r="XEI226" s="1201"/>
      <c r="XEJ226" s="1201"/>
      <c r="XEK226" s="1201"/>
      <c r="XEL226" s="1201"/>
      <c r="XEM226" s="1201"/>
      <c r="XEN226" s="1201"/>
      <c r="XEO226" s="1201"/>
      <c r="XEP226" s="1201"/>
      <c r="XEQ226" s="1201"/>
      <c r="XER226" s="1201"/>
    </row>
    <row r="227" spans="1:16372" s="892" customFormat="1" ht="14" x14ac:dyDescent="0.3">
      <c r="A227" s="1201"/>
      <c r="B227" s="2218"/>
      <c r="C227" s="2218" t="s">
        <v>434</v>
      </c>
      <c r="D227" s="2223" t="e">
        <f>(R212*1.03*D35/365)*3.054/0.6/((0.00795*F44)-0.0014)/18.4</f>
        <v>#DIV/0!</v>
      </c>
      <c r="E227" s="1772">
        <f>0*3.054/0.6/(0.00795*D46-0.0014)/18.4</f>
        <v>0</v>
      </c>
      <c r="F227" s="1772">
        <f>0*3.054/0.6/(0.00795*D46-0.0014)/18.4</f>
        <v>0</v>
      </c>
      <c r="G227" s="1772">
        <f>0*3.054/0.6/(0.00795*D46-0.0014)/18.4</f>
        <v>0</v>
      </c>
      <c r="H227" s="1772">
        <f>0*3.054/0.6/(0.00795*D46-0.0014)/18.4</f>
        <v>0</v>
      </c>
      <c r="I227" s="2218"/>
      <c r="J227" s="2218"/>
      <c r="K227" s="1772">
        <f>0*3.054/0.6/(0.00795*D46-0.0014)/18.4</f>
        <v>0</v>
      </c>
      <c r="L227" s="2221" t="s">
        <v>232</v>
      </c>
      <c r="M227" s="2219"/>
      <c r="N227" s="1201"/>
      <c r="O227" s="1201"/>
      <c r="P227" s="1201"/>
      <c r="Q227" s="1201"/>
      <c r="R227" s="2224"/>
      <c r="S227" s="1552"/>
      <c r="T227" s="1552"/>
      <c r="U227" s="1201"/>
      <c r="V227" s="1201"/>
      <c r="W227" s="1201"/>
      <c r="X227" s="1201"/>
      <c r="Y227" s="1201"/>
      <c r="Z227" s="1201"/>
      <c r="AA227" s="1201"/>
      <c r="AB227" s="1201"/>
      <c r="AC227" s="1201"/>
      <c r="AD227" s="1201"/>
      <c r="AE227" s="1201"/>
      <c r="AF227" s="1201"/>
      <c r="AL227" s="581"/>
      <c r="AM227" s="581"/>
      <c r="AN227" s="581"/>
      <c r="AO227" s="581"/>
      <c r="AP227" s="581"/>
      <c r="AQ227" s="1271"/>
      <c r="AR227" s="1201"/>
      <c r="AS227" s="1201"/>
      <c r="AT227" s="1201"/>
      <c r="AU227" s="1201"/>
      <c r="AV227" s="1201"/>
      <c r="AW227" s="1201"/>
      <c r="AX227" s="1201"/>
      <c r="AY227" s="1201"/>
      <c r="AZ227" s="1201"/>
      <c r="BA227" s="1201"/>
      <c r="BB227" s="1201"/>
      <c r="BC227" s="1201"/>
      <c r="BD227" s="1201"/>
      <c r="BE227" s="1201"/>
      <c r="BF227" s="1201"/>
      <c r="BG227" s="1201"/>
      <c r="BH227" s="1201"/>
      <c r="BI227" s="1201"/>
      <c r="BJ227" s="1201"/>
      <c r="BK227" s="1201"/>
      <c r="BL227" s="1201"/>
      <c r="BM227" s="1201"/>
      <c r="BN227" s="1201"/>
      <c r="BO227" s="1201"/>
      <c r="BP227" s="1201"/>
      <c r="BQ227" s="1201"/>
      <c r="BR227" s="1201"/>
      <c r="BS227" s="1201"/>
      <c r="BT227" s="1201"/>
      <c r="BU227" s="1201"/>
      <c r="BV227" s="1201"/>
      <c r="BW227" s="1201"/>
      <c r="BX227" s="1201"/>
      <c r="BY227" s="1201"/>
      <c r="BZ227" s="1201"/>
      <c r="CA227" s="1201"/>
      <c r="CB227" s="1201"/>
      <c r="CC227" s="1201"/>
      <c r="CD227" s="1201"/>
      <c r="CE227" s="1201"/>
      <c r="CF227" s="1201"/>
      <c r="CG227" s="1201"/>
      <c r="CH227" s="1201"/>
      <c r="CI227" s="1201"/>
      <c r="CJ227" s="1201"/>
      <c r="CK227" s="1201"/>
      <c r="CL227" s="1201"/>
      <c r="CM227" s="1201"/>
      <c r="CN227" s="1201"/>
      <c r="CO227" s="1201"/>
      <c r="CP227" s="1201"/>
      <c r="CQ227" s="1201"/>
      <c r="CR227" s="1201"/>
      <c r="CS227" s="1201"/>
      <c r="CT227" s="1201"/>
      <c r="CU227" s="1201"/>
      <c r="CV227" s="1201"/>
      <c r="CW227" s="1201"/>
      <c r="CX227" s="1201"/>
      <c r="CY227" s="1201"/>
      <c r="CZ227" s="1201"/>
      <c r="DA227" s="1201"/>
      <c r="DB227" s="1201"/>
      <c r="DC227" s="1201"/>
      <c r="DD227" s="1201"/>
      <c r="DE227" s="1201"/>
      <c r="DF227" s="1201"/>
      <c r="DG227" s="1201"/>
      <c r="DH227" s="1201"/>
      <c r="DI227" s="1201"/>
      <c r="DJ227" s="1201"/>
      <c r="DK227" s="1201"/>
      <c r="DL227" s="1201"/>
      <c r="DM227" s="1201"/>
      <c r="DN227" s="1201"/>
      <c r="DO227" s="1201"/>
      <c r="DP227" s="1201"/>
      <c r="DQ227" s="1201"/>
      <c r="DR227" s="1201"/>
      <c r="DS227" s="1201"/>
      <c r="DT227" s="1201"/>
      <c r="DU227" s="1201"/>
      <c r="DV227" s="1201"/>
      <c r="DW227" s="1201"/>
      <c r="DX227" s="1201"/>
      <c r="DY227" s="1201"/>
      <c r="DZ227" s="1201"/>
      <c r="EA227" s="1201"/>
      <c r="EB227" s="1201"/>
      <c r="EC227" s="1201"/>
      <c r="ED227" s="1201"/>
      <c r="EE227" s="1201"/>
      <c r="EF227" s="1201"/>
      <c r="EG227" s="1201"/>
      <c r="EH227" s="1201"/>
      <c r="EI227" s="1201"/>
      <c r="EJ227" s="1201"/>
      <c r="EK227" s="1201"/>
      <c r="EL227" s="1201"/>
      <c r="EM227" s="1201"/>
      <c r="EN227" s="1201"/>
      <c r="EO227" s="1201"/>
      <c r="EP227" s="1201"/>
      <c r="EQ227" s="1201"/>
      <c r="ER227" s="1201"/>
      <c r="ES227" s="1201"/>
      <c r="ET227" s="1201"/>
      <c r="EU227" s="1201"/>
      <c r="EV227" s="1201"/>
      <c r="EW227" s="1201"/>
      <c r="EX227" s="1201"/>
      <c r="EY227" s="1201"/>
      <c r="EZ227" s="1201"/>
      <c r="FA227" s="1201"/>
      <c r="FB227" s="1201"/>
      <c r="FC227" s="1201"/>
      <c r="FD227" s="1201"/>
      <c r="FE227" s="1201"/>
      <c r="FF227" s="1201"/>
      <c r="FG227" s="1201"/>
      <c r="FH227" s="1201"/>
      <c r="FI227" s="1201"/>
      <c r="FJ227" s="1201"/>
      <c r="FK227" s="1201"/>
      <c r="FL227" s="1201"/>
      <c r="FM227" s="1201"/>
      <c r="FN227" s="1201"/>
      <c r="FO227" s="1201"/>
      <c r="FP227" s="1201"/>
      <c r="FQ227" s="1201"/>
      <c r="FR227" s="1201"/>
      <c r="FS227" s="1201"/>
      <c r="FT227" s="1201"/>
      <c r="FU227" s="1201"/>
      <c r="FV227" s="1201"/>
      <c r="FW227" s="1201"/>
      <c r="FX227" s="1201"/>
      <c r="FY227" s="1201"/>
      <c r="FZ227" s="1201"/>
      <c r="GA227" s="1201"/>
      <c r="GB227" s="1201"/>
      <c r="GC227" s="1201"/>
      <c r="GD227" s="1201"/>
      <c r="GE227" s="1201"/>
      <c r="GF227" s="1201"/>
      <c r="GG227" s="1201"/>
      <c r="GH227" s="1201"/>
      <c r="GI227" s="1201"/>
      <c r="GJ227" s="1201"/>
      <c r="GK227" s="1201"/>
      <c r="GL227" s="1201"/>
      <c r="GM227" s="1201"/>
      <c r="GN227" s="1201"/>
      <c r="GO227" s="1201"/>
      <c r="GP227" s="1201"/>
      <c r="GQ227" s="1201"/>
      <c r="GR227" s="1201"/>
      <c r="GS227" s="1201"/>
      <c r="GT227" s="1201"/>
      <c r="GU227" s="1201"/>
      <c r="GV227" s="1201"/>
      <c r="GW227" s="1201"/>
      <c r="GX227" s="1201"/>
      <c r="GY227" s="1201"/>
      <c r="GZ227" s="1201"/>
      <c r="HA227" s="1201"/>
      <c r="HB227" s="1201"/>
      <c r="HC227" s="1201"/>
      <c r="HD227" s="1201"/>
      <c r="HE227" s="1201"/>
      <c r="HF227" s="1201"/>
      <c r="HG227" s="1201"/>
      <c r="HH227" s="1201"/>
      <c r="HI227" s="1201"/>
      <c r="HJ227" s="1201"/>
      <c r="HK227" s="1201"/>
      <c r="HL227" s="1201"/>
      <c r="HM227" s="1201"/>
      <c r="HN227" s="1201"/>
      <c r="HO227" s="1201"/>
      <c r="HP227" s="1201"/>
      <c r="HQ227" s="1201"/>
      <c r="HR227" s="1201"/>
      <c r="HS227" s="1201"/>
      <c r="HT227" s="1201"/>
      <c r="HU227" s="1201"/>
      <c r="HV227" s="1201"/>
      <c r="HW227" s="1201"/>
      <c r="HX227" s="1201"/>
      <c r="HY227" s="1201"/>
      <c r="HZ227" s="1201"/>
      <c r="IA227" s="1201"/>
      <c r="IB227" s="1201"/>
      <c r="IC227" s="1201"/>
      <c r="ID227" s="1201"/>
      <c r="IE227" s="1201"/>
      <c r="IF227" s="1201"/>
      <c r="IG227" s="1201"/>
      <c r="IH227" s="1201"/>
      <c r="II227" s="1201"/>
      <c r="IJ227" s="1201"/>
      <c r="IK227" s="1201"/>
      <c r="IL227" s="1201"/>
      <c r="IM227" s="1201"/>
      <c r="IN227" s="1201"/>
      <c r="IO227" s="1201"/>
      <c r="IP227" s="1201"/>
      <c r="IQ227" s="1201"/>
      <c r="IR227" s="1201"/>
      <c r="IS227" s="1201"/>
      <c r="IT227" s="1201"/>
      <c r="IU227" s="1201"/>
      <c r="IV227" s="1201"/>
      <c r="IW227" s="1201"/>
      <c r="IX227" s="1201"/>
      <c r="IY227" s="1201"/>
      <c r="IZ227" s="1201"/>
      <c r="JA227" s="1201"/>
      <c r="JB227" s="1201"/>
      <c r="JC227" s="1201"/>
      <c r="JD227" s="1201"/>
      <c r="JE227" s="1201"/>
      <c r="JF227" s="1201"/>
      <c r="JG227" s="1201"/>
      <c r="JH227" s="1201"/>
      <c r="JI227" s="1201"/>
      <c r="JJ227" s="1201"/>
      <c r="JK227" s="1201"/>
      <c r="JL227" s="1201"/>
      <c r="JM227" s="1201"/>
      <c r="JN227" s="1201"/>
      <c r="JO227" s="1201"/>
      <c r="JP227" s="1201"/>
      <c r="JQ227" s="1201"/>
      <c r="JR227" s="1201"/>
      <c r="JS227" s="1201"/>
      <c r="JT227" s="1201"/>
      <c r="JU227" s="1201"/>
      <c r="JV227" s="1201"/>
      <c r="JW227" s="1201"/>
      <c r="JX227" s="1201"/>
      <c r="JY227" s="1201"/>
      <c r="JZ227" s="1201"/>
      <c r="KA227" s="1201"/>
      <c r="KB227" s="1201"/>
      <c r="KC227" s="1201"/>
      <c r="KD227" s="1201"/>
      <c r="KE227" s="1201"/>
      <c r="KF227" s="1201"/>
      <c r="KG227" s="1201"/>
      <c r="KH227" s="1201"/>
      <c r="KI227" s="1201"/>
      <c r="KJ227" s="1201"/>
      <c r="KK227" s="1201"/>
      <c r="KL227" s="1201"/>
      <c r="KM227" s="1201"/>
      <c r="KN227" s="1201"/>
      <c r="KO227" s="1201"/>
      <c r="KP227" s="1201"/>
      <c r="KQ227" s="1201"/>
      <c r="KR227" s="1201"/>
      <c r="KS227" s="1201"/>
      <c r="KT227" s="1201"/>
      <c r="KU227" s="1201"/>
      <c r="KV227" s="1201"/>
      <c r="KW227" s="1201"/>
      <c r="KX227" s="1201"/>
      <c r="KY227" s="1201"/>
      <c r="KZ227" s="1201"/>
      <c r="LA227" s="1201"/>
      <c r="LB227" s="1201"/>
      <c r="LC227" s="1201"/>
      <c r="LD227" s="1201"/>
      <c r="LE227" s="1201"/>
      <c r="LF227" s="1201"/>
      <c r="LG227" s="1201"/>
      <c r="LH227" s="1201"/>
      <c r="LI227" s="1201"/>
      <c r="LJ227" s="1201"/>
      <c r="LK227" s="1201"/>
      <c r="LL227" s="1201"/>
      <c r="LM227" s="1201"/>
      <c r="LN227" s="1201"/>
      <c r="LO227" s="1201"/>
      <c r="LP227" s="1201"/>
      <c r="LQ227" s="1201"/>
      <c r="LR227" s="1201"/>
      <c r="LS227" s="1201"/>
      <c r="LT227" s="1201"/>
      <c r="LU227" s="1201"/>
      <c r="LV227" s="1201"/>
      <c r="LW227" s="1201"/>
      <c r="LX227" s="1201"/>
      <c r="LY227" s="1201"/>
      <c r="LZ227" s="1201"/>
      <c r="MA227" s="1201"/>
      <c r="MB227" s="1201"/>
      <c r="MC227" s="1201"/>
      <c r="MD227" s="1201"/>
      <c r="ME227" s="1201"/>
      <c r="MF227" s="1201"/>
      <c r="MG227" s="1201"/>
      <c r="MH227" s="1201"/>
      <c r="MI227" s="1201"/>
      <c r="MJ227" s="1201"/>
      <c r="MK227" s="1201"/>
      <c r="ML227" s="1201"/>
      <c r="MM227" s="1201"/>
      <c r="MN227" s="1201"/>
      <c r="MO227" s="1201"/>
      <c r="MP227" s="1201"/>
      <c r="MQ227" s="1201"/>
      <c r="MR227" s="1201"/>
      <c r="MS227" s="1201"/>
      <c r="MT227" s="1201"/>
      <c r="MU227" s="1201"/>
      <c r="MV227" s="1201"/>
      <c r="MW227" s="1201"/>
      <c r="MX227" s="1201"/>
      <c r="MY227" s="1201"/>
      <c r="MZ227" s="1201"/>
      <c r="NA227" s="1201"/>
      <c r="NB227" s="1201"/>
      <c r="NC227" s="1201"/>
      <c r="ND227" s="1201"/>
      <c r="NE227" s="1201"/>
      <c r="NF227" s="1201"/>
      <c r="NG227" s="1201"/>
      <c r="NH227" s="1201"/>
      <c r="NI227" s="1201"/>
      <c r="NJ227" s="1201"/>
      <c r="NK227" s="1201"/>
      <c r="NL227" s="1201"/>
      <c r="NM227" s="1201"/>
      <c r="NN227" s="1201"/>
      <c r="NO227" s="1201"/>
      <c r="NP227" s="1201"/>
      <c r="NQ227" s="1201"/>
      <c r="NR227" s="1201"/>
      <c r="NS227" s="1201"/>
      <c r="NT227" s="1201"/>
      <c r="NU227" s="1201"/>
      <c r="NV227" s="1201"/>
      <c r="NW227" s="1201"/>
      <c r="NX227" s="1201"/>
      <c r="NY227" s="1201"/>
      <c r="NZ227" s="1201"/>
      <c r="OA227" s="1201"/>
      <c r="OB227" s="1201"/>
      <c r="OC227" s="1201"/>
      <c r="OD227" s="1201"/>
      <c r="OE227" s="1201"/>
      <c r="OF227" s="1201"/>
      <c r="OG227" s="1201"/>
      <c r="OH227" s="1201"/>
      <c r="OI227" s="1201"/>
      <c r="OJ227" s="1201"/>
      <c r="OK227" s="1201"/>
      <c r="OL227" s="1201"/>
      <c r="OM227" s="1201"/>
      <c r="ON227" s="1201"/>
      <c r="OO227" s="1201"/>
      <c r="OP227" s="1201"/>
      <c r="OQ227" s="1201"/>
      <c r="OR227" s="1201"/>
      <c r="OS227" s="1201"/>
      <c r="OT227" s="1201"/>
      <c r="OU227" s="1201"/>
      <c r="OV227" s="1201"/>
      <c r="OW227" s="1201"/>
      <c r="OX227" s="1201"/>
      <c r="OY227" s="1201"/>
      <c r="OZ227" s="1201"/>
      <c r="PA227" s="1201"/>
      <c r="PB227" s="1201"/>
      <c r="PC227" s="1201"/>
      <c r="PD227" s="1201"/>
      <c r="PE227" s="1201"/>
      <c r="PF227" s="1201"/>
      <c r="PG227" s="1201"/>
      <c r="PH227" s="1201"/>
      <c r="PI227" s="1201"/>
      <c r="PJ227" s="1201"/>
      <c r="PK227" s="1201"/>
      <c r="PL227" s="1201"/>
      <c r="PM227" s="1201"/>
      <c r="PN227" s="1201"/>
      <c r="PO227" s="1201"/>
      <c r="PP227" s="1201"/>
      <c r="PQ227" s="1201"/>
      <c r="PR227" s="1201"/>
      <c r="PS227" s="1201"/>
      <c r="PT227" s="1201"/>
      <c r="PU227" s="1201"/>
      <c r="PV227" s="1201"/>
      <c r="PW227" s="1201"/>
      <c r="PX227" s="1201"/>
      <c r="PY227" s="1201"/>
      <c r="PZ227" s="1201"/>
      <c r="QA227" s="1201"/>
      <c r="QB227" s="1201"/>
      <c r="QC227" s="1201"/>
      <c r="QD227" s="1201"/>
      <c r="QE227" s="1201"/>
      <c r="QF227" s="1201"/>
      <c r="QG227" s="1201"/>
      <c r="QH227" s="1201"/>
      <c r="QI227" s="1201"/>
      <c r="QJ227" s="1201"/>
      <c r="QK227" s="1201"/>
      <c r="QL227" s="1201"/>
      <c r="QM227" s="1201"/>
      <c r="QN227" s="1201"/>
      <c r="QO227" s="1201"/>
      <c r="QP227" s="1201"/>
      <c r="QQ227" s="1201"/>
      <c r="QR227" s="1201"/>
      <c r="QS227" s="1201"/>
      <c r="QT227" s="1201"/>
      <c r="QU227" s="1201"/>
      <c r="QV227" s="1201"/>
      <c r="QW227" s="1201"/>
      <c r="QX227" s="1201"/>
      <c r="QY227" s="1201"/>
      <c r="QZ227" s="1201"/>
      <c r="RA227" s="1201"/>
      <c r="RB227" s="1201"/>
      <c r="RC227" s="1201"/>
      <c r="RD227" s="1201"/>
      <c r="RE227" s="1201"/>
      <c r="RF227" s="1201"/>
      <c r="RG227" s="1201"/>
      <c r="RH227" s="1201"/>
      <c r="RI227" s="1201"/>
      <c r="RJ227" s="1201"/>
      <c r="RK227" s="1201"/>
      <c r="RL227" s="1201"/>
      <c r="RM227" s="1201"/>
      <c r="RN227" s="1201"/>
      <c r="RO227" s="1201"/>
      <c r="RP227" s="1201"/>
      <c r="RQ227" s="1201"/>
      <c r="RR227" s="1201"/>
      <c r="RS227" s="1201"/>
      <c r="RT227" s="1201"/>
      <c r="RU227" s="1201"/>
      <c r="RV227" s="1201"/>
      <c r="RW227" s="1201"/>
      <c r="RX227" s="1201"/>
      <c r="RY227" s="1201"/>
      <c r="RZ227" s="1201"/>
      <c r="SA227" s="1201"/>
      <c r="SB227" s="1201"/>
      <c r="SC227" s="1201"/>
      <c r="SD227" s="1201"/>
      <c r="SE227" s="1201"/>
      <c r="SF227" s="1201"/>
      <c r="SG227" s="1201"/>
      <c r="SH227" s="1201"/>
      <c r="SI227" s="1201"/>
      <c r="SJ227" s="1201"/>
      <c r="SK227" s="1201"/>
      <c r="SL227" s="1201"/>
      <c r="SM227" s="1201"/>
      <c r="SN227" s="1201"/>
      <c r="SO227" s="1201"/>
      <c r="SP227" s="1201"/>
      <c r="SQ227" s="1201"/>
      <c r="SR227" s="1201"/>
      <c r="SS227" s="1201"/>
      <c r="ST227" s="1201"/>
      <c r="SU227" s="1201"/>
      <c r="SV227" s="1201"/>
      <c r="SW227" s="1201"/>
      <c r="SX227" s="1201"/>
      <c r="SY227" s="1201"/>
      <c r="SZ227" s="1201"/>
      <c r="TA227" s="1201"/>
      <c r="TB227" s="1201"/>
      <c r="TC227" s="1201"/>
      <c r="TD227" s="1201"/>
      <c r="TE227" s="1201"/>
      <c r="TF227" s="1201"/>
      <c r="TG227" s="1201"/>
      <c r="TH227" s="1201"/>
      <c r="TI227" s="1201"/>
      <c r="TJ227" s="1201"/>
      <c r="TK227" s="1201"/>
      <c r="TL227" s="1201"/>
      <c r="TM227" s="1201"/>
      <c r="TN227" s="1201"/>
      <c r="TO227" s="1201"/>
      <c r="TP227" s="1201"/>
      <c r="TQ227" s="1201"/>
      <c r="TR227" s="1201"/>
      <c r="TS227" s="1201"/>
      <c r="TT227" s="1201"/>
      <c r="TU227" s="1201"/>
      <c r="TV227" s="1201"/>
      <c r="TW227" s="1201"/>
      <c r="TX227" s="1201"/>
      <c r="TY227" s="1201"/>
      <c r="TZ227" s="1201"/>
      <c r="UA227" s="1201"/>
      <c r="UB227" s="1201"/>
      <c r="UC227" s="1201"/>
      <c r="UD227" s="1201"/>
      <c r="UE227" s="1201"/>
      <c r="UF227" s="1201"/>
      <c r="UG227" s="1201"/>
      <c r="UH227" s="1201"/>
      <c r="UI227" s="1201"/>
      <c r="UJ227" s="1201"/>
      <c r="UK227" s="1201"/>
      <c r="UL227" s="1201"/>
      <c r="UM227" s="1201"/>
      <c r="UN227" s="1201"/>
      <c r="UO227" s="1201"/>
      <c r="UP227" s="1201"/>
      <c r="UQ227" s="1201"/>
      <c r="UR227" s="1201"/>
      <c r="US227" s="1201"/>
      <c r="UT227" s="1201"/>
      <c r="UU227" s="1201"/>
      <c r="UV227" s="1201"/>
      <c r="UW227" s="1201"/>
      <c r="UX227" s="1201"/>
      <c r="UY227" s="1201"/>
      <c r="UZ227" s="1201"/>
      <c r="VA227" s="1201"/>
      <c r="VB227" s="1201"/>
      <c r="VC227" s="1201"/>
      <c r="VD227" s="1201"/>
      <c r="VE227" s="1201"/>
      <c r="VF227" s="1201"/>
      <c r="VG227" s="1201"/>
      <c r="VH227" s="1201"/>
      <c r="VI227" s="1201"/>
      <c r="VJ227" s="1201"/>
      <c r="VK227" s="1201"/>
      <c r="VL227" s="1201"/>
      <c r="VM227" s="1201"/>
      <c r="VN227" s="1201"/>
      <c r="VO227" s="1201"/>
      <c r="VP227" s="1201"/>
      <c r="VQ227" s="1201"/>
      <c r="VR227" s="1201"/>
      <c r="VS227" s="1201"/>
      <c r="VT227" s="1201"/>
      <c r="VU227" s="1201"/>
      <c r="VV227" s="1201"/>
      <c r="VW227" s="1201"/>
      <c r="VX227" s="1201"/>
      <c r="VY227" s="1201"/>
      <c r="VZ227" s="1201"/>
      <c r="WA227" s="1201"/>
      <c r="WB227" s="1201"/>
      <c r="WC227" s="1201"/>
      <c r="WD227" s="1201"/>
      <c r="WE227" s="1201"/>
      <c r="WF227" s="1201"/>
      <c r="WG227" s="1201"/>
      <c r="WH227" s="1201"/>
      <c r="WI227" s="1201"/>
      <c r="WJ227" s="1201"/>
      <c r="WK227" s="1201"/>
      <c r="WL227" s="1201"/>
      <c r="WM227" s="1201"/>
      <c r="WN227" s="1201"/>
      <c r="WO227" s="1201"/>
      <c r="WP227" s="1201"/>
      <c r="WQ227" s="1201"/>
      <c r="WR227" s="1201"/>
      <c r="WS227" s="1201"/>
      <c r="WT227" s="1201"/>
      <c r="WU227" s="1201"/>
      <c r="WV227" s="1201"/>
      <c r="WW227" s="1201"/>
      <c r="WX227" s="1201"/>
      <c r="WY227" s="1201"/>
      <c r="WZ227" s="1201"/>
      <c r="XA227" s="1201"/>
      <c r="XB227" s="1201"/>
      <c r="XC227" s="1201"/>
      <c r="XD227" s="1201"/>
      <c r="XE227" s="1201"/>
      <c r="XF227" s="1201"/>
      <c r="XG227" s="1201"/>
      <c r="XH227" s="1201"/>
      <c r="XI227" s="1201"/>
      <c r="XJ227" s="1201"/>
      <c r="XK227" s="1201"/>
      <c r="XL227" s="1201"/>
      <c r="XM227" s="1201"/>
      <c r="XN227" s="1201"/>
      <c r="XO227" s="1201"/>
      <c r="XP227" s="1201"/>
      <c r="XQ227" s="1201"/>
      <c r="XR227" s="1201"/>
      <c r="XS227" s="1201"/>
      <c r="XT227" s="1201"/>
      <c r="XU227" s="1201"/>
      <c r="XV227" s="1201"/>
      <c r="XW227" s="1201"/>
      <c r="XX227" s="1201"/>
      <c r="XY227" s="1201"/>
      <c r="XZ227" s="1201"/>
      <c r="YA227" s="1201"/>
      <c r="YB227" s="1201"/>
      <c r="YC227" s="1201"/>
      <c r="YD227" s="1201"/>
      <c r="YE227" s="1201"/>
      <c r="YF227" s="1201"/>
      <c r="YG227" s="1201"/>
      <c r="YH227" s="1201"/>
      <c r="YI227" s="1201"/>
      <c r="YJ227" s="1201"/>
      <c r="YK227" s="1201"/>
      <c r="YL227" s="1201"/>
      <c r="YM227" s="1201"/>
      <c r="YN227" s="1201"/>
      <c r="YO227" s="1201"/>
      <c r="YP227" s="1201"/>
      <c r="YQ227" s="1201"/>
      <c r="YR227" s="1201"/>
      <c r="YS227" s="1201"/>
      <c r="YT227" s="1201"/>
      <c r="YU227" s="1201"/>
      <c r="YV227" s="1201"/>
      <c r="YW227" s="1201"/>
      <c r="YX227" s="1201"/>
      <c r="YY227" s="1201"/>
      <c r="YZ227" s="1201"/>
      <c r="ZA227" s="1201"/>
      <c r="ZB227" s="1201"/>
      <c r="ZC227" s="1201"/>
      <c r="ZD227" s="1201"/>
      <c r="ZE227" s="1201"/>
      <c r="ZF227" s="1201"/>
      <c r="ZG227" s="1201"/>
      <c r="ZH227" s="1201"/>
      <c r="ZI227" s="1201"/>
      <c r="ZJ227" s="1201"/>
      <c r="ZK227" s="1201"/>
      <c r="ZL227" s="1201"/>
      <c r="ZM227" s="1201"/>
      <c r="ZN227" s="1201"/>
      <c r="ZO227" s="1201"/>
      <c r="ZP227" s="1201"/>
      <c r="ZQ227" s="1201"/>
      <c r="ZR227" s="1201"/>
      <c r="ZS227" s="1201"/>
      <c r="ZT227" s="1201"/>
      <c r="ZU227" s="1201"/>
      <c r="ZV227" s="1201"/>
      <c r="ZW227" s="1201"/>
      <c r="ZX227" s="1201"/>
      <c r="ZY227" s="1201"/>
      <c r="ZZ227" s="1201"/>
      <c r="AAA227" s="1201"/>
      <c r="AAB227" s="1201"/>
      <c r="AAC227" s="1201"/>
      <c r="AAD227" s="1201"/>
      <c r="AAE227" s="1201"/>
      <c r="AAF227" s="1201"/>
      <c r="AAG227" s="1201"/>
      <c r="AAH227" s="1201"/>
      <c r="AAI227" s="1201"/>
      <c r="AAJ227" s="1201"/>
      <c r="AAK227" s="1201"/>
      <c r="AAL227" s="1201"/>
      <c r="AAM227" s="1201"/>
      <c r="AAN227" s="1201"/>
      <c r="AAO227" s="1201"/>
      <c r="AAP227" s="1201"/>
      <c r="AAQ227" s="1201"/>
      <c r="AAR227" s="1201"/>
      <c r="AAS227" s="1201"/>
      <c r="AAT227" s="1201"/>
      <c r="AAU227" s="1201"/>
      <c r="AAV227" s="1201"/>
      <c r="AAW227" s="1201"/>
      <c r="AAX227" s="1201"/>
      <c r="AAY227" s="1201"/>
      <c r="AAZ227" s="1201"/>
      <c r="ABA227" s="1201"/>
      <c r="ABB227" s="1201"/>
      <c r="ABC227" s="1201"/>
      <c r="ABD227" s="1201"/>
      <c r="ABE227" s="1201"/>
      <c r="ABF227" s="1201"/>
      <c r="ABG227" s="1201"/>
      <c r="ABH227" s="1201"/>
      <c r="ABI227" s="1201"/>
      <c r="ABJ227" s="1201"/>
      <c r="ABK227" s="1201"/>
      <c r="ABL227" s="1201"/>
      <c r="ABM227" s="1201"/>
      <c r="ABN227" s="1201"/>
      <c r="ABO227" s="1201"/>
      <c r="ABP227" s="1201"/>
      <c r="ABQ227" s="1201"/>
      <c r="ABR227" s="1201"/>
      <c r="ABS227" s="1201"/>
      <c r="ABT227" s="1201"/>
      <c r="ABU227" s="1201"/>
      <c r="ABV227" s="1201"/>
      <c r="ABW227" s="1201"/>
      <c r="ABX227" s="1201"/>
      <c r="ABY227" s="1201"/>
      <c r="ABZ227" s="1201"/>
      <c r="ACA227" s="1201"/>
      <c r="ACB227" s="1201"/>
      <c r="ACC227" s="1201"/>
      <c r="ACD227" s="1201"/>
      <c r="ACE227" s="1201"/>
      <c r="ACF227" s="1201"/>
      <c r="ACG227" s="1201"/>
      <c r="ACH227" s="1201"/>
      <c r="ACI227" s="1201"/>
      <c r="ACJ227" s="1201"/>
      <c r="ACK227" s="1201"/>
      <c r="ACL227" s="1201"/>
      <c r="ACM227" s="1201"/>
      <c r="ACN227" s="1201"/>
      <c r="ACO227" s="1201"/>
      <c r="ACP227" s="1201"/>
      <c r="ACQ227" s="1201"/>
      <c r="ACR227" s="1201"/>
      <c r="ACS227" s="1201"/>
      <c r="ACT227" s="1201"/>
      <c r="ACU227" s="1201"/>
      <c r="ACV227" s="1201"/>
      <c r="ACW227" s="1201"/>
      <c r="ACX227" s="1201"/>
      <c r="ACY227" s="1201"/>
      <c r="ACZ227" s="1201"/>
      <c r="ADA227" s="1201"/>
      <c r="ADB227" s="1201"/>
      <c r="ADC227" s="1201"/>
      <c r="ADD227" s="1201"/>
      <c r="ADE227" s="1201"/>
      <c r="ADF227" s="1201"/>
      <c r="ADG227" s="1201"/>
      <c r="ADH227" s="1201"/>
      <c r="ADI227" s="1201"/>
      <c r="ADJ227" s="1201"/>
      <c r="ADK227" s="1201"/>
      <c r="ADL227" s="1201"/>
      <c r="ADM227" s="1201"/>
      <c r="ADN227" s="1201"/>
      <c r="ADO227" s="1201"/>
      <c r="ADP227" s="1201"/>
      <c r="ADQ227" s="1201"/>
      <c r="ADR227" s="1201"/>
      <c r="ADS227" s="1201"/>
      <c r="ADT227" s="1201"/>
      <c r="ADU227" s="1201"/>
      <c r="ADV227" s="1201"/>
      <c r="ADW227" s="1201"/>
      <c r="ADX227" s="1201"/>
      <c r="ADY227" s="1201"/>
      <c r="ADZ227" s="1201"/>
      <c r="AEA227" s="1201"/>
      <c r="AEB227" s="1201"/>
      <c r="AEC227" s="1201"/>
      <c r="AED227" s="1201"/>
      <c r="AEE227" s="1201"/>
      <c r="AEF227" s="1201"/>
      <c r="AEG227" s="1201"/>
      <c r="AEH227" s="1201"/>
      <c r="AEI227" s="1201"/>
      <c r="AEJ227" s="1201"/>
      <c r="AEK227" s="1201"/>
      <c r="AEL227" s="1201"/>
      <c r="AEM227" s="1201"/>
      <c r="AEN227" s="1201"/>
      <c r="AEO227" s="1201"/>
      <c r="AEP227" s="1201"/>
      <c r="AEQ227" s="1201"/>
      <c r="AER227" s="1201"/>
      <c r="AES227" s="1201"/>
      <c r="AET227" s="1201"/>
      <c r="AEU227" s="1201"/>
      <c r="AEV227" s="1201"/>
      <c r="AEW227" s="1201"/>
      <c r="AEX227" s="1201"/>
      <c r="AEY227" s="1201"/>
      <c r="AEZ227" s="1201"/>
      <c r="AFA227" s="1201"/>
      <c r="AFB227" s="1201"/>
      <c r="AFC227" s="1201"/>
      <c r="AFD227" s="1201"/>
      <c r="AFE227" s="1201"/>
      <c r="AFF227" s="1201"/>
      <c r="AFG227" s="1201"/>
      <c r="AFH227" s="1201"/>
      <c r="AFI227" s="1201"/>
      <c r="AFJ227" s="1201"/>
      <c r="AFK227" s="1201"/>
      <c r="AFL227" s="1201"/>
      <c r="AFM227" s="1201"/>
      <c r="AFN227" s="1201"/>
      <c r="AFO227" s="1201"/>
      <c r="AFP227" s="1201"/>
      <c r="AFQ227" s="1201"/>
      <c r="AFR227" s="1201"/>
      <c r="AFS227" s="1201"/>
      <c r="AFT227" s="1201"/>
      <c r="AFU227" s="1201"/>
      <c r="AFV227" s="1201"/>
      <c r="AFW227" s="1201"/>
      <c r="AFX227" s="1201"/>
      <c r="AFY227" s="1201"/>
      <c r="AFZ227" s="1201"/>
      <c r="AGA227" s="1201"/>
      <c r="AGB227" s="1201"/>
      <c r="AGC227" s="1201"/>
      <c r="AGD227" s="1201"/>
      <c r="AGE227" s="1201"/>
      <c r="AGF227" s="1201"/>
      <c r="AGG227" s="1201"/>
      <c r="AGH227" s="1201"/>
      <c r="AGI227" s="1201"/>
      <c r="AGJ227" s="1201"/>
      <c r="AGK227" s="1201"/>
      <c r="AGL227" s="1201"/>
      <c r="AGM227" s="1201"/>
      <c r="AGN227" s="1201"/>
      <c r="AGO227" s="1201"/>
      <c r="AGP227" s="1201"/>
      <c r="AGQ227" s="1201"/>
      <c r="AGR227" s="1201"/>
      <c r="AGS227" s="1201"/>
      <c r="AGT227" s="1201"/>
      <c r="AGU227" s="1201"/>
      <c r="AGV227" s="1201"/>
      <c r="AGW227" s="1201"/>
      <c r="AGX227" s="1201"/>
      <c r="AGY227" s="1201"/>
      <c r="AGZ227" s="1201"/>
      <c r="AHA227" s="1201"/>
      <c r="AHB227" s="1201"/>
      <c r="AHC227" s="1201"/>
      <c r="AHD227" s="1201"/>
      <c r="AHE227" s="1201"/>
      <c r="AHF227" s="1201"/>
      <c r="AHG227" s="1201"/>
      <c r="AHH227" s="1201"/>
      <c r="AHI227" s="1201"/>
      <c r="AHJ227" s="1201"/>
      <c r="AHK227" s="1201"/>
      <c r="AHL227" s="1201"/>
      <c r="AHM227" s="1201"/>
      <c r="AHN227" s="1201"/>
      <c r="AHO227" s="1201"/>
      <c r="AHP227" s="1201"/>
      <c r="AHQ227" s="1201"/>
      <c r="AHR227" s="1201"/>
      <c r="AHS227" s="1201"/>
      <c r="AHT227" s="1201"/>
      <c r="AHU227" s="1201"/>
      <c r="AHV227" s="1201"/>
      <c r="AHW227" s="1201"/>
      <c r="AHX227" s="1201"/>
      <c r="AHY227" s="1201"/>
      <c r="AHZ227" s="1201"/>
      <c r="AIA227" s="1201"/>
      <c r="AIB227" s="1201"/>
      <c r="AIC227" s="1201"/>
      <c r="AID227" s="1201"/>
      <c r="AIE227" s="1201"/>
      <c r="AIF227" s="1201"/>
      <c r="AIG227" s="1201"/>
      <c r="AIH227" s="1201"/>
      <c r="AII227" s="1201"/>
      <c r="AIJ227" s="1201"/>
      <c r="AIK227" s="1201"/>
      <c r="AIL227" s="1201"/>
      <c r="AIM227" s="1201"/>
      <c r="AIN227" s="1201"/>
      <c r="AIO227" s="1201"/>
      <c r="AIP227" s="1201"/>
      <c r="AIQ227" s="1201"/>
      <c r="AIR227" s="1201"/>
      <c r="AIS227" s="1201"/>
      <c r="AIT227" s="1201"/>
      <c r="AIU227" s="1201"/>
      <c r="AIV227" s="1201"/>
      <c r="AIW227" s="1201"/>
      <c r="AIX227" s="1201"/>
      <c r="AIY227" s="1201"/>
      <c r="AIZ227" s="1201"/>
      <c r="AJA227" s="1201"/>
      <c r="AJB227" s="1201"/>
      <c r="AJC227" s="1201"/>
      <c r="AJD227" s="1201"/>
      <c r="AJE227" s="1201"/>
      <c r="AJF227" s="1201"/>
      <c r="AJG227" s="1201"/>
      <c r="AJH227" s="1201"/>
      <c r="AJI227" s="1201"/>
      <c r="AJJ227" s="1201"/>
      <c r="AJK227" s="1201"/>
      <c r="AJL227" s="1201"/>
      <c r="AJM227" s="1201"/>
      <c r="AJN227" s="1201"/>
      <c r="AJO227" s="1201"/>
      <c r="AJP227" s="1201"/>
      <c r="AJQ227" s="1201"/>
      <c r="AJR227" s="1201"/>
      <c r="AJS227" s="1201"/>
      <c r="AJT227" s="1201"/>
      <c r="AJU227" s="1201"/>
      <c r="AJV227" s="1201"/>
      <c r="AJW227" s="1201"/>
      <c r="AJX227" s="1201"/>
      <c r="AJY227" s="1201"/>
      <c r="AJZ227" s="1201"/>
      <c r="AKA227" s="1201"/>
      <c r="AKB227" s="1201"/>
      <c r="AKC227" s="1201"/>
      <c r="AKD227" s="1201"/>
      <c r="AKE227" s="1201"/>
      <c r="AKF227" s="1201"/>
      <c r="AKG227" s="1201"/>
      <c r="AKH227" s="1201"/>
      <c r="AKI227" s="1201"/>
      <c r="AKJ227" s="1201"/>
      <c r="AKK227" s="1201"/>
      <c r="AKL227" s="1201"/>
      <c r="AKM227" s="1201"/>
      <c r="AKN227" s="1201"/>
      <c r="AKO227" s="1201"/>
      <c r="AKP227" s="1201"/>
      <c r="AKQ227" s="1201"/>
      <c r="AKR227" s="1201"/>
      <c r="AKS227" s="1201"/>
      <c r="AKT227" s="1201"/>
      <c r="AKU227" s="1201"/>
      <c r="AKV227" s="1201"/>
      <c r="AKW227" s="1201"/>
      <c r="AKX227" s="1201"/>
      <c r="AKY227" s="1201"/>
      <c r="AKZ227" s="1201"/>
      <c r="ALA227" s="1201"/>
      <c r="ALB227" s="1201"/>
      <c r="ALC227" s="1201"/>
      <c r="ALD227" s="1201"/>
      <c r="ALE227" s="1201"/>
      <c r="ALF227" s="1201"/>
      <c r="ALG227" s="1201"/>
      <c r="ALH227" s="1201"/>
      <c r="ALI227" s="1201"/>
      <c r="ALJ227" s="1201"/>
      <c r="ALK227" s="1201"/>
      <c r="ALL227" s="1201"/>
      <c r="ALM227" s="1201"/>
      <c r="ALN227" s="1201"/>
      <c r="ALO227" s="1201"/>
      <c r="ALP227" s="1201"/>
      <c r="ALQ227" s="1201"/>
      <c r="ALR227" s="1201"/>
      <c r="ALS227" s="1201"/>
      <c r="ALT227" s="1201"/>
      <c r="ALU227" s="1201"/>
      <c r="ALV227" s="1201"/>
      <c r="ALW227" s="1201"/>
      <c r="ALX227" s="1201"/>
      <c r="ALY227" s="1201"/>
      <c r="ALZ227" s="1201"/>
      <c r="AMA227" s="1201"/>
      <c r="AMB227" s="1201"/>
      <c r="AMC227" s="1201"/>
      <c r="AMD227" s="1201"/>
      <c r="AME227" s="1201"/>
      <c r="AMF227" s="1201"/>
      <c r="AMG227" s="1201"/>
      <c r="AMH227" s="1201"/>
      <c r="AMI227" s="1201"/>
      <c r="AMJ227" s="1201"/>
      <c r="AMK227" s="1201"/>
      <c r="AML227" s="1201"/>
      <c r="AMM227" s="1201"/>
      <c r="AMN227" s="1201"/>
      <c r="AMO227" s="1201"/>
      <c r="AMP227" s="1201"/>
      <c r="AMQ227" s="1201"/>
      <c r="AMR227" s="1201"/>
      <c r="AMS227" s="1201"/>
      <c r="AMT227" s="1201"/>
      <c r="AMU227" s="1201"/>
      <c r="AMV227" s="1201"/>
      <c r="AMW227" s="1201"/>
      <c r="AMX227" s="1201"/>
      <c r="AMY227" s="1201"/>
      <c r="AMZ227" s="1201"/>
      <c r="ANA227" s="1201"/>
      <c r="ANB227" s="1201"/>
      <c r="ANC227" s="1201"/>
      <c r="AND227" s="1201"/>
      <c r="ANE227" s="1201"/>
      <c r="ANF227" s="1201"/>
      <c r="ANG227" s="1201"/>
      <c r="ANH227" s="1201"/>
      <c r="ANI227" s="1201"/>
      <c r="ANJ227" s="1201"/>
      <c r="ANK227" s="1201"/>
      <c r="ANL227" s="1201"/>
      <c r="ANM227" s="1201"/>
      <c r="ANN227" s="1201"/>
      <c r="ANO227" s="1201"/>
      <c r="ANP227" s="1201"/>
      <c r="ANQ227" s="1201"/>
      <c r="ANR227" s="1201"/>
      <c r="ANS227" s="1201"/>
      <c r="ANT227" s="1201"/>
      <c r="ANU227" s="1201"/>
      <c r="ANV227" s="1201"/>
      <c r="ANW227" s="1201"/>
      <c r="ANX227" s="1201"/>
      <c r="ANY227" s="1201"/>
      <c r="ANZ227" s="1201"/>
      <c r="AOA227" s="1201"/>
      <c r="AOB227" s="1201"/>
      <c r="AOC227" s="1201"/>
      <c r="AOD227" s="1201"/>
      <c r="AOE227" s="1201"/>
      <c r="AOF227" s="1201"/>
      <c r="AOG227" s="1201"/>
      <c r="AOH227" s="1201"/>
      <c r="AOI227" s="1201"/>
      <c r="AOJ227" s="1201"/>
      <c r="AOK227" s="1201"/>
      <c r="AOL227" s="1201"/>
      <c r="AOM227" s="1201"/>
      <c r="AON227" s="1201"/>
      <c r="AOO227" s="1201"/>
      <c r="AOP227" s="1201"/>
      <c r="AOQ227" s="1201"/>
      <c r="AOR227" s="1201"/>
      <c r="AOS227" s="1201"/>
      <c r="AOT227" s="1201"/>
      <c r="AOU227" s="1201"/>
      <c r="AOV227" s="1201"/>
      <c r="AOW227" s="1201"/>
      <c r="AOX227" s="1201"/>
      <c r="AOY227" s="1201"/>
      <c r="AOZ227" s="1201"/>
      <c r="APA227" s="1201"/>
      <c r="APB227" s="1201"/>
      <c r="APC227" s="1201"/>
      <c r="APD227" s="1201"/>
      <c r="APE227" s="1201"/>
      <c r="APF227" s="1201"/>
      <c r="APG227" s="1201"/>
      <c r="APH227" s="1201"/>
      <c r="API227" s="1201"/>
      <c r="APJ227" s="1201"/>
      <c r="APK227" s="1201"/>
      <c r="APL227" s="1201"/>
      <c r="APM227" s="1201"/>
      <c r="APN227" s="1201"/>
      <c r="APO227" s="1201"/>
      <c r="APP227" s="1201"/>
      <c r="APQ227" s="1201"/>
      <c r="APR227" s="1201"/>
      <c r="APS227" s="1201"/>
      <c r="APT227" s="1201"/>
      <c r="APU227" s="1201"/>
      <c r="APV227" s="1201"/>
      <c r="APW227" s="1201"/>
      <c r="APX227" s="1201"/>
      <c r="APY227" s="1201"/>
      <c r="APZ227" s="1201"/>
      <c r="AQA227" s="1201"/>
      <c r="AQB227" s="1201"/>
      <c r="AQC227" s="1201"/>
      <c r="AQD227" s="1201"/>
      <c r="AQE227" s="1201"/>
      <c r="AQF227" s="1201"/>
      <c r="AQG227" s="1201"/>
      <c r="AQH227" s="1201"/>
      <c r="AQI227" s="1201"/>
      <c r="AQJ227" s="1201"/>
      <c r="AQK227" s="1201"/>
      <c r="AQL227" s="1201"/>
      <c r="AQM227" s="1201"/>
      <c r="AQN227" s="1201"/>
      <c r="AQO227" s="1201"/>
      <c r="AQP227" s="1201"/>
      <c r="AQQ227" s="1201"/>
      <c r="AQR227" s="1201"/>
      <c r="AQS227" s="1201"/>
      <c r="AQT227" s="1201"/>
      <c r="AQU227" s="1201"/>
      <c r="AQV227" s="1201"/>
      <c r="AQW227" s="1201"/>
      <c r="AQX227" s="1201"/>
      <c r="AQY227" s="1201"/>
      <c r="AQZ227" s="1201"/>
      <c r="ARA227" s="1201"/>
      <c r="ARB227" s="1201"/>
      <c r="ARC227" s="1201"/>
      <c r="ARD227" s="1201"/>
      <c r="ARE227" s="1201"/>
      <c r="ARF227" s="1201"/>
      <c r="ARG227" s="1201"/>
      <c r="ARH227" s="1201"/>
      <c r="ARI227" s="1201"/>
      <c r="ARJ227" s="1201"/>
      <c r="ARK227" s="1201"/>
      <c r="ARL227" s="1201"/>
      <c r="ARM227" s="1201"/>
      <c r="ARN227" s="1201"/>
      <c r="ARO227" s="1201"/>
      <c r="ARP227" s="1201"/>
      <c r="ARQ227" s="1201"/>
      <c r="ARR227" s="1201"/>
      <c r="ARS227" s="1201"/>
      <c r="ART227" s="1201"/>
      <c r="ARU227" s="1201"/>
      <c r="ARV227" s="1201"/>
      <c r="ARW227" s="1201"/>
      <c r="ARX227" s="1201"/>
      <c r="ARY227" s="1201"/>
      <c r="ARZ227" s="1201"/>
      <c r="ASA227" s="1201"/>
      <c r="ASB227" s="1201"/>
      <c r="ASC227" s="1201"/>
      <c r="ASD227" s="1201"/>
      <c r="ASE227" s="1201"/>
      <c r="ASF227" s="1201"/>
      <c r="ASG227" s="1201"/>
      <c r="ASH227" s="1201"/>
      <c r="ASI227" s="1201"/>
      <c r="ASJ227" s="1201"/>
      <c r="ASK227" s="1201"/>
      <c r="ASL227" s="1201"/>
      <c r="ASM227" s="1201"/>
      <c r="ASN227" s="1201"/>
      <c r="ASO227" s="1201"/>
      <c r="ASP227" s="1201"/>
      <c r="ASQ227" s="1201"/>
      <c r="ASR227" s="1201"/>
      <c r="ASS227" s="1201"/>
      <c r="AST227" s="1201"/>
      <c r="ASU227" s="1201"/>
      <c r="ASV227" s="1201"/>
      <c r="ASW227" s="1201"/>
      <c r="ASX227" s="1201"/>
      <c r="ASY227" s="1201"/>
      <c r="ASZ227" s="1201"/>
      <c r="ATA227" s="1201"/>
      <c r="ATB227" s="1201"/>
      <c r="ATC227" s="1201"/>
      <c r="ATD227" s="1201"/>
      <c r="ATE227" s="1201"/>
      <c r="ATF227" s="1201"/>
      <c r="ATG227" s="1201"/>
      <c r="ATH227" s="1201"/>
      <c r="ATI227" s="1201"/>
      <c r="ATJ227" s="1201"/>
      <c r="ATK227" s="1201"/>
      <c r="ATL227" s="1201"/>
      <c r="ATM227" s="1201"/>
      <c r="ATN227" s="1201"/>
      <c r="ATO227" s="1201"/>
      <c r="ATP227" s="1201"/>
      <c r="ATQ227" s="1201"/>
      <c r="ATR227" s="1201"/>
      <c r="ATS227" s="1201"/>
      <c r="ATT227" s="1201"/>
      <c r="ATU227" s="1201"/>
      <c r="ATV227" s="1201"/>
      <c r="ATW227" s="1201"/>
      <c r="ATX227" s="1201"/>
      <c r="ATY227" s="1201"/>
      <c r="ATZ227" s="1201"/>
      <c r="AUA227" s="1201"/>
      <c r="AUB227" s="1201"/>
      <c r="AUC227" s="1201"/>
      <c r="AUD227" s="1201"/>
      <c r="AUE227" s="1201"/>
      <c r="AUF227" s="1201"/>
      <c r="AUG227" s="1201"/>
      <c r="AUH227" s="1201"/>
      <c r="AUI227" s="1201"/>
      <c r="AUJ227" s="1201"/>
      <c r="AUK227" s="1201"/>
      <c r="AUL227" s="1201"/>
      <c r="AUM227" s="1201"/>
      <c r="AUN227" s="1201"/>
      <c r="AUO227" s="1201"/>
      <c r="AUP227" s="1201"/>
      <c r="AUQ227" s="1201"/>
      <c r="AUR227" s="1201"/>
      <c r="AUS227" s="1201"/>
      <c r="AUT227" s="1201"/>
      <c r="AUU227" s="1201"/>
      <c r="AUV227" s="1201"/>
      <c r="AUW227" s="1201"/>
      <c r="AUX227" s="1201"/>
      <c r="AUY227" s="1201"/>
      <c r="AUZ227" s="1201"/>
      <c r="AVA227" s="1201"/>
      <c r="AVB227" s="1201"/>
      <c r="AVC227" s="1201"/>
      <c r="AVD227" s="1201"/>
      <c r="AVE227" s="1201"/>
      <c r="AVF227" s="1201"/>
      <c r="AVG227" s="1201"/>
      <c r="AVH227" s="1201"/>
      <c r="AVI227" s="1201"/>
      <c r="AVJ227" s="1201"/>
      <c r="AVK227" s="1201"/>
      <c r="AVL227" s="1201"/>
      <c r="AVM227" s="1201"/>
      <c r="AVN227" s="1201"/>
      <c r="AVO227" s="1201"/>
      <c r="AVP227" s="1201"/>
      <c r="AVQ227" s="1201"/>
      <c r="AVR227" s="1201"/>
      <c r="AVS227" s="1201"/>
      <c r="AVT227" s="1201"/>
      <c r="AVU227" s="1201"/>
      <c r="AVV227" s="1201"/>
      <c r="AVW227" s="1201"/>
      <c r="AVX227" s="1201"/>
      <c r="AVY227" s="1201"/>
      <c r="AVZ227" s="1201"/>
      <c r="AWA227" s="1201"/>
      <c r="AWB227" s="1201"/>
      <c r="AWC227" s="1201"/>
      <c r="AWD227" s="1201"/>
      <c r="AWE227" s="1201"/>
      <c r="AWF227" s="1201"/>
      <c r="AWG227" s="1201"/>
      <c r="AWH227" s="1201"/>
      <c r="AWI227" s="1201"/>
      <c r="AWJ227" s="1201"/>
      <c r="AWK227" s="1201"/>
      <c r="AWL227" s="1201"/>
      <c r="AWM227" s="1201"/>
      <c r="AWN227" s="1201"/>
      <c r="AWO227" s="1201"/>
      <c r="AWP227" s="1201"/>
      <c r="AWQ227" s="1201"/>
      <c r="AWR227" s="1201"/>
      <c r="AWS227" s="1201"/>
      <c r="AWT227" s="1201"/>
      <c r="AWU227" s="1201"/>
      <c r="AWV227" s="1201"/>
      <c r="AWW227" s="1201"/>
      <c r="AWX227" s="1201"/>
      <c r="AWY227" s="1201"/>
      <c r="AWZ227" s="1201"/>
      <c r="AXA227" s="1201"/>
      <c r="AXB227" s="1201"/>
      <c r="AXC227" s="1201"/>
      <c r="AXD227" s="1201"/>
      <c r="AXE227" s="1201"/>
      <c r="AXF227" s="1201"/>
      <c r="AXG227" s="1201"/>
      <c r="AXH227" s="1201"/>
      <c r="AXI227" s="1201"/>
      <c r="AXJ227" s="1201"/>
      <c r="AXK227" s="1201"/>
      <c r="AXL227" s="1201"/>
      <c r="AXM227" s="1201"/>
      <c r="AXN227" s="1201"/>
      <c r="AXO227" s="1201"/>
      <c r="AXP227" s="1201"/>
      <c r="AXQ227" s="1201"/>
      <c r="AXR227" s="1201"/>
      <c r="AXS227" s="1201"/>
      <c r="AXT227" s="1201"/>
      <c r="AXU227" s="1201"/>
      <c r="AXV227" s="1201"/>
      <c r="AXW227" s="1201"/>
      <c r="AXX227" s="1201"/>
      <c r="AXY227" s="1201"/>
      <c r="AXZ227" s="1201"/>
      <c r="AYA227" s="1201"/>
      <c r="AYB227" s="1201"/>
      <c r="AYC227" s="1201"/>
      <c r="AYD227" s="1201"/>
      <c r="AYE227" s="1201"/>
      <c r="AYF227" s="1201"/>
      <c r="AYG227" s="1201"/>
      <c r="AYH227" s="1201"/>
      <c r="AYI227" s="1201"/>
      <c r="AYJ227" s="1201"/>
      <c r="AYK227" s="1201"/>
      <c r="AYL227" s="1201"/>
      <c r="AYM227" s="1201"/>
      <c r="AYN227" s="1201"/>
      <c r="AYO227" s="1201"/>
      <c r="AYP227" s="1201"/>
      <c r="AYQ227" s="1201"/>
      <c r="AYR227" s="1201"/>
      <c r="AYS227" s="1201"/>
      <c r="AYT227" s="1201"/>
      <c r="AYU227" s="1201"/>
      <c r="AYV227" s="1201"/>
      <c r="AYW227" s="1201"/>
      <c r="AYX227" s="1201"/>
      <c r="AYY227" s="1201"/>
      <c r="AYZ227" s="1201"/>
      <c r="AZA227" s="1201"/>
      <c r="AZB227" s="1201"/>
      <c r="AZC227" s="1201"/>
      <c r="AZD227" s="1201"/>
      <c r="AZE227" s="1201"/>
      <c r="AZF227" s="1201"/>
      <c r="AZG227" s="1201"/>
      <c r="AZH227" s="1201"/>
      <c r="AZI227" s="1201"/>
      <c r="AZJ227" s="1201"/>
      <c r="AZK227" s="1201"/>
      <c r="AZL227" s="1201"/>
      <c r="AZM227" s="1201"/>
      <c r="AZN227" s="1201"/>
      <c r="AZO227" s="1201"/>
      <c r="AZP227" s="1201"/>
      <c r="AZQ227" s="1201"/>
      <c r="AZR227" s="1201"/>
      <c r="AZS227" s="1201"/>
      <c r="AZT227" s="1201"/>
      <c r="AZU227" s="1201"/>
      <c r="AZV227" s="1201"/>
      <c r="AZW227" s="1201"/>
      <c r="AZX227" s="1201"/>
      <c r="AZY227" s="1201"/>
      <c r="AZZ227" s="1201"/>
      <c r="BAA227" s="1201"/>
      <c r="BAB227" s="1201"/>
      <c r="BAC227" s="1201"/>
      <c r="BAD227" s="1201"/>
      <c r="BAE227" s="1201"/>
      <c r="BAF227" s="1201"/>
      <c r="BAG227" s="1201"/>
      <c r="BAH227" s="1201"/>
      <c r="BAI227" s="1201"/>
      <c r="BAJ227" s="1201"/>
      <c r="BAK227" s="1201"/>
      <c r="BAL227" s="1201"/>
      <c r="BAM227" s="1201"/>
      <c r="BAN227" s="1201"/>
      <c r="BAO227" s="1201"/>
      <c r="BAP227" s="1201"/>
      <c r="BAQ227" s="1201"/>
      <c r="BAR227" s="1201"/>
      <c r="BAS227" s="1201"/>
      <c r="BAT227" s="1201"/>
      <c r="BAU227" s="1201"/>
      <c r="BAV227" s="1201"/>
      <c r="BAW227" s="1201"/>
      <c r="BAX227" s="1201"/>
      <c r="BAY227" s="1201"/>
      <c r="BAZ227" s="1201"/>
      <c r="BBA227" s="1201"/>
      <c r="BBB227" s="1201"/>
      <c r="BBC227" s="1201"/>
      <c r="BBD227" s="1201"/>
      <c r="BBE227" s="1201"/>
      <c r="BBF227" s="1201"/>
      <c r="BBG227" s="1201"/>
      <c r="BBH227" s="1201"/>
      <c r="BBI227" s="1201"/>
      <c r="BBJ227" s="1201"/>
      <c r="BBK227" s="1201"/>
      <c r="BBL227" s="1201"/>
      <c r="BBM227" s="1201"/>
      <c r="BBN227" s="1201"/>
      <c r="BBO227" s="1201"/>
      <c r="BBP227" s="1201"/>
      <c r="BBQ227" s="1201"/>
      <c r="BBR227" s="1201"/>
      <c r="BBS227" s="1201"/>
      <c r="BBT227" s="1201"/>
      <c r="BBU227" s="1201"/>
      <c r="BBV227" s="1201"/>
      <c r="BBW227" s="1201"/>
      <c r="BBX227" s="1201"/>
      <c r="BBY227" s="1201"/>
      <c r="BBZ227" s="1201"/>
      <c r="BCA227" s="1201"/>
      <c r="BCB227" s="1201"/>
      <c r="BCC227" s="1201"/>
      <c r="BCD227" s="1201"/>
      <c r="BCE227" s="1201"/>
      <c r="BCF227" s="1201"/>
      <c r="BCG227" s="1201"/>
      <c r="BCH227" s="1201"/>
      <c r="BCI227" s="1201"/>
      <c r="BCJ227" s="1201"/>
      <c r="BCK227" s="1201"/>
      <c r="BCL227" s="1201"/>
      <c r="BCM227" s="1201"/>
      <c r="BCN227" s="1201"/>
      <c r="BCO227" s="1201"/>
      <c r="BCP227" s="1201"/>
      <c r="BCQ227" s="1201"/>
      <c r="BCR227" s="1201"/>
      <c r="BCS227" s="1201"/>
      <c r="BCT227" s="1201"/>
      <c r="BCU227" s="1201"/>
      <c r="BCV227" s="1201"/>
      <c r="BCW227" s="1201"/>
      <c r="BCX227" s="1201"/>
      <c r="BCY227" s="1201"/>
      <c r="BCZ227" s="1201"/>
      <c r="BDA227" s="1201"/>
      <c r="BDB227" s="1201"/>
      <c r="BDC227" s="1201"/>
      <c r="BDD227" s="1201"/>
      <c r="BDE227" s="1201"/>
      <c r="BDF227" s="1201"/>
      <c r="BDG227" s="1201"/>
      <c r="BDH227" s="1201"/>
      <c r="BDI227" s="1201"/>
      <c r="BDJ227" s="1201"/>
      <c r="BDK227" s="1201"/>
      <c r="BDL227" s="1201"/>
      <c r="BDM227" s="1201"/>
      <c r="BDN227" s="1201"/>
      <c r="BDO227" s="1201"/>
      <c r="BDP227" s="1201"/>
      <c r="BDQ227" s="1201"/>
      <c r="BDR227" s="1201"/>
      <c r="BDS227" s="1201"/>
      <c r="BDT227" s="1201"/>
      <c r="BDU227" s="1201"/>
      <c r="BDV227" s="1201"/>
      <c r="BDW227" s="1201"/>
      <c r="BDX227" s="1201"/>
      <c r="BDY227" s="1201"/>
      <c r="BDZ227" s="1201"/>
      <c r="BEA227" s="1201"/>
      <c r="BEB227" s="1201"/>
      <c r="BEC227" s="1201"/>
      <c r="BED227" s="1201"/>
      <c r="BEE227" s="1201"/>
      <c r="BEF227" s="1201"/>
      <c r="BEG227" s="1201"/>
      <c r="BEH227" s="1201"/>
      <c r="BEI227" s="1201"/>
      <c r="BEJ227" s="1201"/>
      <c r="BEK227" s="1201"/>
      <c r="BEL227" s="1201"/>
      <c r="BEM227" s="1201"/>
      <c r="BEN227" s="1201"/>
      <c r="BEO227" s="1201"/>
      <c r="BEP227" s="1201"/>
      <c r="BEQ227" s="1201"/>
      <c r="BER227" s="1201"/>
      <c r="BES227" s="1201"/>
      <c r="BET227" s="1201"/>
      <c r="BEU227" s="1201"/>
      <c r="BEV227" s="1201"/>
      <c r="BEW227" s="1201"/>
      <c r="BEX227" s="1201"/>
      <c r="BEY227" s="1201"/>
      <c r="BEZ227" s="1201"/>
      <c r="BFA227" s="1201"/>
      <c r="BFB227" s="1201"/>
      <c r="BFC227" s="1201"/>
      <c r="BFD227" s="1201"/>
      <c r="BFE227" s="1201"/>
      <c r="BFF227" s="1201"/>
      <c r="BFG227" s="1201"/>
      <c r="BFH227" s="1201"/>
      <c r="BFI227" s="1201"/>
      <c r="BFJ227" s="1201"/>
      <c r="BFK227" s="1201"/>
      <c r="BFL227" s="1201"/>
      <c r="BFM227" s="1201"/>
      <c r="BFN227" s="1201"/>
      <c r="BFO227" s="1201"/>
      <c r="BFP227" s="1201"/>
      <c r="BFQ227" s="1201"/>
      <c r="BFR227" s="1201"/>
      <c r="BFS227" s="1201"/>
      <c r="BFT227" s="1201"/>
      <c r="BFU227" s="1201"/>
      <c r="BFV227" s="1201"/>
      <c r="BFW227" s="1201"/>
      <c r="BFX227" s="1201"/>
      <c r="BFY227" s="1201"/>
      <c r="BFZ227" s="1201"/>
      <c r="BGA227" s="1201"/>
      <c r="BGB227" s="1201"/>
      <c r="BGC227" s="1201"/>
      <c r="BGD227" s="1201"/>
      <c r="BGE227" s="1201"/>
      <c r="BGF227" s="1201"/>
      <c r="BGG227" s="1201"/>
      <c r="BGH227" s="1201"/>
      <c r="BGI227" s="1201"/>
      <c r="BGJ227" s="1201"/>
      <c r="BGK227" s="1201"/>
      <c r="BGL227" s="1201"/>
      <c r="BGM227" s="1201"/>
      <c r="BGN227" s="1201"/>
      <c r="BGO227" s="1201"/>
      <c r="BGP227" s="1201"/>
      <c r="BGQ227" s="1201"/>
      <c r="BGR227" s="1201"/>
      <c r="BGS227" s="1201"/>
      <c r="BGT227" s="1201"/>
      <c r="BGU227" s="1201"/>
      <c r="BGV227" s="1201"/>
      <c r="BGW227" s="1201"/>
      <c r="BGX227" s="1201"/>
      <c r="BGY227" s="1201"/>
      <c r="BGZ227" s="1201"/>
      <c r="BHA227" s="1201"/>
      <c r="BHB227" s="1201"/>
      <c r="BHC227" s="1201"/>
      <c r="BHD227" s="1201"/>
      <c r="BHE227" s="1201"/>
      <c r="BHF227" s="1201"/>
      <c r="BHG227" s="1201"/>
      <c r="BHH227" s="1201"/>
      <c r="BHI227" s="1201"/>
      <c r="BHJ227" s="1201"/>
      <c r="BHK227" s="1201"/>
      <c r="BHL227" s="1201"/>
      <c r="BHM227" s="1201"/>
      <c r="BHN227" s="1201"/>
      <c r="BHO227" s="1201"/>
      <c r="BHP227" s="1201"/>
      <c r="BHQ227" s="1201"/>
      <c r="BHR227" s="1201"/>
      <c r="BHS227" s="1201"/>
      <c r="BHT227" s="1201"/>
      <c r="BHU227" s="1201"/>
      <c r="BHV227" s="1201"/>
      <c r="BHW227" s="1201"/>
      <c r="BHX227" s="1201"/>
      <c r="BHY227" s="1201"/>
      <c r="BHZ227" s="1201"/>
      <c r="BIA227" s="1201"/>
      <c r="BIB227" s="1201"/>
      <c r="BIC227" s="1201"/>
      <c r="BID227" s="1201"/>
      <c r="BIE227" s="1201"/>
      <c r="BIF227" s="1201"/>
      <c r="BIG227" s="1201"/>
      <c r="BIH227" s="1201"/>
      <c r="BII227" s="1201"/>
      <c r="BIJ227" s="1201"/>
      <c r="BIK227" s="1201"/>
      <c r="BIL227" s="1201"/>
      <c r="BIM227" s="1201"/>
      <c r="BIN227" s="1201"/>
      <c r="BIO227" s="1201"/>
      <c r="BIP227" s="1201"/>
      <c r="BIQ227" s="1201"/>
      <c r="BIR227" s="1201"/>
      <c r="BIS227" s="1201"/>
      <c r="BIT227" s="1201"/>
      <c r="BIU227" s="1201"/>
      <c r="BIV227" s="1201"/>
      <c r="BIW227" s="1201"/>
      <c r="BIX227" s="1201"/>
      <c r="BIY227" s="1201"/>
      <c r="BIZ227" s="1201"/>
      <c r="BJA227" s="1201"/>
      <c r="BJB227" s="1201"/>
      <c r="BJC227" s="1201"/>
      <c r="BJD227" s="1201"/>
      <c r="BJE227" s="1201"/>
      <c r="BJF227" s="1201"/>
      <c r="BJG227" s="1201"/>
      <c r="BJH227" s="1201"/>
      <c r="BJI227" s="1201"/>
      <c r="BJJ227" s="1201"/>
      <c r="BJK227" s="1201"/>
      <c r="BJL227" s="1201"/>
      <c r="BJM227" s="1201"/>
      <c r="BJN227" s="1201"/>
      <c r="BJO227" s="1201"/>
      <c r="BJP227" s="1201"/>
      <c r="BJQ227" s="1201"/>
      <c r="BJR227" s="1201"/>
      <c r="BJS227" s="1201"/>
      <c r="BJT227" s="1201"/>
      <c r="BJU227" s="1201"/>
      <c r="BJV227" s="1201"/>
      <c r="BJW227" s="1201"/>
      <c r="BJX227" s="1201"/>
      <c r="BJY227" s="1201"/>
      <c r="BJZ227" s="1201"/>
      <c r="BKA227" s="1201"/>
      <c r="BKB227" s="1201"/>
      <c r="BKC227" s="1201"/>
      <c r="BKD227" s="1201"/>
      <c r="BKE227" s="1201"/>
      <c r="BKF227" s="1201"/>
      <c r="BKG227" s="1201"/>
      <c r="BKH227" s="1201"/>
      <c r="BKI227" s="1201"/>
      <c r="BKJ227" s="1201"/>
      <c r="BKK227" s="1201"/>
      <c r="BKL227" s="1201"/>
      <c r="BKM227" s="1201"/>
      <c r="BKN227" s="1201"/>
      <c r="BKO227" s="1201"/>
      <c r="BKP227" s="1201"/>
      <c r="BKQ227" s="1201"/>
      <c r="BKR227" s="1201"/>
      <c r="BKS227" s="1201"/>
      <c r="BKT227" s="1201"/>
      <c r="BKU227" s="1201"/>
      <c r="BKV227" s="1201"/>
      <c r="BKW227" s="1201"/>
      <c r="BKX227" s="1201"/>
      <c r="BKY227" s="1201"/>
      <c r="BKZ227" s="1201"/>
      <c r="BLA227" s="1201"/>
      <c r="BLB227" s="1201"/>
      <c r="BLC227" s="1201"/>
      <c r="BLD227" s="1201"/>
      <c r="BLE227" s="1201"/>
      <c r="BLF227" s="1201"/>
      <c r="BLG227" s="1201"/>
      <c r="BLH227" s="1201"/>
      <c r="BLI227" s="1201"/>
      <c r="BLJ227" s="1201"/>
      <c r="BLK227" s="1201"/>
      <c r="BLL227" s="1201"/>
      <c r="BLM227" s="1201"/>
      <c r="BLN227" s="1201"/>
      <c r="BLO227" s="1201"/>
      <c r="BLP227" s="1201"/>
      <c r="BLQ227" s="1201"/>
      <c r="BLR227" s="1201"/>
      <c r="BLS227" s="1201"/>
      <c r="BLT227" s="1201"/>
      <c r="BLU227" s="1201"/>
      <c r="BLV227" s="1201"/>
      <c r="BLW227" s="1201"/>
      <c r="BLX227" s="1201"/>
      <c r="BLY227" s="1201"/>
      <c r="BLZ227" s="1201"/>
      <c r="BMA227" s="1201"/>
      <c r="BMB227" s="1201"/>
      <c r="BMC227" s="1201"/>
      <c r="BMD227" s="1201"/>
      <c r="BME227" s="1201"/>
      <c r="BMF227" s="1201"/>
      <c r="BMG227" s="1201"/>
      <c r="BMH227" s="1201"/>
      <c r="BMI227" s="1201"/>
      <c r="BMJ227" s="1201"/>
      <c r="BMK227" s="1201"/>
      <c r="BML227" s="1201"/>
      <c r="BMM227" s="1201"/>
      <c r="BMN227" s="1201"/>
      <c r="BMO227" s="1201"/>
      <c r="BMP227" s="1201"/>
      <c r="BMQ227" s="1201"/>
      <c r="BMR227" s="1201"/>
      <c r="BMS227" s="1201"/>
      <c r="BMT227" s="1201"/>
      <c r="BMU227" s="1201"/>
      <c r="BMV227" s="1201"/>
      <c r="BMW227" s="1201"/>
      <c r="BMX227" s="1201"/>
      <c r="BMY227" s="1201"/>
      <c r="BMZ227" s="1201"/>
      <c r="BNA227" s="1201"/>
      <c r="BNB227" s="1201"/>
      <c r="BNC227" s="1201"/>
      <c r="BND227" s="1201"/>
      <c r="BNE227" s="1201"/>
      <c r="BNF227" s="1201"/>
      <c r="BNG227" s="1201"/>
      <c r="BNH227" s="1201"/>
      <c r="BNI227" s="1201"/>
      <c r="BNJ227" s="1201"/>
      <c r="BNK227" s="1201"/>
      <c r="BNL227" s="1201"/>
      <c r="BNM227" s="1201"/>
      <c r="BNN227" s="1201"/>
      <c r="BNO227" s="1201"/>
      <c r="BNP227" s="1201"/>
      <c r="BNQ227" s="1201"/>
      <c r="BNR227" s="1201"/>
      <c r="BNS227" s="1201"/>
      <c r="BNT227" s="1201"/>
      <c r="BNU227" s="1201"/>
      <c r="BNV227" s="1201"/>
      <c r="BNW227" s="1201"/>
      <c r="BNX227" s="1201"/>
      <c r="BNY227" s="1201"/>
      <c r="BNZ227" s="1201"/>
      <c r="BOA227" s="1201"/>
      <c r="BOB227" s="1201"/>
      <c r="BOC227" s="1201"/>
      <c r="BOD227" s="1201"/>
      <c r="BOE227" s="1201"/>
      <c r="BOF227" s="1201"/>
      <c r="BOG227" s="1201"/>
      <c r="BOH227" s="1201"/>
      <c r="BOI227" s="1201"/>
      <c r="BOJ227" s="1201"/>
      <c r="BOK227" s="1201"/>
      <c r="BOL227" s="1201"/>
      <c r="BOM227" s="1201"/>
      <c r="BON227" s="1201"/>
      <c r="BOO227" s="1201"/>
      <c r="BOP227" s="1201"/>
      <c r="BOQ227" s="1201"/>
      <c r="BOR227" s="1201"/>
      <c r="BOS227" s="1201"/>
      <c r="BOT227" s="1201"/>
      <c r="BOU227" s="1201"/>
      <c r="BOV227" s="1201"/>
      <c r="BOW227" s="1201"/>
      <c r="BOX227" s="1201"/>
      <c r="BOY227" s="1201"/>
      <c r="BOZ227" s="1201"/>
      <c r="BPA227" s="1201"/>
      <c r="BPB227" s="1201"/>
      <c r="BPC227" s="1201"/>
      <c r="BPD227" s="1201"/>
      <c r="BPE227" s="1201"/>
      <c r="BPF227" s="1201"/>
      <c r="BPG227" s="1201"/>
      <c r="BPH227" s="1201"/>
      <c r="BPI227" s="1201"/>
      <c r="BPJ227" s="1201"/>
      <c r="BPK227" s="1201"/>
      <c r="BPL227" s="1201"/>
      <c r="BPM227" s="1201"/>
      <c r="BPN227" s="1201"/>
      <c r="BPO227" s="1201"/>
      <c r="BPP227" s="1201"/>
      <c r="BPQ227" s="1201"/>
      <c r="BPR227" s="1201"/>
      <c r="BPS227" s="1201"/>
      <c r="BPT227" s="1201"/>
      <c r="BPU227" s="1201"/>
      <c r="BPV227" s="1201"/>
      <c r="BPW227" s="1201"/>
      <c r="BPX227" s="1201"/>
      <c r="BPY227" s="1201"/>
      <c r="BPZ227" s="1201"/>
      <c r="BQA227" s="1201"/>
      <c r="BQB227" s="1201"/>
      <c r="BQC227" s="1201"/>
      <c r="BQD227" s="1201"/>
      <c r="BQE227" s="1201"/>
      <c r="BQF227" s="1201"/>
      <c r="BQG227" s="1201"/>
      <c r="BQH227" s="1201"/>
      <c r="BQI227" s="1201"/>
      <c r="BQJ227" s="1201"/>
      <c r="BQK227" s="1201"/>
      <c r="BQL227" s="1201"/>
      <c r="BQM227" s="1201"/>
      <c r="BQN227" s="1201"/>
      <c r="BQO227" s="1201"/>
      <c r="BQP227" s="1201"/>
      <c r="BQQ227" s="1201"/>
      <c r="BQR227" s="1201"/>
      <c r="BQS227" s="1201"/>
      <c r="BQT227" s="1201"/>
      <c r="BQU227" s="1201"/>
      <c r="BQV227" s="1201"/>
      <c r="BQW227" s="1201"/>
      <c r="BQX227" s="1201"/>
      <c r="BQY227" s="1201"/>
      <c r="BQZ227" s="1201"/>
      <c r="BRA227" s="1201"/>
      <c r="BRB227" s="1201"/>
      <c r="BRC227" s="1201"/>
      <c r="BRD227" s="1201"/>
      <c r="BRE227" s="1201"/>
      <c r="BRF227" s="1201"/>
      <c r="BRG227" s="1201"/>
      <c r="BRH227" s="1201"/>
      <c r="BRI227" s="1201"/>
      <c r="BRJ227" s="1201"/>
      <c r="BRK227" s="1201"/>
      <c r="BRL227" s="1201"/>
      <c r="BRM227" s="1201"/>
      <c r="BRN227" s="1201"/>
      <c r="BRO227" s="1201"/>
      <c r="BRP227" s="1201"/>
      <c r="BRQ227" s="1201"/>
      <c r="BRR227" s="1201"/>
      <c r="BRS227" s="1201"/>
      <c r="BRT227" s="1201"/>
      <c r="BRU227" s="1201"/>
      <c r="BRV227" s="1201"/>
      <c r="BRW227" s="1201"/>
      <c r="BRX227" s="1201"/>
      <c r="BRY227" s="1201"/>
      <c r="BRZ227" s="1201"/>
      <c r="BSA227" s="1201"/>
      <c r="BSB227" s="1201"/>
      <c r="BSC227" s="1201"/>
      <c r="BSD227" s="1201"/>
      <c r="BSE227" s="1201"/>
      <c r="BSF227" s="1201"/>
      <c r="BSG227" s="1201"/>
      <c r="BSH227" s="1201"/>
      <c r="BSI227" s="1201"/>
      <c r="BSJ227" s="1201"/>
      <c r="BSK227" s="1201"/>
      <c r="BSL227" s="1201"/>
      <c r="BSM227" s="1201"/>
      <c r="BSN227" s="1201"/>
      <c r="BSO227" s="1201"/>
      <c r="BSP227" s="1201"/>
      <c r="BSQ227" s="1201"/>
      <c r="BSR227" s="1201"/>
      <c r="BSS227" s="1201"/>
      <c r="BST227" s="1201"/>
      <c r="BSU227" s="1201"/>
      <c r="BSV227" s="1201"/>
      <c r="BSW227" s="1201"/>
      <c r="BSX227" s="1201"/>
      <c r="BSY227" s="1201"/>
      <c r="BSZ227" s="1201"/>
      <c r="BTA227" s="1201"/>
      <c r="BTB227" s="1201"/>
      <c r="BTC227" s="1201"/>
      <c r="BTD227" s="1201"/>
      <c r="BTE227" s="1201"/>
      <c r="BTF227" s="1201"/>
      <c r="BTG227" s="1201"/>
      <c r="BTH227" s="1201"/>
      <c r="BTI227" s="1201"/>
      <c r="BTJ227" s="1201"/>
      <c r="BTK227" s="1201"/>
      <c r="BTL227" s="1201"/>
      <c r="BTM227" s="1201"/>
      <c r="BTN227" s="1201"/>
      <c r="BTO227" s="1201"/>
      <c r="BTP227" s="1201"/>
      <c r="BTQ227" s="1201"/>
      <c r="BTR227" s="1201"/>
      <c r="BTS227" s="1201"/>
      <c r="BTT227" s="1201"/>
      <c r="BTU227" s="1201"/>
      <c r="BTV227" s="1201"/>
      <c r="BTW227" s="1201"/>
      <c r="BTX227" s="1201"/>
      <c r="BTY227" s="1201"/>
      <c r="BTZ227" s="1201"/>
      <c r="BUA227" s="1201"/>
      <c r="BUB227" s="1201"/>
      <c r="BUC227" s="1201"/>
      <c r="BUD227" s="1201"/>
      <c r="BUE227" s="1201"/>
      <c r="BUF227" s="1201"/>
      <c r="BUG227" s="1201"/>
      <c r="BUH227" s="1201"/>
      <c r="BUI227" s="1201"/>
      <c r="BUJ227" s="1201"/>
      <c r="BUK227" s="1201"/>
      <c r="BUL227" s="1201"/>
      <c r="BUM227" s="1201"/>
      <c r="BUN227" s="1201"/>
      <c r="BUO227" s="1201"/>
      <c r="BUP227" s="1201"/>
      <c r="BUQ227" s="1201"/>
      <c r="BUR227" s="1201"/>
      <c r="BUS227" s="1201"/>
      <c r="BUT227" s="1201"/>
      <c r="BUU227" s="1201"/>
      <c r="BUV227" s="1201"/>
      <c r="BUW227" s="1201"/>
      <c r="BUX227" s="1201"/>
      <c r="BUY227" s="1201"/>
      <c r="BUZ227" s="1201"/>
      <c r="BVA227" s="1201"/>
      <c r="BVB227" s="1201"/>
      <c r="BVC227" s="1201"/>
      <c r="BVD227" s="1201"/>
      <c r="BVE227" s="1201"/>
      <c r="BVF227" s="1201"/>
      <c r="BVG227" s="1201"/>
      <c r="BVH227" s="1201"/>
      <c r="BVI227" s="1201"/>
      <c r="BVJ227" s="1201"/>
      <c r="BVK227" s="1201"/>
      <c r="BVL227" s="1201"/>
      <c r="BVM227" s="1201"/>
      <c r="BVN227" s="1201"/>
      <c r="BVO227" s="1201"/>
      <c r="BVP227" s="1201"/>
      <c r="BVQ227" s="1201"/>
      <c r="BVR227" s="1201"/>
      <c r="BVS227" s="1201"/>
      <c r="BVT227" s="1201"/>
      <c r="BVU227" s="1201"/>
      <c r="BVV227" s="1201"/>
      <c r="BVW227" s="1201"/>
      <c r="BVX227" s="1201"/>
      <c r="BVY227" s="1201"/>
      <c r="BVZ227" s="1201"/>
      <c r="BWA227" s="1201"/>
      <c r="BWB227" s="1201"/>
      <c r="BWC227" s="1201"/>
      <c r="BWD227" s="1201"/>
      <c r="BWE227" s="1201"/>
      <c r="BWF227" s="1201"/>
      <c r="BWG227" s="1201"/>
      <c r="BWH227" s="1201"/>
      <c r="BWI227" s="1201"/>
      <c r="BWJ227" s="1201"/>
      <c r="BWK227" s="1201"/>
      <c r="BWL227" s="1201"/>
      <c r="BWM227" s="1201"/>
      <c r="BWN227" s="1201"/>
      <c r="BWO227" s="1201"/>
      <c r="BWP227" s="1201"/>
      <c r="BWQ227" s="1201"/>
      <c r="BWR227" s="1201"/>
      <c r="BWS227" s="1201"/>
      <c r="BWT227" s="1201"/>
      <c r="BWU227" s="1201"/>
      <c r="BWV227" s="1201"/>
      <c r="BWW227" s="1201"/>
      <c r="BWX227" s="1201"/>
      <c r="BWY227" s="1201"/>
      <c r="BWZ227" s="1201"/>
      <c r="BXA227" s="1201"/>
      <c r="BXB227" s="1201"/>
      <c r="BXC227" s="1201"/>
      <c r="BXD227" s="1201"/>
      <c r="BXE227" s="1201"/>
      <c r="BXF227" s="1201"/>
      <c r="BXG227" s="1201"/>
      <c r="BXH227" s="1201"/>
      <c r="BXI227" s="1201"/>
      <c r="BXJ227" s="1201"/>
      <c r="BXK227" s="1201"/>
      <c r="BXL227" s="1201"/>
      <c r="BXM227" s="1201"/>
      <c r="BXN227" s="1201"/>
      <c r="BXO227" s="1201"/>
      <c r="BXP227" s="1201"/>
      <c r="BXQ227" s="1201"/>
      <c r="BXR227" s="1201"/>
      <c r="BXS227" s="1201"/>
      <c r="BXT227" s="1201"/>
      <c r="BXU227" s="1201"/>
      <c r="BXV227" s="1201"/>
      <c r="BXW227" s="1201"/>
      <c r="BXX227" s="1201"/>
      <c r="BXY227" s="1201"/>
      <c r="BXZ227" s="1201"/>
      <c r="BYA227" s="1201"/>
      <c r="BYB227" s="1201"/>
      <c r="BYC227" s="1201"/>
      <c r="BYD227" s="1201"/>
      <c r="BYE227" s="1201"/>
      <c r="BYF227" s="1201"/>
      <c r="BYG227" s="1201"/>
      <c r="BYH227" s="1201"/>
      <c r="BYI227" s="1201"/>
      <c r="BYJ227" s="1201"/>
      <c r="BYK227" s="1201"/>
      <c r="BYL227" s="1201"/>
      <c r="BYM227" s="1201"/>
      <c r="BYN227" s="1201"/>
      <c r="BYO227" s="1201"/>
      <c r="BYP227" s="1201"/>
      <c r="BYQ227" s="1201"/>
      <c r="BYR227" s="1201"/>
      <c r="BYS227" s="1201"/>
      <c r="BYT227" s="1201"/>
      <c r="BYU227" s="1201"/>
      <c r="BYV227" s="1201"/>
      <c r="BYW227" s="1201"/>
      <c r="BYX227" s="1201"/>
      <c r="BYY227" s="1201"/>
      <c r="BYZ227" s="1201"/>
      <c r="BZA227" s="1201"/>
      <c r="BZB227" s="1201"/>
      <c r="BZC227" s="1201"/>
      <c r="BZD227" s="1201"/>
      <c r="BZE227" s="1201"/>
      <c r="BZF227" s="1201"/>
      <c r="BZG227" s="1201"/>
      <c r="BZH227" s="1201"/>
      <c r="BZI227" s="1201"/>
      <c r="BZJ227" s="1201"/>
      <c r="BZK227" s="1201"/>
      <c r="BZL227" s="1201"/>
      <c r="BZM227" s="1201"/>
      <c r="BZN227" s="1201"/>
      <c r="BZO227" s="1201"/>
      <c r="BZP227" s="1201"/>
      <c r="BZQ227" s="1201"/>
      <c r="BZR227" s="1201"/>
      <c r="BZS227" s="1201"/>
      <c r="BZT227" s="1201"/>
      <c r="BZU227" s="1201"/>
      <c r="BZV227" s="1201"/>
      <c r="BZW227" s="1201"/>
      <c r="BZX227" s="1201"/>
      <c r="BZY227" s="1201"/>
      <c r="BZZ227" s="1201"/>
      <c r="CAA227" s="1201"/>
      <c r="CAB227" s="1201"/>
      <c r="CAC227" s="1201"/>
      <c r="CAD227" s="1201"/>
      <c r="CAE227" s="1201"/>
      <c r="CAF227" s="1201"/>
      <c r="CAG227" s="1201"/>
      <c r="CAH227" s="1201"/>
      <c r="CAI227" s="1201"/>
      <c r="CAJ227" s="1201"/>
      <c r="CAK227" s="1201"/>
      <c r="CAL227" s="1201"/>
      <c r="CAM227" s="1201"/>
      <c r="CAN227" s="1201"/>
      <c r="CAO227" s="1201"/>
      <c r="CAP227" s="1201"/>
      <c r="CAQ227" s="1201"/>
      <c r="CAR227" s="1201"/>
      <c r="CAS227" s="1201"/>
      <c r="CAT227" s="1201"/>
      <c r="CAU227" s="1201"/>
      <c r="CAV227" s="1201"/>
      <c r="CAW227" s="1201"/>
      <c r="CAX227" s="1201"/>
      <c r="CAY227" s="1201"/>
      <c r="CAZ227" s="1201"/>
      <c r="CBA227" s="1201"/>
      <c r="CBB227" s="1201"/>
      <c r="CBC227" s="1201"/>
      <c r="CBD227" s="1201"/>
      <c r="CBE227" s="1201"/>
      <c r="CBF227" s="1201"/>
      <c r="CBG227" s="1201"/>
      <c r="CBH227" s="1201"/>
      <c r="CBI227" s="1201"/>
      <c r="CBJ227" s="1201"/>
      <c r="CBK227" s="1201"/>
      <c r="CBL227" s="1201"/>
      <c r="CBM227" s="1201"/>
      <c r="CBN227" s="1201"/>
      <c r="CBO227" s="1201"/>
      <c r="CBP227" s="1201"/>
      <c r="CBQ227" s="1201"/>
      <c r="CBR227" s="1201"/>
      <c r="CBS227" s="1201"/>
      <c r="CBT227" s="1201"/>
      <c r="CBU227" s="1201"/>
      <c r="CBV227" s="1201"/>
      <c r="CBW227" s="1201"/>
      <c r="CBX227" s="1201"/>
      <c r="CBY227" s="1201"/>
      <c r="CBZ227" s="1201"/>
      <c r="CCA227" s="1201"/>
      <c r="CCB227" s="1201"/>
      <c r="CCC227" s="1201"/>
      <c r="CCD227" s="1201"/>
      <c r="CCE227" s="1201"/>
      <c r="CCF227" s="1201"/>
      <c r="CCG227" s="1201"/>
      <c r="CCH227" s="1201"/>
      <c r="CCI227" s="1201"/>
      <c r="CCJ227" s="1201"/>
      <c r="CCK227" s="1201"/>
      <c r="CCL227" s="1201"/>
      <c r="CCM227" s="1201"/>
      <c r="CCN227" s="1201"/>
      <c r="CCO227" s="1201"/>
      <c r="CCP227" s="1201"/>
      <c r="CCQ227" s="1201"/>
      <c r="CCR227" s="1201"/>
      <c r="CCS227" s="1201"/>
      <c r="CCT227" s="1201"/>
      <c r="CCU227" s="1201"/>
      <c r="CCV227" s="1201"/>
      <c r="CCW227" s="1201"/>
      <c r="CCX227" s="1201"/>
      <c r="CCY227" s="1201"/>
      <c r="CCZ227" s="1201"/>
      <c r="CDA227" s="1201"/>
      <c r="CDB227" s="1201"/>
      <c r="CDC227" s="1201"/>
      <c r="CDD227" s="1201"/>
      <c r="CDE227" s="1201"/>
      <c r="CDF227" s="1201"/>
      <c r="CDG227" s="1201"/>
      <c r="CDH227" s="1201"/>
      <c r="CDI227" s="1201"/>
      <c r="CDJ227" s="1201"/>
      <c r="CDK227" s="1201"/>
      <c r="CDL227" s="1201"/>
      <c r="CDM227" s="1201"/>
      <c r="CDN227" s="1201"/>
      <c r="CDO227" s="1201"/>
      <c r="CDP227" s="1201"/>
      <c r="CDQ227" s="1201"/>
      <c r="CDR227" s="1201"/>
      <c r="CDS227" s="1201"/>
      <c r="CDT227" s="1201"/>
      <c r="CDU227" s="1201"/>
      <c r="CDV227" s="1201"/>
      <c r="CDW227" s="1201"/>
      <c r="CDX227" s="1201"/>
      <c r="CDY227" s="1201"/>
      <c r="CDZ227" s="1201"/>
      <c r="CEA227" s="1201"/>
      <c r="CEB227" s="1201"/>
      <c r="CEC227" s="1201"/>
      <c r="CED227" s="1201"/>
      <c r="CEE227" s="1201"/>
      <c r="CEF227" s="1201"/>
      <c r="CEG227" s="1201"/>
      <c r="CEH227" s="1201"/>
      <c r="CEI227" s="1201"/>
      <c r="CEJ227" s="1201"/>
      <c r="CEK227" s="1201"/>
      <c r="CEL227" s="1201"/>
      <c r="CEM227" s="1201"/>
      <c r="CEN227" s="1201"/>
      <c r="CEO227" s="1201"/>
      <c r="CEP227" s="1201"/>
      <c r="CEQ227" s="1201"/>
      <c r="CER227" s="1201"/>
      <c r="CES227" s="1201"/>
      <c r="CET227" s="1201"/>
      <c r="CEU227" s="1201"/>
      <c r="CEV227" s="1201"/>
      <c r="CEW227" s="1201"/>
      <c r="CEX227" s="1201"/>
      <c r="CEY227" s="1201"/>
      <c r="CEZ227" s="1201"/>
      <c r="CFA227" s="1201"/>
      <c r="CFB227" s="1201"/>
      <c r="CFC227" s="1201"/>
      <c r="CFD227" s="1201"/>
      <c r="CFE227" s="1201"/>
      <c r="CFF227" s="1201"/>
      <c r="CFG227" s="1201"/>
      <c r="CFH227" s="1201"/>
      <c r="CFI227" s="1201"/>
      <c r="CFJ227" s="1201"/>
      <c r="CFK227" s="1201"/>
      <c r="CFL227" s="1201"/>
      <c r="CFM227" s="1201"/>
      <c r="CFN227" s="1201"/>
      <c r="CFO227" s="1201"/>
      <c r="CFP227" s="1201"/>
      <c r="CFQ227" s="1201"/>
      <c r="CFR227" s="1201"/>
      <c r="CFS227" s="1201"/>
      <c r="CFT227" s="1201"/>
      <c r="CFU227" s="1201"/>
      <c r="CFV227" s="1201"/>
      <c r="CFW227" s="1201"/>
      <c r="CFX227" s="1201"/>
      <c r="CFY227" s="1201"/>
      <c r="CFZ227" s="1201"/>
      <c r="CGA227" s="1201"/>
      <c r="CGB227" s="1201"/>
      <c r="CGC227" s="1201"/>
      <c r="CGD227" s="1201"/>
      <c r="CGE227" s="1201"/>
      <c r="CGF227" s="1201"/>
      <c r="CGG227" s="1201"/>
      <c r="CGH227" s="1201"/>
      <c r="CGI227" s="1201"/>
      <c r="CGJ227" s="1201"/>
      <c r="CGK227" s="1201"/>
      <c r="CGL227" s="1201"/>
      <c r="CGM227" s="1201"/>
      <c r="CGN227" s="1201"/>
      <c r="CGO227" s="1201"/>
      <c r="CGP227" s="1201"/>
      <c r="CGQ227" s="1201"/>
      <c r="CGR227" s="1201"/>
      <c r="CGS227" s="1201"/>
      <c r="CGT227" s="1201"/>
      <c r="CGU227" s="1201"/>
      <c r="CGV227" s="1201"/>
      <c r="CGW227" s="1201"/>
      <c r="CGX227" s="1201"/>
      <c r="CGY227" s="1201"/>
      <c r="CGZ227" s="1201"/>
      <c r="CHA227" s="1201"/>
      <c r="CHB227" s="1201"/>
      <c r="CHC227" s="1201"/>
      <c r="CHD227" s="1201"/>
      <c r="CHE227" s="1201"/>
      <c r="CHF227" s="1201"/>
      <c r="CHG227" s="1201"/>
      <c r="CHH227" s="1201"/>
      <c r="CHI227" s="1201"/>
      <c r="CHJ227" s="1201"/>
      <c r="CHK227" s="1201"/>
      <c r="CHL227" s="1201"/>
      <c r="CHM227" s="1201"/>
      <c r="CHN227" s="1201"/>
      <c r="CHO227" s="1201"/>
      <c r="CHP227" s="1201"/>
      <c r="CHQ227" s="1201"/>
      <c r="CHR227" s="1201"/>
      <c r="CHS227" s="1201"/>
      <c r="CHT227" s="1201"/>
      <c r="CHU227" s="1201"/>
      <c r="CHV227" s="1201"/>
      <c r="CHW227" s="1201"/>
      <c r="CHX227" s="1201"/>
      <c r="CHY227" s="1201"/>
      <c r="CHZ227" s="1201"/>
      <c r="CIA227" s="1201"/>
      <c r="CIB227" s="1201"/>
      <c r="CIC227" s="1201"/>
      <c r="CID227" s="1201"/>
      <c r="CIE227" s="1201"/>
      <c r="CIF227" s="1201"/>
      <c r="CIG227" s="1201"/>
      <c r="CIH227" s="1201"/>
      <c r="CII227" s="1201"/>
      <c r="CIJ227" s="1201"/>
      <c r="CIK227" s="1201"/>
      <c r="CIL227" s="1201"/>
      <c r="CIM227" s="1201"/>
      <c r="CIN227" s="1201"/>
      <c r="CIO227" s="1201"/>
      <c r="CIP227" s="1201"/>
      <c r="CIQ227" s="1201"/>
      <c r="CIR227" s="1201"/>
      <c r="CIS227" s="1201"/>
      <c r="CIT227" s="1201"/>
      <c r="CIU227" s="1201"/>
      <c r="CIV227" s="1201"/>
      <c r="CIW227" s="1201"/>
      <c r="CIX227" s="1201"/>
      <c r="CIY227" s="1201"/>
      <c r="CIZ227" s="1201"/>
      <c r="CJA227" s="1201"/>
      <c r="CJB227" s="1201"/>
      <c r="CJC227" s="1201"/>
      <c r="CJD227" s="1201"/>
      <c r="CJE227" s="1201"/>
      <c r="CJF227" s="1201"/>
      <c r="CJG227" s="1201"/>
      <c r="CJH227" s="1201"/>
      <c r="CJI227" s="1201"/>
      <c r="CJJ227" s="1201"/>
      <c r="CJK227" s="1201"/>
      <c r="CJL227" s="1201"/>
      <c r="CJM227" s="1201"/>
      <c r="CJN227" s="1201"/>
      <c r="CJO227" s="1201"/>
      <c r="CJP227" s="1201"/>
      <c r="CJQ227" s="1201"/>
      <c r="CJR227" s="1201"/>
      <c r="CJS227" s="1201"/>
      <c r="CJT227" s="1201"/>
      <c r="CJU227" s="1201"/>
      <c r="CJV227" s="1201"/>
      <c r="CJW227" s="1201"/>
      <c r="CJX227" s="1201"/>
      <c r="CJY227" s="1201"/>
      <c r="CJZ227" s="1201"/>
      <c r="CKA227" s="1201"/>
      <c r="CKB227" s="1201"/>
      <c r="CKC227" s="1201"/>
      <c r="CKD227" s="1201"/>
      <c r="CKE227" s="1201"/>
      <c r="CKF227" s="1201"/>
      <c r="CKG227" s="1201"/>
      <c r="CKH227" s="1201"/>
      <c r="CKI227" s="1201"/>
      <c r="CKJ227" s="1201"/>
      <c r="CKK227" s="1201"/>
      <c r="CKL227" s="1201"/>
      <c r="CKM227" s="1201"/>
      <c r="CKN227" s="1201"/>
      <c r="CKO227" s="1201"/>
      <c r="CKP227" s="1201"/>
      <c r="CKQ227" s="1201"/>
      <c r="CKR227" s="1201"/>
      <c r="CKS227" s="1201"/>
      <c r="CKT227" s="1201"/>
      <c r="CKU227" s="1201"/>
      <c r="CKV227" s="1201"/>
      <c r="CKW227" s="1201"/>
      <c r="CKX227" s="1201"/>
      <c r="CKY227" s="1201"/>
      <c r="CKZ227" s="1201"/>
      <c r="CLA227" s="1201"/>
      <c r="CLB227" s="1201"/>
      <c r="CLC227" s="1201"/>
      <c r="CLD227" s="1201"/>
      <c r="CLE227" s="1201"/>
      <c r="CLF227" s="1201"/>
      <c r="CLG227" s="1201"/>
      <c r="CLH227" s="1201"/>
      <c r="CLI227" s="1201"/>
      <c r="CLJ227" s="1201"/>
      <c r="CLK227" s="1201"/>
      <c r="CLL227" s="1201"/>
      <c r="CLM227" s="1201"/>
      <c r="CLN227" s="1201"/>
      <c r="CLO227" s="1201"/>
      <c r="CLP227" s="1201"/>
      <c r="CLQ227" s="1201"/>
      <c r="CLR227" s="1201"/>
      <c r="CLS227" s="1201"/>
      <c r="CLT227" s="1201"/>
      <c r="CLU227" s="1201"/>
      <c r="CLV227" s="1201"/>
      <c r="CLW227" s="1201"/>
      <c r="CLX227" s="1201"/>
      <c r="CLY227" s="1201"/>
      <c r="CLZ227" s="1201"/>
      <c r="CMA227" s="1201"/>
      <c r="CMB227" s="1201"/>
      <c r="CMC227" s="1201"/>
      <c r="CMD227" s="1201"/>
      <c r="CME227" s="1201"/>
      <c r="CMF227" s="1201"/>
      <c r="CMG227" s="1201"/>
      <c r="CMH227" s="1201"/>
      <c r="CMI227" s="1201"/>
      <c r="CMJ227" s="1201"/>
      <c r="CMK227" s="1201"/>
      <c r="CML227" s="1201"/>
      <c r="CMM227" s="1201"/>
      <c r="CMN227" s="1201"/>
      <c r="CMO227" s="1201"/>
      <c r="CMP227" s="1201"/>
      <c r="CMQ227" s="1201"/>
      <c r="CMR227" s="1201"/>
      <c r="CMS227" s="1201"/>
      <c r="CMT227" s="1201"/>
      <c r="CMU227" s="1201"/>
      <c r="CMV227" s="1201"/>
      <c r="CMW227" s="1201"/>
      <c r="CMX227" s="1201"/>
      <c r="CMY227" s="1201"/>
      <c r="CMZ227" s="1201"/>
      <c r="CNA227" s="1201"/>
      <c r="CNB227" s="1201"/>
      <c r="CNC227" s="1201"/>
      <c r="CND227" s="1201"/>
      <c r="CNE227" s="1201"/>
      <c r="CNF227" s="1201"/>
      <c r="CNG227" s="1201"/>
      <c r="CNH227" s="1201"/>
      <c r="CNI227" s="1201"/>
      <c r="CNJ227" s="1201"/>
      <c r="CNK227" s="1201"/>
      <c r="CNL227" s="1201"/>
      <c r="CNM227" s="1201"/>
      <c r="CNN227" s="1201"/>
      <c r="CNO227" s="1201"/>
      <c r="CNP227" s="1201"/>
      <c r="CNQ227" s="1201"/>
      <c r="CNR227" s="1201"/>
      <c r="CNS227" s="1201"/>
      <c r="CNT227" s="1201"/>
      <c r="CNU227" s="1201"/>
      <c r="CNV227" s="1201"/>
      <c r="CNW227" s="1201"/>
      <c r="CNX227" s="1201"/>
      <c r="CNY227" s="1201"/>
      <c r="CNZ227" s="1201"/>
      <c r="COA227" s="1201"/>
      <c r="COB227" s="1201"/>
      <c r="COC227" s="1201"/>
      <c r="COD227" s="1201"/>
      <c r="COE227" s="1201"/>
      <c r="COF227" s="1201"/>
      <c r="COG227" s="1201"/>
      <c r="COH227" s="1201"/>
      <c r="COI227" s="1201"/>
      <c r="COJ227" s="1201"/>
      <c r="COK227" s="1201"/>
      <c r="COL227" s="1201"/>
      <c r="COM227" s="1201"/>
      <c r="CON227" s="1201"/>
      <c r="COO227" s="1201"/>
      <c r="COP227" s="1201"/>
      <c r="COQ227" s="1201"/>
      <c r="COR227" s="1201"/>
      <c r="COS227" s="1201"/>
      <c r="COT227" s="1201"/>
      <c r="COU227" s="1201"/>
      <c r="COV227" s="1201"/>
      <c r="COW227" s="1201"/>
      <c r="COX227" s="1201"/>
      <c r="COY227" s="1201"/>
      <c r="COZ227" s="1201"/>
      <c r="CPA227" s="1201"/>
      <c r="CPB227" s="1201"/>
      <c r="CPC227" s="1201"/>
      <c r="CPD227" s="1201"/>
      <c r="CPE227" s="1201"/>
      <c r="CPF227" s="1201"/>
      <c r="CPG227" s="1201"/>
      <c r="CPH227" s="1201"/>
      <c r="CPI227" s="1201"/>
      <c r="CPJ227" s="1201"/>
      <c r="CPK227" s="1201"/>
      <c r="CPL227" s="1201"/>
      <c r="CPM227" s="1201"/>
      <c r="CPN227" s="1201"/>
      <c r="CPO227" s="1201"/>
      <c r="CPP227" s="1201"/>
      <c r="CPQ227" s="1201"/>
      <c r="CPR227" s="1201"/>
      <c r="CPS227" s="1201"/>
      <c r="CPT227" s="1201"/>
      <c r="CPU227" s="1201"/>
      <c r="CPV227" s="1201"/>
      <c r="CPW227" s="1201"/>
      <c r="CPX227" s="1201"/>
      <c r="CPY227" s="1201"/>
      <c r="CPZ227" s="1201"/>
      <c r="CQA227" s="1201"/>
      <c r="CQB227" s="1201"/>
      <c r="CQC227" s="1201"/>
      <c r="CQD227" s="1201"/>
      <c r="CQE227" s="1201"/>
      <c r="CQF227" s="1201"/>
      <c r="CQG227" s="1201"/>
      <c r="CQH227" s="1201"/>
      <c r="CQI227" s="1201"/>
      <c r="CQJ227" s="1201"/>
      <c r="CQK227" s="1201"/>
      <c r="CQL227" s="1201"/>
      <c r="CQM227" s="1201"/>
      <c r="CQN227" s="1201"/>
      <c r="CQO227" s="1201"/>
      <c r="CQP227" s="1201"/>
      <c r="CQQ227" s="1201"/>
      <c r="CQR227" s="1201"/>
      <c r="CQS227" s="1201"/>
      <c r="CQT227" s="1201"/>
      <c r="CQU227" s="1201"/>
      <c r="CQV227" s="1201"/>
      <c r="CQW227" s="1201"/>
      <c r="CQX227" s="1201"/>
      <c r="CQY227" s="1201"/>
      <c r="CQZ227" s="1201"/>
      <c r="CRA227" s="1201"/>
      <c r="CRB227" s="1201"/>
      <c r="CRC227" s="1201"/>
      <c r="CRD227" s="1201"/>
      <c r="CRE227" s="1201"/>
      <c r="CRF227" s="1201"/>
      <c r="CRG227" s="1201"/>
      <c r="CRH227" s="1201"/>
      <c r="CRI227" s="1201"/>
      <c r="CRJ227" s="1201"/>
      <c r="CRK227" s="1201"/>
      <c r="CRL227" s="1201"/>
      <c r="CRM227" s="1201"/>
      <c r="CRN227" s="1201"/>
      <c r="CRO227" s="1201"/>
      <c r="CRP227" s="1201"/>
      <c r="CRQ227" s="1201"/>
      <c r="CRR227" s="1201"/>
      <c r="CRS227" s="1201"/>
      <c r="CRT227" s="1201"/>
      <c r="CRU227" s="1201"/>
      <c r="CRV227" s="1201"/>
      <c r="CRW227" s="1201"/>
      <c r="CRX227" s="1201"/>
      <c r="CRY227" s="1201"/>
      <c r="CRZ227" s="1201"/>
      <c r="CSA227" s="1201"/>
      <c r="CSB227" s="1201"/>
      <c r="CSC227" s="1201"/>
      <c r="CSD227" s="1201"/>
      <c r="CSE227" s="1201"/>
      <c r="CSF227" s="1201"/>
      <c r="CSG227" s="1201"/>
      <c r="CSH227" s="1201"/>
      <c r="CSI227" s="1201"/>
      <c r="CSJ227" s="1201"/>
      <c r="CSK227" s="1201"/>
      <c r="CSL227" s="1201"/>
      <c r="CSM227" s="1201"/>
      <c r="CSN227" s="1201"/>
      <c r="CSO227" s="1201"/>
      <c r="CSP227" s="1201"/>
      <c r="CSQ227" s="1201"/>
      <c r="CSR227" s="1201"/>
      <c r="CSS227" s="1201"/>
      <c r="CST227" s="1201"/>
      <c r="CSU227" s="1201"/>
      <c r="CSV227" s="1201"/>
      <c r="CSW227" s="1201"/>
      <c r="CSX227" s="1201"/>
      <c r="CSY227" s="1201"/>
      <c r="CSZ227" s="1201"/>
      <c r="CTA227" s="1201"/>
      <c r="CTB227" s="1201"/>
      <c r="CTC227" s="1201"/>
      <c r="CTD227" s="1201"/>
      <c r="CTE227" s="1201"/>
      <c r="CTF227" s="1201"/>
      <c r="CTG227" s="1201"/>
      <c r="CTH227" s="1201"/>
      <c r="CTI227" s="1201"/>
      <c r="CTJ227" s="1201"/>
      <c r="CTK227" s="1201"/>
      <c r="CTL227" s="1201"/>
      <c r="CTM227" s="1201"/>
      <c r="CTN227" s="1201"/>
      <c r="CTO227" s="1201"/>
      <c r="CTP227" s="1201"/>
      <c r="CTQ227" s="1201"/>
      <c r="CTR227" s="1201"/>
      <c r="CTS227" s="1201"/>
      <c r="CTT227" s="1201"/>
      <c r="CTU227" s="1201"/>
      <c r="CTV227" s="1201"/>
      <c r="CTW227" s="1201"/>
      <c r="CTX227" s="1201"/>
      <c r="CTY227" s="1201"/>
      <c r="CTZ227" s="1201"/>
      <c r="CUA227" s="1201"/>
      <c r="CUB227" s="1201"/>
      <c r="CUC227" s="1201"/>
      <c r="CUD227" s="1201"/>
      <c r="CUE227" s="1201"/>
      <c r="CUF227" s="1201"/>
      <c r="CUG227" s="1201"/>
      <c r="CUH227" s="1201"/>
      <c r="CUI227" s="1201"/>
      <c r="CUJ227" s="1201"/>
      <c r="CUK227" s="1201"/>
      <c r="CUL227" s="1201"/>
      <c r="CUM227" s="1201"/>
      <c r="CUN227" s="1201"/>
      <c r="CUO227" s="1201"/>
      <c r="CUP227" s="1201"/>
      <c r="CUQ227" s="1201"/>
      <c r="CUR227" s="1201"/>
      <c r="CUS227" s="1201"/>
      <c r="CUT227" s="1201"/>
      <c r="CUU227" s="1201"/>
      <c r="CUV227" s="1201"/>
      <c r="CUW227" s="1201"/>
      <c r="CUX227" s="1201"/>
      <c r="CUY227" s="1201"/>
      <c r="CUZ227" s="1201"/>
      <c r="CVA227" s="1201"/>
      <c r="CVB227" s="1201"/>
      <c r="CVC227" s="1201"/>
      <c r="CVD227" s="1201"/>
      <c r="CVE227" s="1201"/>
      <c r="CVF227" s="1201"/>
      <c r="CVG227" s="1201"/>
      <c r="CVH227" s="1201"/>
      <c r="CVI227" s="1201"/>
      <c r="CVJ227" s="1201"/>
      <c r="CVK227" s="1201"/>
      <c r="CVL227" s="1201"/>
      <c r="CVM227" s="1201"/>
      <c r="CVN227" s="1201"/>
      <c r="CVO227" s="1201"/>
      <c r="CVP227" s="1201"/>
      <c r="CVQ227" s="1201"/>
      <c r="CVR227" s="1201"/>
      <c r="CVS227" s="1201"/>
      <c r="CVT227" s="1201"/>
      <c r="CVU227" s="1201"/>
      <c r="CVV227" s="1201"/>
      <c r="CVW227" s="1201"/>
      <c r="CVX227" s="1201"/>
      <c r="CVY227" s="1201"/>
      <c r="CVZ227" s="1201"/>
      <c r="CWA227" s="1201"/>
      <c r="CWB227" s="1201"/>
      <c r="CWC227" s="1201"/>
      <c r="CWD227" s="1201"/>
      <c r="CWE227" s="1201"/>
      <c r="CWF227" s="1201"/>
      <c r="CWG227" s="1201"/>
      <c r="CWH227" s="1201"/>
      <c r="CWI227" s="1201"/>
      <c r="CWJ227" s="1201"/>
      <c r="CWK227" s="1201"/>
      <c r="CWL227" s="1201"/>
      <c r="CWM227" s="1201"/>
      <c r="CWN227" s="1201"/>
      <c r="CWO227" s="1201"/>
      <c r="CWP227" s="1201"/>
      <c r="CWQ227" s="1201"/>
      <c r="CWR227" s="1201"/>
      <c r="CWS227" s="1201"/>
      <c r="CWT227" s="1201"/>
      <c r="CWU227" s="1201"/>
      <c r="CWV227" s="1201"/>
      <c r="CWW227" s="1201"/>
      <c r="CWX227" s="1201"/>
      <c r="CWY227" s="1201"/>
      <c r="CWZ227" s="1201"/>
      <c r="CXA227" s="1201"/>
      <c r="CXB227" s="1201"/>
      <c r="CXC227" s="1201"/>
      <c r="CXD227" s="1201"/>
      <c r="CXE227" s="1201"/>
      <c r="CXF227" s="1201"/>
      <c r="CXG227" s="1201"/>
      <c r="CXH227" s="1201"/>
      <c r="CXI227" s="1201"/>
      <c r="CXJ227" s="1201"/>
      <c r="CXK227" s="1201"/>
      <c r="CXL227" s="1201"/>
      <c r="CXM227" s="1201"/>
      <c r="CXN227" s="1201"/>
      <c r="CXO227" s="1201"/>
      <c r="CXP227" s="1201"/>
      <c r="CXQ227" s="1201"/>
      <c r="CXR227" s="1201"/>
      <c r="CXS227" s="1201"/>
      <c r="CXT227" s="1201"/>
      <c r="CXU227" s="1201"/>
      <c r="CXV227" s="1201"/>
      <c r="CXW227" s="1201"/>
      <c r="CXX227" s="1201"/>
      <c r="CXY227" s="1201"/>
      <c r="CXZ227" s="1201"/>
      <c r="CYA227" s="1201"/>
      <c r="CYB227" s="1201"/>
      <c r="CYC227" s="1201"/>
      <c r="CYD227" s="1201"/>
      <c r="CYE227" s="1201"/>
      <c r="CYF227" s="1201"/>
      <c r="CYG227" s="1201"/>
      <c r="CYH227" s="1201"/>
      <c r="CYI227" s="1201"/>
      <c r="CYJ227" s="1201"/>
      <c r="CYK227" s="1201"/>
      <c r="CYL227" s="1201"/>
      <c r="CYM227" s="1201"/>
      <c r="CYN227" s="1201"/>
      <c r="CYO227" s="1201"/>
      <c r="CYP227" s="1201"/>
      <c r="CYQ227" s="1201"/>
      <c r="CYR227" s="1201"/>
      <c r="CYS227" s="1201"/>
      <c r="CYT227" s="1201"/>
      <c r="CYU227" s="1201"/>
      <c r="CYV227" s="1201"/>
      <c r="CYW227" s="1201"/>
      <c r="CYX227" s="1201"/>
      <c r="CYY227" s="1201"/>
      <c r="CYZ227" s="1201"/>
      <c r="CZA227" s="1201"/>
      <c r="CZB227" s="1201"/>
      <c r="CZC227" s="1201"/>
      <c r="CZD227" s="1201"/>
      <c r="CZE227" s="1201"/>
      <c r="CZF227" s="1201"/>
      <c r="CZG227" s="1201"/>
      <c r="CZH227" s="1201"/>
      <c r="CZI227" s="1201"/>
      <c r="CZJ227" s="1201"/>
      <c r="CZK227" s="1201"/>
      <c r="CZL227" s="1201"/>
      <c r="CZM227" s="1201"/>
      <c r="CZN227" s="1201"/>
      <c r="CZO227" s="1201"/>
      <c r="CZP227" s="1201"/>
      <c r="CZQ227" s="1201"/>
      <c r="CZR227" s="1201"/>
      <c r="CZS227" s="1201"/>
      <c r="CZT227" s="1201"/>
      <c r="CZU227" s="1201"/>
      <c r="CZV227" s="1201"/>
      <c r="CZW227" s="1201"/>
      <c r="CZX227" s="1201"/>
      <c r="CZY227" s="1201"/>
      <c r="CZZ227" s="1201"/>
      <c r="DAA227" s="1201"/>
      <c r="DAB227" s="1201"/>
      <c r="DAC227" s="1201"/>
      <c r="DAD227" s="1201"/>
      <c r="DAE227" s="1201"/>
      <c r="DAF227" s="1201"/>
      <c r="DAG227" s="1201"/>
      <c r="DAH227" s="1201"/>
      <c r="DAI227" s="1201"/>
      <c r="DAJ227" s="1201"/>
      <c r="DAK227" s="1201"/>
      <c r="DAL227" s="1201"/>
      <c r="DAM227" s="1201"/>
      <c r="DAN227" s="1201"/>
      <c r="DAO227" s="1201"/>
      <c r="DAP227" s="1201"/>
      <c r="DAQ227" s="1201"/>
      <c r="DAR227" s="1201"/>
      <c r="DAS227" s="1201"/>
      <c r="DAT227" s="1201"/>
      <c r="DAU227" s="1201"/>
      <c r="DAV227" s="1201"/>
      <c r="DAW227" s="1201"/>
      <c r="DAX227" s="1201"/>
      <c r="DAY227" s="1201"/>
      <c r="DAZ227" s="1201"/>
      <c r="DBA227" s="1201"/>
      <c r="DBB227" s="1201"/>
      <c r="DBC227" s="1201"/>
      <c r="DBD227" s="1201"/>
      <c r="DBE227" s="1201"/>
      <c r="DBF227" s="1201"/>
      <c r="DBG227" s="1201"/>
      <c r="DBH227" s="1201"/>
      <c r="DBI227" s="1201"/>
      <c r="DBJ227" s="1201"/>
      <c r="DBK227" s="1201"/>
      <c r="DBL227" s="1201"/>
      <c r="DBM227" s="1201"/>
      <c r="DBN227" s="1201"/>
      <c r="DBO227" s="1201"/>
      <c r="DBP227" s="1201"/>
      <c r="DBQ227" s="1201"/>
      <c r="DBR227" s="1201"/>
      <c r="DBS227" s="1201"/>
      <c r="DBT227" s="1201"/>
      <c r="DBU227" s="1201"/>
      <c r="DBV227" s="1201"/>
      <c r="DBW227" s="1201"/>
      <c r="DBX227" s="1201"/>
      <c r="DBY227" s="1201"/>
      <c r="DBZ227" s="1201"/>
      <c r="DCA227" s="1201"/>
      <c r="DCB227" s="1201"/>
      <c r="DCC227" s="1201"/>
      <c r="DCD227" s="1201"/>
      <c r="DCE227" s="1201"/>
      <c r="DCF227" s="1201"/>
      <c r="DCG227" s="1201"/>
      <c r="DCH227" s="1201"/>
      <c r="DCI227" s="1201"/>
      <c r="DCJ227" s="1201"/>
      <c r="DCK227" s="1201"/>
      <c r="DCL227" s="1201"/>
      <c r="DCM227" s="1201"/>
      <c r="DCN227" s="1201"/>
      <c r="DCO227" s="1201"/>
      <c r="DCP227" s="1201"/>
      <c r="DCQ227" s="1201"/>
      <c r="DCR227" s="1201"/>
      <c r="DCS227" s="1201"/>
      <c r="DCT227" s="1201"/>
      <c r="DCU227" s="1201"/>
      <c r="DCV227" s="1201"/>
      <c r="DCW227" s="1201"/>
      <c r="DCX227" s="1201"/>
      <c r="DCY227" s="1201"/>
      <c r="DCZ227" s="1201"/>
      <c r="DDA227" s="1201"/>
      <c r="DDB227" s="1201"/>
      <c r="DDC227" s="1201"/>
      <c r="DDD227" s="1201"/>
      <c r="DDE227" s="1201"/>
      <c r="DDF227" s="1201"/>
      <c r="DDG227" s="1201"/>
      <c r="DDH227" s="1201"/>
      <c r="DDI227" s="1201"/>
      <c r="DDJ227" s="1201"/>
      <c r="DDK227" s="1201"/>
      <c r="DDL227" s="1201"/>
      <c r="DDM227" s="1201"/>
      <c r="DDN227" s="1201"/>
      <c r="DDO227" s="1201"/>
      <c r="DDP227" s="1201"/>
      <c r="DDQ227" s="1201"/>
      <c r="DDR227" s="1201"/>
      <c r="DDS227" s="1201"/>
      <c r="DDT227" s="1201"/>
      <c r="DDU227" s="1201"/>
      <c r="DDV227" s="1201"/>
      <c r="DDW227" s="1201"/>
      <c r="DDX227" s="1201"/>
      <c r="DDY227" s="1201"/>
      <c r="DDZ227" s="1201"/>
      <c r="DEA227" s="1201"/>
      <c r="DEB227" s="1201"/>
      <c r="DEC227" s="1201"/>
      <c r="DED227" s="1201"/>
      <c r="DEE227" s="1201"/>
      <c r="DEF227" s="1201"/>
      <c r="DEG227" s="1201"/>
      <c r="DEH227" s="1201"/>
      <c r="DEI227" s="1201"/>
      <c r="DEJ227" s="1201"/>
      <c r="DEK227" s="1201"/>
      <c r="DEL227" s="1201"/>
      <c r="DEM227" s="1201"/>
      <c r="DEN227" s="1201"/>
      <c r="DEO227" s="1201"/>
      <c r="DEP227" s="1201"/>
      <c r="DEQ227" s="1201"/>
      <c r="DER227" s="1201"/>
      <c r="DES227" s="1201"/>
      <c r="DET227" s="1201"/>
      <c r="DEU227" s="1201"/>
      <c r="DEV227" s="1201"/>
      <c r="DEW227" s="1201"/>
      <c r="DEX227" s="1201"/>
      <c r="DEY227" s="1201"/>
      <c r="DEZ227" s="1201"/>
      <c r="DFA227" s="1201"/>
      <c r="DFB227" s="1201"/>
      <c r="DFC227" s="1201"/>
      <c r="DFD227" s="1201"/>
      <c r="DFE227" s="1201"/>
      <c r="DFF227" s="1201"/>
      <c r="DFG227" s="1201"/>
      <c r="DFH227" s="1201"/>
      <c r="DFI227" s="1201"/>
      <c r="DFJ227" s="1201"/>
      <c r="DFK227" s="1201"/>
      <c r="DFL227" s="1201"/>
      <c r="DFM227" s="1201"/>
      <c r="DFN227" s="1201"/>
      <c r="DFO227" s="1201"/>
      <c r="DFP227" s="1201"/>
      <c r="DFQ227" s="1201"/>
      <c r="DFR227" s="1201"/>
      <c r="DFS227" s="1201"/>
      <c r="DFT227" s="1201"/>
      <c r="DFU227" s="1201"/>
      <c r="DFV227" s="1201"/>
      <c r="DFW227" s="1201"/>
      <c r="DFX227" s="1201"/>
      <c r="DFY227" s="1201"/>
      <c r="DFZ227" s="1201"/>
      <c r="DGA227" s="1201"/>
      <c r="DGB227" s="1201"/>
      <c r="DGC227" s="1201"/>
      <c r="DGD227" s="1201"/>
      <c r="DGE227" s="1201"/>
      <c r="DGF227" s="1201"/>
      <c r="DGG227" s="1201"/>
      <c r="DGH227" s="1201"/>
      <c r="DGI227" s="1201"/>
      <c r="DGJ227" s="1201"/>
      <c r="DGK227" s="1201"/>
      <c r="DGL227" s="1201"/>
      <c r="DGM227" s="1201"/>
      <c r="DGN227" s="1201"/>
      <c r="DGO227" s="1201"/>
      <c r="DGP227" s="1201"/>
      <c r="DGQ227" s="1201"/>
      <c r="DGR227" s="1201"/>
      <c r="DGS227" s="1201"/>
      <c r="DGT227" s="1201"/>
      <c r="DGU227" s="1201"/>
      <c r="DGV227" s="1201"/>
      <c r="DGW227" s="1201"/>
      <c r="DGX227" s="1201"/>
      <c r="DGY227" s="1201"/>
      <c r="DGZ227" s="1201"/>
      <c r="DHA227" s="1201"/>
      <c r="DHB227" s="1201"/>
      <c r="DHC227" s="1201"/>
      <c r="DHD227" s="1201"/>
      <c r="DHE227" s="1201"/>
      <c r="DHF227" s="1201"/>
      <c r="DHG227" s="1201"/>
      <c r="DHH227" s="1201"/>
      <c r="DHI227" s="1201"/>
      <c r="DHJ227" s="1201"/>
      <c r="DHK227" s="1201"/>
      <c r="DHL227" s="1201"/>
      <c r="DHM227" s="1201"/>
      <c r="DHN227" s="1201"/>
      <c r="DHO227" s="1201"/>
      <c r="DHP227" s="1201"/>
      <c r="DHQ227" s="1201"/>
      <c r="DHR227" s="1201"/>
      <c r="DHS227" s="1201"/>
      <c r="DHT227" s="1201"/>
      <c r="DHU227" s="1201"/>
      <c r="DHV227" s="1201"/>
      <c r="DHW227" s="1201"/>
      <c r="DHX227" s="1201"/>
      <c r="DHY227" s="1201"/>
      <c r="DHZ227" s="1201"/>
      <c r="DIA227" s="1201"/>
      <c r="DIB227" s="1201"/>
      <c r="DIC227" s="1201"/>
      <c r="DID227" s="1201"/>
      <c r="DIE227" s="1201"/>
      <c r="DIF227" s="1201"/>
      <c r="DIG227" s="1201"/>
      <c r="DIH227" s="1201"/>
      <c r="DII227" s="1201"/>
      <c r="DIJ227" s="1201"/>
      <c r="DIK227" s="1201"/>
      <c r="DIL227" s="1201"/>
      <c r="DIM227" s="1201"/>
      <c r="DIN227" s="1201"/>
      <c r="DIO227" s="1201"/>
      <c r="DIP227" s="1201"/>
      <c r="DIQ227" s="1201"/>
      <c r="DIR227" s="1201"/>
      <c r="DIS227" s="1201"/>
      <c r="DIT227" s="1201"/>
      <c r="DIU227" s="1201"/>
      <c r="DIV227" s="1201"/>
      <c r="DIW227" s="1201"/>
      <c r="DIX227" s="1201"/>
      <c r="DIY227" s="1201"/>
      <c r="DIZ227" s="1201"/>
      <c r="DJA227" s="1201"/>
      <c r="DJB227" s="1201"/>
      <c r="DJC227" s="1201"/>
      <c r="DJD227" s="1201"/>
      <c r="DJE227" s="1201"/>
      <c r="DJF227" s="1201"/>
      <c r="DJG227" s="1201"/>
      <c r="DJH227" s="1201"/>
      <c r="DJI227" s="1201"/>
      <c r="DJJ227" s="1201"/>
      <c r="DJK227" s="1201"/>
      <c r="DJL227" s="1201"/>
      <c r="DJM227" s="1201"/>
      <c r="DJN227" s="1201"/>
      <c r="DJO227" s="1201"/>
      <c r="DJP227" s="1201"/>
      <c r="DJQ227" s="1201"/>
      <c r="DJR227" s="1201"/>
      <c r="DJS227" s="1201"/>
      <c r="DJT227" s="1201"/>
      <c r="DJU227" s="1201"/>
      <c r="DJV227" s="1201"/>
      <c r="DJW227" s="1201"/>
      <c r="DJX227" s="1201"/>
      <c r="DJY227" s="1201"/>
      <c r="DJZ227" s="1201"/>
      <c r="DKA227" s="1201"/>
      <c r="DKB227" s="1201"/>
      <c r="DKC227" s="1201"/>
      <c r="DKD227" s="1201"/>
      <c r="DKE227" s="1201"/>
      <c r="DKF227" s="1201"/>
      <c r="DKG227" s="1201"/>
      <c r="DKH227" s="1201"/>
      <c r="DKI227" s="1201"/>
      <c r="DKJ227" s="1201"/>
      <c r="DKK227" s="1201"/>
      <c r="DKL227" s="1201"/>
      <c r="DKM227" s="1201"/>
      <c r="DKN227" s="1201"/>
      <c r="DKO227" s="1201"/>
      <c r="DKP227" s="1201"/>
      <c r="DKQ227" s="1201"/>
      <c r="DKR227" s="1201"/>
      <c r="DKS227" s="1201"/>
      <c r="DKT227" s="1201"/>
      <c r="DKU227" s="1201"/>
      <c r="DKV227" s="1201"/>
      <c r="DKW227" s="1201"/>
      <c r="DKX227" s="1201"/>
      <c r="DKY227" s="1201"/>
      <c r="DKZ227" s="1201"/>
      <c r="DLA227" s="1201"/>
      <c r="DLB227" s="1201"/>
      <c r="DLC227" s="1201"/>
      <c r="DLD227" s="1201"/>
      <c r="DLE227" s="1201"/>
      <c r="DLF227" s="1201"/>
      <c r="DLG227" s="1201"/>
      <c r="DLH227" s="1201"/>
      <c r="DLI227" s="1201"/>
      <c r="DLJ227" s="1201"/>
      <c r="DLK227" s="1201"/>
      <c r="DLL227" s="1201"/>
      <c r="DLM227" s="1201"/>
      <c r="DLN227" s="1201"/>
      <c r="DLO227" s="1201"/>
      <c r="DLP227" s="1201"/>
      <c r="DLQ227" s="1201"/>
      <c r="DLR227" s="1201"/>
      <c r="DLS227" s="1201"/>
      <c r="DLT227" s="1201"/>
      <c r="DLU227" s="1201"/>
      <c r="DLV227" s="1201"/>
      <c r="DLW227" s="1201"/>
      <c r="DLX227" s="1201"/>
      <c r="DLY227" s="1201"/>
      <c r="DLZ227" s="1201"/>
      <c r="DMA227" s="1201"/>
      <c r="DMB227" s="1201"/>
      <c r="DMC227" s="1201"/>
      <c r="DMD227" s="1201"/>
      <c r="DME227" s="1201"/>
      <c r="DMF227" s="1201"/>
      <c r="DMG227" s="1201"/>
      <c r="DMH227" s="1201"/>
      <c r="DMI227" s="1201"/>
      <c r="DMJ227" s="1201"/>
      <c r="DMK227" s="1201"/>
      <c r="DML227" s="1201"/>
      <c r="DMM227" s="1201"/>
      <c r="DMN227" s="1201"/>
      <c r="DMO227" s="1201"/>
      <c r="DMP227" s="1201"/>
      <c r="DMQ227" s="1201"/>
      <c r="DMR227" s="1201"/>
      <c r="DMS227" s="1201"/>
      <c r="DMT227" s="1201"/>
      <c r="DMU227" s="1201"/>
      <c r="DMV227" s="1201"/>
      <c r="DMW227" s="1201"/>
      <c r="DMX227" s="1201"/>
      <c r="DMY227" s="1201"/>
      <c r="DMZ227" s="1201"/>
      <c r="DNA227" s="1201"/>
      <c r="DNB227" s="1201"/>
      <c r="DNC227" s="1201"/>
      <c r="DND227" s="1201"/>
      <c r="DNE227" s="1201"/>
      <c r="DNF227" s="1201"/>
      <c r="DNG227" s="1201"/>
      <c r="DNH227" s="1201"/>
      <c r="DNI227" s="1201"/>
      <c r="DNJ227" s="1201"/>
      <c r="DNK227" s="1201"/>
      <c r="DNL227" s="1201"/>
      <c r="DNM227" s="1201"/>
      <c r="DNN227" s="1201"/>
      <c r="DNO227" s="1201"/>
      <c r="DNP227" s="1201"/>
      <c r="DNQ227" s="1201"/>
      <c r="DNR227" s="1201"/>
      <c r="DNS227" s="1201"/>
      <c r="DNT227" s="1201"/>
      <c r="DNU227" s="1201"/>
      <c r="DNV227" s="1201"/>
      <c r="DNW227" s="1201"/>
      <c r="DNX227" s="1201"/>
      <c r="DNY227" s="1201"/>
      <c r="DNZ227" s="1201"/>
      <c r="DOA227" s="1201"/>
      <c r="DOB227" s="1201"/>
      <c r="DOC227" s="1201"/>
      <c r="DOD227" s="1201"/>
      <c r="DOE227" s="1201"/>
      <c r="DOF227" s="1201"/>
      <c r="DOG227" s="1201"/>
      <c r="DOH227" s="1201"/>
      <c r="DOI227" s="1201"/>
      <c r="DOJ227" s="1201"/>
      <c r="DOK227" s="1201"/>
      <c r="DOL227" s="1201"/>
      <c r="DOM227" s="1201"/>
      <c r="DON227" s="1201"/>
      <c r="DOO227" s="1201"/>
      <c r="DOP227" s="1201"/>
      <c r="DOQ227" s="1201"/>
      <c r="DOR227" s="1201"/>
      <c r="DOS227" s="1201"/>
      <c r="DOT227" s="1201"/>
      <c r="DOU227" s="1201"/>
      <c r="DOV227" s="1201"/>
      <c r="DOW227" s="1201"/>
      <c r="DOX227" s="1201"/>
      <c r="DOY227" s="1201"/>
      <c r="DOZ227" s="1201"/>
      <c r="DPA227" s="1201"/>
      <c r="DPB227" s="1201"/>
      <c r="DPC227" s="1201"/>
      <c r="DPD227" s="1201"/>
      <c r="DPE227" s="1201"/>
      <c r="DPF227" s="1201"/>
      <c r="DPG227" s="1201"/>
      <c r="DPH227" s="1201"/>
      <c r="DPI227" s="1201"/>
      <c r="DPJ227" s="1201"/>
      <c r="DPK227" s="1201"/>
      <c r="DPL227" s="1201"/>
      <c r="DPM227" s="1201"/>
      <c r="DPN227" s="1201"/>
      <c r="DPO227" s="1201"/>
      <c r="DPP227" s="1201"/>
      <c r="DPQ227" s="1201"/>
      <c r="DPR227" s="1201"/>
      <c r="DPS227" s="1201"/>
      <c r="DPT227" s="1201"/>
      <c r="DPU227" s="1201"/>
      <c r="DPV227" s="1201"/>
      <c r="DPW227" s="1201"/>
      <c r="DPX227" s="1201"/>
      <c r="DPY227" s="1201"/>
      <c r="DPZ227" s="1201"/>
      <c r="DQA227" s="1201"/>
      <c r="DQB227" s="1201"/>
      <c r="DQC227" s="1201"/>
      <c r="DQD227" s="1201"/>
      <c r="DQE227" s="1201"/>
      <c r="DQF227" s="1201"/>
      <c r="DQG227" s="1201"/>
      <c r="DQH227" s="1201"/>
      <c r="DQI227" s="1201"/>
      <c r="DQJ227" s="1201"/>
      <c r="DQK227" s="1201"/>
      <c r="DQL227" s="1201"/>
      <c r="DQM227" s="1201"/>
      <c r="DQN227" s="1201"/>
      <c r="DQO227" s="1201"/>
      <c r="DQP227" s="1201"/>
      <c r="DQQ227" s="1201"/>
      <c r="DQR227" s="1201"/>
      <c r="DQS227" s="1201"/>
      <c r="DQT227" s="1201"/>
      <c r="DQU227" s="1201"/>
      <c r="DQV227" s="1201"/>
      <c r="DQW227" s="1201"/>
      <c r="DQX227" s="1201"/>
      <c r="DQY227" s="1201"/>
      <c r="DQZ227" s="1201"/>
      <c r="DRA227" s="1201"/>
      <c r="DRB227" s="1201"/>
      <c r="DRC227" s="1201"/>
      <c r="DRD227" s="1201"/>
      <c r="DRE227" s="1201"/>
      <c r="DRF227" s="1201"/>
      <c r="DRG227" s="1201"/>
      <c r="DRH227" s="1201"/>
      <c r="DRI227" s="1201"/>
      <c r="DRJ227" s="1201"/>
      <c r="DRK227" s="1201"/>
      <c r="DRL227" s="1201"/>
      <c r="DRM227" s="1201"/>
      <c r="DRN227" s="1201"/>
      <c r="DRO227" s="1201"/>
      <c r="DRP227" s="1201"/>
      <c r="DRQ227" s="1201"/>
      <c r="DRR227" s="1201"/>
      <c r="DRS227" s="1201"/>
      <c r="DRT227" s="1201"/>
      <c r="DRU227" s="1201"/>
      <c r="DRV227" s="1201"/>
      <c r="DRW227" s="1201"/>
      <c r="DRX227" s="1201"/>
      <c r="DRY227" s="1201"/>
      <c r="DRZ227" s="1201"/>
      <c r="DSA227" s="1201"/>
      <c r="DSB227" s="1201"/>
      <c r="DSC227" s="1201"/>
      <c r="DSD227" s="1201"/>
      <c r="DSE227" s="1201"/>
      <c r="DSF227" s="1201"/>
      <c r="DSG227" s="1201"/>
      <c r="DSH227" s="1201"/>
      <c r="DSI227" s="1201"/>
      <c r="DSJ227" s="1201"/>
      <c r="DSK227" s="1201"/>
      <c r="DSL227" s="1201"/>
      <c r="DSM227" s="1201"/>
      <c r="DSN227" s="1201"/>
      <c r="DSO227" s="1201"/>
      <c r="DSP227" s="1201"/>
      <c r="DSQ227" s="1201"/>
      <c r="DSR227" s="1201"/>
      <c r="DSS227" s="1201"/>
      <c r="DST227" s="1201"/>
      <c r="DSU227" s="1201"/>
      <c r="DSV227" s="1201"/>
      <c r="DSW227" s="1201"/>
      <c r="DSX227" s="1201"/>
      <c r="DSY227" s="1201"/>
      <c r="DSZ227" s="1201"/>
      <c r="DTA227" s="1201"/>
      <c r="DTB227" s="1201"/>
      <c r="DTC227" s="1201"/>
      <c r="DTD227" s="1201"/>
      <c r="DTE227" s="1201"/>
      <c r="DTF227" s="1201"/>
      <c r="DTG227" s="1201"/>
      <c r="DTH227" s="1201"/>
      <c r="DTI227" s="1201"/>
      <c r="DTJ227" s="1201"/>
      <c r="DTK227" s="1201"/>
      <c r="DTL227" s="1201"/>
      <c r="DTM227" s="1201"/>
      <c r="DTN227" s="1201"/>
      <c r="DTO227" s="1201"/>
      <c r="DTP227" s="1201"/>
      <c r="DTQ227" s="1201"/>
      <c r="DTR227" s="1201"/>
      <c r="DTS227" s="1201"/>
      <c r="DTT227" s="1201"/>
      <c r="DTU227" s="1201"/>
      <c r="DTV227" s="1201"/>
      <c r="DTW227" s="1201"/>
      <c r="DTX227" s="1201"/>
      <c r="DTY227" s="1201"/>
      <c r="DTZ227" s="1201"/>
      <c r="DUA227" s="1201"/>
      <c r="DUB227" s="1201"/>
      <c r="DUC227" s="1201"/>
      <c r="DUD227" s="1201"/>
      <c r="DUE227" s="1201"/>
      <c r="DUF227" s="1201"/>
      <c r="DUG227" s="1201"/>
      <c r="DUH227" s="1201"/>
      <c r="DUI227" s="1201"/>
      <c r="DUJ227" s="1201"/>
      <c r="DUK227" s="1201"/>
      <c r="DUL227" s="1201"/>
      <c r="DUM227" s="1201"/>
      <c r="DUN227" s="1201"/>
      <c r="DUO227" s="1201"/>
      <c r="DUP227" s="1201"/>
      <c r="DUQ227" s="1201"/>
      <c r="DUR227" s="1201"/>
      <c r="DUS227" s="1201"/>
      <c r="DUT227" s="1201"/>
      <c r="DUU227" s="1201"/>
      <c r="DUV227" s="1201"/>
      <c r="DUW227" s="1201"/>
      <c r="DUX227" s="1201"/>
      <c r="DUY227" s="1201"/>
      <c r="DUZ227" s="1201"/>
      <c r="DVA227" s="1201"/>
      <c r="DVB227" s="1201"/>
      <c r="DVC227" s="1201"/>
      <c r="DVD227" s="1201"/>
      <c r="DVE227" s="1201"/>
      <c r="DVF227" s="1201"/>
      <c r="DVG227" s="1201"/>
      <c r="DVH227" s="1201"/>
      <c r="DVI227" s="1201"/>
      <c r="DVJ227" s="1201"/>
      <c r="DVK227" s="1201"/>
      <c r="DVL227" s="1201"/>
      <c r="DVM227" s="1201"/>
      <c r="DVN227" s="1201"/>
      <c r="DVO227" s="1201"/>
      <c r="DVP227" s="1201"/>
      <c r="DVQ227" s="1201"/>
      <c r="DVR227" s="1201"/>
      <c r="DVS227" s="1201"/>
      <c r="DVT227" s="1201"/>
      <c r="DVU227" s="1201"/>
      <c r="DVV227" s="1201"/>
      <c r="DVW227" s="1201"/>
      <c r="DVX227" s="1201"/>
      <c r="DVY227" s="1201"/>
      <c r="DVZ227" s="1201"/>
      <c r="DWA227" s="1201"/>
      <c r="DWB227" s="1201"/>
      <c r="DWC227" s="1201"/>
      <c r="DWD227" s="1201"/>
      <c r="DWE227" s="1201"/>
      <c r="DWF227" s="1201"/>
      <c r="DWG227" s="1201"/>
      <c r="DWH227" s="1201"/>
      <c r="DWI227" s="1201"/>
      <c r="DWJ227" s="1201"/>
      <c r="DWK227" s="1201"/>
      <c r="DWL227" s="1201"/>
      <c r="DWM227" s="1201"/>
      <c r="DWN227" s="1201"/>
      <c r="DWO227" s="1201"/>
      <c r="DWP227" s="1201"/>
      <c r="DWQ227" s="1201"/>
      <c r="DWR227" s="1201"/>
      <c r="DWS227" s="1201"/>
      <c r="DWT227" s="1201"/>
      <c r="DWU227" s="1201"/>
      <c r="DWV227" s="1201"/>
      <c r="DWW227" s="1201"/>
      <c r="DWX227" s="1201"/>
      <c r="DWY227" s="1201"/>
      <c r="DWZ227" s="1201"/>
      <c r="DXA227" s="1201"/>
      <c r="DXB227" s="1201"/>
      <c r="DXC227" s="1201"/>
      <c r="DXD227" s="1201"/>
      <c r="DXE227" s="1201"/>
      <c r="DXF227" s="1201"/>
      <c r="DXG227" s="1201"/>
      <c r="DXH227" s="1201"/>
      <c r="DXI227" s="1201"/>
      <c r="DXJ227" s="1201"/>
      <c r="DXK227" s="1201"/>
      <c r="DXL227" s="1201"/>
      <c r="DXM227" s="1201"/>
      <c r="DXN227" s="1201"/>
      <c r="DXO227" s="1201"/>
      <c r="DXP227" s="1201"/>
      <c r="DXQ227" s="1201"/>
      <c r="DXR227" s="1201"/>
      <c r="DXS227" s="1201"/>
      <c r="DXT227" s="1201"/>
      <c r="DXU227" s="1201"/>
      <c r="DXV227" s="1201"/>
      <c r="DXW227" s="1201"/>
      <c r="DXX227" s="1201"/>
      <c r="DXY227" s="1201"/>
      <c r="DXZ227" s="1201"/>
      <c r="DYA227" s="1201"/>
      <c r="DYB227" s="1201"/>
      <c r="DYC227" s="1201"/>
      <c r="DYD227" s="1201"/>
      <c r="DYE227" s="1201"/>
      <c r="DYF227" s="1201"/>
      <c r="DYG227" s="1201"/>
      <c r="DYH227" s="1201"/>
      <c r="DYI227" s="1201"/>
      <c r="DYJ227" s="1201"/>
      <c r="DYK227" s="1201"/>
      <c r="DYL227" s="1201"/>
      <c r="DYM227" s="1201"/>
      <c r="DYN227" s="1201"/>
      <c r="DYO227" s="1201"/>
      <c r="DYP227" s="1201"/>
      <c r="DYQ227" s="1201"/>
      <c r="DYR227" s="1201"/>
      <c r="DYS227" s="1201"/>
      <c r="DYT227" s="1201"/>
      <c r="DYU227" s="1201"/>
      <c r="DYV227" s="1201"/>
      <c r="DYW227" s="1201"/>
      <c r="DYX227" s="1201"/>
      <c r="DYY227" s="1201"/>
      <c r="DYZ227" s="1201"/>
      <c r="DZA227" s="1201"/>
      <c r="DZB227" s="1201"/>
      <c r="DZC227" s="1201"/>
      <c r="DZD227" s="1201"/>
      <c r="DZE227" s="1201"/>
      <c r="DZF227" s="1201"/>
      <c r="DZG227" s="1201"/>
      <c r="DZH227" s="1201"/>
      <c r="DZI227" s="1201"/>
      <c r="DZJ227" s="1201"/>
      <c r="DZK227" s="1201"/>
      <c r="DZL227" s="1201"/>
      <c r="DZM227" s="1201"/>
      <c r="DZN227" s="1201"/>
      <c r="DZO227" s="1201"/>
      <c r="DZP227" s="1201"/>
      <c r="DZQ227" s="1201"/>
      <c r="DZR227" s="1201"/>
      <c r="DZS227" s="1201"/>
      <c r="DZT227" s="1201"/>
      <c r="DZU227" s="1201"/>
      <c r="DZV227" s="1201"/>
      <c r="DZW227" s="1201"/>
      <c r="DZX227" s="1201"/>
      <c r="DZY227" s="1201"/>
      <c r="DZZ227" s="1201"/>
      <c r="EAA227" s="1201"/>
      <c r="EAB227" s="1201"/>
      <c r="EAC227" s="1201"/>
      <c r="EAD227" s="1201"/>
      <c r="EAE227" s="1201"/>
      <c r="EAF227" s="1201"/>
      <c r="EAG227" s="1201"/>
      <c r="EAH227" s="1201"/>
      <c r="EAI227" s="1201"/>
      <c r="EAJ227" s="1201"/>
      <c r="EAK227" s="1201"/>
      <c r="EAL227" s="1201"/>
      <c r="EAM227" s="1201"/>
      <c r="EAN227" s="1201"/>
      <c r="EAO227" s="1201"/>
      <c r="EAP227" s="1201"/>
      <c r="EAQ227" s="1201"/>
      <c r="EAR227" s="1201"/>
      <c r="EAS227" s="1201"/>
      <c r="EAT227" s="1201"/>
      <c r="EAU227" s="1201"/>
      <c r="EAV227" s="1201"/>
      <c r="EAW227" s="1201"/>
      <c r="EAX227" s="1201"/>
      <c r="EAY227" s="1201"/>
      <c r="EAZ227" s="1201"/>
      <c r="EBA227" s="1201"/>
      <c r="EBB227" s="1201"/>
      <c r="EBC227" s="1201"/>
      <c r="EBD227" s="1201"/>
      <c r="EBE227" s="1201"/>
      <c r="EBF227" s="1201"/>
      <c r="EBG227" s="1201"/>
      <c r="EBH227" s="1201"/>
      <c r="EBI227" s="1201"/>
      <c r="EBJ227" s="1201"/>
      <c r="EBK227" s="1201"/>
      <c r="EBL227" s="1201"/>
      <c r="EBM227" s="1201"/>
      <c r="EBN227" s="1201"/>
      <c r="EBO227" s="1201"/>
      <c r="EBP227" s="1201"/>
      <c r="EBQ227" s="1201"/>
      <c r="EBR227" s="1201"/>
      <c r="EBS227" s="1201"/>
      <c r="EBT227" s="1201"/>
      <c r="EBU227" s="1201"/>
      <c r="EBV227" s="1201"/>
      <c r="EBW227" s="1201"/>
      <c r="EBX227" s="1201"/>
      <c r="EBY227" s="1201"/>
      <c r="EBZ227" s="1201"/>
      <c r="ECA227" s="1201"/>
      <c r="ECB227" s="1201"/>
      <c r="ECC227" s="1201"/>
      <c r="ECD227" s="1201"/>
      <c r="ECE227" s="1201"/>
      <c r="ECF227" s="1201"/>
      <c r="ECG227" s="1201"/>
      <c r="ECH227" s="1201"/>
      <c r="ECI227" s="1201"/>
      <c r="ECJ227" s="1201"/>
      <c r="ECK227" s="1201"/>
      <c r="ECL227" s="1201"/>
      <c r="ECM227" s="1201"/>
      <c r="ECN227" s="1201"/>
      <c r="ECO227" s="1201"/>
      <c r="ECP227" s="1201"/>
      <c r="ECQ227" s="1201"/>
      <c r="ECR227" s="1201"/>
      <c r="ECS227" s="1201"/>
      <c r="ECT227" s="1201"/>
      <c r="ECU227" s="1201"/>
      <c r="ECV227" s="1201"/>
      <c r="ECW227" s="1201"/>
      <c r="ECX227" s="1201"/>
      <c r="ECY227" s="1201"/>
      <c r="ECZ227" s="1201"/>
      <c r="EDA227" s="1201"/>
      <c r="EDB227" s="1201"/>
      <c r="EDC227" s="1201"/>
      <c r="EDD227" s="1201"/>
      <c r="EDE227" s="1201"/>
      <c r="EDF227" s="1201"/>
      <c r="EDG227" s="1201"/>
      <c r="EDH227" s="1201"/>
      <c r="EDI227" s="1201"/>
      <c r="EDJ227" s="1201"/>
      <c r="EDK227" s="1201"/>
      <c r="EDL227" s="1201"/>
      <c r="EDM227" s="1201"/>
      <c r="EDN227" s="1201"/>
      <c r="EDO227" s="1201"/>
      <c r="EDP227" s="1201"/>
      <c r="EDQ227" s="1201"/>
      <c r="EDR227" s="1201"/>
      <c r="EDS227" s="1201"/>
      <c r="EDT227" s="1201"/>
      <c r="EDU227" s="1201"/>
      <c r="EDV227" s="1201"/>
      <c r="EDW227" s="1201"/>
      <c r="EDX227" s="1201"/>
      <c r="EDY227" s="1201"/>
      <c r="EDZ227" s="1201"/>
      <c r="EEA227" s="1201"/>
      <c r="EEB227" s="1201"/>
      <c r="EEC227" s="1201"/>
      <c r="EED227" s="1201"/>
      <c r="EEE227" s="1201"/>
      <c r="EEF227" s="1201"/>
      <c r="EEG227" s="1201"/>
      <c r="EEH227" s="1201"/>
      <c r="EEI227" s="1201"/>
      <c r="EEJ227" s="1201"/>
      <c r="EEK227" s="1201"/>
      <c r="EEL227" s="1201"/>
      <c r="EEM227" s="1201"/>
      <c r="EEN227" s="1201"/>
      <c r="EEO227" s="1201"/>
      <c r="EEP227" s="1201"/>
      <c r="EEQ227" s="1201"/>
      <c r="EER227" s="1201"/>
      <c r="EES227" s="1201"/>
      <c r="EET227" s="1201"/>
      <c r="EEU227" s="1201"/>
      <c r="EEV227" s="1201"/>
      <c r="EEW227" s="1201"/>
      <c r="EEX227" s="1201"/>
      <c r="EEY227" s="1201"/>
      <c r="EEZ227" s="1201"/>
      <c r="EFA227" s="1201"/>
      <c r="EFB227" s="1201"/>
      <c r="EFC227" s="1201"/>
      <c r="EFD227" s="1201"/>
      <c r="EFE227" s="1201"/>
      <c r="EFF227" s="1201"/>
      <c r="EFG227" s="1201"/>
      <c r="EFH227" s="1201"/>
      <c r="EFI227" s="1201"/>
      <c r="EFJ227" s="1201"/>
      <c r="EFK227" s="1201"/>
      <c r="EFL227" s="1201"/>
      <c r="EFM227" s="1201"/>
      <c r="EFN227" s="1201"/>
      <c r="EFO227" s="1201"/>
      <c r="EFP227" s="1201"/>
      <c r="EFQ227" s="1201"/>
      <c r="EFR227" s="1201"/>
      <c r="EFS227" s="1201"/>
      <c r="EFT227" s="1201"/>
      <c r="EFU227" s="1201"/>
      <c r="EFV227" s="1201"/>
      <c r="EFW227" s="1201"/>
      <c r="EFX227" s="1201"/>
      <c r="EFY227" s="1201"/>
      <c r="EFZ227" s="1201"/>
      <c r="EGA227" s="1201"/>
      <c r="EGB227" s="1201"/>
      <c r="EGC227" s="1201"/>
      <c r="EGD227" s="1201"/>
      <c r="EGE227" s="1201"/>
      <c r="EGF227" s="1201"/>
      <c r="EGG227" s="1201"/>
      <c r="EGH227" s="1201"/>
      <c r="EGI227" s="1201"/>
      <c r="EGJ227" s="1201"/>
      <c r="EGK227" s="1201"/>
      <c r="EGL227" s="1201"/>
      <c r="EGM227" s="1201"/>
      <c r="EGN227" s="1201"/>
      <c r="EGO227" s="1201"/>
      <c r="EGP227" s="1201"/>
      <c r="EGQ227" s="1201"/>
      <c r="EGR227" s="1201"/>
      <c r="EGS227" s="1201"/>
      <c r="EGT227" s="1201"/>
      <c r="EGU227" s="1201"/>
      <c r="EGV227" s="1201"/>
      <c r="EGW227" s="1201"/>
      <c r="EGX227" s="1201"/>
      <c r="EGY227" s="1201"/>
      <c r="EGZ227" s="1201"/>
      <c r="EHA227" s="1201"/>
      <c r="EHB227" s="1201"/>
      <c r="EHC227" s="1201"/>
      <c r="EHD227" s="1201"/>
      <c r="EHE227" s="1201"/>
      <c r="EHF227" s="1201"/>
      <c r="EHG227" s="1201"/>
      <c r="EHH227" s="1201"/>
      <c r="EHI227" s="1201"/>
      <c r="EHJ227" s="1201"/>
      <c r="EHK227" s="1201"/>
      <c r="EHL227" s="1201"/>
      <c r="EHM227" s="1201"/>
      <c r="EHN227" s="1201"/>
      <c r="EHO227" s="1201"/>
      <c r="EHP227" s="1201"/>
      <c r="EHQ227" s="1201"/>
      <c r="EHR227" s="1201"/>
      <c r="EHS227" s="1201"/>
      <c r="EHT227" s="1201"/>
      <c r="EHU227" s="1201"/>
      <c r="EHV227" s="1201"/>
      <c r="EHW227" s="1201"/>
      <c r="EHX227" s="1201"/>
      <c r="EHY227" s="1201"/>
      <c r="EHZ227" s="1201"/>
      <c r="EIA227" s="1201"/>
      <c r="EIB227" s="1201"/>
      <c r="EIC227" s="1201"/>
      <c r="EID227" s="1201"/>
      <c r="EIE227" s="1201"/>
      <c r="EIF227" s="1201"/>
      <c r="EIG227" s="1201"/>
      <c r="EIH227" s="1201"/>
      <c r="EII227" s="1201"/>
      <c r="EIJ227" s="1201"/>
      <c r="EIK227" s="1201"/>
      <c r="EIL227" s="1201"/>
      <c r="EIM227" s="1201"/>
      <c r="EIN227" s="1201"/>
      <c r="EIO227" s="1201"/>
      <c r="EIP227" s="1201"/>
      <c r="EIQ227" s="1201"/>
      <c r="EIR227" s="1201"/>
      <c r="EIS227" s="1201"/>
      <c r="EIT227" s="1201"/>
      <c r="EIU227" s="1201"/>
      <c r="EIV227" s="1201"/>
      <c r="EIW227" s="1201"/>
      <c r="EIX227" s="1201"/>
      <c r="EIY227" s="1201"/>
      <c r="EIZ227" s="1201"/>
      <c r="EJA227" s="1201"/>
      <c r="EJB227" s="1201"/>
      <c r="EJC227" s="1201"/>
      <c r="EJD227" s="1201"/>
      <c r="EJE227" s="1201"/>
      <c r="EJF227" s="1201"/>
      <c r="EJG227" s="1201"/>
      <c r="EJH227" s="1201"/>
      <c r="EJI227" s="1201"/>
      <c r="EJJ227" s="1201"/>
      <c r="EJK227" s="1201"/>
      <c r="EJL227" s="1201"/>
      <c r="EJM227" s="1201"/>
      <c r="EJN227" s="1201"/>
      <c r="EJO227" s="1201"/>
      <c r="EJP227" s="1201"/>
      <c r="EJQ227" s="1201"/>
      <c r="EJR227" s="1201"/>
      <c r="EJS227" s="1201"/>
      <c r="EJT227" s="1201"/>
      <c r="EJU227" s="1201"/>
      <c r="EJV227" s="1201"/>
      <c r="EJW227" s="1201"/>
      <c r="EJX227" s="1201"/>
      <c r="EJY227" s="1201"/>
      <c r="EJZ227" s="1201"/>
      <c r="EKA227" s="1201"/>
      <c r="EKB227" s="1201"/>
      <c r="EKC227" s="1201"/>
      <c r="EKD227" s="1201"/>
      <c r="EKE227" s="1201"/>
      <c r="EKF227" s="1201"/>
      <c r="EKG227" s="1201"/>
      <c r="EKH227" s="1201"/>
      <c r="EKI227" s="1201"/>
      <c r="EKJ227" s="1201"/>
      <c r="EKK227" s="1201"/>
      <c r="EKL227" s="1201"/>
      <c r="EKM227" s="1201"/>
      <c r="EKN227" s="1201"/>
      <c r="EKO227" s="1201"/>
      <c r="EKP227" s="1201"/>
      <c r="EKQ227" s="1201"/>
      <c r="EKR227" s="1201"/>
      <c r="EKS227" s="1201"/>
      <c r="EKT227" s="1201"/>
      <c r="EKU227" s="1201"/>
      <c r="EKV227" s="1201"/>
      <c r="EKW227" s="1201"/>
      <c r="EKX227" s="1201"/>
      <c r="EKY227" s="1201"/>
      <c r="EKZ227" s="1201"/>
      <c r="ELA227" s="1201"/>
      <c r="ELB227" s="1201"/>
      <c r="ELC227" s="1201"/>
      <c r="ELD227" s="1201"/>
      <c r="ELE227" s="1201"/>
      <c r="ELF227" s="1201"/>
      <c r="ELG227" s="1201"/>
      <c r="ELH227" s="1201"/>
      <c r="ELI227" s="1201"/>
      <c r="ELJ227" s="1201"/>
      <c r="ELK227" s="1201"/>
      <c r="ELL227" s="1201"/>
      <c r="ELM227" s="1201"/>
      <c r="ELN227" s="1201"/>
      <c r="ELO227" s="1201"/>
      <c r="ELP227" s="1201"/>
      <c r="ELQ227" s="1201"/>
      <c r="ELR227" s="1201"/>
      <c r="ELS227" s="1201"/>
      <c r="ELT227" s="1201"/>
      <c r="ELU227" s="1201"/>
      <c r="ELV227" s="1201"/>
      <c r="ELW227" s="1201"/>
      <c r="ELX227" s="1201"/>
      <c r="ELY227" s="1201"/>
      <c r="ELZ227" s="1201"/>
      <c r="EMA227" s="1201"/>
      <c r="EMB227" s="1201"/>
      <c r="EMC227" s="1201"/>
      <c r="EMD227" s="1201"/>
      <c r="EME227" s="1201"/>
      <c r="EMF227" s="1201"/>
      <c r="EMG227" s="1201"/>
      <c r="EMH227" s="1201"/>
      <c r="EMI227" s="1201"/>
      <c r="EMJ227" s="1201"/>
      <c r="EMK227" s="1201"/>
      <c r="EML227" s="1201"/>
      <c r="EMM227" s="1201"/>
      <c r="EMN227" s="1201"/>
      <c r="EMO227" s="1201"/>
      <c r="EMP227" s="1201"/>
      <c r="EMQ227" s="1201"/>
      <c r="EMR227" s="1201"/>
      <c r="EMS227" s="1201"/>
      <c r="EMT227" s="1201"/>
      <c r="EMU227" s="1201"/>
      <c r="EMV227" s="1201"/>
      <c r="EMW227" s="1201"/>
      <c r="EMX227" s="1201"/>
      <c r="EMY227" s="1201"/>
      <c r="EMZ227" s="1201"/>
      <c r="ENA227" s="1201"/>
      <c r="ENB227" s="1201"/>
      <c r="ENC227" s="1201"/>
      <c r="END227" s="1201"/>
      <c r="ENE227" s="1201"/>
      <c r="ENF227" s="1201"/>
      <c r="ENG227" s="1201"/>
      <c r="ENH227" s="1201"/>
      <c r="ENI227" s="1201"/>
      <c r="ENJ227" s="1201"/>
      <c r="ENK227" s="1201"/>
      <c r="ENL227" s="1201"/>
      <c r="ENM227" s="1201"/>
      <c r="ENN227" s="1201"/>
      <c r="ENO227" s="1201"/>
      <c r="ENP227" s="1201"/>
      <c r="ENQ227" s="1201"/>
      <c r="ENR227" s="1201"/>
      <c r="ENS227" s="1201"/>
      <c r="ENT227" s="1201"/>
      <c r="ENU227" s="1201"/>
      <c r="ENV227" s="1201"/>
      <c r="ENW227" s="1201"/>
      <c r="ENX227" s="1201"/>
      <c r="ENY227" s="1201"/>
      <c r="ENZ227" s="1201"/>
      <c r="EOA227" s="1201"/>
      <c r="EOB227" s="1201"/>
      <c r="EOC227" s="1201"/>
      <c r="EOD227" s="1201"/>
      <c r="EOE227" s="1201"/>
      <c r="EOF227" s="1201"/>
      <c r="EOG227" s="1201"/>
      <c r="EOH227" s="1201"/>
      <c r="EOI227" s="1201"/>
      <c r="EOJ227" s="1201"/>
      <c r="EOK227" s="1201"/>
      <c r="EOL227" s="1201"/>
      <c r="EOM227" s="1201"/>
      <c r="EON227" s="1201"/>
      <c r="EOO227" s="1201"/>
      <c r="EOP227" s="1201"/>
      <c r="EOQ227" s="1201"/>
      <c r="EOR227" s="1201"/>
      <c r="EOS227" s="1201"/>
      <c r="EOT227" s="1201"/>
      <c r="EOU227" s="1201"/>
      <c r="EOV227" s="1201"/>
      <c r="EOW227" s="1201"/>
      <c r="EOX227" s="1201"/>
      <c r="EOY227" s="1201"/>
      <c r="EOZ227" s="1201"/>
      <c r="EPA227" s="1201"/>
      <c r="EPB227" s="1201"/>
      <c r="EPC227" s="1201"/>
      <c r="EPD227" s="1201"/>
      <c r="EPE227" s="1201"/>
      <c r="EPF227" s="1201"/>
      <c r="EPG227" s="1201"/>
      <c r="EPH227" s="1201"/>
      <c r="EPI227" s="1201"/>
      <c r="EPJ227" s="1201"/>
      <c r="EPK227" s="1201"/>
      <c r="EPL227" s="1201"/>
      <c r="EPM227" s="1201"/>
      <c r="EPN227" s="1201"/>
      <c r="EPO227" s="1201"/>
      <c r="EPP227" s="1201"/>
      <c r="EPQ227" s="1201"/>
      <c r="EPR227" s="1201"/>
      <c r="EPS227" s="1201"/>
      <c r="EPT227" s="1201"/>
      <c r="EPU227" s="1201"/>
      <c r="EPV227" s="1201"/>
      <c r="EPW227" s="1201"/>
      <c r="EPX227" s="1201"/>
      <c r="EPY227" s="1201"/>
      <c r="EPZ227" s="1201"/>
      <c r="EQA227" s="1201"/>
      <c r="EQB227" s="1201"/>
      <c r="EQC227" s="1201"/>
      <c r="EQD227" s="1201"/>
      <c r="EQE227" s="1201"/>
      <c r="EQF227" s="1201"/>
      <c r="EQG227" s="1201"/>
      <c r="EQH227" s="1201"/>
      <c r="EQI227" s="1201"/>
      <c r="EQJ227" s="1201"/>
      <c r="EQK227" s="1201"/>
      <c r="EQL227" s="1201"/>
      <c r="EQM227" s="1201"/>
      <c r="EQN227" s="1201"/>
      <c r="EQO227" s="1201"/>
      <c r="EQP227" s="1201"/>
      <c r="EQQ227" s="1201"/>
      <c r="EQR227" s="1201"/>
      <c r="EQS227" s="1201"/>
      <c r="EQT227" s="1201"/>
      <c r="EQU227" s="1201"/>
      <c r="EQV227" s="1201"/>
      <c r="EQW227" s="1201"/>
      <c r="EQX227" s="1201"/>
      <c r="EQY227" s="1201"/>
      <c r="EQZ227" s="1201"/>
      <c r="ERA227" s="1201"/>
      <c r="ERB227" s="1201"/>
      <c r="ERC227" s="1201"/>
      <c r="ERD227" s="1201"/>
      <c r="ERE227" s="1201"/>
      <c r="ERF227" s="1201"/>
      <c r="ERG227" s="1201"/>
      <c r="ERH227" s="1201"/>
      <c r="ERI227" s="1201"/>
      <c r="ERJ227" s="1201"/>
      <c r="ERK227" s="1201"/>
      <c r="ERL227" s="1201"/>
      <c r="ERM227" s="1201"/>
      <c r="ERN227" s="1201"/>
      <c r="ERO227" s="1201"/>
      <c r="ERP227" s="1201"/>
      <c r="ERQ227" s="1201"/>
      <c r="ERR227" s="1201"/>
      <c r="ERS227" s="1201"/>
      <c r="ERT227" s="1201"/>
      <c r="ERU227" s="1201"/>
      <c r="ERV227" s="1201"/>
      <c r="ERW227" s="1201"/>
      <c r="ERX227" s="1201"/>
      <c r="ERY227" s="1201"/>
      <c r="ERZ227" s="1201"/>
      <c r="ESA227" s="1201"/>
      <c r="ESB227" s="1201"/>
      <c r="ESC227" s="1201"/>
      <c r="ESD227" s="1201"/>
      <c r="ESE227" s="1201"/>
      <c r="ESF227" s="1201"/>
      <c r="ESG227" s="1201"/>
      <c r="ESH227" s="1201"/>
      <c r="ESI227" s="1201"/>
      <c r="ESJ227" s="1201"/>
      <c r="ESK227" s="1201"/>
      <c r="ESL227" s="1201"/>
      <c r="ESM227" s="1201"/>
      <c r="ESN227" s="1201"/>
      <c r="ESO227" s="1201"/>
      <c r="ESP227" s="1201"/>
      <c r="ESQ227" s="1201"/>
      <c r="ESR227" s="1201"/>
      <c r="ESS227" s="1201"/>
      <c r="EST227" s="1201"/>
      <c r="ESU227" s="1201"/>
      <c r="ESV227" s="1201"/>
      <c r="ESW227" s="1201"/>
      <c r="ESX227" s="1201"/>
      <c r="ESY227" s="1201"/>
      <c r="ESZ227" s="1201"/>
      <c r="ETA227" s="1201"/>
      <c r="ETB227" s="1201"/>
      <c r="ETC227" s="1201"/>
      <c r="ETD227" s="1201"/>
      <c r="ETE227" s="1201"/>
      <c r="ETF227" s="1201"/>
      <c r="ETG227" s="1201"/>
      <c r="ETH227" s="1201"/>
      <c r="ETI227" s="1201"/>
      <c r="ETJ227" s="1201"/>
      <c r="ETK227" s="1201"/>
      <c r="ETL227" s="1201"/>
      <c r="ETM227" s="1201"/>
      <c r="ETN227" s="1201"/>
      <c r="ETO227" s="1201"/>
      <c r="ETP227" s="1201"/>
      <c r="ETQ227" s="1201"/>
      <c r="ETR227" s="1201"/>
      <c r="ETS227" s="1201"/>
      <c r="ETT227" s="1201"/>
      <c r="ETU227" s="1201"/>
      <c r="ETV227" s="1201"/>
      <c r="ETW227" s="1201"/>
      <c r="ETX227" s="1201"/>
      <c r="ETY227" s="1201"/>
      <c r="ETZ227" s="1201"/>
      <c r="EUA227" s="1201"/>
      <c r="EUB227" s="1201"/>
      <c r="EUC227" s="1201"/>
      <c r="EUD227" s="1201"/>
      <c r="EUE227" s="1201"/>
      <c r="EUF227" s="1201"/>
      <c r="EUG227" s="1201"/>
      <c r="EUH227" s="1201"/>
      <c r="EUI227" s="1201"/>
      <c r="EUJ227" s="1201"/>
      <c r="EUK227" s="1201"/>
      <c r="EUL227" s="1201"/>
      <c r="EUM227" s="1201"/>
      <c r="EUN227" s="1201"/>
      <c r="EUO227" s="1201"/>
      <c r="EUP227" s="1201"/>
      <c r="EUQ227" s="1201"/>
      <c r="EUR227" s="1201"/>
      <c r="EUS227" s="1201"/>
      <c r="EUT227" s="1201"/>
      <c r="EUU227" s="1201"/>
      <c r="EUV227" s="1201"/>
      <c r="EUW227" s="1201"/>
      <c r="EUX227" s="1201"/>
      <c r="EUY227" s="1201"/>
      <c r="EUZ227" s="1201"/>
      <c r="EVA227" s="1201"/>
      <c r="EVB227" s="1201"/>
      <c r="EVC227" s="1201"/>
      <c r="EVD227" s="1201"/>
      <c r="EVE227" s="1201"/>
      <c r="EVF227" s="1201"/>
      <c r="EVG227" s="1201"/>
      <c r="EVH227" s="1201"/>
      <c r="EVI227" s="1201"/>
      <c r="EVJ227" s="1201"/>
      <c r="EVK227" s="1201"/>
      <c r="EVL227" s="1201"/>
      <c r="EVM227" s="1201"/>
      <c r="EVN227" s="1201"/>
      <c r="EVO227" s="1201"/>
      <c r="EVP227" s="1201"/>
      <c r="EVQ227" s="1201"/>
      <c r="EVR227" s="1201"/>
      <c r="EVS227" s="1201"/>
      <c r="EVT227" s="1201"/>
      <c r="EVU227" s="1201"/>
      <c r="EVV227" s="1201"/>
      <c r="EVW227" s="1201"/>
      <c r="EVX227" s="1201"/>
      <c r="EVY227" s="1201"/>
      <c r="EVZ227" s="1201"/>
      <c r="EWA227" s="1201"/>
      <c r="EWB227" s="1201"/>
      <c r="EWC227" s="1201"/>
      <c r="EWD227" s="1201"/>
      <c r="EWE227" s="1201"/>
      <c r="EWF227" s="1201"/>
      <c r="EWG227" s="1201"/>
      <c r="EWH227" s="1201"/>
      <c r="EWI227" s="1201"/>
      <c r="EWJ227" s="1201"/>
      <c r="EWK227" s="1201"/>
      <c r="EWL227" s="1201"/>
      <c r="EWM227" s="1201"/>
      <c r="EWN227" s="1201"/>
      <c r="EWO227" s="1201"/>
      <c r="EWP227" s="1201"/>
      <c r="EWQ227" s="1201"/>
      <c r="EWR227" s="1201"/>
      <c r="EWS227" s="1201"/>
      <c r="EWT227" s="1201"/>
      <c r="EWU227" s="1201"/>
      <c r="EWV227" s="1201"/>
      <c r="EWW227" s="1201"/>
      <c r="EWX227" s="1201"/>
      <c r="EWY227" s="1201"/>
      <c r="EWZ227" s="1201"/>
      <c r="EXA227" s="1201"/>
      <c r="EXB227" s="1201"/>
      <c r="EXC227" s="1201"/>
      <c r="EXD227" s="1201"/>
      <c r="EXE227" s="1201"/>
      <c r="EXF227" s="1201"/>
      <c r="EXG227" s="1201"/>
      <c r="EXH227" s="1201"/>
      <c r="EXI227" s="1201"/>
      <c r="EXJ227" s="1201"/>
      <c r="EXK227" s="1201"/>
      <c r="EXL227" s="1201"/>
      <c r="EXM227" s="1201"/>
      <c r="EXN227" s="1201"/>
      <c r="EXO227" s="1201"/>
      <c r="EXP227" s="1201"/>
      <c r="EXQ227" s="1201"/>
      <c r="EXR227" s="1201"/>
      <c r="EXS227" s="1201"/>
      <c r="EXT227" s="1201"/>
      <c r="EXU227" s="1201"/>
      <c r="EXV227" s="1201"/>
      <c r="EXW227" s="1201"/>
      <c r="EXX227" s="1201"/>
      <c r="EXY227" s="1201"/>
      <c r="EXZ227" s="1201"/>
      <c r="EYA227" s="1201"/>
      <c r="EYB227" s="1201"/>
      <c r="EYC227" s="1201"/>
      <c r="EYD227" s="1201"/>
      <c r="EYE227" s="1201"/>
      <c r="EYF227" s="1201"/>
      <c r="EYG227" s="1201"/>
      <c r="EYH227" s="1201"/>
      <c r="EYI227" s="1201"/>
      <c r="EYJ227" s="1201"/>
      <c r="EYK227" s="1201"/>
      <c r="EYL227" s="1201"/>
      <c r="EYM227" s="1201"/>
      <c r="EYN227" s="1201"/>
      <c r="EYO227" s="1201"/>
      <c r="EYP227" s="1201"/>
      <c r="EYQ227" s="1201"/>
      <c r="EYR227" s="1201"/>
      <c r="EYS227" s="1201"/>
      <c r="EYT227" s="1201"/>
      <c r="EYU227" s="1201"/>
      <c r="EYV227" s="1201"/>
      <c r="EYW227" s="1201"/>
      <c r="EYX227" s="1201"/>
      <c r="EYY227" s="1201"/>
      <c r="EYZ227" s="1201"/>
      <c r="EZA227" s="1201"/>
      <c r="EZB227" s="1201"/>
      <c r="EZC227" s="1201"/>
      <c r="EZD227" s="1201"/>
      <c r="EZE227" s="1201"/>
      <c r="EZF227" s="1201"/>
      <c r="EZG227" s="1201"/>
      <c r="EZH227" s="1201"/>
      <c r="EZI227" s="1201"/>
      <c r="EZJ227" s="1201"/>
      <c r="EZK227" s="1201"/>
      <c r="EZL227" s="1201"/>
      <c r="EZM227" s="1201"/>
      <c r="EZN227" s="1201"/>
      <c r="EZO227" s="1201"/>
      <c r="EZP227" s="1201"/>
      <c r="EZQ227" s="1201"/>
      <c r="EZR227" s="1201"/>
      <c r="EZS227" s="1201"/>
      <c r="EZT227" s="1201"/>
      <c r="EZU227" s="1201"/>
      <c r="EZV227" s="1201"/>
      <c r="EZW227" s="1201"/>
      <c r="EZX227" s="1201"/>
      <c r="EZY227" s="1201"/>
      <c r="EZZ227" s="1201"/>
      <c r="FAA227" s="1201"/>
      <c r="FAB227" s="1201"/>
      <c r="FAC227" s="1201"/>
      <c r="FAD227" s="1201"/>
      <c r="FAE227" s="1201"/>
      <c r="FAF227" s="1201"/>
      <c r="FAG227" s="1201"/>
      <c r="FAH227" s="1201"/>
      <c r="FAI227" s="1201"/>
      <c r="FAJ227" s="1201"/>
      <c r="FAK227" s="1201"/>
      <c r="FAL227" s="1201"/>
      <c r="FAM227" s="1201"/>
      <c r="FAN227" s="1201"/>
      <c r="FAO227" s="1201"/>
      <c r="FAP227" s="1201"/>
      <c r="FAQ227" s="1201"/>
      <c r="FAR227" s="1201"/>
      <c r="FAS227" s="1201"/>
      <c r="FAT227" s="1201"/>
      <c r="FAU227" s="1201"/>
      <c r="FAV227" s="1201"/>
      <c r="FAW227" s="1201"/>
      <c r="FAX227" s="1201"/>
      <c r="FAY227" s="1201"/>
      <c r="FAZ227" s="1201"/>
      <c r="FBA227" s="1201"/>
      <c r="FBB227" s="1201"/>
      <c r="FBC227" s="1201"/>
      <c r="FBD227" s="1201"/>
      <c r="FBE227" s="1201"/>
      <c r="FBF227" s="1201"/>
      <c r="FBG227" s="1201"/>
      <c r="FBH227" s="1201"/>
      <c r="FBI227" s="1201"/>
      <c r="FBJ227" s="1201"/>
      <c r="FBK227" s="1201"/>
      <c r="FBL227" s="1201"/>
      <c r="FBM227" s="1201"/>
      <c r="FBN227" s="1201"/>
      <c r="FBO227" s="1201"/>
      <c r="FBP227" s="1201"/>
      <c r="FBQ227" s="1201"/>
      <c r="FBR227" s="1201"/>
      <c r="FBS227" s="1201"/>
      <c r="FBT227" s="1201"/>
      <c r="FBU227" s="1201"/>
      <c r="FBV227" s="1201"/>
      <c r="FBW227" s="1201"/>
      <c r="FBX227" s="1201"/>
      <c r="FBY227" s="1201"/>
      <c r="FBZ227" s="1201"/>
      <c r="FCA227" s="1201"/>
      <c r="FCB227" s="1201"/>
      <c r="FCC227" s="1201"/>
      <c r="FCD227" s="1201"/>
      <c r="FCE227" s="1201"/>
      <c r="FCF227" s="1201"/>
      <c r="FCG227" s="1201"/>
      <c r="FCH227" s="1201"/>
      <c r="FCI227" s="1201"/>
      <c r="FCJ227" s="1201"/>
      <c r="FCK227" s="1201"/>
      <c r="FCL227" s="1201"/>
      <c r="FCM227" s="1201"/>
      <c r="FCN227" s="1201"/>
      <c r="FCO227" s="1201"/>
      <c r="FCP227" s="1201"/>
      <c r="FCQ227" s="1201"/>
      <c r="FCR227" s="1201"/>
      <c r="FCS227" s="1201"/>
      <c r="FCT227" s="1201"/>
      <c r="FCU227" s="1201"/>
      <c r="FCV227" s="1201"/>
      <c r="FCW227" s="1201"/>
      <c r="FCX227" s="1201"/>
      <c r="FCY227" s="1201"/>
      <c r="FCZ227" s="1201"/>
      <c r="FDA227" s="1201"/>
      <c r="FDB227" s="1201"/>
      <c r="FDC227" s="1201"/>
      <c r="FDD227" s="1201"/>
      <c r="FDE227" s="1201"/>
      <c r="FDF227" s="1201"/>
      <c r="FDG227" s="1201"/>
      <c r="FDH227" s="1201"/>
      <c r="FDI227" s="1201"/>
      <c r="FDJ227" s="1201"/>
      <c r="FDK227" s="1201"/>
      <c r="FDL227" s="1201"/>
      <c r="FDM227" s="1201"/>
      <c r="FDN227" s="1201"/>
      <c r="FDO227" s="1201"/>
      <c r="FDP227" s="1201"/>
      <c r="FDQ227" s="1201"/>
      <c r="FDR227" s="1201"/>
      <c r="FDS227" s="1201"/>
      <c r="FDT227" s="1201"/>
      <c r="FDU227" s="1201"/>
      <c r="FDV227" s="1201"/>
      <c r="FDW227" s="1201"/>
      <c r="FDX227" s="1201"/>
      <c r="FDY227" s="1201"/>
      <c r="FDZ227" s="1201"/>
      <c r="FEA227" s="1201"/>
      <c r="FEB227" s="1201"/>
      <c r="FEC227" s="1201"/>
      <c r="FED227" s="1201"/>
      <c r="FEE227" s="1201"/>
      <c r="FEF227" s="1201"/>
      <c r="FEG227" s="1201"/>
      <c r="FEH227" s="1201"/>
      <c r="FEI227" s="1201"/>
      <c r="FEJ227" s="1201"/>
      <c r="FEK227" s="1201"/>
      <c r="FEL227" s="1201"/>
      <c r="FEM227" s="1201"/>
      <c r="FEN227" s="1201"/>
      <c r="FEO227" s="1201"/>
      <c r="FEP227" s="1201"/>
      <c r="FEQ227" s="1201"/>
      <c r="FER227" s="1201"/>
      <c r="FES227" s="1201"/>
      <c r="FET227" s="1201"/>
      <c r="FEU227" s="1201"/>
      <c r="FEV227" s="1201"/>
      <c r="FEW227" s="1201"/>
      <c r="FEX227" s="1201"/>
      <c r="FEY227" s="1201"/>
      <c r="FEZ227" s="1201"/>
      <c r="FFA227" s="1201"/>
      <c r="FFB227" s="1201"/>
      <c r="FFC227" s="1201"/>
      <c r="FFD227" s="1201"/>
      <c r="FFE227" s="1201"/>
      <c r="FFF227" s="1201"/>
      <c r="FFG227" s="1201"/>
      <c r="FFH227" s="1201"/>
      <c r="FFI227" s="1201"/>
      <c r="FFJ227" s="1201"/>
      <c r="FFK227" s="1201"/>
      <c r="FFL227" s="1201"/>
      <c r="FFM227" s="1201"/>
      <c r="FFN227" s="1201"/>
      <c r="FFO227" s="1201"/>
      <c r="FFP227" s="1201"/>
      <c r="FFQ227" s="1201"/>
      <c r="FFR227" s="1201"/>
      <c r="FFS227" s="1201"/>
      <c r="FFT227" s="1201"/>
      <c r="FFU227" s="1201"/>
      <c r="FFV227" s="1201"/>
      <c r="FFW227" s="1201"/>
      <c r="FFX227" s="1201"/>
      <c r="FFY227" s="1201"/>
      <c r="FFZ227" s="1201"/>
      <c r="FGA227" s="1201"/>
      <c r="FGB227" s="1201"/>
      <c r="FGC227" s="1201"/>
      <c r="FGD227" s="1201"/>
      <c r="FGE227" s="1201"/>
      <c r="FGF227" s="1201"/>
      <c r="FGG227" s="1201"/>
      <c r="FGH227" s="1201"/>
      <c r="FGI227" s="1201"/>
      <c r="FGJ227" s="1201"/>
      <c r="FGK227" s="1201"/>
      <c r="FGL227" s="1201"/>
      <c r="FGM227" s="1201"/>
      <c r="FGN227" s="1201"/>
      <c r="FGO227" s="1201"/>
      <c r="FGP227" s="1201"/>
      <c r="FGQ227" s="1201"/>
      <c r="FGR227" s="1201"/>
      <c r="FGS227" s="1201"/>
      <c r="FGT227" s="1201"/>
      <c r="FGU227" s="1201"/>
      <c r="FGV227" s="1201"/>
      <c r="FGW227" s="1201"/>
      <c r="FGX227" s="1201"/>
      <c r="FGY227" s="1201"/>
      <c r="FGZ227" s="1201"/>
      <c r="FHA227" s="1201"/>
      <c r="FHB227" s="1201"/>
      <c r="FHC227" s="1201"/>
      <c r="FHD227" s="1201"/>
      <c r="FHE227" s="1201"/>
      <c r="FHF227" s="1201"/>
      <c r="FHG227" s="1201"/>
      <c r="FHH227" s="1201"/>
      <c r="FHI227" s="1201"/>
      <c r="FHJ227" s="1201"/>
      <c r="FHK227" s="1201"/>
      <c r="FHL227" s="1201"/>
      <c r="FHM227" s="1201"/>
      <c r="FHN227" s="1201"/>
      <c r="FHO227" s="1201"/>
      <c r="FHP227" s="1201"/>
      <c r="FHQ227" s="1201"/>
      <c r="FHR227" s="1201"/>
      <c r="FHS227" s="1201"/>
      <c r="FHT227" s="1201"/>
      <c r="FHU227" s="1201"/>
      <c r="FHV227" s="1201"/>
      <c r="FHW227" s="1201"/>
      <c r="FHX227" s="1201"/>
      <c r="FHY227" s="1201"/>
      <c r="FHZ227" s="1201"/>
      <c r="FIA227" s="1201"/>
      <c r="FIB227" s="1201"/>
      <c r="FIC227" s="1201"/>
      <c r="FID227" s="1201"/>
      <c r="FIE227" s="1201"/>
      <c r="FIF227" s="1201"/>
      <c r="FIG227" s="1201"/>
      <c r="FIH227" s="1201"/>
      <c r="FII227" s="1201"/>
      <c r="FIJ227" s="1201"/>
      <c r="FIK227" s="1201"/>
      <c r="FIL227" s="1201"/>
      <c r="FIM227" s="1201"/>
      <c r="FIN227" s="1201"/>
      <c r="FIO227" s="1201"/>
      <c r="FIP227" s="1201"/>
      <c r="FIQ227" s="1201"/>
      <c r="FIR227" s="1201"/>
      <c r="FIS227" s="1201"/>
      <c r="FIT227" s="1201"/>
      <c r="FIU227" s="1201"/>
      <c r="FIV227" s="1201"/>
      <c r="FIW227" s="1201"/>
      <c r="FIX227" s="1201"/>
      <c r="FIY227" s="1201"/>
      <c r="FIZ227" s="1201"/>
      <c r="FJA227" s="1201"/>
      <c r="FJB227" s="1201"/>
      <c r="FJC227" s="1201"/>
      <c r="FJD227" s="1201"/>
      <c r="FJE227" s="1201"/>
      <c r="FJF227" s="1201"/>
      <c r="FJG227" s="1201"/>
      <c r="FJH227" s="1201"/>
      <c r="FJI227" s="1201"/>
      <c r="FJJ227" s="1201"/>
      <c r="FJK227" s="1201"/>
      <c r="FJL227" s="1201"/>
      <c r="FJM227" s="1201"/>
      <c r="FJN227" s="1201"/>
      <c r="FJO227" s="1201"/>
      <c r="FJP227" s="1201"/>
      <c r="FJQ227" s="1201"/>
      <c r="FJR227" s="1201"/>
      <c r="FJS227" s="1201"/>
      <c r="FJT227" s="1201"/>
      <c r="FJU227" s="1201"/>
      <c r="FJV227" s="1201"/>
      <c r="FJW227" s="1201"/>
      <c r="FJX227" s="1201"/>
      <c r="FJY227" s="1201"/>
      <c r="FJZ227" s="1201"/>
      <c r="FKA227" s="1201"/>
      <c r="FKB227" s="1201"/>
      <c r="FKC227" s="1201"/>
      <c r="FKD227" s="1201"/>
      <c r="FKE227" s="1201"/>
      <c r="FKF227" s="1201"/>
      <c r="FKG227" s="1201"/>
      <c r="FKH227" s="1201"/>
      <c r="FKI227" s="1201"/>
      <c r="FKJ227" s="1201"/>
      <c r="FKK227" s="1201"/>
      <c r="FKL227" s="1201"/>
      <c r="FKM227" s="1201"/>
      <c r="FKN227" s="1201"/>
      <c r="FKO227" s="1201"/>
      <c r="FKP227" s="1201"/>
      <c r="FKQ227" s="1201"/>
      <c r="FKR227" s="1201"/>
      <c r="FKS227" s="1201"/>
      <c r="FKT227" s="1201"/>
      <c r="FKU227" s="1201"/>
      <c r="FKV227" s="1201"/>
      <c r="FKW227" s="1201"/>
      <c r="FKX227" s="1201"/>
      <c r="FKY227" s="1201"/>
      <c r="FKZ227" s="1201"/>
      <c r="FLA227" s="1201"/>
      <c r="FLB227" s="1201"/>
      <c r="FLC227" s="1201"/>
      <c r="FLD227" s="1201"/>
      <c r="FLE227" s="1201"/>
      <c r="FLF227" s="1201"/>
      <c r="FLG227" s="1201"/>
      <c r="FLH227" s="1201"/>
      <c r="FLI227" s="1201"/>
      <c r="FLJ227" s="1201"/>
      <c r="FLK227" s="1201"/>
      <c r="FLL227" s="1201"/>
      <c r="FLM227" s="1201"/>
      <c r="FLN227" s="1201"/>
      <c r="FLO227" s="1201"/>
      <c r="FLP227" s="1201"/>
      <c r="FLQ227" s="1201"/>
      <c r="FLR227" s="1201"/>
      <c r="FLS227" s="1201"/>
      <c r="FLT227" s="1201"/>
      <c r="FLU227" s="1201"/>
      <c r="FLV227" s="1201"/>
      <c r="FLW227" s="1201"/>
      <c r="FLX227" s="1201"/>
      <c r="FLY227" s="1201"/>
      <c r="FLZ227" s="1201"/>
      <c r="FMA227" s="1201"/>
      <c r="FMB227" s="1201"/>
      <c r="FMC227" s="1201"/>
      <c r="FMD227" s="1201"/>
      <c r="FME227" s="1201"/>
      <c r="FMF227" s="1201"/>
      <c r="FMG227" s="1201"/>
      <c r="FMH227" s="1201"/>
      <c r="FMI227" s="1201"/>
      <c r="FMJ227" s="1201"/>
      <c r="FMK227" s="1201"/>
      <c r="FML227" s="1201"/>
      <c r="FMM227" s="1201"/>
      <c r="FMN227" s="1201"/>
      <c r="FMO227" s="1201"/>
      <c r="FMP227" s="1201"/>
      <c r="FMQ227" s="1201"/>
      <c r="FMR227" s="1201"/>
      <c r="FMS227" s="1201"/>
      <c r="FMT227" s="1201"/>
      <c r="FMU227" s="1201"/>
      <c r="FMV227" s="1201"/>
      <c r="FMW227" s="1201"/>
      <c r="FMX227" s="1201"/>
      <c r="FMY227" s="1201"/>
      <c r="FMZ227" s="1201"/>
      <c r="FNA227" s="1201"/>
      <c r="FNB227" s="1201"/>
      <c r="FNC227" s="1201"/>
      <c r="FND227" s="1201"/>
      <c r="FNE227" s="1201"/>
      <c r="FNF227" s="1201"/>
      <c r="FNG227" s="1201"/>
      <c r="FNH227" s="1201"/>
      <c r="FNI227" s="1201"/>
      <c r="FNJ227" s="1201"/>
      <c r="FNK227" s="1201"/>
      <c r="FNL227" s="1201"/>
      <c r="FNM227" s="1201"/>
      <c r="FNN227" s="1201"/>
      <c r="FNO227" s="1201"/>
      <c r="FNP227" s="1201"/>
      <c r="FNQ227" s="1201"/>
      <c r="FNR227" s="1201"/>
      <c r="FNS227" s="1201"/>
      <c r="FNT227" s="1201"/>
      <c r="FNU227" s="1201"/>
      <c r="FNV227" s="1201"/>
      <c r="FNW227" s="1201"/>
      <c r="FNX227" s="1201"/>
      <c r="FNY227" s="1201"/>
      <c r="FNZ227" s="1201"/>
      <c r="FOA227" s="1201"/>
      <c r="FOB227" s="1201"/>
      <c r="FOC227" s="1201"/>
      <c r="FOD227" s="1201"/>
      <c r="FOE227" s="1201"/>
      <c r="FOF227" s="1201"/>
      <c r="FOG227" s="1201"/>
      <c r="FOH227" s="1201"/>
      <c r="FOI227" s="1201"/>
      <c r="FOJ227" s="1201"/>
      <c r="FOK227" s="1201"/>
      <c r="FOL227" s="1201"/>
      <c r="FOM227" s="1201"/>
      <c r="FON227" s="1201"/>
      <c r="FOO227" s="1201"/>
      <c r="FOP227" s="1201"/>
      <c r="FOQ227" s="1201"/>
      <c r="FOR227" s="1201"/>
      <c r="FOS227" s="1201"/>
      <c r="FOT227" s="1201"/>
      <c r="FOU227" s="1201"/>
      <c r="FOV227" s="1201"/>
      <c r="FOW227" s="1201"/>
      <c r="FOX227" s="1201"/>
      <c r="FOY227" s="1201"/>
      <c r="FOZ227" s="1201"/>
      <c r="FPA227" s="1201"/>
      <c r="FPB227" s="1201"/>
      <c r="FPC227" s="1201"/>
      <c r="FPD227" s="1201"/>
      <c r="FPE227" s="1201"/>
      <c r="FPF227" s="1201"/>
      <c r="FPG227" s="1201"/>
      <c r="FPH227" s="1201"/>
      <c r="FPI227" s="1201"/>
      <c r="FPJ227" s="1201"/>
      <c r="FPK227" s="1201"/>
      <c r="FPL227" s="1201"/>
      <c r="FPM227" s="1201"/>
      <c r="FPN227" s="1201"/>
      <c r="FPO227" s="1201"/>
      <c r="FPP227" s="1201"/>
      <c r="FPQ227" s="1201"/>
      <c r="FPR227" s="1201"/>
      <c r="FPS227" s="1201"/>
      <c r="FPT227" s="1201"/>
      <c r="FPU227" s="1201"/>
      <c r="FPV227" s="1201"/>
      <c r="FPW227" s="1201"/>
      <c r="FPX227" s="1201"/>
      <c r="FPY227" s="1201"/>
      <c r="FPZ227" s="1201"/>
      <c r="FQA227" s="1201"/>
      <c r="FQB227" s="1201"/>
      <c r="FQC227" s="1201"/>
      <c r="FQD227" s="1201"/>
      <c r="FQE227" s="1201"/>
      <c r="FQF227" s="1201"/>
      <c r="FQG227" s="1201"/>
      <c r="FQH227" s="1201"/>
      <c r="FQI227" s="1201"/>
      <c r="FQJ227" s="1201"/>
      <c r="FQK227" s="1201"/>
      <c r="FQL227" s="1201"/>
      <c r="FQM227" s="1201"/>
      <c r="FQN227" s="1201"/>
      <c r="FQO227" s="1201"/>
      <c r="FQP227" s="1201"/>
      <c r="FQQ227" s="1201"/>
      <c r="FQR227" s="1201"/>
      <c r="FQS227" s="1201"/>
      <c r="FQT227" s="1201"/>
      <c r="FQU227" s="1201"/>
      <c r="FQV227" s="1201"/>
      <c r="FQW227" s="1201"/>
      <c r="FQX227" s="1201"/>
      <c r="FQY227" s="1201"/>
      <c r="FQZ227" s="1201"/>
      <c r="FRA227" s="1201"/>
      <c r="FRB227" s="1201"/>
      <c r="FRC227" s="1201"/>
      <c r="FRD227" s="1201"/>
      <c r="FRE227" s="1201"/>
      <c r="FRF227" s="1201"/>
      <c r="FRG227" s="1201"/>
      <c r="FRH227" s="1201"/>
      <c r="FRI227" s="1201"/>
      <c r="FRJ227" s="1201"/>
      <c r="FRK227" s="1201"/>
      <c r="FRL227" s="1201"/>
      <c r="FRM227" s="1201"/>
      <c r="FRN227" s="1201"/>
      <c r="FRO227" s="1201"/>
      <c r="FRP227" s="1201"/>
      <c r="FRQ227" s="1201"/>
      <c r="FRR227" s="1201"/>
      <c r="FRS227" s="1201"/>
      <c r="FRT227" s="1201"/>
      <c r="FRU227" s="1201"/>
      <c r="FRV227" s="1201"/>
      <c r="FRW227" s="1201"/>
      <c r="FRX227" s="1201"/>
      <c r="FRY227" s="1201"/>
      <c r="FRZ227" s="1201"/>
      <c r="FSA227" s="1201"/>
      <c r="FSB227" s="1201"/>
      <c r="FSC227" s="1201"/>
      <c r="FSD227" s="1201"/>
      <c r="FSE227" s="1201"/>
      <c r="FSF227" s="1201"/>
      <c r="FSG227" s="1201"/>
      <c r="FSH227" s="1201"/>
      <c r="FSI227" s="1201"/>
      <c r="FSJ227" s="1201"/>
      <c r="FSK227" s="1201"/>
      <c r="FSL227" s="1201"/>
      <c r="FSM227" s="1201"/>
      <c r="FSN227" s="1201"/>
      <c r="FSO227" s="1201"/>
      <c r="FSP227" s="1201"/>
      <c r="FSQ227" s="1201"/>
      <c r="FSR227" s="1201"/>
      <c r="FSS227" s="1201"/>
      <c r="FST227" s="1201"/>
      <c r="FSU227" s="1201"/>
      <c r="FSV227" s="1201"/>
      <c r="FSW227" s="1201"/>
      <c r="FSX227" s="1201"/>
      <c r="FSY227" s="1201"/>
      <c r="FSZ227" s="1201"/>
      <c r="FTA227" s="1201"/>
      <c r="FTB227" s="1201"/>
      <c r="FTC227" s="1201"/>
      <c r="FTD227" s="1201"/>
      <c r="FTE227" s="1201"/>
      <c r="FTF227" s="1201"/>
      <c r="FTG227" s="1201"/>
      <c r="FTH227" s="1201"/>
      <c r="FTI227" s="1201"/>
      <c r="FTJ227" s="1201"/>
      <c r="FTK227" s="1201"/>
      <c r="FTL227" s="1201"/>
      <c r="FTM227" s="1201"/>
      <c r="FTN227" s="1201"/>
      <c r="FTO227" s="1201"/>
      <c r="FTP227" s="1201"/>
      <c r="FTQ227" s="1201"/>
      <c r="FTR227" s="1201"/>
      <c r="FTS227" s="1201"/>
      <c r="FTT227" s="1201"/>
      <c r="FTU227" s="1201"/>
      <c r="FTV227" s="1201"/>
      <c r="FTW227" s="1201"/>
      <c r="FTX227" s="1201"/>
      <c r="FTY227" s="1201"/>
      <c r="FTZ227" s="1201"/>
      <c r="FUA227" s="1201"/>
      <c r="FUB227" s="1201"/>
      <c r="FUC227" s="1201"/>
      <c r="FUD227" s="1201"/>
      <c r="FUE227" s="1201"/>
      <c r="FUF227" s="1201"/>
      <c r="FUG227" s="1201"/>
      <c r="FUH227" s="1201"/>
      <c r="FUI227" s="1201"/>
      <c r="FUJ227" s="1201"/>
      <c r="FUK227" s="1201"/>
      <c r="FUL227" s="1201"/>
      <c r="FUM227" s="1201"/>
      <c r="FUN227" s="1201"/>
      <c r="FUO227" s="1201"/>
      <c r="FUP227" s="1201"/>
      <c r="FUQ227" s="1201"/>
      <c r="FUR227" s="1201"/>
      <c r="FUS227" s="1201"/>
      <c r="FUT227" s="1201"/>
      <c r="FUU227" s="1201"/>
      <c r="FUV227" s="1201"/>
      <c r="FUW227" s="1201"/>
      <c r="FUX227" s="1201"/>
      <c r="FUY227" s="1201"/>
      <c r="FUZ227" s="1201"/>
      <c r="FVA227" s="1201"/>
      <c r="FVB227" s="1201"/>
      <c r="FVC227" s="1201"/>
      <c r="FVD227" s="1201"/>
      <c r="FVE227" s="1201"/>
      <c r="FVF227" s="1201"/>
      <c r="FVG227" s="1201"/>
      <c r="FVH227" s="1201"/>
      <c r="FVI227" s="1201"/>
      <c r="FVJ227" s="1201"/>
      <c r="FVK227" s="1201"/>
      <c r="FVL227" s="1201"/>
      <c r="FVM227" s="1201"/>
      <c r="FVN227" s="1201"/>
      <c r="FVO227" s="1201"/>
      <c r="FVP227" s="1201"/>
      <c r="FVQ227" s="1201"/>
      <c r="FVR227" s="1201"/>
      <c r="FVS227" s="1201"/>
      <c r="FVT227" s="1201"/>
      <c r="FVU227" s="1201"/>
      <c r="FVV227" s="1201"/>
      <c r="FVW227" s="1201"/>
      <c r="FVX227" s="1201"/>
      <c r="FVY227" s="1201"/>
      <c r="FVZ227" s="1201"/>
      <c r="FWA227" s="1201"/>
      <c r="FWB227" s="1201"/>
      <c r="FWC227" s="1201"/>
      <c r="FWD227" s="1201"/>
      <c r="FWE227" s="1201"/>
      <c r="FWF227" s="1201"/>
      <c r="FWG227" s="1201"/>
      <c r="FWH227" s="1201"/>
      <c r="FWI227" s="1201"/>
      <c r="FWJ227" s="1201"/>
      <c r="FWK227" s="1201"/>
      <c r="FWL227" s="1201"/>
      <c r="FWM227" s="1201"/>
      <c r="FWN227" s="1201"/>
      <c r="FWO227" s="1201"/>
      <c r="FWP227" s="1201"/>
      <c r="FWQ227" s="1201"/>
      <c r="FWR227" s="1201"/>
      <c r="FWS227" s="1201"/>
      <c r="FWT227" s="1201"/>
      <c r="FWU227" s="1201"/>
      <c r="FWV227" s="1201"/>
      <c r="FWW227" s="1201"/>
      <c r="FWX227" s="1201"/>
      <c r="FWY227" s="1201"/>
      <c r="FWZ227" s="1201"/>
      <c r="FXA227" s="1201"/>
      <c r="FXB227" s="1201"/>
      <c r="FXC227" s="1201"/>
      <c r="FXD227" s="1201"/>
      <c r="FXE227" s="1201"/>
      <c r="FXF227" s="1201"/>
      <c r="FXG227" s="1201"/>
      <c r="FXH227" s="1201"/>
      <c r="FXI227" s="1201"/>
      <c r="FXJ227" s="1201"/>
      <c r="FXK227" s="1201"/>
      <c r="FXL227" s="1201"/>
      <c r="FXM227" s="1201"/>
      <c r="FXN227" s="1201"/>
      <c r="FXO227" s="1201"/>
      <c r="FXP227" s="1201"/>
      <c r="FXQ227" s="1201"/>
      <c r="FXR227" s="1201"/>
      <c r="FXS227" s="1201"/>
      <c r="FXT227" s="1201"/>
      <c r="FXU227" s="1201"/>
      <c r="FXV227" s="1201"/>
      <c r="FXW227" s="1201"/>
      <c r="FXX227" s="1201"/>
      <c r="FXY227" s="1201"/>
      <c r="FXZ227" s="1201"/>
      <c r="FYA227" s="1201"/>
      <c r="FYB227" s="1201"/>
      <c r="FYC227" s="1201"/>
      <c r="FYD227" s="1201"/>
      <c r="FYE227" s="1201"/>
      <c r="FYF227" s="1201"/>
      <c r="FYG227" s="1201"/>
      <c r="FYH227" s="1201"/>
      <c r="FYI227" s="1201"/>
      <c r="FYJ227" s="1201"/>
      <c r="FYK227" s="1201"/>
      <c r="FYL227" s="1201"/>
      <c r="FYM227" s="1201"/>
      <c r="FYN227" s="1201"/>
      <c r="FYO227" s="1201"/>
      <c r="FYP227" s="1201"/>
      <c r="FYQ227" s="1201"/>
      <c r="FYR227" s="1201"/>
      <c r="FYS227" s="1201"/>
      <c r="FYT227" s="1201"/>
      <c r="FYU227" s="1201"/>
      <c r="FYV227" s="1201"/>
      <c r="FYW227" s="1201"/>
      <c r="FYX227" s="1201"/>
      <c r="FYY227" s="1201"/>
      <c r="FYZ227" s="1201"/>
      <c r="FZA227" s="1201"/>
      <c r="FZB227" s="1201"/>
      <c r="FZC227" s="1201"/>
      <c r="FZD227" s="1201"/>
      <c r="FZE227" s="1201"/>
      <c r="FZF227" s="1201"/>
      <c r="FZG227" s="1201"/>
      <c r="FZH227" s="1201"/>
      <c r="FZI227" s="1201"/>
      <c r="FZJ227" s="1201"/>
      <c r="FZK227" s="1201"/>
      <c r="FZL227" s="1201"/>
      <c r="FZM227" s="1201"/>
      <c r="FZN227" s="1201"/>
      <c r="FZO227" s="1201"/>
      <c r="FZP227" s="1201"/>
      <c r="FZQ227" s="1201"/>
      <c r="FZR227" s="1201"/>
      <c r="FZS227" s="1201"/>
      <c r="FZT227" s="1201"/>
      <c r="FZU227" s="1201"/>
      <c r="FZV227" s="1201"/>
      <c r="FZW227" s="1201"/>
      <c r="FZX227" s="1201"/>
      <c r="FZY227" s="1201"/>
      <c r="FZZ227" s="1201"/>
      <c r="GAA227" s="1201"/>
      <c r="GAB227" s="1201"/>
      <c r="GAC227" s="1201"/>
      <c r="GAD227" s="1201"/>
      <c r="GAE227" s="1201"/>
      <c r="GAF227" s="1201"/>
      <c r="GAG227" s="1201"/>
      <c r="GAH227" s="1201"/>
      <c r="GAI227" s="1201"/>
      <c r="GAJ227" s="1201"/>
      <c r="GAK227" s="1201"/>
      <c r="GAL227" s="1201"/>
      <c r="GAM227" s="1201"/>
      <c r="GAN227" s="1201"/>
      <c r="GAO227" s="1201"/>
      <c r="GAP227" s="1201"/>
      <c r="GAQ227" s="1201"/>
      <c r="GAR227" s="1201"/>
      <c r="GAS227" s="1201"/>
      <c r="GAT227" s="1201"/>
      <c r="GAU227" s="1201"/>
      <c r="GAV227" s="1201"/>
      <c r="GAW227" s="1201"/>
      <c r="GAX227" s="1201"/>
      <c r="GAY227" s="1201"/>
      <c r="GAZ227" s="1201"/>
      <c r="GBA227" s="1201"/>
      <c r="GBB227" s="1201"/>
      <c r="GBC227" s="1201"/>
      <c r="GBD227" s="1201"/>
      <c r="GBE227" s="1201"/>
      <c r="GBF227" s="1201"/>
      <c r="GBG227" s="1201"/>
      <c r="GBH227" s="1201"/>
      <c r="GBI227" s="1201"/>
      <c r="GBJ227" s="1201"/>
      <c r="GBK227" s="1201"/>
      <c r="GBL227" s="1201"/>
      <c r="GBM227" s="1201"/>
      <c r="GBN227" s="1201"/>
      <c r="GBO227" s="1201"/>
      <c r="GBP227" s="1201"/>
      <c r="GBQ227" s="1201"/>
      <c r="GBR227" s="1201"/>
      <c r="GBS227" s="1201"/>
      <c r="GBT227" s="1201"/>
      <c r="GBU227" s="1201"/>
      <c r="GBV227" s="1201"/>
      <c r="GBW227" s="1201"/>
      <c r="GBX227" s="1201"/>
      <c r="GBY227" s="1201"/>
      <c r="GBZ227" s="1201"/>
      <c r="GCA227" s="1201"/>
      <c r="GCB227" s="1201"/>
      <c r="GCC227" s="1201"/>
      <c r="GCD227" s="1201"/>
      <c r="GCE227" s="1201"/>
      <c r="GCF227" s="1201"/>
      <c r="GCG227" s="1201"/>
      <c r="GCH227" s="1201"/>
      <c r="GCI227" s="1201"/>
      <c r="GCJ227" s="1201"/>
      <c r="GCK227" s="1201"/>
      <c r="GCL227" s="1201"/>
      <c r="GCM227" s="1201"/>
      <c r="GCN227" s="1201"/>
      <c r="GCO227" s="1201"/>
      <c r="GCP227" s="1201"/>
      <c r="GCQ227" s="1201"/>
      <c r="GCR227" s="1201"/>
      <c r="GCS227" s="1201"/>
      <c r="GCT227" s="1201"/>
      <c r="GCU227" s="1201"/>
      <c r="GCV227" s="1201"/>
      <c r="GCW227" s="1201"/>
      <c r="GCX227" s="1201"/>
      <c r="GCY227" s="1201"/>
      <c r="GCZ227" s="1201"/>
      <c r="GDA227" s="1201"/>
      <c r="GDB227" s="1201"/>
      <c r="GDC227" s="1201"/>
      <c r="GDD227" s="1201"/>
      <c r="GDE227" s="1201"/>
      <c r="GDF227" s="1201"/>
      <c r="GDG227" s="1201"/>
      <c r="GDH227" s="1201"/>
      <c r="GDI227" s="1201"/>
      <c r="GDJ227" s="1201"/>
      <c r="GDK227" s="1201"/>
      <c r="GDL227" s="1201"/>
      <c r="GDM227" s="1201"/>
      <c r="GDN227" s="1201"/>
      <c r="GDO227" s="1201"/>
      <c r="GDP227" s="1201"/>
      <c r="GDQ227" s="1201"/>
      <c r="GDR227" s="1201"/>
      <c r="GDS227" s="1201"/>
      <c r="GDT227" s="1201"/>
      <c r="GDU227" s="1201"/>
      <c r="GDV227" s="1201"/>
      <c r="GDW227" s="1201"/>
      <c r="GDX227" s="1201"/>
      <c r="GDY227" s="1201"/>
      <c r="GDZ227" s="1201"/>
      <c r="GEA227" s="1201"/>
      <c r="GEB227" s="1201"/>
      <c r="GEC227" s="1201"/>
      <c r="GED227" s="1201"/>
      <c r="GEE227" s="1201"/>
      <c r="GEF227" s="1201"/>
      <c r="GEG227" s="1201"/>
      <c r="GEH227" s="1201"/>
      <c r="GEI227" s="1201"/>
      <c r="GEJ227" s="1201"/>
      <c r="GEK227" s="1201"/>
      <c r="GEL227" s="1201"/>
      <c r="GEM227" s="1201"/>
      <c r="GEN227" s="1201"/>
      <c r="GEO227" s="1201"/>
      <c r="GEP227" s="1201"/>
      <c r="GEQ227" s="1201"/>
      <c r="GER227" s="1201"/>
      <c r="GES227" s="1201"/>
      <c r="GET227" s="1201"/>
      <c r="GEU227" s="1201"/>
      <c r="GEV227" s="1201"/>
      <c r="GEW227" s="1201"/>
      <c r="GEX227" s="1201"/>
      <c r="GEY227" s="1201"/>
      <c r="GEZ227" s="1201"/>
      <c r="GFA227" s="1201"/>
      <c r="GFB227" s="1201"/>
      <c r="GFC227" s="1201"/>
      <c r="GFD227" s="1201"/>
      <c r="GFE227" s="1201"/>
      <c r="GFF227" s="1201"/>
      <c r="GFG227" s="1201"/>
      <c r="GFH227" s="1201"/>
      <c r="GFI227" s="1201"/>
      <c r="GFJ227" s="1201"/>
      <c r="GFK227" s="1201"/>
      <c r="GFL227" s="1201"/>
      <c r="GFM227" s="1201"/>
      <c r="GFN227" s="1201"/>
      <c r="GFO227" s="1201"/>
      <c r="GFP227" s="1201"/>
      <c r="GFQ227" s="1201"/>
      <c r="GFR227" s="1201"/>
      <c r="GFS227" s="1201"/>
      <c r="GFT227" s="1201"/>
      <c r="GFU227" s="1201"/>
      <c r="GFV227" s="1201"/>
      <c r="GFW227" s="1201"/>
      <c r="GFX227" s="1201"/>
      <c r="GFY227" s="1201"/>
      <c r="GFZ227" s="1201"/>
      <c r="GGA227" s="1201"/>
      <c r="GGB227" s="1201"/>
      <c r="GGC227" s="1201"/>
      <c r="GGD227" s="1201"/>
      <c r="GGE227" s="1201"/>
      <c r="GGF227" s="1201"/>
      <c r="GGG227" s="1201"/>
      <c r="GGH227" s="1201"/>
      <c r="GGI227" s="1201"/>
      <c r="GGJ227" s="1201"/>
      <c r="GGK227" s="1201"/>
      <c r="GGL227" s="1201"/>
      <c r="GGM227" s="1201"/>
      <c r="GGN227" s="1201"/>
      <c r="GGO227" s="1201"/>
      <c r="GGP227" s="1201"/>
      <c r="GGQ227" s="1201"/>
      <c r="GGR227" s="1201"/>
      <c r="GGS227" s="1201"/>
      <c r="GGT227" s="1201"/>
      <c r="GGU227" s="1201"/>
      <c r="GGV227" s="1201"/>
      <c r="GGW227" s="1201"/>
      <c r="GGX227" s="1201"/>
      <c r="GGY227" s="1201"/>
      <c r="GGZ227" s="1201"/>
      <c r="GHA227" s="1201"/>
      <c r="GHB227" s="1201"/>
      <c r="GHC227" s="1201"/>
      <c r="GHD227" s="1201"/>
      <c r="GHE227" s="1201"/>
      <c r="GHF227" s="1201"/>
      <c r="GHG227" s="1201"/>
      <c r="GHH227" s="1201"/>
      <c r="GHI227" s="1201"/>
      <c r="GHJ227" s="1201"/>
      <c r="GHK227" s="1201"/>
      <c r="GHL227" s="1201"/>
      <c r="GHM227" s="1201"/>
      <c r="GHN227" s="1201"/>
      <c r="GHO227" s="1201"/>
      <c r="GHP227" s="1201"/>
      <c r="GHQ227" s="1201"/>
      <c r="GHR227" s="1201"/>
      <c r="GHS227" s="1201"/>
      <c r="GHT227" s="1201"/>
      <c r="GHU227" s="1201"/>
      <c r="GHV227" s="1201"/>
      <c r="GHW227" s="1201"/>
      <c r="GHX227" s="1201"/>
      <c r="GHY227" s="1201"/>
      <c r="GHZ227" s="1201"/>
      <c r="GIA227" s="1201"/>
      <c r="GIB227" s="1201"/>
      <c r="GIC227" s="1201"/>
      <c r="GID227" s="1201"/>
      <c r="GIE227" s="1201"/>
      <c r="GIF227" s="1201"/>
      <c r="GIG227" s="1201"/>
      <c r="GIH227" s="1201"/>
      <c r="GII227" s="1201"/>
      <c r="GIJ227" s="1201"/>
      <c r="GIK227" s="1201"/>
      <c r="GIL227" s="1201"/>
      <c r="GIM227" s="1201"/>
      <c r="GIN227" s="1201"/>
      <c r="GIO227" s="1201"/>
      <c r="GIP227" s="1201"/>
      <c r="GIQ227" s="1201"/>
      <c r="GIR227" s="1201"/>
      <c r="GIS227" s="1201"/>
      <c r="GIT227" s="1201"/>
      <c r="GIU227" s="1201"/>
      <c r="GIV227" s="1201"/>
      <c r="GIW227" s="1201"/>
      <c r="GIX227" s="1201"/>
      <c r="GIY227" s="1201"/>
      <c r="GIZ227" s="1201"/>
      <c r="GJA227" s="1201"/>
      <c r="GJB227" s="1201"/>
      <c r="GJC227" s="1201"/>
      <c r="GJD227" s="1201"/>
      <c r="GJE227" s="1201"/>
      <c r="GJF227" s="1201"/>
      <c r="GJG227" s="1201"/>
      <c r="GJH227" s="1201"/>
      <c r="GJI227" s="1201"/>
      <c r="GJJ227" s="1201"/>
      <c r="GJK227" s="1201"/>
      <c r="GJL227" s="1201"/>
      <c r="GJM227" s="1201"/>
      <c r="GJN227" s="1201"/>
      <c r="GJO227" s="1201"/>
      <c r="GJP227" s="1201"/>
      <c r="GJQ227" s="1201"/>
      <c r="GJR227" s="1201"/>
      <c r="GJS227" s="1201"/>
      <c r="GJT227" s="1201"/>
      <c r="GJU227" s="1201"/>
      <c r="GJV227" s="1201"/>
      <c r="GJW227" s="1201"/>
      <c r="GJX227" s="1201"/>
      <c r="GJY227" s="1201"/>
      <c r="GJZ227" s="1201"/>
      <c r="GKA227" s="1201"/>
      <c r="GKB227" s="1201"/>
      <c r="GKC227" s="1201"/>
      <c r="GKD227" s="1201"/>
      <c r="GKE227" s="1201"/>
      <c r="GKF227" s="1201"/>
      <c r="GKG227" s="1201"/>
      <c r="GKH227" s="1201"/>
      <c r="GKI227" s="1201"/>
      <c r="GKJ227" s="1201"/>
      <c r="GKK227" s="1201"/>
      <c r="GKL227" s="1201"/>
      <c r="GKM227" s="1201"/>
      <c r="GKN227" s="1201"/>
      <c r="GKO227" s="1201"/>
      <c r="GKP227" s="1201"/>
      <c r="GKQ227" s="1201"/>
      <c r="GKR227" s="1201"/>
      <c r="GKS227" s="1201"/>
      <c r="GKT227" s="1201"/>
      <c r="GKU227" s="1201"/>
      <c r="GKV227" s="1201"/>
      <c r="GKW227" s="1201"/>
      <c r="GKX227" s="1201"/>
      <c r="GKY227" s="1201"/>
      <c r="GKZ227" s="1201"/>
      <c r="GLA227" s="1201"/>
      <c r="GLB227" s="1201"/>
      <c r="GLC227" s="1201"/>
      <c r="GLD227" s="1201"/>
      <c r="GLE227" s="1201"/>
      <c r="GLF227" s="1201"/>
      <c r="GLG227" s="1201"/>
      <c r="GLH227" s="1201"/>
      <c r="GLI227" s="1201"/>
      <c r="GLJ227" s="1201"/>
      <c r="GLK227" s="1201"/>
      <c r="GLL227" s="1201"/>
      <c r="GLM227" s="1201"/>
      <c r="GLN227" s="1201"/>
      <c r="GLO227" s="1201"/>
      <c r="GLP227" s="1201"/>
      <c r="GLQ227" s="1201"/>
      <c r="GLR227" s="1201"/>
      <c r="GLS227" s="1201"/>
      <c r="GLT227" s="1201"/>
      <c r="GLU227" s="1201"/>
      <c r="GLV227" s="1201"/>
      <c r="GLW227" s="1201"/>
      <c r="GLX227" s="1201"/>
      <c r="GLY227" s="1201"/>
      <c r="GLZ227" s="1201"/>
      <c r="GMA227" s="1201"/>
      <c r="GMB227" s="1201"/>
      <c r="GMC227" s="1201"/>
      <c r="GMD227" s="1201"/>
      <c r="GME227" s="1201"/>
      <c r="GMF227" s="1201"/>
      <c r="GMG227" s="1201"/>
      <c r="GMH227" s="1201"/>
      <c r="GMI227" s="1201"/>
      <c r="GMJ227" s="1201"/>
      <c r="GMK227" s="1201"/>
      <c r="GML227" s="1201"/>
      <c r="GMM227" s="1201"/>
      <c r="GMN227" s="1201"/>
      <c r="GMO227" s="1201"/>
      <c r="GMP227" s="1201"/>
      <c r="GMQ227" s="1201"/>
      <c r="GMR227" s="1201"/>
      <c r="GMS227" s="1201"/>
      <c r="GMT227" s="1201"/>
      <c r="GMU227" s="1201"/>
      <c r="GMV227" s="1201"/>
      <c r="GMW227" s="1201"/>
      <c r="GMX227" s="1201"/>
      <c r="GMY227" s="1201"/>
      <c r="GMZ227" s="1201"/>
      <c r="GNA227" s="1201"/>
      <c r="GNB227" s="1201"/>
      <c r="GNC227" s="1201"/>
      <c r="GND227" s="1201"/>
      <c r="GNE227" s="1201"/>
      <c r="GNF227" s="1201"/>
      <c r="GNG227" s="1201"/>
      <c r="GNH227" s="1201"/>
      <c r="GNI227" s="1201"/>
      <c r="GNJ227" s="1201"/>
      <c r="GNK227" s="1201"/>
      <c r="GNL227" s="1201"/>
      <c r="GNM227" s="1201"/>
      <c r="GNN227" s="1201"/>
      <c r="GNO227" s="1201"/>
      <c r="GNP227" s="1201"/>
      <c r="GNQ227" s="1201"/>
      <c r="GNR227" s="1201"/>
      <c r="GNS227" s="1201"/>
      <c r="GNT227" s="1201"/>
      <c r="GNU227" s="1201"/>
      <c r="GNV227" s="1201"/>
      <c r="GNW227" s="1201"/>
      <c r="GNX227" s="1201"/>
      <c r="GNY227" s="1201"/>
      <c r="GNZ227" s="1201"/>
      <c r="GOA227" s="1201"/>
      <c r="GOB227" s="1201"/>
      <c r="GOC227" s="1201"/>
      <c r="GOD227" s="1201"/>
      <c r="GOE227" s="1201"/>
      <c r="GOF227" s="1201"/>
      <c r="GOG227" s="1201"/>
      <c r="GOH227" s="1201"/>
      <c r="GOI227" s="1201"/>
      <c r="GOJ227" s="1201"/>
      <c r="GOK227" s="1201"/>
      <c r="GOL227" s="1201"/>
      <c r="GOM227" s="1201"/>
      <c r="GON227" s="1201"/>
      <c r="GOO227" s="1201"/>
      <c r="GOP227" s="1201"/>
      <c r="GOQ227" s="1201"/>
      <c r="GOR227" s="1201"/>
      <c r="GOS227" s="1201"/>
      <c r="GOT227" s="1201"/>
      <c r="GOU227" s="1201"/>
      <c r="GOV227" s="1201"/>
      <c r="GOW227" s="1201"/>
      <c r="GOX227" s="1201"/>
      <c r="GOY227" s="1201"/>
      <c r="GOZ227" s="1201"/>
      <c r="GPA227" s="1201"/>
      <c r="GPB227" s="1201"/>
      <c r="GPC227" s="1201"/>
      <c r="GPD227" s="1201"/>
      <c r="GPE227" s="1201"/>
      <c r="GPF227" s="1201"/>
      <c r="GPG227" s="1201"/>
      <c r="GPH227" s="1201"/>
      <c r="GPI227" s="1201"/>
      <c r="GPJ227" s="1201"/>
      <c r="GPK227" s="1201"/>
      <c r="GPL227" s="1201"/>
      <c r="GPM227" s="1201"/>
      <c r="GPN227" s="1201"/>
      <c r="GPO227" s="1201"/>
      <c r="GPP227" s="1201"/>
      <c r="GPQ227" s="1201"/>
      <c r="GPR227" s="1201"/>
      <c r="GPS227" s="1201"/>
      <c r="GPT227" s="1201"/>
      <c r="GPU227" s="1201"/>
      <c r="GPV227" s="1201"/>
      <c r="GPW227" s="1201"/>
      <c r="GPX227" s="1201"/>
      <c r="GPY227" s="1201"/>
      <c r="GPZ227" s="1201"/>
      <c r="GQA227" s="1201"/>
      <c r="GQB227" s="1201"/>
      <c r="GQC227" s="1201"/>
      <c r="GQD227" s="1201"/>
      <c r="GQE227" s="1201"/>
      <c r="GQF227" s="1201"/>
      <c r="GQG227" s="1201"/>
      <c r="GQH227" s="1201"/>
      <c r="GQI227" s="1201"/>
      <c r="GQJ227" s="1201"/>
      <c r="GQK227" s="1201"/>
      <c r="GQL227" s="1201"/>
      <c r="GQM227" s="1201"/>
      <c r="GQN227" s="1201"/>
      <c r="GQO227" s="1201"/>
      <c r="GQP227" s="1201"/>
      <c r="GQQ227" s="1201"/>
      <c r="GQR227" s="1201"/>
      <c r="GQS227" s="1201"/>
      <c r="GQT227" s="1201"/>
      <c r="GQU227" s="1201"/>
      <c r="GQV227" s="1201"/>
      <c r="GQW227" s="1201"/>
      <c r="GQX227" s="1201"/>
      <c r="GQY227" s="1201"/>
      <c r="GQZ227" s="1201"/>
      <c r="GRA227" s="1201"/>
      <c r="GRB227" s="1201"/>
      <c r="GRC227" s="1201"/>
      <c r="GRD227" s="1201"/>
      <c r="GRE227" s="1201"/>
      <c r="GRF227" s="1201"/>
      <c r="GRG227" s="1201"/>
      <c r="GRH227" s="1201"/>
      <c r="GRI227" s="1201"/>
      <c r="GRJ227" s="1201"/>
      <c r="GRK227" s="1201"/>
      <c r="GRL227" s="1201"/>
      <c r="GRM227" s="1201"/>
      <c r="GRN227" s="1201"/>
      <c r="GRO227" s="1201"/>
      <c r="GRP227" s="1201"/>
      <c r="GRQ227" s="1201"/>
      <c r="GRR227" s="1201"/>
      <c r="GRS227" s="1201"/>
      <c r="GRT227" s="1201"/>
      <c r="GRU227" s="1201"/>
      <c r="GRV227" s="1201"/>
      <c r="GRW227" s="1201"/>
      <c r="GRX227" s="1201"/>
      <c r="GRY227" s="1201"/>
      <c r="GRZ227" s="1201"/>
      <c r="GSA227" s="1201"/>
      <c r="GSB227" s="1201"/>
      <c r="GSC227" s="1201"/>
      <c r="GSD227" s="1201"/>
      <c r="GSE227" s="1201"/>
      <c r="GSF227" s="1201"/>
      <c r="GSG227" s="1201"/>
      <c r="GSH227" s="1201"/>
      <c r="GSI227" s="1201"/>
      <c r="GSJ227" s="1201"/>
      <c r="GSK227" s="1201"/>
      <c r="GSL227" s="1201"/>
      <c r="GSM227" s="1201"/>
      <c r="GSN227" s="1201"/>
      <c r="GSO227" s="1201"/>
      <c r="GSP227" s="1201"/>
      <c r="GSQ227" s="1201"/>
      <c r="GSR227" s="1201"/>
      <c r="GSS227" s="1201"/>
      <c r="GST227" s="1201"/>
      <c r="GSU227" s="1201"/>
      <c r="GSV227" s="1201"/>
      <c r="GSW227" s="1201"/>
      <c r="GSX227" s="1201"/>
      <c r="GSY227" s="1201"/>
      <c r="GSZ227" s="1201"/>
      <c r="GTA227" s="1201"/>
      <c r="GTB227" s="1201"/>
      <c r="GTC227" s="1201"/>
      <c r="GTD227" s="1201"/>
      <c r="GTE227" s="1201"/>
      <c r="GTF227" s="1201"/>
      <c r="GTG227" s="1201"/>
      <c r="GTH227" s="1201"/>
      <c r="GTI227" s="1201"/>
      <c r="GTJ227" s="1201"/>
      <c r="GTK227" s="1201"/>
      <c r="GTL227" s="1201"/>
      <c r="GTM227" s="1201"/>
      <c r="GTN227" s="1201"/>
      <c r="GTO227" s="1201"/>
      <c r="GTP227" s="1201"/>
      <c r="GTQ227" s="1201"/>
      <c r="GTR227" s="1201"/>
      <c r="GTS227" s="1201"/>
      <c r="GTT227" s="1201"/>
      <c r="GTU227" s="1201"/>
      <c r="GTV227" s="1201"/>
      <c r="GTW227" s="1201"/>
      <c r="GTX227" s="1201"/>
      <c r="GTY227" s="1201"/>
      <c r="GTZ227" s="1201"/>
      <c r="GUA227" s="1201"/>
      <c r="GUB227" s="1201"/>
      <c r="GUC227" s="1201"/>
      <c r="GUD227" s="1201"/>
      <c r="GUE227" s="1201"/>
      <c r="GUF227" s="1201"/>
      <c r="GUG227" s="1201"/>
      <c r="GUH227" s="1201"/>
      <c r="GUI227" s="1201"/>
      <c r="GUJ227" s="1201"/>
      <c r="GUK227" s="1201"/>
      <c r="GUL227" s="1201"/>
      <c r="GUM227" s="1201"/>
      <c r="GUN227" s="1201"/>
      <c r="GUO227" s="1201"/>
      <c r="GUP227" s="1201"/>
      <c r="GUQ227" s="1201"/>
      <c r="GUR227" s="1201"/>
      <c r="GUS227" s="1201"/>
      <c r="GUT227" s="1201"/>
      <c r="GUU227" s="1201"/>
      <c r="GUV227" s="1201"/>
      <c r="GUW227" s="1201"/>
      <c r="GUX227" s="1201"/>
      <c r="GUY227" s="1201"/>
      <c r="GUZ227" s="1201"/>
      <c r="GVA227" s="1201"/>
      <c r="GVB227" s="1201"/>
      <c r="GVC227" s="1201"/>
      <c r="GVD227" s="1201"/>
      <c r="GVE227" s="1201"/>
      <c r="GVF227" s="1201"/>
      <c r="GVG227" s="1201"/>
      <c r="GVH227" s="1201"/>
      <c r="GVI227" s="1201"/>
      <c r="GVJ227" s="1201"/>
      <c r="GVK227" s="1201"/>
      <c r="GVL227" s="1201"/>
      <c r="GVM227" s="1201"/>
      <c r="GVN227" s="1201"/>
      <c r="GVO227" s="1201"/>
      <c r="GVP227" s="1201"/>
      <c r="GVQ227" s="1201"/>
      <c r="GVR227" s="1201"/>
      <c r="GVS227" s="1201"/>
      <c r="GVT227" s="1201"/>
      <c r="GVU227" s="1201"/>
      <c r="GVV227" s="1201"/>
      <c r="GVW227" s="1201"/>
      <c r="GVX227" s="1201"/>
      <c r="GVY227" s="1201"/>
      <c r="GVZ227" s="1201"/>
      <c r="GWA227" s="1201"/>
      <c r="GWB227" s="1201"/>
      <c r="GWC227" s="1201"/>
      <c r="GWD227" s="1201"/>
      <c r="GWE227" s="1201"/>
      <c r="GWF227" s="1201"/>
      <c r="GWG227" s="1201"/>
      <c r="GWH227" s="1201"/>
      <c r="GWI227" s="1201"/>
      <c r="GWJ227" s="1201"/>
      <c r="GWK227" s="1201"/>
      <c r="GWL227" s="1201"/>
      <c r="GWM227" s="1201"/>
      <c r="GWN227" s="1201"/>
      <c r="GWO227" s="1201"/>
      <c r="GWP227" s="1201"/>
      <c r="GWQ227" s="1201"/>
      <c r="GWR227" s="1201"/>
      <c r="GWS227" s="1201"/>
      <c r="GWT227" s="1201"/>
      <c r="GWU227" s="1201"/>
      <c r="GWV227" s="1201"/>
      <c r="GWW227" s="1201"/>
      <c r="GWX227" s="1201"/>
      <c r="GWY227" s="1201"/>
      <c r="GWZ227" s="1201"/>
      <c r="GXA227" s="1201"/>
      <c r="GXB227" s="1201"/>
      <c r="GXC227" s="1201"/>
      <c r="GXD227" s="1201"/>
      <c r="GXE227" s="1201"/>
      <c r="GXF227" s="1201"/>
      <c r="GXG227" s="1201"/>
      <c r="GXH227" s="1201"/>
      <c r="GXI227" s="1201"/>
      <c r="GXJ227" s="1201"/>
      <c r="GXK227" s="1201"/>
      <c r="GXL227" s="1201"/>
      <c r="GXM227" s="1201"/>
      <c r="GXN227" s="1201"/>
      <c r="GXO227" s="1201"/>
      <c r="GXP227" s="1201"/>
      <c r="GXQ227" s="1201"/>
      <c r="GXR227" s="1201"/>
      <c r="GXS227" s="1201"/>
      <c r="GXT227" s="1201"/>
      <c r="GXU227" s="1201"/>
      <c r="GXV227" s="1201"/>
      <c r="GXW227" s="1201"/>
      <c r="GXX227" s="1201"/>
      <c r="GXY227" s="1201"/>
      <c r="GXZ227" s="1201"/>
      <c r="GYA227" s="1201"/>
      <c r="GYB227" s="1201"/>
      <c r="GYC227" s="1201"/>
      <c r="GYD227" s="1201"/>
      <c r="GYE227" s="1201"/>
      <c r="GYF227" s="1201"/>
      <c r="GYG227" s="1201"/>
      <c r="GYH227" s="1201"/>
      <c r="GYI227" s="1201"/>
      <c r="GYJ227" s="1201"/>
      <c r="GYK227" s="1201"/>
      <c r="GYL227" s="1201"/>
      <c r="GYM227" s="1201"/>
      <c r="GYN227" s="1201"/>
      <c r="GYO227" s="1201"/>
      <c r="GYP227" s="1201"/>
      <c r="GYQ227" s="1201"/>
      <c r="GYR227" s="1201"/>
      <c r="GYS227" s="1201"/>
      <c r="GYT227" s="1201"/>
      <c r="GYU227" s="1201"/>
      <c r="GYV227" s="1201"/>
      <c r="GYW227" s="1201"/>
      <c r="GYX227" s="1201"/>
      <c r="GYY227" s="1201"/>
      <c r="GYZ227" s="1201"/>
      <c r="GZA227" s="1201"/>
      <c r="GZB227" s="1201"/>
      <c r="GZC227" s="1201"/>
      <c r="GZD227" s="1201"/>
      <c r="GZE227" s="1201"/>
      <c r="GZF227" s="1201"/>
      <c r="GZG227" s="1201"/>
      <c r="GZH227" s="1201"/>
      <c r="GZI227" s="1201"/>
      <c r="GZJ227" s="1201"/>
      <c r="GZK227" s="1201"/>
      <c r="GZL227" s="1201"/>
      <c r="GZM227" s="1201"/>
      <c r="GZN227" s="1201"/>
      <c r="GZO227" s="1201"/>
      <c r="GZP227" s="1201"/>
      <c r="GZQ227" s="1201"/>
      <c r="GZR227" s="1201"/>
      <c r="GZS227" s="1201"/>
      <c r="GZT227" s="1201"/>
      <c r="GZU227" s="1201"/>
      <c r="GZV227" s="1201"/>
      <c r="GZW227" s="1201"/>
      <c r="GZX227" s="1201"/>
      <c r="GZY227" s="1201"/>
      <c r="GZZ227" s="1201"/>
      <c r="HAA227" s="1201"/>
      <c r="HAB227" s="1201"/>
      <c r="HAC227" s="1201"/>
      <c r="HAD227" s="1201"/>
      <c r="HAE227" s="1201"/>
      <c r="HAF227" s="1201"/>
      <c r="HAG227" s="1201"/>
      <c r="HAH227" s="1201"/>
      <c r="HAI227" s="1201"/>
      <c r="HAJ227" s="1201"/>
      <c r="HAK227" s="1201"/>
      <c r="HAL227" s="1201"/>
      <c r="HAM227" s="1201"/>
      <c r="HAN227" s="1201"/>
      <c r="HAO227" s="1201"/>
      <c r="HAP227" s="1201"/>
      <c r="HAQ227" s="1201"/>
      <c r="HAR227" s="1201"/>
      <c r="HAS227" s="1201"/>
      <c r="HAT227" s="1201"/>
      <c r="HAU227" s="1201"/>
      <c r="HAV227" s="1201"/>
      <c r="HAW227" s="1201"/>
      <c r="HAX227" s="1201"/>
      <c r="HAY227" s="1201"/>
      <c r="HAZ227" s="1201"/>
      <c r="HBA227" s="1201"/>
      <c r="HBB227" s="1201"/>
      <c r="HBC227" s="1201"/>
      <c r="HBD227" s="1201"/>
      <c r="HBE227" s="1201"/>
      <c r="HBF227" s="1201"/>
      <c r="HBG227" s="1201"/>
      <c r="HBH227" s="1201"/>
      <c r="HBI227" s="1201"/>
      <c r="HBJ227" s="1201"/>
      <c r="HBK227" s="1201"/>
      <c r="HBL227" s="1201"/>
      <c r="HBM227" s="1201"/>
      <c r="HBN227" s="1201"/>
      <c r="HBO227" s="1201"/>
      <c r="HBP227" s="1201"/>
      <c r="HBQ227" s="1201"/>
      <c r="HBR227" s="1201"/>
      <c r="HBS227" s="1201"/>
      <c r="HBT227" s="1201"/>
      <c r="HBU227" s="1201"/>
      <c r="HBV227" s="1201"/>
      <c r="HBW227" s="1201"/>
      <c r="HBX227" s="1201"/>
      <c r="HBY227" s="1201"/>
      <c r="HBZ227" s="1201"/>
      <c r="HCA227" s="1201"/>
      <c r="HCB227" s="1201"/>
      <c r="HCC227" s="1201"/>
      <c r="HCD227" s="1201"/>
      <c r="HCE227" s="1201"/>
      <c r="HCF227" s="1201"/>
      <c r="HCG227" s="1201"/>
      <c r="HCH227" s="1201"/>
      <c r="HCI227" s="1201"/>
      <c r="HCJ227" s="1201"/>
      <c r="HCK227" s="1201"/>
      <c r="HCL227" s="1201"/>
      <c r="HCM227" s="1201"/>
      <c r="HCN227" s="1201"/>
      <c r="HCO227" s="1201"/>
      <c r="HCP227" s="1201"/>
      <c r="HCQ227" s="1201"/>
      <c r="HCR227" s="1201"/>
      <c r="HCS227" s="1201"/>
      <c r="HCT227" s="1201"/>
      <c r="HCU227" s="1201"/>
      <c r="HCV227" s="1201"/>
      <c r="HCW227" s="1201"/>
      <c r="HCX227" s="1201"/>
      <c r="HCY227" s="1201"/>
      <c r="HCZ227" s="1201"/>
      <c r="HDA227" s="1201"/>
      <c r="HDB227" s="1201"/>
      <c r="HDC227" s="1201"/>
      <c r="HDD227" s="1201"/>
      <c r="HDE227" s="1201"/>
      <c r="HDF227" s="1201"/>
      <c r="HDG227" s="1201"/>
      <c r="HDH227" s="1201"/>
      <c r="HDI227" s="1201"/>
      <c r="HDJ227" s="1201"/>
      <c r="HDK227" s="1201"/>
      <c r="HDL227" s="1201"/>
      <c r="HDM227" s="1201"/>
      <c r="HDN227" s="1201"/>
      <c r="HDO227" s="1201"/>
      <c r="HDP227" s="1201"/>
      <c r="HDQ227" s="1201"/>
      <c r="HDR227" s="1201"/>
      <c r="HDS227" s="1201"/>
      <c r="HDT227" s="1201"/>
      <c r="HDU227" s="1201"/>
      <c r="HDV227" s="1201"/>
      <c r="HDW227" s="1201"/>
      <c r="HDX227" s="1201"/>
      <c r="HDY227" s="1201"/>
      <c r="HDZ227" s="1201"/>
      <c r="HEA227" s="1201"/>
      <c r="HEB227" s="1201"/>
      <c r="HEC227" s="1201"/>
      <c r="HED227" s="1201"/>
      <c r="HEE227" s="1201"/>
      <c r="HEF227" s="1201"/>
      <c r="HEG227" s="1201"/>
      <c r="HEH227" s="1201"/>
      <c r="HEI227" s="1201"/>
      <c r="HEJ227" s="1201"/>
      <c r="HEK227" s="1201"/>
      <c r="HEL227" s="1201"/>
      <c r="HEM227" s="1201"/>
      <c r="HEN227" s="1201"/>
      <c r="HEO227" s="1201"/>
      <c r="HEP227" s="1201"/>
      <c r="HEQ227" s="1201"/>
      <c r="HER227" s="1201"/>
      <c r="HES227" s="1201"/>
      <c r="HET227" s="1201"/>
      <c r="HEU227" s="1201"/>
      <c r="HEV227" s="1201"/>
      <c r="HEW227" s="1201"/>
      <c r="HEX227" s="1201"/>
      <c r="HEY227" s="1201"/>
      <c r="HEZ227" s="1201"/>
      <c r="HFA227" s="1201"/>
      <c r="HFB227" s="1201"/>
      <c r="HFC227" s="1201"/>
      <c r="HFD227" s="1201"/>
      <c r="HFE227" s="1201"/>
      <c r="HFF227" s="1201"/>
      <c r="HFG227" s="1201"/>
      <c r="HFH227" s="1201"/>
      <c r="HFI227" s="1201"/>
      <c r="HFJ227" s="1201"/>
      <c r="HFK227" s="1201"/>
      <c r="HFL227" s="1201"/>
      <c r="HFM227" s="1201"/>
      <c r="HFN227" s="1201"/>
      <c r="HFO227" s="1201"/>
      <c r="HFP227" s="1201"/>
      <c r="HFQ227" s="1201"/>
      <c r="HFR227" s="1201"/>
      <c r="HFS227" s="1201"/>
      <c r="HFT227" s="1201"/>
      <c r="HFU227" s="1201"/>
      <c r="HFV227" s="1201"/>
      <c r="HFW227" s="1201"/>
      <c r="HFX227" s="1201"/>
      <c r="HFY227" s="1201"/>
      <c r="HFZ227" s="1201"/>
      <c r="HGA227" s="1201"/>
      <c r="HGB227" s="1201"/>
      <c r="HGC227" s="1201"/>
      <c r="HGD227" s="1201"/>
      <c r="HGE227" s="1201"/>
      <c r="HGF227" s="1201"/>
      <c r="HGG227" s="1201"/>
      <c r="HGH227" s="1201"/>
      <c r="HGI227" s="1201"/>
      <c r="HGJ227" s="1201"/>
      <c r="HGK227" s="1201"/>
      <c r="HGL227" s="1201"/>
      <c r="HGM227" s="1201"/>
      <c r="HGN227" s="1201"/>
      <c r="HGO227" s="1201"/>
      <c r="HGP227" s="1201"/>
      <c r="HGQ227" s="1201"/>
      <c r="HGR227" s="1201"/>
      <c r="HGS227" s="1201"/>
      <c r="HGT227" s="1201"/>
      <c r="HGU227" s="1201"/>
      <c r="HGV227" s="1201"/>
      <c r="HGW227" s="1201"/>
      <c r="HGX227" s="1201"/>
      <c r="HGY227" s="1201"/>
      <c r="HGZ227" s="1201"/>
      <c r="HHA227" s="1201"/>
      <c r="HHB227" s="1201"/>
      <c r="HHC227" s="1201"/>
      <c r="HHD227" s="1201"/>
      <c r="HHE227" s="1201"/>
      <c r="HHF227" s="1201"/>
      <c r="HHG227" s="1201"/>
      <c r="HHH227" s="1201"/>
      <c r="HHI227" s="1201"/>
      <c r="HHJ227" s="1201"/>
      <c r="HHK227" s="1201"/>
      <c r="HHL227" s="1201"/>
      <c r="HHM227" s="1201"/>
      <c r="HHN227" s="1201"/>
      <c r="HHO227" s="1201"/>
      <c r="HHP227" s="1201"/>
      <c r="HHQ227" s="1201"/>
      <c r="HHR227" s="1201"/>
      <c r="HHS227" s="1201"/>
      <c r="HHT227" s="1201"/>
      <c r="HHU227" s="1201"/>
      <c r="HHV227" s="1201"/>
      <c r="HHW227" s="1201"/>
      <c r="HHX227" s="1201"/>
      <c r="HHY227" s="1201"/>
      <c r="HHZ227" s="1201"/>
      <c r="HIA227" s="1201"/>
      <c r="HIB227" s="1201"/>
      <c r="HIC227" s="1201"/>
      <c r="HID227" s="1201"/>
      <c r="HIE227" s="1201"/>
      <c r="HIF227" s="1201"/>
      <c r="HIG227" s="1201"/>
      <c r="HIH227" s="1201"/>
      <c r="HII227" s="1201"/>
      <c r="HIJ227" s="1201"/>
      <c r="HIK227" s="1201"/>
      <c r="HIL227" s="1201"/>
      <c r="HIM227" s="1201"/>
      <c r="HIN227" s="1201"/>
      <c r="HIO227" s="1201"/>
      <c r="HIP227" s="1201"/>
      <c r="HIQ227" s="1201"/>
      <c r="HIR227" s="1201"/>
      <c r="HIS227" s="1201"/>
      <c r="HIT227" s="1201"/>
      <c r="HIU227" s="1201"/>
      <c r="HIV227" s="1201"/>
      <c r="HIW227" s="1201"/>
      <c r="HIX227" s="1201"/>
      <c r="HIY227" s="1201"/>
      <c r="HIZ227" s="1201"/>
      <c r="HJA227" s="1201"/>
      <c r="HJB227" s="1201"/>
      <c r="HJC227" s="1201"/>
      <c r="HJD227" s="1201"/>
      <c r="HJE227" s="1201"/>
      <c r="HJF227" s="1201"/>
      <c r="HJG227" s="1201"/>
      <c r="HJH227" s="1201"/>
      <c r="HJI227" s="1201"/>
      <c r="HJJ227" s="1201"/>
      <c r="HJK227" s="1201"/>
      <c r="HJL227" s="1201"/>
      <c r="HJM227" s="1201"/>
      <c r="HJN227" s="1201"/>
      <c r="HJO227" s="1201"/>
      <c r="HJP227" s="1201"/>
      <c r="HJQ227" s="1201"/>
      <c r="HJR227" s="1201"/>
      <c r="HJS227" s="1201"/>
      <c r="HJT227" s="1201"/>
      <c r="HJU227" s="1201"/>
      <c r="HJV227" s="1201"/>
      <c r="HJW227" s="1201"/>
      <c r="HJX227" s="1201"/>
      <c r="HJY227" s="1201"/>
      <c r="HJZ227" s="1201"/>
      <c r="HKA227" s="1201"/>
      <c r="HKB227" s="1201"/>
      <c r="HKC227" s="1201"/>
      <c r="HKD227" s="1201"/>
      <c r="HKE227" s="1201"/>
      <c r="HKF227" s="1201"/>
      <c r="HKG227" s="1201"/>
      <c r="HKH227" s="1201"/>
      <c r="HKI227" s="1201"/>
      <c r="HKJ227" s="1201"/>
      <c r="HKK227" s="1201"/>
      <c r="HKL227" s="1201"/>
      <c r="HKM227" s="1201"/>
      <c r="HKN227" s="1201"/>
      <c r="HKO227" s="1201"/>
      <c r="HKP227" s="1201"/>
      <c r="HKQ227" s="1201"/>
      <c r="HKR227" s="1201"/>
      <c r="HKS227" s="1201"/>
      <c r="HKT227" s="1201"/>
      <c r="HKU227" s="1201"/>
      <c r="HKV227" s="1201"/>
      <c r="HKW227" s="1201"/>
      <c r="HKX227" s="1201"/>
      <c r="HKY227" s="1201"/>
      <c r="HKZ227" s="1201"/>
      <c r="HLA227" s="1201"/>
      <c r="HLB227" s="1201"/>
      <c r="HLC227" s="1201"/>
      <c r="HLD227" s="1201"/>
      <c r="HLE227" s="1201"/>
      <c r="HLF227" s="1201"/>
      <c r="HLG227" s="1201"/>
      <c r="HLH227" s="1201"/>
      <c r="HLI227" s="1201"/>
      <c r="HLJ227" s="1201"/>
      <c r="HLK227" s="1201"/>
      <c r="HLL227" s="1201"/>
      <c r="HLM227" s="1201"/>
      <c r="HLN227" s="1201"/>
      <c r="HLO227" s="1201"/>
      <c r="HLP227" s="1201"/>
      <c r="HLQ227" s="1201"/>
      <c r="HLR227" s="1201"/>
      <c r="HLS227" s="1201"/>
      <c r="HLT227" s="1201"/>
      <c r="HLU227" s="1201"/>
      <c r="HLV227" s="1201"/>
      <c r="HLW227" s="1201"/>
      <c r="HLX227" s="1201"/>
      <c r="HLY227" s="1201"/>
      <c r="HLZ227" s="1201"/>
      <c r="HMA227" s="1201"/>
      <c r="HMB227" s="1201"/>
      <c r="HMC227" s="1201"/>
      <c r="HMD227" s="1201"/>
      <c r="HME227" s="1201"/>
      <c r="HMF227" s="1201"/>
      <c r="HMG227" s="1201"/>
      <c r="HMH227" s="1201"/>
      <c r="HMI227" s="1201"/>
      <c r="HMJ227" s="1201"/>
      <c r="HMK227" s="1201"/>
      <c r="HML227" s="1201"/>
      <c r="HMM227" s="1201"/>
      <c r="HMN227" s="1201"/>
      <c r="HMO227" s="1201"/>
      <c r="HMP227" s="1201"/>
      <c r="HMQ227" s="1201"/>
      <c r="HMR227" s="1201"/>
      <c r="HMS227" s="1201"/>
      <c r="HMT227" s="1201"/>
      <c r="HMU227" s="1201"/>
      <c r="HMV227" s="1201"/>
      <c r="HMW227" s="1201"/>
      <c r="HMX227" s="1201"/>
      <c r="HMY227" s="1201"/>
      <c r="HMZ227" s="1201"/>
      <c r="HNA227" s="1201"/>
      <c r="HNB227" s="1201"/>
      <c r="HNC227" s="1201"/>
      <c r="HND227" s="1201"/>
      <c r="HNE227" s="1201"/>
      <c r="HNF227" s="1201"/>
      <c r="HNG227" s="1201"/>
      <c r="HNH227" s="1201"/>
      <c r="HNI227" s="1201"/>
      <c r="HNJ227" s="1201"/>
      <c r="HNK227" s="1201"/>
      <c r="HNL227" s="1201"/>
      <c r="HNM227" s="1201"/>
      <c r="HNN227" s="1201"/>
      <c r="HNO227" s="1201"/>
      <c r="HNP227" s="1201"/>
      <c r="HNQ227" s="1201"/>
      <c r="HNR227" s="1201"/>
      <c r="HNS227" s="1201"/>
      <c r="HNT227" s="1201"/>
      <c r="HNU227" s="1201"/>
      <c r="HNV227" s="1201"/>
      <c r="HNW227" s="1201"/>
      <c r="HNX227" s="1201"/>
      <c r="HNY227" s="1201"/>
      <c r="HNZ227" s="1201"/>
      <c r="HOA227" s="1201"/>
      <c r="HOB227" s="1201"/>
      <c r="HOC227" s="1201"/>
      <c r="HOD227" s="1201"/>
      <c r="HOE227" s="1201"/>
      <c r="HOF227" s="1201"/>
      <c r="HOG227" s="1201"/>
      <c r="HOH227" s="1201"/>
      <c r="HOI227" s="1201"/>
      <c r="HOJ227" s="1201"/>
      <c r="HOK227" s="1201"/>
      <c r="HOL227" s="1201"/>
      <c r="HOM227" s="1201"/>
      <c r="HON227" s="1201"/>
      <c r="HOO227" s="1201"/>
      <c r="HOP227" s="1201"/>
      <c r="HOQ227" s="1201"/>
      <c r="HOR227" s="1201"/>
      <c r="HOS227" s="1201"/>
      <c r="HOT227" s="1201"/>
      <c r="HOU227" s="1201"/>
      <c r="HOV227" s="1201"/>
      <c r="HOW227" s="1201"/>
      <c r="HOX227" s="1201"/>
      <c r="HOY227" s="1201"/>
      <c r="HOZ227" s="1201"/>
      <c r="HPA227" s="1201"/>
      <c r="HPB227" s="1201"/>
      <c r="HPC227" s="1201"/>
      <c r="HPD227" s="1201"/>
      <c r="HPE227" s="1201"/>
      <c r="HPF227" s="1201"/>
      <c r="HPG227" s="1201"/>
      <c r="HPH227" s="1201"/>
      <c r="HPI227" s="1201"/>
      <c r="HPJ227" s="1201"/>
      <c r="HPK227" s="1201"/>
      <c r="HPL227" s="1201"/>
      <c r="HPM227" s="1201"/>
      <c r="HPN227" s="1201"/>
      <c r="HPO227" s="1201"/>
      <c r="HPP227" s="1201"/>
      <c r="HPQ227" s="1201"/>
      <c r="HPR227" s="1201"/>
      <c r="HPS227" s="1201"/>
      <c r="HPT227" s="1201"/>
      <c r="HPU227" s="1201"/>
      <c r="HPV227" s="1201"/>
      <c r="HPW227" s="1201"/>
      <c r="HPX227" s="1201"/>
      <c r="HPY227" s="1201"/>
      <c r="HPZ227" s="1201"/>
      <c r="HQA227" s="1201"/>
      <c r="HQB227" s="1201"/>
      <c r="HQC227" s="1201"/>
      <c r="HQD227" s="1201"/>
      <c r="HQE227" s="1201"/>
      <c r="HQF227" s="1201"/>
      <c r="HQG227" s="1201"/>
      <c r="HQH227" s="1201"/>
      <c r="HQI227" s="1201"/>
      <c r="HQJ227" s="1201"/>
      <c r="HQK227" s="1201"/>
      <c r="HQL227" s="1201"/>
      <c r="HQM227" s="1201"/>
      <c r="HQN227" s="1201"/>
      <c r="HQO227" s="1201"/>
      <c r="HQP227" s="1201"/>
      <c r="HQQ227" s="1201"/>
      <c r="HQR227" s="1201"/>
      <c r="HQS227" s="1201"/>
      <c r="HQT227" s="1201"/>
      <c r="HQU227" s="1201"/>
      <c r="HQV227" s="1201"/>
      <c r="HQW227" s="1201"/>
      <c r="HQX227" s="1201"/>
      <c r="HQY227" s="1201"/>
      <c r="HQZ227" s="1201"/>
      <c r="HRA227" s="1201"/>
      <c r="HRB227" s="1201"/>
      <c r="HRC227" s="1201"/>
      <c r="HRD227" s="1201"/>
      <c r="HRE227" s="1201"/>
      <c r="HRF227" s="1201"/>
      <c r="HRG227" s="1201"/>
      <c r="HRH227" s="1201"/>
      <c r="HRI227" s="1201"/>
      <c r="HRJ227" s="1201"/>
      <c r="HRK227" s="1201"/>
      <c r="HRL227" s="1201"/>
      <c r="HRM227" s="1201"/>
      <c r="HRN227" s="1201"/>
      <c r="HRO227" s="1201"/>
      <c r="HRP227" s="1201"/>
      <c r="HRQ227" s="1201"/>
      <c r="HRR227" s="1201"/>
      <c r="HRS227" s="1201"/>
      <c r="HRT227" s="1201"/>
      <c r="HRU227" s="1201"/>
      <c r="HRV227" s="1201"/>
      <c r="HRW227" s="1201"/>
      <c r="HRX227" s="1201"/>
      <c r="HRY227" s="1201"/>
      <c r="HRZ227" s="1201"/>
      <c r="HSA227" s="1201"/>
      <c r="HSB227" s="1201"/>
      <c r="HSC227" s="1201"/>
      <c r="HSD227" s="1201"/>
      <c r="HSE227" s="1201"/>
      <c r="HSF227" s="1201"/>
      <c r="HSG227" s="1201"/>
      <c r="HSH227" s="1201"/>
      <c r="HSI227" s="1201"/>
      <c r="HSJ227" s="1201"/>
      <c r="HSK227" s="1201"/>
      <c r="HSL227" s="1201"/>
      <c r="HSM227" s="1201"/>
      <c r="HSN227" s="1201"/>
      <c r="HSO227" s="1201"/>
      <c r="HSP227" s="1201"/>
      <c r="HSQ227" s="1201"/>
      <c r="HSR227" s="1201"/>
      <c r="HSS227" s="1201"/>
      <c r="HST227" s="1201"/>
      <c r="HSU227" s="1201"/>
      <c r="HSV227" s="1201"/>
      <c r="HSW227" s="1201"/>
      <c r="HSX227" s="1201"/>
      <c r="HSY227" s="1201"/>
      <c r="HSZ227" s="1201"/>
      <c r="HTA227" s="1201"/>
      <c r="HTB227" s="1201"/>
      <c r="HTC227" s="1201"/>
      <c r="HTD227" s="1201"/>
      <c r="HTE227" s="1201"/>
      <c r="HTF227" s="1201"/>
      <c r="HTG227" s="1201"/>
      <c r="HTH227" s="1201"/>
      <c r="HTI227" s="1201"/>
      <c r="HTJ227" s="1201"/>
      <c r="HTK227" s="1201"/>
      <c r="HTL227" s="1201"/>
      <c r="HTM227" s="1201"/>
      <c r="HTN227" s="1201"/>
      <c r="HTO227" s="1201"/>
      <c r="HTP227" s="1201"/>
      <c r="HTQ227" s="1201"/>
      <c r="HTR227" s="1201"/>
      <c r="HTS227" s="1201"/>
      <c r="HTT227" s="1201"/>
      <c r="HTU227" s="1201"/>
      <c r="HTV227" s="1201"/>
      <c r="HTW227" s="1201"/>
      <c r="HTX227" s="1201"/>
      <c r="HTY227" s="1201"/>
      <c r="HTZ227" s="1201"/>
      <c r="HUA227" s="1201"/>
      <c r="HUB227" s="1201"/>
      <c r="HUC227" s="1201"/>
      <c r="HUD227" s="1201"/>
      <c r="HUE227" s="1201"/>
      <c r="HUF227" s="1201"/>
      <c r="HUG227" s="1201"/>
      <c r="HUH227" s="1201"/>
      <c r="HUI227" s="1201"/>
      <c r="HUJ227" s="1201"/>
      <c r="HUK227" s="1201"/>
      <c r="HUL227" s="1201"/>
      <c r="HUM227" s="1201"/>
      <c r="HUN227" s="1201"/>
      <c r="HUO227" s="1201"/>
      <c r="HUP227" s="1201"/>
      <c r="HUQ227" s="1201"/>
      <c r="HUR227" s="1201"/>
      <c r="HUS227" s="1201"/>
      <c r="HUT227" s="1201"/>
      <c r="HUU227" s="1201"/>
      <c r="HUV227" s="1201"/>
      <c r="HUW227" s="1201"/>
      <c r="HUX227" s="1201"/>
      <c r="HUY227" s="1201"/>
      <c r="HUZ227" s="1201"/>
      <c r="HVA227" s="1201"/>
      <c r="HVB227" s="1201"/>
      <c r="HVC227" s="1201"/>
      <c r="HVD227" s="1201"/>
      <c r="HVE227" s="1201"/>
      <c r="HVF227" s="1201"/>
      <c r="HVG227" s="1201"/>
      <c r="HVH227" s="1201"/>
      <c r="HVI227" s="1201"/>
      <c r="HVJ227" s="1201"/>
      <c r="HVK227" s="1201"/>
      <c r="HVL227" s="1201"/>
      <c r="HVM227" s="1201"/>
      <c r="HVN227" s="1201"/>
      <c r="HVO227" s="1201"/>
      <c r="HVP227" s="1201"/>
      <c r="HVQ227" s="1201"/>
      <c r="HVR227" s="1201"/>
      <c r="HVS227" s="1201"/>
      <c r="HVT227" s="1201"/>
      <c r="HVU227" s="1201"/>
      <c r="HVV227" s="1201"/>
      <c r="HVW227" s="1201"/>
      <c r="HVX227" s="1201"/>
      <c r="HVY227" s="1201"/>
      <c r="HVZ227" s="1201"/>
      <c r="HWA227" s="1201"/>
      <c r="HWB227" s="1201"/>
      <c r="HWC227" s="1201"/>
      <c r="HWD227" s="1201"/>
      <c r="HWE227" s="1201"/>
      <c r="HWF227" s="1201"/>
      <c r="HWG227" s="1201"/>
      <c r="HWH227" s="1201"/>
      <c r="HWI227" s="1201"/>
      <c r="HWJ227" s="1201"/>
      <c r="HWK227" s="1201"/>
      <c r="HWL227" s="1201"/>
      <c r="HWM227" s="1201"/>
      <c r="HWN227" s="1201"/>
      <c r="HWO227" s="1201"/>
      <c r="HWP227" s="1201"/>
      <c r="HWQ227" s="1201"/>
      <c r="HWR227" s="1201"/>
      <c r="HWS227" s="1201"/>
      <c r="HWT227" s="1201"/>
      <c r="HWU227" s="1201"/>
      <c r="HWV227" s="1201"/>
      <c r="HWW227" s="1201"/>
      <c r="HWX227" s="1201"/>
      <c r="HWY227" s="1201"/>
      <c r="HWZ227" s="1201"/>
      <c r="HXA227" s="1201"/>
      <c r="HXB227" s="1201"/>
      <c r="HXC227" s="1201"/>
      <c r="HXD227" s="1201"/>
      <c r="HXE227" s="1201"/>
      <c r="HXF227" s="1201"/>
      <c r="HXG227" s="1201"/>
      <c r="HXH227" s="1201"/>
      <c r="HXI227" s="1201"/>
      <c r="HXJ227" s="1201"/>
      <c r="HXK227" s="1201"/>
      <c r="HXL227" s="1201"/>
      <c r="HXM227" s="1201"/>
      <c r="HXN227" s="1201"/>
      <c r="HXO227" s="1201"/>
      <c r="HXP227" s="1201"/>
      <c r="HXQ227" s="1201"/>
      <c r="HXR227" s="1201"/>
      <c r="HXS227" s="1201"/>
      <c r="HXT227" s="1201"/>
      <c r="HXU227" s="1201"/>
      <c r="HXV227" s="1201"/>
      <c r="HXW227" s="1201"/>
      <c r="HXX227" s="1201"/>
      <c r="HXY227" s="1201"/>
      <c r="HXZ227" s="1201"/>
      <c r="HYA227" s="1201"/>
      <c r="HYB227" s="1201"/>
      <c r="HYC227" s="1201"/>
      <c r="HYD227" s="1201"/>
      <c r="HYE227" s="1201"/>
      <c r="HYF227" s="1201"/>
      <c r="HYG227" s="1201"/>
      <c r="HYH227" s="1201"/>
      <c r="HYI227" s="1201"/>
      <c r="HYJ227" s="1201"/>
      <c r="HYK227" s="1201"/>
      <c r="HYL227" s="1201"/>
      <c r="HYM227" s="1201"/>
      <c r="HYN227" s="1201"/>
      <c r="HYO227" s="1201"/>
      <c r="HYP227" s="1201"/>
      <c r="HYQ227" s="1201"/>
      <c r="HYR227" s="1201"/>
      <c r="HYS227" s="1201"/>
      <c r="HYT227" s="1201"/>
      <c r="HYU227" s="1201"/>
      <c r="HYV227" s="1201"/>
      <c r="HYW227" s="1201"/>
      <c r="HYX227" s="1201"/>
      <c r="HYY227" s="1201"/>
      <c r="HYZ227" s="1201"/>
      <c r="HZA227" s="1201"/>
      <c r="HZB227" s="1201"/>
      <c r="HZC227" s="1201"/>
      <c r="HZD227" s="1201"/>
      <c r="HZE227" s="1201"/>
      <c r="HZF227" s="1201"/>
      <c r="HZG227" s="1201"/>
      <c r="HZH227" s="1201"/>
      <c r="HZI227" s="1201"/>
      <c r="HZJ227" s="1201"/>
      <c r="HZK227" s="1201"/>
      <c r="HZL227" s="1201"/>
      <c r="HZM227" s="1201"/>
      <c r="HZN227" s="1201"/>
      <c r="HZO227" s="1201"/>
      <c r="HZP227" s="1201"/>
      <c r="HZQ227" s="1201"/>
      <c r="HZR227" s="1201"/>
      <c r="HZS227" s="1201"/>
      <c r="HZT227" s="1201"/>
      <c r="HZU227" s="1201"/>
      <c r="HZV227" s="1201"/>
      <c r="HZW227" s="1201"/>
      <c r="HZX227" s="1201"/>
      <c r="HZY227" s="1201"/>
      <c r="HZZ227" s="1201"/>
      <c r="IAA227" s="1201"/>
      <c r="IAB227" s="1201"/>
      <c r="IAC227" s="1201"/>
      <c r="IAD227" s="1201"/>
      <c r="IAE227" s="1201"/>
      <c r="IAF227" s="1201"/>
      <c r="IAG227" s="1201"/>
      <c r="IAH227" s="1201"/>
      <c r="IAI227" s="1201"/>
      <c r="IAJ227" s="1201"/>
      <c r="IAK227" s="1201"/>
      <c r="IAL227" s="1201"/>
      <c r="IAM227" s="1201"/>
      <c r="IAN227" s="1201"/>
      <c r="IAO227" s="1201"/>
      <c r="IAP227" s="1201"/>
      <c r="IAQ227" s="1201"/>
      <c r="IAR227" s="1201"/>
      <c r="IAS227" s="1201"/>
      <c r="IAT227" s="1201"/>
      <c r="IAU227" s="1201"/>
      <c r="IAV227" s="1201"/>
      <c r="IAW227" s="1201"/>
      <c r="IAX227" s="1201"/>
      <c r="IAY227" s="1201"/>
      <c r="IAZ227" s="1201"/>
      <c r="IBA227" s="1201"/>
      <c r="IBB227" s="1201"/>
      <c r="IBC227" s="1201"/>
      <c r="IBD227" s="1201"/>
      <c r="IBE227" s="1201"/>
      <c r="IBF227" s="1201"/>
      <c r="IBG227" s="1201"/>
      <c r="IBH227" s="1201"/>
      <c r="IBI227" s="1201"/>
      <c r="IBJ227" s="1201"/>
      <c r="IBK227" s="1201"/>
      <c r="IBL227" s="1201"/>
      <c r="IBM227" s="1201"/>
      <c r="IBN227" s="1201"/>
      <c r="IBO227" s="1201"/>
      <c r="IBP227" s="1201"/>
      <c r="IBQ227" s="1201"/>
      <c r="IBR227" s="1201"/>
      <c r="IBS227" s="1201"/>
      <c r="IBT227" s="1201"/>
      <c r="IBU227" s="1201"/>
      <c r="IBV227" s="1201"/>
      <c r="IBW227" s="1201"/>
      <c r="IBX227" s="1201"/>
      <c r="IBY227" s="1201"/>
      <c r="IBZ227" s="1201"/>
      <c r="ICA227" s="1201"/>
      <c r="ICB227" s="1201"/>
      <c r="ICC227" s="1201"/>
      <c r="ICD227" s="1201"/>
      <c r="ICE227" s="1201"/>
      <c r="ICF227" s="1201"/>
      <c r="ICG227" s="1201"/>
      <c r="ICH227" s="1201"/>
      <c r="ICI227" s="1201"/>
      <c r="ICJ227" s="1201"/>
      <c r="ICK227" s="1201"/>
      <c r="ICL227" s="1201"/>
      <c r="ICM227" s="1201"/>
      <c r="ICN227" s="1201"/>
      <c r="ICO227" s="1201"/>
      <c r="ICP227" s="1201"/>
      <c r="ICQ227" s="1201"/>
      <c r="ICR227" s="1201"/>
      <c r="ICS227" s="1201"/>
      <c r="ICT227" s="1201"/>
      <c r="ICU227" s="1201"/>
      <c r="ICV227" s="1201"/>
      <c r="ICW227" s="1201"/>
      <c r="ICX227" s="1201"/>
      <c r="ICY227" s="1201"/>
      <c r="ICZ227" s="1201"/>
      <c r="IDA227" s="1201"/>
      <c r="IDB227" s="1201"/>
      <c r="IDC227" s="1201"/>
      <c r="IDD227" s="1201"/>
      <c r="IDE227" s="1201"/>
      <c r="IDF227" s="1201"/>
      <c r="IDG227" s="1201"/>
      <c r="IDH227" s="1201"/>
      <c r="IDI227" s="1201"/>
      <c r="IDJ227" s="1201"/>
      <c r="IDK227" s="1201"/>
      <c r="IDL227" s="1201"/>
      <c r="IDM227" s="1201"/>
      <c r="IDN227" s="1201"/>
      <c r="IDO227" s="1201"/>
      <c r="IDP227" s="1201"/>
      <c r="IDQ227" s="1201"/>
      <c r="IDR227" s="1201"/>
      <c r="IDS227" s="1201"/>
      <c r="IDT227" s="1201"/>
      <c r="IDU227" s="1201"/>
      <c r="IDV227" s="1201"/>
      <c r="IDW227" s="1201"/>
      <c r="IDX227" s="1201"/>
      <c r="IDY227" s="1201"/>
      <c r="IDZ227" s="1201"/>
      <c r="IEA227" s="1201"/>
      <c r="IEB227" s="1201"/>
      <c r="IEC227" s="1201"/>
      <c r="IED227" s="1201"/>
      <c r="IEE227" s="1201"/>
      <c r="IEF227" s="1201"/>
      <c r="IEG227" s="1201"/>
      <c r="IEH227" s="1201"/>
      <c r="IEI227" s="1201"/>
      <c r="IEJ227" s="1201"/>
      <c r="IEK227" s="1201"/>
      <c r="IEL227" s="1201"/>
      <c r="IEM227" s="1201"/>
      <c r="IEN227" s="1201"/>
      <c r="IEO227" s="1201"/>
      <c r="IEP227" s="1201"/>
      <c r="IEQ227" s="1201"/>
      <c r="IER227" s="1201"/>
      <c r="IES227" s="1201"/>
      <c r="IET227" s="1201"/>
      <c r="IEU227" s="1201"/>
      <c r="IEV227" s="1201"/>
      <c r="IEW227" s="1201"/>
      <c r="IEX227" s="1201"/>
      <c r="IEY227" s="1201"/>
      <c r="IEZ227" s="1201"/>
      <c r="IFA227" s="1201"/>
      <c r="IFB227" s="1201"/>
      <c r="IFC227" s="1201"/>
      <c r="IFD227" s="1201"/>
      <c r="IFE227" s="1201"/>
      <c r="IFF227" s="1201"/>
      <c r="IFG227" s="1201"/>
      <c r="IFH227" s="1201"/>
      <c r="IFI227" s="1201"/>
      <c r="IFJ227" s="1201"/>
      <c r="IFK227" s="1201"/>
      <c r="IFL227" s="1201"/>
      <c r="IFM227" s="1201"/>
      <c r="IFN227" s="1201"/>
      <c r="IFO227" s="1201"/>
      <c r="IFP227" s="1201"/>
      <c r="IFQ227" s="1201"/>
      <c r="IFR227" s="1201"/>
      <c r="IFS227" s="1201"/>
      <c r="IFT227" s="1201"/>
      <c r="IFU227" s="1201"/>
      <c r="IFV227" s="1201"/>
      <c r="IFW227" s="1201"/>
      <c r="IFX227" s="1201"/>
      <c r="IFY227" s="1201"/>
      <c r="IFZ227" s="1201"/>
      <c r="IGA227" s="1201"/>
      <c r="IGB227" s="1201"/>
      <c r="IGC227" s="1201"/>
      <c r="IGD227" s="1201"/>
      <c r="IGE227" s="1201"/>
      <c r="IGF227" s="1201"/>
      <c r="IGG227" s="1201"/>
      <c r="IGH227" s="1201"/>
      <c r="IGI227" s="1201"/>
      <c r="IGJ227" s="1201"/>
      <c r="IGK227" s="1201"/>
      <c r="IGL227" s="1201"/>
      <c r="IGM227" s="1201"/>
      <c r="IGN227" s="1201"/>
      <c r="IGO227" s="1201"/>
      <c r="IGP227" s="1201"/>
      <c r="IGQ227" s="1201"/>
      <c r="IGR227" s="1201"/>
      <c r="IGS227" s="1201"/>
      <c r="IGT227" s="1201"/>
      <c r="IGU227" s="1201"/>
      <c r="IGV227" s="1201"/>
      <c r="IGW227" s="1201"/>
      <c r="IGX227" s="1201"/>
      <c r="IGY227" s="1201"/>
      <c r="IGZ227" s="1201"/>
      <c r="IHA227" s="1201"/>
      <c r="IHB227" s="1201"/>
      <c r="IHC227" s="1201"/>
      <c r="IHD227" s="1201"/>
      <c r="IHE227" s="1201"/>
      <c r="IHF227" s="1201"/>
      <c r="IHG227" s="1201"/>
      <c r="IHH227" s="1201"/>
      <c r="IHI227" s="1201"/>
      <c r="IHJ227" s="1201"/>
      <c r="IHK227" s="1201"/>
      <c r="IHL227" s="1201"/>
      <c r="IHM227" s="1201"/>
      <c r="IHN227" s="1201"/>
      <c r="IHO227" s="1201"/>
      <c r="IHP227" s="1201"/>
      <c r="IHQ227" s="1201"/>
      <c r="IHR227" s="1201"/>
      <c r="IHS227" s="1201"/>
      <c r="IHT227" s="1201"/>
      <c r="IHU227" s="1201"/>
      <c r="IHV227" s="1201"/>
      <c r="IHW227" s="1201"/>
      <c r="IHX227" s="1201"/>
      <c r="IHY227" s="1201"/>
      <c r="IHZ227" s="1201"/>
      <c r="IIA227" s="1201"/>
      <c r="IIB227" s="1201"/>
      <c r="IIC227" s="1201"/>
      <c r="IID227" s="1201"/>
      <c r="IIE227" s="1201"/>
      <c r="IIF227" s="1201"/>
      <c r="IIG227" s="1201"/>
      <c r="IIH227" s="1201"/>
      <c r="III227" s="1201"/>
      <c r="IIJ227" s="1201"/>
      <c r="IIK227" s="1201"/>
      <c r="IIL227" s="1201"/>
      <c r="IIM227" s="1201"/>
      <c r="IIN227" s="1201"/>
      <c r="IIO227" s="1201"/>
      <c r="IIP227" s="1201"/>
      <c r="IIQ227" s="1201"/>
      <c r="IIR227" s="1201"/>
      <c r="IIS227" s="1201"/>
      <c r="IIT227" s="1201"/>
      <c r="IIU227" s="1201"/>
      <c r="IIV227" s="1201"/>
      <c r="IIW227" s="1201"/>
      <c r="IIX227" s="1201"/>
      <c r="IIY227" s="1201"/>
      <c r="IIZ227" s="1201"/>
      <c r="IJA227" s="1201"/>
      <c r="IJB227" s="1201"/>
      <c r="IJC227" s="1201"/>
      <c r="IJD227" s="1201"/>
      <c r="IJE227" s="1201"/>
      <c r="IJF227" s="1201"/>
      <c r="IJG227" s="1201"/>
      <c r="IJH227" s="1201"/>
      <c r="IJI227" s="1201"/>
      <c r="IJJ227" s="1201"/>
      <c r="IJK227" s="1201"/>
      <c r="IJL227" s="1201"/>
      <c r="IJM227" s="1201"/>
      <c r="IJN227" s="1201"/>
      <c r="IJO227" s="1201"/>
      <c r="IJP227" s="1201"/>
      <c r="IJQ227" s="1201"/>
      <c r="IJR227" s="1201"/>
      <c r="IJS227" s="1201"/>
      <c r="IJT227" s="1201"/>
      <c r="IJU227" s="1201"/>
      <c r="IJV227" s="1201"/>
      <c r="IJW227" s="1201"/>
      <c r="IJX227" s="1201"/>
      <c r="IJY227" s="1201"/>
      <c r="IJZ227" s="1201"/>
      <c r="IKA227" s="1201"/>
      <c r="IKB227" s="1201"/>
      <c r="IKC227" s="1201"/>
      <c r="IKD227" s="1201"/>
      <c r="IKE227" s="1201"/>
      <c r="IKF227" s="1201"/>
      <c r="IKG227" s="1201"/>
      <c r="IKH227" s="1201"/>
      <c r="IKI227" s="1201"/>
      <c r="IKJ227" s="1201"/>
      <c r="IKK227" s="1201"/>
      <c r="IKL227" s="1201"/>
      <c r="IKM227" s="1201"/>
      <c r="IKN227" s="1201"/>
      <c r="IKO227" s="1201"/>
      <c r="IKP227" s="1201"/>
      <c r="IKQ227" s="1201"/>
      <c r="IKR227" s="1201"/>
      <c r="IKS227" s="1201"/>
      <c r="IKT227" s="1201"/>
      <c r="IKU227" s="1201"/>
      <c r="IKV227" s="1201"/>
      <c r="IKW227" s="1201"/>
      <c r="IKX227" s="1201"/>
      <c r="IKY227" s="1201"/>
      <c r="IKZ227" s="1201"/>
      <c r="ILA227" s="1201"/>
      <c r="ILB227" s="1201"/>
      <c r="ILC227" s="1201"/>
      <c r="ILD227" s="1201"/>
      <c r="ILE227" s="1201"/>
      <c r="ILF227" s="1201"/>
      <c r="ILG227" s="1201"/>
      <c r="ILH227" s="1201"/>
      <c r="ILI227" s="1201"/>
      <c r="ILJ227" s="1201"/>
      <c r="ILK227" s="1201"/>
      <c r="ILL227" s="1201"/>
      <c r="ILM227" s="1201"/>
      <c r="ILN227" s="1201"/>
      <c r="ILO227" s="1201"/>
      <c r="ILP227" s="1201"/>
      <c r="ILQ227" s="1201"/>
      <c r="ILR227" s="1201"/>
      <c r="ILS227" s="1201"/>
      <c r="ILT227" s="1201"/>
      <c r="ILU227" s="1201"/>
      <c r="ILV227" s="1201"/>
      <c r="ILW227" s="1201"/>
      <c r="ILX227" s="1201"/>
      <c r="ILY227" s="1201"/>
      <c r="ILZ227" s="1201"/>
      <c r="IMA227" s="1201"/>
      <c r="IMB227" s="1201"/>
      <c r="IMC227" s="1201"/>
      <c r="IMD227" s="1201"/>
      <c r="IME227" s="1201"/>
      <c r="IMF227" s="1201"/>
      <c r="IMG227" s="1201"/>
      <c r="IMH227" s="1201"/>
      <c r="IMI227" s="1201"/>
      <c r="IMJ227" s="1201"/>
      <c r="IMK227" s="1201"/>
      <c r="IML227" s="1201"/>
      <c r="IMM227" s="1201"/>
      <c r="IMN227" s="1201"/>
      <c r="IMO227" s="1201"/>
      <c r="IMP227" s="1201"/>
      <c r="IMQ227" s="1201"/>
      <c r="IMR227" s="1201"/>
      <c r="IMS227" s="1201"/>
      <c r="IMT227" s="1201"/>
      <c r="IMU227" s="1201"/>
      <c r="IMV227" s="1201"/>
      <c r="IMW227" s="1201"/>
      <c r="IMX227" s="1201"/>
      <c r="IMY227" s="1201"/>
      <c r="IMZ227" s="1201"/>
      <c r="INA227" s="1201"/>
      <c r="INB227" s="1201"/>
      <c r="INC227" s="1201"/>
      <c r="IND227" s="1201"/>
      <c r="INE227" s="1201"/>
      <c r="INF227" s="1201"/>
      <c r="ING227" s="1201"/>
      <c r="INH227" s="1201"/>
      <c r="INI227" s="1201"/>
      <c r="INJ227" s="1201"/>
      <c r="INK227" s="1201"/>
      <c r="INL227" s="1201"/>
      <c r="INM227" s="1201"/>
      <c r="INN227" s="1201"/>
      <c r="INO227" s="1201"/>
      <c r="INP227" s="1201"/>
      <c r="INQ227" s="1201"/>
      <c r="INR227" s="1201"/>
      <c r="INS227" s="1201"/>
      <c r="INT227" s="1201"/>
      <c r="INU227" s="1201"/>
      <c r="INV227" s="1201"/>
      <c r="INW227" s="1201"/>
      <c r="INX227" s="1201"/>
      <c r="INY227" s="1201"/>
      <c r="INZ227" s="1201"/>
      <c r="IOA227" s="1201"/>
      <c r="IOB227" s="1201"/>
      <c r="IOC227" s="1201"/>
      <c r="IOD227" s="1201"/>
      <c r="IOE227" s="1201"/>
      <c r="IOF227" s="1201"/>
      <c r="IOG227" s="1201"/>
      <c r="IOH227" s="1201"/>
      <c r="IOI227" s="1201"/>
      <c r="IOJ227" s="1201"/>
      <c r="IOK227" s="1201"/>
      <c r="IOL227" s="1201"/>
      <c r="IOM227" s="1201"/>
      <c r="ION227" s="1201"/>
      <c r="IOO227" s="1201"/>
      <c r="IOP227" s="1201"/>
      <c r="IOQ227" s="1201"/>
      <c r="IOR227" s="1201"/>
      <c r="IOS227" s="1201"/>
      <c r="IOT227" s="1201"/>
      <c r="IOU227" s="1201"/>
      <c r="IOV227" s="1201"/>
      <c r="IOW227" s="1201"/>
      <c r="IOX227" s="1201"/>
      <c r="IOY227" s="1201"/>
      <c r="IOZ227" s="1201"/>
      <c r="IPA227" s="1201"/>
      <c r="IPB227" s="1201"/>
      <c r="IPC227" s="1201"/>
      <c r="IPD227" s="1201"/>
      <c r="IPE227" s="1201"/>
      <c r="IPF227" s="1201"/>
      <c r="IPG227" s="1201"/>
      <c r="IPH227" s="1201"/>
      <c r="IPI227" s="1201"/>
      <c r="IPJ227" s="1201"/>
      <c r="IPK227" s="1201"/>
      <c r="IPL227" s="1201"/>
      <c r="IPM227" s="1201"/>
      <c r="IPN227" s="1201"/>
      <c r="IPO227" s="1201"/>
      <c r="IPP227" s="1201"/>
      <c r="IPQ227" s="1201"/>
      <c r="IPR227" s="1201"/>
      <c r="IPS227" s="1201"/>
      <c r="IPT227" s="1201"/>
      <c r="IPU227" s="1201"/>
      <c r="IPV227" s="1201"/>
      <c r="IPW227" s="1201"/>
      <c r="IPX227" s="1201"/>
      <c r="IPY227" s="1201"/>
      <c r="IPZ227" s="1201"/>
      <c r="IQA227" s="1201"/>
      <c r="IQB227" s="1201"/>
      <c r="IQC227" s="1201"/>
      <c r="IQD227" s="1201"/>
      <c r="IQE227" s="1201"/>
      <c r="IQF227" s="1201"/>
      <c r="IQG227" s="1201"/>
      <c r="IQH227" s="1201"/>
      <c r="IQI227" s="1201"/>
      <c r="IQJ227" s="1201"/>
      <c r="IQK227" s="1201"/>
      <c r="IQL227" s="1201"/>
      <c r="IQM227" s="1201"/>
      <c r="IQN227" s="1201"/>
      <c r="IQO227" s="1201"/>
      <c r="IQP227" s="1201"/>
      <c r="IQQ227" s="1201"/>
      <c r="IQR227" s="1201"/>
      <c r="IQS227" s="1201"/>
      <c r="IQT227" s="1201"/>
      <c r="IQU227" s="1201"/>
      <c r="IQV227" s="1201"/>
      <c r="IQW227" s="1201"/>
      <c r="IQX227" s="1201"/>
      <c r="IQY227" s="1201"/>
      <c r="IQZ227" s="1201"/>
      <c r="IRA227" s="1201"/>
      <c r="IRB227" s="1201"/>
      <c r="IRC227" s="1201"/>
      <c r="IRD227" s="1201"/>
      <c r="IRE227" s="1201"/>
      <c r="IRF227" s="1201"/>
      <c r="IRG227" s="1201"/>
      <c r="IRH227" s="1201"/>
      <c r="IRI227" s="1201"/>
      <c r="IRJ227" s="1201"/>
      <c r="IRK227" s="1201"/>
      <c r="IRL227" s="1201"/>
      <c r="IRM227" s="1201"/>
      <c r="IRN227" s="1201"/>
      <c r="IRO227" s="1201"/>
      <c r="IRP227" s="1201"/>
      <c r="IRQ227" s="1201"/>
      <c r="IRR227" s="1201"/>
      <c r="IRS227" s="1201"/>
      <c r="IRT227" s="1201"/>
      <c r="IRU227" s="1201"/>
      <c r="IRV227" s="1201"/>
      <c r="IRW227" s="1201"/>
      <c r="IRX227" s="1201"/>
      <c r="IRY227" s="1201"/>
      <c r="IRZ227" s="1201"/>
      <c r="ISA227" s="1201"/>
      <c r="ISB227" s="1201"/>
      <c r="ISC227" s="1201"/>
      <c r="ISD227" s="1201"/>
      <c r="ISE227" s="1201"/>
      <c r="ISF227" s="1201"/>
      <c r="ISG227" s="1201"/>
      <c r="ISH227" s="1201"/>
      <c r="ISI227" s="1201"/>
      <c r="ISJ227" s="1201"/>
      <c r="ISK227" s="1201"/>
      <c r="ISL227" s="1201"/>
      <c r="ISM227" s="1201"/>
      <c r="ISN227" s="1201"/>
      <c r="ISO227" s="1201"/>
      <c r="ISP227" s="1201"/>
      <c r="ISQ227" s="1201"/>
      <c r="ISR227" s="1201"/>
      <c r="ISS227" s="1201"/>
      <c r="IST227" s="1201"/>
      <c r="ISU227" s="1201"/>
      <c r="ISV227" s="1201"/>
      <c r="ISW227" s="1201"/>
      <c r="ISX227" s="1201"/>
      <c r="ISY227" s="1201"/>
      <c r="ISZ227" s="1201"/>
      <c r="ITA227" s="1201"/>
      <c r="ITB227" s="1201"/>
      <c r="ITC227" s="1201"/>
      <c r="ITD227" s="1201"/>
      <c r="ITE227" s="1201"/>
      <c r="ITF227" s="1201"/>
      <c r="ITG227" s="1201"/>
      <c r="ITH227" s="1201"/>
      <c r="ITI227" s="1201"/>
      <c r="ITJ227" s="1201"/>
      <c r="ITK227" s="1201"/>
      <c r="ITL227" s="1201"/>
      <c r="ITM227" s="1201"/>
      <c r="ITN227" s="1201"/>
      <c r="ITO227" s="1201"/>
      <c r="ITP227" s="1201"/>
      <c r="ITQ227" s="1201"/>
      <c r="ITR227" s="1201"/>
      <c r="ITS227" s="1201"/>
      <c r="ITT227" s="1201"/>
      <c r="ITU227" s="1201"/>
      <c r="ITV227" s="1201"/>
      <c r="ITW227" s="1201"/>
      <c r="ITX227" s="1201"/>
      <c r="ITY227" s="1201"/>
      <c r="ITZ227" s="1201"/>
      <c r="IUA227" s="1201"/>
      <c r="IUB227" s="1201"/>
      <c r="IUC227" s="1201"/>
      <c r="IUD227" s="1201"/>
      <c r="IUE227" s="1201"/>
      <c r="IUF227" s="1201"/>
      <c r="IUG227" s="1201"/>
      <c r="IUH227" s="1201"/>
      <c r="IUI227" s="1201"/>
      <c r="IUJ227" s="1201"/>
      <c r="IUK227" s="1201"/>
      <c r="IUL227" s="1201"/>
      <c r="IUM227" s="1201"/>
      <c r="IUN227" s="1201"/>
      <c r="IUO227" s="1201"/>
      <c r="IUP227" s="1201"/>
      <c r="IUQ227" s="1201"/>
      <c r="IUR227" s="1201"/>
      <c r="IUS227" s="1201"/>
      <c r="IUT227" s="1201"/>
      <c r="IUU227" s="1201"/>
      <c r="IUV227" s="1201"/>
      <c r="IUW227" s="1201"/>
      <c r="IUX227" s="1201"/>
      <c r="IUY227" s="1201"/>
      <c r="IUZ227" s="1201"/>
      <c r="IVA227" s="1201"/>
      <c r="IVB227" s="1201"/>
      <c r="IVC227" s="1201"/>
      <c r="IVD227" s="1201"/>
      <c r="IVE227" s="1201"/>
      <c r="IVF227" s="1201"/>
      <c r="IVG227" s="1201"/>
      <c r="IVH227" s="1201"/>
      <c r="IVI227" s="1201"/>
      <c r="IVJ227" s="1201"/>
      <c r="IVK227" s="1201"/>
      <c r="IVL227" s="1201"/>
      <c r="IVM227" s="1201"/>
      <c r="IVN227" s="1201"/>
      <c r="IVO227" s="1201"/>
      <c r="IVP227" s="1201"/>
      <c r="IVQ227" s="1201"/>
      <c r="IVR227" s="1201"/>
      <c r="IVS227" s="1201"/>
      <c r="IVT227" s="1201"/>
      <c r="IVU227" s="1201"/>
      <c r="IVV227" s="1201"/>
      <c r="IVW227" s="1201"/>
      <c r="IVX227" s="1201"/>
      <c r="IVY227" s="1201"/>
      <c r="IVZ227" s="1201"/>
      <c r="IWA227" s="1201"/>
      <c r="IWB227" s="1201"/>
      <c r="IWC227" s="1201"/>
      <c r="IWD227" s="1201"/>
      <c r="IWE227" s="1201"/>
      <c r="IWF227" s="1201"/>
      <c r="IWG227" s="1201"/>
      <c r="IWH227" s="1201"/>
      <c r="IWI227" s="1201"/>
      <c r="IWJ227" s="1201"/>
      <c r="IWK227" s="1201"/>
      <c r="IWL227" s="1201"/>
      <c r="IWM227" s="1201"/>
      <c r="IWN227" s="1201"/>
      <c r="IWO227" s="1201"/>
      <c r="IWP227" s="1201"/>
      <c r="IWQ227" s="1201"/>
      <c r="IWR227" s="1201"/>
      <c r="IWS227" s="1201"/>
      <c r="IWT227" s="1201"/>
      <c r="IWU227" s="1201"/>
      <c r="IWV227" s="1201"/>
      <c r="IWW227" s="1201"/>
      <c r="IWX227" s="1201"/>
      <c r="IWY227" s="1201"/>
      <c r="IWZ227" s="1201"/>
      <c r="IXA227" s="1201"/>
      <c r="IXB227" s="1201"/>
      <c r="IXC227" s="1201"/>
      <c r="IXD227" s="1201"/>
      <c r="IXE227" s="1201"/>
      <c r="IXF227" s="1201"/>
      <c r="IXG227" s="1201"/>
      <c r="IXH227" s="1201"/>
      <c r="IXI227" s="1201"/>
      <c r="IXJ227" s="1201"/>
      <c r="IXK227" s="1201"/>
      <c r="IXL227" s="1201"/>
      <c r="IXM227" s="1201"/>
      <c r="IXN227" s="1201"/>
      <c r="IXO227" s="1201"/>
      <c r="IXP227" s="1201"/>
      <c r="IXQ227" s="1201"/>
      <c r="IXR227" s="1201"/>
      <c r="IXS227" s="1201"/>
      <c r="IXT227" s="1201"/>
      <c r="IXU227" s="1201"/>
      <c r="IXV227" s="1201"/>
      <c r="IXW227" s="1201"/>
      <c r="IXX227" s="1201"/>
      <c r="IXY227" s="1201"/>
      <c r="IXZ227" s="1201"/>
      <c r="IYA227" s="1201"/>
      <c r="IYB227" s="1201"/>
      <c r="IYC227" s="1201"/>
      <c r="IYD227" s="1201"/>
      <c r="IYE227" s="1201"/>
      <c r="IYF227" s="1201"/>
      <c r="IYG227" s="1201"/>
      <c r="IYH227" s="1201"/>
      <c r="IYI227" s="1201"/>
      <c r="IYJ227" s="1201"/>
      <c r="IYK227" s="1201"/>
      <c r="IYL227" s="1201"/>
      <c r="IYM227" s="1201"/>
      <c r="IYN227" s="1201"/>
      <c r="IYO227" s="1201"/>
      <c r="IYP227" s="1201"/>
      <c r="IYQ227" s="1201"/>
      <c r="IYR227" s="1201"/>
      <c r="IYS227" s="1201"/>
      <c r="IYT227" s="1201"/>
      <c r="IYU227" s="1201"/>
      <c r="IYV227" s="1201"/>
      <c r="IYW227" s="1201"/>
      <c r="IYX227" s="1201"/>
      <c r="IYY227" s="1201"/>
      <c r="IYZ227" s="1201"/>
      <c r="IZA227" s="1201"/>
      <c r="IZB227" s="1201"/>
      <c r="IZC227" s="1201"/>
      <c r="IZD227" s="1201"/>
      <c r="IZE227" s="1201"/>
      <c r="IZF227" s="1201"/>
      <c r="IZG227" s="1201"/>
      <c r="IZH227" s="1201"/>
      <c r="IZI227" s="1201"/>
      <c r="IZJ227" s="1201"/>
      <c r="IZK227" s="1201"/>
      <c r="IZL227" s="1201"/>
      <c r="IZM227" s="1201"/>
      <c r="IZN227" s="1201"/>
      <c r="IZO227" s="1201"/>
      <c r="IZP227" s="1201"/>
      <c r="IZQ227" s="1201"/>
      <c r="IZR227" s="1201"/>
      <c r="IZS227" s="1201"/>
      <c r="IZT227" s="1201"/>
      <c r="IZU227" s="1201"/>
      <c r="IZV227" s="1201"/>
      <c r="IZW227" s="1201"/>
      <c r="IZX227" s="1201"/>
      <c r="IZY227" s="1201"/>
      <c r="IZZ227" s="1201"/>
      <c r="JAA227" s="1201"/>
      <c r="JAB227" s="1201"/>
      <c r="JAC227" s="1201"/>
      <c r="JAD227" s="1201"/>
      <c r="JAE227" s="1201"/>
      <c r="JAF227" s="1201"/>
      <c r="JAG227" s="1201"/>
      <c r="JAH227" s="1201"/>
      <c r="JAI227" s="1201"/>
      <c r="JAJ227" s="1201"/>
      <c r="JAK227" s="1201"/>
      <c r="JAL227" s="1201"/>
      <c r="JAM227" s="1201"/>
      <c r="JAN227" s="1201"/>
      <c r="JAO227" s="1201"/>
      <c r="JAP227" s="1201"/>
      <c r="JAQ227" s="1201"/>
      <c r="JAR227" s="1201"/>
      <c r="JAS227" s="1201"/>
      <c r="JAT227" s="1201"/>
      <c r="JAU227" s="1201"/>
      <c r="JAV227" s="1201"/>
      <c r="JAW227" s="1201"/>
      <c r="JAX227" s="1201"/>
      <c r="JAY227" s="1201"/>
      <c r="JAZ227" s="1201"/>
      <c r="JBA227" s="1201"/>
      <c r="JBB227" s="1201"/>
      <c r="JBC227" s="1201"/>
      <c r="JBD227" s="1201"/>
      <c r="JBE227" s="1201"/>
      <c r="JBF227" s="1201"/>
      <c r="JBG227" s="1201"/>
      <c r="JBH227" s="1201"/>
      <c r="JBI227" s="1201"/>
      <c r="JBJ227" s="1201"/>
      <c r="JBK227" s="1201"/>
      <c r="JBL227" s="1201"/>
      <c r="JBM227" s="1201"/>
      <c r="JBN227" s="1201"/>
      <c r="JBO227" s="1201"/>
      <c r="JBP227" s="1201"/>
      <c r="JBQ227" s="1201"/>
      <c r="JBR227" s="1201"/>
      <c r="JBS227" s="1201"/>
      <c r="JBT227" s="1201"/>
      <c r="JBU227" s="1201"/>
      <c r="JBV227" s="1201"/>
      <c r="JBW227" s="1201"/>
      <c r="JBX227" s="1201"/>
      <c r="JBY227" s="1201"/>
      <c r="JBZ227" s="1201"/>
      <c r="JCA227" s="1201"/>
      <c r="JCB227" s="1201"/>
      <c r="JCC227" s="1201"/>
      <c r="JCD227" s="1201"/>
      <c r="JCE227" s="1201"/>
      <c r="JCF227" s="1201"/>
      <c r="JCG227" s="1201"/>
      <c r="JCH227" s="1201"/>
      <c r="JCI227" s="1201"/>
      <c r="JCJ227" s="1201"/>
      <c r="JCK227" s="1201"/>
      <c r="JCL227" s="1201"/>
      <c r="JCM227" s="1201"/>
      <c r="JCN227" s="1201"/>
      <c r="JCO227" s="1201"/>
      <c r="JCP227" s="1201"/>
      <c r="JCQ227" s="1201"/>
      <c r="JCR227" s="1201"/>
      <c r="JCS227" s="1201"/>
      <c r="JCT227" s="1201"/>
      <c r="JCU227" s="1201"/>
      <c r="JCV227" s="1201"/>
      <c r="JCW227" s="1201"/>
      <c r="JCX227" s="1201"/>
      <c r="JCY227" s="1201"/>
      <c r="JCZ227" s="1201"/>
      <c r="JDA227" s="1201"/>
      <c r="JDB227" s="1201"/>
      <c r="JDC227" s="1201"/>
      <c r="JDD227" s="1201"/>
      <c r="JDE227" s="1201"/>
      <c r="JDF227" s="1201"/>
      <c r="JDG227" s="1201"/>
      <c r="JDH227" s="1201"/>
      <c r="JDI227" s="1201"/>
      <c r="JDJ227" s="1201"/>
      <c r="JDK227" s="1201"/>
      <c r="JDL227" s="1201"/>
      <c r="JDM227" s="1201"/>
      <c r="JDN227" s="1201"/>
      <c r="JDO227" s="1201"/>
      <c r="JDP227" s="1201"/>
      <c r="JDQ227" s="1201"/>
      <c r="JDR227" s="1201"/>
      <c r="JDS227" s="1201"/>
      <c r="JDT227" s="1201"/>
      <c r="JDU227" s="1201"/>
      <c r="JDV227" s="1201"/>
      <c r="JDW227" s="1201"/>
      <c r="JDX227" s="1201"/>
      <c r="JDY227" s="1201"/>
      <c r="JDZ227" s="1201"/>
      <c r="JEA227" s="1201"/>
      <c r="JEB227" s="1201"/>
      <c r="JEC227" s="1201"/>
      <c r="JED227" s="1201"/>
      <c r="JEE227" s="1201"/>
      <c r="JEF227" s="1201"/>
      <c r="JEG227" s="1201"/>
      <c r="JEH227" s="1201"/>
      <c r="JEI227" s="1201"/>
      <c r="JEJ227" s="1201"/>
      <c r="JEK227" s="1201"/>
      <c r="JEL227" s="1201"/>
      <c r="JEM227" s="1201"/>
      <c r="JEN227" s="1201"/>
      <c r="JEO227" s="1201"/>
      <c r="JEP227" s="1201"/>
      <c r="JEQ227" s="1201"/>
      <c r="JER227" s="1201"/>
      <c r="JES227" s="1201"/>
      <c r="JET227" s="1201"/>
      <c r="JEU227" s="1201"/>
      <c r="JEV227" s="1201"/>
      <c r="JEW227" s="1201"/>
      <c r="JEX227" s="1201"/>
      <c r="JEY227" s="1201"/>
      <c r="JEZ227" s="1201"/>
      <c r="JFA227" s="1201"/>
      <c r="JFB227" s="1201"/>
      <c r="JFC227" s="1201"/>
      <c r="JFD227" s="1201"/>
      <c r="JFE227" s="1201"/>
      <c r="JFF227" s="1201"/>
      <c r="JFG227" s="1201"/>
      <c r="JFH227" s="1201"/>
      <c r="JFI227" s="1201"/>
      <c r="JFJ227" s="1201"/>
      <c r="JFK227" s="1201"/>
      <c r="JFL227" s="1201"/>
      <c r="JFM227" s="1201"/>
      <c r="JFN227" s="1201"/>
      <c r="JFO227" s="1201"/>
      <c r="JFP227" s="1201"/>
      <c r="JFQ227" s="1201"/>
      <c r="JFR227" s="1201"/>
      <c r="JFS227" s="1201"/>
      <c r="JFT227" s="1201"/>
      <c r="JFU227" s="1201"/>
      <c r="JFV227" s="1201"/>
      <c r="JFW227" s="1201"/>
      <c r="JFX227" s="1201"/>
      <c r="JFY227" s="1201"/>
      <c r="JFZ227" s="1201"/>
      <c r="JGA227" s="1201"/>
      <c r="JGB227" s="1201"/>
      <c r="JGC227" s="1201"/>
      <c r="JGD227" s="1201"/>
      <c r="JGE227" s="1201"/>
      <c r="JGF227" s="1201"/>
      <c r="JGG227" s="1201"/>
      <c r="JGH227" s="1201"/>
      <c r="JGI227" s="1201"/>
      <c r="JGJ227" s="1201"/>
      <c r="JGK227" s="1201"/>
      <c r="JGL227" s="1201"/>
      <c r="JGM227" s="1201"/>
      <c r="JGN227" s="1201"/>
      <c r="JGO227" s="1201"/>
      <c r="JGP227" s="1201"/>
      <c r="JGQ227" s="1201"/>
      <c r="JGR227" s="1201"/>
      <c r="JGS227" s="1201"/>
      <c r="JGT227" s="1201"/>
      <c r="JGU227" s="1201"/>
      <c r="JGV227" s="1201"/>
      <c r="JGW227" s="1201"/>
      <c r="JGX227" s="1201"/>
      <c r="JGY227" s="1201"/>
      <c r="JGZ227" s="1201"/>
      <c r="JHA227" s="1201"/>
      <c r="JHB227" s="1201"/>
      <c r="JHC227" s="1201"/>
      <c r="JHD227" s="1201"/>
      <c r="JHE227" s="1201"/>
      <c r="JHF227" s="1201"/>
      <c r="JHG227" s="1201"/>
      <c r="JHH227" s="1201"/>
      <c r="JHI227" s="1201"/>
      <c r="JHJ227" s="1201"/>
      <c r="JHK227" s="1201"/>
      <c r="JHL227" s="1201"/>
      <c r="JHM227" s="1201"/>
      <c r="JHN227" s="1201"/>
      <c r="JHO227" s="1201"/>
      <c r="JHP227" s="1201"/>
      <c r="JHQ227" s="1201"/>
      <c r="JHR227" s="1201"/>
      <c r="JHS227" s="1201"/>
      <c r="JHT227" s="1201"/>
      <c r="JHU227" s="1201"/>
      <c r="JHV227" s="1201"/>
      <c r="JHW227" s="1201"/>
      <c r="JHX227" s="1201"/>
      <c r="JHY227" s="1201"/>
      <c r="JHZ227" s="1201"/>
      <c r="JIA227" s="1201"/>
      <c r="JIB227" s="1201"/>
      <c r="JIC227" s="1201"/>
      <c r="JID227" s="1201"/>
      <c r="JIE227" s="1201"/>
      <c r="JIF227" s="1201"/>
      <c r="JIG227" s="1201"/>
      <c r="JIH227" s="1201"/>
      <c r="JII227" s="1201"/>
      <c r="JIJ227" s="1201"/>
      <c r="JIK227" s="1201"/>
      <c r="JIL227" s="1201"/>
      <c r="JIM227" s="1201"/>
      <c r="JIN227" s="1201"/>
      <c r="JIO227" s="1201"/>
      <c r="JIP227" s="1201"/>
      <c r="JIQ227" s="1201"/>
      <c r="JIR227" s="1201"/>
      <c r="JIS227" s="1201"/>
      <c r="JIT227" s="1201"/>
      <c r="JIU227" s="1201"/>
      <c r="JIV227" s="1201"/>
      <c r="JIW227" s="1201"/>
      <c r="JIX227" s="1201"/>
      <c r="JIY227" s="1201"/>
      <c r="JIZ227" s="1201"/>
      <c r="JJA227" s="1201"/>
      <c r="JJB227" s="1201"/>
      <c r="JJC227" s="1201"/>
      <c r="JJD227" s="1201"/>
      <c r="JJE227" s="1201"/>
      <c r="JJF227" s="1201"/>
      <c r="JJG227" s="1201"/>
      <c r="JJH227" s="1201"/>
      <c r="JJI227" s="1201"/>
      <c r="JJJ227" s="1201"/>
      <c r="JJK227" s="1201"/>
      <c r="JJL227" s="1201"/>
      <c r="JJM227" s="1201"/>
      <c r="JJN227" s="1201"/>
      <c r="JJO227" s="1201"/>
      <c r="JJP227" s="1201"/>
      <c r="JJQ227" s="1201"/>
      <c r="JJR227" s="1201"/>
      <c r="JJS227" s="1201"/>
      <c r="JJT227" s="1201"/>
      <c r="JJU227" s="1201"/>
      <c r="JJV227" s="1201"/>
      <c r="JJW227" s="1201"/>
      <c r="JJX227" s="1201"/>
      <c r="JJY227" s="1201"/>
      <c r="JJZ227" s="1201"/>
      <c r="JKA227" s="1201"/>
      <c r="JKB227" s="1201"/>
      <c r="JKC227" s="1201"/>
      <c r="JKD227" s="1201"/>
      <c r="JKE227" s="1201"/>
      <c r="JKF227" s="1201"/>
      <c r="JKG227" s="1201"/>
      <c r="JKH227" s="1201"/>
      <c r="JKI227" s="1201"/>
      <c r="JKJ227" s="1201"/>
      <c r="JKK227" s="1201"/>
      <c r="JKL227" s="1201"/>
      <c r="JKM227" s="1201"/>
      <c r="JKN227" s="1201"/>
      <c r="JKO227" s="1201"/>
      <c r="JKP227" s="1201"/>
      <c r="JKQ227" s="1201"/>
      <c r="JKR227" s="1201"/>
      <c r="JKS227" s="1201"/>
      <c r="JKT227" s="1201"/>
      <c r="JKU227" s="1201"/>
      <c r="JKV227" s="1201"/>
      <c r="JKW227" s="1201"/>
      <c r="JKX227" s="1201"/>
      <c r="JKY227" s="1201"/>
      <c r="JKZ227" s="1201"/>
      <c r="JLA227" s="1201"/>
      <c r="JLB227" s="1201"/>
      <c r="JLC227" s="1201"/>
      <c r="JLD227" s="1201"/>
      <c r="JLE227" s="1201"/>
      <c r="JLF227" s="1201"/>
      <c r="JLG227" s="1201"/>
      <c r="JLH227" s="1201"/>
      <c r="JLI227" s="1201"/>
      <c r="JLJ227" s="1201"/>
      <c r="JLK227" s="1201"/>
      <c r="JLL227" s="1201"/>
      <c r="JLM227" s="1201"/>
      <c r="JLN227" s="1201"/>
      <c r="JLO227" s="1201"/>
      <c r="JLP227" s="1201"/>
      <c r="JLQ227" s="1201"/>
      <c r="JLR227" s="1201"/>
      <c r="JLS227" s="1201"/>
      <c r="JLT227" s="1201"/>
      <c r="JLU227" s="1201"/>
      <c r="JLV227" s="1201"/>
      <c r="JLW227" s="1201"/>
      <c r="JLX227" s="1201"/>
      <c r="JLY227" s="1201"/>
      <c r="JLZ227" s="1201"/>
      <c r="JMA227" s="1201"/>
      <c r="JMB227" s="1201"/>
      <c r="JMC227" s="1201"/>
      <c r="JMD227" s="1201"/>
      <c r="JME227" s="1201"/>
      <c r="JMF227" s="1201"/>
      <c r="JMG227" s="1201"/>
      <c r="JMH227" s="1201"/>
      <c r="JMI227" s="1201"/>
      <c r="JMJ227" s="1201"/>
      <c r="JMK227" s="1201"/>
      <c r="JML227" s="1201"/>
      <c r="JMM227" s="1201"/>
      <c r="JMN227" s="1201"/>
      <c r="JMO227" s="1201"/>
      <c r="JMP227" s="1201"/>
      <c r="JMQ227" s="1201"/>
      <c r="JMR227" s="1201"/>
      <c r="JMS227" s="1201"/>
      <c r="JMT227" s="1201"/>
      <c r="JMU227" s="1201"/>
      <c r="JMV227" s="1201"/>
      <c r="JMW227" s="1201"/>
      <c r="JMX227" s="1201"/>
      <c r="JMY227" s="1201"/>
      <c r="JMZ227" s="1201"/>
      <c r="JNA227" s="1201"/>
      <c r="JNB227" s="1201"/>
      <c r="JNC227" s="1201"/>
      <c r="JND227" s="1201"/>
      <c r="JNE227" s="1201"/>
      <c r="JNF227" s="1201"/>
      <c r="JNG227" s="1201"/>
      <c r="JNH227" s="1201"/>
      <c r="JNI227" s="1201"/>
      <c r="JNJ227" s="1201"/>
      <c r="JNK227" s="1201"/>
      <c r="JNL227" s="1201"/>
      <c r="JNM227" s="1201"/>
      <c r="JNN227" s="1201"/>
      <c r="JNO227" s="1201"/>
      <c r="JNP227" s="1201"/>
      <c r="JNQ227" s="1201"/>
      <c r="JNR227" s="1201"/>
      <c r="JNS227" s="1201"/>
      <c r="JNT227" s="1201"/>
      <c r="JNU227" s="1201"/>
      <c r="JNV227" s="1201"/>
      <c r="JNW227" s="1201"/>
      <c r="JNX227" s="1201"/>
      <c r="JNY227" s="1201"/>
      <c r="JNZ227" s="1201"/>
      <c r="JOA227" s="1201"/>
      <c r="JOB227" s="1201"/>
      <c r="JOC227" s="1201"/>
      <c r="JOD227" s="1201"/>
      <c r="JOE227" s="1201"/>
      <c r="JOF227" s="1201"/>
      <c r="JOG227" s="1201"/>
      <c r="JOH227" s="1201"/>
      <c r="JOI227" s="1201"/>
      <c r="JOJ227" s="1201"/>
      <c r="JOK227" s="1201"/>
      <c r="JOL227" s="1201"/>
      <c r="JOM227" s="1201"/>
      <c r="JON227" s="1201"/>
      <c r="JOO227" s="1201"/>
      <c r="JOP227" s="1201"/>
      <c r="JOQ227" s="1201"/>
      <c r="JOR227" s="1201"/>
      <c r="JOS227" s="1201"/>
      <c r="JOT227" s="1201"/>
      <c r="JOU227" s="1201"/>
      <c r="JOV227" s="1201"/>
      <c r="JOW227" s="1201"/>
      <c r="JOX227" s="1201"/>
      <c r="JOY227" s="1201"/>
      <c r="JOZ227" s="1201"/>
      <c r="JPA227" s="1201"/>
      <c r="JPB227" s="1201"/>
      <c r="JPC227" s="1201"/>
      <c r="JPD227" s="1201"/>
      <c r="JPE227" s="1201"/>
      <c r="JPF227" s="1201"/>
      <c r="JPG227" s="1201"/>
      <c r="JPH227" s="1201"/>
      <c r="JPI227" s="1201"/>
      <c r="JPJ227" s="1201"/>
      <c r="JPK227" s="1201"/>
      <c r="JPL227" s="1201"/>
      <c r="JPM227" s="1201"/>
      <c r="JPN227" s="1201"/>
      <c r="JPO227" s="1201"/>
      <c r="JPP227" s="1201"/>
      <c r="JPQ227" s="1201"/>
      <c r="JPR227" s="1201"/>
      <c r="JPS227" s="1201"/>
      <c r="JPT227" s="1201"/>
      <c r="JPU227" s="1201"/>
      <c r="JPV227" s="1201"/>
      <c r="JPW227" s="1201"/>
      <c r="JPX227" s="1201"/>
      <c r="JPY227" s="1201"/>
      <c r="JPZ227" s="1201"/>
      <c r="JQA227" s="1201"/>
      <c r="JQB227" s="1201"/>
      <c r="JQC227" s="1201"/>
      <c r="JQD227" s="1201"/>
      <c r="JQE227" s="1201"/>
      <c r="JQF227" s="1201"/>
      <c r="JQG227" s="1201"/>
      <c r="JQH227" s="1201"/>
      <c r="JQI227" s="1201"/>
      <c r="JQJ227" s="1201"/>
      <c r="JQK227" s="1201"/>
      <c r="JQL227" s="1201"/>
      <c r="JQM227" s="1201"/>
      <c r="JQN227" s="1201"/>
      <c r="JQO227" s="1201"/>
      <c r="JQP227" s="1201"/>
      <c r="JQQ227" s="1201"/>
      <c r="JQR227" s="1201"/>
      <c r="JQS227" s="1201"/>
      <c r="JQT227" s="1201"/>
      <c r="JQU227" s="1201"/>
      <c r="JQV227" s="1201"/>
      <c r="JQW227" s="1201"/>
      <c r="JQX227" s="1201"/>
      <c r="JQY227" s="1201"/>
      <c r="JQZ227" s="1201"/>
      <c r="JRA227" s="1201"/>
      <c r="JRB227" s="1201"/>
      <c r="JRC227" s="1201"/>
      <c r="JRD227" s="1201"/>
      <c r="JRE227" s="1201"/>
      <c r="JRF227" s="1201"/>
      <c r="JRG227" s="1201"/>
      <c r="JRH227" s="1201"/>
      <c r="JRI227" s="1201"/>
      <c r="JRJ227" s="1201"/>
      <c r="JRK227" s="1201"/>
      <c r="JRL227" s="1201"/>
      <c r="JRM227" s="1201"/>
      <c r="JRN227" s="1201"/>
      <c r="JRO227" s="1201"/>
      <c r="JRP227" s="1201"/>
      <c r="JRQ227" s="1201"/>
      <c r="JRR227" s="1201"/>
      <c r="JRS227" s="1201"/>
      <c r="JRT227" s="1201"/>
      <c r="JRU227" s="1201"/>
      <c r="JRV227" s="1201"/>
      <c r="JRW227" s="1201"/>
      <c r="JRX227" s="1201"/>
      <c r="JRY227" s="1201"/>
      <c r="JRZ227" s="1201"/>
      <c r="JSA227" s="1201"/>
      <c r="JSB227" s="1201"/>
      <c r="JSC227" s="1201"/>
      <c r="JSD227" s="1201"/>
      <c r="JSE227" s="1201"/>
      <c r="JSF227" s="1201"/>
      <c r="JSG227" s="1201"/>
      <c r="JSH227" s="1201"/>
      <c r="JSI227" s="1201"/>
      <c r="JSJ227" s="1201"/>
      <c r="JSK227" s="1201"/>
      <c r="JSL227" s="1201"/>
      <c r="JSM227" s="1201"/>
      <c r="JSN227" s="1201"/>
      <c r="JSO227" s="1201"/>
      <c r="JSP227" s="1201"/>
      <c r="JSQ227" s="1201"/>
      <c r="JSR227" s="1201"/>
      <c r="JSS227" s="1201"/>
      <c r="JST227" s="1201"/>
      <c r="JSU227" s="1201"/>
      <c r="JSV227" s="1201"/>
      <c r="JSW227" s="1201"/>
      <c r="JSX227" s="1201"/>
      <c r="JSY227" s="1201"/>
      <c r="JSZ227" s="1201"/>
      <c r="JTA227" s="1201"/>
      <c r="JTB227" s="1201"/>
      <c r="JTC227" s="1201"/>
      <c r="JTD227" s="1201"/>
      <c r="JTE227" s="1201"/>
      <c r="JTF227" s="1201"/>
      <c r="JTG227" s="1201"/>
      <c r="JTH227" s="1201"/>
      <c r="JTI227" s="1201"/>
      <c r="JTJ227" s="1201"/>
      <c r="JTK227" s="1201"/>
      <c r="JTL227" s="1201"/>
      <c r="JTM227" s="1201"/>
      <c r="JTN227" s="1201"/>
      <c r="JTO227" s="1201"/>
      <c r="JTP227" s="1201"/>
      <c r="JTQ227" s="1201"/>
      <c r="JTR227" s="1201"/>
      <c r="JTS227" s="1201"/>
      <c r="JTT227" s="1201"/>
      <c r="JTU227" s="1201"/>
      <c r="JTV227" s="1201"/>
      <c r="JTW227" s="1201"/>
      <c r="JTX227" s="1201"/>
      <c r="JTY227" s="1201"/>
      <c r="JTZ227" s="1201"/>
      <c r="JUA227" s="1201"/>
      <c r="JUB227" s="1201"/>
      <c r="JUC227" s="1201"/>
      <c r="JUD227" s="1201"/>
      <c r="JUE227" s="1201"/>
      <c r="JUF227" s="1201"/>
      <c r="JUG227" s="1201"/>
      <c r="JUH227" s="1201"/>
      <c r="JUI227" s="1201"/>
      <c r="JUJ227" s="1201"/>
      <c r="JUK227" s="1201"/>
      <c r="JUL227" s="1201"/>
      <c r="JUM227" s="1201"/>
      <c r="JUN227" s="1201"/>
      <c r="JUO227" s="1201"/>
      <c r="JUP227" s="1201"/>
      <c r="JUQ227" s="1201"/>
      <c r="JUR227" s="1201"/>
      <c r="JUS227" s="1201"/>
      <c r="JUT227" s="1201"/>
      <c r="JUU227" s="1201"/>
      <c r="JUV227" s="1201"/>
      <c r="JUW227" s="1201"/>
      <c r="JUX227" s="1201"/>
      <c r="JUY227" s="1201"/>
      <c r="JUZ227" s="1201"/>
      <c r="JVA227" s="1201"/>
      <c r="JVB227" s="1201"/>
      <c r="JVC227" s="1201"/>
      <c r="JVD227" s="1201"/>
      <c r="JVE227" s="1201"/>
      <c r="JVF227" s="1201"/>
      <c r="JVG227" s="1201"/>
      <c r="JVH227" s="1201"/>
      <c r="JVI227" s="1201"/>
      <c r="JVJ227" s="1201"/>
      <c r="JVK227" s="1201"/>
      <c r="JVL227" s="1201"/>
      <c r="JVM227" s="1201"/>
      <c r="JVN227" s="1201"/>
      <c r="JVO227" s="1201"/>
      <c r="JVP227" s="1201"/>
      <c r="JVQ227" s="1201"/>
      <c r="JVR227" s="1201"/>
      <c r="JVS227" s="1201"/>
      <c r="JVT227" s="1201"/>
      <c r="JVU227" s="1201"/>
      <c r="JVV227" s="1201"/>
      <c r="JVW227" s="1201"/>
      <c r="JVX227" s="1201"/>
      <c r="JVY227" s="1201"/>
      <c r="JVZ227" s="1201"/>
      <c r="JWA227" s="1201"/>
      <c r="JWB227" s="1201"/>
      <c r="JWC227" s="1201"/>
      <c r="JWD227" s="1201"/>
      <c r="JWE227" s="1201"/>
      <c r="JWF227" s="1201"/>
      <c r="JWG227" s="1201"/>
      <c r="JWH227" s="1201"/>
      <c r="JWI227" s="1201"/>
      <c r="JWJ227" s="1201"/>
      <c r="JWK227" s="1201"/>
      <c r="JWL227" s="1201"/>
      <c r="JWM227" s="1201"/>
      <c r="JWN227" s="1201"/>
      <c r="JWO227" s="1201"/>
      <c r="JWP227" s="1201"/>
      <c r="JWQ227" s="1201"/>
      <c r="JWR227" s="1201"/>
      <c r="JWS227" s="1201"/>
      <c r="JWT227" s="1201"/>
      <c r="JWU227" s="1201"/>
      <c r="JWV227" s="1201"/>
      <c r="JWW227" s="1201"/>
      <c r="JWX227" s="1201"/>
      <c r="JWY227" s="1201"/>
      <c r="JWZ227" s="1201"/>
      <c r="JXA227" s="1201"/>
      <c r="JXB227" s="1201"/>
      <c r="JXC227" s="1201"/>
      <c r="JXD227" s="1201"/>
      <c r="JXE227" s="1201"/>
      <c r="JXF227" s="1201"/>
      <c r="JXG227" s="1201"/>
      <c r="JXH227" s="1201"/>
      <c r="JXI227" s="1201"/>
      <c r="JXJ227" s="1201"/>
      <c r="JXK227" s="1201"/>
      <c r="JXL227" s="1201"/>
      <c r="JXM227" s="1201"/>
      <c r="JXN227" s="1201"/>
      <c r="JXO227" s="1201"/>
      <c r="JXP227" s="1201"/>
      <c r="JXQ227" s="1201"/>
      <c r="JXR227" s="1201"/>
      <c r="JXS227" s="1201"/>
      <c r="JXT227" s="1201"/>
      <c r="JXU227" s="1201"/>
      <c r="JXV227" s="1201"/>
      <c r="JXW227" s="1201"/>
      <c r="JXX227" s="1201"/>
      <c r="JXY227" s="1201"/>
      <c r="JXZ227" s="1201"/>
      <c r="JYA227" s="1201"/>
      <c r="JYB227" s="1201"/>
      <c r="JYC227" s="1201"/>
      <c r="JYD227" s="1201"/>
      <c r="JYE227" s="1201"/>
      <c r="JYF227" s="1201"/>
      <c r="JYG227" s="1201"/>
      <c r="JYH227" s="1201"/>
      <c r="JYI227" s="1201"/>
      <c r="JYJ227" s="1201"/>
      <c r="JYK227" s="1201"/>
      <c r="JYL227" s="1201"/>
      <c r="JYM227" s="1201"/>
      <c r="JYN227" s="1201"/>
      <c r="JYO227" s="1201"/>
      <c r="JYP227" s="1201"/>
      <c r="JYQ227" s="1201"/>
      <c r="JYR227" s="1201"/>
      <c r="JYS227" s="1201"/>
      <c r="JYT227" s="1201"/>
      <c r="JYU227" s="1201"/>
      <c r="JYV227" s="1201"/>
      <c r="JYW227" s="1201"/>
      <c r="JYX227" s="1201"/>
      <c r="JYY227" s="1201"/>
      <c r="JYZ227" s="1201"/>
      <c r="JZA227" s="1201"/>
      <c r="JZB227" s="1201"/>
      <c r="JZC227" s="1201"/>
      <c r="JZD227" s="1201"/>
      <c r="JZE227" s="1201"/>
      <c r="JZF227" s="1201"/>
      <c r="JZG227" s="1201"/>
      <c r="JZH227" s="1201"/>
      <c r="JZI227" s="1201"/>
      <c r="JZJ227" s="1201"/>
      <c r="JZK227" s="1201"/>
      <c r="JZL227" s="1201"/>
      <c r="JZM227" s="1201"/>
      <c r="JZN227" s="1201"/>
      <c r="JZO227" s="1201"/>
      <c r="JZP227" s="1201"/>
      <c r="JZQ227" s="1201"/>
      <c r="JZR227" s="1201"/>
      <c r="JZS227" s="1201"/>
      <c r="JZT227" s="1201"/>
      <c r="JZU227" s="1201"/>
      <c r="JZV227" s="1201"/>
      <c r="JZW227" s="1201"/>
      <c r="JZX227" s="1201"/>
      <c r="JZY227" s="1201"/>
      <c r="JZZ227" s="1201"/>
      <c r="KAA227" s="1201"/>
      <c r="KAB227" s="1201"/>
      <c r="KAC227" s="1201"/>
      <c r="KAD227" s="1201"/>
      <c r="KAE227" s="1201"/>
      <c r="KAF227" s="1201"/>
      <c r="KAG227" s="1201"/>
      <c r="KAH227" s="1201"/>
      <c r="KAI227" s="1201"/>
      <c r="KAJ227" s="1201"/>
      <c r="KAK227" s="1201"/>
      <c r="KAL227" s="1201"/>
      <c r="KAM227" s="1201"/>
      <c r="KAN227" s="1201"/>
      <c r="KAO227" s="1201"/>
      <c r="KAP227" s="1201"/>
      <c r="KAQ227" s="1201"/>
      <c r="KAR227" s="1201"/>
      <c r="KAS227" s="1201"/>
      <c r="KAT227" s="1201"/>
      <c r="KAU227" s="1201"/>
      <c r="KAV227" s="1201"/>
      <c r="KAW227" s="1201"/>
      <c r="KAX227" s="1201"/>
      <c r="KAY227" s="1201"/>
      <c r="KAZ227" s="1201"/>
      <c r="KBA227" s="1201"/>
      <c r="KBB227" s="1201"/>
      <c r="KBC227" s="1201"/>
      <c r="KBD227" s="1201"/>
      <c r="KBE227" s="1201"/>
      <c r="KBF227" s="1201"/>
      <c r="KBG227" s="1201"/>
      <c r="KBH227" s="1201"/>
      <c r="KBI227" s="1201"/>
      <c r="KBJ227" s="1201"/>
      <c r="KBK227" s="1201"/>
      <c r="KBL227" s="1201"/>
      <c r="KBM227" s="1201"/>
      <c r="KBN227" s="1201"/>
      <c r="KBO227" s="1201"/>
      <c r="KBP227" s="1201"/>
      <c r="KBQ227" s="1201"/>
      <c r="KBR227" s="1201"/>
      <c r="KBS227" s="1201"/>
      <c r="KBT227" s="1201"/>
      <c r="KBU227" s="1201"/>
      <c r="KBV227" s="1201"/>
      <c r="KBW227" s="1201"/>
      <c r="KBX227" s="1201"/>
      <c r="KBY227" s="1201"/>
      <c r="KBZ227" s="1201"/>
      <c r="KCA227" s="1201"/>
      <c r="KCB227" s="1201"/>
      <c r="KCC227" s="1201"/>
      <c r="KCD227" s="1201"/>
      <c r="KCE227" s="1201"/>
      <c r="KCF227" s="1201"/>
      <c r="KCG227" s="1201"/>
      <c r="KCH227" s="1201"/>
      <c r="KCI227" s="1201"/>
      <c r="KCJ227" s="1201"/>
      <c r="KCK227" s="1201"/>
      <c r="KCL227" s="1201"/>
      <c r="KCM227" s="1201"/>
      <c r="KCN227" s="1201"/>
      <c r="KCO227" s="1201"/>
      <c r="KCP227" s="1201"/>
      <c r="KCQ227" s="1201"/>
      <c r="KCR227" s="1201"/>
      <c r="KCS227" s="1201"/>
      <c r="KCT227" s="1201"/>
      <c r="KCU227" s="1201"/>
      <c r="KCV227" s="1201"/>
      <c r="KCW227" s="1201"/>
      <c r="KCX227" s="1201"/>
      <c r="KCY227" s="1201"/>
      <c r="KCZ227" s="1201"/>
      <c r="KDA227" s="1201"/>
      <c r="KDB227" s="1201"/>
      <c r="KDC227" s="1201"/>
      <c r="KDD227" s="1201"/>
      <c r="KDE227" s="1201"/>
      <c r="KDF227" s="1201"/>
      <c r="KDG227" s="1201"/>
      <c r="KDH227" s="1201"/>
      <c r="KDI227" s="1201"/>
      <c r="KDJ227" s="1201"/>
      <c r="KDK227" s="1201"/>
      <c r="KDL227" s="1201"/>
      <c r="KDM227" s="1201"/>
      <c r="KDN227" s="1201"/>
      <c r="KDO227" s="1201"/>
      <c r="KDP227" s="1201"/>
      <c r="KDQ227" s="1201"/>
      <c r="KDR227" s="1201"/>
      <c r="KDS227" s="1201"/>
      <c r="KDT227" s="1201"/>
      <c r="KDU227" s="1201"/>
      <c r="KDV227" s="1201"/>
      <c r="KDW227" s="1201"/>
      <c r="KDX227" s="1201"/>
      <c r="KDY227" s="1201"/>
      <c r="KDZ227" s="1201"/>
      <c r="KEA227" s="1201"/>
      <c r="KEB227" s="1201"/>
      <c r="KEC227" s="1201"/>
      <c r="KED227" s="1201"/>
      <c r="KEE227" s="1201"/>
      <c r="KEF227" s="1201"/>
      <c r="KEG227" s="1201"/>
      <c r="KEH227" s="1201"/>
      <c r="KEI227" s="1201"/>
      <c r="KEJ227" s="1201"/>
      <c r="KEK227" s="1201"/>
      <c r="KEL227" s="1201"/>
      <c r="KEM227" s="1201"/>
      <c r="KEN227" s="1201"/>
      <c r="KEO227" s="1201"/>
      <c r="KEP227" s="1201"/>
      <c r="KEQ227" s="1201"/>
      <c r="KER227" s="1201"/>
      <c r="KES227" s="1201"/>
      <c r="KET227" s="1201"/>
      <c r="KEU227" s="1201"/>
      <c r="KEV227" s="1201"/>
      <c r="KEW227" s="1201"/>
      <c r="KEX227" s="1201"/>
      <c r="KEY227" s="1201"/>
      <c r="KEZ227" s="1201"/>
      <c r="KFA227" s="1201"/>
      <c r="KFB227" s="1201"/>
      <c r="KFC227" s="1201"/>
      <c r="KFD227" s="1201"/>
      <c r="KFE227" s="1201"/>
      <c r="KFF227" s="1201"/>
      <c r="KFG227" s="1201"/>
      <c r="KFH227" s="1201"/>
      <c r="KFI227" s="1201"/>
      <c r="KFJ227" s="1201"/>
      <c r="KFK227" s="1201"/>
      <c r="KFL227" s="1201"/>
      <c r="KFM227" s="1201"/>
      <c r="KFN227" s="1201"/>
      <c r="KFO227" s="1201"/>
      <c r="KFP227" s="1201"/>
      <c r="KFQ227" s="1201"/>
      <c r="KFR227" s="1201"/>
      <c r="KFS227" s="1201"/>
      <c r="KFT227" s="1201"/>
      <c r="KFU227" s="1201"/>
      <c r="KFV227" s="1201"/>
      <c r="KFW227" s="1201"/>
      <c r="KFX227" s="1201"/>
      <c r="KFY227" s="1201"/>
      <c r="KFZ227" s="1201"/>
      <c r="KGA227" s="1201"/>
      <c r="KGB227" s="1201"/>
      <c r="KGC227" s="1201"/>
      <c r="KGD227" s="1201"/>
      <c r="KGE227" s="1201"/>
      <c r="KGF227" s="1201"/>
      <c r="KGG227" s="1201"/>
      <c r="KGH227" s="1201"/>
      <c r="KGI227" s="1201"/>
      <c r="KGJ227" s="1201"/>
      <c r="KGK227" s="1201"/>
      <c r="KGL227" s="1201"/>
      <c r="KGM227" s="1201"/>
      <c r="KGN227" s="1201"/>
      <c r="KGO227" s="1201"/>
      <c r="KGP227" s="1201"/>
      <c r="KGQ227" s="1201"/>
      <c r="KGR227" s="1201"/>
      <c r="KGS227" s="1201"/>
      <c r="KGT227" s="1201"/>
      <c r="KGU227" s="1201"/>
      <c r="KGV227" s="1201"/>
      <c r="KGW227" s="1201"/>
      <c r="KGX227" s="1201"/>
      <c r="KGY227" s="1201"/>
      <c r="KGZ227" s="1201"/>
      <c r="KHA227" s="1201"/>
      <c r="KHB227" s="1201"/>
      <c r="KHC227" s="1201"/>
      <c r="KHD227" s="1201"/>
      <c r="KHE227" s="1201"/>
      <c r="KHF227" s="1201"/>
      <c r="KHG227" s="1201"/>
      <c r="KHH227" s="1201"/>
      <c r="KHI227" s="1201"/>
      <c r="KHJ227" s="1201"/>
      <c r="KHK227" s="1201"/>
      <c r="KHL227" s="1201"/>
      <c r="KHM227" s="1201"/>
      <c r="KHN227" s="1201"/>
      <c r="KHO227" s="1201"/>
      <c r="KHP227" s="1201"/>
      <c r="KHQ227" s="1201"/>
      <c r="KHR227" s="1201"/>
      <c r="KHS227" s="1201"/>
      <c r="KHT227" s="1201"/>
      <c r="KHU227" s="1201"/>
      <c r="KHV227" s="1201"/>
      <c r="KHW227" s="1201"/>
      <c r="KHX227" s="1201"/>
      <c r="KHY227" s="1201"/>
      <c r="KHZ227" s="1201"/>
      <c r="KIA227" s="1201"/>
      <c r="KIB227" s="1201"/>
      <c r="KIC227" s="1201"/>
      <c r="KID227" s="1201"/>
      <c r="KIE227" s="1201"/>
      <c r="KIF227" s="1201"/>
      <c r="KIG227" s="1201"/>
      <c r="KIH227" s="1201"/>
      <c r="KII227" s="1201"/>
      <c r="KIJ227" s="1201"/>
      <c r="KIK227" s="1201"/>
      <c r="KIL227" s="1201"/>
      <c r="KIM227" s="1201"/>
      <c r="KIN227" s="1201"/>
      <c r="KIO227" s="1201"/>
      <c r="KIP227" s="1201"/>
      <c r="KIQ227" s="1201"/>
      <c r="KIR227" s="1201"/>
      <c r="KIS227" s="1201"/>
      <c r="KIT227" s="1201"/>
      <c r="KIU227" s="1201"/>
      <c r="KIV227" s="1201"/>
      <c r="KIW227" s="1201"/>
      <c r="KIX227" s="1201"/>
      <c r="KIY227" s="1201"/>
      <c r="KIZ227" s="1201"/>
      <c r="KJA227" s="1201"/>
      <c r="KJB227" s="1201"/>
      <c r="KJC227" s="1201"/>
      <c r="KJD227" s="1201"/>
      <c r="KJE227" s="1201"/>
      <c r="KJF227" s="1201"/>
      <c r="KJG227" s="1201"/>
      <c r="KJH227" s="1201"/>
      <c r="KJI227" s="1201"/>
      <c r="KJJ227" s="1201"/>
      <c r="KJK227" s="1201"/>
      <c r="KJL227" s="1201"/>
      <c r="KJM227" s="1201"/>
      <c r="KJN227" s="1201"/>
      <c r="KJO227" s="1201"/>
      <c r="KJP227" s="1201"/>
      <c r="KJQ227" s="1201"/>
      <c r="KJR227" s="1201"/>
      <c r="KJS227" s="1201"/>
      <c r="KJT227" s="1201"/>
      <c r="KJU227" s="1201"/>
      <c r="KJV227" s="1201"/>
      <c r="KJW227" s="1201"/>
      <c r="KJX227" s="1201"/>
      <c r="KJY227" s="1201"/>
      <c r="KJZ227" s="1201"/>
      <c r="KKA227" s="1201"/>
      <c r="KKB227" s="1201"/>
      <c r="KKC227" s="1201"/>
      <c r="KKD227" s="1201"/>
      <c r="KKE227" s="1201"/>
      <c r="KKF227" s="1201"/>
      <c r="KKG227" s="1201"/>
      <c r="KKH227" s="1201"/>
      <c r="KKI227" s="1201"/>
      <c r="KKJ227" s="1201"/>
      <c r="KKK227" s="1201"/>
      <c r="KKL227" s="1201"/>
      <c r="KKM227" s="1201"/>
      <c r="KKN227" s="1201"/>
      <c r="KKO227" s="1201"/>
      <c r="KKP227" s="1201"/>
      <c r="KKQ227" s="1201"/>
      <c r="KKR227" s="1201"/>
      <c r="KKS227" s="1201"/>
      <c r="KKT227" s="1201"/>
      <c r="KKU227" s="1201"/>
      <c r="KKV227" s="1201"/>
      <c r="KKW227" s="1201"/>
      <c r="KKX227" s="1201"/>
      <c r="KKY227" s="1201"/>
      <c r="KKZ227" s="1201"/>
      <c r="KLA227" s="1201"/>
      <c r="KLB227" s="1201"/>
      <c r="KLC227" s="1201"/>
      <c r="KLD227" s="1201"/>
      <c r="KLE227" s="1201"/>
      <c r="KLF227" s="1201"/>
      <c r="KLG227" s="1201"/>
      <c r="KLH227" s="1201"/>
      <c r="KLI227" s="1201"/>
      <c r="KLJ227" s="1201"/>
      <c r="KLK227" s="1201"/>
      <c r="KLL227" s="1201"/>
      <c r="KLM227" s="1201"/>
      <c r="KLN227" s="1201"/>
      <c r="KLO227" s="1201"/>
      <c r="KLP227" s="1201"/>
      <c r="KLQ227" s="1201"/>
      <c r="KLR227" s="1201"/>
      <c r="KLS227" s="1201"/>
      <c r="KLT227" s="1201"/>
      <c r="KLU227" s="1201"/>
      <c r="KLV227" s="1201"/>
      <c r="KLW227" s="1201"/>
      <c r="KLX227" s="1201"/>
      <c r="KLY227" s="1201"/>
      <c r="KLZ227" s="1201"/>
      <c r="KMA227" s="1201"/>
      <c r="KMB227" s="1201"/>
      <c r="KMC227" s="1201"/>
      <c r="KMD227" s="1201"/>
      <c r="KME227" s="1201"/>
      <c r="KMF227" s="1201"/>
      <c r="KMG227" s="1201"/>
      <c r="KMH227" s="1201"/>
      <c r="KMI227" s="1201"/>
      <c r="KMJ227" s="1201"/>
      <c r="KMK227" s="1201"/>
      <c r="KML227" s="1201"/>
      <c r="KMM227" s="1201"/>
      <c r="KMN227" s="1201"/>
      <c r="KMO227" s="1201"/>
      <c r="KMP227" s="1201"/>
      <c r="KMQ227" s="1201"/>
      <c r="KMR227" s="1201"/>
      <c r="KMS227" s="1201"/>
      <c r="KMT227" s="1201"/>
      <c r="KMU227" s="1201"/>
      <c r="KMV227" s="1201"/>
      <c r="KMW227" s="1201"/>
      <c r="KMX227" s="1201"/>
      <c r="KMY227" s="1201"/>
      <c r="KMZ227" s="1201"/>
      <c r="KNA227" s="1201"/>
      <c r="KNB227" s="1201"/>
      <c r="KNC227" s="1201"/>
      <c r="KND227" s="1201"/>
      <c r="KNE227" s="1201"/>
      <c r="KNF227" s="1201"/>
      <c r="KNG227" s="1201"/>
      <c r="KNH227" s="1201"/>
      <c r="KNI227" s="1201"/>
      <c r="KNJ227" s="1201"/>
      <c r="KNK227" s="1201"/>
      <c r="KNL227" s="1201"/>
      <c r="KNM227" s="1201"/>
      <c r="KNN227" s="1201"/>
      <c r="KNO227" s="1201"/>
      <c r="KNP227" s="1201"/>
      <c r="KNQ227" s="1201"/>
      <c r="KNR227" s="1201"/>
      <c r="KNS227" s="1201"/>
      <c r="KNT227" s="1201"/>
      <c r="KNU227" s="1201"/>
      <c r="KNV227" s="1201"/>
      <c r="KNW227" s="1201"/>
      <c r="KNX227" s="1201"/>
      <c r="KNY227" s="1201"/>
      <c r="KNZ227" s="1201"/>
      <c r="KOA227" s="1201"/>
      <c r="KOB227" s="1201"/>
      <c r="KOC227" s="1201"/>
      <c r="KOD227" s="1201"/>
      <c r="KOE227" s="1201"/>
      <c r="KOF227" s="1201"/>
      <c r="KOG227" s="1201"/>
      <c r="KOH227" s="1201"/>
      <c r="KOI227" s="1201"/>
      <c r="KOJ227" s="1201"/>
      <c r="KOK227" s="1201"/>
      <c r="KOL227" s="1201"/>
      <c r="KOM227" s="1201"/>
      <c r="KON227" s="1201"/>
      <c r="KOO227" s="1201"/>
      <c r="KOP227" s="1201"/>
      <c r="KOQ227" s="1201"/>
      <c r="KOR227" s="1201"/>
      <c r="KOS227" s="1201"/>
      <c r="KOT227" s="1201"/>
      <c r="KOU227" s="1201"/>
      <c r="KOV227" s="1201"/>
      <c r="KOW227" s="1201"/>
      <c r="KOX227" s="1201"/>
      <c r="KOY227" s="1201"/>
      <c r="KOZ227" s="1201"/>
      <c r="KPA227" s="1201"/>
      <c r="KPB227" s="1201"/>
      <c r="KPC227" s="1201"/>
      <c r="KPD227" s="1201"/>
      <c r="KPE227" s="1201"/>
      <c r="KPF227" s="1201"/>
      <c r="KPG227" s="1201"/>
      <c r="KPH227" s="1201"/>
      <c r="KPI227" s="1201"/>
      <c r="KPJ227" s="1201"/>
      <c r="KPK227" s="1201"/>
      <c r="KPL227" s="1201"/>
      <c r="KPM227" s="1201"/>
      <c r="KPN227" s="1201"/>
      <c r="KPO227" s="1201"/>
      <c r="KPP227" s="1201"/>
      <c r="KPQ227" s="1201"/>
      <c r="KPR227" s="1201"/>
      <c r="KPS227" s="1201"/>
      <c r="KPT227" s="1201"/>
      <c r="KPU227" s="1201"/>
      <c r="KPV227" s="1201"/>
      <c r="KPW227" s="1201"/>
      <c r="KPX227" s="1201"/>
      <c r="KPY227" s="1201"/>
      <c r="KPZ227" s="1201"/>
      <c r="KQA227" s="1201"/>
      <c r="KQB227" s="1201"/>
      <c r="KQC227" s="1201"/>
      <c r="KQD227" s="1201"/>
      <c r="KQE227" s="1201"/>
      <c r="KQF227" s="1201"/>
      <c r="KQG227" s="1201"/>
      <c r="KQH227" s="1201"/>
      <c r="KQI227" s="1201"/>
      <c r="KQJ227" s="1201"/>
      <c r="KQK227" s="1201"/>
      <c r="KQL227" s="1201"/>
      <c r="KQM227" s="1201"/>
      <c r="KQN227" s="1201"/>
      <c r="KQO227" s="1201"/>
      <c r="KQP227" s="1201"/>
      <c r="KQQ227" s="1201"/>
      <c r="KQR227" s="1201"/>
      <c r="KQS227" s="1201"/>
      <c r="KQT227" s="1201"/>
      <c r="KQU227" s="1201"/>
      <c r="KQV227" s="1201"/>
      <c r="KQW227" s="1201"/>
      <c r="KQX227" s="1201"/>
      <c r="KQY227" s="1201"/>
      <c r="KQZ227" s="1201"/>
      <c r="KRA227" s="1201"/>
      <c r="KRB227" s="1201"/>
      <c r="KRC227" s="1201"/>
      <c r="KRD227" s="1201"/>
      <c r="KRE227" s="1201"/>
      <c r="KRF227" s="1201"/>
      <c r="KRG227" s="1201"/>
      <c r="KRH227" s="1201"/>
      <c r="KRI227" s="1201"/>
      <c r="KRJ227" s="1201"/>
      <c r="KRK227" s="1201"/>
      <c r="KRL227" s="1201"/>
      <c r="KRM227" s="1201"/>
      <c r="KRN227" s="1201"/>
      <c r="KRO227" s="1201"/>
      <c r="KRP227" s="1201"/>
      <c r="KRQ227" s="1201"/>
      <c r="KRR227" s="1201"/>
      <c r="KRS227" s="1201"/>
      <c r="KRT227" s="1201"/>
      <c r="KRU227" s="1201"/>
      <c r="KRV227" s="1201"/>
      <c r="KRW227" s="1201"/>
      <c r="KRX227" s="1201"/>
      <c r="KRY227" s="1201"/>
      <c r="KRZ227" s="1201"/>
      <c r="KSA227" s="1201"/>
      <c r="KSB227" s="1201"/>
      <c r="KSC227" s="1201"/>
      <c r="KSD227" s="1201"/>
      <c r="KSE227" s="1201"/>
      <c r="KSF227" s="1201"/>
      <c r="KSG227" s="1201"/>
      <c r="KSH227" s="1201"/>
      <c r="KSI227" s="1201"/>
      <c r="KSJ227" s="1201"/>
      <c r="KSK227" s="1201"/>
      <c r="KSL227" s="1201"/>
      <c r="KSM227" s="1201"/>
      <c r="KSN227" s="1201"/>
      <c r="KSO227" s="1201"/>
      <c r="KSP227" s="1201"/>
      <c r="KSQ227" s="1201"/>
      <c r="KSR227" s="1201"/>
      <c r="KSS227" s="1201"/>
      <c r="KST227" s="1201"/>
      <c r="KSU227" s="1201"/>
      <c r="KSV227" s="1201"/>
      <c r="KSW227" s="1201"/>
      <c r="KSX227" s="1201"/>
      <c r="KSY227" s="1201"/>
      <c r="KSZ227" s="1201"/>
      <c r="KTA227" s="1201"/>
      <c r="KTB227" s="1201"/>
      <c r="KTC227" s="1201"/>
      <c r="KTD227" s="1201"/>
      <c r="KTE227" s="1201"/>
      <c r="KTF227" s="1201"/>
      <c r="KTG227" s="1201"/>
      <c r="KTH227" s="1201"/>
      <c r="KTI227" s="1201"/>
      <c r="KTJ227" s="1201"/>
      <c r="KTK227" s="1201"/>
      <c r="KTL227" s="1201"/>
      <c r="KTM227" s="1201"/>
      <c r="KTN227" s="1201"/>
      <c r="KTO227" s="1201"/>
      <c r="KTP227" s="1201"/>
      <c r="KTQ227" s="1201"/>
      <c r="KTR227" s="1201"/>
      <c r="KTS227" s="1201"/>
      <c r="KTT227" s="1201"/>
      <c r="KTU227" s="1201"/>
      <c r="KTV227" s="1201"/>
      <c r="KTW227" s="1201"/>
      <c r="KTX227" s="1201"/>
      <c r="KTY227" s="1201"/>
      <c r="KTZ227" s="1201"/>
      <c r="KUA227" s="1201"/>
      <c r="KUB227" s="1201"/>
      <c r="KUC227" s="1201"/>
      <c r="KUD227" s="1201"/>
      <c r="KUE227" s="1201"/>
      <c r="KUF227" s="1201"/>
      <c r="KUG227" s="1201"/>
      <c r="KUH227" s="1201"/>
      <c r="KUI227" s="1201"/>
      <c r="KUJ227" s="1201"/>
      <c r="KUK227" s="1201"/>
      <c r="KUL227" s="1201"/>
      <c r="KUM227" s="1201"/>
      <c r="KUN227" s="1201"/>
      <c r="KUO227" s="1201"/>
      <c r="KUP227" s="1201"/>
      <c r="KUQ227" s="1201"/>
      <c r="KUR227" s="1201"/>
      <c r="KUS227" s="1201"/>
      <c r="KUT227" s="1201"/>
      <c r="KUU227" s="1201"/>
      <c r="KUV227" s="1201"/>
      <c r="KUW227" s="1201"/>
      <c r="KUX227" s="1201"/>
      <c r="KUY227" s="1201"/>
      <c r="KUZ227" s="1201"/>
      <c r="KVA227" s="1201"/>
      <c r="KVB227" s="1201"/>
      <c r="KVC227" s="1201"/>
      <c r="KVD227" s="1201"/>
      <c r="KVE227" s="1201"/>
      <c r="KVF227" s="1201"/>
      <c r="KVG227" s="1201"/>
      <c r="KVH227" s="1201"/>
      <c r="KVI227" s="1201"/>
      <c r="KVJ227" s="1201"/>
      <c r="KVK227" s="1201"/>
      <c r="KVL227" s="1201"/>
      <c r="KVM227" s="1201"/>
      <c r="KVN227" s="1201"/>
      <c r="KVO227" s="1201"/>
      <c r="KVP227" s="1201"/>
      <c r="KVQ227" s="1201"/>
      <c r="KVR227" s="1201"/>
      <c r="KVS227" s="1201"/>
      <c r="KVT227" s="1201"/>
      <c r="KVU227" s="1201"/>
      <c r="KVV227" s="1201"/>
      <c r="KVW227" s="1201"/>
      <c r="KVX227" s="1201"/>
      <c r="KVY227" s="1201"/>
      <c r="KVZ227" s="1201"/>
      <c r="KWA227" s="1201"/>
      <c r="KWB227" s="1201"/>
      <c r="KWC227" s="1201"/>
      <c r="KWD227" s="1201"/>
      <c r="KWE227" s="1201"/>
      <c r="KWF227" s="1201"/>
      <c r="KWG227" s="1201"/>
      <c r="KWH227" s="1201"/>
      <c r="KWI227" s="1201"/>
      <c r="KWJ227" s="1201"/>
      <c r="KWK227" s="1201"/>
      <c r="KWL227" s="1201"/>
      <c r="KWM227" s="1201"/>
      <c r="KWN227" s="1201"/>
      <c r="KWO227" s="1201"/>
      <c r="KWP227" s="1201"/>
      <c r="KWQ227" s="1201"/>
      <c r="KWR227" s="1201"/>
      <c r="KWS227" s="1201"/>
      <c r="KWT227" s="1201"/>
      <c r="KWU227" s="1201"/>
      <c r="KWV227" s="1201"/>
      <c r="KWW227" s="1201"/>
      <c r="KWX227" s="1201"/>
      <c r="KWY227" s="1201"/>
      <c r="KWZ227" s="1201"/>
      <c r="KXA227" s="1201"/>
      <c r="KXB227" s="1201"/>
      <c r="KXC227" s="1201"/>
      <c r="KXD227" s="1201"/>
      <c r="KXE227" s="1201"/>
      <c r="KXF227" s="1201"/>
      <c r="KXG227" s="1201"/>
      <c r="KXH227" s="1201"/>
      <c r="KXI227" s="1201"/>
      <c r="KXJ227" s="1201"/>
      <c r="KXK227" s="1201"/>
      <c r="KXL227" s="1201"/>
      <c r="KXM227" s="1201"/>
      <c r="KXN227" s="1201"/>
      <c r="KXO227" s="1201"/>
      <c r="KXP227" s="1201"/>
      <c r="KXQ227" s="1201"/>
      <c r="KXR227" s="1201"/>
      <c r="KXS227" s="1201"/>
      <c r="KXT227" s="1201"/>
      <c r="KXU227" s="1201"/>
      <c r="KXV227" s="1201"/>
      <c r="KXW227" s="1201"/>
      <c r="KXX227" s="1201"/>
      <c r="KXY227" s="1201"/>
      <c r="KXZ227" s="1201"/>
      <c r="KYA227" s="1201"/>
      <c r="KYB227" s="1201"/>
      <c r="KYC227" s="1201"/>
      <c r="KYD227" s="1201"/>
      <c r="KYE227" s="1201"/>
      <c r="KYF227" s="1201"/>
      <c r="KYG227" s="1201"/>
      <c r="KYH227" s="1201"/>
      <c r="KYI227" s="1201"/>
      <c r="KYJ227" s="1201"/>
      <c r="KYK227" s="1201"/>
      <c r="KYL227" s="1201"/>
      <c r="KYM227" s="1201"/>
      <c r="KYN227" s="1201"/>
      <c r="KYO227" s="1201"/>
      <c r="KYP227" s="1201"/>
      <c r="KYQ227" s="1201"/>
      <c r="KYR227" s="1201"/>
      <c r="KYS227" s="1201"/>
      <c r="KYT227" s="1201"/>
      <c r="KYU227" s="1201"/>
      <c r="KYV227" s="1201"/>
      <c r="KYW227" s="1201"/>
      <c r="KYX227" s="1201"/>
      <c r="KYY227" s="1201"/>
      <c r="KYZ227" s="1201"/>
      <c r="KZA227" s="1201"/>
      <c r="KZB227" s="1201"/>
      <c r="KZC227" s="1201"/>
      <c r="KZD227" s="1201"/>
      <c r="KZE227" s="1201"/>
      <c r="KZF227" s="1201"/>
      <c r="KZG227" s="1201"/>
      <c r="KZH227" s="1201"/>
      <c r="KZI227" s="1201"/>
      <c r="KZJ227" s="1201"/>
      <c r="KZK227" s="1201"/>
      <c r="KZL227" s="1201"/>
      <c r="KZM227" s="1201"/>
      <c r="KZN227" s="1201"/>
      <c r="KZO227" s="1201"/>
      <c r="KZP227" s="1201"/>
      <c r="KZQ227" s="1201"/>
      <c r="KZR227" s="1201"/>
      <c r="KZS227" s="1201"/>
      <c r="KZT227" s="1201"/>
      <c r="KZU227" s="1201"/>
      <c r="KZV227" s="1201"/>
      <c r="KZW227" s="1201"/>
      <c r="KZX227" s="1201"/>
      <c r="KZY227" s="1201"/>
      <c r="KZZ227" s="1201"/>
      <c r="LAA227" s="1201"/>
      <c r="LAB227" s="1201"/>
      <c r="LAC227" s="1201"/>
      <c r="LAD227" s="1201"/>
      <c r="LAE227" s="1201"/>
      <c r="LAF227" s="1201"/>
      <c r="LAG227" s="1201"/>
      <c r="LAH227" s="1201"/>
      <c r="LAI227" s="1201"/>
      <c r="LAJ227" s="1201"/>
      <c r="LAK227" s="1201"/>
      <c r="LAL227" s="1201"/>
      <c r="LAM227" s="1201"/>
      <c r="LAN227" s="1201"/>
      <c r="LAO227" s="1201"/>
      <c r="LAP227" s="1201"/>
      <c r="LAQ227" s="1201"/>
      <c r="LAR227" s="1201"/>
      <c r="LAS227" s="1201"/>
      <c r="LAT227" s="1201"/>
      <c r="LAU227" s="1201"/>
      <c r="LAV227" s="1201"/>
      <c r="LAW227" s="1201"/>
      <c r="LAX227" s="1201"/>
      <c r="LAY227" s="1201"/>
      <c r="LAZ227" s="1201"/>
      <c r="LBA227" s="1201"/>
      <c r="LBB227" s="1201"/>
      <c r="LBC227" s="1201"/>
      <c r="LBD227" s="1201"/>
      <c r="LBE227" s="1201"/>
      <c r="LBF227" s="1201"/>
      <c r="LBG227" s="1201"/>
      <c r="LBH227" s="1201"/>
      <c r="LBI227" s="1201"/>
      <c r="LBJ227" s="1201"/>
      <c r="LBK227" s="1201"/>
      <c r="LBL227" s="1201"/>
      <c r="LBM227" s="1201"/>
      <c r="LBN227" s="1201"/>
      <c r="LBO227" s="1201"/>
      <c r="LBP227" s="1201"/>
      <c r="LBQ227" s="1201"/>
      <c r="LBR227" s="1201"/>
      <c r="LBS227" s="1201"/>
      <c r="LBT227" s="1201"/>
      <c r="LBU227" s="1201"/>
      <c r="LBV227" s="1201"/>
      <c r="LBW227" s="1201"/>
      <c r="LBX227" s="1201"/>
      <c r="LBY227" s="1201"/>
      <c r="LBZ227" s="1201"/>
      <c r="LCA227" s="1201"/>
      <c r="LCB227" s="1201"/>
      <c r="LCC227" s="1201"/>
      <c r="LCD227" s="1201"/>
      <c r="LCE227" s="1201"/>
      <c r="LCF227" s="1201"/>
      <c r="LCG227" s="1201"/>
      <c r="LCH227" s="1201"/>
      <c r="LCI227" s="1201"/>
      <c r="LCJ227" s="1201"/>
      <c r="LCK227" s="1201"/>
      <c r="LCL227" s="1201"/>
      <c r="LCM227" s="1201"/>
      <c r="LCN227" s="1201"/>
      <c r="LCO227" s="1201"/>
      <c r="LCP227" s="1201"/>
      <c r="LCQ227" s="1201"/>
      <c r="LCR227" s="1201"/>
      <c r="LCS227" s="1201"/>
      <c r="LCT227" s="1201"/>
      <c r="LCU227" s="1201"/>
      <c r="LCV227" s="1201"/>
      <c r="LCW227" s="1201"/>
      <c r="LCX227" s="1201"/>
      <c r="LCY227" s="1201"/>
      <c r="LCZ227" s="1201"/>
      <c r="LDA227" s="1201"/>
      <c r="LDB227" s="1201"/>
      <c r="LDC227" s="1201"/>
      <c r="LDD227" s="1201"/>
      <c r="LDE227" s="1201"/>
      <c r="LDF227" s="1201"/>
      <c r="LDG227" s="1201"/>
      <c r="LDH227" s="1201"/>
      <c r="LDI227" s="1201"/>
      <c r="LDJ227" s="1201"/>
      <c r="LDK227" s="1201"/>
      <c r="LDL227" s="1201"/>
      <c r="LDM227" s="1201"/>
      <c r="LDN227" s="1201"/>
      <c r="LDO227" s="1201"/>
      <c r="LDP227" s="1201"/>
      <c r="LDQ227" s="1201"/>
      <c r="LDR227" s="1201"/>
      <c r="LDS227" s="1201"/>
      <c r="LDT227" s="1201"/>
      <c r="LDU227" s="1201"/>
      <c r="LDV227" s="1201"/>
      <c r="LDW227" s="1201"/>
      <c r="LDX227" s="1201"/>
      <c r="LDY227" s="1201"/>
      <c r="LDZ227" s="1201"/>
      <c r="LEA227" s="1201"/>
      <c r="LEB227" s="1201"/>
      <c r="LEC227" s="1201"/>
      <c r="LED227" s="1201"/>
      <c r="LEE227" s="1201"/>
      <c r="LEF227" s="1201"/>
      <c r="LEG227" s="1201"/>
      <c r="LEH227" s="1201"/>
      <c r="LEI227" s="1201"/>
      <c r="LEJ227" s="1201"/>
      <c r="LEK227" s="1201"/>
      <c r="LEL227" s="1201"/>
      <c r="LEM227" s="1201"/>
      <c r="LEN227" s="1201"/>
      <c r="LEO227" s="1201"/>
      <c r="LEP227" s="1201"/>
      <c r="LEQ227" s="1201"/>
      <c r="LER227" s="1201"/>
      <c r="LES227" s="1201"/>
      <c r="LET227" s="1201"/>
      <c r="LEU227" s="1201"/>
      <c r="LEV227" s="1201"/>
      <c r="LEW227" s="1201"/>
      <c r="LEX227" s="1201"/>
      <c r="LEY227" s="1201"/>
      <c r="LEZ227" s="1201"/>
      <c r="LFA227" s="1201"/>
      <c r="LFB227" s="1201"/>
      <c r="LFC227" s="1201"/>
      <c r="LFD227" s="1201"/>
      <c r="LFE227" s="1201"/>
      <c r="LFF227" s="1201"/>
      <c r="LFG227" s="1201"/>
      <c r="LFH227" s="1201"/>
      <c r="LFI227" s="1201"/>
      <c r="LFJ227" s="1201"/>
      <c r="LFK227" s="1201"/>
      <c r="LFL227" s="1201"/>
      <c r="LFM227" s="1201"/>
      <c r="LFN227" s="1201"/>
      <c r="LFO227" s="1201"/>
      <c r="LFP227" s="1201"/>
      <c r="LFQ227" s="1201"/>
      <c r="LFR227" s="1201"/>
      <c r="LFS227" s="1201"/>
      <c r="LFT227" s="1201"/>
      <c r="LFU227" s="1201"/>
      <c r="LFV227" s="1201"/>
      <c r="LFW227" s="1201"/>
      <c r="LFX227" s="1201"/>
      <c r="LFY227" s="1201"/>
      <c r="LFZ227" s="1201"/>
      <c r="LGA227" s="1201"/>
      <c r="LGB227" s="1201"/>
      <c r="LGC227" s="1201"/>
      <c r="LGD227" s="1201"/>
      <c r="LGE227" s="1201"/>
      <c r="LGF227" s="1201"/>
      <c r="LGG227" s="1201"/>
      <c r="LGH227" s="1201"/>
      <c r="LGI227" s="1201"/>
      <c r="LGJ227" s="1201"/>
      <c r="LGK227" s="1201"/>
      <c r="LGL227" s="1201"/>
      <c r="LGM227" s="1201"/>
      <c r="LGN227" s="1201"/>
      <c r="LGO227" s="1201"/>
      <c r="LGP227" s="1201"/>
      <c r="LGQ227" s="1201"/>
      <c r="LGR227" s="1201"/>
      <c r="LGS227" s="1201"/>
      <c r="LGT227" s="1201"/>
      <c r="LGU227" s="1201"/>
      <c r="LGV227" s="1201"/>
      <c r="LGW227" s="1201"/>
      <c r="LGX227" s="1201"/>
      <c r="LGY227" s="1201"/>
      <c r="LGZ227" s="1201"/>
      <c r="LHA227" s="1201"/>
      <c r="LHB227" s="1201"/>
      <c r="LHC227" s="1201"/>
      <c r="LHD227" s="1201"/>
      <c r="LHE227" s="1201"/>
      <c r="LHF227" s="1201"/>
      <c r="LHG227" s="1201"/>
      <c r="LHH227" s="1201"/>
      <c r="LHI227" s="1201"/>
      <c r="LHJ227" s="1201"/>
      <c r="LHK227" s="1201"/>
      <c r="LHL227" s="1201"/>
      <c r="LHM227" s="1201"/>
      <c r="LHN227" s="1201"/>
      <c r="LHO227" s="1201"/>
      <c r="LHP227" s="1201"/>
      <c r="LHQ227" s="1201"/>
      <c r="LHR227" s="1201"/>
      <c r="LHS227" s="1201"/>
      <c r="LHT227" s="1201"/>
      <c r="LHU227" s="1201"/>
      <c r="LHV227" s="1201"/>
      <c r="LHW227" s="1201"/>
      <c r="LHX227" s="1201"/>
      <c r="LHY227" s="1201"/>
      <c r="LHZ227" s="1201"/>
      <c r="LIA227" s="1201"/>
      <c r="LIB227" s="1201"/>
      <c r="LIC227" s="1201"/>
      <c r="LID227" s="1201"/>
      <c r="LIE227" s="1201"/>
      <c r="LIF227" s="1201"/>
      <c r="LIG227" s="1201"/>
      <c r="LIH227" s="1201"/>
      <c r="LII227" s="1201"/>
      <c r="LIJ227" s="1201"/>
      <c r="LIK227" s="1201"/>
      <c r="LIL227" s="1201"/>
      <c r="LIM227" s="1201"/>
      <c r="LIN227" s="1201"/>
      <c r="LIO227" s="1201"/>
      <c r="LIP227" s="1201"/>
      <c r="LIQ227" s="1201"/>
      <c r="LIR227" s="1201"/>
      <c r="LIS227" s="1201"/>
      <c r="LIT227" s="1201"/>
      <c r="LIU227" s="1201"/>
      <c r="LIV227" s="1201"/>
      <c r="LIW227" s="1201"/>
      <c r="LIX227" s="1201"/>
      <c r="LIY227" s="1201"/>
      <c r="LIZ227" s="1201"/>
      <c r="LJA227" s="1201"/>
      <c r="LJB227" s="1201"/>
      <c r="LJC227" s="1201"/>
      <c r="LJD227" s="1201"/>
      <c r="LJE227" s="1201"/>
      <c r="LJF227" s="1201"/>
      <c r="LJG227" s="1201"/>
      <c r="LJH227" s="1201"/>
      <c r="LJI227" s="1201"/>
      <c r="LJJ227" s="1201"/>
      <c r="LJK227" s="1201"/>
      <c r="LJL227" s="1201"/>
      <c r="LJM227" s="1201"/>
      <c r="LJN227" s="1201"/>
      <c r="LJO227" s="1201"/>
      <c r="LJP227" s="1201"/>
      <c r="LJQ227" s="1201"/>
      <c r="LJR227" s="1201"/>
      <c r="LJS227" s="1201"/>
      <c r="LJT227" s="1201"/>
      <c r="LJU227" s="1201"/>
      <c r="LJV227" s="1201"/>
      <c r="LJW227" s="1201"/>
      <c r="LJX227" s="1201"/>
      <c r="LJY227" s="1201"/>
      <c r="LJZ227" s="1201"/>
      <c r="LKA227" s="1201"/>
      <c r="LKB227" s="1201"/>
      <c r="LKC227" s="1201"/>
      <c r="LKD227" s="1201"/>
      <c r="LKE227" s="1201"/>
      <c r="LKF227" s="1201"/>
      <c r="LKG227" s="1201"/>
      <c r="LKH227" s="1201"/>
      <c r="LKI227" s="1201"/>
      <c r="LKJ227" s="1201"/>
      <c r="LKK227" s="1201"/>
      <c r="LKL227" s="1201"/>
      <c r="LKM227" s="1201"/>
      <c r="LKN227" s="1201"/>
      <c r="LKO227" s="1201"/>
      <c r="LKP227" s="1201"/>
      <c r="LKQ227" s="1201"/>
      <c r="LKR227" s="1201"/>
      <c r="LKS227" s="1201"/>
      <c r="LKT227" s="1201"/>
      <c r="LKU227" s="1201"/>
      <c r="LKV227" s="1201"/>
      <c r="LKW227" s="1201"/>
      <c r="LKX227" s="1201"/>
      <c r="LKY227" s="1201"/>
      <c r="LKZ227" s="1201"/>
      <c r="LLA227" s="1201"/>
      <c r="LLB227" s="1201"/>
      <c r="LLC227" s="1201"/>
      <c r="LLD227" s="1201"/>
      <c r="LLE227" s="1201"/>
      <c r="LLF227" s="1201"/>
      <c r="LLG227" s="1201"/>
      <c r="LLH227" s="1201"/>
      <c r="LLI227" s="1201"/>
      <c r="LLJ227" s="1201"/>
      <c r="LLK227" s="1201"/>
      <c r="LLL227" s="1201"/>
      <c r="LLM227" s="1201"/>
      <c r="LLN227" s="1201"/>
      <c r="LLO227" s="1201"/>
      <c r="LLP227" s="1201"/>
      <c r="LLQ227" s="1201"/>
      <c r="LLR227" s="1201"/>
      <c r="LLS227" s="1201"/>
      <c r="LLT227" s="1201"/>
      <c r="LLU227" s="1201"/>
      <c r="LLV227" s="1201"/>
      <c r="LLW227" s="1201"/>
      <c r="LLX227" s="1201"/>
      <c r="LLY227" s="1201"/>
      <c r="LLZ227" s="1201"/>
      <c r="LMA227" s="1201"/>
      <c r="LMB227" s="1201"/>
      <c r="LMC227" s="1201"/>
      <c r="LMD227" s="1201"/>
      <c r="LME227" s="1201"/>
      <c r="LMF227" s="1201"/>
      <c r="LMG227" s="1201"/>
      <c r="LMH227" s="1201"/>
      <c r="LMI227" s="1201"/>
      <c r="LMJ227" s="1201"/>
      <c r="LMK227" s="1201"/>
      <c r="LML227" s="1201"/>
      <c r="LMM227" s="1201"/>
      <c r="LMN227" s="1201"/>
      <c r="LMO227" s="1201"/>
      <c r="LMP227" s="1201"/>
      <c r="LMQ227" s="1201"/>
      <c r="LMR227" s="1201"/>
      <c r="LMS227" s="1201"/>
      <c r="LMT227" s="1201"/>
      <c r="LMU227" s="1201"/>
      <c r="LMV227" s="1201"/>
      <c r="LMW227" s="1201"/>
      <c r="LMX227" s="1201"/>
      <c r="LMY227" s="1201"/>
      <c r="LMZ227" s="1201"/>
      <c r="LNA227" s="1201"/>
      <c r="LNB227" s="1201"/>
      <c r="LNC227" s="1201"/>
      <c r="LND227" s="1201"/>
      <c r="LNE227" s="1201"/>
      <c r="LNF227" s="1201"/>
      <c r="LNG227" s="1201"/>
      <c r="LNH227" s="1201"/>
      <c r="LNI227" s="1201"/>
      <c r="LNJ227" s="1201"/>
      <c r="LNK227" s="1201"/>
      <c r="LNL227" s="1201"/>
      <c r="LNM227" s="1201"/>
      <c r="LNN227" s="1201"/>
      <c r="LNO227" s="1201"/>
      <c r="LNP227" s="1201"/>
      <c r="LNQ227" s="1201"/>
      <c r="LNR227" s="1201"/>
      <c r="LNS227" s="1201"/>
      <c r="LNT227" s="1201"/>
      <c r="LNU227" s="1201"/>
      <c r="LNV227" s="1201"/>
      <c r="LNW227" s="1201"/>
      <c r="LNX227" s="1201"/>
      <c r="LNY227" s="1201"/>
      <c r="LNZ227" s="1201"/>
      <c r="LOA227" s="1201"/>
      <c r="LOB227" s="1201"/>
      <c r="LOC227" s="1201"/>
      <c r="LOD227" s="1201"/>
      <c r="LOE227" s="1201"/>
      <c r="LOF227" s="1201"/>
      <c r="LOG227" s="1201"/>
      <c r="LOH227" s="1201"/>
      <c r="LOI227" s="1201"/>
      <c r="LOJ227" s="1201"/>
      <c r="LOK227" s="1201"/>
      <c r="LOL227" s="1201"/>
      <c r="LOM227" s="1201"/>
      <c r="LON227" s="1201"/>
      <c r="LOO227" s="1201"/>
      <c r="LOP227" s="1201"/>
      <c r="LOQ227" s="1201"/>
      <c r="LOR227" s="1201"/>
      <c r="LOS227" s="1201"/>
      <c r="LOT227" s="1201"/>
      <c r="LOU227" s="1201"/>
      <c r="LOV227" s="1201"/>
      <c r="LOW227" s="1201"/>
      <c r="LOX227" s="1201"/>
      <c r="LOY227" s="1201"/>
      <c r="LOZ227" s="1201"/>
      <c r="LPA227" s="1201"/>
      <c r="LPB227" s="1201"/>
      <c r="LPC227" s="1201"/>
      <c r="LPD227" s="1201"/>
      <c r="LPE227" s="1201"/>
      <c r="LPF227" s="1201"/>
      <c r="LPG227" s="1201"/>
      <c r="LPH227" s="1201"/>
      <c r="LPI227" s="1201"/>
      <c r="LPJ227" s="1201"/>
      <c r="LPK227" s="1201"/>
      <c r="LPL227" s="1201"/>
      <c r="LPM227" s="1201"/>
      <c r="LPN227" s="1201"/>
      <c r="LPO227" s="1201"/>
      <c r="LPP227" s="1201"/>
      <c r="LPQ227" s="1201"/>
      <c r="LPR227" s="1201"/>
      <c r="LPS227" s="1201"/>
      <c r="LPT227" s="1201"/>
      <c r="LPU227" s="1201"/>
      <c r="LPV227" s="1201"/>
      <c r="LPW227" s="1201"/>
      <c r="LPX227" s="1201"/>
      <c r="LPY227" s="1201"/>
      <c r="LPZ227" s="1201"/>
      <c r="LQA227" s="1201"/>
      <c r="LQB227" s="1201"/>
      <c r="LQC227" s="1201"/>
      <c r="LQD227" s="1201"/>
      <c r="LQE227" s="1201"/>
      <c r="LQF227" s="1201"/>
      <c r="LQG227" s="1201"/>
      <c r="LQH227" s="1201"/>
      <c r="LQI227" s="1201"/>
      <c r="LQJ227" s="1201"/>
      <c r="LQK227" s="1201"/>
      <c r="LQL227" s="1201"/>
      <c r="LQM227" s="1201"/>
      <c r="LQN227" s="1201"/>
      <c r="LQO227" s="1201"/>
      <c r="LQP227" s="1201"/>
      <c r="LQQ227" s="1201"/>
      <c r="LQR227" s="1201"/>
      <c r="LQS227" s="1201"/>
      <c r="LQT227" s="1201"/>
      <c r="LQU227" s="1201"/>
      <c r="LQV227" s="1201"/>
      <c r="LQW227" s="1201"/>
      <c r="LQX227" s="1201"/>
      <c r="LQY227" s="1201"/>
      <c r="LQZ227" s="1201"/>
      <c r="LRA227" s="1201"/>
      <c r="LRB227" s="1201"/>
      <c r="LRC227" s="1201"/>
      <c r="LRD227" s="1201"/>
      <c r="LRE227" s="1201"/>
      <c r="LRF227" s="1201"/>
      <c r="LRG227" s="1201"/>
      <c r="LRH227" s="1201"/>
      <c r="LRI227" s="1201"/>
      <c r="LRJ227" s="1201"/>
      <c r="LRK227" s="1201"/>
      <c r="LRL227" s="1201"/>
      <c r="LRM227" s="1201"/>
      <c r="LRN227" s="1201"/>
      <c r="LRO227" s="1201"/>
      <c r="LRP227" s="1201"/>
      <c r="LRQ227" s="1201"/>
      <c r="LRR227" s="1201"/>
      <c r="LRS227" s="1201"/>
      <c r="LRT227" s="1201"/>
      <c r="LRU227" s="1201"/>
      <c r="LRV227" s="1201"/>
      <c r="LRW227" s="1201"/>
      <c r="LRX227" s="1201"/>
      <c r="LRY227" s="1201"/>
      <c r="LRZ227" s="1201"/>
      <c r="LSA227" s="1201"/>
      <c r="LSB227" s="1201"/>
      <c r="LSC227" s="1201"/>
      <c r="LSD227" s="1201"/>
      <c r="LSE227" s="1201"/>
      <c r="LSF227" s="1201"/>
      <c r="LSG227" s="1201"/>
      <c r="LSH227" s="1201"/>
      <c r="LSI227" s="1201"/>
      <c r="LSJ227" s="1201"/>
      <c r="LSK227" s="1201"/>
      <c r="LSL227" s="1201"/>
      <c r="LSM227" s="1201"/>
      <c r="LSN227" s="1201"/>
      <c r="LSO227" s="1201"/>
      <c r="LSP227" s="1201"/>
      <c r="LSQ227" s="1201"/>
      <c r="LSR227" s="1201"/>
      <c r="LSS227" s="1201"/>
      <c r="LST227" s="1201"/>
      <c r="LSU227" s="1201"/>
      <c r="LSV227" s="1201"/>
      <c r="LSW227" s="1201"/>
      <c r="LSX227" s="1201"/>
      <c r="LSY227" s="1201"/>
      <c r="LSZ227" s="1201"/>
      <c r="LTA227" s="1201"/>
      <c r="LTB227" s="1201"/>
      <c r="LTC227" s="1201"/>
      <c r="LTD227" s="1201"/>
      <c r="LTE227" s="1201"/>
      <c r="LTF227" s="1201"/>
      <c r="LTG227" s="1201"/>
      <c r="LTH227" s="1201"/>
      <c r="LTI227" s="1201"/>
      <c r="LTJ227" s="1201"/>
      <c r="LTK227" s="1201"/>
      <c r="LTL227" s="1201"/>
      <c r="LTM227" s="1201"/>
      <c r="LTN227" s="1201"/>
      <c r="LTO227" s="1201"/>
      <c r="LTP227" s="1201"/>
      <c r="LTQ227" s="1201"/>
      <c r="LTR227" s="1201"/>
      <c r="LTS227" s="1201"/>
      <c r="LTT227" s="1201"/>
      <c r="LTU227" s="1201"/>
      <c r="LTV227" s="1201"/>
      <c r="LTW227" s="1201"/>
      <c r="LTX227" s="1201"/>
      <c r="LTY227" s="1201"/>
      <c r="LTZ227" s="1201"/>
      <c r="LUA227" s="1201"/>
      <c r="LUB227" s="1201"/>
      <c r="LUC227" s="1201"/>
      <c r="LUD227" s="1201"/>
      <c r="LUE227" s="1201"/>
      <c r="LUF227" s="1201"/>
      <c r="LUG227" s="1201"/>
      <c r="LUH227" s="1201"/>
      <c r="LUI227" s="1201"/>
      <c r="LUJ227" s="1201"/>
      <c r="LUK227" s="1201"/>
      <c r="LUL227" s="1201"/>
      <c r="LUM227" s="1201"/>
      <c r="LUN227" s="1201"/>
      <c r="LUO227" s="1201"/>
      <c r="LUP227" s="1201"/>
      <c r="LUQ227" s="1201"/>
      <c r="LUR227" s="1201"/>
      <c r="LUS227" s="1201"/>
      <c r="LUT227" s="1201"/>
      <c r="LUU227" s="1201"/>
      <c r="LUV227" s="1201"/>
      <c r="LUW227" s="1201"/>
      <c r="LUX227" s="1201"/>
      <c r="LUY227" s="1201"/>
      <c r="LUZ227" s="1201"/>
      <c r="LVA227" s="1201"/>
      <c r="LVB227" s="1201"/>
      <c r="LVC227" s="1201"/>
      <c r="LVD227" s="1201"/>
      <c r="LVE227" s="1201"/>
      <c r="LVF227" s="1201"/>
      <c r="LVG227" s="1201"/>
      <c r="LVH227" s="1201"/>
      <c r="LVI227" s="1201"/>
      <c r="LVJ227" s="1201"/>
      <c r="LVK227" s="1201"/>
      <c r="LVL227" s="1201"/>
      <c r="LVM227" s="1201"/>
      <c r="LVN227" s="1201"/>
      <c r="LVO227" s="1201"/>
      <c r="LVP227" s="1201"/>
      <c r="LVQ227" s="1201"/>
      <c r="LVR227" s="1201"/>
      <c r="LVS227" s="1201"/>
      <c r="LVT227" s="1201"/>
      <c r="LVU227" s="1201"/>
      <c r="LVV227" s="1201"/>
      <c r="LVW227" s="1201"/>
      <c r="LVX227" s="1201"/>
      <c r="LVY227" s="1201"/>
      <c r="LVZ227" s="1201"/>
      <c r="LWA227" s="1201"/>
      <c r="LWB227" s="1201"/>
      <c r="LWC227" s="1201"/>
      <c r="LWD227" s="1201"/>
      <c r="LWE227" s="1201"/>
      <c r="LWF227" s="1201"/>
      <c r="LWG227" s="1201"/>
      <c r="LWH227" s="1201"/>
      <c r="LWI227" s="1201"/>
      <c r="LWJ227" s="1201"/>
      <c r="LWK227" s="1201"/>
      <c r="LWL227" s="1201"/>
      <c r="LWM227" s="1201"/>
      <c r="LWN227" s="1201"/>
      <c r="LWO227" s="1201"/>
      <c r="LWP227" s="1201"/>
      <c r="LWQ227" s="1201"/>
      <c r="LWR227" s="1201"/>
      <c r="LWS227" s="1201"/>
      <c r="LWT227" s="1201"/>
      <c r="LWU227" s="1201"/>
      <c r="LWV227" s="1201"/>
      <c r="LWW227" s="1201"/>
      <c r="LWX227" s="1201"/>
      <c r="LWY227" s="1201"/>
      <c r="LWZ227" s="1201"/>
      <c r="LXA227" s="1201"/>
      <c r="LXB227" s="1201"/>
      <c r="LXC227" s="1201"/>
      <c r="LXD227" s="1201"/>
      <c r="LXE227" s="1201"/>
      <c r="LXF227" s="1201"/>
      <c r="LXG227" s="1201"/>
      <c r="LXH227" s="1201"/>
      <c r="LXI227" s="1201"/>
      <c r="LXJ227" s="1201"/>
      <c r="LXK227" s="1201"/>
      <c r="LXL227" s="1201"/>
      <c r="LXM227" s="1201"/>
      <c r="LXN227" s="1201"/>
      <c r="LXO227" s="1201"/>
      <c r="LXP227" s="1201"/>
      <c r="LXQ227" s="1201"/>
      <c r="LXR227" s="1201"/>
      <c r="LXS227" s="1201"/>
      <c r="LXT227" s="1201"/>
      <c r="LXU227" s="1201"/>
      <c r="LXV227" s="1201"/>
      <c r="LXW227" s="1201"/>
      <c r="LXX227" s="1201"/>
      <c r="LXY227" s="1201"/>
      <c r="LXZ227" s="1201"/>
      <c r="LYA227" s="1201"/>
      <c r="LYB227" s="1201"/>
      <c r="LYC227" s="1201"/>
      <c r="LYD227" s="1201"/>
      <c r="LYE227" s="1201"/>
      <c r="LYF227" s="1201"/>
      <c r="LYG227" s="1201"/>
      <c r="LYH227" s="1201"/>
      <c r="LYI227" s="1201"/>
      <c r="LYJ227" s="1201"/>
      <c r="LYK227" s="1201"/>
      <c r="LYL227" s="1201"/>
      <c r="LYM227" s="1201"/>
      <c r="LYN227" s="1201"/>
      <c r="LYO227" s="1201"/>
      <c r="LYP227" s="1201"/>
      <c r="LYQ227" s="1201"/>
      <c r="LYR227" s="1201"/>
      <c r="LYS227" s="1201"/>
      <c r="LYT227" s="1201"/>
      <c r="LYU227" s="1201"/>
      <c r="LYV227" s="1201"/>
      <c r="LYW227" s="1201"/>
      <c r="LYX227" s="1201"/>
      <c r="LYY227" s="1201"/>
      <c r="LYZ227" s="1201"/>
      <c r="LZA227" s="1201"/>
      <c r="LZB227" s="1201"/>
      <c r="LZC227" s="1201"/>
      <c r="LZD227" s="1201"/>
      <c r="LZE227" s="1201"/>
      <c r="LZF227" s="1201"/>
      <c r="LZG227" s="1201"/>
      <c r="LZH227" s="1201"/>
      <c r="LZI227" s="1201"/>
      <c r="LZJ227" s="1201"/>
      <c r="LZK227" s="1201"/>
      <c r="LZL227" s="1201"/>
      <c r="LZM227" s="1201"/>
      <c r="LZN227" s="1201"/>
      <c r="LZO227" s="1201"/>
      <c r="LZP227" s="1201"/>
      <c r="LZQ227" s="1201"/>
      <c r="LZR227" s="1201"/>
      <c r="LZS227" s="1201"/>
      <c r="LZT227" s="1201"/>
      <c r="LZU227" s="1201"/>
      <c r="LZV227" s="1201"/>
      <c r="LZW227" s="1201"/>
      <c r="LZX227" s="1201"/>
      <c r="LZY227" s="1201"/>
      <c r="LZZ227" s="1201"/>
      <c r="MAA227" s="1201"/>
      <c r="MAB227" s="1201"/>
      <c r="MAC227" s="1201"/>
      <c r="MAD227" s="1201"/>
      <c r="MAE227" s="1201"/>
      <c r="MAF227" s="1201"/>
      <c r="MAG227" s="1201"/>
      <c r="MAH227" s="1201"/>
      <c r="MAI227" s="1201"/>
      <c r="MAJ227" s="1201"/>
      <c r="MAK227" s="1201"/>
      <c r="MAL227" s="1201"/>
      <c r="MAM227" s="1201"/>
      <c r="MAN227" s="1201"/>
      <c r="MAO227" s="1201"/>
      <c r="MAP227" s="1201"/>
      <c r="MAQ227" s="1201"/>
      <c r="MAR227" s="1201"/>
      <c r="MAS227" s="1201"/>
      <c r="MAT227" s="1201"/>
      <c r="MAU227" s="1201"/>
      <c r="MAV227" s="1201"/>
      <c r="MAW227" s="1201"/>
      <c r="MAX227" s="1201"/>
      <c r="MAY227" s="1201"/>
      <c r="MAZ227" s="1201"/>
      <c r="MBA227" s="1201"/>
      <c r="MBB227" s="1201"/>
      <c r="MBC227" s="1201"/>
      <c r="MBD227" s="1201"/>
      <c r="MBE227" s="1201"/>
      <c r="MBF227" s="1201"/>
      <c r="MBG227" s="1201"/>
      <c r="MBH227" s="1201"/>
      <c r="MBI227" s="1201"/>
      <c r="MBJ227" s="1201"/>
      <c r="MBK227" s="1201"/>
      <c r="MBL227" s="1201"/>
      <c r="MBM227" s="1201"/>
      <c r="MBN227" s="1201"/>
      <c r="MBO227" s="1201"/>
      <c r="MBP227" s="1201"/>
      <c r="MBQ227" s="1201"/>
      <c r="MBR227" s="1201"/>
      <c r="MBS227" s="1201"/>
      <c r="MBT227" s="1201"/>
      <c r="MBU227" s="1201"/>
      <c r="MBV227" s="1201"/>
      <c r="MBW227" s="1201"/>
      <c r="MBX227" s="1201"/>
      <c r="MBY227" s="1201"/>
      <c r="MBZ227" s="1201"/>
      <c r="MCA227" s="1201"/>
      <c r="MCB227" s="1201"/>
      <c r="MCC227" s="1201"/>
      <c r="MCD227" s="1201"/>
      <c r="MCE227" s="1201"/>
      <c r="MCF227" s="1201"/>
      <c r="MCG227" s="1201"/>
      <c r="MCH227" s="1201"/>
      <c r="MCI227" s="1201"/>
      <c r="MCJ227" s="1201"/>
      <c r="MCK227" s="1201"/>
      <c r="MCL227" s="1201"/>
      <c r="MCM227" s="1201"/>
      <c r="MCN227" s="1201"/>
      <c r="MCO227" s="1201"/>
      <c r="MCP227" s="1201"/>
      <c r="MCQ227" s="1201"/>
      <c r="MCR227" s="1201"/>
      <c r="MCS227" s="1201"/>
      <c r="MCT227" s="1201"/>
      <c r="MCU227" s="1201"/>
      <c r="MCV227" s="1201"/>
      <c r="MCW227" s="1201"/>
      <c r="MCX227" s="1201"/>
      <c r="MCY227" s="1201"/>
      <c r="MCZ227" s="1201"/>
      <c r="MDA227" s="1201"/>
      <c r="MDB227" s="1201"/>
      <c r="MDC227" s="1201"/>
      <c r="MDD227" s="1201"/>
      <c r="MDE227" s="1201"/>
      <c r="MDF227" s="1201"/>
      <c r="MDG227" s="1201"/>
      <c r="MDH227" s="1201"/>
      <c r="MDI227" s="1201"/>
      <c r="MDJ227" s="1201"/>
      <c r="MDK227" s="1201"/>
      <c r="MDL227" s="1201"/>
      <c r="MDM227" s="1201"/>
      <c r="MDN227" s="1201"/>
      <c r="MDO227" s="1201"/>
      <c r="MDP227" s="1201"/>
      <c r="MDQ227" s="1201"/>
      <c r="MDR227" s="1201"/>
      <c r="MDS227" s="1201"/>
      <c r="MDT227" s="1201"/>
      <c r="MDU227" s="1201"/>
      <c r="MDV227" s="1201"/>
      <c r="MDW227" s="1201"/>
      <c r="MDX227" s="1201"/>
      <c r="MDY227" s="1201"/>
      <c r="MDZ227" s="1201"/>
      <c r="MEA227" s="1201"/>
      <c r="MEB227" s="1201"/>
      <c r="MEC227" s="1201"/>
      <c r="MED227" s="1201"/>
      <c r="MEE227" s="1201"/>
      <c r="MEF227" s="1201"/>
      <c r="MEG227" s="1201"/>
      <c r="MEH227" s="1201"/>
      <c r="MEI227" s="1201"/>
      <c r="MEJ227" s="1201"/>
      <c r="MEK227" s="1201"/>
      <c r="MEL227" s="1201"/>
      <c r="MEM227" s="1201"/>
      <c r="MEN227" s="1201"/>
      <c r="MEO227" s="1201"/>
      <c r="MEP227" s="1201"/>
      <c r="MEQ227" s="1201"/>
      <c r="MER227" s="1201"/>
      <c r="MES227" s="1201"/>
      <c r="MET227" s="1201"/>
      <c r="MEU227" s="1201"/>
      <c r="MEV227" s="1201"/>
      <c r="MEW227" s="1201"/>
      <c r="MEX227" s="1201"/>
      <c r="MEY227" s="1201"/>
      <c r="MEZ227" s="1201"/>
      <c r="MFA227" s="1201"/>
      <c r="MFB227" s="1201"/>
      <c r="MFC227" s="1201"/>
      <c r="MFD227" s="1201"/>
      <c r="MFE227" s="1201"/>
      <c r="MFF227" s="1201"/>
      <c r="MFG227" s="1201"/>
      <c r="MFH227" s="1201"/>
      <c r="MFI227" s="1201"/>
      <c r="MFJ227" s="1201"/>
      <c r="MFK227" s="1201"/>
      <c r="MFL227" s="1201"/>
      <c r="MFM227" s="1201"/>
      <c r="MFN227" s="1201"/>
      <c r="MFO227" s="1201"/>
      <c r="MFP227" s="1201"/>
      <c r="MFQ227" s="1201"/>
      <c r="MFR227" s="1201"/>
      <c r="MFS227" s="1201"/>
      <c r="MFT227" s="1201"/>
      <c r="MFU227" s="1201"/>
      <c r="MFV227" s="1201"/>
      <c r="MFW227" s="1201"/>
      <c r="MFX227" s="1201"/>
      <c r="MFY227" s="1201"/>
      <c r="MFZ227" s="1201"/>
      <c r="MGA227" s="1201"/>
      <c r="MGB227" s="1201"/>
      <c r="MGC227" s="1201"/>
      <c r="MGD227" s="1201"/>
      <c r="MGE227" s="1201"/>
      <c r="MGF227" s="1201"/>
      <c r="MGG227" s="1201"/>
      <c r="MGH227" s="1201"/>
      <c r="MGI227" s="1201"/>
      <c r="MGJ227" s="1201"/>
      <c r="MGK227" s="1201"/>
      <c r="MGL227" s="1201"/>
      <c r="MGM227" s="1201"/>
      <c r="MGN227" s="1201"/>
      <c r="MGO227" s="1201"/>
      <c r="MGP227" s="1201"/>
      <c r="MGQ227" s="1201"/>
      <c r="MGR227" s="1201"/>
      <c r="MGS227" s="1201"/>
      <c r="MGT227" s="1201"/>
      <c r="MGU227" s="1201"/>
      <c r="MGV227" s="1201"/>
      <c r="MGW227" s="1201"/>
      <c r="MGX227" s="1201"/>
      <c r="MGY227" s="1201"/>
      <c r="MGZ227" s="1201"/>
      <c r="MHA227" s="1201"/>
      <c r="MHB227" s="1201"/>
      <c r="MHC227" s="1201"/>
      <c r="MHD227" s="1201"/>
      <c r="MHE227" s="1201"/>
      <c r="MHF227" s="1201"/>
      <c r="MHG227" s="1201"/>
      <c r="MHH227" s="1201"/>
      <c r="MHI227" s="1201"/>
      <c r="MHJ227" s="1201"/>
      <c r="MHK227" s="1201"/>
      <c r="MHL227" s="1201"/>
      <c r="MHM227" s="1201"/>
      <c r="MHN227" s="1201"/>
      <c r="MHO227" s="1201"/>
      <c r="MHP227" s="1201"/>
      <c r="MHQ227" s="1201"/>
      <c r="MHR227" s="1201"/>
      <c r="MHS227" s="1201"/>
      <c r="MHT227" s="1201"/>
      <c r="MHU227" s="1201"/>
      <c r="MHV227" s="1201"/>
      <c r="MHW227" s="1201"/>
      <c r="MHX227" s="1201"/>
      <c r="MHY227" s="1201"/>
      <c r="MHZ227" s="1201"/>
      <c r="MIA227" s="1201"/>
      <c r="MIB227" s="1201"/>
      <c r="MIC227" s="1201"/>
      <c r="MID227" s="1201"/>
      <c r="MIE227" s="1201"/>
      <c r="MIF227" s="1201"/>
      <c r="MIG227" s="1201"/>
      <c r="MIH227" s="1201"/>
      <c r="MII227" s="1201"/>
      <c r="MIJ227" s="1201"/>
      <c r="MIK227" s="1201"/>
      <c r="MIL227" s="1201"/>
      <c r="MIM227" s="1201"/>
      <c r="MIN227" s="1201"/>
      <c r="MIO227" s="1201"/>
      <c r="MIP227" s="1201"/>
      <c r="MIQ227" s="1201"/>
      <c r="MIR227" s="1201"/>
      <c r="MIS227" s="1201"/>
      <c r="MIT227" s="1201"/>
      <c r="MIU227" s="1201"/>
      <c r="MIV227" s="1201"/>
      <c r="MIW227" s="1201"/>
      <c r="MIX227" s="1201"/>
      <c r="MIY227" s="1201"/>
      <c r="MIZ227" s="1201"/>
      <c r="MJA227" s="1201"/>
      <c r="MJB227" s="1201"/>
      <c r="MJC227" s="1201"/>
      <c r="MJD227" s="1201"/>
      <c r="MJE227" s="1201"/>
      <c r="MJF227" s="1201"/>
      <c r="MJG227" s="1201"/>
      <c r="MJH227" s="1201"/>
      <c r="MJI227" s="1201"/>
      <c r="MJJ227" s="1201"/>
      <c r="MJK227" s="1201"/>
      <c r="MJL227" s="1201"/>
      <c r="MJM227" s="1201"/>
      <c r="MJN227" s="1201"/>
      <c r="MJO227" s="1201"/>
      <c r="MJP227" s="1201"/>
      <c r="MJQ227" s="1201"/>
      <c r="MJR227" s="1201"/>
      <c r="MJS227" s="1201"/>
      <c r="MJT227" s="1201"/>
      <c r="MJU227" s="1201"/>
      <c r="MJV227" s="1201"/>
      <c r="MJW227" s="1201"/>
      <c r="MJX227" s="1201"/>
      <c r="MJY227" s="1201"/>
      <c r="MJZ227" s="1201"/>
      <c r="MKA227" s="1201"/>
      <c r="MKB227" s="1201"/>
      <c r="MKC227" s="1201"/>
      <c r="MKD227" s="1201"/>
      <c r="MKE227" s="1201"/>
      <c r="MKF227" s="1201"/>
      <c r="MKG227" s="1201"/>
      <c r="MKH227" s="1201"/>
      <c r="MKI227" s="1201"/>
      <c r="MKJ227" s="1201"/>
      <c r="MKK227" s="1201"/>
      <c r="MKL227" s="1201"/>
      <c r="MKM227" s="1201"/>
      <c r="MKN227" s="1201"/>
      <c r="MKO227" s="1201"/>
      <c r="MKP227" s="1201"/>
      <c r="MKQ227" s="1201"/>
      <c r="MKR227" s="1201"/>
      <c r="MKS227" s="1201"/>
      <c r="MKT227" s="1201"/>
      <c r="MKU227" s="1201"/>
      <c r="MKV227" s="1201"/>
      <c r="MKW227" s="1201"/>
      <c r="MKX227" s="1201"/>
      <c r="MKY227" s="1201"/>
      <c r="MKZ227" s="1201"/>
      <c r="MLA227" s="1201"/>
      <c r="MLB227" s="1201"/>
      <c r="MLC227" s="1201"/>
      <c r="MLD227" s="1201"/>
      <c r="MLE227" s="1201"/>
      <c r="MLF227" s="1201"/>
      <c r="MLG227" s="1201"/>
      <c r="MLH227" s="1201"/>
      <c r="MLI227" s="1201"/>
      <c r="MLJ227" s="1201"/>
      <c r="MLK227" s="1201"/>
      <c r="MLL227" s="1201"/>
      <c r="MLM227" s="1201"/>
      <c r="MLN227" s="1201"/>
      <c r="MLO227" s="1201"/>
      <c r="MLP227" s="1201"/>
      <c r="MLQ227" s="1201"/>
      <c r="MLR227" s="1201"/>
      <c r="MLS227" s="1201"/>
      <c r="MLT227" s="1201"/>
      <c r="MLU227" s="1201"/>
      <c r="MLV227" s="1201"/>
      <c r="MLW227" s="1201"/>
      <c r="MLX227" s="1201"/>
      <c r="MLY227" s="1201"/>
      <c r="MLZ227" s="1201"/>
      <c r="MMA227" s="1201"/>
      <c r="MMB227" s="1201"/>
      <c r="MMC227" s="1201"/>
      <c r="MMD227" s="1201"/>
      <c r="MME227" s="1201"/>
      <c r="MMF227" s="1201"/>
      <c r="MMG227" s="1201"/>
      <c r="MMH227" s="1201"/>
      <c r="MMI227" s="1201"/>
      <c r="MMJ227" s="1201"/>
      <c r="MMK227" s="1201"/>
      <c r="MML227" s="1201"/>
      <c r="MMM227" s="1201"/>
      <c r="MMN227" s="1201"/>
      <c r="MMO227" s="1201"/>
      <c r="MMP227" s="1201"/>
      <c r="MMQ227" s="1201"/>
      <c r="MMR227" s="1201"/>
      <c r="MMS227" s="1201"/>
      <c r="MMT227" s="1201"/>
      <c r="MMU227" s="1201"/>
      <c r="MMV227" s="1201"/>
      <c r="MMW227" s="1201"/>
      <c r="MMX227" s="1201"/>
      <c r="MMY227" s="1201"/>
      <c r="MMZ227" s="1201"/>
      <c r="MNA227" s="1201"/>
      <c r="MNB227" s="1201"/>
      <c r="MNC227" s="1201"/>
      <c r="MND227" s="1201"/>
      <c r="MNE227" s="1201"/>
      <c r="MNF227" s="1201"/>
      <c r="MNG227" s="1201"/>
      <c r="MNH227" s="1201"/>
      <c r="MNI227" s="1201"/>
      <c r="MNJ227" s="1201"/>
      <c r="MNK227" s="1201"/>
      <c r="MNL227" s="1201"/>
      <c r="MNM227" s="1201"/>
      <c r="MNN227" s="1201"/>
      <c r="MNO227" s="1201"/>
      <c r="MNP227" s="1201"/>
      <c r="MNQ227" s="1201"/>
      <c r="MNR227" s="1201"/>
      <c r="MNS227" s="1201"/>
      <c r="MNT227" s="1201"/>
      <c r="MNU227" s="1201"/>
      <c r="MNV227" s="1201"/>
      <c r="MNW227" s="1201"/>
      <c r="MNX227" s="1201"/>
      <c r="MNY227" s="1201"/>
      <c r="MNZ227" s="1201"/>
      <c r="MOA227" s="1201"/>
      <c r="MOB227" s="1201"/>
      <c r="MOC227" s="1201"/>
      <c r="MOD227" s="1201"/>
      <c r="MOE227" s="1201"/>
      <c r="MOF227" s="1201"/>
      <c r="MOG227" s="1201"/>
      <c r="MOH227" s="1201"/>
      <c r="MOI227" s="1201"/>
      <c r="MOJ227" s="1201"/>
      <c r="MOK227" s="1201"/>
      <c r="MOL227" s="1201"/>
      <c r="MOM227" s="1201"/>
      <c r="MON227" s="1201"/>
      <c r="MOO227" s="1201"/>
      <c r="MOP227" s="1201"/>
      <c r="MOQ227" s="1201"/>
      <c r="MOR227" s="1201"/>
      <c r="MOS227" s="1201"/>
      <c r="MOT227" s="1201"/>
      <c r="MOU227" s="1201"/>
      <c r="MOV227" s="1201"/>
      <c r="MOW227" s="1201"/>
      <c r="MOX227" s="1201"/>
      <c r="MOY227" s="1201"/>
      <c r="MOZ227" s="1201"/>
      <c r="MPA227" s="1201"/>
      <c r="MPB227" s="1201"/>
      <c r="MPC227" s="1201"/>
      <c r="MPD227" s="1201"/>
      <c r="MPE227" s="1201"/>
      <c r="MPF227" s="1201"/>
      <c r="MPG227" s="1201"/>
      <c r="MPH227" s="1201"/>
      <c r="MPI227" s="1201"/>
      <c r="MPJ227" s="1201"/>
      <c r="MPK227" s="1201"/>
      <c r="MPL227" s="1201"/>
      <c r="MPM227" s="1201"/>
      <c r="MPN227" s="1201"/>
      <c r="MPO227" s="1201"/>
      <c r="MPP227" s="1201"/>
      <c r="MPQ227" s="1201"/>
      <c r="MPR227" s="1201"/>
      <c r="MPS227" s="1201"/>
      <c r="MPT227" s="1201"/>
      <c r="MPU227" s="1201"/>
      <c r="MPV227" s="1201"/>
      <c r="MPW227" s="1201"/>
      <c r="MPX227" s="1201"/>
      <c r="MPY227" s="1201"/>
      <c r="MPZ227" s="1201"/>
      <c r="MQA227" s="1201"/>
      <c r="MQB227" s="1201"/>
      <c r="MQC227" s="1201"/>
      <c r="MQD227" s="1201"/>
      <c r="MQE227" s="1201"/>
      <c r="MQF227" s="1201"/>
      <c r="MQG227" s="1201"/>
      <c r="MQH227" s="1201"/>
      <c r="MQI227" s="1201"/>
      <c r="MQJ227" s="1201"/>
      <c r="MQK227" s="1201"/>
      <c r="MQL227" s="1201"/>
      <c r="MQM227" s="1201"/>
      <c r="MQN227" s="1201"/>
      <c r="MQO227" s="1201"/>
      <c r="MQP227" s="1201"/>
      <c r="MQQ227" s="1201"/>
      <c r="MQR227" s="1201"/>
      <c r="MQS227" s="1201"/>
      <c r="MQT227" s="1201"/>
      <c r="MQU227" s="1201"/>
      <c r="MQV227" s="1201"/>
      <c r="MQW227" s="1201"/>
      <c r="MQX227" s="1201"/>
      <c r="MQY227" s="1201"/>
      <c r="MQZ227" s="1201"/>
      <c r="MRA227" s="1201"/>
      <c r="MRB227" s="1201"/>
      <c r="MRC227" s="1201"/>
      <c r="MRD227" s="1201"/>
      <c r="MRE227" s="1201"/>
      <c r="MRF227" s="1201"/>
      <c r="MRG227" s="1201"/>
      <c r="MRH227" s="1201"/>
      <c r="MRI227" s="1201"/>
      <c r="MRJ227" s="1201"/>
      <c r="MRK227" s="1201"/>
      <c r="MRL227" s="1201"/>
      <c r="MRM227" s="1201"/>
      <c r="MRN227" s="1201"/>
      <c r="MRO227" s="1201"/>
      <c r="MRP227" s="1201"/>
      <c r="MRQ227" s="1201"/>
      <c r="MRR227" s="1201"/>
      <c r="MRS227" s="1201"/>
      <c r="MRT227" s="1201"/>
      <c r="MRU227" s="1201"/>
      <c r="MRV227" s="1201"/>
      <c r="MRW227" s="1201"/>
      <c r="MRX227" s="1201"/>
      <c r="MRY227" s="1201"/>
      <c r="MRZ227" s="1201"/>
      <c r="MSA227" s="1201"/>
      <c r="MSB227" s="1201"/>
      <c r="MSC227" s="1201"/>
      <c r="MSD227" s="1201"/>
      <c r="MSE227" s="1201"/>
      <c r="MSF227" s="1201"/>
      <c r="MSG227" s="1201"/>
      <c r="MSH227" s="1201"/>
      <c r="MSI227" s="1201"/>
      <c r="MSJ227" s="1201"/>
      <c r="MSK227" s="1201"/>
      <c r="MSL227" s="1201"/>
      <c r="MSM227" s="1201"/>
      <c r="MSN227" s="1201"/>
      <c r="MSO227" s="1201"/>
      <c r="MSP227" s="1201"/>
      <c r="MSQ227" s="1201"/>
      <c r="MSR227" s="1201"/>
      <c r="MSS227" s="1201"/>
      <c r="MST227" s="1201"/>
      <c r="MSU227" s="1201"/>
      <c r="MSV227" s="1201"/>
      <c r="MSW227" s="1201"/>
      <c r="MSX227" s="1201"/>
      <c r="MSY227" s="1201"/>
      <c r="MSZ227" s="1201"/>
      <c r="MTA227" s="1201"/>
      <c r="MTB227" s="1201"/>
      <c r="MTC227" s="1201"/>
      <c r="MTD227" s="1201"/>
      <c r="MTE227" s="1201"/>
      <c r="MTF227" s="1201"/>
      <c r="MTG227" s="1201"/>
      <c r="MTH227" s="1201"/>
      <c r="MTI227" s="1201"/>
      <c r="MTJ227" s="1201"/>
      <c r="MTK227" s="1201"/>
      <c r="MTL227" s="1201"/>
      <c r="MTM227" s="1201"/>
      <c r="MTN227" s="1201"/>
      <c r="MTO227" s="1201"/>
      <c r="MTP227" s="1201"/>
      <c r="MTQ227" s="1201"/>
      <c r="MTR227" s="1201"/>
      <c r="MTS227" s="1201"/>
      <c r="MTT227" s="1201"/>
      <c r="MTU227" s="1201"/>
      <c r="MTV227" s="1201"/>
      <c r="MTW227" s="1201"/>
      <c r="MTX227" s="1201"/>
      <c r="MTY227" s="1201"/>
      <c r="MTZ227" s="1201"/>
      <c r="MUA227" s="1201"/>
      <c r="MUB227" s="1201"/>
      <c r="MUC227" s="1201"/>
      <c r="MUD227" s="1201"/>
      <c r="MUE227" s="1201"/>
      <c r="MUF227" s="1201"/>
      <c r="MUG227" s="1201"/>
      <c r="MUH227" s="1201"/>
      <c r="MUI227" s="1201"/>
      <c r="MUJ227" s="1201"/>
      <c r="MUK227" s="1201"/>
      <c r="MUL227" s="1201"/>
      <c r="MUM227" s="1201"/>
      <c r="MUN227" s="1201"/>
      <c r="MUO227" s="1201"/>
      <c r="MUP227" s="1201"/>
      <c r="MUQ227" s="1201"/>
      <c r="MUR227" s="1201"/>
      <c r="MUS227" s="1201"/>
      <c r="MUT227" s="1201"/>
      <c r="MUU227" s="1201"/>
      <c r="MUV227" s="1201"/>
      <c r="MUW227" s="1201"/>
      <c r="MUX227" s="1201"/>
      <c r="MUY227" s="1201"/>
      <c r="MUZ227" s="1201"/>
      <c r="MVA227" s="1201"/>
      <c r="MVB227" s="1201"/>
      <c r="MVC227" s="1201"/>
      <c r="MVD227" s="1201"/>
      <c r="MVE227" s="1201"/>
      <c r="MVF227" s="1201"/>
      <c r="MVG227" s="1201"/>
      <c r="MVH227" s="1201"/>
      <c r="MVI227" s="1201"/>
      <c r="MVJ227" s="1201"/>
      <c r="MVK227" s="1201"/>
      <c r="MVL227" s="1201"/>
      <c r="MVM227" s="1201"/>
      <c r="MVN227" s="1201"/>
      <c r="MVO227" s="1201"/>
      <c r="MVP227" s="1201"/>
      <c r="MVQ227" s="1201"/>
      <c r="MVR227" s="1201"/>
      <c r="MVS227" s="1201"/>
      <c r="MVT227" s="1201"/>
      <c r="MVU227" s="1201"/>
      <c r="MVV227" s="1201"/>
      <c r="MVW227" s="1201"/>
      <c r="MVX227" s="1201"/>
      <c r="MVY227" s="1201"/>
      <c r="MVZ227" s="1201"/>
      <c r="MWA227" s="1201"/>
      <c r="MWB227" s="1201"/>
      <c r="MWC227" s="1201"/>
      <c r="MWD227" s="1201"/>
      <c r="MWE227" s="1201"/>
      <c r="MWF227" s="1201"/>
      <c r="MWG227" s="1201"/>
      <c r="MWH227" s="1201"/>
      <c r="MWI227" s="1201"/>
      <c r="MWJ227" s="1201"/>
      <c r="MWK227" s="1201"/>
      <c r="MWL227" s="1201"/>
      <c r="MWM227" s="1201"/>
      <c r="MWN227" s="1201"/>
      <c r="MWO227" s="1201"/>
      <c r="MWP227" s="1201"/>
      <c r="MWQ227" s="1201"/>
      <c r="MWR227" s="1201"/>
      <c r="MWS227" s="1201"/>
      <c r="MWT227" s="1201"/>
      <c r="MWU227" s="1201"/>
      <c r="MWV227" s="1201"/>
      <c r="MWW227" s="1201"/>
      <c r="MWX227" s="1201"/>
      <c r="MWY227" s="1201"/>
      <c r="MWZ227" s="1201"/>
      <c r="MXA227" s="1201"/>
      <c r="MXB227" s="1201"/>
      <c r="MXC227" s="1201"/>
      <c r="MXD227" s="1201"/>
      <c r="MXE227" s="1201"/>
      <c r="MXF227" s="1201"/>
      <c r="MXG227" s="1201"/>
      <c r="MXH227" s="1201"/>
      <c r="MXI227" s="1201"/>
      <c r="MXJ227" s="1201"/>
      <c r="MXK227" s="1201"/>
      <c r="MXL227" s="1201"/>
      <c r="MXM227" s="1201"/>
      <c r="MXN227" s="1201"/>
      <c r="MXO227" s="1201"/>
      <c r="MXP227" s="1201"/>
      <c r="MXQ227" s="1201"/>
      <c r="MXR227" s="1201"/>
      <c r="MXS227" s="1201"/>
      <c r="MXT227" s="1201"/>
      <c r="MXU227" s="1201"/>
      <c r="MXV227" s="1201"/>
      <c r="MXW227" s="1201"/>
      <c r="MXX227" s="1201"/>
      <c r="MXY227" s="1201"/>
      <c r="MXZ227" s="1201"/>
      <c r="MYA227" s="1201"/>
      <c r="MYB227" s="1201"/>
      <c r="MYC227" s="1201"/>
      <c r="MYD227" s="1201"/>
      <c r="MYE227" s="1201"/>
      <c r="MYF227" s="1201"/>
      <c r="MYG227" s="1201"/>
      <c r="MYH227" s="1201"/>
      <c r="MYI227" s="1201"/>
      <c r="MYJ227" s="1201"/>
      <c r="MYK227" s="1201"/>
      <c r="MYL227" s="1201"/>
      <c r="MYM227" s="1201"/>
      <c r="MYN227" s="1201"/>
      <c r="MYO227" s="1201"/>
      <c r="MYP227" s="1201"/>
      <c r="MYQ227" s="1201"/>
      <c r="MYR227" s="1201"/>
      <c r="MYS227" s="1201"/>
      <c r="MYT227" s="1201"/>
      <c r="MYU227" s="1201"/>
      <c r="MYV227" s="1201"/>
      <c r="MYW227" s="1201"/>
      <c r="MYX227" s="1201"/>
      <c r="MYY227" s="1201"/>
      <c r="MYZ227" s="1201"/>
      <c r="MZA227" s="1201"/>
      <c r="MZB227" s="1201"/>
      <c r="MZC227" s="1201"/>
      <c r="MZD227" s="1201"/>
      <c r="MZE227" s="1201"/>
      <c r="MZF227" s="1201"/>
      <c r="MZG227" s="1201"/>
      <c r="MZH227" s="1201"/>
      <c r="MZI227" s="1201"/>
      <c r="MZJ227" s="1201"/>
      <c r="MZK227" s="1201"/>
      <c r="MZL227" s="1201"/>
      <c r="MZM227" s="1201"/>
      <c r="MZN227" s="1201"/>
      <c r="MZO227" s="1201"/>
      <c r="MZP227" s="1201"/>
      <c r="MZQ227" s="1201"/>
      <c r="MZR227" s="1201"/>
      <c r="MZS227" s="1201"/>
      <c r="MZT227" s="1201"/>
      <c r="MZU227" s="1201"/>
      <c r="MZV227" s="1201"/>
      <c r="MZW227" s="1201"/>
      <c r="MZX227" s="1201"/>
      <c r="MZY227" s="1201"/>
      <c r="MZZ227" s="1201"/>
      <c r="NAA227" s="1201"/>
      <c r="NAB227" s="1201"/>
      <c r="NAC227" s="1201"/>
      <c r="NAD227" s="1201"/>
      <c r="NAE227" s="1201"/>
      <c r="NAF227" s="1201"/>
      <c r="NAG227" s="1201"/>
      <c r="NAH227" s="1201"/>
      <c r="NAI227" s="1201"/>
      <c r="NAJ227" s="1201"/>
      <c r="NAK227" s="1201"/>
      <c r="NAL227" s="1201"/>
      <c r="NAM227" s="1201"/>
      <c r="NAN227" s="1201"/>
      <c r="NAO227" s="1201"/>
      <c r="NAP227" s="1201"/>
      <c r="NAQ227" s="1201"/>
      <c r="NAR227" s="1201"/>
      <c r="NAS227" s="1201"/>
      <c r="NAT227" s="1201"/>
      <c r="NAU227" s="1201"/>
      <c r="NAV227" s="1201"/>
      <c r="NAW227" s="1201"/>
      <c r="NAX227" s="1201"/>
      <c r="NAY227" s="1201"/>
      <c r="NAZ227" s="1201"/>
      <c r="NBA227" s="1201"/>
      <c r="NBB227" s="1201"/>
      <c r="NBC227" s="1201"/>
      <c r="NBD227" s="1201"/>
      <c r="NBE227" s="1201"/>
      <c r="NBF227" s="1201"/>
      <c r="NBG227" s="1201"/>
      <c r="NBH227" s="1201"/>
      <c r="NBI227" s="1201"/>
      <c r="NBJ227" s="1201"/>
      <c r="NBK227" s="1201"/>
      <c r="NBL227" s="1201"/>
      <c r="NBM227" s="1201"/>
      <c r="NBN227" s="1201"/>
      <c r="NBO227" s="1201"/>
      <c r="NBP227" s="1201"/>
      <c r="NBQ227" s="1201"/>
      <c r="NBR227" s="1201"/>
      <c r="NBS227" s="1201"/>
      <c r="NBT227" s="1201"/>
      <c r="NBU227" s="1201"/>
      <c r="NBV227" s="1201"/>
      <c r="NBW227" s="1201"/>
      <c r="NBX227" s="1201"/>
      <c r="NBY227" s="1201"/>
      <c r="NBZ227" s="1201"/>
      <c r="NCA227" s="1201"/>
      <c r="NCB227" s="1201"/>
      <c r="NCC227" s="1201"/>
      <c r="NCD227" s="1201"/>
      <c r="NCE227" s="1201"/>
      <c r="NCF227" s="1201"/>
      <c r="NCG227" s="1201"/>
      <c r="NCH227" s="1201"/>
      <c r="NCI227" s="1201"/>
      <c r="NCJ227" s="1201"/>
      <c r="NCK227" s="1201"/>
      <c r="NCL227" s="1201"/>
      <c r="NCM227" s="1201"/>
      <c r="NCN227" s="1201"/>
      <c r="NCO227" s="1201"/>
      <c r="NCP227" s="1201"/>
      <c r="NCQ227" s="1201"/>
      <c r="NCR227" s="1201"/>
      <c r="NCS227" s="1201"/>
      <c r="NCT227" s="1201"/>
      <c r="NCU227" s="1201"/>
      <c r="NCV227" s="1201"/>
      <c r="NCW227" s="1201"/>
      <c r="NCX227" s="1201"/>
      <c r="NCY227" s="1201"/>
      <c r="NCZ227" s="1201"/>
      <c r="NDA227" s="1201"/>
      <c r="NDB227" s="1201"/>
      <c r="NDC227" s="1201"/>
      <c r="NDD227" s="1201"/>
      <c r="NDE227" s="1201"/>
      <c r="NDF227" s="1201"/>
      <c r="NDG227" s="1201"/>
      <c r="NDH227" s="1201"/>
      <c r="NDI227" s="1201"/>
      <c r="NDJ227" s="1201"/>
      <c r="NDK227" s="1201"/>
      <c r="NDL227" s="1201"/>
      <c r="NDM227" s="1201"/>
      <c r="NDN227" s="1201"/>
      <c r="NDO227" s="1201"/>
      <c r="NDP227" s="1201"/>
      <c r="NDQ227" s="1201"/>
      <c r="NDR227" s="1201"/>
      <c r="NDS227" s="1201"/>
      <c r="NDT227" s="1201"/>
      <c r="NDU227" s="1201"/>
      <c r="NDV227" s="1201"/>
      <c r="NDW227" s="1201"/>
      <c r="NDX227" s="1201"/>
      <c r="NDY227" s="1201"/>
      <c r="NDZ227" s="1201"/>
      <c r="NEA227" s="1201"/>
      <c r="NEB227" s="1201"/>
      <c r="NEC227" s="1201"/>
      <c r="NED227" s="1201"/>
      <c r="NEE227" s="1201"/>
      <c r="NEF227" s="1201"/>
      <c r="NEG227" s="1201"/>
      <c r="NEH227" s="1201"/>
      <c r="NEI227" s="1201"/>
      <c r="NEJ227" s="1201"/>
      <c r="NEK227" s="1201"/>
      <c r="NEL227" s="1201"/>
      <c r="NEM227" s="1201"/>
      <c r="NEN227" s="1201"/>
      <c r="NEO227" s="1201"/>
      <c r="NEP227" s="1201"/>
      <c r="NEQ227" s="1201"/>
      <c r="NER227" s="1201"/>
      <c r="NES227" s="1201"/>
      <c r="NET227" s="1201"/>
      <c r="NEU227" s="1201"/>
      <c r="NEV227" s="1201"/>
      <c r="NEW227" s="1201"/>
      <c r="NEX227" s="1201"/>
      <c r="NEY227" s="1201"/>
      <c r="NEZ227" s="1201"/>
      <c r="NFA227" s="1201"/>
      <c r="NFB227" s="1201"/>
      <c r="NFC227" s="1201"/>
      <c r="NFD227" s="1201"/>
      <c r="NFE227" s="1201"/>
      <c r="NFF227" s="1201"/>
      <c r="NFG227" s="1201"/>
      <c r="NFH227" s="1201"/>
      <c r="NFI227" s="1201"/>
      <c r="NFJ227" s="1201"/>
      <c r="NFK227" s="1201"/>
      <c r="NFL227" s="1201"/>
      <c r="NFM227" s="1201"/>
      <c r="NFN227" s="1201"/>
      <c r="NFO227" s="1201"/>
      <c r="NFP227" s="1201"/>
      <c r="NFQ227" s="1201"/>
      <c r="NFR227" s="1201"/>
      <c r="NFS227" s="1201"/>
      <c r="NFT227" s="1201"/>
      <c r="NFU227" s="1201"/>
      <c r="NFV227" s="1201"/>
      <c r="NFW227" s="1201"/>
      <c r="NFX227" s="1201"/>
      <c r="NFY227" s="1201"/>
      <c r="NFZ227" s="1201"/>
      <c r="NGA227" s="1201"/>
      <c r="NGB227" s="1201"/>
      <c r="NGC227" s="1201"/>
      <c r="NGD227" s="1201"/>
      <c r="NGE227" s="1201"/>
      <c r="NGF227" s="1201"/>
      <c r="NGG227" s="1201"/>
      <c r="NGH227" s="1201"/>
      <c r="NGI227" s="1201"/>
      <c r="NGJ227" s="1201"/>
      <c r="NGK227" s="1201"/>
      <c r="NGL227" s="1201"/>
      <c r="NGM227" s="1201"/>
      <c r="NGN227" s="1201"/>
      <c r="NGO227" s="1201"/>
      <c r="NGP227" s="1201"/>
      <c r="NGQ227" s="1201"/>
      <c r="NGR227" s="1201"/>
      <c r="NGS227" s="1201"/>
      <c r="NGT227" s="1201"/>
      <c r="NGU227" s="1201"/>
      <c r="NGV227" s="1201"/>
      <c r="NGW227" s="1201"/>
      <c r="NGX227" s="1201"/>
      <c r="NGY227" s="1201"/>
      <c r="NGZ227" s="1201"/>
      <c r="NHA227" s="1201"/>
      <c r="NHB227" s="1201"/>
      <c r="NHC227" s="1201"/>
      <c r="NHD227" s="1201"/>
      <c r="NHE227" s="1201"/>
      <c r="NHF227" s="1201"/>
      <c r="NHG227" s="1201"/>
      <c r="NHH227" s="1201"/>
      <c r="NHI227" s="1201"/>
      <c r="NHJ227" s="1201"/>
      <c r="NHK227" s="1201"/>
      <c r="NHL227" s="1201"/>
      <c r="NHM227" s="1201"/>
      <c r="NHN227" s="1201"/>
      <c r="NHO227" s="1201"/>
      <c r="NHP227" s="1201"/>
      <c r="NHQ227" s="1201"/>
      <c r="NHR227" s="1201"/>
      <c r="NHS227" s="1201"/>
      <c r="NHT227" s="1201"/>
      <c r="NHU227" s="1201"/>
      <c r="NHV227" s="1201"/>
      <c r="NHW227" s="1201"/>
      <c r="NHX227" s="1201"/>
      <c r="NHY227" s="1201"/>
      <c r="NHZ227" s="1201"/>
      <c r="NIA227" s="1201"/>
      <c r="NIB227" s="1201"/>
      <c r="NIC227" s="1201"/>
      <c r="NID227" s="1201"/>
      <c r="NIE227" s="1201"/>
      <c r="NIF227" s="1201"/>
      <c r="NIG227" s="1201"/>
      <c r="NIH227" s="1201"/>
      <c r="NII227" s="1201"/>
      <c r="NIJ227" s="1201"/>
      <c r="NIK227" s="1201"/>
      <c r="NIL227" s="1201"/>
      <c r="NIM227" s="1201"/>
      <c r="NIN227" s="1201"/>
      <c r="NIO227" s="1201"/>
      <c r="NIP227" s="1201"/>
      <c r="NIQ227" s="1201"/>
      <c r="NIR227" s="1201"/>
      <c r="NIS227" s="1201"/>
      <c r="NIT227" s="1201"/>
      <c r="NIU227" s="1201"/>
      <c r="NIV227" s="1201"/>
      <c r="NIW227" s="1201"/>
      <c r="NIX227" s="1201"/>
      <c r="NIY227" s="1201"/>
      <c r="NIZ227" s="1201"/>
      <c r="NJA227" s="1201"/>
      <c r="NJB227" s="1201"/>
      <c r="NJC227" s="1201"/>
      <c r="NJD227" s="1201"/>
      <c r="NJE227" s="1201"/>
      <c r="NJF227" s="1201"/>
      <c r="NJG227" s="1201"/>
      <c r="NJH227" s="1201"/>
      <c r="NJI227" s="1201"/>
      <c r="NJJ227" s="1201"/>
      <c r="NJK227" s="1201"/>
      <c r="NJL227" s="1201"/>
      <c r="NJM227" s="1201"/>
      <c r="NJN227" s="1201"/>
      <c r="NJO227" s="1201"/>
      <c r="NJP227" s="1201"/>
      <c r="NJQ227" s="1201"/>
      <c r="NJR227" s="1201"/>
      <c r="NJS227" s="1201"/>
      <c r="NJT227" s="1201"/>
      <c r="NJU227" s="1201"/>
      <c r="NJV227" s="1201"/>
      <c r="NJW227" s="1201"/>
      <c r="NJX227" s="1201"/>
      <c r="NJY227" s="1201"/>
      <c r="NJZ227" s="1201"/>
      <c r="NKA227" s="1201"/>
      <c r="NKB227" s="1201"/>
      <c r="NKC227" s="1201"/>
      <c r="NKD227" s="1201"/>
      <c r="NKE227" s="1201"/>
      <c r="NKF227" s="1201"/>
      <c r="NKG227" s="1201"/>
      <c r="NKH227" s="1201"/>
      <c r="NKI227" s="1201"/>
      <c r="NKJ227" s="1201"/>
      <c r="NKK227" s="1201"/>
      <c r="NKL227" s="1201"/>
      <c r="NKM227" s="1201"/>
      <c r="NKN227" s="1201"/>
      <c r="NKO227" s="1201"/>
      <c r="NKP227" s="1201"/>
      <c r="NKQ227" s="1201"/>
      <c r="NKR227" s="1201"/>
      <c r="NKS227" s="1201"/>
      <c r="NKT227" s="1201"/>
      <c r="NKU227" s="1201"/>
      <c r="NKV227" s="1201"/>
      <c r="NKW227" s="1201"/>
      <c r="NKX227" s="1201"/>
      <c r="NKY227" s="1201"/>
      <c r="NKZ227" s="1201"/>
      <c r="NLA227" s="1201"/>
      <c r="NLB227" s="1201"/>
      <c r="NLC227" s="1201"/>
      <c r="NLD227" s="1201"/>
      <c r="NLE227" s="1201"/>
      <c r="NLF227" s="1201"/>
      <c r="NLG227" s="1201"/>
      <c r="NLH227" s="1201"/>
      <c r="NLI227" s="1201"/>
      <c r="NLJ227" s="1201"/>
      <c r="NLK227" s="1201"/>
      <c r="NLL227" s="1201"/>
      <c r="NLM227" s="1201"/>
      <c r="NLN227" s="1201"/>
      <c r="NLO227" s="1201"/>
      <c r="NLP227" s="1201"/>
      <c r="NLQ227" s="1201"/>
      <c r="NLR227" s="1201"/>
      <c r="NLS227" s="1201"/>
      <c r="NLT227" s="1201"/>
      <c r="NLU227" s="1201"/>
      <c r="NLV227" s="1201"/>
      <c r="NLW227" s="1201"/>
      <c r="NLX227" s="1201"/>
      <c r="NLY227" s="1201"/>
      <c r="NLZ227" s="1201"/>
      <c r="NMA227" s="1201"/>
      <c r="NMB227" s="1201"/>
      <c r="NMC227" s="1201"/>
      <c r="NMD227" s="1201"/>
      <c r="NME227" s="1201"/>
      <c r="NMF227" s="1201"/>
      <c r="NMG227" s="1201"/>
      <c r="NMH227" s="1201"/>
      <c r="NMI227" s="1201"/>
      <c r="NMJ227" s="1201"/>
      <c r="NMK227" s="1201"/>
      <c r="NML227" s="1201"/>
      <c r="NMM227" s="1201"/>
      <c r="NMN227" s="1201"/>
      <c r="NMO227" s="1201"/>
      <c r="NMP227" s="1201"/>
      <c r="NMQ227" s="1201"/>
      <c r="NMR227" s="1201"/>
      <c r="NMS227" s="1201"/>
      <c r="NMT227" s="1201"/>
      <c r="NMU227" s="1201"/>
      <c r="NMV227" s="1201"/>
      <c r="NMW227" s="1201"/>
      <c r="NMX227" s="1201"/>
      <c r="NMY227" s="1201"/>
      <c r="NMZ227" s="1201"/>
      <c r="NNA227" s="1201"/>
      <c r="NNB227" s="1201"/>
      <c r="NNC227" s="1201"/>
      <c r="NND227" s="1201"/>
      <c r="NNE227" s="1201"/>
      <c r="NNF227" s="1201"/>
      <c r="NNG227" s="1201"/>
      <c r="NNH227" s="1201"/>
      <c r="NNI227" s="1201"/>
      <c r="NNJ227" s="1201"/>
      <c r="NNK227" s="1201"/>
      <c r="NNL227" s="1201"/>
      <c r="NNM227" s="1201"/>
      <c r="NNN227" s="1201"/>
      <c r="NNO227" s="1201"/>
      <c r="NNP227" s="1201"/>
      <c r="NNQ227" s="1201"/>
      <c r="NNR227" s="1201"/>
      <c r="NNS227" s="1201"/>
      <c r="NNT227" s="1201"/>
      <c r="NNU227" s="1201"/>
      <c r="NNV227" s="1201"/>
      <c r="NNW227" s="1201"/>
      <c r="NNX227" s="1201"/>
      <c r="NNY227" s="1201"/>
      <c r="NNZ227" s="1201"/>
      <c r="NOA227" s="1201"/>
      <c r="NOB227" s="1201"/>
      <c r="NOC227" s="1201"/>
      <c r="NOD227" s="1201"/>
      <c r="NOE227" s="1201"/>
      <c r="NOF227" s="1201"/>
      <c r="NOG227" s="1201"/>
      <c r="NOH227" s="1201"/>
      <c r="NOI227" s="1201"/>
      <c r="NOJ227" s="1201"/>
      <c r="NOK227" s="1201"/>
      <c r="NOL227" s="1201"/>
      <c r="NOM227" s="1201"/>
      <c r="NON227" s="1201"/>
      <c r="NOO227" s="1201"/>
      <c r="NOP227" s="1201"/>
      <c r="NOQ227" s="1201"/>
      <c r="NOR227" s="1201"/>
      <c r="NOS227" s="1201"/>
      <c r="NOT227" s="1201"/>
      <c r="NOU227" s="1201"/>
      <c r="NOV227" s="1201"/>
      <c r="NOW227" s="1201"/>
      <c r="NOX227" s="1201"/>
      <c r="NOY227" s="1201"/>
      <c r="NOZ227" s="1201"/>
      <c r="NPA227" s="1201"/>
      <c r="NPB227" s="1201"/>
      <c r="NPC227" s="1201"/>
      <c r="NPD227" s="1201"/>
      <c r="NPE227" s="1201"/>
      <c r="NPF227" s="1201"/>
      <c r="NPG227" s="1201"/>
      <c r="NPH227" s="1201"/>
      <c r="NPI227" s="1201"/>
      <c r="NPJ227" s="1201"/>
      <c r="NPK227" s="1201"/>
      <c r="NPL227" s="1201"/>
      <c r="NPM227" s="1201"/>
      <c r="NPN227" s="1201"/>
      <c r="NPO227" s="1201"/>
      <c r="NPP227" s="1201"/>
      <c r="NPQ227" s="1201"/>
      <c r="NPR227" s="1201"/>
      <c r="NPS227" s="1201"/>
      <c r="NPT227" s="1201"/>
      <c r="NPU227" s="1201"/>
      <c r="NPV227" s="1201"/>
      <c r="NPW227" s="1201"/>
      <c r="NPX227" s="1201"/>
      <c r="NPY227" s="1201"/>
      <c r="NPZ227" s="1201"/>
      <c r="NQA227" s="1201"/>
      <c r="NQB227" s="1201"/>
      <c r="NQC227" s="1201"/>
      <c r="NQD227" s="1201"/>
      <c r="NQE227" s="1201"/>
      <c r="NQF227" s="1201"/>
      <c r="NQG227" s="1201"/>
      <c r="NQH227" s="1201"/>
      <c r="NQI227" s="1201"/>
      <c r="NQJ227" s="1201"/>
      <c r="NQK227" s="1201"/>
      <c r="NQL227" s="1201"/>
      <c r="NQM227" s="1201"/>
      <c r="NQN227" s="1201"/>
      <c r="NQO227" s="1201"/>
      <c r="NQP227" s="1201"/>
      <c r="NQQ227" s="1201"/>
      <c r="NQR227" s="1201"/>
      <c r="NQS227" s="1201"/>
      <c r="NQT227" s="1201"/>
      <c r="NQU227" s="1201"/>
      <c r="NQV227" s="1201"/>
      <c r="NQW227" s="1201"/>
      <c r="NQX227" s="1201"/>
      <c r="NQY227" s="1201"/>
      <c r="NQZ227" s="1201"/>
      <c r="NRA227" s="1201"/>
      <c r="NRB227" s="1201"/>
      <c r="NRC227" s="1201"/>
      <c r="NRD227" s="1201"/>
      <c r="NRE227" s="1201"/>
      <c r="NRF227" s="1201"/>
      <c r="NRG227" s="1201"/>
      <c r="NRH227" s="1201"/>
      <c r="NRI227" s="1201"/>
      <c r="NRJ227" s="1201"/>
      <c r="NRK227" s="1201"/>
      <c r="NRL227" s="1201"/>
      <c r="NRM227" s="1201"/>
      <c r="NRN227" s="1201"/>
      <c r="NRO227" s="1201"/>
      <c r="NRP227" s="1201"/>
      <c r="NRQ227" s="1201"/>
      <c r="NRR227" s="1201"/>
      <c r="NRS227" s="1201"/>
      <c r="NRT227" s="1201"/>
      <c r="NRU227" s="1201"/>
      <c r="NRV227" s="1201"/>
      <c r="NRW227" s="1201"/>
      <c r="NRX227" s="1201"/>
      <c r="NRY227" s="1201"/>
      <c r="NRZ227" s="1201"/>
      <c r="NSA227" s="1201"/>
      <c r="NSB227" s="1201"/>
      <c r="NSC227" s="1201"/>
      <c r="NSD227" s="1201"/>
      <c r="NSE227" s="1201"/>
      <c r="NSF227" s="1201"/>
      <c r="NSG227" s="1201"/>
      <c r="NSH227" s="1201"/>
      <c r="NSI227" s="1201"/>
      <c r="NSJ227" s="1201"/>
      <c r="NSK227" s="1201"/>
      <c r="NSL227" s="1201"/>
      <c r="NSM227" s="1201"/>
      <c r="NSN227" s="1201"/>
      <c r="NSO227" s="1201"/>
      <c r="NSP227" s="1201"/>
      <c r="NSQ227" s="1201"/>
      <c r="NSR227" s="1201"/>
      <c r="NSS227" s="1201"/>
      <c r="NST227" s="1201"/>
      <c r="NSU227" s="1201"/>
      <c r="NSV227" s="1201"/>
      <c r="NSW227" s="1201"/>
      <c r="NSX227" s="1201"/>
      <c r="NSY227" s="1201"/>
      <c r="NSZ227" s="1201"/>
      <c r="NTA227" s="1201"/>
      <c r="NTB227" s="1201"/>
      <c r="NTC227" s="1201"/>
      <c r="NTD227" s="1201"/>
      <c r="NTE227" s="1201"/>
      <c r="NTF227" s="1201"/>
      <c r="NTG227" s="1201"/>
      <c r="NTH227" s="1201"/>
      <c r="NTI227" s="1201"/>
      <c r="NTJ227" s="1201"/>
      <c r="NTK227" s="1201"/>
      <c r="NTL227" s="1201"/>
      <c r="NTM227" s="1201"/>
      <c r="NTN227" s="1201"/>
      <c r="NTO227" s="1201"/>
      <c r="NTP227" s="1201"/>
      <c r="NTQ227" s="1201"/>
      <c r="NTR227" s="1201"/>
      <c r="NTS227" s="1201"/>
      <c r="NTT227" s="1201"/>
      <c r="NTU227" s="1201"/>
      <c r="NTV227" s="1201"/>
      <c r="NTW227" s="1201"/>
      <c r="NTX227" s="1201"/>
      <c r="NTY227" s="1201"/>
      <c r="NTZ227" s="1201"/>
      <c r="NUA227" s="1201"/>
      <c r="NUB227" s="1201"/>
      <c r="NUC227" s="1201"/>
      <c r="NUD227" s="1201"/>
      <c r="NUE227" s="1201"/>
      <c r="NUF227" s="1201"/>
      <c r="NUG227" s="1201"/>
      <c r="NUH227" s="1201"/>
      <c r="NUI227" s="1201"/>
      <c r="NUJ227" s="1201"/>
      <c r="NUK227" s="1201"/>
      <c r="NUL227" s="1201"/>
      <c r="NUM227" s="1201"/>
      <c r="NUN227" s="1201"/>
      <c r="NUO227" s="1201"/>
      <c r="NUP227" s="1201"/>
      <c r="NUQ227" s="1201"/>
      <c r="NUR227" s="1201"/>
      <c r="NUS227" s="1201"/>
      <c r="NUT227" s="1201"/>
      <c r="NUU227" s="1201"/>
      <c r="NUV227" s="1201"/>
      <c r="NUW227" s="1201"/>
      <c r="NUX227" s="1201"/>
      <c r="NUY227" s="1201"/>
      <c r="NUZ227" s="1201"/>
      <c r="NVA227" s="1201"/>
      <c r="NVB227" s="1201"/>
      <c r="NVC227" s="1201"/>
      <c r="NVD227" s="1201"/>
      <c r="NVE227" s="1201"/>
      <c r="NVF227" s="1201"/>
      <c r="NVG227" s="1201"/>
      <c r="NVH227" s="1201"/>
      <c r="NVI227" s="1201"/>
      <c r="NVJ227" s="1201"/>
      <c r="NVK227" s="1201"/>
      <c r="NVL227" s="1201"/>
      <c r="NVM227" s="1201"/>
      <c r="NVN227" s="1201"/>
      <c r="NVO227" s="1201"/>
      <c r="NVP227" s="1201"/>
      <c r="NVQ227" s="1201"/>
      <c r="NVR227" s="1201"/>
      <c r="NVS227" s="1201"/>
      <c r="NVT227" s="1201"/>
      <c r="NVU227" s="1201"/>
      <c r="NVV227" s="1201"/>
      <c r="NVW227" s="1201"/>
      <c r="NVX227" s="1201"/>
      <c r="NVY227" s="1201"/>
      <c r="NVZ227" s="1201"/>
      <c r="NWA227" s="1201"/>
      <c r="NWB227" s="1201"/>
      <c r="NWC227" s="1201"/>
      <c r="NWD227" s="1201"/>
      <c r="NWE227" s="1201"/>
      <c r="NWF227" s="1201"/>
      <c r="NWG227" s="1201"/>
      <c r="NWH227" s="1201"/>
      <c r="NWI227" s="1201"/>
      <c r="NWJ227" s="1201"/>
      <c r="NWK227" s="1201"/>
      <c r="NWL227" s="1201"/>
      <c r="NWM227" s="1201"/>
      <c r="NWN227" s="1201"/>
      <c r="NWO227" s="1201"/>
      <c r="NWP227" s="1201"/>
      <c r="NWQ227" s="1201"/>
      <c r="NWR227" s="1201"/>
      <c r="NWS227" s="1201"/>
      <c r="NWT227" s="1201"/>
      <c r="NWU227" s="1201"/>
      <c r="NWV227" s="1201"/>
      <c r="NWW227" s="1201"/>
      <c r="NWX227" s="1201"/>
      <c r="NWY227" s="1201"/>
      <c r="NWZ227" s="1201"/>
      <c r="NXA227" s="1201"/>
      <c r="NXB227" s="1201"/>
      <c r="NXC227" s="1201"/>
      <c r="NXD227" s="1201"/>
      <c r="NXE227" s="1201"/>
      <c r="NXF227" s="1201"/>
      <c r="NXG227" s="1201"/>
      <c r="NXH227" s="1201"/>
      <c r="NXI227" s="1201"/>
      <c r="NXJ227" s="1201"/>
      <c r="NXK227" s="1201"/>
      <c r="NXL227" s="1201"/>
      <c r="NXM227" s="1201"/>
      <c r="NXN227" s="1201"/>
      <c r="NXO227" s="1201"/>
      <c r="NXP227" s="1201"/>
      <c r="NXQ227" s="1201"/>
      <c r="NXR227" s="1201"/>
      <c r="NXS227" s="1201"/>
      <c r="NXT227" s="1201"/>
      <c r="NXU227" s="1201"/>
      <c r="NXV227" s="1201"/>
      <c r="NXW227" s="1201"/>
      <c r="NXX227" s="1201"/>
      <c r="NXY227" s="1201"/>
      <c r="NXZ227" s="1201"/>
      <c r="NYA227" s="1201"/>
      <c r="NYB227" s="1201"/>
      <c r="NYC227" s="1201"/>
      <c r="NYD227" s="1201"/>
      <c r="NYE227" s="1201"/>
      <c r="NYF227" s="1201"/>
      <c r="NYG227" s="1201"/>
      <c r="NYH227" s="1201"/>
      <c r="NYI227" s="1201"/>
      <c r="NYJ227" s="1201"/>
      <c r="NYK227" s="1201"/>
      <c r="NYL227" s="1201"/>
      <c r="NYM227" s="1201"/>
      <c r="NYN227" s="1201"/>
      <c r="NYO227" s="1201"/>
      <c r="NYP227" s="1201"/>
      <c r="NYQ227" s="1201"/>
      <c r="NYR227" s="1201"/>
      <c r="NYS227" s="1201"/>
      <c r="NYT227" s="1201"/>
      <c r="NYU227" s="1201"/>
      <c r="NYV227" s="1201"/>
      <c r="NYW227" s="1201"/>
      <c r="NYX227" s="1201"/>
      <c r="NYY227" s="1201"/>
      <c r="NYZ227" s="1201"/>
      <c r="NZA227" s="1201"/>
      <c r="NZB227" s="1201"/>
      <c r="NZC227" s="1201"/>
      <c r="NZD227" s="1201"/>
      <c r="NZE227" s="1201"/>
      <c r="NZF227" s="1201"/>
      <c r="NZG227" s="1201"/>
      <c r="NZH227" s="1201"/>
      <c r="NZI227" s="1201"/>
      <c r="NZJ227" s="1201"/>
      <c r="NZK227" s="1201"/>
      <c r="NZL227" s="1201"/>
      <c r="NZM227" s="1201"/>
      <c r="NZN227" s="1201"/>
      <c r="NZO227" s="1201"/>
      <c r="NZP227" s="1201"/>
      <c r="NZQ227" s="1201"/>
      <c r="NZR227" s="1201"/>
      <c r="NZS227" s="1201"/>
      <c r="NZT227" s="1201"/>
      <c r="NZU227" s="1201"/>
      <c r="NZV227" s="1201"/>
      <c r="NZW227" s="1201"/>
      <c r="NZX227" s="1201"/>
      <c r="NZY227" s="1201"/>
      <c r="NZZ227" s="1201"/>
      <c r="OAA227" s="1201"/>
      <c r="OAB227" s="1201"/>
      <c r="OAC227" s="1201"/>
      <c r="OAD227" s="1201"/>
      <c r="OAE227" s="1201"/>
      <c r="OAF227" s="1201"/>
      <c r="OAG227" s="1201"/>
      <c r="OAH227" s="1201"/>
      <c r="OAI227" s="1201"/>
      <c r="OAJ227" s="1201"/>
      <c r="OAK227" s="1201"/>
      <c r="OAL227" s="1201"/>
      <c r="OAM227" s="1201"/>
      <c r="OAN227" s="1201"/>
      <c r="OAO227" s="1201"/>
      <c r="OAP227" s="1201"/>
      <c r="OAQ227" s="1201"/>
      <c r="OAR227" s="1201"/>
      <c r="OAS227" s="1201"/>
      <c r="OAT227" s="1201"/>
      <c r="OAU227" s="1201"/>
      <c r="OAV227" s="1201"/>
      <c r="OAW227" s="1201"/>
      <c r="OAX227" s="1201"/>
      <c r="OAY227" s="1201"/>
      <c r="OAZ227" s="1201"/>
      <c r="OBA227" s="1201"/>
      <c r="OBB227" s="1201"/>
      <c r="OBC227" s="1201"/>
      <c r="OBD227" s="1201"/>
      <c r="OBE227" s="1201"/>
      <c r="OBF227" s="1201"/>
      <c r="OBG227" s="1201"/>
      <c r="OBH227" s="1201"/>
      <c r="OBI227" s="1201"/>
      <c r="OBJ227" s="1201"/>
      <c r="OBK227" s="1201"/>
      <c r="OBL227" s="1201"/>
      <c r="OBM227" s="1201"/>
      <c r="OBN227" s="1201"/>
      <c r="OBO227" s="1201"/>
      <c r="OBP227" s="1201"/>
      <c r="OBQ227" s="1201"/>
      <c r="OBR227" s="1201"/>
      <c r="OBS227" s="1201"/>
      <c r="OBT227" s="1201"/>
      <c r="OBU227" s="1201"/>
      <c r="OBV227" s="1201"/>
      <c r="OBW227" s="1201"/>
      <c r="OBX227" s="1201"/>
      <c r="OBY227" s="1201"/>
      <c r="OBZ227" s="1201"/>
      <c r="OCA227" s="1201"/>
      <c r="OCB227" s="1201"/>
      <c r="OCC227" s="1201"/>
      <c r="OCD227" s="1201"/>
      <c r="OCE227" s="1201"/>
      <c r="OCF227" s="1201"/>
      <c r="OCG227" s="1201"/>
      <c r="OCH227" s="1201"/>
      <c r="OCI227" s="1201"/>
      <c r="OCJ227" s="1201"/>
      <c r="OCK227" s="1201"/>
      <c r="OCL227" s="1201"/>
      <c r="OCM227" s="1201"/>
      <c r="OCN227" s="1201"/>
      <c r="OCO227" s="1201"/>
      <c r="OCP227" s="1201"/>
      <c r="OCQ227" s="1201"/>
      <c r="OCR227" s="1201"/>
      <c r="OCS227" s="1201"/>
      <c r="OCT227" s="1201"/>
      <c r="OCU227" s="1201"/>
      <c r="OCV227" s="1201"/>
      <c r="OCW227" s="1201"/>
      <c r="OCX227" s="1201"/>
      <c r="OCY227" s="1201"/>
      <c r="OCZ227" s="1201"/>
      <c r="ODA227" s="1201"/>
      <c r="ODB227" s="1201"/>
      <c r="ODC227" s="1201"/>
      <c r="ODD227" s="1201"/>
      <c r="ODE227" s="1201"/>
      <c r="ODF227" s="1201"/>
      <c r="ODG227" s="1201"/>
      <c r="ODH227" s="1201"/>
      <c r="ODI227" s="1201"/>
      <c r="ODJ227" s="1201"/>
      <c r="ODK227" s="1201"/>
      <c r="ODL227" s="1201"/>
      <c r="ODM227" s="1201"/>
      <c r="ODN227" s="1201"/>
      <c r="ODO227" s="1201"/>
      <c r="ODP227" s="1201"/>
      <c r="ODQ227" s="1201"/>
      <c r="ODR227" s="1201"/>
      <c r="ODS227" s="1201"/>
      <c r="ODT227" s="1201"/>
      <c r="ODU227" s="1201"/>
      <c r="ODV227" s="1201"/>
      <c r="ODW227" s="1201"/>
      <c r="ODX227" s="1201"/>
      <c r="ODY227" s="1201"/>
      <c r="ODZ227" s="1201"/>
      <c r="OEA227" s="1201"/>
      <c r="OEB227" s="1201"/>
      <c r="OEC227" s="1201"/>
      <c r="OED227" s="1201"/>
      <c r="OEE227" s="1201"/>
      <c r="OEF227" s="1201"/>
      <c r="OEG227" s="1201"/>
      <c r="OEH227" s="1201"/>
      <c r="OEI227" s="1201"/>
      <c r="OEJ227" s="1201"/>
      <c r="OEK227" s="1201"/>
      <c r="OEL227" s="1201"/>
      <c r="OEM227" s="1201"/>
      <c r="OEN227" s="1201"/>
      <c r="OEO227" s="1201"/>
      <c r="OEP227" s="1201"/>
      <c r="OEQ227" s="1201"/>
      <c r="OER227" s="1201"/>
      <c r="OES227" s="1201"/>
      <c r="OET227" s="1201"/>
      <c r="OEU227" s="1201"/>
      <c r="OEV227" s="1201"/>
      <c r="OEW227" s="1201"/>
      <c r="OEX227" s="1201"/>
      <c r="OEY227" s="1201"/>
      <c r="OEZ227" s="1201"/>
      <c r="OFA227" s="1201"/>
      <c r="OFB227" s="1201"/>
      <c r="OFC227" s="1201"/>
      <c r="OFD227" s="1201"/>
      <c r="OFE227" s="1201"/>
      <c r="OFF227" s="1201"/>
      <c r="OFG227" s="1201"/>
      <c r="OFH227" s="1201"/>
      <c r="OFI227" s="1201"/>
      <c r="OFJ227" s="1201"/>
      <c r="OFK227" s="1201"/>
      <c r="OFL227" s="1201"/>
      <c r="OFM227" s="1201"/>
      <c r="OFN227" s="1201"/>
      <c r="OFO227" s="1201"/>
      <c r="OFP227" s="1201"/>
      <c r="OFQ227" s="1201"/>
      <c r="OFR227" s="1201"/>
      <c r="OFS227" s="1201"/>
      <c r="OFT227" s="1201"/>
      <c r="OFU227" s="1201"/>
      <c r="OFV227" s="1201"/>
      <c r="OFW227" s="1201"/>
      <c r="OFX227" s="1201"/>
      <c r="OFY227" s="1201"/>
      <c r="OFZ227" s="1201"/>
      <c r="OGA227" s="1201"/>
      <c r="OGB227" s="1201"/>
      <c r="OGC227" s="1201"/>
      <c r="OGD227" s="1201"/>
      <c r="OGE227" s="1201"/>
      <c r="OGF227" s="1201"/>
      <c r="OGG227" s="1201"/>
      <c r="OGH227" s="1201"/>
      <c r="OGI227" s="1201"/>
      <c r="OGJ227" s="1201"/>
      <c r="OGK227" s="1201"/>
      <c r="OGL227" s="1201"/>
      <c r="OGM227" s="1201"/>
      <c r="OGN227" s="1201"/>
      <c r="OGO227" s="1201"/>
      <c r="OGP227" s="1201"/>
      <c r="OGQ227" s="1201"/>
      <c r="OGR227" s="1201"/>
      <c r="OGS227" s="1201"/>
      <c r="OGT227" s="1201"/>
      <c r="OGU227" s="1201"/>
      <c r="OGV227" s="1201"/>
      <c r="OGW227" s="1201"/>
      <c r="OGX227" s="1201"/>
      <c r="OGY227" s="1201"/>
      <c r="OGZ227" s="1201"/>
      <c r="OHA227" s="1201"/>
      <c r="OHB227" s="1201"/>
      <c r="OHC227" s="1201"/>
      <c r="OHD227" s="1201"/>
      <c r="OHE227" s="1201"/>
      <c r="OHF227" s="1201"/>
      <c r="OHG227" s="1201"/>
      <c r="OHH227" s="1201"/>
      <c r="OHI227" s="1201"/>
      <c r="OHJ227" s="1201"/>
      <c r="OHK227" s="1201"/>
      <c r="OHL227" s="1201"/>
      <c r="OHM227" s="1201"/>
      <c r="OHN227" s="1201"/>
      <c r="OHO227" s="1201"/>
      <c r="OHP227" s="1201"/>
      <c r="OHQ227" s="1201"/>
      <c r="OHR227" s="1201"/>
      <c r="OHS227" s="1201"/>
      <c r="OHT227" s="1201"/>
      <c r="OHU227" s="1201"/>
      <c r="OHV227" s="1201"/>
      <c r="OHW227" s="1201"/>
      <c r="OHX227" s="1201"/>
      <c r="OHY227" s="1201"/>
      <c r="OHZ227" s="1201"/>
      <c r="OIA227" s="1201"/>
      <c r="OIB227" s="1201"/>
      <c r="OIC227" s="1201"/>
      <c r="OID227" s="1201"/>
      <c r="OIE227" s="1201"/>
      <c r="OIF227" s="1201"/>
      <c r="OIG227" s="1201"/>
      <c r="OIH227" s="1201"/>
      <c r="OII227" s="1201"/>
      <c r="OIJ227" s="1201"/>
      <c r="OIK227" s="1201"/>
      <c r="OIL227" s="1201"/>
      <c r="OIM227" s="1201"/>
      <c r="OIN227" s="1201"/>
      <c r="OIO227" s="1201"/>
      <c r="OIP227" s="1201"/>
      <c r="OIQ227" s="1201"/>
      <c r="OIR227" s="1201"/>
      <c r="OIS227" s="1201"/>
      <c r="OIT227" s="1201"/>
      <c r="OIU227" s="1201"/>
      <c r="OIV227" s="1201"/>
      <c r="OIW227" s="1201"/>
      <c r="OIX227" s="1201"/>
      <c r="OIY227" s="1201"/>
      <c r="OIZ227" s="1201"/>
      <c r="OJA227" s="1201"/>
      <c r="OJB227" s="1201"/>
      <c r="OJC227" s="1201"/>
      <c r="OJD227" s="1201"/>
      <c r="OJE227" s="1201"/>
      <c r="OJF227" s="1201"/>
      <c r="OJG227" s="1201"/>
      <c r="OJH227" s="1201"/>
      <c r="OJI227" s="1201"/>
      <c r="OJJ227" s="1201"/>
      <c r="OJK227" s="1201"/>
      <c r="OJL227" s="1201"/>
      <c r="OJM227" s="1201"/>
      <c r="OJN227" s="1201"/>
      <c r="OJO227" s="1201"/>
      <c r="OJP227" s="1201"/>
      <c r="OJQ227" s="1201"/>
      <c r="OJR227" s="1201"/>
      <c r="OJS227" s="1201"/>
      <c r="OJT227" s="1201"/>
      <c r="OJU227" s="1201"/>
      <c r="OJV227" s="1201"/>
      <c r="OJW227" s="1201"/>
      <c r="OJX227" s="1201"/>
      <c r="OJY227" s="1201"/>
      <c r="OJZ227" s="1201"/>
      <c r="OKA227" s="1201"/>
      <c r="OKB227" s="1201"/>
      <c r="OKC227" s="1201"/>
      <c r="OKD227" s="1201"/>
      <c r="OKE227" s="1201"/>
      <c r="OKF227" s="1201"/>
      <c r="OKG227" s="1201"/>
      <c r="OKH227" s="1201"/>
      <c r="OKI227" s="1201"/>
      <c r="OKJ227" s="1201"/>
      <c r="OKK227" s="1201"/>
      <c r="OKL227" s="1201"/>
      <c r="OKM227" s="1201"/>
      <c r="OKN227" s="1201"/>
      <c r="OKO227" s="1201"/>
      <c r="OKP227" s="1201"/>
      <c r="OKQ227" s="1201"/>
      <c r="OKR227" s="1201"/>
      <c r="OKS227" s="1201"/>
      <c r="OKT227" s="1201"/>
      <c r="OKU227" s="1201"/>
      <c r="OKV227" s="1201"/>
      <c r="OKW227" s="1201"/>
      <c r="OKX227" s="1201"/>
      <c r="OKY227" s="1201"/>
      <c r="OKZ227" s="1201"/>
      <c r="OLA227" s="1201"/>
      <c r="OLB227" s="1201"/>
      <c r="OLC227" s="1201"/>
      <c r="OLD227" s="1201"/>
      <c r="OLE227" s="1201"/>
      <c r="OLF227" s="1201"/>
      <c r="OLG227" s="1201"/>
      <c r="OLH227" s="1201"/>
      <c r="OLI227" s="1201"/>
      <c r="OLJ227" s="1201"/>
      <c r="OLK227" s="1201"/>
      <c r="OLL227" s="1201"/>
      <c r="OLM227" s="1201"/>
      <c r="OLN227" s="1201"/>
      <c r="OLO227" s="1201"/>
      <c r="OLP227" s="1201"/>
      <c r="OLQ227" s="1201"/>
      <c r="OLR227" s="1201"/>
      <c r="OLS227" s="1201"/>
      <c r="OLT227" s="1201"/>
      <c r="OLU227" s="1201"/>
      <c r="OLV227" s="1201"/>
      <c r="OLW227" s="1201"/>
      <c r="OLX227" s="1201"/>
      <c r="OLY227" s="1201"/>
      <c r="OLZ227" s="1201"/>
      <c r="OMA227" s="1201"/>
      <c r="OMB227" s="1201"/>
      <c r="OMC227" s="1201"/>
      <c r="OMD227" s="1201"/>
      <c r="OME227" s="1201"/>
      <c r="OMF227" s="1201"/>
      <c r="OMG227" s="1201"/>
      <c r="OMH227" s="1201"/>
      <c r="OMI227" s="1201"/>
      <c r="OMJ227" s="1201"/>
      <c r="OMK227" s="1201"/>
      <c r="OML227" s="1201"/>
      <c r="OMM227" s="1201"/>
      <c r="OMN227" s="1201"/>
      <c r="OMO227" s="1201"/>
      <c r="OMP227" s="1201"/>
      <c r="OMQ227" s="1201"/>
      <c r="OMR227" s="1201"/>
      <c r="OMS227" s="1201"/>
      <c r="OMT227" s="1201"/>
      <c r="OMU227" s="1201"/>
      <c r="OMV227" s="1201"/>
      <c r="OMW227" s="1201"/>
      <c r="OMX227" s="1201"/>
      <c r="OMY227" s="1201"/>
      <c r="OMZ227" s="1201"/>
      <c r="ONA227" s="1201"/>
      <c r="ONB227" s="1201"/>
      <c r="ONC227" s="1201"/>
      <c r="OND227" s="1201"/>
      <c r="ONE227" s="1201"/>
      <c r="ONF227" s="1201"/>
      <c r="ONG227" s="1201"/>
      <c r="ONH227" s="1201"/>
      <c r="ONI227" s="1201"/>
      <c r="ONJ227" s="1201"/>
      <c r="ONK227" s="1201"/>
      <c r="ONL227" s="1201"/>
      <c r="ONM227" s="1201"/>
      <c r="ONN227" s="1201"/>
      <c r="ONO227" s="1201"/>
      <c r="ONP227" s="1201"/>
      <c r="ONQ227" s="1201"/>
      <c r="ONR227" s="1201"/>
      <c r="ONS227" s="1201"/>
      <c r="ONT227" s="1201"/>
      <c r="ONU227" s="1201"/>
      <c r="ONV227" s="1201"/>
      <c r="ONW227" s="1201"/>
      <c r="ONX227" s="1201"/>
      <c r="ONY227" s="1201"/>
      <c r="ONZ227" s="1201"/>
      <c r="OOA227" s="1201"/>
      <c r="OOB227" s="1201"/>
      <c r="OOC227" s="1201"/>
      <c r="OOD227" s="1201"/>
      <c r="OOE227" s="1201"/>
      <c r="OOF227" s="1201"/>
      <c r="OOG227" s="1201"/>
      <c r="OOH227" s="1201"/>
      <c r="OOI227" s="1201"/>
      <c r="OOJ227" s="1201"/>
      <c r="OOK227" s="1201"/>
      <c r="OOL227" s="1201"/>
      <c r="OOM227" s="1201"/>
      <c r="OON227" s="1201"/>
      <c r="OOO227" s="1201"/>
      <c r="OOP227" s="1201"/>
      <c r="OOQ227" s="1201"/>
      <c r="OOR227" s="1201"/>
      <c r="OOS227" s="1201"/>
      <c r="OOT227" s="1201"/>
      <c r="OOU227" s="1201"/>
      <c r="OOV227" s="1201"/>
      <c r="OOW227" s="1201"/>
      <c r="OOX227" s="1201"/>
      <c r="OOY227" s="1201"/>
      <c r="OOZ227" s="1201"/>
      <c r="OPA227" s="1201"/>
      <c r="OPB227" s="1201"/>
      <c r="OPC227" s="1201"/>
      <c r="OPD227" s="1201"/>
      <c r="OPE227" s="1201"/>
      <c r="OPF227" s="1201"/>
      <c r="OPG227" s="1201"/>
      <c r="OPH227" s="1201"/>
      <c r="OPI227" s="1201"/>
      <c r="OPJ227" s="1201"/>
      <c r="OPK227" s="1201"/>
      <c r="OPL227" s="1201"/>
      <c r="OPM227" s="1201"/>
      <c r="OPN227" s="1201"/>
      <c r="OPO227" s="1201"/>
      <c r="OPP227" s="1201"/>
      <c r="OPQ227" s="1201"/>
      <c r="OPR227" s="1201"/>
      <c r="OPS227" s="1201"/>
      <c r="OPT227" s="1201"/>
      <c r="OPU227" s="1201"/>
      <c r="OPV227" s="1201"/>
      <c r="OPW227" s="1201"/>
      <c r="OPX227" s="1201"/>
      <c r="OPY227" s="1201"/>
      <c r="OPZ227" s="1201"/>
      <c r="OQA227" s="1201"/>
      <c r="OQB227" s="1201"/>
      <c r="OQC227" s="1201"/>
      <c r="OQD227" s="1201"/>
      <c r="OQE227" s="1201"/>
      <c r="OQF227" s="1201"/>
      <c r="OQG227" s="1201"/>
      <c r="OQH227" s="1201"/>
      <c r="OQI227" s="1201"/>
      <c r="OQJ227" s="1201"/>
      <c r="OQK227" s="1201"/>
      <c r="OQL227" s="1201"/>
      <c r="OQM227" s="1201"/>
      <c r="OQN227" s="1201"/>
      <c r="OQO227" s="1201"/>
      <c r="OQP227" s="1201"/>
      <c r="OQQ227" s="1201"/>
      <c r="OQR227" s="1201"/>
      <c r="OQS227" s="1201"/>
      <c r="OQT227" s="1201"/>
      <c r="OQU227" s="1201"/>
      <c r="OQV227" s="1201"/>
      <c r="OQW227" s="1201"/>
      <c r="OQX227" s="1201"/>
      <c r="OQY227" s="1201"/>
      <c r="OQZ227" s="1201"/>
      <c r="ORA227" s="1201"/>
      <c r="ORB227" s="1201"/>
      <c r="ORC227" s="1201"/>
      <c r="ORD227" s="1201"/>
      <c r="ORE227" s="1201"/>
      <c r="ORF227" s="1201"/>
      <c r="ORG227" s="1201"/>
      <c r="ORH227" s="1201"/>
      <c r="ORI227" s="1201"/>
      <c r="ORJ227" s="1201"/>
      <c r="ORK227" s="1201"/>
      <c r="ORL227" s="1201"/>
      <c r="ORM227" s="1201"/>
      <c r="ORN227" s="1201"/>
      <c r="ORO227" s="1201"/>
      <c r="ORP227" s="1201"/>
      <c r="ORQ227" s="1201"/>
      <c r="ORR227" s="1201"/>
      <c r="ORS227" s="1201"/>
      <c r="ORT227" s="1201"/>
      <c r="ORU227" s="1201"/>
      <c r="ORV227" s="1201"/>
      <c r="ORW227" s="1201"/>
      <c r="ORX227" s="1201"/>
      <c r="ORY227" s="1201"/>
      <c r="ORZ227" s="1201"/>
      <c r="OSA227" s="1201"/>
      <c r="OSB227" s="1201"/>
      <c r="OSC227" s="1201"/>
      <c r="OSD227" s="1201"/>
      <c r="OSE227" s="1201"/>
      <c r="OSF227" s="1201"/>
      <c r="OSG227" s="1201"/>
      <c r="OSH227" s="1201"/>
      <c r="OSI227" s="1201"/>
      <c r="OSJ227" s="1201"/>
      <c r="OSK227" s="1201"/>
      <c r="OSL227" s="1201"/>
      <c r="OSM227" s="1201"/>
      <c r="OSN227" s="1201"/>
      <c r="OSO227" s="1201"/>
      <c r="OSP227" s="1201"/>
      <c r="OSQ227" s="1201"/>
      <c r="OSR227" s="1201"/>
      <c r="OSS227" s="1201"/>
      <c r="OST227" s="1201"/>
      <c r="OSU227" s="1201"/>
      <c r="OSV227" s="1201"/>
      <c r="OSW227" s="1201"/>
      <c r="OSX227" s="1201"/>
      <c r="OSY227" s="1201"/>
      <c r="OSZ227" s="1201"/>
      <c r="OTA227" s="1201"/>
      <c r="OTB227" s="1201"/>
      <c r="OTC227" s="1201"/>
      <c r="OTD227" s="1201"/>
      <c r="OTE227" s="1201"/>
      <c r="OTF227" s="1201"/>
      <c r="OTG227" s="1201"/>
      <c r="OTH227" s="1201"/>
      <c r="OTI227" s="1201"/>
      <c r="OTJ227" s="1201"/>
      <c r="OTK227" s="1201"/>
      <c r="OTL227" s="1201"/>
      <c r="OTM227" s="1201"/>
      <c r="OTN227" s="1201"/>
      <c r="OTO227" s="1201"/>
      <c r="OTP227" s="1201"/>
      <c r="OTQ227" s="1201"/>
      <c r="OTR227" s="1201"/>
      <c r="OTS227" s="1201"/>
      <c r="OTT227" s="1201"/>
      <c r="OTU227" s="1201"/>
      <c r="OTV227" s="1201"/>
      <c r="OTW227" s="1201"/>
      <c r="OTX227" s="1201"/>
      <c r="OTY227" s="1201"/>
      <c r="OTZ227" s="1201"/>
      <c r="OUA227" s="1201"/>
      <c r="OUB227" s="1201"/>
      <c r="OUC227" s="1201"/>
      <c r="OUD227" s="1201"/>
      <c r="OUE227" s="1201"/>
      <c r="OUF227" s="1201"/>
      <c r="OUG227" s="1201"/>
      <c r="OUH227" s="1201"/>
      <c r="OUI227" s="1201"/>
      <c r="OUJ227" s="1201"/>
      <c r="OUK227" s="1201"/>
      <c r="OUL227" s="1201"/>
      <c r="OUM227" s="1201"/>
      <c r="OUN227" s="1201"/>
      <c r="OUO227" s="1201"/>
      <c r="OUP227" s="1201"/>
      <c r="OUQ227" s="1201"/>
      <c r="OUR227" s="1201"/>
      <c r="OUS227" s="1201"/>
      <c r="OUT227" s="1201"/>
      <c r="OUU227" s="1201"/>
      <c r="OUV227" s="1201"/>
      <c r="OUW227" s="1201"/>
      <c r="OUX227" s="1201"/>
      <c r="OUY227" s="1201"/>
      <c r="OUZ227" s="1201"/>
      <c r="OVA227" s="1201"/>
      <c r="OVB227" s="1201"/>
      <c r="OVC227" s="1201"/>
      <c r="OVD227" s="1201"/>
      <c r="OVE227" s="1201"/>
      <c r="OVF227" s="1201"/>
      <c r="OVG227" s="1201"/>
      <c r="OVH227" s="1201"/>
      <c r="OVI227" s="1201"/>
      <c r="OVJ227" s="1201"/>
      <c r="OVK227" s="1201"/>
      <c r="OVL227" s="1201"/>
      <c r="OVM227" s="1201"/>
      <c r="OVN227" s="1201"/>
      <c r="OVO227" s="1201"/>
      <c r="OVP227" s="1201"/>
      <c r="OVQ227" s="1201"/>
      <c r="OVR227" s="1201"/>
      <c r="OVS227" s="1201"/>
      <c r="OVT227" s="1201"/>
      <c r="OVU227" s="1201"/>
      <c r="OVV227" s="1201"/>
      <c r="OVW227" s="1201"/>
      <c r="OVX227" s="1201"/>
      <c r="OVY227" s="1201"/>
      <c r="OVZ227" s="1201"/>
      <c r="OWA227" s="1201"/>
      <c r="OWB227" s="1201"/>
      <c r="OWC227" s="1201"/>
      <c r="OWD227" s="1201"/>
      <c r="OWE227" s="1201"/>
      <c r="OWF227" s="1201"/>
      <c r="OWG227" s="1201"/>
      <c r="OWH227" s="1201"/>
      <c r="OWI227" s="1201"/>
      <c r="OWJ227" s="1201"/>
      <c r="OWK227" s="1201"/>
      <c r="OWL227" s="1201"/>
      <c r="OWM227" s="1201"/>
      <c r="OWN227" s="1201"/>
      <c r="OWO227" s="1201"/>
      <c r="OWP227" s="1201"/>
      <c r="OWQ227" s="1201"/>
      <c r="OWR227" s="1201"/>
      <c r="OWS227" s="1201"/>
      <c r="OWT227" s="1201"/>
      <c r="OWU227" s="1201"/>
      <c r="OWV227" s="1201"/>
      <c r="OWW227" s="1201"/>
      <c r="OWX227" s="1201"/>
      <c r="OWY227" s="1201"/>
      <c r="OWZ227" s="1201"/>
      <c r="OXA227" s="1201"/>
      <c r="OXB227" s="1201"/>
      <c r="OXC227" s="1201"/>
      <c r="OXD227" s="1201"/>
      <c r="OXE227" s="1201"/>
      <c r="OXF227" s="1201"/>
      <c r="OXG227" s="1201"/>
      <c r="OXH227" s="1201"/>
      <c r="OXI227" s="1201"/>
      <c r="OXJ227" s="1201"/>
      <c r="OXK227" s="1201"/>
      <c r="OXL227" s="1201"/>
      <c r="OXM227" s="1201"/>
      <c r="OXN227" s="1201"/>
      <c r="OXO227" s="1201"/>
      <c r="OXP227" s="1201"/>
      <c r="OXQ227" s="1201"/>
      <c r="OXR227" s="1201"/>
      <c r="OXS227" s="1201"/>
      <c r="OXT227" s="1201"/>
      <c r="OXU227" s="1201"/>
      <c r="OXV227" s="1201"/>
      <c r="OXW227" s="1201"/>
      <c r="OXX227" s="1201"/>
      <c r="OXY227" s="1201"/>
      <c r="OXZ227" s="1201"/>
      <c r="OYA227" s="1201"/>
      <c r="OYB227" s="1201"/>
      <c r="OYC227" s="1201"/>
      <c r="OYD227" s="1201"/>
      <c r="OYE227" s="1201"/>
      <c r="OYF227" s="1201"/>
      <c r="OYG227" s="1201"/>
      <c r="OYH227" s="1201"/>
      <c r="OYI227" s="1201"/>
      <c r="OYJ227" s="1201"/>
      <c r="OYK227" s="1201"/>
      <c r="OYL227" s="1201"/>
      <c r="OYM227" s="1201"/>
      <c r="OYN227" s="1201"/>
      <c r="OYO227" s="1201"/>
      <c r="OYP227" s="1201"/>
      <c r="OYQ227" s="1201"/>
      <c r="OYR227" s="1201"/>
      <c r="OYS227" s="1201"/>
      <c r="OYT227" s="1201"/>
      <c r="OYU227" s="1201"/>
      <c r="OYV227" s="1201"/>
      <c r="OYW227" s="1201"/>
      <c r="OYX227" s="1201"/>
      <c r="OYY227" s="1201"/>
      <c r="OYZ227" s="1201"/>
      <c r="OZA227" s="1201"/>
      <c r="OZB227" s="1201"/>
      <c r="OZC227" s="1201"/>
      <c r="OZD227" s="1201"/>
      <c r="OZE227" s="1201"/>
      <c r="OZF227" s="1201"/>
      <c r="OZG227" s="1201"/>
      <c r="OZH227" s="1201"/>
      <c r="OZI227" s="1201"/>
      <c r="OZJ227" s="1201"/>
      <c r="OZK227" s="1201"/>
      <c r="OZL227" s="1201"/>
      <c r="OZM227" s="1201"/>
      <c r="OZN227" s="1201"/>
      <c r="OZO227" s="1201"/>
      <c r="OZP227" s="1201"/>
      <c r="OZQ227" s="1201"/>
      <c r="OZR227" s="1201"/>
      <c r="OZS227" s="1201"/>
      <c r="OZT227" s="1201"/>
      <c r="OZU227" s="1201"/>
      <c r="OZV227" s="1201"/>
      <c r="OZW227" s="1201"/>
      <c r="OZX227" s="1201"/>
      <c r="OZY227" s="1201"/>
      <c r="OZZ227" s="1201"/>
      <c r="PAA227" s="1201"/>
      <c r="PAB227" s="1201"/>
      <c r="PAC227" s="1201"/>
      <c r="PAD227" s="1201"/>
      <c r="PAE227" s="1201"/>
      <c r="PAF227" s="1201"/>
      <c r="PAG227" s="1201"/>
      <c r="PAH227" s="1201"/>
      <c r="PAI227" s="1201"/>
      <c r="PAJ227" s="1201"/>
      <c r="PAK227" s="1201"/>
      <c r="PAL227" s="1201"/>
      <c r="PAM227" s="1201"/>
      <c r="PAN227" s="1201"/>
      <c r="PAO227" s="1201"/>
      <c r="PAP227" s="1201"/>
      <c r="PAQ227" s="1201"/>
      <c r="PAR227" s="1201"/>
      <c r="PAS227" s="1201"/>
      <c r="PAT227" s="1201"/>
      <c r="PAU227" s="1201"/>
      <c r="PAV227" s="1201"/>
      <c r="PAW227" s="1201"/>
      <c r="PAX227" s="1201"/>
      <c r="PAY227" s="1201"/>
      <c r="PAZ227" s="1201"/>
      <c r="PBA227" s="1201"/>
      <c r="PBB227" s="1201"/>
      <c r="PBC227" s="1201"/>
      <c r="PBD227" s="1201"/>
      <c r="PBE227" s="1201"/>
      <c r="PBF227" s="1201"/>
      <c r="PBG227" s="1201"/>
      <c r="PBH227" s="1201"/>
      <c r="PBI227" s="1201"/>
      <c r="PBJ227" s="1201"/>
      <c r="PBK227" s="1201"/>
      <c r="PBL227" s="1201"/>
      <c r="PBM227" s="1201"/>
      <c r="PBN227" s="1201"/>
      <c r="PBO227" s="1201"/>
      <c r="PBP227" s="1201"/>
      <c r="PBQ227" s="1201"/>
      <c r="PBR227" s="1201"/>
      <c r="PBS227" s="1201"/>
      <c r="PBT227" s="1201"/>
      <c r="PBU227" s="1201"/>
      <c r="PBV227" s="1201"/>
      <c r="PBW227" s="1201"/>
      <c r="PBX227" s="1201"/>
      <c r="PBY227" s="1201"/>
      <c r="PBZ227" s="1201"/>
      <c r="PCA227" s="1201"/>
      <c r="PCB227" s="1201"/>
      <c r="PCC227" s="1201"/>
      <c r="PCD227" s="1201"/>
      <c r="PCE227" s="1201"/>
      <c r="PCF227" s="1201"/>
      <c r="PCG227" s="1201"/>
      <c r="PCH227" s="1201"/>
      <c r="PCI227" s="1201"/>
      <c r="PCJ227" s="1201"/>
      <c r="PCK227" s="1201"/>
      <c r="PCL227" s="1201"/>
      <c r="PCM227" s="1201"/>
      <c r="PCN227" s="1201"/>
      <c r="PCO227" s="1201"/>
      <c r="PCP227" s="1201"/>
      <c r="PCQ227" s="1201"/>
      <c r="PCR227" s="1201"/>
      <c r="PCS227" s="1201"/>
      <c r="PCT227" s="1201"/>
      <c r="PCU227" s="1201"/>
      <c r="PCV227" s="1201"/>
      <c r="PCW227" s="1201"/>
      <c r="PCX227" s="1201"/>
      <c r="PCY227" s="1201"/>
      <c r="PCZ227" s="1201"/>
      <c r="PDA227" s="1201"/>
      <c r="PDB227" s="1201"/>
      <c r="PDC227" s="1201"/>
      <c r="PDD227" s="1201"/>
      <c r="PDE227" s="1201"/>
      <c r="PDF227" s="1201"/>
      <c r="PDG227" s="1201"/>
      <c r="PDH227" s="1201"/>
      <c r="PDI227" s="1201"/>
      <c r="PDJ227" s="1201"/>
      <c r="PDK227" s="1201"/>
      <c r="PDL227" s="1201"/>
      <c r="PDM227" s="1201"/>
      <c r="PDN227" s="1201"/>
      <c r="PDO227" s="1201"/>
      <c r="PDP227" s="1201"/>
      <c r="PDQ227" s="1201"/>
      <c r="PDR227" s="1201"/>
      <c r="PDS227" s="1201"/>
      <c r="PDT227" s="1201"/>
      <c r="PDU227" s="1201"/>
      <c r="PDV227" s="1201"/>
      <c r="PDW227" s="1201"/>
      <c r="PDX227" s="1201"/>
      <c r="PDY227" s="1201"/>
      <c r="PDZ227" s="1201"/>
      <c r="PEA227" s="1201"/>
      <c r="PEB227" s="1201"/>
      <c r="PEC227" s="1201"/>
      <c r="PED227" s="1201"/>
      <c r="PEE227" s="1201"/>
      <c r="PEF227" s="1201"/>
      <c r="PEG227" s="1201"/>
      <c r="PEH227" s="1201"/>
      <c r="PEI227" s="1201"/>
      <c r="PEJ227" s="1201"/>
      <c r="PEK227" s="1201"/>
      <c r="PEL227" s="1201"/>
      <c r="PEM227" s="1201"/>
      <c r="PEN227" s="1201"/>
      <c r="PEO227" s="1201"/>
      <c r="PEP227" s="1201"/>
      <c r="PEQ227" s="1201"/>
      <c r="PER227" s="1201"/>
      <c r="PES227" s="1201"/>
      <c r="PET227" s="1201"/>
      <c r="PEU227" s="1201"/>
      <c r="PEV227" s="1201"/>
      <c r="PEW227" s="1201"/>
      <c r="PEX227" s="1201"/>
      <c r="PEY227" s="1201"/>
      <c r="PEZ227" s="1201"/>
      <c r="PFA227" s="1201"/>
      <c r="PFB227" s="1201"/>
      <c r="PFC227" s="1201"/>
      <c r="PFD227" s="1201"/>
      <c r="PFE227" s="1201"/>
      <c r="PFF227" s="1201"/>
      <c r="PFG227" s="1201"/>
      <c r="PFH227" s="1201"/>
      <c r="PFI227" s="1201"/>
      <c r="PFJ227" s="1201"/>
      <c r="PFK227" s="1201"/>
      <c r="PFL227" s="1201"/>
      <c r="PFM227" s="1201"/>
      <c r="PFN227" s="1201"/>
      <c r="PFO227" s="1201"/>
      <c r="PFP227" s="1201"/>
      <c r="PFQ227" s="1201"/>
      <c r="PFR227" s="1201"/>
      <c r="PFS227" s="1201"/>
      <c r="PFT227" s="1201"/>
      <c r="PFU227" s="1201"/>
      <c r="PFV227" s="1201"/>
      <c r="PFW227" s="1201"/>
      <c r="PFX227" s="1201"/>
      <c r="PFY227" s="1201"/>
      <c r="PFZ227" s="1201"/>
      <c r="PGA227" s="1201"/>
      <c r="PGB227" s="1201"/>
      <c r="PGC227" s="1201"/>
      <c r="PGD227" s="1201"/>
      <c r="PGE227" s="1201"/>
      <c r="PGF227" s="1201"/>
      <c r="PGG227" s="1201"/>
      <c r="PGH227" s="1201"/>
      <c r="PGI227" s="1201"/>
      <c r="PGJ227" s="1201"/>
      <c r="PGK227" s="1201"/>
      <c r="PGL227" s="1201"/>
      <c r="PGM227" s="1201"/>
      <c r="PGN227" s="1201"/>
      <c r="PGO227" s="1201"/>
      <c r="PGP227" s="1201"/>
      <c r="PGQ227" s="1201"/>
      <c r="PGR227" s="1201"/>
      <c r="PGS227" s="1201"/>
      <c r="PGT227" s="1201"/>
      <c r="PGU227" s="1201"/>
      <c r="PGV227" s="1201"/>
      <c r="PGW227" s="1201"/>
      <c r="PGX227" s="1201"/>
      <c r="PGY227" s="1201"/>
      <c r="PGZ227" s="1201"/>
      <c r="PHA227" s="1201"/>
      <c r="PHB227" s="1201"/>
      <c r="PHC227" s="1201"/>
      <c r="PHD227" s="1201"/>
      <c r="PHE227" s="1201"/>
      <c r="PHF227" s="1201"/>
      <c r="PHG227" s="1201"/>
      <c r="PHH227" s="1201"/>
      <c r="PHI227" s="1201"/>
      <c r="PHJ227" s="1201"/>
      <c r="PHK227" s="1201"/>
      <c r="PHL227" s="1201"/>
      <c r="PHM227" s="1201"/>
      <c r="PHN227" s="1201"/>
      <c r="PHO227" s="1201"/>
      <c r="PHP227" s="1201"/>
      <c r="PHQ227" s="1201"/>
      <c r="PHR227" s="1201"/>
      <c r="PHS227" s="1201"/>
      <c r="PHT227" s="1201"/>
      <c r="PHU227" s="1201"/>
      <c r="PHV227" s="1201"/>
      <c r="PHW227" s="1201"/>
      <c r="PHX227" s="1201"/>
      <c r="PHY227" s="1201"/>
      <c r="PHZ227" s="1201"/>
      <c r="PIA227" s="1201"/>
      <c r="PIB227" s="1201"/>
      <c r="PIC227" s="1201"/>
      <c r="PID227" s="1201"/>
      <c r="PIE227" s="1201"/>
      <c r="PIF227" s="1201"/>
      <c r="PIG227" s="1201"/>
      <c r="PIH227" s="1201"/>
      <c r="PII227" s="1201"/>
      <c r="PIJ227" s="1201"/>
      <c r="PIK227" s="1201"/>
      <c r="PIL227" s="1201"/>
      <c r="PIM227" s="1201"/>
      <c r="PIN227" s="1201"/>
      <c r="PIO227" s="1201"/>
      <c r="PIP227" s="1201"/>
      <c r="PIQ227" s="1201"/>
      <c r="PIR227" s="1201"/>
      <c r="PIS227" s="1201"/>
      <c r="PIT227" s="1201"/>
      <c r="PIU227" s="1201"/>
      <c r="PIV227" s="1201"/>
      <c r="PIW227" s="1201"/>
      <c r="PIX227" s="1201"/>
      <c r="PIY227" s="1201"/>
      <c r="PIZ227" s="1201"/>
      <c r="PJA227" s="1201"/>
      <c r="PJB227" s="1201"/>
      <c r="PJC227" s="1201"/>
      <c r="PJD227" s="1201"/>
      <c r="PJE227" s="1201"/>
      <c r="PJF227" s="1201"/>
      <c r="PJG227" s="1201"/>
      <c r="PJH227" s="1201"/>
      <c r="PJI227" s="1201"/>
      <c r="PJJ227" s="1201"/>
      <c r="PJK227" s="1201"/>
      <c r="PJL227" s="1201"/>
      <c r="PJM227" s="1201"/>
      <c r="PJN227" s="1201"/>
      <c r="PJO227" s="1201"/>
      <c r="PJP227" s="1201"/>
      <c r="PJQ227" s="1201"/>
      <c r="PJR227" s="1201"/>
      <c r="PJS227" s="1201"/>
      <c r="PJT227" s="1201"/>
      <c r="PJU227" s="1201"/>
      <c r="PJV227" s="1201"/>
      <c r="PJW227" s="1201"/>
      <c r="PJX227" s="1201"/>
      <c r="PJY227" s="1201"/>
      <c r="PJZ227" s="1201"/>
      <c r="PKA227" s="1201"/>
      <c r="PKB227" s="1201"/>
      <c r="PKC227" s="1201"/>
      <c r="PKD227" s="1201"/>
      <c r="PKE227" s="1201"/>
      <c r="PKF227" s="1201"/>
      <c r="PKG227" s="1201"/>
      <c r="PKH227" s="1201"/>
      <c r="PKI227" s="1201"/>
      <c r="PKJ227" s="1201"/>
      <c r="PKK227" s="1201"/>
      <c r="PKL227" s="1201"/>
      <c r="PKM227" s="1201"/>
      <c r="PKN227" s="1201"/>
      <c r="PKO227" s="1201"/>
      <c r="PKP227" s="1201"/>
      <c r="PKQ227" s="1201"/>
      <c r="PKR227" s="1201"/>
      <c r="PKS227" s="1201"/>
      <c r="PKT227" s="1201"/>
      <c r="PKU227" s="1201"/>
      <c r="PKV227" s="1201"/>
      <c r="PKW227" s="1201"/>
      <c r="PKX227" s="1201"/>
      <c r="PKY227" s="1201"/>
      <c r="PKZ227" s="1201"/>
      <c r="PLA227" s="1201"/>
      <c r="PLB227" s="1201"/>
      <c r="PLC227" s="1201"/>
      <c r="PLD227" s="1201"/>
      <c r="PLE227" s="1201"/>
      <c r="PLF227" s="1201"/>
      <c r="PLG227" s="1201"/>
      <c r="PLH227" s="1201"/>
      <c r="PLI227" s="1201"/>
      <c r="PLJ227" s="1201"/>
      <c r="PLK227" s="1201"/>
      <c r="PLL227" s="1201"/>
      <c r="PLM227" s="1201"/>
      <c r="PLN227" s="1201"/>
      <c r="PLO227" s="1201"/>
      <c r="PLP227" s="1201"/>
      <c r="PLQ227" s="1201"/>
      <c r="PLR227" s="1201"/>
      <c r="PLS227" s="1201"/>
      <c r="PLT227" s="1201"/>
      <c r="PLU227" s="1201"/>
      <c r="PLV227" s="1201"/>
      <c r="PLW227" s="1201"/>
      <c r="PLX227" s="1201"/>
      <c r="PLY227" s="1201"/>
      <c r="PLZ227" s="1201"/>
      <c r="PMA227" s="1201"/>
      <c r="PMB227" s="1201"/>
      <c r="PMC227" s="1201"/>
      <c r="PMD227" s="1201"/>
      <c r="PME227" s="1201"/>
      <c r="PMF227" s="1201"/>
      <c r="PMG227" s="1201"/>
      <c r="PMH227" s="1201"/>
      <c r="PMI227" s="1201"/>
      <c r="PMJ227" s="1201"/>
      <c r="PMK227" s="1201"/>
      <c r="PML227" s="1201"/>
      <c r="PMM227" s="1201"/>
      <c r="PMN227" s="1201"/>
      <c r="PMO227" s="1201"/>
      <c r="PMP227" s="1201"/>
      <c r="PMQ227" s="1201"/>
      <c r="PMR227" s="1201"/>
      <c r="PMS227" s="1201"/>
      <c r="PMT227" s="1201"/>
      <c r="PMU227" s="1201"/>
      <c r="PMV227" s="1201"/>
      <c r="PMW227" s="1201"/>
      <c r="PMX227" s="1201"/>
      <c r="PMY227" s="1201"/>
      <c r="PMZ227" s="1201"/>
      <c r="PNA227" s="1201"/>
      <c r="PNB227" s="1201"/>
      <c r="PNC227" s="1201"/>
      <c r="PND227" s="1201"/>
      <c r="PNE227" s="1201"/>
      <c r="PNF227" s="1201"/>
      <c r="PNG227" s="1201"/>
      <c r="PNH227" s="1201"/>
      <c r="PNI227" s="1201"/>
      <c r="PNJ227" s="1201"/>
      <c r="PNK227" s="1201"/>
      <c r="PNL227" s="1201"/>
      <c r="PNM227" s="1201"/>
      <c r="PNN227" s="1201"/>
      <c r="PNO227" s="1201"/>
      <c r="PNP227" s="1201"/>
      <c r="PNQ227" s="1201"/>
      <c r="PNR227" s="1201"/>
      <c r="PNS227" s="1201"/>
      <c r="PNT227" s="1201"/>
      <c r="PNU227" s="1201"/>
      <c r="PNV227" s="1201"/>
      <c r="PNW227" s="1201"/>
      <c r="PNX227" s="1201"/>
      <c r="PNY227" s="1201"/>
      <c r="PNZ227" s="1201"/>
      <c r="POA227" s="1201"/>
      <c r="POB227" s="1201"/>
      <c r="POC227" s="1201"/>
      <c r="POD227" s="1201"/>
      <c r="POE227" s="1201"/>
      <c r="POF227" s="1201"/>
      <c r="POG227" s="1201"/>
      <c r="POH227" s="1201"/>
      <c r="POI227" s="1201"/>
      <c r="POJ227" s="1201"/>
      <c r="POK227" s="1201"/>
      <c r="POL227" s="1201"/>
      <c r="POM227" s="1201"/>
      <c r="PON227" s="1201"/>
      <c r="POO227" s="1201"/>
      <c r="POP227" s="1201"/>
      <c r="POQ227" s="1201"/>
      <c r="POR227" s="1201"/>
      <c r="POS227" s="1201"/>
      <c r="POT227" s="1201"/>
      <c r="POU227" s="1201"/>
      <c r="POV227" s="1201"/>
      <c r="POW227" s="1201"/>
      <c r="POX227" s="1201"/>
      <c r="POY227" s="1201"/>
      <c r="POZ227" s="1201"/>
      <c r="PPA227" s="1201"/>
      <c r="PPB227" s="1201"/>
      <c r="PPC227" s="1201"/>
      <c r="PPD227" s="1201"/>
      <c r="PPE227" s="1201"/>
      <c r="PPF227" s="1201"/>
      <c r="PPG227" s="1201"/>
      <c r="PPH227" s="1201"/>
      <c r="PPI227" s="1201"/>
      <c r="PPJ227" s="1201"/>
      <c r="PPK227" s="1201"/>
      <c r="PPL227" s="1201"/>
      <c r="PPM227" s="1201"/>
      <c r="PPN227" s="1201"/>
      <c r="PPO227" s="1201"/>
      <c r="PPP227" s="1201"/>
      <c r="PPQ227" s="1201"/>
      <c r="PPR227" s="1201"/>
      <c r="PPS227" s="1201"/>
      <c r="PPT227" s="1201"/>
      <c r="PPU227" s="1201"/>
      <c r="PPV227" s="1201"/>
      <c r="PPW227" s="1201"/>
      <c r="PPX227" s="1201"/>
      <c r="PPY227" s="1201"/>
      <c r="PPZ227" s="1201"/>
      <c r="PQA227" s="1201"/>
      <c r="PQB227" s="1201"/>
      <c r="PQC227" s="1201"/>
      <c r="PQD227" s="1201"/>
      <c r="PQE227" s="1201"/>
      <c r="PQF227" s="1201"/>
      <c r="PQG227" s="1201"/>
      <c r="PQH227" s="1201"/>
      <c r="PQI227" s="1201"/>
      <c r="PQJ227" s="1201"/>
      <c r="PQK227" s="1201"/>
      <c r="PQL227" s="1201"/>
      <c r="PQM227" s="1201"/>
      <c r="PQN227" s="1201"/>
      <c r="PQO227" s="1201"/>
      <c r="PQP227" s="1201"/>
      <c r="PQQ227" s="1201"/>
      <c r="PQR227" s="1201"/>
      <c r="PQS227" s="1201"/>
      <c r="PQT227" s="1201"/>
      <c r="PQU227" s="1201"/>
      <c r="PQV227" s="1201"/>
      <c r="PQW227" s="1201"/>
      <c r="PQX227" s="1201"/>
      <c r="PQY227" s="1201"/>
      <c r="PQZ227" s="1201"/>
      <c r="PRA227" s="1201"/>
      <c r="PRB227" s="1201"/>
      <c r="PRC227" s="1201"/>
      <c r="PRD227" s="1201"/>
      <c r="PRE227" s="1201"/>
      <c r="PRF227" s="1201"/>
      <c r="PRG227" s="1201"/>
      <c r="PRH227" s="1201"/>
      <c r="PRI227" s="1201"/>
      <c r="PRJ227" s="1201"/>
      <c r="PRK227" s="1201"/>
      <c r="PRL227" s="1201"/>
      <c r="PRM227" s="1201"/>
      <c r="PRN227" s="1201"/>
      <c r="PRO227" s="1201"/>
      <c r="PRP227" s="1201"/>
      <c r="PRQ227" s="1201"/>
      <c r="PRR227" s="1201"/>
      <c r="PRS227" s="1201"/>
      <c r="PRT227" s="1201"/>
      <c r="PRU227" s="1201"/>
      <c r="PRV227" s="1201"/>
      <c r="PRW227" s="1201"/>
      <c r="PRX227" s="1201"/>
      <c r="PRY227" s="1201"/>
      <c r="PRZ227" s="1201"/>
      <c r="PSA227" s="1201"/>
      <c r="PSB227" s="1201"/>
      <c r="PSC227" s="1201"/>
      <c r="PSD227" s="1201"/>
      <c r="PSE227" s="1201"/>
      <c r="PSF227" s="1201"/>
      <c r="PSG227" s="1201"/>
      <c r="PSH227" s="1201"/>
      <c r="PSI227" s="1201"/>
      <c r="PSJ227" s="1201"/>
      <c r="PSK227" s="1201"/>
      <c r="PSL227" s="1201"/>
      <c r="PSM227" s="1201"/>
      <c r="PSN227" s="1201"/>
      <c r="PSO227" s="1201"/>
      <c r="PSP227" s="1201"/>
      <c r="PSQ227" s="1201"/>
      <c r="PSR227" s="1201"/>
      <c r="PSS227" s="1201"/>
      <c r="PST227" s="1201"/>
      <c r="PSU227" s="1201"/>
      <c r="PSV227" s="1201"/>
      <c r="PSW227" s="1201"/>
      <c r="PSX227" s="1201"/>
      <c r="PSY227" s="1201"/>
      <c r="PSZ227" s="1201"/>
      <c r="PTA227" s="1201"/>
      <c r="PTB227" s="1201"/>
      <c r="PTC227" s="1201"/>
      <c r="PTD227" s="1201"/>
      <c r="PTE227" s="1201"/>
      <c r="PTF227" s="1201"/>
      <c r="PTG227" s="1201"/>
      <c r="PTH227" s="1201"/>
      <c r="PTI227" s="1201"/>
      <c r="PTJ227" s="1201"/>
      <c r="PTK227" s="1201"/>
      <c r="PTL227" s="1201"/>
      <c r="PTM227" s="1201"/>
      <c r="PTN227" s="1201"/>
      <c r="PTO227" s="1201"/>
      <c r="PTP227" s="1201"/>
      <c r="PTQ227" s="1201"/>
      <c r="PTR227" s="1201"/>
      <c r="PTS227" s="1201"/>
      <c r="PTT227" s="1201"/>
      <c r="PTU227" s="1201"/>
      <c r="PTV227" s="1201"/>
      <c r="PTW227" s="1201"/>
      <c r="PTX227" s="1201"/>
      <c r="PTY227" s="1201"/>
      <c r="PTZ227" s="1201"/>
      <c r="PUA227" s="1201"/>
      <c r="PUB227" s="1201"/>
      <c r="PUC227" s="1201"/>
      <c r="PUD227" s="1201"/>
      <c r="PUE227" s="1201"/>
      <c r="PUF227" s="1201"/>
      <c r="PUG227" s="1201"/>
      <c r="PUH227" s="1201"/>
      <c r="PUI227" s="1201"/>
      <c r="PUJ227" s="1201"/>
      <c r="PUK227" s="1201"/>
      <c r="PUL227" s="1201"/>
      <c r="PUM227" s="1201"/>
      <c r="PUN227" s="1201"/>
      <c r="PUO227" s="1201"/>
      <c r="PUP227" s="1201"/>
      <c r="PUQ227" s="1201"/>
      <c r="PUR227" s="1201"/>
      <c r="PUS227" s="1201"/>
      <c r="PUT227" s="1201"/>
      <c r="PUU227" s="1201"/>
      <c r="PUV227" s="1201"/>
      <c r="PUW227" s="1201"/>
      <c r="PUX227" s="1201"/>
      <c r="PUY227" s="1201"/>
      <c r="PUZ227" s="1201"/>
      <c r="PVA227" s="1201"/>
      <c r="PVB227" s="1201"/>
      <c r="PVC227" s="1201"/>
      <c r="PVD227" s="1201"/>
      <c r="PVE227" s="1201"/>
      <c r="PVF227" s="1201"/>
      <c r="PVG227" s="1201"/>
      <c r="PVH227" s="1201"/>
      <c r="PVI227" s="1201"/>
      <c r="PVJ227" s="1201"/>
      <c r="PVK227" s="1201"/>
      <c r="PVL227" s="1201"/>
      <c r="PVM227" s="1201"/>
      <c r="PVN227" s="1201"/>
      <c r="PVO227" s="1201"/>
      <c r="PVP227" s="1201"/>
      <c r="PVQ227" s="1201"/>
      <c r="PVR227" s="1201"/>
      <c r="PVS227" s="1201"/>
      <c r="PVT227" s="1201"/>
      <c r="PVU227" s="1201"/>
      <c r="PVV227" s="1201"/>
      <c r="PVW227" s="1201"/>
      <c r="PVX227" s="1201"/>
      <c r="PVY227" s="1201"/>
      <c r="PVZ227" s="1201"/>
      <c r="PWA227" s="1201"/>
      <c r="PWB227" s="1201"/>
      <c r="PWC227" s="1201"/>
      <c r="PWD227" s="1201"/>
      <c r="PWE227" s="1201"/>
      <c r="PWF227" s="1201"/>
      <c r="PWG227" s="1201"/>
      <c r="PWH227" s="1201"/>
      <c r="PWI227" s="1201"/>
      <c r="PWJ227" s="1201"/>
      <c r="PWK227" s="1201"/>
      <c r="PWL227" s="1201"/>
      <c r="PWM227" s="1201"/>
      <c r="PWN227" s="1201"/>
      <c r="PWO227" s="1201"/>
      <c r="PWP227" s="1201"/>
      <c r="PWQ227" s="1201"/>
      <c r="PWR227" s="1201"/>
      <c r="PWS227" s="1201"/>
      <c r="PWT227" s="1201"/>
      <c r="PWU227" s="1201"/>
      <c r="PWV227" s="1201"/>
      <c r="PWW227" s="1201"/>
      <c r="PWX227" s="1201"/>
      <c r="PWY227" s="1201"/>
      <c r="PWZ227" s="1201"/>
      <c r="PXA227" s="1201"/>
      <c r="PXB227" s="1201"/>
      <c r="PXC227" s="1201"/>
      <c r="PXD227" s="1201"/>
      <c r="PXE227" s="1201"/>
      <c r="PXF227" s="1201"/>
      <c r="PXG227" s="1201"/>
      <c r="PXH227" s="1201"/>
      <c r="PXI227" s="1201"/>
      <c r="PXJ227" s="1201"/>
      <c r="PXK227" s="1201"/>
      <c r="PXL227" s="1201"/>
      <c r="PXM227" s="1201"/>
      <c r="PXN227" s="1201"/>
      <c r="PXO227" s="1201"/>
      <c r="PXP227" s="1201"/>
      <c r="PXQ227" s="1201"/>
      <c r="PXR227" s="1201"/>
      <c r="PXS227" s="1201"/>
      <c r="PXT227" s="1201"/>
      <c r="PXU227" s="1201"/>
      <c r="PXV227" s="1201"/>
      <c r="PXW227" s="1201"/>
      <c r="PXX227" s="1201"/>
      <c r="PXY227" s="1201"/>
      <c r="PXZ227" s="1201"/>
      <c r="PYA227" s="1201"/>
      <c r="PYB227" s="1201"/>
      <c r="PYC227" s="1201"/>
      <c r="PYD227" s="1201"/>
      <c r="PYE227" s="1201"/>
      <c r="PYF227" s="1201"/>
      <c r="PYG227" s="1201"/>
      <c r="PYH227" s="1201"/>
      <c r="PYI227" s="1201"/>
      <c r="PYJ227" s="1201"/>
      <c r="PYK227" s="1201"/>
      <c r="PYL227" s="1201"/>
      <c r="PYM227" s="1201"/>
      <c r="PYN227" s="1201"/>
      <c r="PYO227" s="1201"/>
      <c r="PYP227" s="1201"/>
      <c r="PYQ227" s="1201"/>
      <c r="PYR227" s="1201"/>
      <c r="PYS227" s="1201"/>
      <c r="PYT227" s="1201"/>
      <c r="PYU227" s="1201"/>
      <c r="PYV227" s="1201"/>
      <c r="PYW227" s="1201"/>
      <c r="PYX227" s="1201"/>
      <c r="PYY227" s="1201"/>
      <c r="PYZ227" s="1201"/>
      <c r="PZA227" s="1201"/>
      <c r="PZB227" s="1201"/>
      <c r="PZC227" s="1201"/>
      <c r="PZD227" s="1201"/>
      <c r="PZE227" s="1201"/>
      <c r="PZF227" s="1201"/>
      <c r="PZG227" s="1201"/>
      <c r="PZH227" s="1201"/>
      <c r="PZI227" s="1201"/>
      <c r="PZJ227" s="1201"/>
      <c r="PZK227" s="1201"/>
      <c r="PZL227" s="1201"/>
      <c r="PZM227" s="1201"/>
      <c r="PZN227" s="1201"/>
      <c r="PZO227" s="1201"/>
      <c r="PZP227" s="1201"/>
      <c r="PZQ227" s="1201"/>
      <c r="PZR227" s="1201"/>
      <c r="PZS227" s="1201"/>
      <c r="PZT227" s="1201"/>
      <c r="PZU227" s="1201"/>
      <c r="PZV227" s="1201"/>
      <c r="PZW227" s="1201"/>
      <c r="PZX227" s="1201"/>
      <c r="PZY227" s="1201"/>
      <c r="PZZ227" s="1201"/>
      <c r="QAA227" s="1201"/>
      <c r="QAB227" s="1201"/>
      <c r="QAC227" s="1201"/>
      <c r="QAD227" s="1201"/>
      <c r="QAE227" s="1201"/>
      <c r="QAF227" s="1201"/>
      <c r="QAG227" s="1201"/>
      <c r="QAH227" s="1201"/>
      <c r="QAI227" s="1201"/>
      <c r="QAJ227" s="1201"/>
      <c r="QAK227" s="1201"/>
      <c r="QAL227" s="1201"/>
      <c r="QAM227" s="1201"/>
      <c r="QAN227" s="1201"/>
      <c r="QAO227" s="1201"/>
      <c r="QAP227" s="1201"/>
      <c r="QAQ227" s="1201"/>
      <c r="QAR227" s="1201"/>
      <c r="QAS227" s="1201"/>
      <c r="QAT227" s="1201"/>
      <c r="QAU227" s="1201"/>
      <c r="QAV227" s="1201"/>
      <c r="QAW227" s="1201"/>
      <c r="QAX227" s="1201"/>
      <c r="QAY227" s="1201"/>
      <c r="QAZ227" s="1201"/>
      <c r="QBA227" s="1201"/>
      <c r="QBB227" s="1201"/>
      <c r="QBC227" s="1201"/>
      <c r="QBD227" s="1201"/>
      <c r="QBE227" s="1201"/>
      <c r="QBF227" s="1201"/>
      <c r="QBG227" s="1201"/>
      <c r="QBH227" s="1201"/>
      <c r="QBI227" s="1201"/>
      <c r="QBJ227" s="1201"/>
      <c r="QBK227" s="1201"/>
      <c r="QBL227" s="1201"/>
      <c r="QBM227" s="1201"/>
      <c r="QBN227" s="1201"/>
      <c r="QBO227" s="1201"/>
      <c r="QBP227" s="1201"/>
      <c r="QBQ227" s="1201"/>
      <c r="QBR227" s="1201"/>
      <c r="QBS227" s="1201"/>
      <c r="QBT227" s="1201"/>
      <c r="QBU227" s="1201"/>
      <c r="QBV227" s="1201"/>
      <c r="QBW227" s="1201"/>
      <c r="QBX227" s="1201"/>
      <c r="QBY227" s="1201"/>
      <c r="QBZ227" s="1201"/>
      <c r="QCA227" s="1201"/>
      <c r="QCB227" s="1201"/>
      <c r="QCC227" s="1201"/>
      <c r="QCD227" s="1201"/>
      <c r="QCE227" s="1201"/>
      <c r="QCF227" s="1201"/>
      <c r="QCG227" s="1201"/>
      <c r="QCH227" s="1201"/>
      <c r="QCI227" s="1201"/>
      <c r="QCJ227" s="1201"/>
      <c r="QCK227" s="1201"/>
      <c r="QCL227" s="1201"/>
      <c r="QCM227" s="1201"/>
      <c r="QCN227" s="1201"/>
      <c r="QCO227" s="1201"/>
      <c r="QCP227" s="1201"/>
      <c r="QCQ227" s="1201"/>
      <c r="QCR227" s="1201"/>
      <c r="QCS227" s="1201"/>
      <c r="QCT227" s="1201"/>
      <c r="QCU227" s="1201"/>
      <c r="QCV227" s="1201"/>
      <c r="QCW227" s="1201"/>
      <c r="QCX227" s="1201"/>
      <c r="QCY227" s="1201"/>
      <c r="QCZ227" s="1201"/>
      <c r="QDA227" s="1201"/>
      <c r="QDB227" s="1201"/>
      <c r="QDC227" s="1201"/>
      <c r="QDD227" s="1201"/>
      <c r="QDE227" s="1201"/>
      <c r="QDF227" s="1201"/>
      <c r="QDG227" s="1201"/>
      <c r="QDH227" s="1201"/>
      <c r="QDI227" s="1201"/>
      <c r="QDJ227" s="1201"/>
      <c r="QDK227" s="1201"/>
      <c r="QDL227" s="1201"/>
      <c r="QDM227" s="1201"/>
      <c r="QDN227" s="1201"/>
      <c r="QDO227" s="1201"/>
      <c r="QDP227" s="1201"/>
      <c r="QDQ227" s="1201"/>
      <c r="QDR227" s="1201"/>
      <c r="QDS227" s="1201"/>
      <c r="QDT227" s="1201"/>
      <c r="QDU227" s="1201"/>
      <c r="QDV227" s="1201"/>
      <c r="QDW227" s="1201"/>
      <c r="QDX227" s="1201"/>
      <c r="QDY227" s="1201"/>
      <c r="QDZ227" s="1201"/>
      <c r="QEA227" s="1201"/>
      <c r="QEB227" s="1201"/>
      <c r="QEC227" s="1201"/>
      <c r="QED227" s="1201"/>
      <c r="QEE227" s="1201"/>
      <c r="QEF227" s="1201"/>
      <c r="QEG227" s="1201"/>
      <c r="QEH227" s="1201"/>
      <c r="QEI227" s="1201"/>
      <c r="QEJ227" s="1201"/>
      <c r="QEK227" s="1201"/>
      <c r="QEL227" s="1201"/>
      <c r="QEM227" s="1201"/>
      <c r="QEN227" s="1201"/>
      <c r="QEO227" s="1201"/>
      <c r="QEP227" s="1201"/>
      <c r="QEQ227" s="1201"/>
      <c r="QER227" s="1201"/>
      <c r="QES227" s="1201"/>
      <c r="QET227" s="1201"/>
      <c r="QEU227" s="1201"/>
      <c r="QEV227" s="1201"/>
      <c r="QEW227" s="1201"/>
      <c r="QEX227" s="1201"/>
      <c r="QEY227" s="1201"/>
      <c r="QEZ227" s="1201"/>
      <c r="QFA227" s="1201"/>
      <c r="QFB227" s="1201"/>
      <c r="QFC227" s="1201"/>
      <c r="QFD227" s="1201"/>
      <c r="QFE227" s="1201"/>
      <c r="QFF227" s="1201"/>
      <c r="QFG227" s="1201"/>
      <c r="QFH227" s="1201"/>
      <c r="QFI227" s="1201"/>
      <c r="QFJ227" s="1201"/>
      <c r="QFK227" s="1201"/>
      <c r="QFL227" s="1201"/>
      <c r="QFM227" s="1201"/>
      <c r="QFN227" s="1201"/>
      <c r="QFO227" s="1201"/>
      <c r="QFP227" s="1201"/>
      <c r="QFQ227" s="1201"/>
      <c r="QFR227" s="1201"/>
      <c r="QFS227" s="1201"/>
      <c r="QFT227" s="1201"/>
      <c r="QFU227" s="1201"/>
      <c r="QFV227" s="1201"/>
      <c r="QFW227" s="1201"/>
      <c r="QFX227" s="1201"/>
      <c r="QFY227" s="1201"/>
      <c r="QFZ227" s="1201"/>
      <c r="QGA227" s="1201"/>
      <c r="QGB227" s="1201"/>
      <c r="QGC227" s="1201"/>
      <c r="QGD227" s="1201"/>
      <c r="QGE227" s="1201"/>
      <c r="QGF227" s="1201"/>
      <c r="QGG227" s="1201"/>
      <c r="QGH227" s="1201"/>
      <c r="QGI227" s="1201"/>
      <c r="QGJ227" s="1201"/>
      <c r="QGK227" s="1201"/>
      <c r="QGL227" s="1201"/>
      <c r="QGM227" s="1201"/>
      <c r="QGN227" s="1201"/>
      <c r="QGO227" s="1201"/>
      <c r="QGP227" s="1201"/>
      <c r="QGQ227" s="1201"/>
      <c r="QGR227" s="1201"/>
      <c r="QGS227" s="1201"/>
      <c r="QGT227" s="1201"/>
      <c r="QGU227" s="1201"/>
      <c r="QGV227" s="1201"/>
      <c r="QGW227" s="1201"/>
      <c r="QGX227" s="1201"/>
      <c r="QGY227" s="1201"/>
      <c r="QGZ227" s="1201"/>
      <c r="QHA227" s="1201"/>
      <c r="QHB227" s="1201"/>
      <c r="QHC227" s="1201"/>
      <c r="QHD227" s="1201"/>
      <c r="QHE227" s="1201"/>
      <c r="QHF227" s="1201"/>
      <c r="QHG227" s="1201"/>
      <c r="QHH227" s="1201"/>
      <c r="QHI227" s="1201"/>
      <c r="QHJ227" s="1201"/>
      <c r="QHK227" s="1201"/>
      <c r="QHL227" s="1201"/>
      <c r="QHM227" s="1201"/>
      <c r="QHN227" s="1201"/>
      <c r="QHO227" s="1201"/>
      <c r="QHP227" s="1201"/>
      <c r="QHQ227" s="1201"/>
      <c r="QHR227" s="1201"/>
      <c r="QHS227" s="1201"/>
      <c r="QHT227" s="1201"/>
      <c r="QHU227" s="1201"/>
      <c r="QHV227" s="1201"/>
      <c r="QHW227" s="1201"/>
      <c r="QHX227" s="1201"/>
      <c r="QHY227" s="1201"/>
      <c r="QHZ227" s="1201"/>
      <c r="QIA227" s="1201"/>
      <c r="QIB227" s="1201"/>
      <c r="QIC227" s="1201"/>
      <c r="QID227" s="1201"/>
      <c r="QIE227" s="1201"/>
      <c r="QIF227" s="1201"/>
      <c r="QIG227" s="1201"/>
      <c r="QIH227" s="1201"/>
      <c r="QII227" s="1201"/>
      <c r="QIJ227" s="1201"/>
      <c r="QIK227" s="1201"/>
      <c r="QIL227" s="1201"/>
      <c r="QIM227" s="1201"/>
      <c r="QIN227" s="1201"/>
      <c r="QIO227" s="1201"/>
      <c r="QIP227" s="1201"/>
      <c r="QIQ227" s="1201"/>
      <c r="QIR227" s="1201"/>
      <c r="QIS227" s="1201"/>
      <c r="QIT227" s="1201"/>
      <c r="QIU227" s="1201"/>
      <c r="QIV227" s="1201"/>
      <c r="QIW227" s="1201"/>
      <c r="QIX227" s="1201"/>
      <c r="QIY227" s="1201"/>
      <c r="QIZ227" s="1201"/>
      <c r="QJA227" s="1201"/>
      <c r="QJB227" s="1201"/>
      <c r="QJC227" s="1201"/>
      <c r="QJD227" s="1201"/>
      <c r="QJE227" s="1201"/>
      <c r="QJF227" s="1201"/>
      <c r="QJG227" s="1201"/>
      <c r="QJH227" s="1201"/>
      <c r="QJI227" s="1201"/>
      <c r="QJJ227" s="1201"/>
      <c r="QJK227" s="1201"/>
      <c r="QJL227" s="1201"/>
      <c r="QJM227" s="1201"/>
      <c r="QJN227" s="1201"/>
      <c r="QJO227" s="1201"/>
      <c r="QJP227" s="1201"/>
      <c r="QJQ227" s="1201"/>
      <c r="QJR227" s="1201"/>
      <c r="QJS227" s="1201"/>
      <c r="QJT227" s="1201"/>
      <c r="QJU227" s="1201"/>
      <c r="QJV227" s="1201"/>
      <c r="QJW227" s="1201"/>
      <c r="QJX227" s="1201"/>
      <c r="QJY227" s="1201"/>
      <c r="QJZ227" s="1201"/>
      <c r="QKA227" s="1201"/>
      <c r="QKB227" s="1201"/>
      <c r="QKC227" s="1201"/>
      <c r="QKD227" s="1201"/>
      <c r="QKE227" s="1201"/>
      <c r="QKF227" s="1201"/>
      <c r="QKG227" s="1201"/>
      <c r="QKH227" s="1201"/>
      <c r="QKI227" s="1201"/>
      <c r="QKJ227" s="1201"/>
      <c r="QKK227" s="1201"/>
      <c r="QKL227" s="1201"/>
      <c r="QKM227" s="1201"/>
      <c r="QKN227" s="1201"/>
      <c r="QKO227" s="1201"/>
      <c r="QKP227" s="1201"/>
      <c r="QKQ227" s="1201"/>
      <c r="QKR227" s="1201"/>
      <c r="QKS227" s="1201"/>
      <c r="QKT227" s="1201"/>
      <c r="QKU227" s="1201"/>
      <c r="QKV227" s="1201"/>
      <c r="QKW227" s="1201"/>
      <c r="QKX227" s="1201"/>
      <c r="QKY227" s="1201"/>
      <c r="QKZ227" s="1201"/>
      <c r="QLA227" s="1201"/>
      <c r="QLB227" s="1201"/>
      <c r="QLC227" s="1201"/>
      <c r="QLD227" s="1201"/>
      <c r="QLE227" s="1201"/>
      <c r="QLF227" s="1201"/>
      <c r="QLG227" s="1201"/>
      <c r="QLH227" s="1201"/>
      <c r="QLI227" s="1201"/>
      <c r="QLJ227" s="1201"/>
      <c r="QLK227" s="1201"/>
      <c r="QLL227" s="1201"/>
      <c r="QLM227" s="1201"/>
      <c r="QLN227" s="1201"/>
      <c r="QLO227" s="1201"/>
      <c r="QLP227" s="1201"/>
      <c r="QLQ227" s="1201"/>
      <c r="QLR227" s="1201"/>
      <c r="QLS227" s="1201"/>
      <c r="QLT227" s="1201"/>
      <c r="QLU227" s="1201"/>
      <c r="QLV227" s="1201"/>
      <c r="QLW227" s="1201"/>
      <c r="QLX227" s="1201"/>
      <c r="QLY227" s="1201"/>
      <c r="QLZ227" s="1201"/>
      <c r="QMA227" s="1201"/>
      <c r="QMB227" s="1201"/>
      <c r="QMC227" s="1201"/>
      <c r="QMD227" s="1201"/>
      <c r="QME227" s="1201"/>
      <c r="QMF227" s="1201"/>
      <c r="QMG227" s="1201"/>
      <c r="QMH227" s="1201"/>
      <c r="QMI227" s="1201"/>
      <c r="QMJ227" s="1201"/>
      <c r="QMK227" s="1201"/>
      <c r="QML227" s="1201"/>
      <c r="QMM227" s="1201"/>
      <c r="QMN227" s="1201"/>
      <c r="QMO227" s="1201"/>
      <c r="QMP227" s="1201"/>
      <c r="QMQ227" s="1201"/>
      <c r="QMR227" s="1201"/>
      <c r="QMS227" s="1201"/>
      <c r="QMT227" s="1201"/>
      <c r="QMU227" s="1201"/>
      <c r="QMV227" s="1201"/>
      <c r="QMW227" s="1201"/>
      <c r="QMX227" s="1201"/>
      <c r="QMY227" s="1201"/>
      <c r="QMZ227" s="1201"/>
      <c r="QNA227" s="1201"/>
      <c r="QNB227" s="1201"/>
      <c r="QNC227" s="1201"/>
      <c r="QND227" s="1201"/>
      <c r="QNE227" s="1201"/>
      <c r="QNF227" s="1201"/>
      <c r="QNG227" s="1201"/>
      <c r="QNH227" s="1201"/>
      <c r="QNI227" s="1201"/>
      <c r="QNJ227" s="1201"/>
      <c r="QNK227" s="1201"/>
      <c r="QNL227" s="1201"/>
      <c r="QNM227" s="1201"/>
      <c r="QNN227" s="1201"/>
      <c r="QNO227" s="1201"/>
      <c r="QNP227" s="1201"/>
      <c r="QNQ227" s="1201"/>
      <c r="QNR227" s="1201"/>
      <c r="QNS227" s="1201"/>
      <c r="QNT227" s="1201"/>
      <c r="QNU227" s="1201"/>
      <c r="QNV227" s="1201"/>
      <c r="QNW227" s="1201"/>
      <c r="QNX227" s="1201"/>
      <c r="QNY227" s="1201"/>
      <c r="QNZ227" s="1201"/>
      <c r="QOA227" s="1201"/>
      <c r="QOB227" s="1201"/>
      <c r="QOC227" s="1201"/>
      <c r="QOD227" s="1201"/>
      <c r="QOE227" s="1201"/>
      <c r="QOF227" s="1201"/>
      <c r="QOG227" s="1201"/>
      <c r="QOH227" s="1201"/>
      <c r="QOI227" s="1201"/>
      <c r="QOJ227" s="1201"/>
      <c r="QOK227" s="1201"/>
      <c r="QOL227" s="1201"/>
      <c r="QOM227" s="1201"/>
      <c r="QON227" s="1201"/>
      <c r="QOO227" s="1201"/>
      <c r="QOP227" s="1201"/>
      <c r="QOQ227" s="1201"/>
      <c r="QOR227" s="1201"/>
      <c r="QOS227" s="1201"/>
      <c r="QOT227" s="1201"/>
      <c r="QOU227" s="1201"/>
      <c r="QOV227" s="1201"/>
      <c r="QOW227" s="1201"/>
      <c r="QOX227" s="1201"/>
      <c r="QOY227" s="1201"/>
      <c r="QOZ227" s="1201"/>
      <c r="QPA227" s="1201"/>
      <c r="QPB227" s="1201"/>
      <c r="QPC227" s="1201"/>
      <c r="QPD227" s="1201"/>
      <c r="QPE227" s="1201"/>
      <c r="QPF227" s="1201"/>
      <c r="QPG227" s="1201"/>
      <c r="QPH227" s="1201"/>
      <c r="QPI227" s="1201"/>
      <c r="QPJ227" s="1201"/>
      <c r="QPK227" s="1201"/>
      <c r="QPL227" s="1201"/>
      <c r="QPM227" s="1201"/>
      <c r="QPN227" s="1201"/>
      <c r="QPO227" s="1201"/>
      <c r="QPP227" s="1201"/>
      <c r="QPQ227" s="1201"/>
      <c r="QPR227" s="1201"/>
      <c r="QPS227" s="1201"/>
      <c r="QPT227" s="1201"/>
      <c r="QPU227" s="1201"/>
      <c r="QPV227" s="1201"/>
      <c r="QPW227" s="1201"/>
      <c r="QPX227" s="1201"/>
      <c r="QPY227" s="1201"/>
      <c r="QPZ227" s="1201"/>
      <c r="QQA227" s="1201"/>
      <c r="QQB227" s="1201"/>
      <c r="QQC227" s="1201"/>
      <c r="QQD227" s="1201"/>
      <c r="QQE227" s="1201"/>
      <c r="QQF227" s="1201"/>
      <c r="QQG227" s="1201"/>
      <c r="QQH227" s="1201"/>
      <c r="QQI227" s="1201"/>
      <c r="QQJ227" s="1201"/>
      <c r="QQK227" s="1201"/>
      <c r="QQL227" s="1201"/>
      <c r="QQM227" s="1201"/>
      <c r="QQN227" s="1201"/>
      <c r="QQO227" s="1201"/>
      <c r="QQP227" s="1201"/>
      <c r="QQQ227" s="1201"/>
      <c r="QQR227" s="1201"/>
      <c r="QQS227" s="1201"/>
      <c r="QQT227" s="1201"/>
      <c r="QQU227" s="1201"/>
      <c r="QQV227" s="1201"/>
      <c r="QQW227" s="1201"/>
      <c r="QQX227" s="1201"/>
      <c r="QQY227" s="1201"/>
      <c r="QQZ227" s="1201"/>
      <c r="QRA227" s="1201"/>
      <c r="QRB227" s="1201"/>
      <c r="QRC227" s="1201"/>
      <c r="QRD227" s="1201"/>
      <c r="QRE227" s="1201"/>
      <c r="QRF227" s="1201"/>
      <c r="QRG227" s="1201"/>
      <c r="QRH227" s="1201"/>
      <c r="QRI227" s="1201"/>
      <c r="QRJ227" s="1201"/>
      <c r="QRK227" s="1201"/>
      <c r="QRL227" s="1201"/>
      <c r="QRM227" s="1201"/>
      <c r="QRN227" s="1201"/>
      <c r="QRO227" s="1201"/>
      <c r="QRP227" s="1201"/>
      <c r="QRQ227" s="1201"/>
      <c r="QRR227" s="1201"/>
      <c r="QRS227" s="1201"/>
      <c r="QRT227" s="1201"/>
      <c r="QRU227" s="1201"/>
      <c r="QRV227" s="1201"/>
      <c r="QRW227" s="1201"/>
      <c r="QRX227" s="1201"/>
      <c r="QRY227" s="1201"/>
      <c r="QRZ227" s="1201"/>
      <c r="QSA227" s="1201"/>
      <c r="QSB227" s="1201"/>
      <c r="QSC227" s="1201"/>
      <c r="QSD227" s="1201"/>
      <c r="QSE227" s="1201"/>
      <c r="QSF227" s="1201"/>
      <c r="QSG227" s="1201"/>
      <c r="QSH227" s="1201"/>
      <c r="QSI227" s="1201"/>
      <c r="QSJ227" s="1201"/>
      <c r="QSK227" s="1201"/>
      <c r="QSL227" s="1201"/>
      <c r="QSM227" s="1201"/>
      <c r="QSN227" s="1201"/>
      <c r="QSO227" s="1201"/>
      <c r="QSP227" s="1201"/>
      <c r="QSQ227" s="1201"/>
      <c r="QSR227" s="1201"/>
      <c r="QSS227" s="1201"/>
      <c r="QST227" s="1201"/>
      <c r="QSU227" s="1201"/>
      <c r="QSV227" s="1201"/>
      <c r="QSW227" s="1201"/>
      <c r="QSX227" s="1201"/>
      <c r="QSY227" s="1201"/>
      <c r="QSZ227" s="1201"/>
      <c r="QTA227" s="1201"/>
      <c r="QTB227" s="1201"/>
      <c r="QTC227" s="1201"/>
      <c r="QTD227" s="1201"/>
      <c r="QTE227" s="1201"/>
      <c r="QTF227" s="1201"/>
      <c r="QTG227" s="1201"/>
      <c r="QTH227" s="1201"/>
      <c r="QTI227" s="1201"/>
      <c r="QTJ227" s="1201"/>
      <c r="QTK227" s="1201"/>
      <c r="QTL227" s="1201"/>
      <c r="QTM227" s="1201"/>
      <c r="QTN227" s="1201"/>
      <c r="QTO227" s="1201"/>
      <c r="QTP227" s="1201"/>
      <c r="QTQ227" s="1201"/>
      <c r="QTR227" s="1201"/>
      <c r="QTS227" s="1201"/>
      <c r="QTT227" s="1201"/>
      <c r="QTU227" s="1201"/>
      <c r="QTV227" s="1201"/>
      <c r="QTW227" s="1201"/>
      <c r="QTX227" s="1201"/>
      <c r="QTY227" s="1201"/>
      <c r="QTZ227" s="1201"/>
      <c r="QUA227" s="1201"/>
      <c r="QUB227" s="1201"/>
      <c r="QUC227" s="1201"/>
      <c r="QUD227" s="1201"/>
      <c r="QUE227" s="1201"/>
      <c r="QUF227" s="1201"/>
      <c r="QUG227" s="1201"/>
      <c r="QUH227" s="1201"/>
      <c r="QUI227" s="1201"/>
      <c r="QUJ227" s="1201"/>
      <c r="QUK227" s="1201"/>
      <c r="QUL227" s="1201"/>
      <c r="QUM227" s="1201"/>
      <c r="QUN227" s="1201"/>
      <c r="QUO227" s="1201"/>
      <c r="QUP227" s="1201"/>
      <c r="QUQ227" s="1201"/>
      <c r="QUR227" s="1201"/>
      <c r="QUS227" s="1201"/>
      <c r="QUT227" s="1201"/>
      <c r="QUU227" s="1201"/>
      <c r="QUV227" s="1201"/>
      <c r="QUW227" s="1201"/>
      <c r="QUX227" s="1201"/>
      <c r="QUY227" s="1201"/>
      <c r="QUZ227" s="1201"/>
      <c r="QVA227" s="1201"/>
      <c r="QVB227" s="1201"/>
      <c r="QVC227" s="1201"/>
      <c r="QVD227" s="1201"/>
      <c r="QVE227" s="1201"/>
      <c r="QVF227" s="1201"/>
      <c r="QVG227" s="1201"/>
      <c r="QVH227" s="1201"/>
      <c r="QVI227" s="1201"/>
      <c r="QVJ227" s="1201"/>
      <c r="QVK227" s="1201"/>
      <c r="QVL227" s="1201"/>
      <c r="QVM227" s="1201"/>
      <c r="QVN227" s="1201"/>
      <c r="QVO227" s="1201"/>
      <c r="QVP227" s="1201"/>
      <c r="QVQ227" s="1201"/>
      <c r="QVR227" s="1201"/>
      <c r="QVS227" s="1201"/>
      <c r="QVT227" s="1201"/>
      <c r="QVU227" s="1201"/>
      <c r="QVV227" s="1201"/>
      <c r="QVW227" s="1201"/>
      <c r="QVX227" s="1201"/>
      <c r="QVY227" s="1201"/>
      <c r="QVZ227" s="1201"/>
      <c r="QWA227" s="1201"/>
      <c r="QWB227" s="1201"/>
      <c r="QWC227" s="1201"/>
      <c r="QWD227" s="1201"/>
      <c r="QWE227" s="1201"/>
      <c r="QWF227" s="1201"/>
      <c r="QWG227" s="1201"/>
      <c r="QWH227" s="1201"/>
      <c r="QWI227" s="1201"/>
      <c r="QWJ227" s="1201"/>
      <c r="QWK227" s="1201"/>
      <c r="QWL227" s="1201"/>
      <c r="QWM227" s="1201"/>
      <c r="QWN227" s="1201"/>
      <c r="QWO227" s="1201"/>
      <c r="QWP227" s="1201"/>
      <c r="QWQ227" s="1201"/>
      <c r="QWR227" s="1201"/>
      <c r="QWS227" s="1201"/>
      <c r="QWT227" s="1201"/>
      <c r="QWU227" s="1201"/>
      <c r="QWV227" s="1201"/>
      <c r="QWW227" s="1201"/>
      <c r="QWX227" s="1201"/>
      <c r="QWY227" s="1201"/>
      <c r="QWZ227" s="1201"/>
      <c r="QXA227" s="1201"/>
      <c r="QXB227" s="1201"/>
      <c r="QXC227" s="1201"/>
      <c r="QXD227" s="1201"/>
      <c r="QXE227" s="1201"/>
      <c r="QXF227" s="1201"/>
      <c r="QXG227" s="1201"/>
      <c r="QXH227" s="1201"/>
      <c r="QXI227" s="1201"/>
      <c r="QXJ227" s="1201"/>
      <c r="QXK227" s="1201"/>
      <c r="QXL227" s="1201"/>
      <c r="QXM227" s="1201"/>
      <c r="QXN227" s="1201"/>
      <c r="QXO227" s="1201"/>
      <c r="QXP227" s="1201"/>
      <c r="QXQ227" s="1201"/>
      <c r="QXR227" s="1201"/>
      <c r="QXS227" s="1201"/>
      <c r="QXT227" s="1201"/>
      <c r="QXU227" s="1201"/>
      <c r="QXV227" s="1201"/>
      <c r="QXW227" s="1201"/>
      <c r="QXX227" s="1201"/>
      <c r="QXY227" s="1201"/>
      <c r="QXZ227" s="1201"/>
      <c r="QYA227" s="1201"/>
      <c r="QYB227" s="1201"/>
      <c r="QYC227" s="1201"/>
      <c r="QYD227" s="1201"/>
      <c r="QYE227" s="1201"/>
      <c r="QYF227" s="1201"/>
      <c r="QYG227" s="1201"/>
      <c r="QYH227" s="1201"/>
      <c r="QYI227" s="1201"/>
      <c r="QYJ227" s="1201"/>
      <c r="QYK227" s="1201"/>
      <c r="QYL227" s="1201"/>
      <c r="QYM227" s="1201"/>
      <c r="QYN227" s="1201"/>
      <c r="QYO227" s="1201"/>
      <c r="QYP227" s="1201"/>
      <c r="QYQ227" s="1201"/>
      <c r="QYR227" s="1201"/>
      <c r="QYS227" s="1201"/>
      <c r="QYT227" s="1201"/>
      <c r="QYU227" s="1201"/>
      <c r="QYV227" s="1201"/>
      <c r="QYW227" s="1201"/>
      <c r="QYX227" s="1201"/>
      <c r="QYY227" s="1201"/>
      <c r="QYZ227" s="1201"/>
      <c r="QZA227" s="1201"/>
      <c r="QZB227" s="1201"/>
      <c r="QZC227" s="1201"/>
      <c r="QZD227" s="1201"/>
      <c r="QZE227" s="1201"/>
      <c r="QZF227" s="1201"/>
      <c r="QZG227" s="1201"/>
      <c r="QZH227" s="1201"/>
      <c r="QZI227" s="1201"/>
      <c r="QZJ227" s="1201"/>
      <c r="QZK227" s="1201"/>
      <c r="QZL227" s="1201"/>
      <c r="QZM227" s="1201"/>
      <c r="QZN227" s="1201"/>
      <c r="QZO227" s="1201"/>
      <c r="QZP227" s="1201"/>
      <c r="QZQ227" s="1201"/>
      <c r="QZR227" s="1201"/>
      <c r="QZS227" s="1201"/>
      <c r="QZT227" s="1201"/>
      <c r="QZU227" s="1201"/>
      <c r="QZV227" s="1201"/>
      <c r="QZW227" s="1201"/>
      <c r="QZX227" s="1201"/>
      <c r="QZY227" s="1201"/>
      <c r="QZZ227" s="1201"/>
      <c r="RAA227" s="1201"/>
      <c r="RAB227" s="1201"/>
      <c r="RAC227" s="1201"/>
      <c r="RAD227" s="1201"/>
      <c r="RAE227" s="1201"/>
      <c r="RAF227" s="1201"/>
      <c r="RAG227" s="1201"/>
      <c r="RAH227" s="1201"/>
      <c r="RAI227" s="1201"/>
      <c r="RAJ227" s="1201"/>
      <c r="RAK227" s="1201"/>
      <c r="RAL227" s="1201"/>
      <c r="RAM227" s="1201"/>
      <c r="RAN227" s="1201"/>
      <c r="RAO227" s="1201"/>
      <c r="RAP227" s="1201"/>
      <c r="RAQ227" s="1201"/>
      <c r="RAR227" s="1201"/>
      <c r="RAS227" s="1201"/>
      <c r="RAT227" s="1201"/>
      <c r="RAU227" s="1201"/>
      <c r="RAV227" s="1201"/>
      <c r="RAW227" s="1201"/>
      <c r="RAX227" s="1201"/>
      <c r="RAY227" s="1201"/>
      <c r="RAZ227" s="1201"/>
      <c r="RBA227" s="1201"/>
      <c r="RBB227" s="1201"/>
      <c r="RBC227" s="1201"/>
      <c r="RBD227" s="1201"/>
      <c r="RBE227" s="1201"/>
      <c r="RBF227" s="1201"/>
      <c r="RBG227" s="1201"/>
      <c r="RBH227" s="1201"/>
      <c r="RBI227" s="1201"/>
      <c r="RBJ227" s="1201"/>
      <c r="RBK227" s="1201"/>
      <c r="RBL227" s="1201"/>
      <c r="RBM227" s="1201"/>
      <c r="RBN227" s="1201"/>
      <c r="RBO227" s="1201"/>
      <c r="RBP227" s="1201"/>
      <c r="RBQ227" s="1201"/>
      <c r="RBR227" s="1201"/>
      <c r="RBS227" s="1201"/>
      <c r="RBT227" s="1201"/>
      <c r="RBU227" s="1201"/>
      <c r="RBV227" s="1201"/>
      <c r="RBW227" s="1201"/>
      <c r="RBX227" s="1201"/>
      <c r="RBY227" s="1201"/>
      <c r="RBZ227" s="1201"/>
      <c r="RCA227" s="1201"/>
      <c r="RCB227" s="1201"/>
      <c r="RCC227" s="1201"/>
      <c r="RCD227" s="1201"/>
      <c r="RCE227" s="1201"/>
      <c r="RCF227" s="1201"/>
      <c r="RCG227" s="1201"/>
      <c r="RCH227" s="1201"/>
      <c r="RCI227" s="1201"/>
      <c r="RCJ227" s="1201"/>
      <c r="RCK227" s="1201"/>
      <c r="RCL227" s="1201"/>
      <c r="RCM227" s="1201"/>
      <c r="RCN227" s="1201"/>
      <c r="RCO227" s="1201"/>
      <c r="RCP227" s="1201"/>
      <c r="RCQ227" s="1201"/>
      <c r="RCR227" s="1201"/>
      <c r="RCS227" s="1201"/>
      <c r="RCT227" s="1201"/>
      <c r="RCU227" s="1201"/>
      <c r="RCV227" s="1201"/>
      <c r="RCW227" s="1201"/>
      <c r="RCX227" s="1201"/>
      <c r="RCY227" s="1201"/>
      <c r="RCZ227" s="1201"/>
      <c r="RDA227" s="1201"/>
      <c r="RDB227" s="1201"/>
      <c r="RDC227" s="1201"/>
      <c r="RDD227" s="1201"/>
      <c r="RDE227" s="1201"/>
      <c r="RDF227" s="1201"/>
      <c r="RDG227" s="1201"/>
      <c r="RDH227" s="1201"/>
      <c r="RDI227" s="1201"/>
      <c r="RDJ227" s="1201"/>
      <c r="RDK227" s="1201"/>
      <c r="RDL227" s="1201"/>
      <c r="RDM227" s="1201"/>
      <c r="RDN227" s="1201"/>
      <c r="RDO227" s="1201"/>
      <c r="RDP227" s="1201"/>
      <c r="RDQ227" s="1201"/>
      <c r="RDR227" s="1201"/>
      <c r="RDS227" s="1201"/>
      <c r="RDT227" s="1201"/>
      <c r="RDU227" s="1201"/>
      <c r="RDV227" s="1201"/>
      <c r="RDW227" s="1201"/>
      <c r="RDX227" s="1201"/>
      <c r="RDY227" s="1201"/>
      <c r="RDZ227" s="1201"/>
      <c r="REA227" s="1201"/>
      <c r="REB227" s="1201"/>
      <c r="REC227" s="1201"/>
      <c r="RED227" s="1201"/>
      <c r="REE227" s="1201"/>
      <c r="REF227" s="1201"/>
      <c r="REG227" s="1201"/>
      <c r="REH227" s="1201"/>
      <c r="REI227" s="1201"/>
      <c r="REJ227" s="1201"/>
      <c r="REK227" s="1201"/>
      <c r="REL227" s="1201"/>
      <c r="REM227" s="1201"/>
      <c r="REN227" s="1201"/>
      <c r="REO227" s="1201"/>
      <c r="REP227" s="1201"/>
      <c r="REQ227" s="1201"/>
      <c r="RER227" s="1201"/>
      <c r="RES227" s="1201"/>
      <c r="RET227" s="1201"/>
      <c r="REU227" s="1201"/>
      <c r="REV227" s="1201"/>
      <c r="REW227" s="1201"/>
      <c r="REX227" s="1201"/>
      <c r="REY227" s="1201"/>
      <c r="REZ227" s="1201"/>
      <c r="RFA227" s="1201"/>
      <c r="RFB227" s="1201"/>
      <c r="RFC227" s="1201"/>
      <c r="RFD227" s="1201"/>
      <c r="RFE227" s="1201"/>
      <c r="RFF227" s="1201"/>
      <c r="RFG227" s="1201"/>
      <c r="RFH227" s="1201"/>
      <c r="RFI227" s="1201"/>
      <c r="RFJ227" s="1201"/>
      <c r="RFK227" s="1201"/>
      <c r="RFL227" s="1201"/>
      <c r="RFM227" s="1201"/>
      <c r="RFN227" s="1201"/>
      <c r="RFO227" s="1201"/>
      <c r="RFP227" s="1201"/>
      <c r="RFQ227" s="1201"/>
      <c r="RFR227" s="1201"/>
      <c r="RFS227" s="1201"/>
      <c r="RFT227" s="1201"/>
      <c r="RFU227" s="1201"/>
      <c r="RFV227" s="1201"/>
      <c r="RFW227" s="1201"/>
      <c r="RFX227" s="1201"/>
      <c r="RFY227" s="1201"/>
      <c r="RFZ227" s="1201"/>
      <c r="RGA227" s="1201"/>
      <c r="RGB227" s="1201"/>
      <c r="RGC227" s="1201"/>
      <c r="RGD227" s="1201"/>
      <c r="RGE227" s="1201"/>
      <c r="RGF227" s="1201"/>
      <c r="RGG227" s="1201"/>
      <c r="RGH227" s="1201"/>
      <c r="RGI227" s="1201"/>
      <c r="RGJ227" s="1201"/>
      <c r="RGK227" s="1201"/>
      <c r="RGL227" s="1201"/>
      <c r="RGM227" s="1201"/>
      <c r="RGN227" s="1201"/>
      <c r="RGO227" s="1201"/>
      <c r="RGP227" s="1201"/>
      <c r="RGQ227" s="1201"/>
      <c r="RGR227" s="1201"/>
      <c r="RGS227" s="1201"/>
      <c r="RGT227" s="1201"/>
      <c r="RGU227" s="1201"/>
      <c r="RGV227" s="1201"/>
      <c r="RGW227" s="1201"/>
      <c r="RGX227" s="1201"/>
      <c r="RGY227" s="1201"/>
      <c r="RGZ227" s="1201"/>
      <c r="RHA227" s="1201"/>
      <c r="RHB227" s="1201"/>
      <c r="RHC227" s="1201"/>
      <c r="RHD227" s="1201"/>
      <c r="RHE227" s="1201"/>
      <c r="RHF227" s="1201"/>
      <c r="RHG227" s="1201"/>
      <c r="RHH227" s="1201"/>
      <c r="RHI227" s="1201"/>
      <c r="RHJ227" s="1201"/>
      <c r="RHK227" s="1201"/>
      <c r="RHL227" s="1201"/>
      <c r="RHM227" s="1201"/>
      <c r="RHN227" s="1201"/>
      <c r="RHO227" s="1201"/>
      <c r="RHP227" s="1201"/>
      <c r="RHQ227" s="1201"/>
      <c r="RHR227" s="1201"/>
      <c r="RHS227" s="1201"/>
      <c r="RHT227" s="1201"/>
      <c r="RHU227" s="1201"/>
      <c r="RHV227" s="1201"/>
      <c r="RHW227" s="1201"/>
      <c r="RHX227" s="1201"/>
      <c r="RHY227" s="1201"/>
      <c r="RHZ227" s="1201"/>
      <c r="RIA227" s="1201"/>
      <c r="RIB227" s="1201"/>
      <c r="RIC227" s="1201"/>
      <c r="RID227" s="1201"/>
      <c r="RIE227" s="1201"/>
      <c r="RIF227" s="1201"/>
      <c r="RIG227" s="1201"/>
      <c r="RIH227" s="1201"/>
      <c r="RII227" s="1201"/>
      <c r="RIJ227" s="1201"/>
      <c r="RIK227" s="1201"/>
      <c r="RIL227" s="1201"/>
      <c r="RIM227" s="1201"/>
      <c r="RIN227" s="1201"/>
      <c r="RIO227" s="1201"/>
      <c r="RIP227" s="1201"/>
      <c r="RIQ227" s="1201"/>
      <c r="RIR227" s="1201"/>
      <c r="RIS227" s="1201"/>
      <c r="RIT227" s="1201"/>
      <c r="RIU227" s="1201"/>
      <c r="RIV227" s="1201"/>
      <c r="RIW227" s="1201"/>
      <c r="RIX227" s="1201"/>
      <c r="RIY227" s="1201"/>
      <c r="RIZ227" s="1201"/>
      <c r="RJA227" s="1201"/>
      <c r="RJB227" s="1201"/>
      <c r="RJC227" s="1201"/>
      <c r="RJD227" s="1201"/>
      <c r="RJE227" s="1201"/>
      <c r="RJF227" s="1201"/>
      <c r="RJG227" s="1201"/>
      <c r="RJH227" s="1201"/>
      <c r="RJI227" s="1201"/>
      <c r="RJJ227" s="1201"/>
      <c r="RJK227" s="1201"/>
      <c r="RJL227" s="1201"/>
      <c r="RJM227" s="1201"/>
      <c r="RJN227" s="1201"/>
      <c r="RJO227" s="1201"/>
      <c r="RJP227" s="1201"/>
      <c r="RJQ227" s="1201"/>
      <c r="RJR227" s="1201"/>
      <c r="RJS227" s="1201"/>
      <c r="RJT227" s="1201"/>
      <c r="RJU227" s="1201"/>
      <c r="RJV227" s="1201"/>
      <c r="RJW227" s="1201"/>
      <c r="RJX227" s="1201"/>
      <c r="RJY227" s="1201"/>
      <c r="RJZ227" s="1201"/>
      <c r="RKA227" s="1201"/>
      <c r="RKB227" s="1201"/>
      <c r="RKC227" s="1201"/>
      <c r="RKD227" s="1201"/>
      <c r="RKE227" s="1201"/>
      <c r="RKF227" s="1201"/>
      <c r="RKG227" s="1201"/>
      <c r="RKH227" s="1201"/>
      <c r="RKI227" s="1201"/>
      <c r="RKJ227" s="1201"/>
      <c r="RKK227" s="1201"/>
      <c r="RKL227" s="1201"/>
      <c r="RKM227" s="1201"/>
      <c r="RKN227" s="1201"/>
      <c r="RKO227" s="1201"/>
      <c r="RKP227" s="1201"/>
      <c r="RKQ227" s="1201"/>
      <c r="RKR227" s="1201"/>
      <c r="RKS227" s="1201"/>
      <c r="RKT227" s="1201"/>
      <c r="RKU227" s="1201"/>
      <c r="RKV227" s="1201"/>
      <c r="RKW227" s="1201"/>
      <c r="RKX227" s="1201"/>
      <c r="RKY227" s="1201"/>
      <c r="RKZ227" s="1201"/>
      <c r="RLA227" s="1201"/>
      <c r="RLB227" s="1201"/>
      <c r="RLC227" s="1201"/>
      <c r="RLD227" s="1201"/>
      <c r="RLE227" s="1201"/>
      <c r="RLF227" s="1201"/>
      <c r="RLG227" s="1201"/>
      <c r="RLH227" s="1201"/>
      <c r="RLI227" s="1201"/>
      <c r="RLJ227" s="1201"/>
      <c r="RLK227" s="1201"/>
      <c r="RLL227" s="1201"/>
      <c r="RLM227" s="1201"/>
      <c r="RLN227" s="1201"/>
      <c r="RLO227" s="1201"/>
      <c r="RLP227" s="1201"/>
      <c r="RLQ227" s="1201"/>
      <c r="RLR227" s="1201"/>
      <c r="RLS227" s="1201"/>
      <c r="RLT227" s="1201"/>
      <c r="RLU227" s="1201"/>
      <c r="RLV227" s="1201"/>
      <c r="RLW227" s="1201"/>
      <c r="RLX227" s="1201"/>
      <c r="RLY227" s="1201"/>
      <c r="RLZ227" s="1201"/>
      <c r="RMA227" s="1201"/>
      <c r="RMB227" s="1201"/>
      <c r="RMC227" s="1201"/>
      <c r="RMD227" s="1201"/>
      <c r="RME227" s="1201"/>
      <c r="RMF227" s="1201"/>
      <c r="RMG227" s="1201"/>
      <c r="RMH227" s="1201"/>
      <c r="RMI227" s="1201"/>
      <c r="RMJ227" s="1201"/>
      <c r="RMK227" s="1201"/>
      <c r="RML227" s="1201"/>
      <c r="RMM227" s="1201"/>
      <c r="RMN227" s="1201"/>
      <c r="RMO227" s="1201"/>
      <c r="RMP227" s="1201"/>
      <c r="RMQ227" s="1201"/>
      <c r="RMR227" s="1201"/>
      <c r="RMS227" s="1201"/>
      <c r="RMT227" s="1201"/>
      <c r="RMU227" s="1201"/>
      <c r="RMV227" s="1201"/>
      <c r="RMW227" s="1201"/>
      <c r="RMX227" s="1201"/>
      <c r="RMY227" s="1201"/>
      <c r="RMZ227" s="1201"/>
      <c r="RNA227" s="1201"/>
      <c r="RNB227" s="1201"/>
      <c r="RNC227" s="1201"/>
      <c r="RND227" s="1201"/>
      <c r="RNE227" s="1201"/>
      <c r="RNF227" s="1201"/>
      <c r="RNG227" s="1201"/>
      <c r="RNH227" s="1201"/>
      <c r="RNI227" s="1201"/>
      <c r="RNJ227" s="1201"/>
      <c r="RNK227" s="1201"/>
      <c r="RNL227" s="1201"/>
      <c r="RNM227" s="1201"/>
      <c r="RNN227" s="1201"/>
      <c r="RNO227" s="1201"/>
      <c r="RNP227" s="1201"/>
      <c r="RNQ227" s="1201"/>
      <c r="RNR227" s="1201"/>
      <c r="RNS227" s="1201"/>
      <c r="RNT227" s="1201"/>
      <c r="RNU227" s="1201"/>
      <c r="RNV227" s="1201"/>
      <c r="RNW227" s="1201"/>
      <c r="RNX227" s="1201"/>
      <c r="RNY227" s="1201"/>
      <c r="RNZ227" s="1201"/>
      <c r="ROA227" s="1201"/>
      <c r="ROB227" s="1201"/>
      <c r="ROC227" s="1201"/>
      <c r="ROD227" s="1201"/>
      <c r="ROE227" s="1201"/>
      <c r="ROF227" s="1201"/>
      <c r="ROG227" s="1201"/>
      <c r="ROH227" s="1201"/>
      <c r="ROI227" s="1201"/>
      <c r="ROJ227" s="1201"/>
      <c r="ROK227" s="1201"/>
      <c r="ROL227" s="1201"/>
      <c r="ROM227" s="1201"/>
      <c r="RON227" s="1201"/>
      <c r="ROO227" s="1201"/>
      <c r="ROP227" s="1201"/>
      <c r="ROQ227" s="1201"/>
      <c r="ROR227" s="1201"/>
      <c r="ROS227" s="1201"/>
      <c r="ROT227" s="1201"/>
      <c r="ROU227" s="1201"/>
      <c r="ROV227" s="1201"/>
      <c r="ROW227" s="1201"/>
      <c r="ROX227" s="1201"/>
      <c r="ROY227" s="1201"/>
      <c r="ROZ227" s="1201"/>
      <c r="RPA227" s="1201"/>
      <c r="RPB227" s="1201"/>
      <c r="RPC227" s="1201"/>
      <c r="RPD227" s="1201"/>
      <c r="RPE227" s="1201"/>
      <c r="RPF227" s="1201"/>
      <c r="RPG227" s="1201"/>
      <c r="RPH227" s="1201"/>
      <c r="RPI227" s="1201"/>
      <c r="RPJ227" s="1201"/>
      <c r="RPK227" s="1201"/>
      <c r="RPL227" s="1201"/>
      <c r="RPM227" s="1201"/>
      <c r="RPN227" s="1201"/>
      <c r="RPO227" s="1201"/>
      <c r="RPP227" s="1201"/>
      <c r="RPQ227" s="1201"/>
      <c r="RPR227" s="1201"/>
      <c r="RPS227" s="1201"/>
      <c r="RPT227" s="1201"/>
      <c r="RPU227" s="1201"/>
      <c r="RPV227" s="1201"/>
      <c r="RPW227" s="1201"/>
      <c r="RPX227" s="1201"/>
      <c r="RPY227" s="1201"/>
      <c r="RPZ227" s="1201"/>
      <c r="RQA227" s="1201"/>
      <c r="RQB227" s="1201"/>
      <c r="RQC227" s="1201"/>
      <c r="RQD227" s="1201"/>
      <c r="RQE227" s="1201"/>
      <c r="RQF227" s="1201"/>
      <c r="RQG227" s="1201"/>
      <c r="RQH227" s="1201"/>
      <c r="RQI227" s="1201"/>
      <c r="RQJ227" s="1201"/>
      <c r="RQK227" s="1201"/>
      <c r="RQL227" s="1201"/>
      <c r="RQM227" s="1201"/>
      <c r="RQN227" s="1201"/>
      <c r="RQO227" s="1201"/>
      <c r="RQP227" s="1201"/>
      <c r="RQQ227" s="1201"/>
      <c r="RQR227" s="1201"/>
      <c r="RQS227" s="1201"/>
      <c r="RQT227" s="1201"/>
      <c r="RQU227" s="1201"/>
      <c r="RQV227" s="1201"/>
      <c r="RQW227" s="1201"/>
      <c r="RQX227" s="1201"/>
      <c r="RQY227" s="1201"/>
      <c r="RQZ227" s="1201"/>
      <c r="RRA227" s="1201"/>
      <c r="RRB227" s="1201"/>
      <c r="RRC227" s="1201"/>
      <c r="RRD227" s="1201"/>
      <c r="RRE227" s="1201"/>
      <c r="RRF227" s="1201"/>
      <c r="RRG227" s="1201"/>
      <c r="RRH227" s="1201"/>
      <c r="RRI227" s="1201"/>
      <c r="RRJ227" s="1201"/>
      <c r="RRK227" s="1201"/>
      <c r="RRL227" s="1201"/>
      <c r="RRM227" s="1201"/>
      <c r="RRN227" s="1201"/>
      <c r="RRO227" s="1201"/>
      <c r="RRP227" s="1201"/>
      <c r="RRQ227" s="1201"/>
      <c r="RRR227" s="1201"/>
      <c r="RRS227" s="1201"/>
      <c r="RRT227" s="1201"/>
      <c r="RRU227" s="1201"/>
      <c r="RRV227" s="1201"/>
      <c r="RRW227" s="1201"/>
      <c r="RRX227" s="1201"/>
      <c r="RRY227" s="1201"/>
      <c r="RRZ227" s="1201"/>
      <c r="RSA227" s="1201"/>
      <c r="RSB227" s="1201"/>
      <c r="RSC227" s="1201"/>
      <c r="RSD227" s="1201"/>
      <c r="RSE227" s="1201"/>
      <c r="RSF227" s="1201"/>
      <c r="RSG227" s="1201"/>
      <c r="RSH227" s="1201"/>
      <c r="RSI227" s="1201"/>
      <c r="RSJ227" s="1201"/>
      <c r="RSK227" s="1201"/>
      <c r="RSL227" s="1201"/>
      <c r="RSM227" s="1201"/>
      <c r="RSN227" s="1201"/>
      <c r="RSO227" s="1201"/>
      <c r="RSP227" s="1201"/>
      <c r="RSQ227" s="1201"/>
      <c r="RSR227" s="1201"/>
      <c r="RSS227" s="1201"/>
      <c r="RST227" s="1201"/>
      <c r="RSU227" s="1201"/>
      <c r="RSV227" s="1201"/>
      <c r="RSW227" s="1201"/>
      <c r="RSX227" s="1201"/>
      <c r="RSY227" s="1201"/>
      <c r="RSZ227" s="1201"/>
      <c r="RTA227" s="1201"/>
      <c r="RTB227" s="1201"/>
      <c r="RTC227" s="1201"/>
      <c r="RTD227" s="1201"/>
      <c r="RTE227" s="1201"/>
      <c r="RTF227" s="1201"/>
      <c r="RTG227" s="1201"/>
      <c r="RTH227" s="1201"/>
      <c r="RTI227" s="1201"/>
      <c r="RTJ227" s="1201"/>
      <c r="RTK227" s="1201"/>
      <c r="RTL227" s="1201"/>
      <c r="RTM227" s="1201"/>
      <c r="RTN227" s="1201"/>
      <c r="RTO227" s="1201"/>
      <c r="RTP227" s="1201"/>
      <c r="RTQ227" s="1201"/>
      <c r="RTR227" s="1201"/>
      <c r="RTS227" s="1201"/>
      <c r="RTT227" s="1201"/>
      <c r="RTU227" s="1201"/>
      <c r="RTV227" s="1201"/>
      <c r="RTW227" s="1201"/>
      <c r="RTX227" s="1201"/>
      <c r="RTY227" s="1201"/>
      <c r="RTZ227" s="1201"/>
      <c r="RUA227" s="1201"/>
      <c r="RUB227" s="1201"/>
      <c r="RUC227" s="1201"/>
      <c r="RUD227" s="1201"/>
      <c r="RUE227" s="1201"/>
      <c r="RUF227" s="1201"/>
      <c r="RUG227" s="1201"/>
      <c r="RUH227" s="1201"/>
      <c r="RUI227" s="1201"/>
      <c r="RUJ227" s="1201"/>
      <c r="RUK227" s="1201"/>
      <c r="RUL227" s="1201"/>
      <c r="RUM227" s="1201"/>
      <c r="RUN227" s="1201"/>
      <c r="RUO227" s="1201"/>
      <c r="RUP227" s="1201"/>
      <c r="RUQ227" s="1201"/>
      <c r="RUR227" s="1201"/>
      <c r="RUS227" s="1201"/>
      <c r="RUT227" s="1201"/>
      <c r="RUU227" s="1201"/>
      <c r="RUV227" s="1201"/>
      <c r="RUW227" s="1201"/>
      <c r="RUX227" s="1201"/>
      <c r="RUY227" s="1201"/>
      <c r="RUZ227" s="1201"/>
      <c r="RVA227" s="1201"/>
      <c r="RVB227" s="1201"/>
      <c r="RVC227" s="1201"/>
      <c r="RVD227" s="1201"/>
      <c r="RVE227" s="1201"/>
      <c r="RVF227" s="1201"/>
      <c r="RVG227" s="1201"/>
      <c r="RVH227" s="1201"/>
      <c r="RVI227" s="1201"/>
      <c r="RVJ227" s="1201"/>
      <c r="RVK227" s="1201"/>
      <c r="RVL227" s="1201"/>
      <c r="RVM227" s="1201"/>
      <c r="RVN227" s="1201"/>
      <c r="RVO227" s="1201"/>
      <c r="RVP227" s="1201"/>
      <c r="RVQ227" s="1201"/>
      <c r="RVR227" s="1201"/>
      <c r="RVS227" s="1201"/>
      <c r="RVT227" s="1201"/>
      <c r="RVU227" s="1201"/>
      <c r="RVV227" s="1201"/>
      <c r="RVW227" s="1201"/>
      <c r="RVX227" s="1201"/>
      <c r="RVY227" s="1201"/>
      <c r="RVZ227" s="1201"/>
      <c r="RWA227" s="1201"/>
      <c r="RWB227" s="1201"/>
      <c r="RWC227" s="1201"/>
      <c r="RWD227" s="1201"/>
      <c r="RWE227" s="1201"/>
      <c r="RWF227" s="1201"/>
      <c r="RWG227" s="1201"/>
      <c r="RWH227" s="1201"/>
      <c r="RWI227" s="1201"/>
      <c r="RWJ227" s="1201"/>
      <c r="RWK227" s="1201"/>
      <c r="RWL227" s="1201"/>
      <c r="RWM227" s="1201"/>
      <c r="RWN227" s="1201"/>
      <c r="RWO227" s="1201"/>
      <c r="RWP227" s="1201"/>
      <c r="RWQ227" s="1201"/>
      <c r="RWR227" s="1201"/>
      <c r="RWS227" s="1201"/>
      <c r="RWT227" s="1201"/>
      <c r="RWU227" s="1201"/>
      <c r="RWV227" s="1201"/>
      <c r="RWW227" s="1201"/>
      <c r="RWX227" s="1201"/>
      <c r="RWY227" s="1201"/>
      <c r="RWZ227" s="1201"/>
      <c r="RXA227" s="1201"/>
      <c r="RXB227" s="1201"/>
      <c r="RXC227" s="1201"/>
      <c r="RXD227" s="1201"/>
      <c r="RXE227" s="1201"/>
      <c r="RXF227" s="1201"/>
      <c r="RXG227" s="1201"/>
      <c r="RXH227" s="1201"/>
      <c r="RXI227" s="1201"/>
      <c r="RXJ227" s="1201"/>
      <c r="RXK227" s="1201"/>
      <c r="RXL227" s="1201"/>
      <c r="RXM227" s="1201"/>
      <c r="RXN227" s="1201"/>
      <c r="RXO227" s="1201"/>
      <c r="RXP227" s="1201"/>
      <c r="RXQ227" s="1201"/>
      <c r="RXR227" s="1201"/>
      <c r="RXS227" s="1201"/>
      <c r="RXT227" s="1201"/>
      <c r="RXU227" s="1201"/>
      <c r="RXV227" s="1201"/>
      <c r="RXW227" s="1201"/>
      <c r="RXX227" s="1201"/>
      <c r="RXY227" s="1201"/>
      <c r="RXZ227" s="1201"/>
      <c r="RYA227" s="1201"/>
      <c r="RYB227" s="1201"/>
      <c r="RYC227" s="1201"/>
      <c r="RYD227" s="1201"/>
      <c r="RYE227" s="1201"/>
      <c r="RYF227" s="1201"/>
      <c r="RYG227" s="1201"/>
      <c r="RYH227" s="1201"/>
      <c r="RYI227" s="1201"/>
      <c r="RYJ227" s="1201"/>
      <c r="RYK227" s="1201"/>
      <c r="RYL227" s="1201"/>
      <c r="RYM227" s="1201"/>
      <c r="RYN227" s="1201"/>
      <c r="RYO227" s="1201"/>
      <c r="RYP227" s="1201"/>
      <c r="RYQ227" s="1201"/>
      <c r="RYR227" s="1201"/>
      <c r="RYS227" s="1201"/>
      <c r="RYT227" s="1201"/>
      <c r="RYU227" s="1201"/>
      <c r="RYV227" s="1201"/>
      <c r="RYW227" s="1201"/>
      <c r="RYX227" s="1201"/>
      <c r="RYY227" s="1201"/>
      <c r="RYZ227" s="1201"/>
      <c r="RZA227" s="1201"/>
      <c r="RZB227" s="1201"/>
      <c r="RZC227" s="1201"/>
      <c r="RZD227" s="1201"/>
      <c r="RZE227" s="1201"/>
      <c r="RZF227" s="1201"/>
      <c r="RZG227" s="1201"/>
      <c r="RZH227" s="1201"/>
      <c r="RZI227" s="1201"/>
      <c r="RZJ227" s="1201"/>
      <c r="RZK227" s="1201"/>
      <c r="RZL227" s="1201"/>
      <c r="RZM227" s="1201"/>
      <c r="RZN227" s="1201"/>
      <c r="RZO227" s="1201"/>
      <c r="RZP227" s="1201"/>
      <c r="RZQ227" s="1201"/>
      <c r="RZR227" s="1201"/>
      <c r="RZS227" s="1201"/>
      <c r="RZT227" s="1201"/>
      <c r="RZU227" s="1201"/>
      <c r="RZV227" s="1201"/>
      <c r="RZW227" s="1201"/>
      <c r="RZX227" s="1201"/>
      <c r="RZY227" s="1201"/>
      <c r="RZZ227" s="1201"/>
      <c r="SAA227" s="1201"/>
      <c r="SAB227" s="1201"/>
      <c r="SAC227" s="1201"/>
      <c r="SAD227" s="1201"/>
      <c r="SAE227" s="1201"/>
      <c r="SAF227" s="1201"/>
      <c r="SAG227" s="1201"/>
      <c r="SAH227" s="1201"/>
      <c r="SAI227" s="1201"/>
      <c r="SAJ227" s="1201"/>
      <c r="SAK227" s="1201"/>
      <c r="SAL227" s="1201"/>
      <c r="SAM227" s="1201"/>
      <c r="SAN227" s="1201"/>
      <c r="SAO227" s="1201"/>
      <c r="SAP227" s="1201"/>
      <c r="SAQ227" s="1201"/>
      <c r="SAR227" s="1201"/>
      <c r="SAS227" s="1201"/>
      <c r="SAT227" s="1201"/>
      <c r="SAU227" s="1201"/>
      <c r="SAV227" s="1201"/>
      <c r="SAW227" s="1201"/>
      <c r="SAX227" s="1201"/>
      <c r="SAY227" s="1201"/>
      <c r="SAZ227" s="1201"/>
      <c r="SBA227" s="1201"/>
      <c r="SBB227" s="1201"/>
      <c r="SBC227" s="1201"/>
      <c r="SBD227" s="1201"/>
      <c r="SBE227" s="1201"/>
      <c r="SBF227" s="1201"/>
      <c r="SBG227" s="1201"/>
      <c r="SBH227" s="1201"/>
      <c r="SBI227" s="1201"/>
      <c r="SBJ227" s="1201"/>
      <c r="SBK227" s="1201"/>
      <c r="SBL227" s="1201"/>
      <c r="SBM227" s="1201"/>
      <c r="SBN227" s="1201"/>
      <c r="SBO227" s="1201"/>
      <c r="SBP227" s="1201"/>
      <c r="SBQ227" s="1201"/>
      <c r="SBR227" s="1201"/>
      <c r="SBS227" s="1201"/>
      <c r="SBT227" s="1201"/>
      <c r="SBU227" s="1201"/>
      <c r="SBV227" s="1201"/>
      <c r="SBW227" s="1201"/>
      <c r="SBX227" s="1201"/>
      <c r="SBY227" s="1201"/>
      <c r="SBZ227" s="1201"/>
      <c r="SCA227" s="1201"/>
      <c r="SCB227" s="1201"/>
      <c r="SCC227" s="1201"/>
      <c r="SCD227" s="1201"/>
      <c r="SCE227" s="1201"/>
      <c r="SCF227" s="1201"/>
      <c r="SCG227" s="1201"/>
      <c r="SCH227" s="1201"/>
      <c r="SCI227" s="1201"/>
      <c r="SCJ227" s="1201"/>
      <c r="SCK227" s="1201"/>
      <c r="SCL227" s="1201"/>
      <c r="SCM227" s="1201"/>
      <c r="SCN227" s="1201"/>
      <c r="SCO227" s="1201"/>
      <c r="SCP227" s="1201"/>
      <c r="SCQ227" s="1201"/>
      <c r="SCR227" s="1201"/>
      <c r="SCS227" s="1201"/>
      <c r="SCT227" s="1201"/>
      <c r="SCU227" s="1201"/>
      <c r="SCV227" s="1201"/>
      <c r="SCW227" s="1201"/>
      <c r="SCX227" s="1201"/>
      <c r="SCY227" s="1201"/>
      <c r="SCZ227" s="1201"/>
      <c r="SDA227" s="1201"/>
      <c r="SDB227" s="1201"/>
      <c r="SDC227" s="1201"/>
      <c r="SDD227" s="1201"/>
      <c r="SDE227" s="1201"/>
      <c r="SDF227" s="1201"/>
      <c r="SDG227" s="1201"/>
      <c r="SDH227" s="1201"/>
      <c r="SDI227" s="1201"/>
      <c r="SDJ227" s="1201"/>
      <c r="SDK227" s="1201"/>
      <c r="SDL227" s="1201"/>
      <c r="SDM227" s="1201"/>
      <c r="SDN227" s="1201"/>
      <c r="SDO227" s="1201"/>
      <c r="SDP227" s="1201"/>
      <c r="SDQ227" s="1201"/>
      <c r="SDR227" s="1201"/>
      <c r="SDS227" s="1201"/>
      <c r="SDT227" s="1201"/>
      <c r="SDU227" s="1201"/>
      <c r="SDV227" s="1201"/>
      <c r="SDW227" s="1201"/>
      <c r="SDX227" s="1201"/>
      <c r="SDY227" s="1201"/>
      <c r="SDZ227" s="1201"/>
      <c r="SEA227" s="1201"/>
      <c r="SEB227" s="1201"/>
      <c r="SEC227" s="1201"/>
      <c r="SED227" s="1201"/>
      <c r="SEE227" s="1201"/>
      <c r="SEF227" s="1201"/>
      <c r="SEG227" s="1201"/>
      <c r="SEH227" s="1201"/>
      <c r="SEI227" s="1201"/>
      <c r="SEJ227" s="1201"/>
      <c r="SEK227" s="1201"/>
      <c r="SEL227" s="1201"/>
      <c r="SEM227" s="1201"/>
      <c r="SEN227" s="1201"/>
      <c r="SEO227" s="1201"/>
      <c r="SEP227" s="1201"/>
      <c r="SEQ227" s="1201"/>
      <c r="SER227" s="1201"/>
      <c r="SES227" s="1201"/>
      <c r="SET227" s="1201"/>
      <c r="SEU227" s="1201"/>
      <c r="SEV227" s="1201"/>
      <c r="SEW227" s="1201"/>
      <c r="SEX227" s="1201"/>
      <c r="SEY227" s="1201"/>
      <c r="SEZ227" s="1201"/>
      <c r="SFA227" s="1201"/>
      <c r="SFB227" s="1201"/>
      <c r="SFC227" s="1201"/>
      <c r="SFD227" s="1201"/>
      <c r="SFE227" s="1201"/>
      <c r="SFF227" s="1201"/>
      <c r="SFG227" s="1201"/>
      <c r="SFH227" s="1201"/>
      <c r="SFI227" s="1201"/>
      <c r="SFJ227" s="1201"/>
      <c r="SFK227" s="1201"/>
      <c r="SFL227" s="1201"/>
      <c r="SFM227" s="1201"/>
      <c r="SFN227" s="1201"/>
      <c r="SFO227" s="1201"/>
      <c r="SFP227" s="1201"/>
      <c r="SFQ227" s="1201"/>
      <c r="SFR227" s="1201"/>
      <c r="SFS227" s="1201"/>
      <c r="SFT227" s="1201"/>
      <c r="SFU227" s="1201"/>
      <c r="SFV227" s="1201"/>
      <c r="SFW227" s="1201"/>
      <c r="SFX227" s="1201"/>
      <c r="SFY227" s="1201"/>
      <c r="SFZ227" s="1201"/>
      <c r="SGA227" s="1201"/>
      <c r="SGB227" s="1201"/>
      <c r="SGC227" s="1201"/>
      <c r="SGD227" s="1201"/>
      <c r="SGE227" s="1201"/>
      <c r="SGF227" s="1201"/>
      <c r="SGG227" s="1201"/>
      <c r="SGH227" s="1201"/>
      <c r="SGI227" s="1201"/>
      <c r="SGJ227" s="1201"/>
      <c r="SGK227" s="1201"/>
      <c r="SGL227" s="1201"/>
      <c r="SGM227" s="1201"/>
      <c r="SGN227" s="1201"/>
      <c r="SGO227" s="1201"/>
      <c r="SGP227" s="1201"/>
      <c r="SGQ227" s="1201"/>
      <c r="SGR227" s="1201"/>
      <c r="SGS227" s="1201"/>
      <c r="SGT227" s="1201"/>
      <c r="SGU227" s="1201"/>
      <c r="SGV227" s="1201"/>
      <c r="SGW227" s="1201"/>
      <c r="SGX227" s="1201"/>
      <c r="SGY227" s="1201"/>
      <c r="SGZ227" s="1201"/>
      <c r="SHA227" s="1201"/>
      <c r="SHB227" s="1201"/>
      <c r="SHC227" s="1201"/>
      <c r="SHD227" s="1201"/>
      <c r="SHE227" s="1201"/>
      <c r="SHF227" s="1201"/>
      <c r="SHG227" s="1201"/>
      <c r="SHH227" s="1201"/>
      <c r="SHI227" s="1201"/>
      <c r="SHJ227" s="1201"/>
      <c r="SHK227" s="1201"/>
      <c r="SHL227" s="1201"/>
      <c r="SHM227" s="1201"/>
      <c r="SHN227" s="1201"/>
      <c r="SHO227" s="1201"/>
      <c r="SHP227" s="1201"/>
      <c r="SHQ227" s="1201"/>
      <c r="SHR227" s="1201"/>
      <c r="SHS227" s="1201"/>
      <c r="SHT227" s="1201"/>
      <c r="SHU227" s="1201"/>
      <c r="SHV227" s="1201"/>
      <c r="SHW227" s="1201"/>
      <c r="SHX227" s="1201"/>
      <c r="SHY227" s="1201"/>
      <c r="SHZ227" s="1201"/>
      <c r="SIA227" s="1201"/>
      <c r="SIB227" s="1201"/>
      <c r="SIC227" s="1201"/>
      <c r="SID227" s="1201"/>
      <c r="SIE227" s="1201"/>
      <c r="SIF227" s="1201"/>
      <c r="SIG227" s="1201"/>
      <c r="SIH227" s="1201"/>
      <c r="SII227" s="1201"/>
      <c r="SIJ227" s="1201"/>
      <c r="SIK227" s="1201"/>
      <c r="SIL227" s="1201"/>
      <c r="SIM227" s="1201"/>
      <c r="SIN227" s="1201"/>
      <c r="SIO227" s="1201"/>
      <c r="SIP227" s="1201"/>
      <c r="SIQ227" s="1201"/>
      <c r="SIR227" s="1201"/>
      <c r="SIS227" s="1201"/>
      <c r="SIT227" s="1201"/>
      <c r="SIU227" s="1201"/>
      <c r="SIV227" s="1201"/>
      <c r="SIW227" s="1201"/>
      <c r="SIX227" s="1201"/>
      <c r="SIY227" s="1201"/>
      <c r="SIZ227" s="1201"/>
      <c r="SJA227" s="1201"/>
      <c r="SJB227" s="1201"/>
      <c r="SJC227" s="1201"/>
      <c r="SJD227" s="1201"/>
      <c r="SJE227" s="1201"/>
      <c r="SJF227" s="1201"/>
      <c r="SJG227" s="1201"/>
      <c r="SJH227" s="1201"/>
      <c r="SJI227" s="1201"/>
      <c r="SJJ227" s="1201"/>
      <c r="SJK227" s="1201"/>
      <c r="SJL227" s="1201"/>
      <c r="SJM227" s="1201"/>
      <c r="SJN227" s="1201"/>
      <c r="SJO227" s="1201"/>
      <c r="SJP227" s="1201"/>
      <c r="SJQ227" s="1201"/>
      <c r="SJR227" s="1201"/>
      <c r="SJS227" s="1201"/>
      <c r="SJT227" s="1201"/>
      <c r="SJU227" s="1201"/>
      <c r="SJV227" s="1201"/>
      <c r="SJW227" s="1201"/>
      <c r="SJX227" s="1201"/>
      <c r="SJY227" s="1201"/>
      <c r="SJZ227" s="1201"/>
      <c r="SKA227" s="1201"/>
      <c r="SKB227" s="1201"/>
      <c r="SKC227" s="1201"/>
      <c r="SKD227" s="1201"/>
      <c r="SKE227" s="1201"/>
      <c r="SKF227" s="1201"/>
      <c r="SKG227" s="1201"/>
      <c r="SKH227" s="1201"/>
      <c r="SKI227" s="1201"/>
      <c r="SKJ227" s="1201"/>
      <c r="SKK227" s="1201"/>
      <c r="SKL227" s="1201"/>
      <c r="SKM227" s="1201"/>
      <c r="SKN227" s="1201"/>
      <c r="SKO227" s="1201"/>
      <c r="SKP227" s="1201"/>
      <c r="SKQ227" s="1201"/>
      <c r="SKR227" s="1201"/>
      <c r="SKS227" s="1201"/>
      <c r="SKT227" s="1201"/>
      <c r="SKU227" s="1201"/>
      <c r="SKV227" s="1201"/>
      <c r="SKW227" s="1201"/>
      <c r="SKX227" s="1201"/>
      <c r="SKY227" s="1201"/>
      <c r="SKZ227" s="1201"/>
      <c r="SLA227" s="1201"/>
      <c r="SLB227" s="1201"/>
      <c r="SLC227" s="1201"/>
      <c r="SLD227" s="1201"/>
      <c r="SLE227" s="1201"/>
      <c r="SLF227" s="1201"/>
      <c r="SLG227" s="1201"/>
      <c r="SLH227" s="1201"/>
      <c r="SLI227" s="1201"/>
      <c r="SLJ227" s="1201"/>
      <c r="SLK227" s="1201"/>
      <c r="SLL227" s="1201"/>
      <c r="SLM227" s="1201"/>
      <c r="SLN227" s="1201"/>
      <c r="SLO227" s="1201"/>
      <c r="SLP227" s="1201"/>
      <c r="SLQ227" s="1201"/>
      <c r="SLR227" s="1201"/>
      <c r="SLS227" s="1201"/>
      <c r="SLT227" s="1201"/>
      <c r="SLU227" s="1201"/>
      <c r="SLV227" s="1201"/>
      <c r="SLW227" s="1201"/>
      <c r="SLX227" s="1201"/>
      <c r="SLY227" s="1201"/>
      <c r="SLZ227" s="1201"/>
      <c r="SMA227" s="1201"/>
      <c r="SMB227" s="1201"/>
      <c r="SMC227" s="1201"/>
      <c r="SMD227" s="1201"/>
      <c r="SME227" s="1201"/>
      <c r="SMF227" s="1201"/>
      <c r="SMG227" s="1201"/>
      <c r="SMH227" s="1201"/>
      <c r="SMI227" s="1201"/>
      <c r="SMJ227" s="1201"/>
      <c r="SMK227" s="1201"/>
      <c r="SML227" s="1201"/>
      <c r="SMM227" s="1201"/>
      <c r="SMN227" s="1201"/>
      <c r="SMO227" s="1201"/>
      <c r="SMP227" s="1201"/>
      <c r="SMQ227" s="1201"/>
      <c r="SMR227" s="1201"/>
      <c r="SMS227" s="1201"/>
      <c r="SMT227" s="1201"/>
      <c r="SMU227" s="1201"/>
      <c r="SMV227" s="1201"/>
      <c r="SMW227" s="1201"/>
      <c r="SMX227" s="1201"/>
      <c r="SMY227" s="1201"/>
      <c r="SMZ227" s="1201"/>
      <c r="SNA227" s="1201"/>
      <c r="SNB227" s="1201"/>
      <c r="SNC227" s="1201"/>
      <c r="SND227" s="1201"/>
      <c r="SNE227" s="1201"/>
      <c r="SNF227" s="1201"/>
      <c r="SNG227" s="1201"/>
      <c r="SNH227" s="1201"/>
      <c r="SNI227" s="1201"/>
      <c r="SNJ227" s="1201"/>
      <c r="SNK227" s="1201"/>
      <c r="SNL227" s="1201"/>
      <c r="SNM227" s="1201"/>
      <c r="SNN227" s="1201"/>
      <c r="SNO227" s="1201"/>
      <c r="SNP227" s="1201"/>
      <c r="SNQ227" s="1201"/>
      <c r="SNR227" s="1201"/>
      <c r="SNS227" s="1201"/>
      <c r="SNT227" s="1201"/>
      <c r="SNU227" s="1201"/>
      <c r="SNV227" s="1201"/>
      <c r="SNW227" s="1201"/>
      <c r="SNX227" s="1201"/>
      <c r="SNY227" s="1201"/>
      <c r="SNZ227" s="1201"/>
      <c r="SOA227" s="1201"/>
      <c r="SOB227" s="1201"/>
      <c r="SOC227" s="1201"/>
      <c r="SOD227" s="1201"/>
      <c r="SOE227" s="1201"/>
      <c r="SOF227" s="1201"/>
      <c r="SOG227" s="1201"/>
      <c r="SOH227" s="1201"/>
      <c r="SOI227" s="1201"/>
      <c r="SOJ227" s="1201"/>
      <c r="SOK227" s="1201"/>
      <c r="SOL227" s="1201"/>
      <c r="SOM227" s="1201"/>
      <c r="SON227" s="1201"/>
      <c r="SOO227" s="1201"/>
      <c r="SOP227" s="1201"/>
      <c r="SOQ227" s="1201"/>
      <c r="SOR227" s="1201"/>
      <c r="SOS227" s="1201"/>
      <c r="SOT227" s="1201"/>
      <c r="SOU227" s="1201"/>
      <c r="SOV227" s="1201"/>
      <c r="SOW227" s="1201"/>
      <c r="SOX227" s="1201"/>
      <c r="SOY227" s="1201"/>
      <c r="SOZ227" s="1201"/>
      <c r="SPA227" s="1201"/>
      <c r="SPB227" s="1201"/>
      <c r="SPC227" s="1201"/>
      <c r="SPD227" s="1201"/>
      <c r="SPE227" s="1201"/>
      <c r="SPF227" s="1201"/>
      <c r="SPG227" s="1201"/>
      <c r="SPH227" s="1201"/>
      <c r="SPI227" s="1201"/>
      <c r="SPJ227" s="1201"/>
      <c r="SPK227" s="1201"/>
      <c r="SPL227" s="1201"/>
      <c r="SPM227" s="1201"/>
      <c r="SPN227" s="1201"/>
      <c r="SPO227" s="1201"/>
      <c r="SPP227" s="1201"/>
      <c r="SPQ227" s="1201"/>
      <c r="SPR227" s="1201"/>
      <c r="SPS227" s="1201"/>
      <c r="SPT227" s="1201"/>
      <c r="SPU227" s="1201"/>
      <c r="SPV227" s="1201"/>
      <c r="SPW227" s="1201"/>
      <c r="SPX227" s="1201"/>
      <c r="SPY227" s="1201"/>
      <c r="SPZ227" s="1201"/>
      <c r="SQA227" s="1201"/>
      <c r="SQB227" s="1201"/>
      <c r="SQC227" s="1201"/>
      <c r="SQD227" s="1201"/>
      <c r="SQE227" s="1201"/>
      <c r="SQF227" s="1201"/>
      <c r="SQG227" s="1201"/>
      <c r="SQH227" s="1201"/>
      <c r="SQI227" s="1201"/>
      <c r="SQJ227" s="1201"/>
      <c r="SQK227" s="1201"/>
      <c r="SQL227" s="1201"/>
      <c r="SQM227" s="1201"/>
      <c r="SQN227" s="1201"/>
      <c r="SQO227" s="1201"/>
      <c r="SQP227" s="1201"/>
      <c r="SQQ227" s="1201"/>
      <c r="SQR227" s="1201"/>
      <c r="SQS227" s="1201"/>
      <c r="SQT227" s="1201"/>
      <c r="SQU227" s="1201"/>
      <c r="SQV227" s="1201"/>
      <c r="SQW227" s="1201"/>
      <c r="SQX227" s="1201"/>
      <c r="SQY227" s="1201"/>
      <c r="SQZ227" s="1201"/>
      <c r="SRA227" s="1201"/>
      <c r="SRB227" s="1201"/>
      <c r="SRC227" s="1201"/>
      <c r="SRD227" s="1201"/>
      <c r="SRE227" s="1201"/>
      <c r="SRF227" s="1201"/>
      <c r="SRG227" s="1201"/>
      <c r="SRH227" s="1201"/>
      <c r="SRI227" s="1201"/>
      <c r="SRJ227" s="1201"/>
      <c r="SRK227" s="1201"/>
      <c r="SRL227" s="1201"/>
      <c r="SRM227" s="1201"/>
      <c r="SRN227" s="1201"/>
      <c r="SRO227" s="1201"/>
      <c r="SRP227" s="1201"/>
      <c r="SRQ227" s="1201"/>
      <c r="SRR227" s="1201"/>
      <c r="SRS227" s="1201"/>
      <c r="SRT227" s="1201"/>
      <c r="SRU227" s="1201"/>
      <c r="SRV227" s="1201"/>
      <c r="SRW227" s="1201"/>
      <c r="SRX227" s="1201"/>
      <c r="SRY227" s="1201"/>
      <c r="SRZ227" s="1201"/>
      <c r="SSA227" s="1201"/>
      <c r="SSB227" s="1201"/>
      <c r="SSC227" s="1201"/>
      <c r="SSD227" s="1201"/>
      <c r="SSE227" s="1201"/>
      <c r="SSF227" s="1201"/>
      <c r="SSG227" s="1201"/>
      <c r="SSH227" s="1201"/>
      <c r="SSI227" s="1201"/>
      <c r="SSJ227" s="1201"/>
      <c r="SSK227" s="1201"/>
      <c r="SSL227" s="1201"/>
      <c r="SSM227" s="1201"/>
      <c r="SSN227" s="1201"/>
      <c r="SSO227" s="1201"/>
      <c r="SSP227" s="1201"/>
      <c r="SSQ227" s="1201"/>
      <c r="SSR227" s="1201"/>
      <c r="SSS227" s="1201"/>
      <c r="SST227" s="1201"/>
      <c r="SSU227" s="1201"/>
      <c r="SSV227" s="1201"/>
      <c r="SSW227" s="1201"/>
      <c r="SSX227" s="1201"/>
      <c r="SSY227" s="1201"/>
      <c r="SSZ227" s="1201"/>
      <c r="STA227" s="1201"/>
      <c r="STB227" s="1201"/>
      <c r="STC227" s="1201"/>
      <c r="STD227" s="1201"/>
      <c r="STE227" s="1201"/>
      <c r="STF227" s="1201"/>
      <c r="STG227" s="1201"/>
      <c r="STH227" s="1201"/>
      <c r="STI227" s="1201"/>
      <c r="STJ227" s="1201"/>
      <c r="STK227" s="1201"/>
      <c r="STL227" s="1201"/>
      <c r="STM227" s="1201"/>
      <c r="STN227" s="1201"/>
      <c r="STO227" s="1201"/>
      <c r="STP227" s="1201"/>
      <c r="STQ227" s="1201"/>
      <c r="STR227" s="1201"/>
      <c r="STS227" s="1201"/>
      <c r="STT227" s="1201"/>
      <c r="STU227" s="1201"/>
      <c r="STV227" s="1201"/>
      <c r="STW227" s="1201"/>
      <c r="STX227" s="1201"/>
      <c r="STY227" s="1201"/>
      <c r="STZ227" s="1201"/>
      <c r="SUA227" s="1201"/>
      <c r="SUB227" s="1201"/>
      <c r="SUC227" s="1201"/>
      <c r="SUD227" s="1201"/>
      <c r="SUE227" s="1201"/>
      <c r="SUF227" s="1201"/>
      <c r="SUG227" s="1201"/>
      <c r="SUH227" s="1201"/>
      <c r="SUI227" s="1201"/>
      <c r="SUJ227" s="1201"/>
      <c r="SUK227" s="1201"/>
      <c r="SUL227" s="1201"/>
      <c r="SUM227" s="1201"/>
      <c r="SUN227" s="1201"/>
      <c r="SUO227" s="1201"/>
      <c r="SUP227" s="1201"/>
      <c r="SUQ227" s="1201"/>
      <c r="SUR227" s="1201"/>
      <c r="SUS227" s="1201"/>
      <c r="SUT227" s="1201"/>
      <c r="SUU227" s="1201"/>
      <c r="SUV227" s="1201"/>
      <c r="SUW227" s="1201"/>
      <c r="SUX227" s="1201"/>
      <c r="SUY227" s="1201"/>
      <c r="SUZ227" s="1201"/>
      <c r="SVA227" s="1201"/>
      <c r="SVB227" s="1201"/>
      <c r="SVC227" s="1201"/>
      <c r="SVD227" s="1201"/>
      <c r="SVE227" s="1201"/>
      <c r="SVF227" s="1201"/>
      <c r="SVG227" s="1201"/>
      <c r="SVH227" s="1201"/>
      <c r="SVI227" s="1201"/>
      <c r="SVJ227" s="1201"/>
      <c r="SVK227" s="1201"/>
      <c r="SVL227" s="1201"/>
      <c r="SVM227" s="1201"/>
      <c r="SVN227" s="1201"/>
      <c r="SVO227" s="1201"/>
      <c r="SVP227" s="1201"/>
      <c r="SVQ227" s="1201"/>
      <c r="SVR227" s="1201"/>
      <c r="SVS227" s="1201"/>
      <c r="SVT227" s="1201"/>
      <c r="SVU227" s="1201"/>
      <c r="SVV227" s="1201"/>
      <c r="SVW227" s="1201"/>
      <c r="SVX227" s="1201"/>
      <c r="SVY227" s="1201"/>
      <c r="SVZ227" s="1201"/>
      <c r="SWA227" s="1201"/>
      <c r="SWB227" s="1201"/>
      <c r="SWC227" s="1201"/>
      <c r="SWD227" s="1201"/>
      <c r="SWE227" s="1201"/>
      <c r="SWF227" s="1201"/>
      <c r="SWG227" s="1201"/>
      <c r="SWH227" s="1201"/>
      <c r="SWI227" s="1201"/>
      <c r="SWJ227" s="1201"/>
      <c r="SWK227" s="1201"/>
      <c r="SWL227" s="1201"/>
      <c r="SWM227" s="1201"/>
      <c r="SWN227" s="1201"/>
      <c r="SWO227" s="1201"/>
      <c r="SWP227" s="1201"/>
      <c r="SWQ227" s="1201"/>
      <c r="SWR227" s="1201"/>
      <c r="SWS227" s="1201"/>
      <c r="SWT227" s="1201"/>
      <c r="SWU227" s="1201"/>
      <c r="SWV227" s="1201"/>
      <c r="SWW227" s="1201"/>
      <c r="SWX227" s="1201"/>
      <c r="SWY227" s="1201"/>
      <c r="SWZ227" s="1201"/>
      <c r="SXA227" s="1201"/>
      <c r="SXB227" s="1201"/>
      <c r="SXC227" s="1201"/>
      <c r="SXD227" s="1201"/>
      <c r="SXE227" s="1201"/>
      <c r="SXF227" s="1201"/>
      <c r="SXG227" s="1201"/>
      <c r="SXH227" s="1201"/>
      <c r="SXI227" s="1201"/>
      <c r="SXJ227" s="1201"/>
      <c r="SXK227" s="1201"/>
      <c r="SXL227" s="1201"/>
      <c r="SXM227" s="1201"/>
      <c r="SXN227" s="1201"/>
      <c r="SXO227" s="1201"/>
      <c r="SXP227" s="1201"/>
      <c r="SXQ227" s="1201"/>
      <c r="SXR227" s="1201"/>
      <c r="SXS227" s="1201"/>
      <c r="SXT227" s="1201"/>
      <c r="SXU227" s="1201"/>
      <c r="SXV227" s="1201"/>
      <c r="SXW227" s="1201"/>
      <c r="SXX227" s="1201"/>
      <c r="SXY227" s="1201"/>
      <c r="SXZ227" s="1201"/>
      <c r="SYA227" s="1201"/>
      <c r="SYB227" s="1201"/>
      <c r="SYC227" s="1201"/>
      <c r="SYD227" s="1201"/>
      <c r="SYE227" s="1201"/>
      <c r="SYF227" s="1201"/>
      <c r="SYG227" s="1201"/>
      <c r="SYH227" s="1201"/>
      <c r="SYI227" s="1201"/>
      <c r="SYJ227" s="1201"/>
      <c r="SYK227" s="1201"/>
      <c r="SYL227" s="1201"/>
      <c r="SYM227" s="1201"/>
      <c r="SYN227" s="1201"/>
      <c r="SYO227" s="1201"/>
      <c r="SYP227" s="1201"/>
      <c r="SYQ227" s="1201"/>
      <c r="SYR227" s="1201"/>
      <c r="SYS227" s="1201"/>
      <c r="SYT227" s="1201"/>
      <c r="SYU227" s="1201"/>
      <c r="SYV227" s="1201"/>
      <c r="SYW227" s="1201"/>
      <c r="SYX227" s="1201"/>
      <c r="SYY227" s="1201"/>
      <c r="SYZ227" s="1201"/>
      <c r="SZA227" s="1201"/>
      <c r="SZB227" s="1201"/>
      <c r="SZC227" s="1201"/>
      <c r="SZD227" s="1201"/>
      <c r="SZE227" s="1201"/>
      <c r="SZF227" s="1201"/>
      <c r="SZG227" s="1201"/>
      <c r="SZH227" s="1201"/>
      <c r="SZI227" s="1201"/>
      <c r="SZJ227" s="1201"/>
      <c r="SZK227" s="1201"/>
      <c r="SZL227" s="1201"/>
      <c r="SZM227" s="1201"/>
      <c r="SZN227" s="1201"/>
      <c r="SZO227" s="1201"/>
      <c r="SZP227" s="1201"/>
      <c r="SZQ227" s="1201"/>
      <c r="SZR227" s="1201"/>
      <c r="SZS227" s="1201"/>
      <c r="SZT227" s="1201"/>
      <c r="SZU227" s="1201"/>
      <c r="SZV227" s="1201"/>
      <c r="SZW227" s="1201"/>
      <c r="SZX227" s="1201"/>
      <c r="SZY227" s="1201"/>
      <c r="SZZ227" s="1201"/>
      <c r="TAA227" s="1201"/>
      <c r="TAB227" s="1201"/>
      <c r="TAC227" s="1201"/>
      <c r="TAD227" s="1201"/>
      <c r="TAE227" s="1201"/>
      <c r="TAF227" s="1201"/>
      <c r="TAG227" s="1201"/>
      <c r="TAH227" s="1201"/>
      <c r="TAI227" s="1201"/>
      <c r="TAJ227" s="1201"/>
      <c r="TAK227" s="1201"/>
      <c r="TAL227" s="1201"/>
      <c r="TAM227" s="1201"/>
      <c r="TAN227" s="1201"/>
      <c r="TAO227" s="1201"/>
      <c r="TAP227" s="1201"/>
      <c r="TAQ227" s="1201"/>
      <c r="TAR227" s="1201"/>
      <c r="TAS227" s="1201"/>
      <c r="TAT227" s="1201"/>
      <c r="TAU227" s="1201"/>
      <c r="TAV227" s="1201"/>
      <c r="TAW227" s="1201"/>
      <c r="TAX227" s="1201"/>
      <c r="TAY227" s="1201"/>
      <c r="TAZ227" s="1201"/>
      <c r="TBA227" s="1201"/>
      <c r="TBB227" s="1201"/>
      <c r="TBC227" s="1201"/>
      <c r="TBD227" s="1201"/>
      <c r="TBE227" s="1201"/>
      <c r="TBF227" s="1201"/>
      <c r="TBG227" s="1201"/>
      <c r="TBH227" s="1201"/>
      <c r="TBI227" s="1201"/>
      <c r="TBJ227" s="1201"/>
      <c r="TBK227" s="1201"/>
      <c r="TBL227" s="1201"/>
      <c r="TBM227" s="1201"/>
      <c r="TBN227" s="1201"/>
      <c r="TBO227" s="1201"/>
      <c r="TBP227" s="1201"/>
      <c r="TBQ227" s="1201"/>
      <c r="TBR227" s="1201"/>
      <c r="TBS227" s="1201"/>
      <c r="TBT227" s="1201"/>
      <c r="TBU227" s="1201"/>
      <c r="TBV227" s="1201"/>
      <c r="TBW227" s="1201"/>
      <c r="TBX227" s="1201"/>
      <c r="TBY227" s="1201"/>
      <c r="TBZ227" s="1201"/>
      <c r="TCA227" s="1201"/>
      <c r="TCB227" s="1201"/>
      <c r="TCC227" s="1201"/>
      <c r="TCD227" s="1201"/>
      <c r="TCE227" s="1201"/>
      <c r="TCF227" s="1201"/>
      <c r="TCG227" s="1201"/>
      <c r="TCH227" s="1201"/>
      <c r="TCI227" s="1201"/>
      <c r="TCJ227" s="1201"/>
      <c r="TCK227" s="1201"/>
      <c r="TCL227" s="1201"/>
      <c r="TCM227" s="1201"/>
      <c r="TCN227" s="1201"/>
      <c r="TCO227" s="1201"/>
      <c r="TCP227" s="1201"/>
      <c r="TCQ227" s="1201"/>
      <c r="TCR227" s="1201"/>
      <c r="TCS227" s="1201"/>
      <c r="TCT227" s="1201"/>
      <c r="TCU227" s="1201"/>
      <c r="TCV227" s="1201"/>
      <c r="TCW227" s="1201"/>
      <c r="TCX227" s="1201"/>
      <c r="TCY227" s="1201"/>
      <c r="TCZ227" s="1201"/>
      <c r="TDA227" s="1201"/>
      <c r="TDB227" s="1201"/>
      <c r="TDC227" s="1201"/>
      <c r="TDD227" s="1201"/>
      <c r="TDE227" s="1201"/>
      <c r="TDF227" s="1201"/>
      <c r="TDG227" s="1201"/>
      <c r="TDH227" s="1201"/>
      <c r="TDI227" s="1201"/>
      <c r="TDJ227" s="1201"/>
      <c r="TDK227" s="1201"/>
      <c r="TDL227" s="1201"/>
      <c r="TDM227" s="1201"/>
      <c r="TDN227" s="1201"/>
      <c r="TDO227" s="1201"/>
      <c r="TDP227" s="1201"/>
      <c r="TDQ227" s="1201"/>
      <c r="TDR227" s="1201"/>
      <c r="TDS227" s="1201"/>
      <c r="TDT227" s="1201"/>
      <c r="TDU227" s="1201"/>
      <c r="TDV227" s="1201"/>
      <c r="TDW227" s="1201"/>
      <c r="TDX227" s="1201"/>
      <c r="TDY227" s="1201"/>
      <c r="TDZ227" s="1201"/>
      <c r="TEA227" s="1201"/>
      <c r="TEB227" s="1201"/>
      <c r="TEC227" s="1201"/>
      <c r="TED227" s="1201"/>
      <c r="TEE227" s="1201"/>
      <c r="TEF227" s="1201"/>
      <c r="TEG227" s="1201"/>
      <c r="TEH227" s="1201"/>
      <c r="TEI227" s="1201"/>
      <c r="TEJ227" s="1201"/>
      <c r="TEK227" s="1201"/>
      <c r="TEL227" s="1201"/>
      <c r="TEM227" s="1201"/>
      <c r="TEN227" s="1201"/>
      <c r="TEO227" s="1201"/>
      <c r="TEP227" s="1201"/>
      <c r="TEQ227" s="1201"/>
      <c r="TER227" s="1201"/>
      <c r="TES227" s="1201"/>
      <c r="TET227" s="1201"/>
      <c r="TEU227" s="1201"/>
      <c r="TEV227" s="1201"/>
      <c r="TEW227" s="1201"/>
      <c r="TEX227" s="1201"/>
      <c r="TEY227" s="1201"/>
      <c r="TEZ227" s="1201"/>
      <c r="TFA227" s="1201"/>
      <c r="TFB227" s="1201"/>
      <c r="TFC227" s="1201"/>
      <c r="TFD227" s="1201"/>
      <c r="TFE227" s="1201"/>
      <c r="TFF227" s="1201"/>
      <c r="TFG227" s="1201"/>
      <c r="TFH227" s="1201"/>
      <c r="TFI227" s="1201"/>
      <c r="TFJ227" s="1201"/>
      <c r="TFK227" s="1201"/>
      <c r="TFL227" s="1201"/>
      <c r="TFM227" s="1201"/>
      <c r="TFN227" s="1201"/>
      <c r="TFO227" s="1201"/>
      <c r="TFP227" s="1201"/>
      <c r="TFQ227" s="1201"/>
      <c r="TFR227" s="1201"/>
      <c r="TFS227" s="1201"/>
      <c r="TFT227" s="1201"/>
      <c r="TFU227" s="1201"/>
      <c r="TFV227" s="1201"/>
      <c r="TFW227" s="1201"/>
      <c r="TFX227" s="1201"/>
      <c r="TFY227" s="1201"/>
      <c r="TFZ227" s="1201"/>
      <c r="TGA227" s="1201"/>
      <c r="TGB227" s="1201"/>
      <c r="TGC227" s="1201"/>
      <c r="TGD227" s="1201"/>
      <c r="TGE227" s="1201"/>
      <c r="TGF227" s="1201"/>
      <c r="TGG227" s="1201"/>
      <c r="TGH227" s="1201"/>
      <c r="TGI227" s="1201"/>
      <c r="TGJ227" s="1201"/>
      <c r="TGK227" s="1201"/>
      <c r="TGL227" s="1201"/>
      <c r="TGM227" s="1201"/>
      <c r="TGN227" s="1201"/>
      <c r="TGO227" s="1201"/>
      <c r="TGP227" s="1201"/>
      <c r="TGQ227" s="1201"/>
      <c r="TGR227" s="1201"/>
      <c r="TGS227" s="1201"/>
      <c r="TGT227" s="1201"/>
      <c r="TGU227" s="1201"/>
      <c r="TGV227" s="1201"/>
      <c r="TGW227" s="1201"/>
      <c r="TGX227" s="1201"/>
      <c r="TGY227" s="1201"/>
      <c r="TGZ227" s="1201"/>
      <c r="THA227" s="1201"/>
      <c r="THB227" s="1201"/>
      <c r="THC227" s="1201"/>
      <c r="THD227" s="1201"/>
      <c r="THE227" s="1201"/>
      <c r="THF227" s="1201"/>
      <c r="THG227" s="1201"/>
      <c r="THH227" s="1201"/>
      <c r="THI227" s="1201"/>
      <c r="THJ227" s="1201"/>
      <c r="THK227" s="1201"/>
      <c r="THL227" s="1201"/>
      <c r="THM227" s="1201"/>
      <c r="THN227" s="1201"/>
      <c r="THO227" s="1201"/>
      <c r="THP227" s="1201"/>
      <c r="THQ227" s="1201"/>
      <c r="THR227" s="1201"/>
      <c r="THS227" s="1201"/>
      <c r="THT227" s="1201"/>
      <c r="THU227" s="1201"/>
      <c r="THV227" s="1201"/>
      <c r="THW227" s="1201"/>
      <c r="THX227" s="1201"/>
      <c r="THY227" s="1201"/>
      <c r="THZ227" s="1201"/>
      <c r="TIA227" s="1201"/>
      <c r="TIB227" s="1201"/>
      <c r="TIC227" s="1201"/>
      <c r="TID227" s="1201"/>
      <c r="TIE227" s="1201"/>
      <c r="TIF227" s="1201"/>
      <c r="TIG227" s="1201"/>
      <c r="TIH227" s="1201"/>
      <c r="TII227" s="1201"/>
      <c r="TIJ227" s="1201"/>
      <c r="TIK227" s="1201"/>
      <c r="TIL227" s="1201"/>
      <c r="TIM227" s="1201"/>
      <c r="TIN227" s="1201"/>
      <c r="TIO227" s="1201"/>
      <c r="TIP227" s="1201"/>
      <c r="TIQ227" s="1201"/>
      <c r="TIR227" s="1201"/>
      <c r="TIS227" s="1201"/>
      <c r="TIT227" s="1201"/>
      <c r="TIU227" s="1201"/>
      <c r="TIV227" s="1201"/>
      <c r="TIW227" s="1201"/>
      <c r="TIX227" s="1201"/>
      <c r="TIY227" s="1201"/>
      <c r="TIZ227" s="1201"/>
      <c r="TJA227" s="1201"/>
      <c r="TJB227" s="1201"/>
      <c r="TJC227" s="1201"/>
      <c r="TJD227" s="1201"/>
      <c r="TJE227" s="1201"/>
      <c r="TJF227" s="1201"/>
      <c r="TJG227" s="1201"/>
      <c r="TJH227" s="1201"/>
      <c r="TJI227" s="1201"/>
      <c r="TJJ227" s="1201"/>
      <c r="TJK227" s="1201"/>
      <c r="TJL227" s="1201"/>
      <c r="TJM227" s="1201"/>
      <c r="TJN227" s="1201"/>
      <c r="TJO227" s="1201"/>
      <c r="TJP227" s="1201"/>
      <c r="TJQ227" s="1201"/>
      <c r="TJR227" s="1201"/>
      <c r="TJS227" s="1201"/>
      <c r="TJT227" s="1201"/>
      <c r="TJU227" s="1201"/>
      <c r="TJV227" s="1201"/>
      <c r="TJW227" s="1201"/>
      <c r="TJX227" s="1201"/>
      <c r="TJY227" s="1201"/>
      <c r="TJZ227" s="1201"/>
      <c r="TKA227" s="1201"/>
      <c r="TKB227" s="1201"/>
      <c r="TKC227" s="1201"/>
      <c r="TKD227" s="1201"/>
      <c r="TKE227" s="1201"/>
      <c r="TKF227" s="1201"/>
      <c r="TKG227" s="1201"/>
      <c r="TKH227" s="1201"/>
      <c r="TKI227" s="1201"/>
      <c r="TKJ227" s="1201"/>
      <c r="TKK227" s="1201"/>
      <c r="TKL227" s="1201"/>
      <c r="TKM227" s="1201"/>
      <c r="TKN227" s="1201"/>
      <c r="TKO227" s="1201"/>
      <c r="TKP227" s="1201"/>
      <c r="TKQ227" s="1201"/>
      <c r="TKR227" s="1201"/>
      <c r="TKS227" s="1201"/>
      <c r="TKT227" s="1201"/>
      <c r="TKU227" s="1201"/>
      <c r="TKV227" s="1201"/>
      <c r="TKW227" s="1201"/>
      <c r="TKX227" s="1201"/>
      <c r="TKY227" s="1201"/>
      <c r="TKZ227" s="1201"/>
      <c r="TLA227" s="1201"/>
      <c r="TLB227" s="1201"/>
      <c r="TLC227" s="1201"/>
      <c r="TLD227" s="1201"/>
      <c r="TLE227" s="1201"/>
      <c r="TLF227" s="1201"/>
      <c r="TLG227" s="1201"/>
      <c r="TLH227" s="1201"/>
      <c r="TLI227" s="1201"/>
      <c r="TLJ227" s="1201"/>
      <c r="TLK227" s="1201"/>
      <c r="TLL227" s="1201"/>
      <c r="TLM227" s="1201"/>
      <c r="TLN227" s="1201"/>
      <c r="TLO227" s="1201"/>
      <c r="TLP227" s="1201"/>
      <c r="TLQ227" s="1201"/>
      <c r="TLR227" s="1201"/>
      <c r="TLS227" s="1201"/>
      <c r="TLT227" s="1201"/>
      <c r="TLU227" s="1201"/>
      <c r="TLV227" s="1201"/>
      <c r="TLW227" s="1201"/>
      <c r="TLX227" s="1201"/>
      <c r="TLY227" s="1201"/>
      <c r="TLZ227" s="1201"/>
      <c r="TMA227" s="1201"/>
      <c r="TMB227" s="1201"/>
      <c r="TMC227" s="1201"/>
      <c r="TMD227" s="1201"/>
      <c r="TME227" s="1201"/>
      <c r="TMF227" s="1201"/>
      <c r="TMG227" s="1201"/>
      <c r="TMH227" s="1201"/>
      <c r="TMI227" s="1201"/>
      <c r="TMJ227" s="1201"/>
      <c r="TMK227" s="1201"/>
      <c r="TML227" s="1201"/>
      <c r="TMM227" s="1201"/>
      <c r="TMN227" s="1201"/>
      <c r="TMO227" s="1201"/>
      <c r="TMP227" s="1201"/>
      <c r="TMQ227" s="1201"/>
      <c r="TMR227" s="1201"/>
      <c r="TMS227" s="1201"/>
      <c r="TMT227" s="1201"/>
      <c r="TMU227" s="1201"/>
      <c r="TMV227" s="1201"/>
      <c r="TMW227" s="1201"/>
      <c r="TMX227" s="1201"/>
      <c r="TMY227" s="1201"/>
      <c r="TMZ227" s="1201"/>
      <c r="TNA227" s="1201"/>
      <c r="TNB227" s="1201"/>
      <c r="TNC227" s="1201"/>
      <c r="TND227" s="1201"/>
      <c r="TNE227" s="1201"/>
      <c r="TNF227" s="1201"/>
      <c r="TNG227" s="1201"/>
      <c r="TNH227" s="1201"/>
      <c r="TNI227" s="1201"/>
      <c r="TNJ227" s="1201"/>
      <c r="TNK227" s="1201"/>
      <c r="TNL227" s="1201"/>
      <c r="TNM227" s="1201"/>
      <c r="TNN227" s="1201"/>
      <c r="TNO227" s="1201"/>
      <c r="TNP227" s="1201"/>
      <c r="TNQ227" s="1201"/>
      <c r="TNR227" s="1201"/>
      <c r="TNS227" s="1201"/>
      <c r="TNT227" s="1201"/>
      <c r="TNU227" s="1201"/>
      <c r="TNV227" s="1201"/>
      <c r="TNW227" s="1201"/>
      <c r="TNX227" s="1201"/>
      <c r="TNY227" s="1201"/>
      <c r="TNZ227" s="1201"/>
      <c r="TOA227" s="1201"/>
      <c r="TOB227" s="1201"/>
      <c r="TOC227" s="1201"/>
      <c r="TOD227" s="1201"/>
      <c r="TOE227" s="1201"/>
      <c r="TOF227" s="1201"/>
      <c r="TOG227" s="1201"/>
      <c r="TOH227" s="1201"/>
      <c r="TOI227" s="1201"/>
      <c r="TOJ227" s="1201"/>
      <c r="TOK227" s="1201"/>
      <c r="TOL227" s="1201"/>
      <c r="TOM227" s="1201"/>
      <c r="TON227" s="1201"/>
      <c r="TOO227" s="1201"/>
      <c r="TOP227" s="1201"/>
      <c r="TOQ227" s="1201"/>
      <c r="TOR227" s="1201"/>
      <c r="TOS227" s="1201"/>
      <c r="TOT227" s="1201"/>
      <c r="TOU227" s="1201"/>
      <c r="TOV227" s="1201"/>
      <c r="TOW227" s="1201"/>
      <c r="TOX227" s="1201"/>
      <c r="TOY227" s="1201"/>
      <c r="TOZ227" s="1201"/>
      <c r="TPA227" s="1201"/>
      <c r="TPB227" s="1201"/>
      <c r="TPC227" s="1201"/>
      <c r="TPD227" s="1201"/>
      <c r="TPE227" s="1201"/>
      <c r="TPF227" s="1201"/>
      <c r="TPG227" s="1201"/>
      <c r="TPH227" s="1201"/>
      <c r="TPI227" s="1201"/>
      <c r="TPJ227" s="1201"/>
      <c r="TPK227" s="1201"/>
      <c r="TPL227" s="1201"/>
      <c r="TPM227" s="1201"/>
      <c r="TPN227" s="1201"/>
      <c r="TPO227" s="1201"/>
      <c r="TPP227" s="1201"/>
      <c r="TPQ227" s="1201"/>
      <c r="TPR227" s="1201"/>
      <c r="TPS227" s="1201"/>
      <c r="TPT227" s="1201"/>
      <c r="TPU227" s="1201"/>
      <c r="TPV227" s="1201"/>
      <c r="TPW227" s="1201"/>
      <c r="TPX227" s="1201"/>
      <c r="TPY227" s="1201"/>
      <c r="TPZ227" s="1201"/>
      <c r="TQA227" s="1201"/>
      <c r="TQB227" s="1201"/>
      <c r="TQC227" s="1201"/>
      <c r="TQD227" s="1201"/>
      <c r="TQE227" s="1201"/>
      <c r="TQF227" s="1201"/>
      <c r="TQG227" s="1201"/>
      <c r="TQH227" s="1201"/>
      <c r="TQI227" s="1201"/>
      <c r="TQJ227" s="1201"/>
      <c r="TQK227" s="1201"/>
      <c r="TQL227" s="1201"/>
      <c r="TQM227" s="1201"/>
      <c r="TQN227" s="1201"/>
      <c r="TQO227" s="1201"/>
      <c r="TQP227" s="1201"/>
      <c r="TQQ227" s="1201"/>
      <c r="TQR227" s="1201"/>
      <c r="TQS227" s="1201"/>
      <c r="TQT227" s="1201"/>
      <c r="TQU227" s="1201"/>
      <c r="TQV227" s="1201"/>
      <c r="TQW227" s="1201"/>
      <c r="TQX227" s="1201"/>
      <c r="TQY227" s="1201"/>
      <c r="TQZ227" s="1201"/>
      <c r="TRA227" s="1201"/>
      <c r="TRB227" s="1201"/>
      <c r="TRC227" s="1201"/>
      <c r="TRD227" s="1201"/>
      <c r="TRE227" s="1201"/>
      <c r="TRF227" s="1201"/>
      <c r="TRG227" s="1201"/>
      <c r="TRH227" s="1201"/>
      <c r="TRI227" s="1201"/>
      <c r="TRJ227" s="1201"/>
      <c r="TRK227" s="1201"/>
      <c r="TRL227" s="1201"/>
      <c r="TRM227" s="1201"/>
      <c r="TRN227" s="1201"/>
      <c r="TRO227" s="1201"/>
      <c r="TRP227" s="1201"/>
      <c r="TRQ227" s="1201"/>
      <c r="TRR227" s="1201"/>
      <c r="TRS227" s="1201"/>
      <c r="TRT227" s="1201"/>
      <c r="TRU227" s="1201"/>
      <c r="TRV227" s="1201"/>
      <c r="TRW227" s="1201"/>
      <c r="TRX227" s="1201"/>
      <c r="TRY227" s="1201"/>
      <c r="TRZ227" s="1201"/>
      <c r="TSA227" s="1201"/>
      <c r="TSB227" s="1201"/>
      <c r="TSC227" s="1201"/>
      <c r="TSD227" s="1201"/>
      <c r="TSE227" s="1201"/>
      <c r="TSF227" s="1201"/>
      <c r="TSG227" s="1201"/>
      <c r="TSH227" s="1201"/>
      <c r="TSI227" s="1201"/>
      <c r="TSJ227" s="1201"/>
      <c r="TSK227" s="1201"/>
      <c r="TSL227" s="1201"/>
      <c r="TSM227" s="1201"/>
      <c r="TSN227" s="1201"/>
      <c r="TSO227" s="1201"/>
      <c r="TSP227" s="1201"/>
      <c r="TSQ227" s="1201"/>
      <c r="TSR227" s="1201"/>
      <c r="TSS227" s="1201"/>
      <c r="TST227" s="1201"/>
      <c r="TSU227" s="1201"/>
      <c r="TSV227" s="1201"/>
      <c r="TSW227" s="1201"/>
      <c r="TSX227" s="1201"/>
      <c r="TSY227" s="1201"/>
      <c r="TSZ227" s="1201"/>
      <c r="TTA227" s="1201"/>
      <c r="TTB227" s="1201"/>
      <c r="TTC227" s="1201"/>
      <c r="TTD227" s="1201"/>
      <c r="TTE227" s="1201"/>
      <c r="TTF227" s="1201"/>
      <c r="TTG227" s="1201"/>
      <c r="TTH227" s="1201"/>
      <c r="TTI227" s="1201"/>
      <c r="TTJ227" s="1201"/>
      <c r="TTK227" s="1201"/>
      <c r="TTL227" s="1201"/>
      <c r="TTM227" s="1201"/>
      <c r="TTN227" s="1201"/>
      <c r="TTO227" s="1201"/>
      <c r="TTP227" s="1201"/>
      <c r="TTQ227" s="1201"/>
      <c r="TTR227" s="1201"/>
      <c r="TTS227" s="1201"/>
      <c r="TTT227" s="1201"/>
      <c r="TTU227" s="1201"/>
      <c r="TTV227" s="1201"/>
      <c r="TTW227" s="1201"/>
      <c r="TTX227" s="1201"/>
      <c r="TTY227" s="1201"/>
      <c r="TTZ227" s="1201"/>
      <c r="TUA227" s="1201"/>
      <c r="TUB227" s="1201"/>
      <c r="TUC227" s="1201"/>
      <c r="TUD227" s="1201"/>
      <c r="TUE227" s="1201"/>
      <c r="TUF227" s="1201"/>
      <c r="TUG227" s="1201"/>
      <c r="TUH227" s="1201"/>
      <c r="TUI227" s="1201"/>
      <c r="TUJ227" s="1201"/>
      <c r="TUK227" s="1201"/>
      <c r="TUL227" s="1201"/>
      <c r="TUM227" s="1201"/>
      <c r="TUN227" s="1201"/>
      <c r="TUO227" s="1201"/>
      <c r="TUP227" s="1201"/>
      <c r="TUQ227" s="1201"/>
      <c r="TUR227" s="1201"/>
      <c r="TUS227" s="1201"/>
      <c r="TUT227" s="1201"/>
      <c r="TUU227" s="1201"/>
      <c r="TUV227" s="1201"/>
      <c r="TUW227" s="1201"/>
      <c r="TUX227" s="1201"/>
      <c r="TUY227" s="1201"/>
      <c r="TUZ227" s="1201"/>
      <c r="TVA227" s="1201"/>
      <c r="TVB227" s="1201"/>
      <c r="TVC227" s="1201"/>
      <c r="TVD227" s="1201"/>
      <c r="TVE227" s="1201"/>
      <c r="TVF227" s="1201"/>
      <c r="TVG227" s="1201"/>
      <c r="TVH227" s="1201"/>
      <c r="TVI227" s="1201"/>
      <c r="TVJ227" s="1201"/>
      <c r="TVK227" s="1201"/>
      <c r="TVL227" s="1201"/>
      <c r="TVM227" s="1201"/>
      <c r="TVN227" s="1201"/>
      <c r="TVO227" s="1201"/>
      <c r="TVP227" s="1201"/>
      <c r="TVQ227" s="1201"/>
      <c r="TVR227" s="1201"/>
      <c r="TVS227" s="1201"/>
      <c r="TVT227" s="1201"/>
      <c r="TVU227" s="1201"/>
      <c r="TVV227" s="1201"/>
      <c r="TVW227" s="1201"/>
      <c r="TVX227" s="1201"/>
      <c r="TVY227" s="1201"/>
      <c r="TVZ227" s="1201"/>
      <c r="TWA227" s="1201"/>
      <c r="TWB227" s="1201"/>
      <c r="TWC227" s="1201"/>
      <c r="TWD227" s="1201"/>
      <c r="TWE227" s="1201"/>
      <c r="TWF227" s="1201"/>
      <c r="TWG227" s="1201"/>
      <c r="TWH227" s="1201"/>
      <c r="TWI227" s="1201"/>
      <c r="TWJ227" s="1201"/>
      <c r="TWK227" s="1201"/>
      <c r="TWL227" s="1201"/>
      <c r="TWM227" s="1201"/>
      <c r="TWN227" s="1201"/>
      <c r="TWO227" s="1201"/>
      <c r="TWP227" s="1201"/>
      <c r="TWQ227" s="1201"/>
      <c r="TWR227" s="1201"/>
      <c r="TWS227" s="1201"/>
      <c r="TWT227" s="1201"/>
      <c r="TWU227" s="1201"/>
      <c r="TWV227" s="1201"/>
      <c r="TWW227" s="1201"/>
      <c r="TWX227" s="1201"/>
      <c r="TWY227" s="1201"/>
      <c r="TWZ227" s="1201"/>
      <c r="TXA227" s="1201"/>
      <c r="TXB227" s="1201"/>
      <c r="TXC227" s="1201"/>
      <c r="TXD227" s="1201"/>
      <c r="TXE227" s="1201"/>
      <c r="TXF227" s="1201"/>
      <c r="TXG227" s="1201"/>
      <c r="TXH227" s="1201"/>
      <c r="TXI227" s="1201"/>
      <c r="TXJ227" s="1201"/>
      <c r="TXK227" s="1201"/>
      <c r="TXL227" s="1201"/>
      <c r="TXM227" s="1201"/>
      <c r="TXN227" s="1201"/>
      <c r="TXO227" s="1201"/>
      <c r="TXP227" s="1201"/>
      <c r="TXQ227" s="1201"/>
      <c r="TXR227" s="1201"/>
      <c r="TXS227" s="1201"/>
      <c r="TXT227" s="1201"/>
      <c r="TXU227" s="1201"/>
      <c r="TXV227" s="1201"/>
      <c r="TXW227" s="1201"/>
      <c r="TXX227" s="1201"/>
      <c r="TXY227" s="1201"/>
      <c r="TXZ227" s="1201"/>
      <c r="TYA227" s="1201"/>
      <c r="TYB227" s="1201"/>
      <c r="TYC227" s="1201"/>
      <c r="TYD227" s="1201"/>
      <c r="TYE227" s="1201"/>
      <c r="TYF227" s="1201"/>
      <c r="TYG227" s="1201"/>
      <c r="TYH227" s="1201"/>
      <c r="TYI227" s="1201"/>
      <c r="TYJ227" s="1201"/>
      <c r="TYK227" s="1201"/>
      <c r="TYL227" s="1201"/>
      <c r="TYM227" s="1201"/>
      <c r="TYN227" s="1201"/>
      <c r="TYO227" s="1201"/>
      <c r="TYP227" s="1201"/>
      <c r="TYQ227" s="1201"/>
      <c r="TYR227" s="1201"/>
      <c r="TYS227" s="1201"/>
      <c r="TYT227" s="1201"/>
      <c r="TYU227" s="1201"/>
      <c r="TYV227" s="1201"/>
      <c r="TYW227" s="1201"/>
      <c r="TYX227" s="1201"/>
      <c r="TYY227" s="1201"/>
      <c r="TYZ227" s="1201"/>
      <c r="TZA227" s="1201"/>
      <c r="TZB227" s="1201"/>
      <c r="TZC227" s="1201"/>
      <c r="TZD227" s="1201"/>
      <c r="TZE227" s="1201"/>
      <c r="TZF227" s="1201"/>
      <c r="TZG227" s="1201"/>
      <c r="TZH227" s="1201"/>
      <c r="TZI227" s="1201"/>
      <c r="TZJ227" s="1201"/>
      <c r="TZK227" s="1201"/>
      <c r="TZL227" s="1201"/>
      <c r="TZM227" s="1201"/>
      <c r="TZN227" s="1201"/>
      <c r="TZO227" s="1201"/>
      <c r="TZP227" s="1201"/>
      <c r="TZQ227" s="1201"/>
      <c r="TZR227" s="1201"/>
      <c r="TZS227" s="1201"/>
      <c r="TZT227" s="1201"/>
      <c r="TZU227" s="1201"/>
      <c r="TZV227" s="1201"/>
      <c r="TZW227" s="1201"/>
      <c r="TZX227" s="1201"/>
      <c r="TZY227" s="1201"/>
      <c r="TZZ227" s="1201"/>
      <c r="UAA227" s="1201"/>
      <c r="UAB227" s="1201"/>
      <c r="UAC227" s="1201"/>
      <c r="UAD227" s="1201"/>
      <c r="UAE227" s="1201"/>
      <c r="UAF227" s="1201"/>
      <c r="UAG227" s="1201"/>
      <c r="UAH227" s="1201"/>
      <c r="UAI227" s="1201"/>
      <c r="UAJ227" s="1201"/>
      <c r="UAK227" s="1201"/>
      <c r="UAL227" s="1201"/>
      <c r="UAM227" s="1201"/>
      <c r="UAN227" s="1201"/>
      <c r="UAO227" s="1201"/>
      <c r="UAP227" s="1201"/>
      <c r="UAQ227" s="1201"/>
      <c r="UAR227" s="1201"/>
      <c r="UAS227" s="1201"/>
      <c r="UAT227" s="1201"/>
      <c r="UAU227" s="1201"/>
      <c r="UAV227" s="1201"/>
      <c r="UAW227" s="1201"/>
      <c r="UAX227" s="1201"/>
      <c r="UAY227" s="1201"/>
      <c r="UAZ227" s="1201"/>
      <c r="UBA227" s="1201"/>
      <c r="UBB227" s="1201"/>
      <c r="UBC227" s="1201"/>
      <c r="UBD227" s="1201"/>
      <c r="UBE227" s="1201"/>
      <c r="UBF227" s="1201"/>
      <c r="UBG227" s="1201"/>
      <c r="UBH227" s="1201"/>
      <c r="UBI227" s="1201"/>
      <c r="UBJ227" s="1201"/>
      <c r="UBK227" s="1201"/>
      <c r="UBL227" s="1201"/>
      <c r="UBM227" s="1201"/>
      <c r="UBN227" s="1201"/>
      <c r="UBO227" s="1201"/>
      <c r="UBP227" s="1201"/>
      <c r="UBQ227" s="1201"/>
      <c r="UBR227" s="1201"/>
      <c r="UBS227" s="1201"/>
      <c r="UBT227" s="1201"/>
      <c r="UBU227" s="1201"/>
      <c r="UBV227" s="1201"/>
      <c r="UBW227" s="1201"/>
      <c r="UBX227" s="1201"/>
      <c r="UBY227" s="1201"/>
      <c r="UBZ227" s="1201"/>
      <c r="UCA227" s="1201"/>
      <c r="UCB227" s="1201"/>
      <c r="UCC227" s="1201"/>
      <c r="UCD227" s="1201"/>
      <c r="UCE227" s="1201"/>
      <c r="UCF227" s="1201"/>
      <c r="UCG227" s="1201"/>
      <c r="UCH227" s="1201"/>
      <c r="UCI227" s="1201"/>
      <c r="UCJ227" s="1201"/>
      <c r="UCK227" s="1201"/>
      <c r="UCL227" s="1201"/>
      <c r="UCM227" s="1201"/>
      <c r="UCN227" s="1201"/>
      <c r="UCO227" s="1201"/>
      <c r="UCP227" s="1201"/>
      <c r="UCQ227" s="1201"/>
      <c r="UCR227" s="1201"/>
      <c r="UCS227" s="1201"/>
      <c r="UCT227" s="1201"/>
      <c r="UCU227" s="1201"/>
      <c r="UCV227" s="1201"/>
      <c r="UCW227" s="1201"/>
      <c r="UCX227" s="1201"/>
      <c r="UCY227" s="1201"/>
      <c r="UCZ227" s="1201"/>
      <c r="UDA227" s="1201"/>
      <c r="UDB227" s="1201"/>
      <c r="UDC227" s="1201"/>
      <c r="UDD227" s="1201"/>
      <c r="UDE227" s="1201"/>
      <c r="UDF227" s="1201"/>
      <c r="UDG227" s="1201"/>
      <c r="UDH227" s="1201"/>
      <c r="UDI227" s="1201"/>
      <c r="UDJ227" s="1201"/>
      <c r="UDK227" s="1201"/>
      <c r="UDL227" s="1201"/>
      <c r="UDM227" s="1201"/>
      <c r="UDN227" s="1201"/>
      <c r="UDO227" s="1201"/>
      <c r="UDP227" s="1201"/>
      <c r="UDQ227" s="1201"/>
      <c r="UDR227" s="1201"/>
      <c r="UDS227" s="1201"/>
      <c r="UDT227" s="1201"/>
      <c r="UDU227" s="1201"/>
      <c r="UDV227" s="1201"/>
      <c r="UDW227" s="1201"/>
      <c r="UDX227" s="1201"/>
      <c r="UDY227" s="1201"/>
      <c r="UDZ227" s="1201"/>
      <c r="UEA227" s="1201"/>
      <c r="UEB227" s="1201"/>
      <c r="UEC227" s="1201"/>
      <c r="UED227" s="1201"/>
      <c r="UEE227" s="1201"/>
      <c r="UEF227" s="1201"/>
      <c r="UEG227" s="1201"/>
      <c r="UEH227" s="1201"/>
      <c r="UEI227" s="1201"/>
      <c r="UEJ227" s="1201"/>
      <c r="UEK227" s="1201"/>
      <c r="UEL227" s="1201"/>
      <c r="UEM227" s="1201"/>
      <c r="UEN227" s="1201"/>
      <c r="UEO227" s="1201"/>
      <c r="UEP227" s="1201"/>
      <c r="UEQ227" s="1201"/>
      <c r="UER227" s="1201"/>
      <c r="UES227" s="1201"/>
      <c r="UET227" s="1201"/>
      <c r="UEU227" s="1201"/>
      <c r="UEV227" s="1201"/>
      <c r="UEW227" s="1201"/>
      <c r="UEX227" s="1201"/>
      <c r="UEY227" s="1201"/>
      <c r="UEZ227" s="1201"/>
      <c r="UFA227" s="1201"/>
      <c r="UFB227" s="1201"/>
      <c r="UFC227" s="1201"/>
      <c r="UFD227" s="1201"/>
      <c r="UFE227" s="1201"/>
      <c r="UFF227" s="1201"/>
      <c r="UFG227" s="1201"/>
      <c r="UFH227" s="1201"/>
      <c r="UFI227" s="1201"/>
      <c r="UFJ227" s="1201"/>
      <c r="UFK227" s="1201"/>
      <c r="UFL227" s="1201"/>
      <c r="UFM227" s="1201"/>
      <c r="UFN227" s="1201"/>
      <c r="UFO227" s="1201"/>
      <c r="UFP227" s="1201"/>
      <c r="UFQ227" s="1201"/>
      <c r="UFR227" s="1201"/>
      <c r="UFS227" s="1201"/>
      <c r="UFT227" s="1201"/>
      <c r="UFU227" s="1201"/>
      <c r="UFV227" s="1201"/>
      <c r="UFW227" s="1201"/>
      <c r="UFX227" s="1201"/>
      <c r="UFY227" s="1201"/>
      <c r="UFZ227" s="1201"/>
      <c r="UGA227" s="1201"/>
      <c r="UGB227" s="1201"/>
      <c r="UGC227" s="1201"/>
      <c r="UGD227" s="1201"/>
      <c r="UGE227" s="1201"/>
      <c r="UGF227" s="1201"/>
      <c r="UGG227" s="1201"/>
      <c r="UGH227" s="1201"/>
      <c r="UGI227" s="1201"/>
      <c r="UGJ227" s="1201"/>
      <c r="UGK227" s="1201"/>
      <c r="UGL227" s="1201"/>
      <c r="UGM227" s="1201"/>
      <c r="UGN227" s="1201"/>
      <c r="UGO227" s="1201"/>
      <c r="UGP227" s="1201"/>
      <c r="UGQ227" s="1201"/>
      <c r="UGR227" s="1201"/>
      <c r="UGS227" s="1201"/>
      <c r="UGT227" s="1201"/>
      <c r="UGU227" s="1201"/>
      <c r="UGV227" s="1201"/>
      <c r="UGW227" s="1201"/>
      <c r="UGX227" s="1201"/>
      <c r="UGY227" s="1201"/>
      <c r="UGZ227" s="1201"/>
      <c r="UHA227" s="1201"/>
      <c r="UHB227" s="1201"/>
      <c r="UHC227" s="1201"/>
      <c r="UHD227" s="1201"/>
      <c r="UHE227" s="1201"/>
      <c r="UHF227" s="1201"/>
      <c r="UHG227" s="1201"/>
      <c r="UHH227" s="1201"/>
      <c r="UHI227" s="1201"/>
      <c r="UHJ227" s="1201"/>
      <c r="UHK227" s="1201"/>
      <c r="UHL227" s="1201"/>
      <c r="UHM227" s="1201"/>
      <c r="UHN227" s="1201"/>
      <c r="UHO227" s="1201"/>
      <c r="UHP227" s="1201"/>
      <c r="UHQ227" s="1201"/>
      <c r="UHR227" s="1201"/>
      <c r="UHS227" s="1201"/>
      <c r="UHT227" s="1201"/>
      <c r="UHU227" s="1201"/>
      <c r="UHV227" s="1201"/>
      <c r="UHW227" s="1201"/>
      <c r="UHX227" s="1201"/>
      <c r="UHY227" s="1201"/>
      <c r="UHZ227" s="1201"/>
      <c r="UIA227" s="1201"/>
      <c r="UIB227" s="1201"/>
      <c r="UIC227" s="1201"/>
      <c r="UID227" s="1201"/>
      <c r="UIE227" s="1201"/>
      <c r="UIF227" s="1201"/>
      <c r="UIG227" s="1201"/>
      <c r="UIH227" s="1201"/>
      <c r="UII227" s="1201"/>
      <c r="UIJ227" s="1201"/>
      <c r="UIK227" s="1201"/>
      <c r="UIL227" s="1201"/>
      <c r="UIM227" s="1201"/>
      <c r="UIN227" s="1201"/>
      <c r="UIO227" s="1201"/>
      <c r="UIP227" s="1201"/>
      <c r="UIQ227" s="1201"/>
      <c r="UIR227" s="1201"/>
      <c r="UIS227" s="1201"/>
      <c r="UIT227" s="1201"/>
      <c r="UIU227" s="1201"/>
      <c r="UIV227" s="1201"/>
      <c r="UIW227" s="1201"/>
      <c r="UIX227" s="1201"/>
      <c r="UIY227" s="1201"/>
      <c r="UIZ227" s="1201"/>
      <c r="UJA227" s="1201"/>
      <c r="UJB227" s="1201"/>
      <c r="UJC227" s="1201"/>
      <c r="UJD227" s="1201"/>
      <c r="UJE227" s="1201"/>
      <c r="UJF227" s="1201"/>
      <c r="UJG227" s="1201"/>
      <c r="UJH227" s="1201"/>
      <c r="UJI227" s="1201"/>
      <c r="UJJ227" s="1201"/>
      <c r="UJK227" s="1201"/>
      <c r="UJL227" s="1201"/>
      <c r="UJM227" s="1201"/>
      <c r="UJN227" s="1201"/>
      <c r="UJO227" s="1201"/>
      <c r="UJP227" s="1201"/>
      <c r="UJQ227" s="1201"/>
      <c r="UJR227" s="1201"/>
      <c r="UJS227" s="1201"/>
      <c r="UJT227" s="1201"/>
      <c r="UJU227" s="1201"/>
      <c r="UJV227" s="1201"/>
      <c r="UJW227" s="1201"/>
      <c r="UJX227" s="1201"/>
      <c r="UJY227" s="1201"/>
      <c r="UJZ227" s="1201"/>
      <c r="UKA227" s="1201"/>
      <c r="UKB227" s="1201"/>
      <c r="UKC227" s="1201"/>
      <c r="UKD227" s="1201"/>
      <c r="UKE227" s="1201"/>
      <c r="UKF227" s="1201"/>
      <c r="UKG227" s="1201"/>
      <c r="UKH227" s="1201"/>
      <c r="UKI227" s="1201"/>
      <c r="UKJ227" s="1201"/>
      <c r="UKK227" s="1201"/>
      <c r="UKL227" s="1201"/>
      <c r="UKM227" s="1201"/>
      <c r="UKN227" s="1201"/>
      <c r="UKO227" s="1201"/>
      <c r="UKP227" s="1201"/>
      <c r="UKQ227" s="1201"/>
      <c r="UKR227" s="1201"/>
      <c r="UKS227" s="1201"/>
      <c r="UKT227" s="1201"/>
      <c r="UKU227" s="1201"/>
      <c r="UKV227" s="1201"/>
      <c r="UKW227" s="1201"/>
      <c r="UKX227" s="1201"/>
      <c r="UKY227" s="1201"/>
      <c r="UKZ227" s="1201"/>
      <c r="ULA227" s="1201"/>
      <c r="ULB227" s="1201"/>
      <c r="ULC227" s="1201"/>
      <c r="ULD227" s="1201"/>
      <c r="ULE227" s="1201"/>
      <c r="ULF227" s="1201"/>
      <c r="ULG227" s="1201"/>
      <c r="ULH227" s="1201"/>
      <c r="ULI227" s="1201"/>
      <c r="ULJ227" s="1201"/>
      <c r="ULK227" s="1201"/>
      <c r="ULL227" s="1201"/>
      <c r="ULM227" s="1201"/>
      <c r="ULN227" s="1201"/>
      <c r="ULO227" s="1201"/>
      <c r="ULP227" s="1201"/>
      <c r="ULQ227" s="1201"/>
      <c r="ULR227" s="1201"/>
      <c r="ULS227" s="1201"/>
      <c r="ULT227" s="1201"/>
      <c r="ULU227" s="1201"/>
      <c r="ULV227" s="1201"/>
      <c r="ULW227" s="1201"/>
      <c r="ULX227" s="1201"/>
      <c r="ULY227" s="1201"/>
      <c r="ULZ227" s="1201"/>
      <c r="UMA227" s="1201"/>
      <c r="UMB227" s="1201"/>
      <c r="UMC227" s="1201"/>
      <c r="UMD227" s="1201"/>
      <c r="UME227" s="1201"/>
      <c r="UMF227" s="1201"/>
      <c r="UMG227" s="1201"/>
      <c r="UMH227" s="1201"/>
      <c r="UMI227" s="1201"/>
      <c r="UMJ227" s="1201"/>
      <c r="UMK227" s="1201"/>
      <c r="UML227" s="1201"/>
      <c r="UMM227" s="1201"/>
      <c r="UMN227" s="1201"/>
      <c r="UMO227" s="1201"/>
      <c r="UMP227" s="1201"/>
      <c r="UMQ227" s="1201"/>
      <c r="UMR227" s="1201"/>
      <c r="UMS227" s="1201"/>
      <c r="UMT227" s="1201"/>
      <c r="UMU227" s="1201"/>
      <c r="UMV227" s="1201"/>
      <c r="UMW227" s="1201"/>
      <c r="UMX227" s="1201"/>
      <c r="UMY227" s="1201"/>
      <c r="UMZ227" s="1201"/>
      <c r="UNA227" s="1201"/>
      <c r="UNB227" s="1201"/>
      <c r="UNC227" s="1201"/>
      <c r="UND227" s="1201"/>
      <c r="UNE227" s="1201"/>
      <c r="UNF227" s="1201"/>
      <c r="UNG227" s="1201"/>
      <c r="UNH227" s="1201"/>
      <c r="UNI227" s="1201"/>
      <c r="UNJ227" s="1201"/>
      <c r="UNK227" s="1201"/>
      <c r="UNL227" s="1201"/>
      <c r="UNM227" s="1201"/>
      <c r="UNN227" s="1201"/>
      <c r="UNO227" s="1201"/>
      <c r="UNP227" s="1201"/>
      <c r="UNQ227" s="1201"/>
      <c r="UNR227" s="1201"/>
      <c r="UNS227" s="1201"/>
      <c r="UNT227" s="1201"/>
      <c r="UNU227" s="1201"/>
      <c r="UNV227" s="1201"/>
      <c r="UNW227" s="1201"/>
      <c r="UNX227" s="1201"/>
      <c r="UNY227" s="1201"/>
      <c r="UNZ227" s="1201"/>
      <c r="UOA227" s="1201"/>
      <c r="UOB227" s="1201"/>
      <c r="UOC227" s="1201"/>
      <c r="UOD227" s="1201"/>
      <c r="UOE227" s="1201"/>
      <c r="UOF227" s="1201"/>
      <c r="UOG227" s="1201"/>
      <c r="UOH227" s="1201"/>
      <c r="UOI227" s="1201"/>
      <c r="UOJ227" s="1201"/>
      <c r="UOK227" s="1201"/>
      <c r="UOL227" s="1201"/>
      <c r="UOM227" s="1201"/>
      <c r="UON227" s="1201"/>
      <c r="UOO227" s="1201"/>
      <c r="UOP227" s="1201"/>
      <c r="UOQ227" s="1201"/>
      <c r="UOR227" s="1201"/>
      <c r="UOS227" s="1201"/>
      <c r="UOT227" s="1201"/>
      <c r="UOU227" s="1201"/>
      <c r="UOV227" s="1201"/>
      <c r="UOW227" s="1201"/>
      <c r="UOX227" s="1201"/>
      <c r="UOY227" s="1201"/>
      <c r="UOZ227" s="1201"/>
      <c r="UPA227" s="1201"/>
      <c r="UPB227" s="1201"/>
      <c r="UPC227" s="1201"/>
      <c r="UPD227" s="1201"/>
      <c r="UPE227" s="1201"/>
      <c r="UPF227" s="1201"/>
      <c r="UPG227" s="1201"/>
      <c r="UPH227" s="1201"/>
      <c r="UPI227" s="1201"/>
      <c r="UPJ227" s="1201"/>
      <c r="UPK227" s="1201"/>
      <c r="UPL227" s="1201"/>
      <c r="UPM227" s="1201"/>
      <c r="UPN227" s="1201"/>
      <c r="UPO227" s="1201"/>
      <c r="UPP227" s="1201"/>
      <c r="UPQ227" s="1201"/>
      <c r="UPR227" s="1201"/>
      <c r="UPS227" s="1201"/>
      <c r="UPT227" s="1201"/>
      <c r="UPU227" s="1201"/>
      <c r="UPV227" s="1201"/>
      <c r="UPW227" s="1201"/>
      <c r="UPX227" s="1201"/>
      <c r="UPY227" s="1201"/>
      <c r="UPZ227" s="1201"/>
      <c r="UQA227" s="1201"/>
      <c r="UQB227" s="1201"/>
      <c r="UQC227" s="1201"/>
      <c r="UQD227" s="1201"/>
      <c r="UQE227" s="1201"/>
      <c r="UQF227" s="1201"/>
      <c r="UQG227" s="1201"/>
      <c r="UQH227" s="1201"/>
      <c r="UQI227" s="1201"/>
      <c r="UQJ227" s="1201"/>
      <c r="UQK227" s="1201"/>
      <c r="UQL227" s="1201"/>
      <c r="UQM227" s="1201"/>
      <c r="UQN227" s="1201"/>
      <c r="UQO227" s="1201"/>
      <c r="UQP227" s="1201"/>
      <c r="UQQ227" s="1201"/>
      <c r="UQR227" s="1201"/>
      <c r="UQS227" s="1201"/>
      <c r="UQT227" s="1201"/>
      <c r="UQU227" s="1201"/>
      <c r="UQV227" s="1201"/>
      <c r="UQW227" s="1201"/>
      <c r="UQX227" s="1201"/>
      <c r="UQY227" s="1201"/>
      <c r="UQZ227" s="1201"/>
      <c r="URA227" s="1201"/>
      <c r="URB227" s="1201"/>
      <c r="URC227" s="1201"/>
      <c r="URD227" s="1201"/>
      <c r="URE227" s="1201"/>
      <c r="URF227" s="1201"/>
      <c r="URG227" s="1201"/>
      <c r="URH227" s="1201"/>
      <c r="URI227" s="1201"/>
      <c r="URJ227" s="1201"/>
      <c r="URK227" s="1201"/>
      <c r="URL227" s="1201"/>
      <c r="URM227" s="1201"/>
      <c r="URN227" s="1201"/>
      <c r="URO227" s="1201"/>
      <c r="URP227" s="1201"/>
      <c r="URQ227" s="1201"/>
      <c r="URR227" s="1201"/>
      <c r="URS227" s="1201"/>
      <c r="URT227" s="1201"/>
      <c r="URU227" s="1201"/>
      <c r="URV227" s="1201"/>
      <c r="URW227" s="1201"/>
      <c r="URX227" s="1201"/>
      <c r="URY227" s="1201"/>
      <c r="URZ227" s="1201"/>
      <c r="USA227" s="1201"/>
      <c r="USB227" s="1201"/>
      <c r="USC227" s="1201"/>
      <c r="USD227" s="1201"/>
      <c r="USE227" s="1201"/>
      <c r="USF227" s="1201"/>
      <c r="USG227" s="1201"/>
      <c r="USH227" s="1201"/>
      <c r="USI227" s="1201"/>
      <c r="USJ227" s="1201"/>
      <c r="USK227" s="1201"/>
      <c r="USL227" s="1201"/>
      <c r="USM227" s="1201"/>
      <c r="USN227" s="1201"/>
      <c r="USO227" s="1201"/>
      <c r="USP227" s="1201"/>
      <c r="USQ227" s="1201"/>
      <c r="USR227" s="1201"/>
      <c r="USS227" s="1201"/>
      <c r="UST227" s="1201"/>
      <c r="USU227" s="1201"/>
      <c r="USV227" s="1201"/>
      <c r="USW227" s="1201"/>
      <c r="USX227" s="1201"/>
      <c r="USY227" s="1201"/>
      <c r="USZ227" s="1201"/>
      <c r="UTA227" s="1201"/>
      <c r="UTB227" s="1201"/>
      <c r="UTC227" s="1201"/>
      <c r="UTD227" s="1201"/>
      <c r="UTE227" s="1201"/>
      <c r="UTF227" s="1201"/>
      <c r="UTG227" s="1201"/>
      <c r="UTH227" s="1201"/>
      <c r="UTI227" s="1201"/>
      <c r="UTJ227" s="1201"/>
      <c r="UTK227" s="1201"/>
      <c r="UTL227" s="1201"/>
      <c r="UTM227" s="1201"/>
      <c r="UTN227" s="1201"/>
      <c r="UTO227" s="1201"/>
      <c r="UTP227" s="1201"/>
      <c r="UTQ227" s="1201"/>
      <c r="UTR227" s="1201"/>
      <c r="UTS227" s="1201"/>
      <c r="UTT227" s="1201"/>
      <c r="UTU227" s="1201"/>
      <c r="UTV227" s="1201"/>
      <c r="UTW227" s="1201"/>
      <c r="UTX227" s="1201"/>
      <c r="UTY227" s="1201"/>
      <c r="UTZ227" s="1201"/>
      <c r="UUA227" s="1201"/>
      <c r="UUB227" s="1201"/>
      <c r="UUC227" s="1201"/>
      <c r="UUD227" s="1201"/>
      <c r="UUE227" s="1201"/>
      <c r="UUF227" s="1201"/>
      <c r="UUG227" s="1201"/>
      <c r="UUH227" s="1201"/>
      <c r="UUI227" s="1201"/>
      <c r="UUJ227" s="1201"/>
      <c r="UUK227" s="1201"/>
      <c r="UUL227" s="1201"/>
      <c r="UUM227" s="1201"/>
      <c r="UUN227" s="1201"/>
      <c r="UUO227" s="1201"/>
      <c r="UUP227" s="1201"/>
      <c r="UUQ227" s="1201"/>
      <c r="UUR227" s="1201"/>
      <c r="UUS227" s="1201"/>
      <c r="UUT227" s="1201"/>
      <c r="UUU227" s="1201"/>
      <c r="UUV227" s="1201"/>
      <c r="UUW227" s="1201"/>
      <c r="UUX227" s="1201"/>
      <c r="UUY227" s="1201"/>
      <c r="UUZ227" s="1201"/>
      <c r="UVA227" s="1201"/>
      <c r="UVB227" s="1201"/>
      <c r="UVC227" s="1201"/>
      <c r="UVD227" s="1201"/>
      <c r="UVE227" s="1201"/>
      <c r="UVF227" s="1201"/>
      <c r="UVG227" s="1201"/>
      <c r="UVH227" s="1201"/>
      <c r="UVI227" s="1201"/>
      <c r="UVJ227" s="1201"/>
      <c r="UVK227" s="1201"/>
      <c r="UVL227" s="1201"/>
      <c r="UVM227" s="1201"/>
      <c r="UVN227" s="1201"/>
      <c r="UVO227" s="1201"/>
      <c r="UVP227" s="1201"/>
      <c r="UVQ227" s="1201"/>
      <c r="UVR227" s="1201"/>
      <c r="UVS227" s="1201"/>
      <c r="UVT227" s="1201"/>
      <c r="UVU227" s="1201"/>
      <c r="UVV227" s="1201"/>
      <c r="UVW227" s="1201"/>
      <c r="UVX227" s="1201"/>
      <c r="UVY227" s="1201"/>
      <c r="UVZ227" s="1201"/>
      <c r="UWA227" s="1201"/>
      <c r="UWB227" s="1201"/>
      <c r="UWC227" s="1201"/>
      <c r="UWD227" s="1201"/>
      <c r="UWE227" s="1201"/>
      <c r="UWF227" s="1201"/>
      <c r="UWG227" s="1201"/>
      <c r="UWH227" s="1201"/>
      <c r="UWI227" s="1201"/>
      <c r="UWJ227" s="1201"/>
      <c r="UWK227" s="1201"/>
      <c r="UWL227" s="1201"/>
      <c r="UWM227" s="1201"/>
      <c r="UWN227" s="1201"/>
      <c r="UWO227" s="1201"/>
      <c r="UWP227" s="1201"/>
      <c r="UWQ227" s="1201"/>
      <c r="UWR227" s="1201"/>
      <c r="UWS227" s="1201"/>
      <c r="UWT227" s="1201"/>
      <c r="UWU227" s="1201"/>
      <c r="UWV227" s="1201"/>
      <c r="UWW227" s="1201"/>
      <c r="UWX227" s="1201"/>
      <c r="UWY227" s="1201"/>
      <c r="UWZ227" s="1201"/>
      <c r="UXA227" s="1201"/>
      <c r="UXB227" s="1201"/>
      <c r="UXC227" s="1201"/>
      <c r="UXD227" s="1201"/>
      <c r="UXE227" s="1201"/>
      <c r="UXF227" s="1201"/>
      <c r="UXG227" s="1201"/>
      <c r="UXH227" s="1201"/>
      <c r="UXI227" s="1201"/>
      <c r="UXJ227" s="1201"/>
      <c r="UXK227" s="1201"/>
      <c r="UXL227" s="1201"/>
      <c r="UXM227" s="1201"/>
      <c r="UXN227" s="1201"/>
      <c r="UXO227" s="1201"/>
      <c r="UXP227" s="1201"/>
      <c r="UXQ227" s="1201"/>
      <c r="UXR227" s="1201"/>
      <c r="UXS227" s="1201"/>
      <c r="UXT227" s="1201"/>
      <c r="UXU227" s="1201"/>
      <c r="UXV227" s="1201"/>
      <c r="UXW227" s="1201"/>
      <c r="UXX227" s="1201"/>
      <c r="UXY227" s="1201"/>
      <c r="UXZ227" s="1201"/>
      <c r="UYA227" s="1201"/>
      <c r="UYB227" s="1201"/>
      <c r="UYC227" s="1201"/>
      <c r="UYD227" s="1201"/>
      <c r="UYE227" s="1201"/>
      <c r="UYF227" s="1201"/>
      <c r="UYG227" s="1201"/>
      <c r="UYH227" s="1201"/>
      <c r="UYI227" s="1201"/>
      <c r="UYJ227" s="1201"/>
      <c r="UYK227" s="1201"/>
      <c r="UYL227" s="1201"/>
      <c r="UYM227" s="1201"/>
      <c r="UYN227" s="1201"/>
      <c r="UYO227" s="1201"/>
      <c r="UYP227" s="1201"/>
      <c r="UYQ227" s="1201"/>
      <c r="UYR227" s="1201"/>
      <c r="UYS227" s="1201"/>
      <c r="UYT227" s="1201"/>
      <c r="UYU227" s="1201"/>
      <c r="UYV227" s="1201"/>
      <c r="UYW227" s="1201"/>
      <c r="UYX227" s="1201"/>
      <c r="UYY227" s="1201"/>
      <c r="UYZ227" s="1201"/>
      <c r="UZA227" s="1201"/>
      <c r="UZB227" s="1201"/>
      <c r="UZC227" s="1201"/>
      <c r="UZD227" s="1201"/>
      <c r="UZE227" s="1201"/>
      <c r="UZF227" s="1201"/>
      <c r="UZG227" s="1201"/>
      <c r="UZH227" s="1201"/>
      <c r="UZI227" s="1201"/>
      <c r="UZJ227" s="1201"/>
      <c r="UZK227" s="1201"/>
      <c r="UZL227" s="1201"/>
      <c r="UZM227" s="1201"/>
      <c r="UZN227" s="1201"/>
      <c r="UZO227" s="1201"/>
      <c r="UZP227" s="1201"/>
      <c r="UZQ227" s="1201"/>
      <c r="UZR227" s="1201"/>
      <c r="UZS227" s="1201"/>
      <c r="UZT227" s="1201"/>
      <c r="UZU227" s="1201"/>
      <c r="UZV227" s="1201"/>
      <c r="UZW227" s="1201"/>
      <c r="UZX227" s="1201"/>
      <c r="UZY227" s="1201"/>
      <c r="UZZ227" s="1201"/>
      <c r="VAA227" s="1201"/>
      <c r="VAB227" s="1201"/>
      <c r="VAC227" s="1201"/>
      <c r="VAD227" s="1201"/>
      <c r="VAE227" s="1201"/>
      <c r="VAF227" s="1201"/>
      <c r="VAG227" s="1201"/>
      <c r="VAH227" s="1201"/>
      <c r="VAI227" s="1201"/>
      <c r="VAJ227" s="1201"/>
      <c r="VAK227" s="1201"/>
      <c r="VAL227" s="1201"/>
      <c r="VAM227" s="1201"/>
      <c r="VAN227" s="1201"/>
      <c r="VAO227" s="1201"/>
      <c r="VAP227" s="1201"/>
      <c r="VAQ227" s="1201"/>
      <c r="VAR227" s="1201"/>
      <c r="VAS227" s="1201"/>
      <c r="VAT227" s="1201"/>
      <c r="VAU227" s="1201"/>
      <c r="VAV227" s="1201"/>
      <c r="VAW227" s="1201"/>
      <c r="VAX227" s="1201"/>
      <c r="VAY227" s="1201"/>
      <c r="VAZ227" s="1201"/>
      <c r="VBA227" s="1201"/>
      <c r="VBB227" s="1201"/>
      <c r="VBC227" s="1201"/>
      <c r="VBD227" s="1201"/>
      <c r="VBE227" s="1201"/>
      <c r="VBF227" s="1201"/>
      <c r="VBG227" s="1201"/>
      <c r="VBH227" s="1201"/>
      <c r="VBI227" s="1201"/>
      <c r="VBJ227" s="1201"/>
      <c r="VBK227" s="1201"/>
      <c r="VBL227" s="1201"/>
      <c r="VBM227" s="1201"/>
      <c r="VBN227" s="1201"/>
      <c r="VBO227" s="1201"/>
      <c r="VBP227" s="1201"/>
      <c r="VBQ227" s="1201"/>
      <c r="VBR227" s="1201"/>
      <c r="VBS227" s="1201"/>
      <c r="VBT227" s="1201"/>
      <c r="VBU227" s="1201"/>
      <c r="VBV227" s="1201"/>
      <c r="VBW227" s="1201"/>
      <c r="VBX227" s="1201"/>
      <c r="VBY227" s="1201"/>
      <c r="VBZ227" s="1201"/>
      <c r="VCA227" s="1201"/>
      <c r="VCB227" s="1201"/>
      <c r="VCC227" s="1201"/>
      <c r="VCD227" s="1201"/>
      <c r="VCE227" s="1201"/>
      <c r="VCF227" s="1201"/>
      <c r="VCG227" s="1201"/>
      <c r="VCH227" s="1201"/>
      <c r="VCI227" s="1201"/>
      <c r="VCJ227" s="1201"/>
      <c r="VCK227" s="1201"/>
      <c r="VCL227" s="1201"/>
      <c r="VCM227" s="1201"/>
      <c r="VCN227" s="1201"/>
      <c r="VCO227" s="1201"/>
      <c r="VCP227" s="1201"/>
      <c r="VCQ227" s="1201"/>
      <c r="VCR227" s="1201"/>
      <c r="VCS227" s="1201"/>
      <c r="VCT227" s="1201"/>
      <c r="VCU227" s="1201"/>
      <c r="VCV227" s="1201"/>
      <c r="VCW227" s="1201"/>
      <c r="VCX227" s="1201"/>
      <c r="VCY227" s="1201"/>
      <c r="VCZ227" s="1201"/>
      <c r="VDA227" s="1201"/>
      <c r="VDB227" s="1201"/>
      <c r="VDC227" s="1201"/>
      <c r="VDD227" s="1201"/>
      <c r="VDE227" s="1201"/>
      <c r="VDF227" s="1201"/>
      <c r="VDG227" s="1201"/>
      <c r="VDH227" s="1201"/>
      <c r="VDI227" s="1201"/>
      <c r="VDJ227" s="1201"/>
      <c r="VDK227" s="1201"/>
      <c r="VDL227" s="1201"/>
      <c r="VDM227" s="1201"/>
      <c r="VDN227" s="1201"/>
      <c r="VDO227" s="1201"/>
      <c r="VDP227" s="1201"/>
      <c r="VDQ227" s="1201"/>
      <c r="VDR227" s="1201"/>
      <c r="VDS227" s="1201"/>
      <c r="VDT227" s="1201"/>
      <c r="VDU227" s="1201"/>
      <c r="VDV227" s="1201"/>
      <c r="VDW227" s="1201"/>
      <c r="VDX227" s="1201"/>
      <c r="VDY227" s="1201"/>
      <c r="VDZ227" s="1201"/>
      <c r="VEA227" s="1201"/>
      <c r="VEB227" s="1201"/>
      <c r="VEC227" s="1201"/>
      <c r="VED227" s="1201"/>
      <c r="VEE227" s="1201"/>
      <c r="VEF227" s="1201"/>
      <c r="VEG227" s="1201"/>
      <c r="VEH227" s="1201"/>
      <c r="VEI227" s="1201"/>
      <c r="VEJ227" s="1201"/>
      <c r="VEK227" s="1201"/>
      <c r="VEL227" s="1201"/>
      <c r="VEM227" s="1201"/>
      <c r="VEN227" s="1201"/>
      <c r="VEO227" s="1201"/>
      <c r="VEP227" s="1201"/>
      <c r="VEQ227" s="1201"/>
      <c r="VER227" s="1201"/>
      <c r="VES227" s="1201"/>
      <c r="VET227" s="1201"/>
      <c r="VEU227" s="1201"/>
      <c r="VEV227" s="1201"/>
      <c r="VEW227" s="1201"/>
      <c r="VEX227" s="1201"/>
      <c r="VEY227" s="1201"/>
      <c r="VEZ227" s="1201"/>
      <c r="VFA227" s="1201"/>
      <c r="VFB227" s="1201"/>
      <c r="VFC227" s="1201"/>
      <c r="VFD227" s="1201"/>
      <c r="VFE227" s="1201"/>
      <c r="VFF227" s="1201"/>
      <c r="VFG227" s="1201"/>
      <c r="VFH227" s="1201"/>
      <c r="VFI227" s="1201"/>
      <c r="VFJ227" s="1201"/>
      <c r="VFK227" s="1201"/>
      <c r="VFL227" s="1201"/>
      <c r="VFM227" s="1201"/>
      <c r="VFN227" s="1201"/>
      <c r="VFO227" s="1201"/>
      <c r="VFP227" s="1201"/>
      <c r="VFQ227" s="1201"/>
      <c r="VFR227" s="1201"/>
      <c r="VFS227" s="1201"/>
      <c r="VFT227" s="1201"/>
      <c r="VFU227" s="1201"/>
      <c r="VFV227" s="1201"/>
      <c r="VFW227" s="1201"/>
      <c r="VFX227" s="1201"/>
      <c r="VFY227" s="1201"/>
      <c r="VFZ227" s="1201"/>
      <c r="VGA227" s="1201"/>
      <c r="VGB227" s="1201"/>
      <c r="VGC227" s="1201"/>
      <c r="VGD227" s="1201"/>
      <c r="VGE227" s="1201"/>
      <c r="VGF227" s="1201"/>
      <c r="VGG227" s="1201"/>
      <c r="VGH227" s="1201"/>
      <c r="VGI227" s="1201"/>
      <c r="VGJ227" s="1201"/>
      <c r="VGK227" s="1201"/>
      <c r="VGL227" s="1201"/>
      <c r="VGM227" s="1201"/>
      <c r="VGN227" s="1201"/>
      <c r="VGO227" s="1201"/>
      <c r="VGP227" s="1201"/>
      <c r="VGQ227" s="1201"/>
      <c r="VGR227" s="1201"/>
      <c r="VGS227" s="1201"/>
      <c r="VGT227" s="1201"/>
      <c r="VGU227" s="1201"/>
      <c r="VGV227" s="1201"/>
      <c r="VGW227" s="1201"/>
      <c r="VGX227" s="1201"/>
      <c r="VGY227" s="1201"/>
      <c r="VGZ227" s="1201"/>
      <c r="VHA227" s="1201"/>
      <c r="VHB227" s="1201"/>
      <c r="VHC227" s="1201"/>
      <c r="VHD227" s="1201"/>
      <c r="VHE227" s="1201"/>
      <c r="VHF227" s="1201"/>
      <c r="VHG227" s="1201"/>
      <c r="VHH227" s="1201"/>
      <c r="VHI227" s="1201"/>
      <c r="VHJ227" s="1201"/>
      <c r="VHK227" s="1201"/>
      <c r="VHL227" s="1201"/>
      <c r="VHM227" s="1201"/>
      <c r="VHN227" s="1201"/>
      <c r="VHO227" s="1201"/>
      <c r="VHP227" s="1201"/>
      <c r="VHQ227" s="1201"/>
      <c r="VHR227" s="1201"/>
      <c r="VHS227" s="1201"/>
      <c r="VHT227" s="1201"/>
      <c r="VHU227" s="1201"/>
      <c r="VHV227" s="1201"/>
      <c r="VHW227" s="1201"/>
      <c r="VHX227" s="1201"/>
      <c r="VHY227" s="1201"/>
      <c r="VHZ227" s="1201"/>
      <c r="VIA227" s="1201"/>
      <c r="VIB227" s="1201"/>
      <c r="VIC227" s="1201"/>
      <c r="VID227" s="1201"/>
      <c r="VIE227" s="1201"/>
      <c r="VIF227" s="1201"/>
      <c r="VIG227" s="1201"/>
      <c r="VIH227" s="1201"/>
      <c r="VII227" s="1201"/>
      <c r="VIJ227" s="1201"/>
      <c r="VIK227" s="1201"/>
      <c r="VIL227" s="1201"/>
      <c r="VIM227" s="1201"/>
      <c r="VIN227" s="1201"/>
      <c r="VIO227" s="1201"/>
      <c r="VIP227" s="1201"/>
      <c r="VIQ227" s="1201"/>
      <c r="VIR227" s="1201"/>
      <c r="VIS227" s="1201"/>
      <c r="VIT227" s="1201"/>
      <c r="VIU227" s="1201"/>
      <c r="VIV227" s="1201"/>
      <c r="VIW227" s="1201"/>
      <c r="VIX227" s="1201"/>
      <c r="VIY227" s="1201"/>
      <c r="VIZ227" s="1201"/>
      <c r="VJA227" s="1201"/>
      <c r="VJB227" s="1201"/>
      <c r="VJC227" s="1201"/>
      <c r="VJD227" s="1201"/>
      <c r="VJE227" s="1201"/>
      <c r="VJF227" s="1201"/>
      <c r="VJG227" s="1201"/>
      <c r="VJH227" s="1201"/>
      <c r="VJI227" s="1201"/>
      <c r="VJJ227" s="1201"/>
      <c r="VJK227" s="1201"/>
      <c r="VJL227" s="1201"/>
      <c r="VJM227" s="1201"/>
      <c r="VJN227" s="1201"/>
      <c r="VJO227" s="1201"/>
      <c r="VJP227" s="1201"/>
      <c r="VJQ227" s="1201"/>
      <c r="VJR227" s="1201"/>
      <c r="VJS227" s="1201"/>
      <c r="VJT227" s="1201"/>
      <c r="VJU227" s="1201"/>
      <c r="VJV227" s="1201"/>
      <c r="VJW227" s="1201"/>
      <c r="VJX227" s="1201"/>
      <c r="VJY227" s="1201"/>
      <c r="VJZ227" s="1201"/>
      <c r="VKA227" s="1201"/>
      <c r="VKB227" s="1201"/>
      <c r="VKC227" s="1201"/>
      <c r="VKD227" s="1201"/>
      <c r="VKE227" s="1201"/>
      <c r="VKF227" s="1201"/>
      <c r="VKG227" s="1201"/>
      <c r="VKH227" s="1201"/>
      <c r="VKI227" s="1201"/>
      <c r="VKJ227" s="1201"/>
      <c r="VKK227" s="1201"/>
      <c r="VKL227" s="1201"/>
      <c r="VKM227" s="1201"/>
      <c r="VKN227" s="1201"/>
      <c r="VKO227" s="1201"/>
      <c r="VKP227" s="1201"/>
      <c r="VKQ227" s="1201"/>
      <c r="VKR227" s="1201"/>
      <c r="VKS227" s="1201"/>
      <c r="VKT227" s="1201"/>
      <c r="VKU227" s="1201"/>
      <c r="VKV227" s="1201"/>
      <c r="VKW227" s="1201"/>
      <c r="VKX227" s="1201"/>
      <c r="VKY227" s="1201"/>
      <c r="VKZ227" s="1201"/>
      <c r="VLA227" s="1201"/>
      <c r="VLB227" s="1201"/>
      <c r="VLC227" s="1201"/>
      <c r="VLD227" s="1201"/>
      <c r="VLE227" s="1201"/>
      <c r="VLF227" s="1201"/>
      <c r="VLG227" s="1201"/>
      <c r="VLH227" s="1201"/>
      <c r="VLI227" s="1201"/>
      <c r="VLJ227" s="1201"/>
      <c r="VLK227" s="1201"/>
      <c r="VLL227" s="1201"/>
      <c r="VLM227" s="1201"/>
      <c r="VLN227" s="1201"/>
      <c r="VLO227" s="1201"/>
      <c r="VLP227" s="1201"/>
      <c r="VLQ227" s="1201"/>
      <c r="VLR227" s="1201"/>
      <c r="VLS227" s="1201"/>
      <c r="VLT227" s="1201"/>
      <c r="VLU227" s="1201"/>
      <c r="VLV227" s="1201"/>
      <c r="VLW227" s="1201"/>
      <c r="VLX227" s="1201"/>
      <c r="VLY227" s="1201"/>
      <c r="VLZ227" s="1201"/>
      <c r="VMA227" s="1201"/>
      <c r="VMB227" s="1201"/>
      <c r="VMC227" s="1201"/>
      <c r="VMD227" s="1201"/>
      <c r="VME227" s="1201"/>
      <c r="VMF227" s="1201"/>
      <c r="VMG227" s="1201"/>
      <c r="VMH227" s="1201"/>
      <c r="VMI227" s="1201"/>
      <c r="VMJ227" s="1201"/>
      <c r="VMK227" s="1201"/>
      <c r="VML227" s="1201"/>
      <c r="VMM227" s="1201"/>
      <c r="VMN227" s="1201"/>
      <c r="VMO227" s="1201"/>
      <c r="VMP227" s="1201"/>
      <c r="VMQ227" s="1201"/>
      <c r="VMR227" s="1201"/>
      <c r="VMS227" s="1201"/>
      <c r="VMT227" s="1201"/>
      <c r="VMU227" s="1201"/>
      <c r="VMV227" s="1201"/>
      <c r="VMW227" s="1201"/>
      <c r="VMX227" s="1201"/>
      <c r="VMY227" s="1201"/>
      <c r="VMZ227" s="1201"/>
      <c r="VNA227" s="1201"/>
      <c r="VNB227" s="1201"/>
      <c r="VNC227" s="1201"/>
      <c r="VND227" s="1201"/>
      <c r="VNE227" s="1201"/>
      <c r="VNF227" s="1201"/>
      <c r="VNG227" s="1201"/>
      <c r="VNH227" s="1201"/>
      <c r="VNI227" s="1201"/>
      <c r="VNJ227" s="1201"/>
      <c r="VNK227" s="1201"/>
      <c r="VNL227" s="1201"/>
      <c r="VNM227" s="1201"/>
      <c r="VNN227" s="1201"/>
      <c r="VNO227" s="1201"/>
      <c r="VNP227" s="1201"/>
      <c r="VNQ227" s="1201"/>
      <c r="VNR227" s="1201"/>
      <c r="VNS227" s="1201"/>
      <c r="VNT227" s="1201"/>
      <c r="VNU227" s="1201"/>
      <c r="VNV227" s="1201"/>
      <c r="VNW227" s="1201"/>
      <c r="VNX227" s="1201"/>
      <c r="VNY227" s="1201"/>
      <c r="VNZ227" s="1201"/>
      <c r="VOA227" s="1201"/>
      <c r="VOB227" s="1201"/>
      <c r="VOC227" s="1201"/>
      <c r="VOD227" s="1201"/>
      <c r="VOE227" s="1201"/>
      <c r="VOF227" s="1201"/>
      <c r="VOG227" s="1201"/>
      <c r="VOH227" s="1201"/>
      <c r="VOI227" s="1201"/>
      <c r="VOJ227" s="1201"/>
      <c r="VOK227" s="1201"/>
      <c r="VOL227" s="1201"/>
      <c r="VOM227" s="1201"/>
      <c r="VON227" s="1201"/>
      <c r="VOO227" s="1201"/>
      <c r="VOP227" s="1201"/>
      <c r="VOQ227" s="1201"/>
      <c r="VOR227" s="1201"/>
      <c r="VOS227" s="1201"/>
      <c r="VOT227" s="1201"/>
      <c r="VOU227" s="1201"/>
      <c r="VOV227" s="1201"/>
      <c r="VOW227" s="1201"/>
      <c r="VOX227" s="1201"/>
      <c r="VOY227" s="1201"/>
      <c r="VOZ227" s="1201"/>
      <c r="VPA227" s="1201"/>
      <c r="VPB227" s="1201"/>
      <c r="VPC227" s="1201"/>
      <c r="VPD227" s="1201"/>
      <c r="VPE227" s="1201"/>
      <c r="VPF227" s="1201"/>
      <c r="VPG227" s="1201"/>
      <c r="VPH227" s="1201"/>
      <c r="VPI227" s="1201"/>
      <c r="VPJ227" s="1201"/>
      <c r="VPK227" s="1201"/>
      <c r="VPL227" s="1201"/>
      <c r="VPM227" s="1201"/>
      <c r="VPN227" s="1201"/>
      <c r="VPO227" s="1201"/>
      <c r="VPP227" s="1201"/>
      <c r="VPQ227" s="1201"/>
      <c r="VPR227" s="1201"/>
      <c r="VPS227" s="1201"/>
      <c r="VPT227" s="1201"/>
      <c r="VPU227" s="1201"/>
      <c r="VPV227" s="1201"/>
      <c r="VPW227" s="1201"/>
      <c r="VPX227" s="1201"/>
      <c r="VPY227" s="1201"/>
      <c r="VPZ227" s="1201"/>
      <c r="VQA227" s="1201"/>
      <c r="VQB227" s="1201"/>
      <c r="VQC227" s="1201"/>
      <c r="VQD227" s="1201"/>
      <c r="VQE227" s="1201"/>
      <c r="VQF227" s="1201"/>
      <c r="VQG227" s="1201"/>
      <c r="VQH227" s="1201"/>
      <c r="VQI227" s="1201"/>
      <c r="VQJ227" s="1201"/>
      <c r="VQK227" s="1201"/>
      <c r="VQL227" s="1201"/>
      <c r="VQM227" s="1201"/>
      <c r="VQN227" s="1201"/>
      <c r="VQO227" s="1201"/>
      <c r="VQP227" s="1201"/>
      <c r="VQQ227" s="1201"/>
      <c r="VQR227" s="1201"/>
      <c r="VQS227" s="1201"/>
      <c r="VQT227" s="1201"/>
      <c r="VQU227" s="1201"/>
      <c r="VQV227" s="1201"/>
      <c r="VQW227" s="1201"/>
      <c r="VQX227" s="1201"/>
      <c r="VQY227" s="1201"/>
      <c r="VQZ227" s="1201"/>
      <c r="VRA227" s="1201"/>
      <c r="VRB227" s="1201"/>
      <c r="VRC227" s="1201"/>
      <c r="VRD227" s="1201"/>
      <c r="VRE227" s="1201"/>
      <c r="VRF227" s="1201"/>
      <c r="VRG227" s="1201"/>
      <c r="VRH227" s="1201"/>
      <c r="VRI227" s="1201"/>
      <c r="VRJ227" s="1201"/>
      <c r="VRK227" s="1201"/>
      <c r="VRL227" s="1201"/>
      <c r="VRM227" s="1201"/>
      <c r="VRN227" s="1201"/>
      <c r="VRO227" s="1201"/>
      <c r="VRP227" s="1201"/>
      <c r="VRQ227" s="1201"/>
      <c r="VRR227" s="1201"/>
      <c r="VRS227" s="1201"/>
      <c r="VRT227" s="1201"/>
      <c r="VRU227" s="1201"/>
      <c r="VRV227" s="1201"/>
      <c r="VRW227" s="1201"/>
      <c r="VRX227" s="1201"/>
      <c r="VRY227" s="1201"/>
      <c r="VRZ227" s="1201"/>
      <c r="VSA227" s="1201"/>
      <c r="VSB227" s="1201"/>
      <c r="VSC227" s="1201"/>
      <c r="VSD227" s="1201"/>
      <c r="VSE227" s="1201"/>
      <c r="VSF227" s="1201"/>
      <c r="VSG227" s="1201"/>
      <c r="VSH227" s="1201"/>
      <c r="VSI227" s="1201"/>
      <c r="VSJ227" s="1201"/>
      <c r="VSK227" s="1201"/>
      <c r="VSL227" s="1201"/>
      <c r="VSM227" s="1201"/>
      <c r="VSN227" s="1201"/>
      <c r="VSO227" s="1201"/>
      <c r="VSP227" s="1201"/>
      <c r="VSQ227" s="1201"/>
      <c r="VSR227" s="1201"/>
      <c r="VSS227" s="1201"/>
      <c r="VST227" s="1201"/>
      <c r="VSU227" s="1201"/>
      <c r="VSV227" s="1201"/>
      <c r="VSW227" s="1201"/>
      <c r="VSX227" s="1201"/>
      <c r="VSY227" s="1201"/>
      <c r="VSZ227" s="1201"/>
      <c r="VTA227" s="1201"/>
      <c r="VTB227" s="1201"/>
      <c r="VTC227" s="1201"/>
      <c r="VTD227" s="1201"/>
      <c r="VTE227" s="1201"/>
      <c r="VTF227" s="1201"/>
      <c r="VTG227" s="1201"/>
      <c r="VTH227" s="1201"/>
      <c r="VTI227" s="1201"/>
      <c r="VTJ227" s="1201"/>
      <c r="VTK227" s="1201"/>
      <c r="VTL227" s="1201"/>
      <c r="VTM227" s="1201"/>
      <c r="VTN227" s="1201"/>
      <c r="VTO227" s="1201"/>
      <c r="VTP227" s="1201"/>
      <c r="VTQ227" s="1201"/>
      <c r="VTR227" s="1201"/>
      <c r="VTS227" s="1201"/>
      <c r="VTT227" s="1201"/>
      <c r="VTU227" s="1201"/>
      <c r="VTV227" s="1201"/>
      <c r="VTW227" s="1201"/>
      <c r="VTX227" s="1201"/>
      <c r="VTY227" s="1201"/>
      <c r="VTZ227" s="1201"/>
      <c r="VUA227" s="1201"/>
      <c r="VUB227" s="1201"/>
      <c r="VUC227" s="1201"/>
      <c r="VUD227" s="1201"/>
      <c r="VUE227" s="1201"/>
      <c r="VUF227" s="1201"/>
      <c r="VUG227" s="1201"/>
      <c r="VUH227" s="1201"/>
      <c r="VUI227" s="1201"/>
      <c r="VUJ227" s="1201"/>
      <c r="VUK227" s="1201"/>
      <c r="VUL227" s="1201"/>
      <c r="VUM227" s="1201"/>
      <c r="VUN227" s="1201"/>
      <c r="VUO227" s="1201"/>
      <c r="VUP227" s="1201"/>
      <c r="VUQ227" s="1201"/>
      <c r="VUR227" s="1201"/>
      <c r="VUS227" s="1201"/>
      <c r="VUT227" s="1201"/>
      <c r="VUU227" s="1201"/>
      <c r="VUV227" s="1201"/>
      <c r="VUW227" s="1201"/>
      <c r="VUX227" s="1201"/>
      <c r="VUY227" s="1201"/>
      <c r="VUZ227" s="1201"/>
      <c r="VVA227" s="1201"/>
      <c r="VVB227" s="1201"/>
      <c r="VVC227" s="1201"/>
      <c r="VVD227" s="1201"/>
      <c r="VVE227" s="1201"/>
      <c r="VVF227" s="1201"/>
      <c r="VVG227" s="1201"/>
      <c r="VVH227" s="1201"/>
      <c r="VVI227" s="1201"/>
      <c r="VVJ227" s="1201"/>
      <c r="VVK227" s="1201"/>
      <c r="VVL227" s="1201"/>
      <c r="VVM227" s="1201"/>
      <c r="VVN227" s="1201"/>
      <c r="VVO227" s="1201"/>
      <c r="VVP227" s="1201"/>
      <c r="VVQ227" s="1201"/>
      <c r="VVR227" s="1201"/>
      <c r="VVS227" s="1201"/>
      <c r="VVT227" s="1201"/>
      <c r="VVU227" s="1201"/>
      <c r="VVV227" s="1201"/>
      <c r="VVW227" s="1201"/>
      <c r="VVX227" s="1201"/>
      <c r="VVY227" s="1201"/>
      <c r="VVZ227" s="1201"/>
      <c r="VWA227" s="1201"/>
      <c r="VWB227" s="1201"/>
      <c r="VWC227" s="1201"/>
      <c r="VWD227" s="1201"/>
      <c r="VWE227" s="1201"/>
      <c r="VWF227" s="1201"/>
      <c r="VWG227" s="1201"/>
      <c r="VWH227" s="1201"/>
      <c r="VWI227" s="1201"/>
      <c r="VWJ227" s="1201"/>
      <c r="VWK227" s="1201"/>
      <c r="VWL227" s="1201"/>
      <c r="VWM227" s="1201"/>
      <c r="VWN227" s="1201"/>
      <c r="VWO227" s="1201"/>
      <c r="VWP227" s="1201"/>
      <c r="VWQ227" s="1201"/>
      <c r="VWR227" s="1201"/>
      <c r="VWS227" s="1201"/>
      <c r="VWT227" s="1201"/>
      <c r="VWU227" s="1201"/>
      <c r="VWV227" s="1201"/>
      <c r="VWW227" s="1201"/>
      <c r="VWX227" s="1201"/>
      <c r="VWY227" s="1201"/>
      <c r="VWZ227" s="1201"/>
      <c r="VXA227" s="1201"/>
      <c r="VXB227" s="1201"/>
      <c r="VXC227" s="1201"/>
      <c r="VXD227" s="1201"/>
      <c r="VXE227" s="1201"/>
      <c r="VXF227" s="1201"/>
      <c r="VXG227" s="1201"/>
      <c r="VXH227" s="1201"/>
      <c r="VXI227" s="1201"/>
      <c r="VXJ227" s="1201"/>
      <c r="VXK227" s="1201"/>
      <c r="VXL227" s="1201"/>
      <c r="VXM227" s="1201"/>
      <c r="VXN227" s="1201"/>
      <c r="VXO227" s="1201"/>
      <c r="VXP227" s="1201"/>
      <c r="VXQ227" s="1201"/>
      <c r="VXR227" s="1201"/>
      <c r="VXS227" s="1201"/>
      <c r="VXT227" s="1201"/>
      <c r="VXU227" s="1201"/>
      <c r="VXV227" s="1201"/>
      <c r="VXW227" s="1201"/>
      <c r="VXX227" s="1201"/>
      <c r="VXY227" s="1201"/>
      <c r="VXZ227" s="1201"/>
      <c r="VYA227" s="1201"/>
      <c r="VYB227" s="1201"/>
      <c r="VYC227" s="1201"/>
      <c r="VYD227" s="1201"/>
      <c r="VYE227" s="1201"/>
      <c r="VYF227" s="1201"/>
      <c r="VYG227" s="1201"/>
      <c r="VYH227" s="1201"/>
      <c r="VYI227" s="1201"/>
      <c r="VYJ227" s="1201"/>
      <c r="VYK227" s="1201"/>
      <c r="VYL227" s="1201"/>
      <c r="VYM227" s="1201"/>
      <c r="VYN227" s="1201"/>
      <c r="VYO227" s="1201"/>
      <c r="VYP227" s="1201"/>
      <c r="VYQ227" s="1201"/>
      <c r="VYR227" s="1201"/>
      <c r="VYS227" s="1201"/>
      <c r="VYT227" s="1201"/>
      <c r="VYU227" s="1201"/>
      <c r="VYV227" s="1201"/>
      <c r="VYW227" s="1201"/>
      <c r="VYX227" s="1201"/>
      <c r="VYY227" s="1201"/>
      <c r="VYZ227" s="1201"/>
      <c r="VZA227" s="1201"/>
      <c r="VZB227" s="1201"/>
      <c r="VZC227" s="1201"/>
      <c r="VZD227" s="1201"/>
      <c r="VZE227" s="1201"/>
      <c r="VZF227" s="1201"/>
      <c r="VZG227" s="1201"/>
      <c r="VZH227" s="1201"/>
      <c r="VZI227" s="1201"/>
      <c r="VZJ227" s="1201"/>
      <c r="VZK227" s="1201"/>
      <c r="VZL227" s="1201"/>
      <c r="VZM227" s="1201"/>
      <c r="VZN227" s="1201"/>
      <c r="VZO227" s="1201"/>
      <c r="VZP227" s="1201"/>
      <c r="VZQ227" s="1201"/>
      <c r="VZR227" s="1201"/>
      <c r="VZS227" s="1201"/>
      <c r="VZT227" s="1201"/>
      <c r="VZU227" s="1201"/>
      <c r="VZV227" s="1201"/>
      <c r="VZW227" s="1201"/>
      <c r="VZX227" s="1201"/>
      <c r="VZY227" s="1201"/>
      <c r="VZZ227" s="1201"/>
      <c r="WAA227" s="1201"/>
      <c r="WAB227" s="1201"/>
      <c r="WAC227" s="1201"/>
      <c r="WAD227" s="1201"/>
      <c r="WAE227" s="1201"/>
      <c r="WAF227" s="1201"/>
      <c r="WAG227" s="1201"/>
      <c r="WAH227" s="1201"/>
      <c r="WAI227" s="1201"/>
      <c r="WAJ227" s="1201"/>
      <c r="WAK227" s="1201"/>
      <c r="WAL227" s="1201"/>
      <c r="WAM227" s="1201"/>
      <c r="WAN227" s="1201"/>
      <c r="WAO227" s="1201"/>
      <c r="WAP227" s="1201"/>
      <c r="WAQ227" s="1201"/>
      <c r="WAR227" s="1201"/>
      <c r="WAS227" s="1201"/>
      <c r="WAT227" s="1201"/>
      <c r="WAU227" s="1201"/>
      <c r="WAV227" s="1201"/>
      <c r="WAW227" s="1201"/>
      <c r="WAX227" s="1201"/>
      <c r="WAY227" s="1201"/>
      <c r="WAZ227" s="1201"/>
      <c r="WBA227" s="1201"/>
      <c r="WBB227" s="1201"/>
      <c r="WBC227" s="1201"/>
      <c r="WBD227" s="1201"/>
      <c r="WBE227" s="1201"/>
      <c r="WBF227" s="1201"/>
      <c r="WBG227" s="1201"/>
      <c r="WBH227" s="1201"/>
      <c r="WBI227" s="1201"/>
      <c r="WBJ227" s="1201"/>
      <c r="WBK227" s="1201"/>
      <c r="WBL227" s="1201"/>
      <c r="WBM227" s="1201"/>
      <c r="WBN227" s="1201"/>
      <c r="WBO227" s="1201"/>
      <c r="WBP227" s="1201"/>
      <c r="WBQ227" s="1201"/>
      <c r="WBR227" s="1201"/>
      <c r="WBS227" s="1201"/>
      <c r="WBT227" s="1201"/>
      <c r="WBU227" s="1201"/>
      <c r="WBV227" s="1201"/>
      <c r="WBW227" s="1201"/>
      <c r="WBX227" s="1201"/>
      <c r="WBY227" s="1201"/>
      <c r="WBZ227" s="1201"/>
      <c r="WCA227" s="1201"/>
      <c r="WCB227" s="1201"/>
      <c r="WCC227" s="1201"/>
      <c r="WCD227" s="1201"/>
      <c r="WCE227" s="1201"/>
      <c r="WCF227" s="1201"/>
      <c r="WCG227" s="1201"/>
      <c r="WCH227" s="1201"/>
      <c r="WCI227" s="1201"/>
      <c r="WCJ227" s="1201"/>
      <c r="WCK227" s="1201"/>
      <c r="WCL227" s="1201"/>
      <c r="WCM227" s="1201"/>
      <c r="WCN227" s="1201"/>
      <c r="WCO227" s="1201"/>
      <c r="WCP227" s="1201"/>
      <c r="WCQ227" s="1201"/>
      <c r="WCR227" s="1201"/>
      <c r="WCS227" s="1201"/>
      <c r="WCT227" s="1201"/>
      <c r="WCU227" s="1201"/>
      <c r="WCV227" s="1201"/>
      <c r="WCW227" s="1201"/>
      <c r="WCX227" s="1201"/>
      <c r="WCY227" s="1201"/>
      <c r="WCZ227" s="1201"/>
      <c r="WDA227" s="1201"/>
      <c r="WDB227" s="1201"/>
      <c r="WDC227" s="1201"/>
      <c r="WDD227" s="1201"/>
      <c r="WDE227" s="1201"/>
      <c r="WDF227" s="1201"/>
      <c r="WDG227" s="1201"/>
      <c r="WDH227" s="1201"/>
      <c r="WDI227" s="1201"/>
      <c r="WDJ227" s="1201"/>
      <c r="WDK227" s="1201"/>
      <c r="WDL227" s="1201"/>
      <c r="WDM227" s="1201"/>
      <c r="WDN227" s="1201"/>
      <c r="WDO227" s="1201"/>
      <c r="WDP227" s="1201"/>
      <c r="WDQ227" s="1201"/>
      <c r="WDR227" s="1201"/>
      <c r="WDS227" s="1201"/>
      <c r="WDT227" s="1201"/>
      <c r="WDU227" s="1201"/>
      <c r="WDV227" s="1201"/>
      <c r="WDW227" s="1201"/>
      <c r="WDX227" s="1201"/>
      <c r="WDY227" s="1201"/>
      <c r="WDZ227" s="1201"/>
      <c r="WEA227" s="1201"/>
      <c r="WEB227" s="1201"/>
      <c r="WEC227" s="1201"/>
      <c r="WED227" s="1201"/>
      <c r="WEE227" s="1201"/>
      <c r="WEF227" s="1201"/>
      <c r="WEG227" s="1201"/>
      <c r="WEH227" s="1201"/>
      <c r="WEI227" s="1201"/>
      <c r="WEJ227" s="1201"/>
      <c r="WEK227" s="1201"/>
      <c r="WEL227" s="1201"/>
      <c r="WEM227" s="1201"/>
      <c r="WEN227" s="1201"/>
      <c r="WEO227" s="1201"/>
      <c r="WEP227" s="1201"/>
      <c r="WEQ227" s="1201"/>
      <c r="WER227" s="1201"/>
      <c r="WES227" s="1201"/>
      <c r="WET227" s="1201"/>
      <c r="WEU227" s="1201"/>
      <c r="WEV227" s="1201"/>
      <c r="WEW227" s="1201"/>
      <c r="WEX227" s="1201"/>
      <c r="WEY227" s="1201"/>
      <c r="WEZ227" s="1201"/>
      <c r="WFA227" s="1201"/>
      <c r="WFB227" s="1201"/>
      <c r="WFC227" s="1201"/>
      <c r="WFD227" s="1201"/>
      <c r="WFE227" s="1201"/>
      <c r="WFF227" s="1201"/>
      <c r="WFG227" s="1201"/>
      <c r="WFH227" s="1201"/>
      <c r="WFI227" s="1201"/>
      <c r="WFJ227" s="1201"/>
      <c r="WFK227" s="1201"/>
      <c r="WFL227" s="1201"/>
      <c r="WFM227" s="1201"/>
      <c r="WFN227" s="1201"/>
      <c r="WFO227" s="1201"/>
      <c r="WFP227" s="1201"/>
      <c r="WFQ227" s="1201"/>
      <c r="WFR227" s="1201"/>
      <c r="WFS227" s="1201"/>
      <c r="WFT227" s="1201"/>
      <c r="WFU227" s="1201"/>
      <c r="WFV227" s="1201"/>
      <c r="WFW227" s="1201"/>
      <c r="WFX227" s="1201"/>
      <c r="WFY227" s="1201"/>
      <c r="WFZ227" s="1201"/>
      <c r="WGA227" s="1201"/>
      <c r="WGB227" s="1201"/>
      <c r="WGC227" s="1201"/>
      <c r="WGD227" s="1201"/>
      <c r="WGE227" s="1201"/>
      <c r="WGF227" s="1201"/>
      <c r="WGG227" s="1201"/>
      <c r="WGH227" s="1201"/>
      <c r="WGI227" s="1201"/>
      <c r="WGJ227" s="1201"/>
      <c r="WGK227" s="1201"/>
      <c r="WGL227" s="1201"/>
      <c r="WGM227" s="1201"/>
      <c r="WGN227" s="1201"/>
      <c r="WGO227" s="1201"/>
      <c r="WGP227" s="1201"/>
      <c r="WGQ227" s="1201"/>
      <c r="WGR227" s="1201"/>
      <c r="WGS227" s="1201"/>
      <c r="WGT227" s="1201"/>
      <c r="WGU227" s="1201"/>
      <c r="WGV227" s="1201"/>
      <c r="WGW227" s="1201"/>
      <c r="WGX227" s="1201"/>
      <c r="WGY227" s="1201"/>
      <c r="WGZ227" s="1201"/>
      <c r="WHA227" s="1201"/>
      <c r="WHB227" s="1201"/>
      <c r="WHC227" s="1201"/>
      <c r="WHD227" s="1201"/>
      <c r="WHE227" s="1201"/>
      <c r="WHF227" s="1201"/>
      <c r="WHG227" s="1201"/>
      <c r="WHH227" s="1201"/>
      <c r="WHI227" s="1201"/>
      <c r="WHJ227" s="1201"/>
      <c r="WHK227" s="1201"/>
      <c r="WHL227" s="1201"/>
      <c r="WHM227" s="1201"/>
      <c r="WHN227" s="1201"/>
      <c r="WHO227" s="1201"/>
      <c r="WHP227" s="1201"/>
      <c r="WHQ227" s="1201"/>
      <c r="WHR227" s="1201"/>
      <c r="WHS227" s="1201"/>
      <c r="WHT227" s="1201"/>
      <c r="WHU227" s="1201"/>
      <c r="WHV227" s="1201"/>
      <c r="WHW227" s="1201"/>
      <c r="WHX227" s="1201"/>
      <c r="WHY227" s="1201"/>
      <c r="WHZ227" s="1201"/>
      <c r="WIA227" s="1201"/>
      <c r="WIB227" s="1201"/>
      <c r="WIC227" s="1201"/>
      <c r="WID227" s="1201"/>
      <c r="WIE227" s="1201"/>
      <c r="WIF227" s="1201"/>
      <c r="WIG227" s="1201"/>
      <c r="WIH227" s="1201"/>
      <c r="WII227" s="1201"/>
      <c r="WIJ227" s="1201"/>
      <c r="WIK227" s="1201"/>
      <c r="WIL227" s="1201"/>
      <c r="WIM227" s="1201"/>
      <c r="WIN227" s="1201"/>
      <c r="WIO227" s="1201"/>
      <c r="WIP227" s="1201"/>
      <c r="WIQ227" s="1201"/>
      <c r="WIR227" s="1201"/>
      <c r="WIS227" s="1201"/>
      <c r="WIT227" s="1201"/>
      <c r="WIU227" s="1201"/>
      <c r="WIV227" s="1201"/>
      <c r="WIW227" s="1201"/>
      <c r="WIX227" s="1201"/>
      <c r="WIY227" s="1201"/>
      <c r="WIZ227" s="1201"/>
      <c r="WJA227" s="1201"/>
      <c r="WJB227" s="1201"/>
      <c r="WJC227" s="1201"/>
      <c r="WJD227" s="1201"/>
      <c r="WJE227" s="1201"/>
      <c r="WJF227" s="1201"/>
      <c r="WJG227" s="1201"/>
      <c r="WJH227" s="1201"/>
      <c r="WJI227" s="1201"/>
      <c r="WJJ227" s="1201"/>
      <c r="WJK227" s="1201"/>
      <c r="WJL227" s="1201"/>
      <c r="WJM227" s="1201"/>
      <c r="WJN227" s="1201"/>
      <c r="WJO227" s="1201"/>
      <c r="WJP227" s="1201"/>
      <c r="WJQ227" s="1201"/>
      <c r="WJR227" s="1201"/>
      <c r="WJS227" s="1201"/>
      <c r="WJT227" s="1201"/>
      <c r="WJU227" s="1201"/>
      <c r="WJV227" s="1201"/>
      <c r="WJW227" s="1201"/>
      <c r="WJX227" s="1201"/>
      <c r="WJY227" s="1201"/>
      <c r="WJZ227" s="1201"/>
      <c r="WKA227" s="1201"/>
      <c r="WKB227" s="1201"/>
      <c r="WKC227" s="1201"/>
      <c r="WKD227" s="1201"/>
      <c r="WKE227" s="1201"/>
      <c r="WKF227" s="1201"/>
      <c r="WKG227" s="1201"/>
      <c r="WKH227" s="1201"/>
      <c r="WKI227" s="1201"/>
      <c r="WKJ227" s="1201"/>
      <c r="WKK227" s="1201"/>
      <c r="WKL227" s="1201"/>
      <c r="WKM227" s="1201"/>
      <c r="WKN227" s="1201"/>
      <c r="WKO227" s="1201"/>
      <c r="WKP227" s="1201"/>
      <c r="WKQ227" s="1201"/>
      <c r="WKR227" s="1201"/>
      <c r="WKS227" s="1201"/>
      <c r="WKT227" s="1201"/>
      <c r="WKU227" s="1201"/>
      <c r="WKV227" s="1201"/>
      <c r="WKW227" s="1201"/>
      <c r="WKX227" s="1201"/>
      <c r="WKY227" s="1201"/>
      <c r="WKZ227" s="1201"/>
      <c r="WLA227" s="1201"/>
      <c r="WLB227" s="1201"/>
      <c r="WLC227" s="1201"/>
      <c r="WLD227" s="1201"/>
      <c r="WLE227" s="1201"/>
      <c r="WLF227" s="1201"/>
      <c r="WLG227" s="1201"/>
      <c r="WLH227" s="1201"/>
      <c r="WLI227" s="1201"/>
      <c r="WLJ227" s="1201"/>
      <c r="WLK227" s="1201"/>
      <c r="WLL227" s="1201"/>
      <c r="WLM227" s="1201"/>
      <c r="WLN227" s="1201"/>
      <c r="WLO227" s="1201"/>
      <c r="WLP227" s="1201"/>
      <c r="WLQ227" s="1201"/>
      <c r="WLR227" s="1201"/>
      <c r="WLS227" s="1201"/>
      <c r="WLT227" s="1201"/>
      <c r="WLU227" s="1201"/>
      <c r="WLV227" s="1201"/>
      <c r="WLW227" s="1201"/>
      <c r="WLX227" s="1201"/>
      <c r="WLY227" s="1201"/>
      <c r="WLZ227" s="1201"/>
      <c r="WMA227" s="1201"/>
      <c r="WMB227" s="1201"/>
      <c r="WMC227" s="1201"/>
      <c r="WMD227" s="1201"/>
      <c r="WME227" s="1201"/>
      <c r="WMF227" s="1201"/>
      <c r="WMG227" s="1201"/>
      <c r="WMH227" s="1201"/>
      <c r="WMI227" s="1201"/>
      <c r="WMJ227" s="1201"/>
      <c r="WMK227" s="1201"/>
      <c r="WML227" s="1201"/>
      <c r="WMM227" s="1201"/>
      <c r="WMN227" s="1201"/>
      <c r="WMO227" s="1201"/>
      <c r="WMP227" s="1201"/>
      <c r="WMQ227" s="1201"/>
      <c r="WMR227" s="1201"/>
      <c r="WMS227" s="1201"/>
      <c r="WMT227" s="1201"/>
      <c r="WMU227" s="1201"/>
      <c r="WMV227" s="1201"/>
      <c r="WMW227" s="1201"/>
      <c r="WMX227" s="1201"/>
      <c r="WMY227" s="1201"/>
      <c r="WMZ227" s="1201"/>
      <c r="WNA227" s="1201"/>
      <c r="WNB227" s="1201"/>
      <c r="WNC227" s="1201"/>
      <c r="WND227" s="1201"/>
      <c r="WNE227" s="1201"/>
      <c r="WNF227" s="1201"/>
      <c r="WNG227" s="1201"/>
      <c r="WNH227" s="1201"/>
      <c r="WNI227" s="1201"/>
      <c r="WNJ227" s="1201"/>
      <c r="WNK227" s="1201"/>
      <c r="WNL227" s="1201"/>
      <c r="WNM227" s="1201"/>
      <c r="WNN227" s="1201"/>
      <c r="WNO227" s="1201"/>
      <c r="WNP227" s="1201"/>
      <c r="WNQ227" s="1201"/>
      <c r="WNR227" s="1201"/>
      <c r="WNS227" s="1201"/>
      <c r="WNT227" s="1201"/>
      <c r="WNU227" s="1201"/>
      <c r="WNV227" s="1201"/>
      <c r="WNW227" s="1201"/>
      <c r="WNX227" s="1201"/>
      <c r="WNY227" s="1201"/>
      <c r="WNZ227" s="1201"/>
      <c r="WOA227" s="1201"/>
      <c r="WOB227" s="1201"/>
      <c r="WOC227" s="1201"/>
      <c r="WOD227" s="1201"/>
      <c r="WOE227" s="1201"/>
      <c r="WOF227" s="1201"/>
      <c r="WOG227" s="1201"/>
      <c r="WOH227" s="1201"/>
      <c r="WOI227" s="1201"/>
      <c r="WOJ227" s="1201"/>
      <c r="WOK227" s="1201"/>
      <c r="WOL227" s="1201"/>
      <c r="WOM227" s="1201"/>
      <c r="WON227" s="1201"/>
      <c r="WOO227" s="1201"/>
      <c r="WOP227" s="1201"/>
      <c r="WOQ227" s="1201"/>
      <c r="WOR227" s="1201"/>
      <c r="WOS227" s="1201"/>
      <c r="WOT227" s="1201"/>
      <c r="WOU227" s="1201"/>
      <c r="WOV227" s="1201"/>
      <c r="WOW227" s="1201"/>
      <c r="WOX227" s="1201"/>
      <c r="WOY227" s="1201"/>
      <c r="WOZ227" s="1201"/>
      <c r="WPA227" s="1201"/>
      <c r="WPB227" s="1201"/>
      <c r="WPC227" s="1201"/>
      <c r="WPD227" s="1201"/>
      <c r="WPE227" s="1201"/>
      <c r="WPF227" s="1201"/>
      <c r="WPG227" s="1201"/>
      <c r="WPH227" s="1201"/>
      <c r="WPI227" s="1201"/>
      <c r="WPJ227" s="1201"/>
      <c r="WPK227" s="1201"/>
      <c r="WPL227" s="1201"/>
      <c r="WPM227" s="1201"/>
      <c r="WPN227" s="1201"/>
      <c r="WPO227" s="1201"/>
      <c r="WPP227" s="1201"/>
      <c r="WPQ227" s="1201"/>
      <c r="WPR227" s="1201"/>
      <c r="WPS227" s="1201"/>
      <c r="WPT227" s="1201"/>
      <c r="WPU227" s="1201"/>
      <c r="WPV227" s="1201"/>
      <c r="WPW227" s="1201"/>
      <c r="WPX227" s="1201"/>
      <c r="WPY227" s="1201"/>
      <c r="WPZ227" s="1201"/>
      <c r="WQA227" s="1201"/>
      <c r="WQB227" s="1201"/>
      <c r="WQC227" s="1201"/>
      <c r="WQD227" s="1201"/>
      <c r="WQE227" s="1201"/>
      <c r="WQF227" s="1201"/>
      <c r="WQG227" s="1201"/>
      <c r="WQH227" s="1201"/>
      <c r="WQI227" s="1201"/>
      <c r="WQJ227" s="1201"/>
      <c r="WQK227" s="1201"/>
      <c r="WQL227" s="1201"/>
      <c r="WQM227" s="1201"/>
      <c r="WQN227" s="1201"/>
      <c r="WQO227" s="1201"/>
      <c r="WQP227" s="1201"/>
      <c r="WQQ227" s="1201"/>
      <c r="WQR227" s="1201"/>
      <c r="WQS227" s="1201"/>
      <c r="WQT227" s="1201"/>
      <c r="WQU227" s="1201"/>
      <c r="WQV227" s="1201"/>
      <c r="WQW227" s="1201"/>
      <c r="WQX227" s="1201"/>
      <c r="WQY227" s="1201"/>
      <c r="WQZ227" s="1201"/>
      <c r="WRA227" s="1201"/>
      <c r="WRB227" s="1201"/>
      <c r="WRC227" s="1201"/>
      <c r="WRD227" s="1201"/>
      <c r="WRE227" s="1201"/>
      <c r="WRF227" s="1201"/>
      <c r="WRG227" s="1201"/>
      <c r="WRH227" s="1201"/>
      <c r="WRI227" s="1201"/>
      <c r="WRJ227" s="1201"/>
      <c r="WRK227" s="1201"/>
      <c r="WRL227" s="1201"/>
      <c r="WRM227" s="1201"/>
      <c r="WRN227" s="1201"/>
      <c r="WRO227" s="1201"/>
      <c r="WRP227" s="1201"/>
      <c r="WRQ227" s="1201"/>
      <c r="WRR227" s="1201"/>
      <c r="WRS227" s="1201"/>
      <c r="WRT227" s="1201"/>
      <c r="WRU227" s="1201"/>
      <c r="WRV227" s="1201"/>
      <c r="WRW227" s="1201"/>
      <c r="WRX227" s="1201"/>
      <c r="WRY227" s="1201"/>
      <c r="WRZ227" s="1201"/>
      <c r="WSA227" s="1201"/>
      <c r="WSB227" s="1201"/>
      <c r="WSC227" s="1201"/>
      <c r="WSD227" s="1201"/>
      <c r="WSE227" s="1201"/>
      <c r="WSF227" s="1201"/>
      <c r="WSG227" s="1201"/>
      <c r="WSH227" s="1201"/>
      <c r="WSI227" s="1201"/>
      <c r="WSJ227" s="1201"/>
      <c r="WSK227" s="1201"/>
      <c r="WSL227" s="1201"/>
      <c r="WSM227" s="1201"/>
      <c r="WSN227" s="1201"/>
      <c r="WSO227" s="1201"/>
      <c r="WSP227" s="1201"/>
      <c r="WSQ227" s="1201"/>
      <c r="WSR227" s="1201"/>
      <c r="WSS227" s="1201"/>
      <c r="WST227" s="1201"/>
      <c r="WSU227" s="1201"/>
      <c r="WSV227" s="1201"/>
      <c r="WSW227" s="1201"/>
      <c r="WSX227" s="1201"/>
      <c r="WSY227" s="1201"/>
      <c r="WSZ227" s="1201"/>
      <c r="WTA227" s="1201"/>
      <c r="WTB227" s="1201"/>
      <c r="WTC227" s="1201"/>
      <c r="WTD227" s="1201"/>
      <c r="WTE227" s="1201"/>
      <c r="WTF227" s="1201"/>
      <c r="WTG227" s="1201"/>
      <c r="WTH227" s="1201"/>
      <c r="WTI227" s="1201"/>
      <c r="WTJ227" s="1201"/>
      <c r="WTK227" s="1201"/>
      <c r="WTL227" s="1201"/>
      <c r="WTM227" s="1201"/>
      <c r="WTN227" s="1201"/>
      <c r="WTO227" s="1201"/>
      <c r="WTP227" s="1201"/>
      <c r="WTQ227" s="1201"/>
      <c r="WTR227" s="1201"/>
      <c r="WTS227" s="1201"/>
      <c r="WTT227" s="1201"/>
      <c r="WTU227" s="1201"/>
      <c r="WTV227" s="1201"/>
      <c r="WTW227" s="1201"/>
      <c r="WTX227" s="1201"/>
      <c r="WTY227" s="1201"/>
      <c r="WTZ227" s="1201"/>
      <c r="WUA227" s="1201"/>
      <c r="WUB227" s="1201"/>
      <c r="WUC227" s="1201"/>
      <c r="WUD227" s="1201"/>
      <c r="WUE227" s="1201"/>
      <c r="WUF227" s="1201"/>
      <c r="WUG227" s="1201"/>
      <c r="WUH227" s="1201"/>
      <c r="WUI227" s="1201"/>
      <c r="WUJ227" s="1201"/>
      <c r="WUK227" s="1201"/>
      <c r="WUL227" s="1201"/>
      <c r="WUM227" s="1201"/>
      <c r="WUN227" s="1201"/>
      <c r="WUO227" s="1201"/>
      <c r="WUP227" s="1201"/>
      <c r="WUQ227" s="1201"/>
      <c r="WUR227" s="1201"/>
      <c r="WUS227" s="1201"/>
      <c r="WUT227" s="1201"/>
      <c r="WUU227" s="1201"/>
      <c r="WUV227" s="1201"/>
      <c r="WUW227" s="1201"/>
      <c r="WUX227" s="1201"/>
      <c r="WUY227" s="1201"/>
      <c r="WUZ227" s="1201"/>
      <c r="WVA227" s="1201"/>
      <c r="WVB227" s="1201"/>
      <c r="WVC227" s="1201"/>
      <c r="WVD227" s="1201"/>
      <c r="WVE227" s="1201"/>
      <c r="WVF227" s="1201"/>
      <c r="WVG227" s="1201"/>
      <c r="WVH227" s="1201"/>
      <c r="WVI227" s="1201"/>
      <c r="WVJ227" s="1201"/>
      <c r="WVK227" s="1201"/>
      <c r="WVL227" s="1201"/>
      <c r="WVM227" s="1201"/>
      <c r="WVN227" s="1201"/>
      <c r="WVO227" s="1201"/>
      <c r="WVP227" s="1201"/>
      <c r="WVQ227" s="1201"/>
      <c r="WVR227" s="1201"/>
      <c r="WVS227" s="1201"/>
      <c r="WVT227" s="1201"/>
      <c r="WVU227" s="1201"/>
      <c r="WVV227" s="1201"/>
      <c r="WVW227" s="1201"/>
      <c r="WVX227" s="1201"/>
      <c r="WVY227" s="1201"/>
      <c r="WVZ227" s="1201"/>
      <c r="WWA227" s="1201"/>
      <c r="WWB227" s="1201"/>
      <c r="WWC227" s="1201"/>
      <c r="WWD227" s="1201"/>
      <c r="WWE227" s="1201"/>
      <c r="WWF227" s="1201"/>
      <c r="WWG227" s="1201"/>
      <c r="WWH227" s="1201"/>
      <c r="WWI227" s="1201"/>
      <c r="WWJ227" s="1201"/>
      <c r="WWK227" s="1201"/>
      <c r="WWL227" s="1201"/>
      <c r="WWM227" s="1201"/>
      <c r="WWN227" s="1201"/>
      <c r="WWO227" s="1201"/>
      <c r="WWP227" s="1201"/>
      <c r="WWQ227" s="1201"/>
      <c r="WWR227" s="1201"/>
      <c r="WWS227" s="1201"/>
      <c r="WWT227" s="1201"/>
      <c r="WWU227" s="1201"/>
      <c r="WWV227" s="1201"/>
      <c r="WWW227" s="1201"/>
      <c r="WWX227" s="1201"/>
      <c r="WWY227" s="1201"/>
      <c r="WWZ227" s="1201"/>
      <c r="WXA227" s="1201"/>
      <c r="WXB227" s="1201"/>
      <c r="WXC227" s="1201"/>
      <c r="WXD227" s="1201"/>
      <c r="WXE227" s="1201"/>
      <c r="WXF227" s="1201"/>
      <c r="WXG227" s="1201"/>
      <c r="WXH227" s="1201"/>
      <c r="WXI227" s="1201"/>
      <c r="WXJ227" s="1201"/>
      <c r="WXK227" s="1201"/>
      <c r="WXL227" s="1201"/>
      <c r="WXM227" s="1201"/>
      <c r="WXN227" s="1201"/>
      <c r="WXO227" s="1201"/>
      <c r="WXP227" s="1201"/>
      <c r="WXQ227" s="1201"/>
      <c r="WXR227" s="1201"/>
      <c r="WXS227" s="1201"/>
      <c r="WXT227" s="1201"/>
      <c r="WXU227" s="1201"/>
      <c r="WXV227" s="1201"/>
      <c r="WXW227" s="1201"/>
      <c r="WXX227" s="1201"/>
      <c r="WXY227" s="1201"/>
      <c r="WXZ227" s="1201"/>
      <c r="WYA227" s="1201"/>
      <c r="WYB227" s="1201"/>
      <c r="WYC227" s="1201"/>
      <c r="WYD227" s="1201"/>
      <c r="WYE227" s="1201"/>
      <c r="WYF227" s="1201"/>
      <c r="WYG227" s="1201"/>
      <c r="WYH227" s="1201"/>
      <c r="WYI227" s="1201"/>
      <c r="WYJ227" s="1201"/>
      <c r="WYK227" s="1201"/>
      <c r="WYL227" s="1201"/>
      <c r="WYM227" s="1201"/>
      <c r="WYN227" s="1201"/>
      <c r="WYO227" s="1201"/>
      <c r="WYP227" s="1201"/>
      <c r="WYQ227" s="1201"/>
      <c r="WYR227" s="1201"/>
      <c r="WYS227" s="1201"/>
      <c r="WYT227" s="1201"/>
      <c r="WYU227" s="1201"/>
      <c r="WYV227" s="1201"/>
      <c r="WYW227" s="1201"/>
      <c r="WYX227" s="1201"/>
      <c r="WYY227" s="1201"/>
      <c r="WYZ227" s="1201"/>
      <c r="WZA227" s="1201"/>
      <c r="WZB227" s="1201"/>
      <c r="WZC227" s="1201"/>
      <c r="WZD227" s="1201"/>
      <c r="WZE227" s="1201"/>
      <c r="WZF227" s="1201"/>
      <c r="WZG227" s="1201"/>
      <c r="WZH227" s="1201"/>
      <c r="WZI227" s="1201"/>
      <c r="WZJ227" s="1201"/>
      <c r="WZK227" s="1201"/>
      <c r="WZL227" s="1201"/>
      <c r="WZM227" s="1201"/>
      <c r="WZN227" s="1201"/>
      <c r="WZO227" s="1201"/>
      <c r="WZP227" s="1201"/>
      <c r="WZQ227" s="1201"/>
      <c r="WZR227" s="1201"/>
      <c r="WZS227" s="1201"/>
      <c r="WZT227" s="1201"/>
      <c r="WZU227" s="1201"/>
      <c r="WZV227" s="1201"/>
      <c r="WZW227" s="1201"/>
      <c r="WZX227" s="1201"/>
      <c r="WZY227" s="1201"/>
      <c r="WZZ227" s="1201"/>
      <c r="XAA227" s="1201"/>
      <c r="XAB227" s="1201"/>
      <c r="XAC227" s="1201"/>
      <c r="XAD227" s="1201"/>
      <c r="XAE227" s="1201"/>
      <c r="XAF227" s="1201"/>
      <c r="XAG227" s="1201"/>
      <c r="XAH227" s="1201"/>
      <c r="XAI227" s="1201"/>
      <c r="XAJ227" s="1201"/>
      <c r="XAK227" s="1201"/>
      <c r="XAL227" s="1201"/>
      <c r="XAM227" s="1201"/>
      <c r="XAN227" s="1201"/>
      <c r="XAO227" s="1201"/>
      <c r="XAP227" s="1201"/>
      <c r="XAQ227" s="1201"/>
      <c r="XAR227" s="1201"/>
      <c r="XAS227" s="1201"/>
      <c r="XAT227" s="1201"/>
      <c r="XAU227" s="1201"/>
      <c r="XAV227" s="1201"/>
      <c r="XAW227" s="1201"/>
      <c r="XAX227" s="1201"/>
      <c r="XAY227" s="1201"/>
      <c r="XAZ227" s="1201"/>
      <c r="XBA227" s="1201"/>
      <c r="XBB227" s="1201"/>
      <c r="XBC227" s="1201"/>
      <c r="XBD227" s="1201"/>
      <c r="XBE227" s="1201"/>
      <c r="XBF227" s="1201"/>
      <c r="XBG227" s="1201"/>
      <c r="XBH227" s="1201"/>
      <c r="XBI227" s="1201"/>
      <c r="XBJ227" s="1201"/>
      <c r="XBK227" s="1201"/>
      <c r="XBL227" s="1201"/>
      <c r="XBM227" s="1201"/>
      <c r="XBN227" s="1201"/>
      <c r="XBO227" s="1201"/>
      <c r="XBP227" s="1201"/>
      <c r="XBQ227" s="1201"/>
      <c r="XBR227" s="1201"/>
      <c r="XBS227" s="1201"/>
      <c r="XBT227" s="1201"/>
      <c r="XBU227" s="1201"/>
      <c r="XBV227" s="1201"/>
      <c r="XBW227" s="1201"/>
      <c r="XBX227" s="1201"/>
      <c r="XBY227" s="1201"/>
      <c r="XBZ227" s="1201"/>
      <c r="XCA227" s="1201"/>
      <c r="XCB227" s="1201"/>
      <c r="XCC227" s="1201"/>
      <c r="XCD227" s="1201"/>
      <c r="XCE227" s="1201"/>
      <c r="XCF227" s="1201"/>
      <c r="XCG227" s="1201"/>
      <c r="XCH227" s="1201"/>
      <c r="XCI227" s="1201"/>
      <c r="XCJ227" s="1201"/>
      <c r="XCK227" s="1201"/>
      <c r="XCL227" s="1201"/>
      <c r="XCM227" s="1201"/>
      <c r="XCN227" s="1201"/>
      <c r="XCO227" s="1201"/>
      <c r="XCP227" s="1201"/>
      <c r="XCQ227" s="1201"/>
      <c r="XCR227" s="1201"/>
      <c r="XCS227" s="1201"/>
      <c r="XCT227" s="1201"/>
      <c r="XCU227" s="1201"/>
      <c r="XCV227" s="1201"/>
      <c r="XCW227" s="1201"/>
      <c r="XCX227" s="1201"/>
      <c r="XCY227" s="1201"/>
      <c r="XCZ227" s="1201"/>
      <c r="XDA227" s="1201"/>
      <c r="XDB227" s="1201"/>
      <c r="XDC227" s="1201"/>
      <c r="XDD227" s="1201"/>
      <c r="XDE227" s="1201"/>
      <c r="XDF227" s="1201"/>
      <c r="XDG227" s="1201"/>
      <c r="XDH227" s="1201"/>
      <c r="XDI227" s="1201"/>
      <c r="XDJ227" s="1201"/>
      <c r="XDK227" s="1201"/>
      <c r="XDL227" s="1201"/>
      <c r="XDM227" s="1201"/>
      <c r="XDN227" s="1201"/>
      <c r="XDO227" s="1201"/>
      <c r="XDP227" s="1201"/>
      <c r="XDQ227" s="1201"/>
      <c r="XDR227" s="1201"/>
      <c r="XDS227" s="1201"/>
      <c r="XDT227" s="1201"/>
      <c r="XDU227" s="1201"/>
      <c r="XDV227" s="1201"/>
      <c r="XDW227" s="1201"/>
      <c r="XDX227" s="1201"/>
      <c r="XDY227" s="1201"/>
      <c r="XDZ227" s="1201"/>
      <c r="XEA227" s="1201"/>
      <c r="XEB227" s="1201"/>
      <c r="XEC227" s="1201"/>
      <c r="XED227" s="1201"/>
      <c r="XEE227" s="1201"/>
      <c r="XEF227" s="1201"/>
      <c r="XEG227" s="1201"/>
      <c r="XEH227" s="1201"/>
      <c r="XEI227" s="1201"/>
      <c r="XEJ227" s="1201"/>
      <c r="XEK227" s="1201"/>
      <c r="XEL227" s="1201"/>
      <c r="XEM227" s="1201"/>
      <c r="XEN227" s="1201"/>
      <c r="XEO227" s="1201"/>
      <c r="XEP227" s="1201"/>
      <c r="XEQ227" s="1201"/>
      <c r="XER227" s="1201"/>
    </row>
    <row r="228" spans="1:16372" s="1201" customFormat="1" ht="14" x14ac:dyDescent="0.3">
      <c r="B228" s="2218"/>
      <c r="C228" s="2218"/>
      <c r="D228" s="1765"/>
      <c r="E228" s="1765"/>
      <c r="F228" s="1765"/>
      <c r="G228" s="1765"/>
      <c r="H228" s="1765"/>
      <c r="I228" s="2218"/>
      <c r="J228" s="2218"/>
      <c r="K228" s="2218"/>
      <c r="L228" s="2222"/>
      <c r="M228" s="2219"/>
      <c r="R228" s="1769"/>
      <c r="S228" s="1770"/>
      <c r="T228" s="1771"/>
      <c r="AG228" s="1201" t="s">
        <v>902</v>
      </c>
      <c r="AH228" s="1201" t="str">
        <f>K209</f>
        <v>Queensland</v>
      </c>
      <c r="AI228" s="1552" t="e">
        <f>VLOOKUP($D$15,$AH$220:$AP$226,2,FALSE)</f>
        <v>#N/A</v>
      </c>
      <c r="AJ228" s="1552" t="e">
        <f>VLOOKUP($D$15,$AH$220:$AP$226,3,FALSE)</f>
        <v>#N/A</v>
      </c>
      <c r="AK228" s="1552" t="e">
        <f>VLOOKUP($D$15,$AH$220:$AP$226,4,FALSE)</f>
        <v>#N/A</v>
      </c>
      <c r="AL228" s="1552" t="e">
        <f>VLOOKUP($D$15,$AH$220:$AP$226,5,FALSE)</f>
        <v>#N/A</v>
      </c>
      <c r="AM228" s="1552"/>
      <c r="AN228" s="1552" t="e">
        <f>VLOOKUP($D$15,$AH$220:$AP$226,7,FALSE)</f>
        <v>#N/A</v>
      </c>
      <c r="AO228" s="1552"/>
      <c r="AP228" s="1552" t="e">
        <f>VLOOKUP($D$15,$AH$220:$AP$226,9,FALSE)</f>
        <v>#N/A</v>
      </c>
      <c r="AQ228" s="1271"/>
    </row>
    <row r="229" spans="1:16372" s="1201" customFormat="1" ht="14" x14ac:dyDescent="0.3">
      <c r="B229" s="1763" t="s">
        <v>236</v>
      </c>
      <c r="C229" s="2218"/>
      <c r="D229" s="1763" t="s">
        <v>1456</v>
      </c>
      <c r="E229" s="1766"/>
      <c r="F229" s="2218"/>
      <c r="G229" s="2218"/>
      <c r="H229" s="2218"/>
      <c r="I229" s="2218"/>
      <c r="J229" s="2218"/>
      <c r="K229" s="2218"/>
      <c r="L229" s="2222"/>
      <c r="M229" s="2220" t="s">
        <v>1233</v>
      </c>
      <c r="P229" s="2225"/>
      <c r="AG229" s="1201" t="s">
        <v>904</v>
      </c>
      <c r="AI229" s="1770">
        <f>AT202*100</f>
        <v>100</v>
      </c>
      <c r="AJ229" s="1770">
        <f>AT216*100</f>
        <v>0</v>
      </c>
      <c r="AK229" s="1770">
        <f>AT217*100</f>
        <v>0</v>
      </c>
      <c r="AL229" s="1770">
        <f>AT215*100</f>
        <v>0</v>
      </c>
      <c r="AM229" s="1770"/>
      <c r="AN229" s="1770">
        <f>AT214*100</f>
        <v>0</v>
      </c>
      <c r="AO229" s="1552"/>
      <c r="AP229" s="1770" t="e">
        <f>BE214</f>
        <v>#N/A</v>
      </c>
    </row>
    <row r="230" spans="1:16372" s="1201" customFormat="1" ht="14" x14ac:dyDescent="0.3">
      <c r="B230" s="2218"/>
      <c r="C230" s="2218"/>
      <c r="D230" s="1763"/>
      <c r="E230" s="1766"/>
      <c r="F230" s="1766"/>
      <c r="G230" s="2218"/>
      <c r="H230" s="2218"/>
      <c r="I230" s="2218"/>
      <c r="J230" s="2218"/>
      <c r="K230" s="2218"/>
      <c r="L230" s="2222"/>
      <c r="M230" s="2219"/>
      <c r="AG230" s="1201" t="s">
        <v>903</v>
      </c>
      <c r="AI230" s="1770" t="e">
        <f>IF($AE$204=1,AI228,AI229)</f>
        <v>#N/A</v>
      </c>
      <c r="AJ230" s="1770" t="e">
        <f>IF($AE$204=1,AJ228,AJ229)</f>
        <v>#N/A</v>
      </c>
      <c r="AK230" s="1770" t="e">
        <f>IF($AE$204=1,AK228,AK229)</f>
        <v>#N/A</v>
      </c>
      <c r="AL230" s="1770" t="e">
        <f>IF($AE$204=1,AL228,AL229)</f>
        <v>#N/A</v>
      </c>
      <c r="AM230" s="1770"/>
      <c r="AN230" s="1770" t="e">
        <f>IF($AE$204=1,AN228,AN229)</f>
        <v>#N/A</v>
      </c>
      <c r="AO230" s="1770"/>
      <c r="AP230" s="1770" t="e">
        <f>IF($AE$204=1,AP228,AP229)</f>
        <v>#N/A</v>
      </c>
    </row>
    <row r="231" spans="1:16372" s="1201" customFormat="1" ht="14" x14ac:dyDescent="0.3">
      <c r="B231" s="2218"/>
      <c r="C231" s="2218" t="s">
        <v>434</v>
      </c>
      <c r="D231" s="1772" t="e">
        <f>20.7*D223/1000</f>
        <v>#DIV/0!</v>
      </c>
      <c r="E231" s="1772">
        <f>20.7*E223/1000</f>
        <v>2.9067457500000001E-2</v>
      </c>
      <c r="F231" s="1772">
        <f t="shared" ref="F231:H231" si="5">20.7*F223/1000</f>
        <v>2.9067457500000001E-2</v>
      </c>
      <c r="G231" s="1772">
        <f t="shared" si="5"/>
        <v>2.9067457500000001E-2</v>
      </c>
      <c r="H231" s="1772">
        <f t="shared" si="5"/>
        <v>2.9067457500000001E-2</v>
      </c>
      <c r="I231" s="2226">
        <v>1.7600000000000001E-2</v>
      </c>
      <c r="J231" s="2226">
        <v>2.0400000000000001E-2</v>
      </c>
      <c r="K231" s="1772">
        <f>20.7*K223/1000</f>
        <v>2.9067457500000001E-2</v>
      </c>
      <c r="L231" s="2221" t="s">
        <v>237</v>
      </c>
      <c r="M231" s="2219"/>
      <c r="R231" s="1774"/>
      <c r="AG231" s="1201" t="s">
        <v>1254</v>
      </c>
      <c r="AI231" s="1552">
        <v>100</v>
      </c>
      <c r="AJ231" s="1552">
        <v>0</v>
      </c>
      <c r="AK231" s="1552">
        <v>0</v>
      </c>
      <c r="AL231" s="1552">
        <v>0</v>
      </c>
      <c r="AM231" s="1552"/>
      <c r="AN231" s="1552">
        <v>0</v>
      </c>
      <c r="AO231" s="1552"/>
      <c r="AP231" s="1552">
        <v>1</v>
      </c>
    </row>
    <row r="232" spans="1:16372" s="1201" customFormat="1" ht="14" x14ac:dyDescent="0.3">
      <c r="B232" s="2218"/>
      <c r="C232" s="2218"/>
      <c r="D232" s="2218"/>
      <c r="E232" s="2218"/>
      <c r="F232" s="2218"/>
      <c r="G232" s="2218"/>
      <c r="H232" s="2218"/>
      <c r="I232" s="2227"/>
      <c r="J232" s="2227"/>
      <c r="K232" s="2227"/>
      <c r="L232" s="2222"/>
      <c r="M232" s="2219"/>
      <c r="R232" s="1769"/>
      <c r="AG232" s="1201" t="s">
        <v>907</v>
      </c>
      <c r="AI232" s="1770">
        <f>AW202*100</f>
        <v>100</v>
      </c>
      <c r="AJ232" s="1770">
        <f>AW211*100</f>
        <v>0</v>
      </c>
      <c r="AK232" s="1770">
        <f>AW212*100</f>
        <v>0</v>
      </c>
      <c r="AL232" s="1770">
        <f>AW210*100</f>
        <v>0</v>
      </c>
      <c r="AM232" s="1770"/>
      <c r="AN232" s="1770">
        <f>AW209*100</f>
        <v>0</v>
      </c>
      <c r="AO232" s="1552"/>
      <c r="AP232" s="2228" t="e">
        <f>BE217</f>
        <v>#N/A</v>
      </c>
    </row>
    <row r="233" spans="1:16372" s="1201" customFormat="1" ht="14" x14ac:dyDescent="0.3">
      <c r="B233" s="2229" t="s">
        <v>238</v>
      </c>
      <c r="C233" s="2218"/>
      <c r="D233" s="2218"/>
      <c r="E233" s="2218"/>
      <c r="F233" s="2218"/>
      <c r="G233" s="2218"/>
      <c r="H233" s="2218"/>
      <c r="I233" s="2218"/>
      <c r="J233" s="2218"/>
      <c r="K233" s="2218"/>
      <c r="L233" s="2222"/>
      <c r="M233" s="2219"/>
      <c r="R233" s="1769"/>
      <c r="AG233" s="1201" t="s">
        <v>908</v>
      </c>
      <c r="AI233" s="1770">
        <f>IF($AE$204=1,AI231,AI232)</f>
        <v>100</v>
      </c>
      <c r="AJ233" s="1770">
        <f>IF($AE$204=1,AJ231,AJ232)</f>
        <v>0</v>
      </c>
      <c r="AK233" s="1770">
        <f>IF($AE$204=1,AK231,AK232)</f>
        <v>0</v>
      </c>
      <c r="AL233" s="1770">
        <f>IF($AE$204=1,AL231,AL232)</f>
        <v>0</v>
      </c>
      <c r="AM233" s="1770"/>
      <c r="AN233" s="1770">
        <f>IF($AE$204=1,AN231,AN232)</f>
        <v>0</v>
      </c>
      <c r="AO233" s="1770"/>
      <c r="AP233" s="1770">
        <f>IF($AE$204=1,AP231,AP232)</f>
        <v>1</v>
      </c>
    </row>
    <row r="234" spans="1:16372" s="1201" customFormat="1" ht="14" x14ac:dyDescent="0.3">
      <c r="B234" s="2218"/>
      <c r="C234" s="2218"/>
      <c r="D234" s="2230" t="s">
        <v>1256</v>
      </c>
      <c r="E234" s="2218"/>
      <c r="F234" s="2218"/>
      <c r="G234" s="2218"/>
      <c r="H234" s="2218"/>
      <c r="I234" s="2218"/>
      <c r="J234" s="2218"/>
      <c r="K234" s="2218"/>
      <c r="L234" s="2222"/>
      <c r="M234" s="2220" t="s">
        <v>1234</v>
      </c>
      <c r="R234" s="1769"/>
    </row>
    <row r="235" spans="1:16372" s="1201" customFormat="1" ht="14" x14ac:dyDescent="0.3">
      <c r="B235" s="2218"/>
      <c r="C235" s="2218"/>
      <c r="D235" s="2218"/>
      <c r="E235" s="2218"/>
      <c r="F235" s="2218"/>
      <c r="G235" s="2218"/>
      <c r="H235" s="2218"/>
      <c r="I235" s="2218"/>
      <c r="J235" s="2218"/>
      <c r="K235" s="2218"/>
      <c r="L235" s="2222"/>
      <c r="M235" s="2219"/>
    </row>
    <row r="236" spans="1:16372" s="1201" customFormat="1" ht="14" x14ac:dyDescent="0.3">
      <c r="B236" s="2218"/>
      <c r="C236" s="2218" t="s">
        <v>434</v>
      </c>
      <c r="D236" s="2231" t="e">
        <f>(365*D19*D231)*10^-6</f>
        <v>#DIV/0!</v>
      </c>
      <c r="E236" s="2231">
        <f>(365*E19*E231)*10^-6</f>
        <v>0</v>
      </c>
      <c r="F236" s="2231">
        <f>(281*F19*F231)*10^-6</f>
        <v>0</v>
      </c>
      <c r="G236" s="2231">
        <f>(365*G19*G231)*10^-6</f>
        <v>0</v>
      </c>
      <c r="H236" s="2231">
        <f>(281*H19*H231)*10^-6</f>
        <v>0</v>
      </c>
      <c r="I236" s="2231">
        <f>(84*F19*I231)*10^-6</f>
        <v>0</v>
      </c>
      <c r="J236" s="2231">
        <f>(84*H19*J231)*10^-6</f>
        <v>0</v>
      </c>
      <c r="K236" s="2231">
        <f>(365*I19*K231)*10^-6</f>
        <v>0</v>
      </c>
      <c r="L236" s="2222" t="s">
        <v>435</v>
      </c>
      <c r="M236" s="2219"/>
      <c r="AI236" s="2232"/>
      <c r="AJ236" s="2232"/>
      <c r="AK236" s="2232"/>
      <c r="AL236" s="2232"/>
      <c r="AN236" s="2232"/>
      <c r="AP236" s="2233"/>
    </row>
    <row r="237" spans="1:16372" s="1201" customFormat="1" ht="14" x14ac:dyDescent="0.3">
      <c r="B237" s="2218"/>
      <c r="C237" s="2218"/>
      <c r="D237" s="2218"/>
      <c r="E237" s="2234"/>
      <c r="F237" s="2218"/>
      <c r="G237" s="2218"/>
      <c r="H237" s="2218"/>
      <c r="I237" s="2218"/>
      <c r="J237" s="2218"/>
      <c r="K237" s="2218"/>
      <c r="L237" s="2222"/>
      <c r="M237" s="2219"/>
      <c r="P237" s="1201" t="s">
        <v>2066</v>
      </c>
      <c r="AP237" s="2233"/>
    </row>
    <row r="238" spans="1:16372" s="1201" customFormat="1" ht="14" x14ac:dyDescent="0.3">
      <c r="B238" s="2229" t="s">
        <v>240</v>
      </c>
      <c r="C238" s="2234" t="e">
        <f>SUM(D236:K236)</f>
        <v>#DIV/0!</v>
      </c>
      <c r="D238" s="2235"/>
      <c r="E238" s="2235"/>
      <c r="F238" s="2235"/>
      <c r="G238" s="2235"/>
      <c r="H238" s="2235"/>
      <c r="I238" s="2235"/>
      <c r="J238" s="2235"/>
      <c r="K238" s="2235"/>
      <c r="L238" s="2236" t="s">
        <v>241</v>
      </c>
      <c r="M238" s="2219"/>
      <c r="S238" s="1554"/>
      <c r="AI238" s="2232"/>
    </row>
    <row r="239" spans="1:16372" s="1201" customFormat="1" ht="14" x14ac:dyDescent="0.3">
      <c r="B239" s="2229" t="s">
        <v>242</v>
      </c>
      <c r="C239" s="2234" t="e">
        <f>C238*'Emission factors'!$C$4</f>
        <v>#DIV/0!</v>
      </c>
      <c r="D239" s="2237"/>
      <c r="E239" s="2237"/>
      <c r="F239" s="2237"/>
      <c r="G239" s="2237"/>
      <c r="H239" s="2237"/>
      <c r="I239" s="2238"/>
      <c r="J239" s="2238"/>
      <c r="K239" s="2238"/>
      <c r="L239" s="2236" t="s">
        <v>243</v>
      </c>
      <c r="M239" s="2219"/>
      <c r="P239" s="894" t="s">
        <v>2050</v>
      </c>
      <c r="Q239" s="1782">
        <f>D25*D27</f>
        <v>0</v>
      </c>
      <c r="R239" s="894"/>
      <c r="S239" s="894"/>
      <c r="T239" s="894"/>
      <c r="U239" s="894"/>
      <c r="V239" s="894"/>
      <c r="W239" s="894"/>
    </row>
    <row r="240" spans="1:16372" s="1201" customFormat="1" ht="14" x14ac:dyDescent="0.3">
      <c r="B240" s="2239" t="s">
        <v>242</v>
      </c>
      <c r="C240" s="2240" t="e">
        <f>C239*10^3</f>
        <v>#DIV/0!</v>
      </c>
      <c r="D240" s="2241"/>
      <c r="E240" s="2241"/>
      <c r="F240" s="2241"/>
      <c r="G240" s="2241"/>
      <c r="H240" s="2241"/>
      <c r="I240" s="2242"/>
      <c r="J240" s="2242"/>
      <c r="K240" s="2243"/>
      <c r="L240" s="2244" t="s">
        <v>244</v>
      </c>
      <c r="M240" s="2245"/>
      <c r="P240" s="894" t="s">
        <v>2012</v>
      </c>
      <c r="Q240" s="1782">
        <f>IF(H204=1,J25*J27,0)</f>
        <v>0</v>
      </c>
      <c r="R240" s="894"/>
      <c r="S240" s="894"/>
      <c r="T240" s="894"/>
      <c r="U240" s="894"/>
      <c r="V240" s="894"/>
      <c r="W240" s="894"/>
      <c r="AI240" s="2232"/>
      <c r="AJ240" s="2232"/>
      <c r="AK240" s="2232"/>
      <c r="AL240" s="2232"/>
      <c r="AM240" s="2232"/>
      <c r="AN240" s="2232"/>
      <c r="AP240" s="2246"/>
    </row>
    <row r="241" spans="2:33" s="1201" customFormat="1" ht="14" x14ac:dyDescent="0.3">
      <c r="P241" s="894" t="s">
        <v>2013</v>
      </c>
      <c r="Q241" s="1782">
        <f>IF(H204=2,J25*J27,0)</f>
        <v>0</v>
      </c>
      <c r="R241" s="894"/>
      <c r="S241" s="894"/>
      <c r="T241" s="894"/>
      <c r="U241" s="894"/>
      <c r="V241" s="894"/>
      <c r="W241" s="894"/>
    </row>
    <row r="242" spans="2:33" s="1201" customFormat="1" ht="14" x14ac:dyDescent="0.3">
      <c r="B242" s="1788" t="s">
        <v>421</v>
      </c>
      <c r="C242" s="1788"/>
      <c r="D242" s="1789" t="str">
        <f t="shared" ref="D242:K242" si="6">D220</f>
        <v>Milking Cows</v>
      </c>
      <c r="E242" s="1789" t="str">
        <f t="shared" si="6"/>
        <v>Heifers &gt;1 yr age</v>
      </c>
      <c r="F242" s="1789" t="str">
        <f t="shared" si="6"/>
        <v>Heifers &lt;1 yr age</v>
      </c>
      <c r="G242" s="1789" t="str">
        <f t="shared" si="6"/>
        <v>Mature bulls</v>
      </c>
      <c r="H242" s="1789" t="str">
        <f t="shared" si="6"/>
        <v xml:space="preserve">Other stock &lt; 1 yr age </v>
      </c>
      <c r="I242" s="1789" t="str">
        <f t="shared" si="6"/>
        <v>Unweaned heifers</v>
      </c>
      <c r="J242" s="1789" t="str">
        <f t="shared" si="6"/>
        <v>Unweaned bulls</v>
      </c>
      <c r="K242" s="1789" t="str">
        <f t="shared" si="6"/>
        <v>Bulls/steers (1-2 yrs)</v>
      </c>
      <c r="L242" s="1789" t="s">
        <v>215</v>
      </c>
      <c r="M242" s="2247" t="s">
        <v>230</v>
      </c>
      <c r="P242" s="894" t="s">
        <v>2014</v>
      </c>
      <c r="Q242" s="1782">
        <f>SUMPRODUCT(E25:G25,E27:G27)</f>
        <v>0</v>
      </c>
      <c r="R242" s="894"/>
      <c r="S242" s="894"/>
      <c r="T242" s="894"/>
      <c r="U242" s="894"/>
      <c r="V242" s="894"/>
      <c r="W242" s="894"/>
    </row>
    <row r="243" spans="2:33" s="1201" customFormat="1" ht="14" x14ac:dyDescent="0.3">
      <c r="B243" s="1792" t="s">
        <v>246</v>
      </c>
      <c r="C243" s="1793">
        <v>0.08</v>
      </c>
      <c r="D243" s="2248"/>
      <c r="E243" s="1793"/>
      <c r="F243" s="1793"/>
      <c r="G243" s="1793"/>
      <c r="H243" s="1793"/>
      <c r="I243" s="1793"/>
      <c r="J243" s="1793"/>
      <c r="K243" s="1793"/>
      <c r="L243" s="2249" t="s">
        <v>247</v>
      </c>
      <c r="M243" s="2250"/>
      <c r="P243" s="894" t="s">
        <v>2015</v>
      </c>
      <c r="Q243" s="1782">
        <f>SUMPRODUCT(H25:I25,H27:I27)</f>
        <v>0</v>
      </c>
      <c r="R243" s="894"/>
      <c r="S243" s="894"/>
      <c r="T243" s="894"/>
      <c r="U243" s="894"/>
      <c r="V243" s="894"/>
      <c r="W243" s="894"/>
    </row>
    <row r="244" spans="2:33" s="1201" customFormat="1" ht="14" x14ac:dyDescent="0.3">
      <c r="B244" s="1792" t="s">
        <v>248</v>
      </c>
      <c r="C244" s="1793">
        <v>0.24</v>
      </c>
      <c r="D244" s="2248"/>
      <c r="E244" s="1793"/>
      <c r="F244" s="1793"/>
      <c r="G244" s="1793"/>
      <c r="H244" s="1793"/>
      <c r="I244" s="1793"/>
      <c r="J244" s="1793"/>
      <c r="K244" s="1793"/>
      <c r="L244" s="2249" t="s">
        <v>249</v>
      </c>
      <c r="M244" s="2250"/>
      <c r="P244" s="894" t="s">
        <v>2016</v>
      </c>
      <c r="Q244" s="1782">
        <f>SUM(Q239:Q243)</f>
        <v>0</v>
      </c>
      <c r="R244" s="894"/>
      <c r="S244" s="894"/>
      <c r="T244" s="894"/>
      <c r="U244" s="894"/>
      <c r="V244" s="894"/>
      <c r="W244" s="894"/>
      <c r="AG244" s="2251"/>
    </row>
    <row r="245" spans="2:33" s="1201" customFormat="1" ht="14" x14ac:dyDescent="0.3">
      <c r="B245" s="1796" t="s">
        <v>250</v>
      </c>
      <c r="C245" s="1797">
        <v>0.6784</v>
      </c>
      <c r="D245" s="2252"/>
      <c r="E245" s="1797"/>
      <c r="F245" s="1797"/>
      <c r="G245" s="1797"/>
      <c r="H245" s="1797"/>
      <c r="I245" s="1797"/>
      <c r="J245" s="1797"/>
      <c r="K245" s="1797"/>
      <c r="L245" s="2253" t="s">
        <v>251</v>
      </c>
      <c r="M245" s="2254"/>
      <c r="P245" s="894"/>
      <c r="Q245" s="1782"/>
      <c r="R245" s="894"/>
      <c r="S245" s="894"/>
      <c r="T245" s="894"/>
      <c r="U245" s="894"/>
      <c r="V245" s="894"/>
      <c r="W245" s="894"/>
    </row>
    <row r="246" spans="2:33" s="1201" customFormat="1" ht="14" x14ac:dyDescent="0.3">
      <c r="B246" s="2248"/>
      <c r="C246" s="2255"/>
      <c r="D246" s="2248"/>
      <c r="E246" s="2248"/>
      <c r="F246" s="2248"/>
      <c r="G246" s="2248"/>
      <c r="H246" s="2248"/>
      <c r="I246" s="2248"/>
      <c r="J246" s="2248"/>
      <c r="K246" s="2248"/>
      <c r="L246" s="2256"/>
      <c r="M246" s="2250"/>
      <c r="P246" s="894"/>
      <c r="Q246" s="1801" t="s">
        <v>2017</v>
      </c>
      <c r="R246" s="1802" t="s">
        <v>2018</v>
      </c>
      <c r="S246" s="773" t="s">
        <v>2019</v>
      </c>
      <c r="T246" s="1801" t="s">
        <v>2020</v>
      </c>
      <c r="U246" s="773" t="s">
        <v>2021</v>
      </c>
      <c r="V246" s="894"/>
      <c r="W246" s="894"/>
    </row>
    <row r="247" spans="2:33" s="1201" customFormat="1" ht="14" x14ac:dyDescent="0.3">
      <c r="B247" s="1792" t="s">
        <v>252</v>
      </c>
      <c r="C247" s="1792" t="s">
        <v>1340</v>
      </c>
      <c r="D247" s="1793"/>
      <c r="E247" s="2248"/>
      <c r="F247" s="2248"/>
      <c r="G247" s="2248"/>
      <c r="H247" s="2248"/>
      <c r="I247" s="2248"/>
      <c r="J247" s="2248"/>
      <c r="K247" s="2248"/>
      <c r="L247" s="2256"/>
      <c r="M247" s="2257" t="s">
        <v>1258</v>
      </c>
      <c r="P247" s="894" t="s">
        <v>2022</v>
      </c>
      <c r="Q247" s="1804">
        <v>15</v>
      </c>
      <c r="R247" s="1782">
        <f>Q239*Q247</f>
        <v>0</v>
      </c>
      <c r="S247" s="1805" t="e">
        <f>R247/$R$252</f>
        <v>#DIV/0!</v>
      </c>
      <c r="T247" s="1782">
        <f>Q239*Q247</f>
        <v>0</v>
      </c>
      <c r="U247" s="1805" t="e">
        <f>T247/$T$252</f>
        <v>#DIV/0!</v>
      </c>
      <c r="V247" s="894"/>
      <c r="W247" s="894"/>
    </row>
    <row r="248" spans="2:33" s="1201" customFormat="1" ht="14" x14ac:dyDescent="0.3">
      <c r="B248" s="2248"/>
      <c r="C248" s="2248" t="s">
        <v>434</v>
      </c>
      <c r="D248" s="1807" t="e">
        <f>(D223*(1-(F44/100))+(0.04*D223))*(1-$C$243)</f>
        <v>#DIV/0!</v>
      </c>
      <c r="E248" s="1823">
        <f>(E223*(1-($D$46/100))+(0.04*E223))*(1-$C$243)</f>
        <v>1.3435624800000001</v>
      </c>
      <c r="F248" s="1807">
        <f>(F223*(1-($D$46/100))+(0.04*F223))*(1-$C$243)</f>
        <v>1.3435624800000001</v>
      </c>
      <c r="G248" s="1807">
        <f>(G223*(1-($D$46/100))+(0.04*G223))*(1-$C$243)</f>
        <v>1.3435624800000001</v>
      </c>
      <c r="H248" s="1807">
        <f>(H223*(1-($D$46/100))+(0.04*H223))*(1-$C$243)</f>
        <v>1.3435624800000001</v>
      </c>
      <c r="I248" s="1807">
        <v>0.26850000000000002</v>
      </c>
      <c r="J248" s="1807">
        <v>0.30030000000000001</v>
      </c>
      <c r="K248" s="1807">
        <f>(K223*(1-($D$46/100))+(0.04*K223))*(1-$C$243)</f>
        <v>1.3435624800000001</v>
      </c>
      <c r="L248" s="2249" t="s">
        <v>255</v>
      </c>
      <c r="M248" s="2250"/>
      <c r="P248" s="894" t="s">
        <v>2023</v>
      </c>
      <c r="Q248" s="1804">
        <v>27.5</v>
      </c>
      <c r="R248" s="1782">
        <f>Q240*Q248</f>
        <v>0</v>
      </c>
      <c r="S248" s="1805" t="e">
        <f>R248/$R$252</f>
        <v>#DIV/0!</v>
      </c>
      <c r="T248" s="1782">
        <f>Q240*Q248</f>
        <v>0</v>
      </c>
      <c r="U248" s="1805" t="e">
        <f>T248/$T$252</f>
        <v>#DIV/0!</v>
      </c>
      <c r="V248" s="894"/>
      <c r="W248" s="894"/>
    </row>
    <row r="249" spans="2:33" s="1201" customFormat="1" ht="14" x14ac:dyDescent="0.3">
      <c r="B249" s="2248"/>
      <c r="C249" s="2248"/>
      <c r="D249" s="2258"/>
      <c r="E249" s="2258"/>
      <c r="F249" s="2258"/>
      <c r="G249" s="2258"/>
      <c r="H249" s="2258"/>
      <c r="I249" s="2258"/>
      <c r="J249" s="2258"/>
      <c r="K249" s="2258"/>
      <c r="L249" s="2256"/>
      <c r="M249" s="2250"/>
      <c r="P249" s="894" t="s">
        <v>2024</v>
      </c>
      <c r="Q249" s="1804">
        <v>15</v>
      </c>
      <c r="R249" s="1782">
        <f>Q241*Q249</f>
        <v>0</v>
      </c>
      <c r="S249" s="1805" t="e">
        <f>R249/$R$252</f>
        <v>#DIV/0!</v>
      </c>
      <c r="T249" s="1782">
        <f>Q241*Q249</f>
        <v>0</v>
      </c>
      <c r="U249" s="1805" t="e">
        <f>T249/$T$252</f>
        <v>#DIV/0!</v>
      </c>
      <c r="V249" s="894"/>
      <c r="W249" s="894"/>
    </row>
    <row r="250" spans="2:33" s="1201" customFormat="1" ht="14" x14ac:dyDescent="0.3">
      <c r="B250" s="1792" t="s">
        <v>256</v>
      </c>
      <c r="C250" s="1792" t="s">
        <v>257</v>
      </c>
      <c r="D250" s="1793"/>
      <c r="E250" s="1793"/>
      <c r="F250" s="1809"/>
      <c r="G250" s="1809"/>
      <c r="H250" s="2248"/>
      <c r="I250" s="2248"/>
      <c r="J250" s="2248"/>
      <c r="K250" s="2248"/>
      <c r="L250" s="2259"/>
      <c r="M250" s="2257" t="s">
        <v>1259</v>
      </c>
      <c r="P250" s="894" t="s">
        <v>2025</v>
      </c>
      <c r="Q250" s="1804">
        <v>11</v>
      </c>
      <c r="R250" s="1782">
        <f>Q242*Q250</f>
        <v>0</v>
      </c>
      <c r="S250" s="1805" t="e">
        <f>R250/$R$252</f>
        <v>#DIV/0!</v>
      </c>
      <c r="T250" s="1782">
        <f>Q242*Q250</f>
        <v>0</v>
      </c>
      <c r="U250" s="1805" t="e">
        <f>T250/$T$252</f>
        <v>#DIV/0!</v>
      </c>
      <c r="V250" s="894"/>
      <c r="W250" s="894"/>
    </row>
    <row r="251" spans="2:33" s="1201" customFormat="1" ht="14" x14ac:dyDescent="0.3">
      <c r="B251" s="2248"/>
      <c r="C251" s="1793" t="s">
        <v>1902</v>
      </c>
      <c r="D251" s="2248"/>
      <c r="E251" s="2248"/>
      <c r="F251" s="2248"/>
      <c r="G251" s="2248"/>
      <c r="H251" s="2248"/>
      <c r="I251" s="2248"/>
      <c r="J251" s="2248"/>
      <c r="K251" s="2248"/>
      <c r="L251" s="2256"/>
      <c r="M251" s="2250"/>
      <c r="P251" s="1810" t="s">
        <v>2026</v>
      </c>
      <c r="Q251" s="1811">
        <v>11</v>
      </c>
      <c r="R251" s="1812"/>
      <c r="S251" s="1854" t="e">
        <f>R251/$R$252</f>
        <v>#DIV/0!</v>
      </c>
      <c r="T251" s="1812">
        <f>Q243*Q251</f>
        <v>0</v>
      </c>
      <c r="U251" s="1854" t="e">
        <f>T251/$T$252</f>
        <v>#DIV/0!</v>
      </c>
      <c r="V251" s="894"/>
      <c r="W251" s="894"/>
    </row>
    <row r="252" spans="2:33" s="1201" customFormat="1" ht="14" x14ac:dyDescent="0.3">
      <c r="B252" s="2248"/>
      <c r="C252" s="1793"/>
      <c r="D252" s="1793"/>
      <c r="E252" s="1809"/>
      <c r="F252" s="1809"/>
      <c r="G252" s="1809"/>
      <c r="H252" s="1809"/>
      <c r="I252" s="2248"/>
      <c r="J252" s="2248"/>
      <c r="K252" s="2248"/>
      <c r="L252" s="2256"/>
      <c r="M252" s="2250"/>
      <c r="P252" s="894" t="s">
        <v>2027</v>
      </c>
      <c r="Q252" s="2260"/>
      <c r="R252" s="1782">
        <f>SUM(R247:R251)</f>
        <v>0</v>
      </c>
      <c r="S252" s="1805" t="e">
        <f>SUM(S247:S251)</f>
        <v>#DIV/0!</v>
      </c>
      <c r="T252" s="1782">
        <f>SUM(T247:T251)</f>
        <v>0</v>
      </c>
      <c r="U252" s="1805" t="e">
        <f>SUM(U247:U251)</f>
        <v>#DIV/0!</v>
      </c>
      <c r="V252" s="894"/>
      <c r="W252" s="894"/>
    </row>
    <row r="253" spans="2:33" s="1201" customFormat="1" ht="14" x14ac:dyDescent="0.3">
      <c r="B253" s="2248"/>
      <c r="C253" s="2248"/>
      <c r="D253" s="2248"/>
      <c r="E253" s="2248"/>
      <c r="F253" s="2248"/>
      <c r="G253" s="2248"/>
      <c r="H253" s="2248"/>
      <c r="I253" s="2248"/>
      <c r="J253" s="2248"/>
      <c r="K253" s="2248"/>
      <c r="L253" s="2256"/>
      <c r="M253" s="1817"/>
      <c r="P253" s="894"/>
      <c r="Q253" s="894"/>
      <c r="R253" s="1782"/>
      <c r="S253" s="894"/>
      <c r="T253" s="894"/>
      <c r="U253" s="894"/>
      <c r="V253" s="894"/>
      <c r="W253" s="894"/>
    </row>
    <row r="254" spans="2:33" s="1201" customFormat="1" ht="14" x14ac:dyDescent="0.3">
      <c r="B254" s="2248"/>
      <c r="C254" s="1792" t="s">
        <v>803</v>
      </c>
      <c r="D254" s="2248"/>
      <c r="E254" s="2248"/>
      <c r="F254" s="2248"/>
      <c r="G254" s="2248"/>
      <c r="H254" s="2248"/>
      <c r="I254" s="2248"/>
      <c r="J254" s="2248"/>
      <c r="K254" s="2248"/>
      <c r="L254" s="2256"/>
      <c r="M254" s="2261"/>
      <c r="P254" s="894" t="s">
        <v>2028</v>
      </c>
      <c r="Q254" s="1804">
        <v>3.1</v>
      </c>
      <c r="R254" s="1782">
        <f>R222*Q254</f>
        <v>0</v>
      </c>
      <c r="S254" s="894"/>
      <c r="T254" s="1782">
        <f>R254</f>
        <v>0</v>
      </c>
      <c r="U254" s="894"/>
      <c r="V254" s="894"/>
      <c r="W254" s="782"/>
    </row>
    <row r="255" spans="2:33" s="1201" customFormat="1" ht="14" x14ac:dyDescent="0.3">
      <c r="B255" s="2248"/>
      <c r="C255" s="2248"/>
      <c r="D255" s="2248"/>
      <c r="E255" s="2248"/>
      <c r="F255" s="2248"/>
      <c r="G255" s="2248"/>
      <c r="H255" s="2248"/>
      <c r="I255" s="2248"/>
      <c r="J255" s="2248"/>
      <c r="K255" s="2248"/>
      <c r="L255" s="2256"/>
      <c r="M255" s="2262"/>
      <c r="P255" s="894"/>
      <c r="Q255" s="894"/>
      <c r="R255" s="1782"/>
      <c r="S255" s="894"/>
      <c r="T255" s="894"/>
      <c r="U255" s="894"/>
      <c r="V255" s="894"/>
      <c r="W255" s="894"/>
    </row>
    <row r="256" spans="2:33" s="1201" customFormat="1" ht="14" x14ac:dyDescent="0.3">
      <c r="B256" s="2248"/>
      <c r="C256" s="2248" t="s">
        <v>434</v>
      </c>
      <c r="D256" s="1807" t="e">
        <f>D248*$C$244*I102%*$C$245</f>
        <v>#DIV/0!</v>
      </c>
      <c r="E256" s="1823">
        <f>E248*$C$244*I107%*$C$245</f>
        <v>2.1875346874368003E-3</v>
      </c>
      <c r="F256" s="1823">
        <f>F248*$C$244*I107%*$C$245</f>
        <v>2.1875346874368003E-3</v>
      </c>
      <c r="G256" s="1807">
        <f>G248*$C$244*I107%*$C$245</f>
        <v>2.1875346874368003E-3</v>
      </c>
      <c r="H256" s="1807">
        <f>H248*$C$244*I107%*$C$245</f>
        <v>2.1875346874368003E-3</v>
      </c>
      <c r="I256" s="1807">
        <f>I248*$C$244*$I$107%*$C$245</f>
        <v>4.3716095999999998E-4</v>
      </c>
      <c r="J256" s="1807">
        <f>J248*$C$244*$I$107%*$C$245</f>
        <v>4.8893644799999998E-4</v>
      </c>
      <c r="K256" s="1807">
        <f>K248*$C$244*$I$107%*$C$245</f>
        <v>2.1875346874368003E-3</v>
      </c>
      <c r="L256" s="2249" t="s">
        <v>237</v>
      </c>
      <c r="M256" s="2250"/>
      <c r="P256" s="894" t="s">
        <v>2029</v>
      </c>
      <c r="Q256" s="894"/>
      <c r="R256" s="1782">
        <f>R254+R252</f>
        <v>0</v>
      </c>
      <c r="S256" s="894"/>
      <c r="T256" s="1782">
        <f>T254+T252</f>
        <v>0</v>
      </c>
      <c r="U256" s="894"/>
      <c r="V256" s="894"/>
      <c r="W256" s="894"/>
    </row>
    <row r="257" spans="2:23" s="1201" customFormat="1" ht="14" x14ac:dyDescent="0.3">
      <c r="B257" s="2263"/>
      <c r="C257" s="2263"/>
      <c r="D257" s="2263"/>
      <c r="E257" s="2263"/>
      <c r="F257" s="2263"/>
      <c r="G257" s="2263"/>
      <c r="H257" s="2263"/>
      <c r="I257" s="2248"/>
      <c r="J257" s="2248"/>
      <c r="K257" s="2248"/>
      <c r="L257" s="2264"/>
      <c r="M257" s="2262"/>
      <c r="P257" s="894"/>
      <c r="Q257" s="894"/>
      <c r="R257" s="894"/>
      <c r="S257" s="894"/>
      <c r="T257" s="894"/>
      <c r="U257" s="894"/>
      <c r="V257" s="894"/>
      <c r="W257" s="894"/>
    </row>
    <row r="258" spans="2:23" s="1201" customFormat="1" ht="14" x14ac:dyDescent="0.3">
      <c r="B258" s="1792" t="s">
        <v>261</v>
      </c>
      <c r="C258" s="1792"/>
      <c r="D258" s="1792"/>
      <c r="E258" s="1793"/>
      <c r="F258" s="1793"/>
      <c r="G258" s="1793"/>
      <c r="H258" s="1793"/>
      <c r="I258" s="2248"/>
      <c r="J258" s="2248"/>
      <c r="K258" s="2248"/>
      <c r="L258" s="2249"/>
      <c r="M258" s="2250"/>
      <c r="P258" s="894" t="s">
        <v>2030</v>
      </c>
      <c r="Q258" s="894"/>
      <c r="R258" s="1821" t="e">
        <f>R254/R256</f>
        <v>#DIV/0!</v>
      </c>
      <c r="S258" s="894"/>
      <c r="T258" s="1821" t="e">
        <f>T254/T256</f>
        <v>#DIV/0!</v>
      </c>
      <c r="U258" s="894"/>
      <c r="V258" s="894"/>
      <c r="W258" s="894"/>
    </row>
    <row r="259" spans="2:23" s="1201" customFormat="1" ht="14" x14ac:dyDescent="0.3">
      <c r="B259" s="1793"/>
      <c r="C259" s="1792" t="s">
        <v>1257</v>
      </c>
      <c r="D259" s="1793"/>
      <c r="E259" s="1793"/>
      <c r="F259" s="1793"/>
      <c r="G259" s="1793"/>
      <c r="H259" s="1793"/>
      <c r="I259" s="2248"/>
      <c r="J259" s="2248"/>
      <c r="K259" s="2248"/>
      <c r="L259" s="2249"/>
      <c r="M259" s="2257" t="s">
        <v>1260</v>
      </c>
      <c r="P259" s="894"/>
      <c r="Q259" s="1821"/>
      <c r="R259" s="894"/>
      <c r="S259" s="1801"/>
      <c r="T259" s="894"/>
      <c r="U259" s="894"/>
      <c r="V259" s="894"/>
      <c r="W259" s="894"/>
    </row>
    <row r="260" spans="2:23" s="1201" customFormat="1" ht="14" x14ac:dyDescent="0.3">
      <c r="B260" s="1793"/>
      <c r="C260" s="1792"/>
      <c r="D260" s="1793"/>
      <c r="E260" s="1793"/>
      <c r="F260" s="1793"/>
      <c r="G260" s="1793"/>
      <c r="H260" s="1793"/>
      <c r="I260" s="2248"/>
      <c r="J260" s="2248"/>
      <c r="K260" s="2248"/>
      <c r="L260" s="2249"/>
      <c r="M260" s="2250"/>
      <c r="P260" s="894" t="s">
        <v>2031</v>
      </c>
      <c r="Q260" s="1822">
        <f>K120+K121+K125+K126</f>
        <v>0</v>
      </c>
      <c r="R260" s="894"/>
      <c r="S260" s="1822"/>
      <c r="T260" s="894"/>
      <c r="U260" s="894"/>
      <c r="V260" s="894"/>
      <c r="W260" s="894"/>
    </row>
    <row r="261" spans="2:23" s="1201" customFormat="1" ht="14" x14ac:dyDescent="0.3">
      <c r="B261" s="1793"/>
      <c r="C261" s="2248" t="s">
        <v>434</v>
      </c>
      <c r="D261" s="1807" t="e">
        <f>(365*D19*D256)*10^-6</f>
        <v>#DIV/0!</v>
      </c>
      <c r="E261" s="2265">
        <f>(365*E19*E256)*10^-6</f>
        <v>0</v>
      </c>
      <c r="F261" s="1807">
        <f>(281*F19*F256)*10^-6</f>
        <v>0</v>
      </c>
      <c r="G261" s="2266">
        <f>(365*G19*G256)*10^-6</f>
        <v>0</v>
      </c>
      <c r="H261" s="2266">
        <f>(281*H19*H256)*10^-6</f>
        <v>0</v>
      </c>
      <c r="I261" s="2266">
        <f>(84*F19*I256)*10^-6</f>
        <v>0</v>
      </c>
      <c r="J261" s="2266">
        <f>(84*H19*J256)*10^-6</f>
        <v>0</v>
      </c>
      <c r="K261" s="2266">
        <f>(365*I19*K256)*10^-6</f>
        <v>0</v>
      </c>
      <c r="L261" s="2249" t="s">
        <v>435</v>
      </c>
      <c r="M261" s="2250"/>
      <c r="P261" s="894" t="s">
        <v>2032</v>
      </c>
      <c r="Q261" s="1822" t="e">
        <f>H129+I129</f>
        <v>#N/A</v>
      </c>
      <c r="R261" s="894"/>
      <c r="S261" s="1822"/>
      <c r="T261" s="894"/>
      <c r="U261" s="894"/>
      <c r="V261" s="894"/>
      <c r="W261" s="894"/>
    </row>
    <row r="262" spans="2:23" s="1201" customFormat="1" ht="14" x14ac:dyDescent="0.3">
      <c r="B262" s="1793"/>
      <c r="C262" s="1793"/>
      <c r="D262" s="1793"/>
      <c r="E262" s="2265"/>
      <c r="F262" s="1793"/>
      <c r="G262" s="2267"/>
      <c r="H262" s="1793"/>
      <c r="I262" s="1793"/>
      <c r="J262" s="1793"/>
      <c r="K262" s="1793"/>
      <c r="L262" s="2256"/>
      <c r="M262" s="2250"/>
      <c r="P262" s="894" t="s">
        <v>2033</v>
      </c>
      <c r="Q262" s="1822" t="e">
        <f>D129+E129+F129+G129</f>
        <v>#DIV/0!</v>
      </c>
      <c r="R262" s="894"/>
      <c r="S262" s="1822"/>
      <c r="T262" s="894"/>
      <c r="U262" s="894"/>
      <c r="V262" s="894"/>
      <c r="W262" s="894"/>
    </row>
    <row r="263" spans="2:23" s="1201" customFormat="1" ht="14" x14ac:dyDescent="0.3">
      <c r="B263" s="1792" t="s">
        <v>263</v>
      </c>
      <c r="C263" s="2268" t="e">
        <f>SUM(D261:K261)</f>
        <v>#DIV/0!</v>
      </c>
      <c r="D263" s="1808"/>
      <c r="E263" s="1808"/>
      <c r="F263" s="1808"/>
      <c r="G263" s="1808"/>
      <c r="H263" s="1808"/>
      <c r="I263" s="2248"/>
      <c r="J263" s="2248"/>
      <c r="K263" s="2248"/>
      <c r="L263" s="2249" t="s">
        <v>264</v>
      </c>
      <c r="M263" s="2262"/>
      <c r="P263" s="894" t="s">
        <v>2034</v>
      </c>
      <c r="Q263" s="1822">
        <f>SUM(K118:K119)+SUM(K122:K124)+K127+K132</f>
        <v>0</v>
      </c>
      <c r="R263" s="894"/>
      <c r="S263" s="1822"/>
      <c r="T263" s="894"/>
      <c r="U263" s="894"/>
      <c r="V263" s="894"/>
      <c r="W263" s="894"/>
    </row>
    <row r="264" spans="2:23" s="1201" customFormat="1" ht="14" x14ac:dyDescent="0.3">
      <c r="B264" s="1792" t="s">
        <v>263</v>
      </c>
      <c r="C264" s="1807" t="e">
        <f>C263*'Emission factors'!$C$4</f>
        <v>#DIV/0!</v>
      </c>
      <c r="D264" s="1808"/>
      <c r="E264" s="1808"/>
      <c r="F264" s="1808"/>
      <c r="G264" s="1808"/>
      <c r="H264" s="1808"/>
      <c r="I264" s="2248"/>
      <c r="J264" s="2248"/>
      <c r="K264" s="2248"/>
      <c r="L264" s="2249" t="s">
        <v>265</v>
      </c>
      <c r="M264" s="2262"/>
      <c r="P264" s="894" t="s">
        <v>2035</v>
      </c>
      <c r="Q264" s="1822" t="e">
        <f>SUM(Q260:Q263)</f>
        <v>#N/A</v>
      </c>
      <c r="R264" s="894"/>
      <c r="S264" s="1822"/>
      <c r="T264" s="894"/>
      <c r="U264" s="894"/>
      <c r="V264" s="894"/>
      <c r="W264" s="894"/>
    </row>
    <row r="265" spans="2:23" s="1201" customFormat="1" ht="14" x14ac:dyDescent="0.3">
      <c r="B265" s="1796" t="s">
        <v>263</v>
      </c>
      <c r="C265" s="2269" t="e">
        <f>C264*10^3</f>
        <v>#DIV/0!</v>
      </c>
      <c r="D265" s="2269"/>
      <c r="E265" s="2269"/>
      <c r="F265" s="2269"/>
      <c r="G265" s="2269"/>
      <c r="H265" s="2269"/>
      <c r="I265" s="2269"/>
      <c r="J265" s="2269"/>
      <c r="K265" s="2269"/>
      <c r="L265" s="2270" t="s">
        <v>266</v>
      </c>
      <c r="M265" s="2254"/>
      <c r="P265" s="894"/>
      <c r="Q265" s="1782"/>
      <c r="R265" s="894"/>
      <c r="S265" s="894" t="s">
        <v>2036</v>
      </c>
      <c r="T265" s="894"/>
      <c r="U265" s="894"/>
      <c r="V265" s="894"/>
      <c r="W265" s="1827"/>
    </row>
    <row r="266" spans="2:23" s="1201" customFormat="1" ht="14" x14ac:dyDescent="0.3">
      <c r="P266" s="894" t="s">
        <v>2053</v>
      </c>
      <c r="Q266" s="1802" t="e">
        <f>Q260+Q262*R258+Q263*T258</f>
        <v>#DIV/0!</v>
      </c>
      <c r="R266" s="894"/>
      <c r="S266" s="1831" t="e">
        <f>Q266*1000/R222</f>
        <v>#DIV/0!</v>
      </c>
      <c r="T266" s="1827" t="s">
        <v>2037</v>
      </c>
      <c r="U266" s="894"/>
      <c r="V266" s="1831"/>
      <c r="W266" s="1827"/>
    </row>
    <row r="267" spans="2:23" s="1201" customFormat="1" ht="14" x14ac:dyDescent="0.3">
      <c r="B267" s="2271" t="s">
        <v>267</v>
      </c>
      <c r="C267" s="2271" t="s">
        <v>216</v>
      </c>
      <c r="D267" s="1834" t="str">
        <f>D242</f>
        <v>Milking Cows</v>
      </c>
      <c r="E267" s="1834" t="str">
        <f t="shared" ref="E267:K267" si="7">E242</f>
        <v>Heifers &gt;1 yr age</v>
      </c>
      <c r="F267" s="1834" t="str">
        <f t="shared" si="7"/>
        <v>Heifers &lt;1 yr age</v>
      </c>
      <c r="G267" s="1834" t="str">
        <f t="shared" si="7"/>
        <v>Mature bulls</v>
      </c>
      <c r="H267" s="1834" t="str">
        <f t="shared" si="7"/>
        <v xml:space="preserve">Other stock &lt; 1 yr age </v>
      </c>
      <c r="I267" s="1834" t="str">
        <f t="shared" si="7"/>
        <v>Unweaned heifers</v>
      </c>
      <c r="J267" s="1834" t="str">
        <f t="shared" si="7"/>
        <v>Unweaned bulls</v>
      </c>
      <c r="K267" s="1834" t="str">
        <f t="shared" si="7"/>
        <v>Bulls/steers (1-2 yrs)</v>
      </c>
      <c r="L267" s="1834" t="s">
        <v>215</v>
      </c>
      <c r="M267" s="2272" t="s">
        <v>230</v>
      </c>
      <c r="P267" s="894" t="s">
        <v>2054</v>
      </c>
      <c r="Q267" s="1802" t="e">
        <f>Q261+Q262*(1-R258)+Q263*(1-T258)</f>
        <v>#N/A</v>
      </c>
      <c r="R267" s="894"/>
      <c r="S267" s="2273" t="e">
        <f>Q266*1000/R208</f>
        <v>#DIV/0!</v>
      </c>
      <c r="T267" s="1827" t="s">
        <v>2067</v>
      </c>
      <c r="U267" s="894"/>
      <c r="V267" s="1832"/>
      <c r="W267" s="894"/>
    </row>
    <row r="268" spans="2:23" s="1201" customFormat="1" ht="14" x14ac:dyDescent="0.3">
      <c r="B268" s="2274"/>
      <c r="C268" s="2274"/>
      <c r="D268" s="2274"/>
      <c r="E268" s="2274"/>
      <c r="F268" s="2274"/>
      <c r="G268" s="2274"/>
      <c r="H268" s="2274"/>
      <c r="I268" s="2274"/>
      <c r="J268" s="2274"/>
      <c r="K268" s="2274"/>
      <c r="L268" s="2275"/>
      <c r="M268" s="2276"/>
      <c r="P268" s="894"/>
      <c r="Q268" s="894"/>
      <c r="R268" s="894"/>
      <c r="S268" s="1831" t="e">
        <f>Q267*1000/Q244</f>
        <v>#N/A</v>
      </c>
      <c r="T268" s="1827" t="s">
        <v>2038</v>
      </c>
      <c r="U268" s="894"/>
      <c r="V268" s="894"/>
      <c r="W268" s="894"/>
    </row>
    <row r="269" spans="2:23" s="1201" customFormat="1" ht="14" x14ac:dyDescent="0.3">
      <c r="B269" s="2277" t="s">
        <v>268</v>
      </c>
      <c r="C269" s="2274"/>
      <c r="D269" s="2277" t="s">
        <v>269</v>
      </c>
      <c r="E269" s="1841"/>
      <c r="F269" s="1841"/>
      <c r="G269" s="1842"/>
      <c r="H269" s="2274"/>
      <c r="I269" s="2274"/>
      <c r="J269" s="2274"/>
      <c r="K269" s="2274"/>
      <c r="L269" s="2275"/>
      <c r="M269" s="2276" t="s">
        <v>1267</v>
      </c>
      <c r="P269" s="894" t="s">
        <v>2055</v>
      </c>
      <c r="Q269" s="1821" t="e">
        <f>Q266/Q264</f>
        <v>#DIV/0!</v>
      </c>
      <c r="R269" s="894"/>
      <c r="S269" s="894"/>
      <c r="T269" s="894"/>
      <c r="U269" s="894"/>
      <c r="V269" s="894"/>
      <c r="W269" s="894"/>
    </row>
    <row r="270" spans="2:23" s="1201" customFormat="1" ht="14" x14ac:dyDescent="0.3">
      <c r="B270" s="2274"/>
      <c r="C270" s="2278" t="s">
        <v>434</v>
      </c>
      <c r="D270" s="2279" t="e">
        <f>D223*H44%</f>
        <v>#DIV/0!</v>
      </c>
      <c r="E270" s="2279">
        <f>E223*D47%</f>
        <v>0</v>
      </c>
      <c r="F270" s="2279">
        <f>F223*D47%</f>
        <v>0</v>
      </c>
      <c r="G270" s="2279">
        <f>G223*D47%</f>
        <v>0</v>
      </c>
      <c r="H270" s="2279">
        <f>H223*D47%</f>
        <v>0</v>
      </c>
      <c r="I270" s="2280"/>
      <c r="J270" s="2280"/>
      <c r="K270" s="2279">
        <f>K223*D47%</f>
        <v>0</v>
      </c>
      <c r="L270" s="2275" t="s">
        <v>255</v>
      </c>
      <c r="M270" s="2276"/>
      <c r="P270" s="894" t="s">
        <v>2056</v>
      </c>
      <c r="Q270" s="1821" t="e">
        <f>Q267/Q264</f>
        <v>#N/A</v>
      </c>
      <c r="R270" s="894"/>
      <c r="S270" s="894"/>
      <c r="T270" s="894"/>
      <c r="U270" s="894"/>
      <c r="V270" s="894"/>
      <c r="W270" s="894"/>
    </row>
    <row r="271" spans="2:23" s="1201" customFormat="1" ht="14" x14ac:dyDescent="0.3">
      <c r="B271" s="1845"/>
      <c r="C271" s="1845"/>
      <c r="D271" s="1845"/>
      <c r="E271" s="2281"/>
      <c r="F271" s="1845"/>
      <c r="G271" s="1846"/>
      <c r="H271" s="2274"/>
      <c r="I271" s="2274"/>
      <c r="J271" s="2274"/>
      <c r="K271" s="2282"/>
      <c r="L271" s="2275"/>
      <c r="M271" s="2276"/>
      <c r="P271" s="894"/>
      <c r="Q271" s="894"/>
      <c r="R271" s="894"/>
      <c r="S271" s="894"/>
      <c r="T271" s="894"/>
      <c r="U271" s="894"/>
      <c r="V271" s="894"/>
      <c r="W271" s="894"/>
    </row>
    <row r="272" spans="2:23" s="1201" customFormat="1" ht="14" x14ac:dyDescent="0.3">
      <c r="B272" s="2277" t="s">
        <v>271</v>
      </c>
      <c r="C272" s="1841"/>
      <c r="D272" s="2277" t="s">
        <v>272</v>
      </c>
      <c r="E272" s="1841"/>
      <c r="F272" s="1841"/>
      <c r="G272" s="1842"/>
      <c r="H272" s="2274"/>
      <c r="I272" s="2274"/>
      <c r="J272" s="2274"/>
      <c r="K272" s="2274"/>
      <c r="L272" s="2275"/>
      <c r="M272" s="2276" t="s">
        <v>1269</v>
      </c>
      <c r="P272" s="782" t="s">
        <v>2160</v>
      </c>
      <c r="Q272" s="1801" t="s">
        <v>2040</v>
      </c>
      <c r="R272" s="894"/>
      <c r="S272" s="773" t="s">
        <v>2041</v>
      </c>
      <c r="T272" s="773" t="s">
        <v>2042</v>
      </c>
      <c r="U272" s="773" t="s">
        <v>2043</v>
      </c>
      <c r="V272" s="773" t="s">
        <v>2038</v>
      </c>
      <c r="W272" s="894"/>
    </row>
    <row r="273" spans="2:23" s="1201" customFormat="1" ht="14" x14ac:dyDescent="0.3">
      <c r="B273" s="1841"/>
      <c r="C273" s="2274"/>
      <c r="D273" s="2274" t="s">
        <v>274</v>
      </c>
      <c r="E273" s="1841"/>
      <c r="F273" s="1841"/>
      <c r="G273" s="1842"/>
      <c r="H273" s="2274"/>
      <c r="I273" s="2274"/>
      <c r="J273" s="2274"/>
      <c r="K273" s="2274"/>
      <c r="L273" s="2275"/>
      <c r="M273" s="2276"/>
      <c r="P273" s="894" t="s">
        <v>2051</v>
      </c>
      <c r="Q273" s="1782">
        <f t="shared" ref="Q273:Q278" si="8">Q239</f>
        <v>0</v>
      </c>
      <c r="R273" s="894"/>
      <c r="S273" s="1847" t="e">
        <f>$Q$262*(1-$R$258)*S247+Q$263*(1-$T$258)*U247</f>
        <v>#DIV/0!</v>
      </c>
      <c r="T273" s="1805" t="e">
        <f>S273/$S$278</f>
        <v>#DIV/0!</v>
      </c>
      <c r="U273" s="1848" t="e">
        <f>T273*$Q$270</f>
        <v>#DIV/0!</v>
      </c>
      <c r="V273" s="1849" t="e">
        <f>S273*1000/Q273</f>
        <v>#DIV/0!</v>
      </c>
      <c r="W273" s="894"/>
    </row>
    <row r="274" spans="2:23" s="1201" customFormat="1" ht="14" x14ac:dyDescent="0.3">
      <c r="B274" s="2274"/>
      <c r="C274" s="2274"/>
      <c r="D274" s="2274" t="s">
        <v>275</v>
      </c>
      <c r="E274" s="1850"/>
      <c r="F274" s="1850"/>
      <c r="G274" s="1842"/>
      <c r="H274" s="2274"/>
      <c r="I274" s="2274"/>
      <c r="J274" s="2274"/>
      <c r="K274" s="2274"/>
      <c r="L274" s="2275"/>
      <c r="M274" s="2276"/>
      <c r="P274" s="894" t="s">
        <v>2044</v>
      </c>
      <c r="Q274" s="1782">
        <f t="shared" si="8"/>
        <v>0</v>
      </c>
      <c r="R274" s="894"/>
      <c r="S274" s="1847" t="e">
        <f>$Q$262*(1-$R$258)*S248+Q$263*(1-$T$258)*U248</f>
        <v>#DIV/0!</v>
      </c>
      <c r="T274" s="1805" t="e">
        <f>S274/$S$278</f>
        <v>#DIV/0!</v>
      </c>
      <c r="U274" s="1848" t="e">
        <f>T274*$Q$270</f>
        <v>#DIV/0!</v>
      </c>
      <c r="V274" s="1849" t="e">
        <f>S274*1000/Q274</f>
        <v>#DIV/0!</v>
      </c>
      <c r="W274" s="894"/>
    </row>
    <row r="275" spans="2:23" s="1201" customFormat="1" ht="14" x14ac:dyDescent="0.3">
      <c r="B275" s="2274"/>
      <c r="C275" s="2278" t="s">
        <v>434</v>
      </c>
      <c r="D275" s="2279" t="e">
        <f>(0.3*((D270*(1-((F44+10)/100))))+(0.105*((0.1604*F44-1.037)*D223*0.008))+(0.0152*D223))/6.25</f>
        <v>#DIV/0!</v>
      </c>
      <c r="E275" s="2279">
        <f>(0.3*((E270*(1-((D46+10)/100))))+(0.105*((0.1604*D46-1.037)*E223*0.008))+(0.0152*E223))/6.25</f>
        <v>3.2193644299200004E-3</v>
      </c>
      <c r="F275" s="2279">
        <f>(0.3*((F270*(1-((D46+10)/100))))+(0.105*((0.1604*D46-1.037)*F223*0.008))+(0.0152*F223))/6.25</f>
        <v>3.2193644299200004E-3</v>
      </c>
      <c r="G275" s="2279">
        <f>(0.3*((G270*(1-((D46+10)/100))))+(0.105*((0.1604*D46-1.037)*G223*0.008))+(0.0152*G223))/6.25</f>
        <v>3.2193644299200004E-3</v>
      </c>
      <c r="H275" s="2279">
        <f>(0.3*((H270*(1-((D46+10)/100))))+(0.105*((0.1604*D46-1.037)*H223*0.008))+(0.0152*H223))/6.25</f>
        <v>3.2193644299200004E-3</v>
      </c>
      <c r="I275" s="2283">
        <v>5.4999999999999997E-3</v>
      </c>
      <c r="J275" s="2283">
        <v>5.0000000000000001E-3</v>
      </c>
      <c r="K275" s="2279">
        <f>(0.3*((K270*(1-((D46+10)/100))))+(0.105*((0.1604*D46-1.037)*K223*0.008))+(0.0152*K223))/6.25</f>
        <v>3.2193644299200004E-3</v>
      </c>
      <c r="L275" s="2275" t="s">
        <v>255</v>
      </c>
      <c r="M275" s="2276"/>
      <c r="P275" s="894" t="s">
        <v>2045</v>
      </c>
      <c r="Q275" s="1782">
        <f t="shared" si="8"/>
        <v>0</v>
      </c>
      <c r="R275" s="894"/>
      <c r="S275" s="1847" t="e">
        <f>$Q$262*(1-$R$258)*S249+Q$263*(1-$T$258)*U249</f>
        <v>#DIV/0!</v>
      </c>
      <c r="T275" s="1805" t="e">
        <f>S275/$S$278</f>
        <v>#DIV/0!</v>
      </c>
      <c r="U275" s="1848" t="e">
        <f>T275*$Q$270</f>
        <v>#DIV/0!</v>
      </c>
      <c r="V275" s="1849" t="e">
        <f>S275*1000/Q275</f>
        <v>#DIV/0!</v>
      </c>
      <c r="W275" s="894"/>
    </row>
    <row r="276" spans="2:23" s="1201" customFormat="1" ht="14" x14ac:dyDescent="0.3">
      <c r="B276" s="2274"/>
      <c r="C276" s="2274"/>
      <c r="D276" s="2279"/>
      <c r="E276" s="2284"/>
      <c r="F276" s="2274"/>
      <c r="G276" s="2274"/>
      <c r="H276" s="2274"/>
      <c r="I276" s="2274"/>
      <c r="J276" s="2274"/>
      <c r="K276" s="2282"/>
      <c r="L276" s="2275"/>
      <c r="M276" s="2276"/>
      <c r="P276" s="894" t="s">
        <v>2046</v>
      </c>
      <c r="Q276" s="1782">
        <f t="shared" si="8"/>
        <v>0</v>
      </c>
      <c r="R276" s="894"/>
      <c r="S276" s="1847" t="e">
        <f>$Q$262*(1-$R$258)*S250+Q$263*(1-$T$258)*U250</f>
        <v>#DIV/0!</v>
      </c>
      <c r="T276" s="1805" t="e">
        <f>S276/$S$278</f>
        <v>#DIV/0!</v>
      </c>
      <c r="U276" s="1848" t="e">
        <f>T276*$Q$270</f>
        <v>#DIV/0!</v>
      </c>
      <c r="V276" s="1849" t="e">
        <f>S276*1000/Q276</f>
        <v>#DIV/0!</v>
      </c>
      <c r="W276" s="894"/>
    </row>
    <row r="277" spans="2:23" s="1201" customFormat="1" ht="14" x14ac:dyDescent="0.3">
      <c r="B277" s="2277" t="s">
        <v>276</v>
      </c>
      <c r="C277" s="2274"/>
      <c r="D277" s="2285" t="s">
        <v>2150</v>
      </c>
      <c r="E277" s="2286"/>
      <c r="F277" s="2286"/>
      <c r="G277" s="2286"/>
      <c r="H277" s="2286"/>
      <c r="I277" s="2286"/>
      <c r="J277" s="2286"/>
      <c r="K277" s="2286"/>
      <c r="L277" s="2275"/>
      <c r="M277" s="2276" t="s">
        <v>1268</v>
      </c>
      <c r="P277" s="1810" t="s">
        <v>2047</v>
      </c>
      <c r="Q277" s="1812">
        <f t="shared" si="8"/>
        <v>0</v>
      </c>
      <c r="R277" s="1810"/>
      <c r="S277" s="1853" t="e">
        <f>Q261+Q263*(1-T258)*U251</f>
        <v>#N/A</v>
      </c>
      <c r="T277" s="1854" t="e">
        <f>S277/$S$278</f>
        <v>#N/A</v>
      </c>
      <c r="U277" s="1855" t="e">
        <f>T277*$Q$270</f>
        <v>#N/A</v>
      </c>
      <c r="V277" s="1856" t="e">
        <f>S277*1000/Q277</f>
        <v>#N/A</v>
      </c>
      <c r="W277" s="894"/>
    </row>
    <row r="278" spans="2:23" s="1201" customFormat="1" thickBot="1" x14ac:dyDescent="0.35">
      <c r="B278" s="2274"/>
      <c r="C278" s="2274"/>
      <c r="D278" s="2274"/>
      <c r="E278" s="2274"/>
      <c r="F278" s="2274"/>
      <c r="G278" s="2274"/>
      <c r="H278" s="2287"/>
      <c r="I278" s="2274"/>
      <c r="J278" s="2274"/>
      <c r="K278" s="2274"/>
      <c r="L278" s="2275"/>
      <c r="M278" s="2276"/>
      <c r="P278" s="894" t="s">
        <v>2048</v>
      </c>
      <c r="Q278" s="1782">
        <f t="shared" si="8"/>
        <v>0</v>
      </c>
      <c r="R278" s="894"/>
      <c r="S278" s="1847" t="e">
        <f>SUM(S273:S277)</f>
        <v>#DIV/0!</v>
      </c>
      <c r="T278" s="1805" t="e">
        <f>SUM(T273:T277)</f>
        <v>#DIV/0!</v>
      </c>
      <c r="U278" s="1805" t="e">
        <f>SUM(U273:U277)</f>
        <v>#DIV/0!</v>
      </c>
      <c r="V278" s="1849" t="e">
        <f t="shared" ref="V278" si="9">S278*1000/Q278</f>
        <v>#DIV/0!</v>
      </c>
      <c r="W278" s="894"/>
    </row>
    <row r="279" spans="2:23" s="1201" customFormat="1" thickBot="1" x14ac:dyDescent="0.35">
      <c r="B279" s="2288"/>
      <c r="C279" s="2289" t="s">
        <v>804</v>
      </c>
      <c r="D279" s="2290"/>
      <c r="E279" s="2290"/>
      <c r="F279" s="2290"/>
      <c r="G279" s="2290"/>
      <c r="H279" s="2290"/>
      <c r="I279" s="2291"/>
      <c r="J279" s="2292"/>
      <c r="K279" s="2292"/>
      <c r="L279" s="2275"/>
      <c r="M279" s="2276" t="s">
        <v>1270</v>
      </c>
      <c r="P279" s="894"/>
      <c r="Q279" s="894"/>
      <c r="R279" s="894"/>
      <c r="S279" s="894"/>
      <c r="T279" s="894"/>
      <c r="U279" s="894"/>
      <c r="V279" s="894"/>
    </row>
    <row r="280" spans="2:23" s="1201" customFormat="1" ht="14" x14ac:dyDescent="0.3">
      <c r="B280" s="2274"/>
      <c r="C280" s="2289"/>
      <c r="D280" s="2290" t="s">
        <v>212</v>
      </c>
      <c r="E280" s="2290" t="s">
        <v>279</v>
      </c>
      <c r="F280" s="2290" t="s">
        <v>280</v>
      </c>
      <c r="G280" s="2290" t="s">
        <v>1007</v>
      </c>
      <c r="H280" s="2290" t="s">
        <v>282</v>
      </c>
      <c r="I280" s="2291" t="s">
        <v>281</v>
      </c>
      <c r="J280" s="2292"/>
      <c r="K280" s="2292"/>
      <c r="L280" s="2275"/>
      <c r="M280" s="2276"/>
    </row>
    <row r="281" spans="2:23" s="1201" customFormat="1" ht="14" x14ac:dyDescent="0.3">
      <c r="B281" s="2288">
        <v>1</v>
      </c>
      <c r="C281" s="2293" t="s">
        <v>912</v>
      </c>
      <c r="D281" s="2292">
        <v>590</v>
      </c>
      <c r="E281" s="2292">
        <v>590</v>
      </c>
      <c r="F281" s="2292">
        <v>590</v>
      </c>
      <c r="G281" s="2292">
        <v>770</v>
      </c>
      <c r="H281" s="2292">
        <v>770</v>
      </c>
      <c r="I281" s="2294">
        <v>770</v>
      </c>
      <c r="J281" s="2292"/>
      <c r="K281" s="2292"/>
      <c r="L281" s="2275"/>
      <c r="M281" s="2276"/>
    </row>
    <row r="282" spans="2:23" s="1201" customFormat="1" ht="14" x14ac:dyDescent="0.3">
      <c r="B282" s="2288">
        <v>2</v>
      </c>
      <c r="C282" s="2293" t="s">
        <v>917</v>
      </c>
      <c r="D282" s="2292">
        <v>590</v>
      </c>
      <c r="E282" s="2292">
        <v>590</v>
      </c>
      <c r="F282" s="2292">
        <v>590</v>
      </c>
      <c r="G282" s="2292">
        <v>770</v>
      </c>
      <c r="H282" s="2292">
        <v>770</v>
      </c>
      <c r="I282" s="2294">
        <v>770</v>
      </c>
      <c r="J282" s="2292"/>
      <c r="K282" s="2295"/>
      <c r="L282" s="2275"/>
      <c r="M282" s="2276"/>
    </row>
    <row r="283" spans="2:23" s="1201" customFormat="1" ht="14" x14ac:dyDescent="0.3">
      <c r="B283" s="2288">
        <v>3</v>
      </c>
      <c r="C283" s="2293" t="s">
        <v>866</v>
      </c>
      <c r="D283" s="2292">
        <v>590</v>
      </c>
      <c r="E283" s="2292">
        <v>590</v>
      </c>
      <c r="F283" s="2292">
        <v>590</v>
      </c>
      <c r="G283" s="2292">
        <v>770</v>
      </c>
      <c r="H283" s="2292">
        <v>770</v>
      </c>
      <c r="I283" s="2294">
        <v>770</v>
      </c>
      <c r="J283" s="2292"/>
      <c r="K283" s="2295"/>
      <c r="L283" s="2275"/>
      <c r="M283" s="2276"/>
    </row>
    <row r="284" spans="2:23" s="1201" customFormat="1" ht="14" x14ac:dyDescent="0.3">
      <c r="B284" s="2288">
        <v>4</v>
      </c>
      <c r="C284" s="2293" t="s">
        <v>914</v>
      </c>
      <c r="D284" s="2292">
        <v>590</v>
      </c>
      <c r="E284" s="2292">
        <v>590</v>
      </c>
      <c r="F284" s="2292">
        <v>590</v>
      </c>
      <c r="G284" s="2292">
        <v>770</v>
      </c>
      <c r="H284" s="2292">
        <v>770</v>
      </c>
      <c r="I284" s="2294">
        <v>770</v>
      </c>
      <c r="J284" s="2292"/>
      <c r="K284" s="2295"/>
      <c r="L284" s="2275"/>
      <c r="M284" s="2276"/>
    </row>
    <row r="285" spans="2:23" s="1201" customFormat="1" ht="14" x14ac:dyDescent="0.3">
      <c r="B285" s="2288">
        <v>5</v>
      </c>
      <c r="C285" s="2293" t="s">
        <v>918</v>
      </c>
      <c r="D285" s="2292">
        <v>590</v>
      </c>
      <c r="E285" s="2292">
        <v>590</v>
      </c>
      <c r="F285" s="2292">
        <v>590</v>
      </c>
      <c r="G285" s="2292">
        <v>770</v>
      </c>
      <c r="H285" s="2292">
        <v>770</v>
      </c>
      <c r="I285" s="2294">
        <v>770</v>
      </c>
      <c r="J285" s="2292"/>
      <c r="K285" s="2295"/>
      <c r="L285" s="2275"/>
      <c r="M285" s="2276"/>
    </row>
    <row r="286" spans="2:23" s="1201" customFormat="1" ht="14" x14ac:dyDescent="0.3">
      <c r="B286" s="2288">
        <v>6</v>
      </c>
      <c r="C286" s="2296" t="s">
        <v>919</v>
      </c>
      <c r="D286" s="2292">
        <v>590</v>
      </c>
      <c r="E286" s="2292">
        <v>590</v>
      </c>
      <c r="F286" s="2292">
        <v>590</v>
      </c>
      <c r="G286" s="2292">
        <v>770</v>
      </c>
      <c r="H286" s="2292">
        <v>770</v>
      </c>
      <c r="I286" s="2294">
        <v>770</v>
      </c>
      <c r="J286" s="2292"/>
      <c r="K286" s="2292"/>
      <c r="L286" s="2275"/>
      <c r="M286" s="2276"/>
    </row>
    <row r="287" spans="2:23" s="1201" customFormat="1" thickBot="1" x14ac:dyDescent="0.35">
      <c r="B287" s="2288">
        <v>7</v>
      </c>
      <c r="C287" s="2293" t="s">
        <v>920</v>
      </c>
      <c r="D287" s="2297">
        <v>590</v>
      </c>
      <c r="E287" s="2292">
        <v>590</v>
      </c>
      <c r="F287" s="2292">
        <v>590</v>
      </c>
      <c r="G287" s="2292">
        <v>770</v>
      </c>
      <c r="H287" s="2292">
        <v>770</v>
      </c>
      <c r="I287" s="2294">
        <v>770</v>
      </c>
      <c r="J287" s="2292"/>
      <c r="K287" s="2292"/>
      <c r="L287" s="2275"/>
      <c r="M287" s="2276"/>
    </row>
    <row r="288" spans="2:23" s="1201" customFormat="1" thickBot="1" x14ac:dyDescent="0.35">
      <c r="B288" s="2278" t="s">
        <v>228</v>
      </c>
      <c r="C288" s="2298" t="e">
        <f>VLOOKUP($D$15,$C$281:$I$287,1,FALSE)</f>
        <v>#N/A</v>
      </c>
      <c r="D288" s="2287" t="e">
        <f>VLOOKUP($D$15,$C$281:$I$287,2,FALSE)</f>
        <v>#N/A</v>
      </c>
      <c r="E288" s="2299" t="e">
        <f>VLOOKUP($D$15,$C$281:$I$287,3,FALSE)</f>
        <v>#N/A</v>
      </c>
      <c r="F288" s="2299" t="e">
        <f>VLOOKUP($D$15,$C$281:$I$287,4,FALSE)</f>
        <v>#N/A</v>
      </c>
      <c r="G288" s="2299" t="e">
        <f>VLOOKUP($D$15,$C$281:$I$287,5,FALSE)</f>
        <v>#N/A</v>
      </c>
      <c r="H288" s="2299" t="e">
        <f>VLOOKUP($D$15,$C$281:$I$287,6,FALSE)</f>
        <v>#N/A</v>
      </c>
      <c r="I288" s="2300" t="e">
        <f>VLOOKUP($D$15,$C$281:$I$287,7,FALSE)</f>
        <v>#N/A</v>
      </c>
      <c r="J288" s="2301"/>
      <c r="K288" s="2301"/>
      <c r="L288" s="2275"/>
      <c r="M288" s="2276"/>
    </row>
    <row r="289" spans="2:14" s="1201" customFormat="1" thickBot="1" x14ac:dyDescent="0.35">
      <c r="B289" s="2274"/>
      <c r="C289" s="2302" t="s">
        <v>300</v>
      </c>
      <c r="D289" s="2303" t="e">
        <f t="shared" ref="D289:I289" si="10">IF(D288&gt;0,D21/D288,0)</f>
        <v>#N/A</v>
      </c>
      <c r="E289" s="2303" t="e">
        <f t="shared" si="10"/>
        <v>#N/A</v>
      </c>
      <c r="F289" s="2303" t="e">
        <f t="shared" si="10"/>
        <v>#N/A</v>
      </c>
      <c r="G289" s="2303" t="e">
        <f t="shared" si="10"/>
        <v>#N/A</v>
      </c>
      <c r="H289" s="2303" t="e">
        <f t="shared" si="10"/>
        <v>#N/A</v>
      </c>
      <c r="I289" s="2304" t="e">
        <f t="shared" si="10"/>
        <v>#N/A</v>
      </c>
      <c r="J289" s="2305"/>
      <c r="K289" s="2306"/>
      <c r="L289" s="2275"/>
      <c r="M289" s="2276"/>
    </row>
    <row r="290" spans="2:14" s="1201" customFormat="1" ht="14" x14ac:dyDescent="0.3">
      <c r="B290" s="2274"/>
      <c r="C290" s="2301"/>
      <c r="D290" s="2305"/>
      <c r="E290" s="2305"/>
      <c r="F290" s="2305"/>
      <c r="G290" s="2305"/>
      <c r="H290" s="2305"/>
      <c r="I290" s="2305"/>
      <c r="J290" s="2305"/>
      <c r="K290" s="2306"/>
      <c r="L290" s="2275"/>
      <c r="M290" s="2276"/>
    </row>
    <row r="291" spans="2:14" s="1201" customFormat="1" ht="14" x14ac:dyDescent="0.3">
      <c r="B291" s="2277" t="s">
        <v>1255</v>
      </c>
      <c r="C291" s="2274"/>
      <c r="D291" s="2279" t="e">
        <f>D223/(1.185+(0.00454*D21)-(0.0000026*(D21)^2)+((0.315*0)))^2</f>
        <v>#DIV/0!</v>
      </c>
      <c r="E291" s="2279">
        <f>E223/(1.185+(0.00454*E21)-(0.0000026*(E21)^2)+((0.315*0)))^2</f>
        <v>1</v>
      </c>
      <c r="F291" s="2279">
        <f>F223/(1.185+(0.00454*F21)-(0.0000026*(F21)^2)+((0.315*0)))^2</f>
        <v>1</v>
      </c>
      <c r="G291" s="2279">
        <f>G223/(1.185+(0.00454*G21)-(0.0000026*(G21)^2)+((0.315*0)))^2</f>
        <v>1</v>
      </c>
      <c r="H291" s="2279">
        <f>H223/(1.185+(0.00454*H21)-(0.0000026*(H21)^2)+((0.315*0)))^2</f>
        <v>1</v>
      </c>
      <c r="I291" s="2279">
        <f>K223/(1.185+(0.00454*I21)-(0.0000026*(I21)^2)+((0.315*0)))^2</f>
        <v>1</v>
      </c>
      <c r="J291" s="2279"/>
      <c r="K291" s="2274"/>
      <c r="L291" s="2275"/>
      <c r="M291" s="2276"/>
    </row>
    <row r="292" spans="2:14" s="1201" customFormat="1" ht="14" x14ac:dyDescent="0.3">
      <c r="B292" s="2277"/>
      <c r="C292" s="2274"/>
      <c r="D292" s="2279"/>
      <c r="E292" s="2279"/>
      <c r="F292" s="2279"/>
      <c r="G292" s="2279"/>
      <c r="H292" s="2279"/>
      <c r="I292" s="2279"/>
      <c r="J292" s="2279"/>
      <c r="K292" s="2274"/>
      <c r="L292" s="2275"/>
      <c r="M292" s="2276"/>
    </row>
    <row r="293" spans="2:14" s="1201" customFormat="1" ht="14" x14ac:dyDescent="0.3">
      <c r="B293" s="2277" t="s">
        <v>276</v>
      </c>
      <c r="C293" s="2278" t="s">
        <v>434</v>
      </c>
      <c r="D293" s="2307" t="e">
        <f>((0.032*(H35*1.03*D35/365)/6.38)+((0.212-0.008*(D291-2)-((0.14-0.008*(D291-2))/(1+EXP(-6*(D$289-0.4)))))*(D23*0.92))/6.25)</f>
        <v>#DIV/0!</v>
      </c>
      <c r="E293" s="2307" t="e">
        <f>((0.032*0)+((0.212-0.008*(E291-2)-((0.14-0.008*(E291-2))/(1+EXP(-6*(E$289-0.4)))))*(E23*0.92))/6.25)</f>
        <v>#N/A</v>
      </c>
      <c r="F293" s="2307" t="e">
        <f>((0.032*0)+((0.212-0.008*(F291-2)-((0.14-0.008*(F291-2))/(1+EXP(-6*(F$289-0.4)))))*(F23*0.92))/6.25)</f>
        <v>#N/A</v>
      </c>
      <c r="G293" s="2307" t="e">
        <f>((0.032*0)+((0.212-0.008*(G291-2)-((0.14-0.008*(G291-2))/(1+EXP(-6*(G$289-0.4)))))*(G23*0.92))/6.25)</f>
        <v>#N/A</v>
      </c>
      <c r="H293" s="2307" t="e">
        <f>((0.032*0)+((0.212-0.008*(H291-2)-((0.14-0.008*(H291-2))/(1+EXP(-6*(H$289-0.4)))))*(H23*0.92))/6.25)</f>
        <v>#N/A</v>
      </c>
      <c r="I293" s="2307" t="e">
        <f>((0.032*0)+((0.212-0.008*(I291-2)-((0.14-0.008*(I291-2))/(1+EXP(-6*(I$289-0.4)))))*(I23*0.92))/6.25)</f>
        <v>#N/A</v>
      </c>
      <c r="J293" s="2279"/>
      <c r="K293" s="2305"/>
      <c r="L293" s="2275" t="s">
        <v>283</v>
      </c>
      <c r="M293" s="2276"/>
      <c r="N293" s="2308"/>
    </row>
    <row r="294" spans="2:14" s="1201" customFormat="1" ht="14" x14ac:dyDescent="0.3">
      <c r="B294" s="2274"/>
      <c r="C294" s="2301"/>
      <c r="D294" s="2305"/>
      <c r="E294" s="2305"/>
      <c r="F294" s="2305"/>
      <c r="G294" s="2305"/>
      <c r="H294" s="2305"/>
      <c r="I294" s="2305"/>
      <c r="J294" s="2305"/>
      <c r="K294" s="2305"/>
      <c r="L294" s="2275"/>
      <c r="M294" s="2276"/>
    </row>
    <row r="295" spans="2:14" s="1201" customFormat="1" ht="14" x14ac:dyDescent="0.3">
      <c r="B295" s="2277" t="s">
        <v>284</v>
      </c>
      <c r="C295" s="2274"/>
      <c r="D295" s="2309" t="s">
        <v>2057</v>
      </c>
      <c r="E295" s="2305"/>
      <c r="F295" s="2305"/>
      <c r="G295" s="2305"/>
      <c r="H295" s="2274"/>
      <c r="I295" s="2274"/>
      <c r="J295" s="2274"/>
      <c r="K295" s="2274"/>
      <c r="L295" s="2275"/>
      <c r="M295" s="2276" t="s">
        <v>1271</v>
      </c>
    </row>
    <row r="296" spans="2:14" s="1201" customFormat="1" ht="14" x14ac:dyDescent="0.3">
      <c r="B296" s="2274"/>
      <c r="C296" s="2278" t="s">
        <v>434</v>
      </c>
      <c r="D296" s="2307" t="e">
        <f>(D270/6.25)-D293-D275-((1.1*10^-4*D21^0.75)/6.25)</f>
        <v>#DIV/0!</v>
      </c>
      <c r="E296" s="2306" t="e">
        <f>(E270/6.25)-E293-E275-((1.1*10^-4*E21^0.75)/6.25)</f>
        <v>#N/A</v>
      </c>
      <c r="F296" s="2307" t="e">
        <f>(F270/6.25)-F293-F275-((1.1*10^-4*F21^0.75)/6.25)</f>
        <v>#N/A</v>
      </c>
      <c r="G296" s="2307" t="e">
        <f>(G270/6.25)-G293-G275-((1.1*10^-4*G21^0.75)/6.25)</f>
        <v>#N/A</v>
      </c>
      <c r="H296" s="2307" t="e">
        <f>(H270/6.25)-H293-H275-((1.1*10^-4*H21^0.75)/6.25)</f>
        <v>#N/A</v>
      </c>
      <c r="I296" s="2310">
        <v>8.2000000000000007E-3</v>
      </c>
      <c r="J296" s="2307">
        <v>4.1999999999999997E-3</v>
      </c>
      <c r="K296" s="2307" t="e">
        <f>(K270/6.25)-I293-K275-((1.1*10^-4*I21^0.75)/6.25)</f>
        <v>#N/A</v>
      </c>
      <c r="L296" s="2275" t="s">
        <v>283</v>
      </c>
      <c r="M296" s="2276"/>
    </row>
    <row r="297" spans="2:14" s="1201" customFormat="1" ht="14" x14ac:dyDescent="0.3">
      <c r="B297" s="2274"/>
      <c r="C297" s="2274"/>
      <c r="D297" s="2279"/>
      <c r="E297" s="2311"/>
      <c r="F297" s="2274"/>
      <c r="G297" s="2274"/>
      <c r="H297" s="2274"/>
      <c r="I297" s="2274"/>
      <c r="J297" s="2274"/>
      <c r="K297" s="2279"/>
      <c r="L297" s="2275"/>
      <c r="M297" s="2276"/>
    </row>
    <row r="298" spans="2:14" s="1201" customFormat="1" ht="14" x14ac:dyDescent="0.3">
      <c r="B298" s="2277" t="s">
        <v>444</v>
      </c>
      <c r="C298" s="2274"/>
      <c r="D298" s="2277" t="s">
        <v>1261</v>
      </c>
      <c r="E298" s="2274"/>
      <c r="F298" s="2274"/>
      <c r="G298" s="2274"/>
      <c r="H298" s="2274"/>
      <c r="I298" s="2274"/>
      <c r="J298" s="2274"/>
      <c r="K298" s="2274"/>
      <c r="L298" s="2275"/>
      <c r="M298" s="2276" t="s">
        <v>1272</v>
      </c>
    </row>
    <row r="299" spans="2:14" s="1201" customFormat="1" ht="14" x14ac:dyDescent="0.3">
      <c r="B299" s="2274"/>
      <c r="C299" s="2274"/>
      <c r="D299" s="2274"/>
      <c r="E299" s="2274"/>
      <c r="F299" s="2274"/>
      <c r="G299" s="2274"/>
      <c r="H299" s="2274"/>
      <c r="I299" s="2274"/>
      <c r="J299" s="2274"/>
      <c r="K299" s="2274"/>
      <c r="L299" s="2275"/>
      <c r="M299" s="2276"/>
    </row>
    <row r="300" spans="2:14" s="1201" customFormat="1" ht="14" x14ac:dyDescent="0.3">
      <c r="B300" s="2274"/>
      <c r="C300" s="2278" t="s">
        <v>434</v>
      </c>
      <c r="D300" s="2279" t="e">
        <f>(365*D19*D275)*10^-6</f>
        <v>#DIV/0!</v>
      </c>
      <c r="E300" s="2279">
        <f>(365*E19*E275)*10^-6</f>
        <v>0</v>
      </c>
      <c r="F300" s="2279">
        <f>(281*F19*F275)*10^-6</f>
        <v>0</v>
      </c>
      <c r="G300" s="2279">
        <f>(365*G19*G275)*10^-6</f>
        <v>0</v>
      </c>
      <c r="H300" s="2279">
        <f>(281*H19*H275)*10^-6</f>
        <v>0</v>
      </c>
      <c r="I300" s="2279">
        <f>(84*F19*I275)*10^-6</f>
        <v>0</v>
      </c>
      <c r="J300" s="2279">
        <f>(84*H19*J275)*10^-6</f>
        <v>0</v>
      </c>
      <c r="K300" s="2279">
        <f>(365*I19*K275)*10^-6</f>
        <v>0</v>
      </c>
      <c r="L300" s="2275" t="s">
        <v>438</v>
      </c>
      <c r="M300" s="2276"/>
    </row>
    <row r="301" spans="2:14" s="1201" customFormat="1" ht="14" x14ac:dyDescent="0.3">
      <c r="B301" s="2274"/>
      <c r="C301" s="2274"/>
      <c r="D301" s="2312"/>
      <c r="E301" s="2274"/>
      <c r="F301" s="2312"/>
      <c r="G301" s="2312"/>
      <c r="H301" s="2312"/>
      <c r="I301" s="2274"/>
      <c r="J301" s="2274"/>
      <c r="K301" s="2274"/>
      <c r="L301" s="2275"/>
      <c r="M301" s="2276"/>
    </row>
    <row r="302" spans="2:14" s="1201" customFormat="1" ht="14" x14ac:dyDescent="0.3">
      <c r="B302" s="2277" t="s">
        <v>445</v>
      </c>
      <c r="C302" s="2274"/>
      <c r="D302" s="2277" t="s">
        <v>1262</v>
      </c>
      <c r="E302" s="2274"/>
      <c r="F302" s="2274"/>
      <c r="G302" s="2274"/>
      <c r="H302" s="2274"/>
      <c r="I302" s="2274"/>
      <c r="J302" s="2274"/>
      <c r="K302" s="2274"/>
      <c r="L302" s="2275"/>
      <c r="M302" s="2276" t="s">
        <v>1273</v>
      </c>
    </row>
    <row r="303" spans="2:14" s="1201" customFormat="1" ht="14" x14ac:dyDescent="0.3">
      <c r="B303" s="2274"/>
      <c r="C303" s="2274"/>
      <c r="D303" s="2274"/>
      <c r="E303" s="2274"/>
      <c r="F303" s="2274"/>
      <c r="G303" s="2274"/>
      <c r="H303" s="2274"/>
      <c r="I303" s="2274"/>
      <c r="J303" s="2274"/>
      <c r="K303" s="2274"/>
      <c r="L303" s="2275"/>
      <c r="M303" s="2276"/>
    </row>
    <row r="304" spans="2:14" s="1201" customFormat="1" ht="14" x14ac:dyDescent="0.3">
      <c r="B304" s="2274"/>
      <c r="C304" s="2278" t="s">
        <v>434</v>
      </c>
      <c r="D304" s="2307" t="e">
        <f>(365*D19*D296)*10^-6</f>
        <v>#DIV/0!</v>
      </c>
      <c r="E304" s="2307" t="e">
        <f>(365*E19*E296)*10^-6</f>
        <v>#N/A</v>
      </c>
      <c r="F304" s="2307" t="e">
        <f>(281*F19*F296)*10^-6</f>
        <v>#N/A</v>
      </c>
      <c r="G304" s="2307" t="e">
        <f>(365*G19*G296)*10^-6</f>
        <v>#N/A</v>
      </c>
      <c r="H304" s="2307" t="e">
        <f>(281*H19*H296)*10^-6</f>
        <v>#N/A</v>
      </c>
      <c r="I304" s="2307">
        <f>(84*F19*I296)*10^-6</f>
        <v>0</v>
      </c>
      <c r="J304" s="2307">
        <f>(84*H19*J296)*10^-6</f>
        <v>0</v>
      </c>
      <c r="K304" s="2307" t="e">
        <f>(365*I19*K296)*10^-6</f>
        <v>#N/A</v>
      </c>
      <c r="L304" s="2275" t="s">
        <v>438</v>
      </c>
      <c r="M304" s="2313"/>
    </row>
    <row r="305" spans="2:13" s="1201" customFormat="1" ht="14" x14ac:dyDescent="0.3">
      <c r="B305" s="2274"/>
      <c r="C305" s="2274"/>
      <c r="D305" s="2312"/>
      <c r="E305" s="2314"/>
      <c r="F305" s="2312"/>
      <c r="G305" s="2274"/>
      <c r="H305" s="2312"/>
      <c r="I305" s="2274"/>
      <c r="J305" s="2274"/>
      <c r="K305" s="2274"/>
      <c r="L305" s="2275"/>
      <c r="M305" s="2276"/>
    </row>
    <row r="306" spans="2:13" s="1201" customFormat="1" ht="14" x14ac:dyDescent="0.3">
      <c r="B306" s="2277" t="s">
        <v>1275</v>
      </c>
      <c r="C306" s="2274"/>
      <c r="D306" s="2277" t="s">
        <v>2151</v>
      </c>
      <c r="E306" s="2274"/>
      <c r="F306" s="2274"/>
      <c r="G306" s="2274"/>
      <c r="H306" s="2274"/>
      <c r="I306" s="2274"/>
      <c r="J306" s="2274"/>
      <c r="K306" s="2274"/>
      <c r="L306" s="2275"/>
      <c r="M306" s="2276"/>
    </row>
    <row r="307" spans="2:13" s="1201" customFormat="1" ht="14" x14ac:dyDescent="0.3">
      <c r="B307" s="2274"/>
      <c r="C307" s="2274"/>
      <c r="D307" s="2306"/>
      <c r="E307" s="2310"/>
      <c r="F307" s="2310"/>
      <c r="G307" s="2310"/>
      <c r="H307" s="2310"/>
      <c r="I307" s="2310"/>
      <c r="J307" s="2310"/>
      <c r="K307" s="2310"/>
      <c r="L307" s="2275"/>
      <c r="M307" s="2276"/>
    </row>
    <row r="308" spans="2:13" s="1201" customFormat="1" ht="14" x14ac:dyDescent="0.3">
      <c r="B308" s="2274" t="s">
        <v>1349</v>
      </c>
      <c r="C308" s="2278" t="s">
        <v>434</v>
      </c>
      <c r="D308" s="2307" t="e">
        <f>(D300+D304)</f>
        <v>#DIV/0!</v>
      </c>
      <c r="E308" s="2307" t="e">
        <f t="shared" ref="E308:H308" si="11">(E300+E304)</f>
        <v>#N/A</v>
      </c>
      <c r="F308" s="2307" t="e">
        <f t="shared" si="11"/>
        <v>#N/A</v>
      </c>
      <c r="G308" s="2307" t="e">
        <f t="shared" si="11"/>
        <v>#N/A</v>
      </c>
      <c r="H308" s="2307" t="e">
        <f t="shared" si="11"/>
        <v>#N/A</v>
      </c>
      <c r="I308" s="2307">
        <f>(I300+I304)</f>
        <v>0</v>
      </c>
      <c r="J308" s="2307">
        <f>(J300+J304)</f>
        <v>0</v>
      </c>
      <c r="K308" s="2307" t="e">
        <f>(K300+K304)</f>
        <v>#N/A</v>
      </c>
      <c r="L308" s="2275" t="s">
        <v>438</v>
      </c>
      <c r="M308" s="2276"/>
    </row>
    <row r="309" spans="2:13" s="1201" customFormat="1" ht="14" x14ac:dyDescent="0.3">
      <c r="B309" s="2274"/>
      <c r="C309" s="2278"/>
      <c r="D309" s="2306"/>
      <c r="E309" s="2310"/>
      <c r="F309" s="2310"/>
      <c r="G309" s="2310"/>
      <c r="H309" s="2310"/>
      <c r="I309" s="2310"/>
      <c r="J309" s="2310"/>
      <c r="K309" s="2310"/>
      <c r="L309" s="2275"/>
      <c r="M309" s="2276"/>
    </row>
    <row r="310" spans="2:13" s="1201" customFormat="1" ht="14" x14ac:dyDescent="0.3">
      <c r="B310" s="2315" t="s">
        <v>2058</v>
      </c>
      <c r="C310" s="2274"/>
      <c r="D310" s="2277" t="s">
        <v>2151</v>
      </c>
      <c r="E310" s="2274"/>
      <c r="F310" s="2274"/>
      <c r="G310" s="2274"/>
      <c r="H310" s="2274"/>
      <c r="I310" s="2274"/>
      <c r="J310" s="2274"/>
      <c r="K310" s="2274"/>
      <c r="L310" s="2316" t="s">
        <v>296</v>
      </c>
      <c r="M310" s="2276"/>
    </row>
    <row r="311" spans="2:13" s="1201" customFormat="1" ht="14" x14ac:dyDescent="0.3">
      <c r="B311" s="2301" t="s">
        <v>1288</v>
      </c>
      <c r="C311" s="2278" t="s">
        <v>434</v>
      </c>
      <c r="D311" s="2279" t="e">
        <f>D308*$C$85%</f>
        <v>#DIV/0!</v>
      </c>
      <c r="E311" s="2279" t="e">
        <f t="shared" ref="E311:J311" si="12">E308*$C$86%</f>
        <v>#N/A</v>
      </c>
      <c r="F311" s="2279" t="e">
        <f t="shared" si="12"/>
        <v>#N/A</v>
      </c>
      <c r="G311" s="2279" t="e">
        <f t="shared" si="12"/>
        <v>#N/A</v>
      </c>
      <c r="H311" s="2279" t="e">
        <f>H308*$C$86%</f>
        <v>#N/A</v>
      </c>
      <c r="I311" s="2279">
        <f t="shared" si="12"/>
        <v>0</v>
      </c>
      <c r="J311" s="2279">
        <f t="shared" si="12"/>
        <v>0</v>
      </c>
      <c r="K311" s="2279" t="e">
        <f>K308*$C$86%</f>
        <v>#N/A</v>
      </c>
      <c r="L311" s="2317">
        <v>0</v>
      </c>
      <c r="M311" s="2276"/>
    </row>
    <row r="312" spans="2:13" s="1201" customFormat="1" ht="14" x14ac:dyDescent="0.3">
      <c r="B312" s="2274"/>
      <c r="C312" s="2274"/>
      <c r="D312" s="2279"/>
      <c r="E312" s="2279"/>
      <c r="F312" s="2279"/>
      <c r="G312" s="2279"/>
      <c r="H312" s="2279"/>
      <c r="I312" s="2279"/>
      <c r="J312" s="2279"/>
      <c r="K312" s="2279"/>
      <c r="L312" s="2275"/>
      <c r="M312" s="2276"/>
    </row>
    <row r="313" spans="2:13" s="1201" customFormat="1" ht="14" x14ac:dyDescent="0.3">
      <c r="B313" s="2301" t="s">
        <v>1287</v>
      </c>
      <c r="C313" s="2278" t="s">
        <v>434</v>
      </c>
      <c r="D313" s="2279" t="e">
        <f>D308*$D$85%</f>
        <v>#DIV/0!</v>
      </c>
      <c r="E313" s="2279" t="e">
        <f t="shared" ref="E313:J313" si="13">E308*$D$86%</f>
        <v>#N/A</v>
      </c>
      <c r="F313" s="2279" t="e">
        <f t="shared" si="13"/>
        <v>#N/A</v>
      </c>
      <c r="G313" s="2279" t="e">
        <f t="shared" si="13"/>
        <v>#N/A</v>
      </c>
      <c r="H313" s="2279" t="e">
        <f t="shared" si="13"/>
        <v>#N/A</v>
      </c>
      <c r="I313" s="2279">
        <f t="shared" si="13"/>
        <v>0</v>
      </c>
      <c r="J313" s="2279">
        <f t="shared" si="13"/>
        <v>0</v>
      </c>
      <c r="K313" s="2279" t="e">
        <f t="shared" ref="K313" si="14">K308*$D$86%</f>
        <v>#N/A</v>
      </c>
      <c r="L313" s="2317">
        <v>0</v>
      </c>
      <c r="M313" s="2276"/>
    </row>
    <row r="314" spans="2:13" s="1201" customFormat="1" ht="14" x14ac:dyDescent="0.3">
      <c r="B314" s="2274"/>
      <c r="C314" s="2274"/>
      <c r="D314" s="2279"/>
      <c r="E314" s="2279"/>
      <c r="F314" s="2279"/>
      <c r="G314" s="2279"/>
      <c r="H314" s="2279"/>
      <c r="I314" s="2279"/>
      <c r="J314" s="2279"/>
      <c r="K314" s="2279"/>
      <c r="L314" s="2275"/>
      <c r="M314" s="2276"/>
    </row>
    <row r="315" spans="2:13" s="1201" customFormat="1" ht="14" x14ac:dyDescent="0.3">
      <c r="B315" s="2301" t="s">
        <v>1914</v>
      </c>
      <c r="C315" s="2278" t="s">
        <v>434</v>
      </c>
      <c r="D315" s="2279" t="e">
        <f>D308*$E$85%</f>
        <v>#DIV/0!</v>
      </c>
      <c r="E315" s="2279" t="e">
        <f t="shared" ref="E315:J315" si="15">E308*$E$86%</f>
        <v>#N/A</v>
      </c>
      <c r="F315" s="2279" t="e">
        <f t="shared" si="15"/>
        <v>#N/A</v>
      </c>
      <c r="G315" s="2279" t="e">
        <f t="shared" si="15"/>
        <v>#N/A</v>
      </c>
      <c r="H315" s="2279" t="e">
        <f t="shared" si="15"/>
        <v>#N/A</v>
      </c>
      <c r="I315" s="2279">
        <f t="shared" si="15"/>
        <v>0</v>
      </c>
      <c r="J315" s="2279">
        <f t="shared" si="15"/>
        <v>0</v>
      </c>
      <c r="K315" s="2279" t="e">
        <f t="shared" ref="K315" si="16">K308*$E$86%</f>
        <v>#N/A</v>
      </c>
      <c r="L315" s="2317">
        <v>0</v>
      </c>
      <c r="M315" s="2276"/>
    </row>
    <row r="316" spans="2:13" s="1201" customFormat="1" ht="14" x14ac:dyDescent="0.3">
      <c r="B316" s="2274"/>
      <c r="C316" s="2278"/>
      <c r="D316" s="2279"/>
      <c r="E316" s="2279"/>
      <c r="F316" s="2279"/>
      <c r="G316" s="2279"/>
      <c r="H316" s="2279"/>
      <c r="I316" s="2279"/>
      <c r="J316" s="2279"/>
      <c r="K316" s="2279"/>
      <c r="L316" s="2275"/>
      <c r="M316" s="2276"/>
    </row>
    <row r="317" spans="2:13" s="1201" customFormat="1" ht="14" x14ac:dyDescent="0.3">
      <c r="B317" s="2301" t="s">
        <v>1290</v>
      </c>
      <c r="C317" s="2278" t="s">
        <v>434</v>
      </c>
      <c r="D317" s="2279" t="e">
        <f>D308*$F$85%</f>
        <v>#DIV/0!</v>
      </c>
      <c r="E317" s="2279" t="e">
        <f t="shared" ref="E317:J317" si="17">E308*$F$86%</f>
        <v>#N/A</v>
      </c>
      <c r="F317" s="2279" t="e">
        <f t="shared" si="17"/>
        <v>#N/A</v>
      </c>
      <c r="G317" s="2279" t="e">
        <f t="shared" si="17"/>
        <v>#N/A</v>
      </c>
      <c r="H317" s="2279" t="e">
        <f t="shared" si="17"/>
        <v>#N/A</v>
      </c>
      <c r="I317" s="2279">
        <f t="shared" si="17"/>
        <v>0</v>
      </c>
      <c r="J317" s="2279">
        <f t="shared" si="17"/>
        <v>0</v>
      </c>
      <c r="K317" s="2279" t="e">
        <f t="shared" ref="K317" si="18">K308*$F$86%</f>
        <v>#N/A</v>
      </c>
      <c r="L317" s="2275">
        <v>5.0000000000000001E-3</v>
      </c>
      <c r="M317" s="2276"/>
    </row>
    <row r="318" spans="2:13" s="1201" customFormat="1" ht="14" x14ac:dyDescent="0.3">
      <c r="B318" s="2274"/>
      <c r="C318" s="2278"/>
      <c r="D318" s="2279"/>
      <c r="E318" s="2279"/>
      <c r="F318" s="2279"/>
      <c r="G318" s="2279"/>
      <c r="H318" s="2279"/>
      <c r="I318" s="2279"/>
      <c r="J318" s="2279"/>
      <c r="K318" s="2279"/>
      <c r="L318" s="2275"/>
      <c r="M318" s="2276"/>
    </row>
    <row r="319" spans="2:13" s="1201" customFormat="1" ht="14" x14ac:dyDescent="0.3">
      <c r="B319" s="2301" t="s">
        <v>1291</v>
      </c>
      <c r="C319" s="2278" t="s">
        <v>434</v>
      </c>
      <c r="D319" s="2279" t="e">
        <f>D308*$G$85%</f>
        <v>#DIV/0!</v>
      </c>
      <c r="E319" s="2279" t="e">
        <f t="shared" ref="E319:J319" si="19">E308*$G$86%</f>
        <v>#N/A</v>
      </c>
      <c r="F319" s="2279" t="e">
        <f t="shared" si="19"/>
        <v>#N/A</v>
      </c>
      <c r="G319" s="2279" t="e">
        <f t="shared" si="19"/>
        <v>#N/A</v>
      </c>
      <c r="H319" s="2279" t="e">
        <f t="shared" si="19"/>
        <v>#N/A</v>
      </c>
      <c r="I319" s="2279">
        <f t="shared" si="19"/>
        <v>0</v>
      </c>
      <c r="J319" s="2279">
        <f t="shared" si="19"/>
        <v>0</v>
      </c>
      <c r="K319" s="2279" t="e">
        <f>K308*$G$86%</f>
        <v>#N/A</v>
      </c>
      <c r="L319" s="2317">
        <v>0</v>
      </c>
      <c r="M319" s="2276"/>
    </row>
    <row r="320" spans="2:13" s="1201" customFormat="1" ht="14" x14ac:dyDescent="0.3">
      <c r="B320" s="2274"/>
      <c r="C320" s="2274"/>
      <c r="D320" s="2279"/>
      <c r="E320" s="2279"/>
      <c r="F320" s="2279"/>
      <c r="G320" s="2279"/>
      <c r="H320" s="2279"/>
      <c r="I320" s="2279"/>
      <c r="J320" s="2279"/>
      <c r="K320" s="2279"/>
      <c r="L320" s="2275"/>
      <c r="M320" s="2276"/>
    </row>
    <row r="321" spans="2:13" s="1201" customFormat="1" ht="14" x14ac:dyDescent="0.3">
      <c r="B321" s="2277" t="s">
        <v>2152</v>
      </c>
      <c r="C321" s="2278" t="s">
        <v>434</v>
      </c>
      <c r="D321" s="2279" t="e">
        <f>SUM(D311,D313,D315,D317,D319)</f>
        <v>#DIV/0!</v>
      </c>
      <c r="E321" s="2279" t="e">
        <f t="shared" ref="E321:H321" si="20">SUM(E311,E313,E315,E317,E319)</f>
        <v>#N/A</v>
      </c>
      <c r="F321" s="2279" t="e">
        <f t="shared" si="20"/>
        <v>#N/A</v>
      </c>
      <c r="G321" s="2279" t="e">
        <f t="shared" si="20"/>
        <v>#N/A</v>
      </c>
      <c r="H321" s="2279" t="e">
        <f t="shared" si="20"/>
        <v>#N/A</v>
      </c>
      <c r="I321" s="2279">
        <f t="shared" ref="I321:J321" si="21">SUM(I311,I313,I315,I317,I319)</f>
        <v>0</v>
      </c>
      <c r="J321" s="2279">
        <f t="shared" si="21"/>
        <v>0</v>
      </c>
      <c r="K321" s="2279" t="e">
        <f>SUM(K311,K313,K315,K317,K319)</f>
        <v>#N/A</v>
      </c>
      <c r="L321" s="2275" t="s">
        <v>438</v>
      </c>
      <c r="M321" s="2276" t="s">
        <v>1278</v>
      </c>
    </row>
    <row r="322" spans="2:13" s="1201" customFormat="1" ht="14" x14ac:dyDescent="0.3">
      <c r="B322" s="2274"/>
      <c r="C322" s="2274"/>
      <c r="D322" s="2274"/>
      <c r="E322" s="2274"/>
      <c r="F322" s="2274"/>
      <c r="G322" s="2274"/>
      <c r="H322" s="2274"/>
      <c r="I322" s="2274"/>
      <c r="J322" s="2274"/>
      <c r="K322" s="2274"/>
      <c r="L322" s="2275"/>
      <c r="M322" s="2276"/>
    </row>
    <row r="323" spans="2:13" s="1201" customFormat="1" ht="14" x14ac:dyDescent="0.3">
      <c r="B323" s="2277" t="s">
        <v>2153</v>
      </c>
      <c r="C323" s="2278" t="s">
        <v>434</v>
      </c>
      <c r="D323" s="2279" t="e">
        <f t="shared" ref="D323:J323" si="22">((D311*$L$311)+(D313*$L$313)+(D315*$L$315)+(D317*$L$317))*44/28</f>
        <v>#DIV/0!</v>
      </c>
      <c r="E323" s="2279" t="e">
        <f t="shared" si="22"/>
        <v>#N/A</v>
      </c>
      <c r="F323" s="2279" t="e">
        <f t="shared" si="22"/>
        <v>#N/A</v>
      </c>
      <c r="G323" s="2279" t="e">
        <f t="shared" si="22"/>
        <v>#N/A</v>
      </c>
      <c r="H323" s="2279" t="e">
        <f t="shared" si="22"/>
        <v>#N/A</v>
      </c>
      <c r="I323" s="2279">
        <f t="shared" si="22"/>
        <v>0</v>
      </c>
      <c r="J323" s="2279">
        <f t="shared" si="22"/>
        <v>0</v>
      </c>
      <c r="K323" s="2280" t="e">
        <f>((K311*$L$311)+(K313*$L$313)+(K315*$L$315)+(K317*$L$317))*44/28</f>
        <v>#N/A</v>
      </c>
      <c r="L323" s="2275" t="s">
        <v>1279</v>
      </c>
      <c r="M323" s="2276" t="s">
        <v>1274</v>
      </c>
    </row>
    <row r="324" spans="2:13" s="1201" customFormat="1" ht="14" x14ac:dyDescent="0.3">
      <c r="B324" s="2274"/>
      <c r="C324" s="2278"/>
      <c r="D324" s="2274"/>
      <c r="E324" s="2274"/>
      <c r="F324" s="2274"/>
      <c r="G324" s="2274"/>
      <c r="H324" s="2274"/>
      <c r="I324" s="2274"/>
      <c r="J324" s="2274"/>
      <c r="K324" s="2274"/>
      <c r="L324" s="2275"/>
      <c r="M324" s="2276"/>
    </row>
    <row r="325" spans="2:13" s="1201" customFormat="1" ht="14" x14ac:dyDescent="0.3">
      <c r="B325" s="2277" t="s">
        <v>1264</v>
      </c>
      <c r="C325" s="2278"/>
      <c r="D325" s="2277" t="s">
        <v>1265</v>
      </c>
      <c r="E325" s="2274"/>
      <c r="F325" s="2274"/>
      <c r="G325" s="2274"/>
      <c r="H325" s="2274"/>
      <c r="I325" s="2274"/>
      <c r="J325" s="2274"/>
      <c r="K325" s="2274"/>
      <c r="L325" s="2318" t="s">
        <v>1280</v>
      </c>
      <c r="M325" s="2276"/>
    </row>
    <row r="326" spans="2:13" s="1201" customFormat="1" ht="14" x14ac:dyDescent="0.3">
      <c r="B326" s="2301"/>
      <c r="C326" s="2278"/>
      <c r="D326" s="2274"/>
      <c r="E326" s="2274"/>
      <c r="F326" s="2274"/>
      <c r="G326" s="2274"/>
      <c r="H326" s="2274"/>
      <c r="I326" s="2274"/>
      <c r="J326" s="2274"/>
      <c r="K326" s="2274"/>
      <c r="L326" s="2318"/>
      <c r="M326" s="2276" t="s">
        <v>1281</v>
      </c>
    </row>
    <row r="327" spans="2:13" s="1201" customFormat="1" ht="14" x14ac:dyDescent="0.3">
      <c r="B327" s="2301" t="s">
        <v>1288</v>
      </c>
      <c r="C327" s="2278"/>
      <c r="D327" s="2279" t="e">
        <f t="shared" ref="D327:J327" si="23">D311*$L$327</f>
        <v>#DIV/0!</v>
      </c>
      <c r="E327" s="2279" t="e">
        <f t="shared" si="23"/>
        <v>#N/A</v>
      </c>
      <c r="F327" s="2279" t="e">
        <f t="shared" si="23"/>
        <v>#N/A</v>
      </c>
      <c r="G327" s="2279" t="e">
        <f t="shared" si="23"/>
        <v>#N/A</v>
      </c>
      <c r="H327" s="2279" t="e">
        <f t="shared" si="23"/>
        <v>#N/A</v>
      </c>
      <c r="I327" s="2279">
        <f t="shared" si="23"/>
        <v>0</v>
      </c>
      <c r="J327" s="2279">
        <f t="shared" si="23"/>
        <v>0</v>
      </c>
      <c r="K327" s="2279" t="e">
        <f>K311*$L$327</f>
        <v>#N/A</v>
      </c>
      <c r="L327" s="2275">
        <v>0.35</v>
      </c>
      <c r="M327" s="2276"/>
    </row>
    <row r="328" spans="2:13" s="1201" customFormat="1" ht="14" x14ac:dyDescent="0.3">
      <c r="B328" s="2274"/>
      <c r="C328" s="2278"/>
      <c r="D328" s="2279"/>
      <c r="E328" s="2279"/>
      <c r="F328" s="2279"/>
      <c r="G328" s="2279"/>
      <c r="H328" s="2279"/>
      <c r="I328" s="2279"/>
      <c r="J328" s="2279"/>
      <c r="K328" s="2279"/>
      <c r="L328" s="2275"/>
      <c r="M328" s="2276"/>
    </row>
    <row r="329" spans="2:13" s="1201" customFormat="1" ht="14" x14ac:dyDescent="0.3">
      <c r="B329" s="2301" t="s">
        <v>1287</v>
      </c>
      <c r="C329" s="2278"/>
      <c r="D329" s="2279" t="e">
        <f t="shared" ref="D329:J329" si="24">D313*$L$329</f>
        <v>#DIV/0!</v>
      </c>
      <c r="E329" s="2279" t="e">
        <f t="shared" si="24"/>
        <v>#N/A</v>
      </c>
      <c r="F329" s="2279" t="e">
        <f t="shared" si="24"/>
        <v>#N/A</v>
      </c>
      <c r="G329" s="2279" t="e">
        <f t="shared" si="24"/>
        <v>#N/A</v>
      </c>
      <c r="H329" s="2279" t="e">
        <f t="shared" si="24"/>
        <v>#N/A</v>
      </c>
      <c r="I329" s="2279">
        <f>I313*$L$329</f>
        <v>0</v>
      </c>
      <c r="J329" s="2279">
        <f t="shared" si="24"/>
        <v>0</v>
      </c>
      <c r="K329" s="2279" t="e">
        <f>K313*$L$329</f>
        <v>#N/A</v>
      </c>
      <c r="L329" s="2275">
        <v>7.0000000000000007E-2</v>
      </c>
      <c r="M329" s="2276"/>
    </row>
    <row r="330" spans="2:13" s="1201" customFormat="1" ht="14" x14ac:dyDescent="0.3">
      <c r="B330" s="2274"/>
      <c r="C330" s="2278"/>
      <c r="D330" s="2279"/>
      <c r="E330" s="2279"/>
      <c r="F330" s="2279"/>
      <c r="G330" s="2279"/>
      <c r="H330" s="2279"/>
      <c r="I330" s="2279"/>
      <c r="J330" s="2279"/>
      <c r="K330" s="2279"/>
      <c r="L330" s="2275"/>
      <c r="M330" s="2276"/>
    </row>
    <row r="331" spans="2:13" s="1201" customFormat="1" ht="14" x14ac:dyDescent="0.3">
      <c r="B331" s="2301" t="s">
        <v>1914</v>
      </c>
      <c r="C331" s="2278"/>
      <c r="D331" s="2279" t="e">
        <f t="shared" ref="D331:J331" si="25">D315*$L$331</f>
        <v>#DIV/0!</v>
      </c>
      <c r="E331" s="2279" t="e">
        <f t="shared" si="25"/>
        <v>#N/A</v>
      </c>
      <c r="F331" s="2279" t="e">
        <f t="shared" si="25"/>
        <v>#N/A</v>
      </c>
      <c r="G331" s="2279" t="e">
        <f t="shared" si="25"/>
        <v>#N/A</v>
      </c>
      <c r="H331" s="2279" t="e">
        <f t="shared" si="25"/>
        <v>#N/A</v>
      </c>
      <c r="I331" s="2279">
        <f t="shared" si="25"/>
        <v>0</v>
      </c>
      <c r="J331" s="2279">
        <f t="shared" si="25"/>
        <v>0</v>
      </c>
      <c r="K331" s="2279" t="e">
        <f>K315*$L$331</f>
        <v>#N/A</v>
      </c>
      <c r="L331" s="2275">
        <v>0.2</v>
      </c>
      <c r="M331" s="2276"/>
    </row>
    <row r="332" spans="2:13" s="1201" customFormat="1" ht="14" x14ac:dyDescent="0.3">
      <c r="B332" s="2274"/>
      <c r="C332" s="2278"/>
      <c r="D332" s="2279"/>
      <c r="E332" s="2279"/>
      <c r="F332" s="2279"/>
      <c r="G332" s="2279"/>
      <c r="H332" s="2279"/>
      <c r="I332" s="2279"/>
      <c r="J332" s="2279"/>
      <c r="K332" s="2279"/>
      <c r="L332" s="2275"/>
      <c r="M332" s="2276"/>
    </row>
    <row r="333" spans="2:13" s="1201" customFormat="1" ht="14" x14ac:dyDescent="0.3">
      <c r="B333" s="2301" t="s">
        <v>1290</v>
      </c>
      <c r="C333" s="2278"/>
      <c r="D333" s="2279" t="e">
        <f t="shared" ref="D333:J333" si="26">D317*$L$333</f>
        <v>#DIV/0!</v>
      </c>
      <c r="E333" s="2279" t="e">
        <f t="shared" si="26"/>
        <v>#N/A</v>
      </c>
      <c r="F333" s="2279" t="e">
        <f t="shared" si="26"/>
        <v>#N/A</v>
      </c>
      <c r="G333" s="2279" t="e">
        <f t="shared" si="26"/>
        <v>#N/A</v>
      </c>
      <c r="H333" s="2279" t="e">
        <f t="shared" si="26"/>
        <v>#N/A</v>
      </c>
      <c r="I333" s="2279">
        <f t="shared" si="26"/>
        <v>0</v>
      </c>
      <c r="J333" s="2279">
        <f t="shared" si="26"/>
        <v>0</v>
      </c>
      <c r="K333" s="2279" t="e">
        <f>K317*$L$333</f>
        <v>#N/A</v>
      </c>
      <c r="L333" s="2275">
        <v>0.3</v>
      </c>
      <c r="M333" s="2276"/>
    </row>
    <row r="334" spans="2:13" s="1201" customFormat="1" ht="14" x14ac:dyDescent="0.3">
      <c r="B334" s="2274"/>
      <c r="C334" s="2278"/>
      <c r="D334" s="2279"/>
      <c r="E334" s="2279"/>
      <c r="F334" s="2279"/>
      <c r="G334" s="2279"/>
      <c r="H334" s="2279"/>
      <c r="I334" s="2279"/>
      <c r="J334" s="2279"/>
      <c r="K334" s="2279"/>
      <c r="L334" s="2275"/>
      <c r="M334" s="2276"/>
    </row>
    <row r="335" spans="2:13" s="1201" customFormat="1" ht="14" x14ac:dyDescent="0.3">
      <c r="B335" s="2301" t="s">
        <v>1291</v>
      </c>
      <c r="C335" s="2278"/>
      <c r="D335" s="2279" t="e">
        <f t="shared" ref="D335:J335" si="27">D319*$L$335</f>
        <v>#DIV/0!</v>
      </c>
      <c r="E335" s="2279" t="e">
        <f t="shared" si="27"/>
        <v>#N/A</v>
      </c>
      <c r="F335" s="2279" t="e">
        <f t="shared" si="27"/>
        <v>#N/A</v>
      </c>
      <c r="G335" s="2279" t="e">
        <f t="shared" si="27"/>
        <v>#N/A</v>
      </c>
      <c r="H335" s="2279" t="e">
        <f t="shared" si="27"/>
        <v>#N/A</v>
      </c>
      <c r="I335" s="2279">
        <f t="shared" si="27"/>
        <v>0</v>
      </c>
      <c r="J335" s="2279">
        <f t="shared" si="27"/>
        <v>0</v>
      </c>
      <c r="K335" s="2279" t="e">
        <f>K319*$L$335</f>
        <v>#N/A</v>
      </c>
      <c r="L335" s="2275">
        <v>0</v>
      </c>
      <c r="M335" s="2276" t="s">
        <v>1266</v>
      </c>
    </row>
    <row r="336" spans="2:13" s="1201" customFormat="1" ht="14" x14ac:dyDescent="0.3">
      <c r="B336" s="2274"/>
      <c r="C336" s="2278"/>
      <c r="D336" s="2274"/>
      <c r="E336" s="2274"/>
      <c r="F336" s="2274"/>
      <c r="G336" s="2274"/>
      <c r="H336" s="2274"/>
      <c r="I336" s="2274"/>
      <c r="J336" s="2274"/>
      <c r="K336" s="2274"/>
      <c r="L336" s="2275"/>
      <c r="M336" s="2276"/>
    </row>
    <row r="337" spans="2:14" s="1201" customFormat="1" ht="14" x14ac:dyDescent="0.3">
      <c r="B337" s="2277" t="s">
        <v>1282</v>
      </c>
      <c r="C337" s="2278"/>
      <c r="D337" s="2277" t="s">
        <v>1283</v>
      </c>
      <c r="E337" s="2274"/>
      <c r="F337" s="2274"/>
      <c r="G337" s="2274"/>
      <c r="H337" s="2274"/>
      <c r="I337" s="2274"/>
      <c r="J337" s="2274"/>
      <c r="K337" s="2274"/>
      <c r="L337" s="2318" t="s">
        <v>1284</v>
      </c>
      <c r="M337" s="2276"/>
    </row>
    <row r="338" spans="2:14" s="1201" customFormat="1" ht="14" x14ac:dyDescent="0.3">
      <c r="B338" s="2274"/>
      <c r="C338" s="2278"/>
      <c r="D338" s="2279" t="e">
        <f t="shared" ref="D338:I338" si="28">SUM(D327:D333)*$L$338*44/28</f>
        <v>#DIV/0!</v>
      </c>
      <c r="E338" s="2279" t="e">
        <f t="shared" si="28"/>
        <v>#N/A</v>
      </c>
      <c r="F338" s="2280" t="e">
        <f t="shared" si="28"/>
        <v>#N/A</v>
      </c>
      <c r="G338" s="2280" t="e">
        <f t="shared" si="28"/>
        <v>#N/A</v>
      </c>
      <c r="H338" s="2280" t="e">
        <f t="shared" si="28"/>
        <v>#N/A</v>
      </c>
      <c r="I338" s="2280">
        <f t="shared" si="28"/>
        <v>0</v>
      </c>
      <c r="J338" s="2280">
        <f>SUM(J327:J333)*$L$338*44/28</f>
        <v>0</v>
      </c>
      <c r="K338" s="2280" t="e">
        <f>SUM(K327:K333)*$L$338*44/28</f>
        <v>#N/A</v>
      </c>
      <c r="L338" s="2275">
        <v>3.8999999999999998E-3</v>
      </c>
      <c r="M338" s="2276" t="s">
        <v>1285</v>
      </c>
    </row>
    <row r="339" spans="2:14" s="1201" customFormat="1" ht="14" x14ac:dyDescent="0.3">
      <c r="B339" s="2274"/>
      <c r="C339" s="2278"/>
      <c r="D339" s="2274"/>
      <c r="E339" s="2274"/>
      <c r="F339" s="2280"/>
      <c r="G339" s="2280"/>
      <c r="H339" s="2280"/>
      <c r="I339" s="2280"/>
      <c r="J339" s="2280"/>
      <c r="K339" s="2280"/>
      <c r="L339" s="2275"/>
      <c r="M339" s="2276"/>
    </row>
    <row r="340" spans="2:14" s="1201" customFormat="1" ht="14" x14ac:dyDescent="0.3">
      <c r="B340" s="2274" t="s">
        <v>1915</v>
      </c>
      <c r="C340" s="2278"/>
      <c r="D340" s="2319" t="e">
        <f>SUM(D338:J338)*'Emission factors'!$C$5*10^3</f>
        <v>#DIV/0!</v>
      </c>
      <c r="E340" s="2274"/>
      <c r="F340" s="2280"/>
      <c r="G340" s="2280"/>
      <c r="H340" s="2280"/>
      <c r="I340" s="2280"/>
      <c r="J340" s="2280"/>
      <c r="K340" s="2280"/>
      <c r="L340" s="2275" t="s">
        <v>1294</v>
      </c>
      <c r="M340" s="2276"/>
    </row>
    <row r="341" spans="2:14" s="1201" customFormat="1" ht="14" x14ac:dyDescent="0.3">
      <c r="B341" s="2274"/>
      <c r="C341" s="2278"/>
      <c r="D341" s="2274"/>
      <c r="E341" s="2274"/>
      <c r="F341" s="2280"/>
      <c r="G341" s="2280"/>
      <c r="H341" s="2280"/>
      <c r="I341" s="2280"/>
      <c r="J341" s="2280"/>
      <c r="K341" s="2280"/>
      <c r="L341" s="2275"/>
      <c r="M341" s="2276"/>
    </row>
    <row r="342" spans="2:14" s="1201" customFormat="1" ht="14" x14ac:dyDescent="0.3">
      <c r="B342" s="2277" t="s">
        <v>1286</v>
      </c>
      <c r="C342" s="2278"/>
      <c r="D342" s="2277" t="s">
        <v>2154</v>
      </c>
      <c r="E342" s="2274"/>
      <c r="F342" s="2280"/>
      <c r="G342" s="2280"/>
      <c r="H342" s="2280"/>
      <c r="I342" s="2280"/>
      <c r="J342" s="2280"/>
      <c r="K342" s="2280"/>
      <c r="L342" s="2318" t="s">
        <v>1292</v>
      </c>
      <c r="M342" s="2276" t="s">
        <v>1326</v>
      </c>
    </row>
    <row r="343" spans="2:14" s="1201" customFormat="1" ht="14" x14ac:dyDescent="0.3">
      <c r="B343" s="2274"/>
      <c r="C343" s="2278"/>
      <c r="D343" s="2274"/>
      <c r="E343" s="2274"/>
      <c r="F343" s="2280"/>
      <c r="G343" s="2280"/>
      <c r="H343" s="2280"/>
      <c r="I343" s="2280"/>
      <c r="J343" s="2280"/>
      <c r="K343" s="2280"/>
      <c r="L343" s="2275">
        <v>1</v>
      </c>
      <c r="M343" s="2276"/>
    </row>
    <row r="344" spans="2:14" s="1201" customFormat="1" ht="14" x14ac:dyDescent="0.3">
      <c r="B344" s="2274" t="s">
        <v>1341</v>
      </c>
      <c r="C344" s="2278"/>
      <c r="D344" s="2279" t="e">
        <f>D317*$L$343*$L$345</f>
        <v>#DIV/0!</v>
      </c>
      <c r="E344" s="2279" t="e">
        <f t="shared" ref="E344:I344" si="29">E317*$L$343*$L$345</f>
        <v>#N/A</v>
      </c>
      <c r="F344" s="2280" t="e">
        <f t="shared" si="29"/>
        <v>#N/A</v>
      </c>
      <c r="G344" s="2280" t="e">
        <f t="shared" si="29"/>
        <v>#N/A</v>
      </c>
      <c r="H344" s="2280" t="e">
        <f t="shared" si="29"/>
        <v>#N/A</v>
      </c>
      <c r="I344" s="2280">
        <f t="shared" si="29"/>
        <v>0</v>
      </c>
      <c r="J344" s="2280">
        <f>J317*$L$343*$L$345</f>
        <v>0</v>
      </c>
      <c r="K344" s="2280" t="e">
        <f t="shared" ref="K344" si="30">K317*$L$343*$L$345</f>
        <v>#N/A</v>
      </c>
      <c r="L344" s="2318" t="s">
        <v>1293</v>
      </c>
      <c r="M344" s="2276"/>
    </row>
    <row r="345" spans="2:14" s="1201" customFormat="1" ht="14" x14ac:dyDescent="0.3">
      <c r="B345" s="2277"/>
      <c r="C345" s="2320"/>
      <c r="D345" s="2274"/>
      <c r="E345" s="2274"/>
      <c r="F345" s="2280"/>
      <c r="G345" s="2280"/>
      <c r="H345" s="2280"/>
      <c r="I345" s="2280"/>
      <c r="J345" s="2280"/>
      <c r="K345" s="2280"/>
      <c r="L345" s="2321">
        <v>0.02</v>
      </c>
      <c r="M345" s="2276"/>
    </row>
    <row r="346" spans="2:14" s="1201" customFormat="1" ht="14" x14ac:dyDescent="0.3">
      <c r="B346" s="2277"/>
      <c r="C346" s="2320"/>
      <c r="D346" s="2277" t="s">
        <v>1336</v>
      </c>
      <c r="E346" s="2274"/>
      <c r="F346" s="2280"/>
      <c r="G346" s="2280"/>
      <c r="H346" s="2280"/>
      <c r="I346" s="2280"/>
      <c r="J346" s="2280"/>
      <c r="K346" s="2280"/>
      <c r="L346" s="2322" t="s">
        <v>1301</v>
      </c>
      <c r="M346" s="2276"/>
    </row>
    <row r="347" spans="2:14" s="1201" customFormat="1" ht="14" x14ac:dyDescent="0.3">
      <c r="B347" s="2277"/>
      <c r="C347" s="2320"/>
      <c r="D347" s="2279" t="e">
        <f>D344*$L$347*44/28</f>
        <v>#DIV/0!</v>
      </c>
      <c r="E347" s="2280" t="e">
        <f t="shared" ref="E347:J347" si="31">E344*$L$347*44/28</f>
        <v>#N/A</v>
      </c>
      <c r="F347" s="2280" t="e">
        <f t="shared" si="31"/>
        <v>#N/A</v>
      </c>
      <c r="G347" s="2280" t="e">
        <f t="shared" si="31"/>
        <v>#N/A</v>
      </c>
      <c r="H347" s="2280" t="e">
        <f t="shared" si="31"/>
        <v>#N/A</v>
      </c>
      <c r="I347" s="2280">
        <f t="shared" si="31"/>
        <v>0</v>
      </c>
      <c r="J347" s="2280">
        <f t="shared" si="31"/>
        <v>0</v>
      </c>
      <c r="K347" s="2280" t="e">
        <f t="shared" ref="K347" si="32">K344*$L$347*44/28</f>
        <v>#N/A</v>
      </c>
      <c r="L347" s="2321">
        <v>1.0999999999999999E-2</v>
      </c>
      <c r="M347" s="2276" t="s">
        <v>1327</v>
      </c>
    </row>
    <row r="348" spans="2:14" s="1201" customFormat="1" ht="14" x14ac:dyDescent="0.3">
      <c r="B348" s="2277"/>
      <c r="C348" s="2279"/>
      <c r="D348" s="2279"/>
      <c r="E348" s="2279"/>
      <c r="F348" s="2279"/>
      <c r="G348" s="2279"/>
      <c r="H348" s="2279"/>
      <c r="I348" s="2279"/>
      <c r="J348" s="2279"/>
      <c r="K348" s="2279"/>
      <c r="L348" s="2275"/>
      <c r="M348" s="2276"/>
    </row>
    <row r="349" spans="2:14" s="1201" customFormat="1" ht="14" x14ac:dyDescent="0.3">
      <c r="B349" s="2323" t="s">
        <v>1295</v>
      </c>
      <c r="C349" s="2324"/>
      <c r="D349" s="2325" t="e">
        <f>SUM(D347:K347)*'Emission factors'!$C$5*10^3</f>
        <v>#DIV/0!</v>
      </c>
      <c r="E349" s="2326"/>
      <c r="F349" s="2326"/>
      <c r="G349" s="2326"/>
      <c r="H349" s="2326"/>
      <c r="I349" s="2326"/>
      <c r="J349" s="2326"/>
      <c r="K349" s="2327"/>
      <c r="L349" s="2328" t="s">
        <v>1294</v>
      </c>
      <c r="M349" s="2329"/>
    </row>
    <row r="350" spans="2:14" s="1201" customFormat="1" ht="14" x14ac:dyDescent="0.3">
      <c r="L350" s="1552"/>
    </row>
    <row r="351" spans="2:14" s="1201" customFormat="1" ht="28" x14ac:dyDescent="0.3">
      <c r="B351" s="1896" t="s">
        <v>245</v>
      </c>
      <c r="C351" s="2330"/>
      <c r="D351" s="1898"/>
      <c r="E351" s="1898"/>
      <c r="F351" s="1898"/>
      <c r="G351" s="1898"/>
      <c r="H351" s="1898"/>
      <c r="I351" s="1899"/>
      <c r="J351" s="1899"/>
      <c r="K351" s="1899"/>
      <c r="L351" s="2331" t="s">
        <v>215</v>
      </c>
      <c r="M351" s="1901" t="s">
        <v>230</v>
      </c>
      <c r="N351" s="2332"/>
    </row>
    <row r="352" spans="2:14" s="1201" customFormat="1" ht="14" x14ac:dyDescent="0.3">
      <c r="B352" s="2333" t="s">
        <v>303</v>
      </c>
      <c r="C352" s="2334"/>
      <c r="D352" s="2334"/>
      <c r="E352" s="2334"/>
      <c r="F352" s="2334"/>
      <c r="G352" s="2334"/>
      <c r="H352" s="2334"/>
      <c r="I352" s="2334"/>
      <c r="J352" s="2334"/>
      <c r="K352" s="2334"/>
      <c r="L352" s="2335"/>
      <c r="M352" s="2336"/>
      <c r="N352" s="2332"/>
    </row>
    <row r="353" spans="2:14" s="1201" customFormat="1" ht="14" x14ac:dyDescent="0.3">
      <c r="B353" s="2333" t="s">
        <v>805</v>
      </c>
      <c r="C353" s="2333" t="s">
        <v>304</v>
      </c>
      <c r="D353" s="2334"/>
      <c r="E353" s="2334"/>
      <c r="F353" s="2334"/>
      <c r="G353" s="2334"/>
      <c r="H353" s="2334"/>
      <c r="I353" s="2334"/>
      <c r="J353" s="2334"/>
      <c r="K353" s="2334"/>
      <c r="L353" s="2335"/>
      <c r="M353" s="2336" t="s">
        <v>1298</v>
      </c>
      <c r="N353" s="2332"/>
    </row>
    <row r="354" spans="2:14" s="1201" customFormat="1" ht="14" x14ac:dyDescent="0.3">
      <c r="B354" s="2334"/>
      <c r="C354" s="2334" t="s">
        <v>306</v>
      </c>
      <c r="D354" s="2334"/>
      <c r="E354" s="2334"/>
      <c r="F354" s="2334"/>
      <c r="G354" s="2334"/>
      <c r="H354" s="2334"/>
      <c r="I354" s="2334"/>
      <c r="J354" s="2334"/>
      <c r="K354" s="2334"/>
      <c r="L354" s="2335" t="s">
        <v>307</v>
      </c>
      <c r="M354" s="2336"/>
      <c r="N354" s="2332"/>
    </row>
    <row r="355" spans="2:14" s="1201" customFormat="1" ht="14" x14ac:dyDescent="0.3">
      <c r="B355" s="2334"/>
      <c r="C355" s="2334" t="s">
        <v>308</v>
      </c>
      <c r="D355" s="2334"/>
      <c r="E355" s="2334"/>
      <c r="F355" s="2334"/>
      <c r="G355" s="2334"/>
      <c r="H355" s="2334"/>
      <c r="I355" s="2334"/>
      <c r="J355" s="2334"/>
      <c r="K355" s="2334"/>
      <c r="L355" s="2335"/>
      <c r="M355" s="2336" t="s">
        <v>309</v>
      </c>
      <c r="N355" s="2332"/>
    </row>
    <row r="356" spans="2:14" s="1201" customFormat="1" ht="14" x14ac:dyDescent="0.3">
      <c r="B356" s="2334"/>
      <c r="C356" s="2334"/>
      <c r="D356" s="2334"/>
      <c r="E356" s="2334"/>
      <c r="F356" s="2334"/>
      <c r="G356" s="2334"/>
      <c r="H356" s="2334"/>
      <c r="I356" s="2334"/>
      <c r="J356" s="2334"/>
      <c r="K356" s="2334"/>
      <c r="L356" s="2335"/>
      <c r="M356" s="2336"/>
      <c r="N356" s="2332"/>
    </row>
    <row r="357" spans="2:14" s="1201" customFormat="1" ht="14" x14ac:dyDescent="0.3">
      <c r="B357" s="2337" t="s">
        <v>302</v>
      </c>
      <c r="C357" s="2338"/>
      <c r="D357" s="2339">
        <f>IF($V$205="1",($C$53*G53*10^-6),(G53*10^-3))</f>
        <v>0</v>
      </c>
      <c r="E357" s="2334"/>
      <c r="F357" s="2334"/>
      <c r="G357" s="2334"/>
      <c r="H357" s="2334"/>
      <c r="I357" s="2334"/>
      <c r="J357" s="2334"/>
      <c r="K357" s="2334"/>
      <c r="L357" s="2335" t="s">
        <v>859</v>
      </c>
      <c r="M357" s="2336"/>
      <c r="N357" s="2332"/>
    </row>
    <row r="358" spans="2:14" s="1201" customFormat="1" ht="14" x14ac:dyDescent="0.3">
      <c r="B358" s="2337" t="s">
        <v>858</v>
      </c>
      <c r="C358" s="2338"/>
      <c r="D358" s="2339">
        <f>IF($V$205="1",($C$54*G54)*10^-6,(G54*10^-3))</f>
        <v>0</v>
      </c>
      <c r="E358" s="2334"/>
      <c r="F358" s="2334"/>
      <c r="G358" s="2334"/>
      <c r="H358" s="2334"/>
      <c r="I358" s="2334"/>
      <c r="J358" s="2334"/>
      <c r="K358" s="2334"/>
      <c r="L358" s="2335" t="s">
        <v>859</v>
      </c>
      <c r="M358" s="2336"/>
    </row>
    <row r="359" spans="2:14" s="1201" customFormat="1" ht="14" x14ac:dyDescent="0.3">
      <c r="B359" s="2334"/>
      <c r="C359" s="2334"/>
      <c r="D359" s="2339"/>
      <c r="E359" s="2334"/>
      <c r="F359" s="2334"/>
      <c r="G359" s="2334"/>
      <c r="H359" s="2334"/>
      <c r="I359" s="2334"/>
      <c r="J359" s="2334"/>
      <c r="K359" s="2334"/>
      <c r="L359" s="2335"/>
      <c r="M359" s="2336"/>
    </row>
    <row r="360" spans="2:14" s="1201" customFormat="1" ht="14" x14ac:dyDescent="0.3">
      <c r="B360" s="2333" t="s">
        <v>310</v>
      </c>
      <c r="C360" s="2333" t="s">
        <v>311</v>
      </c>
      <c r="D360" s="2334"/>
      <c r="E360" s="2334"/>
      <c r="F360" s="2334"/>
      <c r="G360" s="2334"/>
      <c r="H360" s="2334"/>
      <c r="I360" s="2334"/>
      <c r="J360" s="2334"/>
      <c r="K360" s="2334"/>
      <c r="L360" s="2335" t="s">
        <v>860</v>
      </c>
      <c r="M360" s="2336" t="s">
        <v>1297</v>
      </c>
    </row>
    <row r="361" spans="2:14" s="1201" customFormat="1" ht="14" x14ac:dyDescent="0.3">
      <c r="B361" s="2334"/>
      <c r="C361" s="2334" t="s">
        <v>314</v>
      </c>
      <c r="D361" s="2334"/>
      <c r="E361" s="2334"/>
      <c r="F361" s="2334"/>
      <c r="G361" s="2334"/>
      <c r="H361" s="2334"/>
      <c r="I361" s="2334"/>
      <c r="J361" s="2334"/>
      <c r="K361" s="2334"/>
      <c r="L361" s="2335" t="s">
        <v>315</v>
      </c>
      <c r="M361" s="2336" t="s">
        <v>1296</v>
      </c>
    </row>
    <row r="362" spans="2:14" s="1201" customFormat="1" ht="14" x14ac:dyDescent="0.3">
      <c r="B362" s="2334"/>
      <c r="C362" s="2334"/>
      <c r="D362" s="2334"/>
      <c r="E362" s="2334"/>
      <c r="F362" s="2334"/>
      <c r="G362" s="2334"/>
      <c r="H362" s="2334"/>
      <c r="I362" s="2334"/>
      <c r="J362" s="2334"/>
      <c r="K362" s="2334"/>
      <c r="L362" s="2335"/>
      <c r="M362" s="2336"/>
    </row>
    <row r="363" spans="2:14" s="1201" customFormat="1" ht="14" x14ac:dyDescent="0.3">
      <c r="B363" s="2340" t="s">
        <v>317</v>
      </c>
      <c r="C363" s="2341" t="s">
        <v>318</v>
      </c>
      <c r="D363" s="2334"/>
      <c r="E363" s="2342" t="s">
        <v>302</v>
      </c>
      <c r="F363" s="2334"/>
      <c r="G363" s="2339">
        <f>D357*$C$364*44/28</f>
        <v>0</v>
      </c>
      <c r="H363" s="2343"/>
      <c r="I363" s="2343"/>
      <c r="J363" s="2343"/>
      <c r="K363" s="2343"/>
      <c r="L363" s="2335" t="s">
        <v>860</v>
      </c>
      <c r="M363" s="2336"/>
    </row>
    <row r="364" spans="2:14" s="1201" customFormat="1" ht="14" x14ac:dyDescent="0.3">
      <c r="B364" s="2344" t="s">
        <v>319</v>
      </c>
      <c r="C364" s="2345">
        <v>3.8999999999999998E-3</v>
      </c>
      <c r="D364" s="2334"/>
      <c r="E364" s="2342" t="s">
        <v>301</v>
      </c>
      <c r="F364" s="2334"/>
      <c r="G364" s="2339">
        <f>D358*$C$364*44/28</f>
        <v>0</v>
      </c>
      <c r="H364" s="2343"/>
      <c r="I364" s="2343"/>
      <c r="J364" s="2343"/>
      <c r="K364" s="2343"/>
      <c r="L364" s="2335" t="s">
        <v>860</v>
      </c>
      <c r="M364" s="2336"/>
    </row>
    <row r="365" spans="2:14" s="1201" customFormat="1" ht="14" x14ac:dyDescent="0.3">
      <c r="B365" s="2344" t="s">
        <v>320</v>
      </c>
      <c r="C365" s="2345">
        <v>8.5000000000000006E-3</v>
      </c>
      <c r="D365" s="2334"/>
      <c r="E365" s="2337"/>
      <c r="F365" s="2334"/>
      <c r="G365" s="2346"/>
      <c r="H365" s="2343"/>
      <c r="I365" s="2343"/>
      <c r="J365" s="2343"/>
      <c r="K365" s="2343"/>
      <c r="L365" s="2335"/>
      <c r="M365" s="2336"/>
    </row>
    <row r="366" spans="2:14" s="1201" customFormat="1" ht="14" x14ac:dyDescent="0.3">
      <c r="B366" s="2347" t="s">
        <v>321</v>
      </c>
      <c r="C366" s="2345">
        <v>2.0999999999999999E-3</v>
      </c>
      <c r="D366" s="2334"/>
      <c r="E366" s="2337"/>
      <c r="F366" s="2334"/>
      <c r="G366" s="2346"/>
      <c r="H366" s="2343"/>
      <c r="I366" s="2343"/>
      <c r="J366" s="2343"/>
      <c r="K366" s="2343"/>
      <c r="L366" s="2335"/>
      <c r="M366" s="2336"/>
    </row>
    <row r="367" spans="2:14" s="1201" customFormat="1" ht="14" x14ac:dyDescent="0.3">
      <c r="B367" s="2347" t="s">
        <v>322</v>
      </c>
      <c r="C367" s="2345">
        <v>2E-3</v>
      </c>
      <c r="D367" s="2334"/>
      <c r="E367" s="2334"/>
      <c r="F367" s="2334"/>
      <c r="G367" s="2346"/>
      <c r="H367" s="2343"/>
      <c r="I367" s="2343"/>
      <c r="J367" s="2343"/>
      <c r="K367" s="2343"/>
      <c r="L367" s="2335"/>
      <c r="M367" s="2336"/>
    </row>
    <row r="368" spans="2:14" s="1201" customFormat="1" ht="14" x14ac:dyDescent="0.3">
      <c r="B368" s="2344" t="s">
        <v>323</v>
      </c>
      <c r="C368" s="2345">
        <v>1.9900000000000001E-2</v>
      </c>
      <c r="D368" s="2334"/>
      <c r="E368" s="2334"/>
      <c r="F368" s="2334"/>
      <c r="G368" s="2346"/>
      <c r="H368" s="2334"/>
      <c r="I368" s="2334"/>
      <c r="J368" s="2334"/>
      <c r="K368" s="2334"/>
      <c r="L368" s="2335"/>
      <c r="M368" s="2336"/>
    </row>
    <row r="369" spans="2:13" s="1201" customFormat="1" ht="14" x14ac:dyDescent="0.3">
      <c r="B369" s="2344" t="s">
        <v>324</v>
      </c>
      <c r="C369" s="2345">
        <v>5.4999999999999997E-3</v>
      </c>
      <c r="D369" s="2334"/>
      <c r="E369" s="2342"/>
      <c r="F369" s="2334"/>
      <c r="G369" s="2348"/>
      <c r="H369" s="2349"/>
      <c r="I369" s="2349"/>
      <c r="J369" s="2349"/>
      <c r="K369" s="2349"/>
      <c r="L369" s="2335"/>
      <c r="M369" s="2336"/>
    </row>
    <row r="370" spans="2:13" s="1201" customFormat="1" ht="14" x14ac:dyDescent="0.3">
      <c r="B370" s="2350" t="s">
        <v>325</v>
      </c>
      <c r="C370" s="2351">
        <v>8.5000000000000006E-3</v>
      </c>
      <c r="D370" s="2334"/>
      <c r="E370" s="2337"/>
      <c r="F370" s="2334"/>
      <c r="G370" s="2348"/>
      <c r="H370" s="2349"/>
      <c r="I370" s="2349"/>
      <c r="J370" s="2349"/>
      <c r="K370" s="2349"/>
      <c r="L370" s="2335"/>
      <c r="M370" s="2336"/>
    </row>
    <row r="371" spans="2:13" s="1201" customFormat="1" ht="14" x14ac:dyDescent="0.3">
      <c r="B371" s="2334"/>
      <c r="C371" s="2334"/>
      <c r="D371" s="2334"/>
      <c r="E371" s="2337"/>
      <c r="F371" s="2334"/>
      <c r="G371" s="2348"/>
      <c r="H371" s="2349"/>
      <c r="I371" s="2349"/>
      <c r="J371" s="2349"/>
      <c r="K371" s="2349"/>
      <c r="L371" s="2335"/>
      <c r="M371" s="2336"/>
    </row>
    <row r="372" spans="2:13" s="1201" customFormat="1" ht="14" x14ac:dyDescent="0.3">
      <c r="B372" s="2334"/>
      <c r="C372" s="2334"/>
      <c r="D372" s="2334"/>
      <c r="E372" s="2337"/>
      <c r="F372" s="2334"/>
      <c r="G372" s="2348"/>
      <c r="H372" s="2349"/>
      <c r="I372" s="2349"/>
      <c r="J372" s="2349"/>
      <c r="K372" s="2349"/>
      <c r="L372" s="2335"/>
      <c r="M372" s="2336"/>
    </row>
    <row r="373" spans="2:13" s="1201" customFormat="1" ht="14" x14ac:dyDescent="0.3">
      <c r="B373" s="2334"/>
      <c r="C373" s="2334"/>
      <c r="D373" s="2334"/>
      <c r="E373" s="2334"/>
      <c r="F373" s="2334"/>
      <c r="G373" s="2346"/>
      <c r="H373" s="2352"/>
      <c r="I373" s="2352"/>
      <c r="J373" s="2352"/>
      <c r="K373" s="2352"/>
      <c r="L373" s="2335"/>
      <c r="M373" s="2336"/>
    </row>
    <row r="374" spans="2:13" s="1201" customFormat="1" ht="14" x14ac:dyDescent="0.3">
      <c r="B374" s="2334"/>
      <c r="C374" s="2334"/>
      <c r="D374" s="2334"/>
      <c r="E374" s="2334"/>
      <c r="F374" s="2334"/>
      <c r="G374" s="2334"/>
      <c r="H374" s="2334"/>
      <c r="I374" s="2334"/>
      <c r="J374" s="2334"/>
      <c r="K374" s="2334"/>
      <c r="L374" s="2335"/>
      <c r="M374" s="2336"/>
    </row>
    <row r="375" spans="2:13" s="1201" customFormat="1" ht="14" x14ac:dyDescent="0.3">
      <c r="B375" s="2333" t="s">
        <v>326</v>
      </c>
      <c r="C375" s="2353">
        <f>SUM(G363:G364)</f>
        <v>0</v>
      </c>
      <c r="D375" s="2334"/>
      <c r="E375" s="2334"/>
      <c r="F375" s="2334"/>
      <c r="G375" s="2334"/>
      <c r="H375" s="2334"/>
      <c r="I375" s="2334"/>
      <c r="J375" s="2334"/>
      <c r="K375" s="2334"/>
      <c r="L375" s="2335" t="s">
        <v>299</v>
      </c>
      <c r="M375" s="2336"/>
    </row>
    <row r="376" spans="2:13" s="1201" customFormat="1" ht="14" x14ac:dyDescent="0.3">
      <c r="B376" s="2333" t="s">
        <v>326</v>
      </c>
      <c r="C376" s="2354">
        <f>C375*'Emission factors'!$C$5</f>
        <v>0</v>
      </c>
      <c r="D376" s="2334"/>
      <c r="E376" s="2334"/>
      <c r="F376" s="2334"/>
      <c r="G376" s="2334"/>
      <c r="H376" s="2334"/>
      <c r="I376" s="2334"/>
      <c r="J376" s="2334"/>
      <c r="K376" s="2334"/>
      <c r="L376" s="2335" t="s">
        <v>265</v>
      </c>
      <c r="M376" s="2336"/>
    </row>
    <row r="377" spans="2:13" s="1201" customFormat="1" ht="14" x14ac:dyDescent="0.3">
      <c r="B377" s="2333" t="s">
        <v>326</v>
      </c>
      <c r="C377" s="2355">
        <f>C376*10^3</f>
        <v>0</v>
      </c>
      <c r="D377" s="2334"/>
      <c r="E377" s="2337"/>
      <c r="F377" s="2337"/>
      <c r="G377" s="2337"/>
      <c r="H377" s="2337"/>
      <c r="I377" s="2337"/>
      <c r="J377" s="2337"/>
      <c r="K377" s="2337"/>
      <c r="L377" s="2335" t="s">
        <v>266</v>
      </c>
      <c r="M377" s="2336"/>
    </row>
    <row r="378" spans="2:13" s="1201" customFormat="1" ht="14" x14ac:dyDescent="0.3">
      <c r="B378" s="2334"/>
      <c r="C378" s="2334"/>
      <c r="D378" s="2334"/>
      <c r="E378" s="2337"/>
      <c r="F378" s="2337"/>
      <c r="G378" s="2337"/>
      <c r="H378" s="2337"/>
      <c r="I378" s="2337"/>
      <c r="J378" s="2337"/>
      <c r="K378" s="2337"/>
      <c r="L378" s="2356"/>
      <c r="M378" s="2336"/>
    </row>
    <row r="379" spans="2:13" s="1201" customFormat="1" ht="14" x14ac:dyDescent="0.3">
      <c r="B379" s="2333" t="s">
        <v>327</v>
      </c>
      <c r="C379" s="2334"/>
      <c r="D379" s="2334"/>
      <c r="E379" s="2337"/>
      <c r="F379" s="2337"/>
      <c r="G379" s="2357"/>
      <c r="H379" s="2357"/>
      <c r="I379" s="2357"/>
      <c r="J379" s="2357"/>
      <c r="K379" s="2357"/>
      <c r="L379" s="2356"/>
      <c r="M379" s="2336"/>
    </row>
    <row r="380" spans="2:13" s="1201" customFormat="1" ht="14" x14ac:dyDescent="0.3">
      <c r="B380" s="2333" t="s">
        <v>328</v>
      </c>
      <c r="C380" s="2333" t="s">
        <v>2155</v>
      </c>
      <c r="D380" s="2334"/>
      <c r="E380" s="2337"/>
      <c r="F380" s="2337"/>
      <c r="G380" s="2337"/>
      <c r="H380" s="2337"/>
      <c r="I380" s="2337"/>
      <c r="J380" s="2337"/>
      <c r="K380" s="2337"/>
      <c r="L380" s="2356"/>
      <c r="M380" s="2336" t="s">
        <v>1302</v>
      </c>
    </row>
    <row r="381" spans="2:13" s="1201" customFormat="1" ht="14" x14ac:dyDescent="0.3">
      <c r="B381" s="2337"/>
      <c r="C381" s="2337" t="s">
        <v>330</v>
      </c>
      <c r="D381" s="2337"/>
      <c r="E381" s="2337"/>
      <c r="F381" s="2337"/>
      <c r="G381" s="2337"/>
      <c r="H381" s="2337"/>
      <c r="I381" s="2337"/>
      <c r="J381" s="2337"/>
      <c r="K381" s="2337"/>
      <c r="L381" s="2356"/>
      <c r="M381" s="2336"/>
    </row>
    <row r="382" spans="2:13" s="1201" customFormat="1" ht="14" x14ac:dyDescent="0.3">
      <c r="B382" s="2337"/>
      <c r="C382" s="2334" t="s">
        <v>1329</v>
      </c>
      <c r="D382" s="2337"/>
      <c r="E382" s="2337"/>
      <c r="F382" s="2337"/>
      <c r="G382" s="2337"/>
      <c r="H382" s="2337"/>
      <c r="I382" s="2337"/>
      <c r="J382" s="2337"/>
      <c r="K382" s="2337"/>
      <c r="L382" s="2356"/>
      <c r="M382" s="2336"/>
    </row>
    <row r="383" spans="2:13" s="1201" customFormat="1" ht="14" x14ac:dyDescent="0.3">
      <c r="B383" s="2334"/>
      <c r="C383" s="2334" t="s">
        <v>1304</v>
      </c>
      <c r="D383" s="2337"/>
      <c r="E383" s="2358"/>
      <c r="F383" s="2334"/>
      <c r="G383" s="2334"/>
      <c r="H383" s="2334"/>
      <c r="I383" s="2334"/>
      <c r="J383" s="2334"/>
      <c r="K383" s="2334"/>
      <c r="L383" s="2335"/>
      <c r="M383" s="2336"/>
    </row>
    <row r="384" spans="2:13" s="1201" customFormat="1" ht="14" x14ac:dyDescent="0.3">
      <c r="B384" s="2334"/>
      <c r="C384" s="2334" t="s">
        <v>1305</v>
      </c>
      <c r="D384" s="2337"/>
      <c r="E384" s="2358"/>
      <c r="F384" s="2334"/>
      <c r="G384" s="2334"/>
      <c r="H384" s="2334"/>
      <c r="I384" s="2334"/>
      <c r="J384" s="2334"/>
      <c r="K384" s="2334"/>
      <c r="L384" s="2335"/>
      <c r="M384" s="2336"/>
    </row>
    <row r="385" spans="2:16" s="1201" customFormat="1" ht="14" x14ac:dyDescent="0.3">
      <c r="B385" s="2334"/>
      <c r="C385" s="2337"/>
      <c r="D385" s="2337"/>
      <c r="E385" s="2358"/>
      <c r="F385" s="2334"/>
      <c r="G385" s="2334"/>
      <c r="H385" s="2334"/>
      <c r="I385" s="2334"/>
      <c r="J385" s="2334"/>
      <c r="K385" s="2334"/>
      <c r="L385" s="2335"/>
      <c r="M385" s="2336"/>
    </row>
    <row r="386" spans="2:16" s="1201" customFormat="1" ht="14" x14ac:dyDescent="0.3">
      <c r="B386" s="2333"/>
      <c r="C386" s="2334"/>
      <c r="D386" s="1927" t="str">
        <f>D17</f>
        <v>Milking Cows</v>
      </c>
      <c r="E386" s="1927" t="str">
        <f>E17</f>
        <v>Heifers &gt;1 yr age</v>
      </c>
      <c r="F386" s="1927" t="str">
        <f>F17</f>
        <v>Heifers &lt;1 yr age</v>
      </c>
      <c r="G386" s="1927" t="str">
        <f>G17</f>
        <v>Mature bulls</v>
      </c>
      <c r="H386" s="1927" t="str">
        <f>H17</f>
        <v xml:space="preserve">Other stock &lt; 1 yr age </v>
      </c>
      <c r="I386" s="2359" t="s">
        <v>1228</v>
      </c>
      <c r="J386" s="2359" t="s">
        <v>1229</v>
      </c>
      <c r="K386" s="2359" t="s">
        <v>1946</v>
      </c>
      <c r="L386" s="2335"/>
      <c r="M386" s="2336"/>
      <c r="O386" s="2360"/>
    </row>
    <row r="387" spans="2:16" s="1201" customFormat="1" ht="14" x14ac:dyDescent="0.3">
      <c r="B387" s="2333" t="s">
        <v>1344</v>
      </c>
      <c r="C387" s="2338" t="s">
        <v>440</v>
      </c>
      <c r="D387" s="2361" t="e">
        <f>((D308*C85%)*(1-$L$311-$L$327))-0</f>
        <v>#DIV/0!</v>
      </c>
      <c r="E387" s="2361" t="e">
        <f t="shared" ref="E387:K387" si="33">((E308*$C$86%)*(1-$L$311-$L$327))-0</f>
        <v>#N/A</v>
      </c>
      <c r="F387" s="2361" t="e">
        <f t="shared" si="33"/>
        <v>#N/A</v>
      </c>
      <c r="G387" s="2361" t="e">
        <f t="shared" si="33"/>
        <v>#N/A</v>
      </c>
      <c r="H387" s="2361" t="e">
        <f t="shared" si="33"/>
        <v>#N/A</v>
      </c>
      <c r="I387" s="2361">
        <f t="shared" si="33"/>
        <v>0</v>
      </c>
      <c r="J387" s="2361">
        <f t="shared" si="33"/>
        <v>0</v>
      </c>
      <c r="K387" s="2361" t="e">
        <f t="shared" si="33"/>
        <v>#N/A</v>
      </c>
      <c r="L387" s="2335"/>
      <c r="M387" s="2336"/>
      <c r="N387" s="1984"/>
      <c r="O387" s="2360"/>
      <c r="P387" s="2362"/>
    </row>
    <row r="388" spans="2:16" s="1201" customFormat="1" ht="14" x14ac:dyDescent="0.3">
      <c r="B388" s="2334"/>
      <c r="C388" s="2334"/>
      <c r="D388" s="2361"/>
      <c r="E388" s="2361"/>
      <c r="F388" s="2361"/>
      <c r="G388" s="2361"/>
      <c r="H388" s="2361"/>
      <c r="I388" s="2361"/>
      <c r="J388" s="2361"/>
      <c r="K388" s="2361"/>
      <c r="L388" s="2363"/>
      <c r="M388" s="2336"/>
      <c r="N388" s="1984"/>
      <c r="O388" s="1984"/>
      <c r="P388" s="2364"/>
    </row>
    <row r="389" spans="2:16" s="1201" customFormat="1" ht="14" x14ac:dyDescent="0.3">
      <c r="B389" s="2333" t="s">
        <v>1345</v>
      </c>
      <c r="C389" s="2338" t="s">
        <v>440</v>
      </c>
      <c r="D389" s="2361" t="e">
        <f>((D308*D85%)*(1-$L$313-$L$329))-0</f>
        <v>#DIV/0!</v>
      </c>
      <c r="E389" s="2361" t="e">
        <f t="shared" ref="E389:K389" si="34">((E308*$D$86%)*(1-$L$313-$L$329))-0</f>
        <v>#N/A</v>
      </c>
      <c r="F389" s="2361" t="e">
        <f t="shared" si="34"/>
        <v>#N/A</v>
      </c>
      <c r="G389" s="2361" t="e">
        <f t="shared" si="34"/>
        <v>#N/A</v>
      </c>
      <c r="H389" s="2361" t="e">
        <f t="shared" si="34"/>
        <v>#N/A</v>
      </c>
      <c r="I389" s="2361">
        <f t="shared" si="34"/>
        <v>0</v>
      </c>
      <c r="J389" s="2361">
        <f t="shared" si="34"/>
        <v>0</v>
      </c>
      <c r="K389" s="2361" t="e">
        <f t="shared" si="34"/>
        <v>#N/A</v>
      </c>
      <c r="L389" s="2335"/>
      <c r="M389" s="2336"/>
      <c r="O389" s="2308"/>
      <c r="P389" s="2364"/>
    </row>
    <row r="390" spans="2:16" s="1201" customFormat="1" ht="14" x14ac:dyDescent="0.3">
      <c r="B390" s="2334"/>
      <c r="C390" s="2334"/>
      <c r="D390" s="2361"/>
      <c r="E390" s="2361"/>
      <c r="F390" s="2361"/>
      <c r="G390" s="2361"/>
      <c r="H390" s="2361"/>
      <c r="I390" s="2361"/>
      <c r="J390" s="2361"/>
      <c r="K390" s="2361"/>
      <c r="L390" s="2335"/>
      <c r="M390" s="2365"/>
      <c r="O390" s="2308"/>
      <c r="P390" s="2364"/>
    </row>
    <row r="391" spans="2:16" s="1201" customFormat="1" ht="14" x14ac:dyDescent="0.3">
      <c r="B391" s="2333" t="s">
        <v>1346</v>
      </c>
      <c r="C391" s="2338" t="s">
        <v>440</v>
      </c>
      <c r="D391" s="2366" t="e">
        <f>((D308*E85%)*(1-$L$315-$L$331)-0)</f>
        <v>#DIV/0!</v>
      </c>
      <c r="E391" s="2366" t="e">
        <f t="shared" ref="E391:K391" si="35">((E308*$E$86%)*(1-$L$315-$L$331)-0)</f>
        <v>#N/A</v>
      </c>
      <c r="F391" s="2366" t="e">
        <f t="shared" si="35"/>
        <v>#N/A</v>
      </c>
      <c r="G391" s="2366" t="e">
        <f t="shared" si="35"/>
        <v>#N/A</v>
      </c>
      <c r="H391" s="2366" t="e">
        <f t="shared" si="35"/>
        <v>#N/A</v>
      </c>
      <c r="I391" s="2366">
        <f t="shared" si="35"/>
        <v>0</v>
      </c>
      <c r="J391" s="2366">
        <f t="shared" si="35"/>
        <v>0</v>
      </c>
      <c r="K391" s="2366" t="e">
        <f t="shared" si="35"/>
        <v>#N/A</v>
      </c>
      <c r="L391" s="2335"/>
      <c r="M391" s="2365"/>
      <c r="O391" s="2308"/>
      <c r="P391" s="2364"/>
    </row>
    <row r="392" spans="2:16" s="1201" customFormat="1" ht="14" x14ac:dyDescent="0.3">
      <c r="B392" s="2334"/>
      <c r="C392" s="2338"/>
      <c r="D392" s="2361"/>
      <c r="E392" s="2367"/>
      <c r="F392" s="2367"/>
      <c r="G392" s="2367"/>
      <c r="H392" s="2367"/>
      <c r="I392" s="2367"/>
      <c r="J392" s="2367"/>
      <c r="K392" s="2367"/>
      <c r="L392" s="2335"/>
      <c r="M392" s="2365"/>
      <c r="O392" s="2308"/>
      <c r="P392" s="2308"/>
    </row>
    <row r="393" spans="2:16" s="1201" customFormat="1" ht="14" x14ac:dyDescent="0.3">
      <c r="B393" s="2333" t="s">
        <v>1347</v>
      </c>
      <c r="C393" s="2338" t="s">
        <v>440</v>
      </c>
      <c r="D393" s="2361" t="e">
        <f>((D308*F85%)*(1-$L$317-$L$333))-D344</f>
        <v>#DIV/0!</v>
      </c>
      <c r="E393" s="2361" t="e">
        <f t="shared" ref="E393:K393" si="36">((E308*$F$86%)*(1-$L$317-$L$333))-E344</f>
        <v>#N/A</v>
      </c>
      <c r="F393" s="2361" t="e">
        <f t="shared" si="36"/>
        <v>#N/A</v>
      </c>
      <c r="G393" s="2361" t="e">
        <f t="shared" si="36"/>
        <v>#N/A</v>
      </c>
      <c r="H393" s="2361" t="e">
        <f t="shared" si="36"/>
        <v>#N/A</v>
      </c>
      <c r="I393" s="2361">
        <f t="shared" si="36"/>
        <v>0</v>
      </c>
      <c r="J393" s="2361">
        <f t="shared" si="36"/>
        <v>0</v>
      </c>
      <c r="K393" s="2361" t="e">
        <f t="shared" si="36"/>
        <v>#N/A</v>
      </c>
      <c r="L393" s="2335"/>
      <c r="M393" s="2365"/>
      <c r="O393" s="2308"/>
      <c r="P393" s="2308"/>
    </row>
    <row r="394" spans="2:16" s="1201" customFormat="1" ht="14" x14ac:dyDescent="0.3">
      <c r="B394" s="2334"/>
      <c r="C394" s="2338"/>
      <c r="D394" s="2361"/>
      <c r="E394" s="2367"/>
      <c r="F394" s="2367"/>
      <c r="G394" s="2367"/>
      <c r="H394" s="2367"/>
      <c r="I394" s="2367"/>
      <c r="J394" s="2367"/>
      <c r="K394" s="2367"/>
      <c r="L394" s="2335"/>
      <c r="M394" s="2365"/>
      <c r="O394" s="2308"/>
      <c r="P394" s="2308"/>
    </row>
    <row r="395" spans="2:16" s="1201" customFormat="1" ht="14" x14ac:dyDescent="0.3">
      <c r="B395" s="2333" t="s">
        <v>1348</v>
      </c>
      <c r="C395" s="2338" t="s">
        <v>440</v>
      </c>
      <c r="D395" s="2361" t="e">
        <f>SUM(D387:D393)</f>
        <v>#DIV/0!</v>
      </c>
      <c r="E395" s="2361" t="e">
        <f t="shared" ref="E395:J395" si="37">SUM(E387:E393)</f>
        <v>#N/A</v>
      </c>
      <c r="F395" s="2361" t="e">
        <f t="shared" si="37"/>
        <v>#N/A</v>
      </c>
      <c r="G395" s="2361" t="e">
        <f t="shared" si="37"/>
        <v>#N/A</v>
      </c>
      <c r="H395" s="2361" t="e">
        <f t="shared" si="37"/>
        <v>#N/A</v>
      </c>
      <c r="I395" s="2361">
        <f t="shared" si="37"/>
        <v>0</v>
      </c>
      <c r="J395" s="2361">
        <f t="shared" si="37"/>
        <v>0</v>
      </c>
      <c r="K395" s="2361" t="e">
        <f t="shared" ref="K395" si="38">SUM(K387:K393)</f>
        <v>#N/A</v>
      </c>
      <c r="L395" s="2335"/>
      <c r="M395" s="2365"/>
      <c r="O395" s="2368"/>
      <c r="P395" s="2308"/>
    </row>
    <row r="396" spans="2:16" s="1201" customFormat="1" ht="14" x14ac:dyDescent="0.3">
      <c r="B396" s="2334"/>
      <c r="C396" s="2334"/>
      <c r="D396" s="2334"/>
      <c r="E396" s="2334"/>
      <c r="F396" s="2334"/>
      <c r="G396" s="2334"/>
      <c r="H396" s="2334"/>
      <c r="I396" s="2334"/>
      <c r="J396" s="2334"/>
      <c r="K396" s="2334"/>
      <c r="L396" s="2335"/>
      <c r="M396" s="2365"/>
      <c r="N396" s="1984"/>
      <c r="O396" s="2364"/>
    </row>
    <row r="397" spans="2:16" s="1201" customFormat="1" ht="14" x14ac:dyDescent="0.3">
      <c r="B397" s="2333" t="s">
        <v>331</v>
      </c>
      <c r="C397" s="2333" t="s">
        <v>332</v>
      </c>
      <c r="D397" s="2369"/>
      <c r="E397" s="2334"/>
      <c r="F397" s="2334"/>
      <c r="G397" s="2334"/>
      <c r="H397" s="2334"/>
      <c r="I397" s="2334"/>
      <c r="J397" s="2334"/>
      <c r="K397" s="2334"/>
      <c r="L397" s="2335"/>
      <c r="M397" s="2336" t="s">
        <v>1307</v>
      </c>
      <c r="N397" s="1984"/>
      <c r="O397" s="2370"/>
    </row>
    <row r="398" spans="2:16" s="1201" customFormat="1" ht="14" x14ac:dyDescent="0.3">
      <c r="B398" s="2334"/>
      <c r="C398" s="2334" t="s">
        <v>334</v>
      </c>
      <c r="D398" s="2353">
        <v>0.01</v>
      </c>
      <c r="E398" s="2334"/>
      <c r="F398" s="2334"/>
      <c r="G398" s="2334"/>
      <c r="H398" s="2334"/>
      <c r="I398" s="2334"/>
      <c r="J398" s="2334"/>
      <c r="K398" s="2334"/>
      <c r="L398" s="2335"/>
      <c r="M398" s="2365"/>
      <c r="N398" s="1984"/>
      <c r="O398" s="2368"/>
    </row>
    <row r="399" spans="2:16" s="1201" customFormat="1" ht="14" x14ac:dyDescent="0.3">
      <c r="B399" s="2334"/>
      <c r="C399" s="2338" t="s">
        <v>440</v>
      </c>
      <c r="D399" s="2371" t="e">
        <f>D395*$D$398*44/28</f>
        <v>#DIV/0!</v>
      </c>
      <c r="E399" s="2371" t="e">
        <f t="shared" ref="E399:J399" si="39">E395*$D$398*44/28</f>
        <v>#N/A</v>
      </c>
      <c r="F399" s="2371" t="e">
        <f>F395*$D$398*44/28</f>
        <v>#N/A</v>
      </c>
      <c r="G399" s="2371" t="e">
        <f t="shared" si="39"/>
        <v>#N/A</v>
      </c>
      <c r="H399" s="2371" t="e">
        <f t="shared" si="39"/>
        <v>#N/A</v>
      </c>
      <c r="I399" s="2371">
        <f t="shared" si="39"/>
        <v>0</v>
      </c>
      <c r="J399" s="2371">
        <f t="shared" si="39"/>
        <v>0</v>
      </c>
      <c r="K399" s="2371" t="e">
        <f t="shared" ref="K399" si="40">K395*$D$398*44/28</f>
        <v>#N/A</v>
      </c>
      <c r="L399" s="2335" t="s">
        <v>298</v>
      </c>
      <c r="M399" s="2365"/>
      <c r="N399" s="1984"/>
      <c r="O399" s="1984"/>
    </row>
    <row r="400" spans="2:16" s="1201" customFormat="1" ht="14" x14ac:dyDescent="0.3">
      <c r="B400" s="2334"/>
      <c r="C400" s="2334"/>
      <c r="D400" s="2361"/>
      <c r="E400" s="2369"/>
      <c r="F400" s="2361"/>
      <c r="G400" s="2334"/>
      <c r="H400" s="2334"/>
      <c r="I400" s="2334"/>
      <c r="J400" s="2334"/>
      <c r="K400" s="2334"/>
      <c r="L400" s="2335"/>
      <c r="M400" s="2365"/>
      <c r="N400" s="2372"/>
      <c r="O400" s="1984"/>
      <c r="P400" s="1984"/>
    </row>
    <row r="401" spans="2:16" s="1201" customFormat="1" ht="14" x14ac:dyDescent="0.3">
      <c r="B401" s="2333" t="s">
        <v>335</v>
      </c>
      <c r="C401" s="2333" t="s">
        <v>336</v>
      </c>
      <c r="D401" s="2334"/>
      <c r="E401" s="2361"/>
      <c r="F401" s="2334"/>
      <c r="G401" s="2334"/>
      <c r="H401" s="2334"/>
      <c r="I401" s="2334"/>
      <c r="J401" s="2334"/>
      <c r="K401" s="2334"/>
      <c r="L401" s="2335"/>
      <c r="M401" s="2336" t="s">
        <v>337</v>
      </c>
      <c r="N401" s="2372"/>
      <c r="P401" s="1984"/>
    </row>
    <row r="402" spans="2:16" s="1201" customFormat="1" ht="14" x14ac:dyDescent="0.3">
      <c r="B402" s="2334"/>
      <c r="C402" s="2334" t="s">
        <v>338</v>
      </c>
      <c r="D402" s="2334"/>
      <c r="E402" s="2334"/>
      <c r="F402" s="2334"/>
      <c r="G402" s="2334"/>
      <c r="H402" s="2334"/>
      <c r="I402" s="2334"/>
      <c r="J402" s="2334"/>
      <c r="K402" s="2334"/>
      <c r="L402" s="2335" t="s">
        <v>307</v>
      </c>
      <c r="M402" s="2373" t="s">
        <v>339</v>
      </c>
      <c r="N402" s="2332"/>
    </row>
    <row r="403" spans="2:16" s="1201" customFormat="1" ht="14" x14ac:dyDescent="0.3">
      <c r="B403" s="2334"/>
      <c r="C403" s="2334" t="s">
        <v>340</v>
      </c>
      <c r="D403" s="2334"/>
      <c r="E403" s="2334"/>
      <c r="F403" s="2334"/>
      <c r="G403" s="2334"/>
      <c r="H403" s="2334"/>
      <c r="I403" s="2334"/>
      <c r="J403" s="2334"/>
      <c r="K403" s="2334"/>
      <c r="L403" s="2335" t="s">
        <v>341</v>
      </c>
      <c r="M403" s="2336"/>
      <c r="N403" s="2332"/>
    </row>
    <row r="404" spans="2:16" s="1201" customFormat="1" ht="14" x14ac:dyDescent="0.3">
      <c r="B404" s="2334"/>
      <c r="C404" s="2334" t="s">
        <v>342</v>
      </c>
      <c r="D404" s="2334"/>
      <c r="E404" s="2334"/>
      <c r="F404" s="2334"/>
      <c r="G404" s="2334"/>
      <c r="H404" s="2334"/>
      <c r="I404" s="2334"/>
      <c r="J404" s="2334"/>
      <c r="K404" s="2334"/>
      <c r="L404" s="2335" t="s">
        <v>343</v>
      </c>
      <c r="M404" s="2336"/>
      <c r="N404" s="2332"/>
    </row>
    <row r="405" spans="2:16" s="1201" customFormat="1" ht="14" x14ac:dyDescent="0.3">
      <c r="B405" s="2334"/>
      <c r="C405" s="2334" t="s">
        <v>344</v>
      </c>
      <c r="D405" s="2334"/>
      <c r="E405" s="2334"/>
      <c r="F405" s="2334"/>
      <c r="G405" s="2334"/>
      <c r="H405" s="2334"/>
      <c r="I405" s="2334"/>
      <c r="J405" s="2334"/>
      <c r="K405" s="2334"/>
      <c r="L405" s="2335" t="s">
        <v>345</v>
      </c>
      <c r="M405" s="2336"/>
      <c r="N405" s="2332"/>
    </row>
    <row r="406" spans="2:16" s="1201" customFormat="1" ht="14" x14ac:dyDescent="0.3">
      <c r="B406" s="2334"/>
      <c r="C406" s="2334" t="s">
        <v>346</v>
      </c>
      <c r="D406" s="2334"/>
      <c r="E406" s="2334"/>
      <c r="F406" s="2334"/>
      <c r="G406" s="2334"/>
      <c r="H406" s="2334"/>
      <c r="I406" s="2334"/>
      <c r="J406" s="2334"/>
      <c r="K406" s="2334"/>
      <c r="L406" s="2335"/>
      <c r="M406" s="2336"/>
    </row>
    <row r="407" spans="2:16" s="1201" customFormat="1" ht="14" x14ac:dyDescent="0.3">
      <c r="B407" s="2334"/>
      <c r="C407" s="2334" t="s">
        <v>347</v>
      </c>
      <c r="D407" s="2334"/>
      <c r="E407" s="2334"/>
      <c r="F407" s="2334"/>
      <c r="G407" s="2334"/>
      <c r="H407" s="2334"/>
      <c r="I407" s="2334"/>
      <c r="J407" s="2334"/>
      <c r="K407" s="2334"/>
      <c r="L407" s="2335"/>
      <c r="M407" s="2336"/>
    </row>
    <row r="408" spans="2:16" s="1201" customFormat="1" ht="14" x14ac:dyDescent="0.3">
      <c r="B408" s="2334"/>
      <c r="C408" s="2334"/>
      <c r="D408" s="2334"/>
      <c r="E408" s="2334"/>
      <c r="F408" s="2334"/>
      <c r="G408" s="2334"/>
      <c r="H408" s="2334"/>
      <c r="I408" s="2334"/>
      <c r="J408" s="2334"/>
      <c r="K408" s="2334"/>
      <c r="L408" s="2335"/>
      <c r="M408" s="2336"/>
    </row>
    <row r="409" spans="2:16" s="1201" customFormat="1" ht="14" x14ac:dyDescent="0.3">
      <c r="B409" s="2333" t="s">
        <v>348</v>
      </c>
      <c r="C409" s="2333" t="s">
        <v>349</v>
      </c>
      <c r="D409" s="2334"/>
      <c r="E409" s="2334"/>
      <c r="F409" s="2334"/>
      <c r="G409" s="2334"/>
      <c r="H409" s="2334"/>
      <c r="I409" s="2334"/>
      <c r="J409" s="2334"/>
      <c r="K409" s="2334"/>
      <c r="L409" s="2335" t="s">
        <v>312</v>
      </c>
      <c r="M409" s="2336" t="s">
        <v>350</v>
      </c>
    </row>
    <row r="410" spans="2:16" s="1201" customFormat="1" ht="14" x14ac:dyDescent="0.3">
      <c r="B410" s="2334"/>
      <c r="C410" s="2334" t="s">
        <v>351</v>
      </c>
      <c r="D410" s="2334"/>
      <c r="E410" s="2334"/>
      <c r="F410" s="2334"/>
      <c r="G410" s="2334"/>
      <c r="H410" s="2334"/>
      <c r="I410" s="2334"/>
      <c r="J410" s="2334"/>
      <c r="K410" s="2334"/>
      <c r="L410" s="2335" t="s">
        <v>315</v>
      </c>
      <c r="M410" s="2373" t="s">
        <v>339</v>
      </c>
      <c r="O410" s="2308"/>
    </row>
    <row r="411" spans="2:16" s="1201" customFormat="1" ht="14" x14ac:dyDescent="0.3">
      <c r="B411" s="2334"/>
      <c r="C411" s="2334"/>
      <c r="D411" s="2334"/>
      <c r="E411" s="2334"/>
      <c r="F411" s="2334"/>
      <c r="G411" s="2334"/>
      <c r="H411" s="2334"/>
      <c r="I411" s="2334"/>
      <c r="J411" s="2334"/>
      <c r="K411" s="2334"/>
      <c r="L411" s="2335"/>
      <c r="M411" s="2336"/>
    </row>
    <row r="412" spans="2:16" s="1201" customFormat="1" ht="14" x14ac:dyDescent="0.3">
      <c r="B412" s="2334"/>
      <c r="C412" s="2334"/>
      <c r="D412" s="2334"/>
      <c r="E412" s="2334"/>
      <c r="F412" s="2334"/>
      <c r="G412" s="2334"/>
      <c r="H412" s="2334"/>
      <c r="I412" s="2334"/>
      <c r="J412" s="2334"/>
      <c r="K412" s="2334"/>
      <c r="L412" s="2335"/>
      <c r="M412" s="2336"/>
    </row>
    <row r="413" spans="2:16" s="1201" customFormat="1" ht="14" x14ac:dyDescent="0.3">
      <c r="B413" s="2334" t="s">
        <v>352</v>
      </c>
      <c r="C413" s="2334"/>
      <c r="D413" s="2334"/>
      <c r="E413" s="2334"/>
      <c r="F413" s="2334"/>
      <c r="G413" s="2334"/>
      <c r="H413" s="2334"/>
      <c r="I413" s="2334"/>
      <c r="J413" s="2334"/>
      <c r="K413" s="2334"/>
      <c r="L413" s="2335"/>
      <c r="M413" s="2336"/>
    </row>
    <row r="414" spans="2:16" s="1201" customFormat="1" ht="14" x14ac:dyDescent="0.3">
      <c r="B414" s="2333" t="s">
        <v>353</v>
      </c>
      <c r="C414" s="2333" t="s">
        <v>354</v>
      </c>
      <c r="D414" s="2334"/>
      <c r="E414" s="2334"/>
      <c r="F414" s="2334"/>
      <c r="G414" s="2334"/>
      <c r="H414" s="2334"/>
      <c r="I414" s="2334"/>
      <c r="J414" s="2334"/>
      <c r="K414" s="2334"/>
      <c r="L414" s="2335"/>
      <c r="M414" s="2336" t="s">
        <v>355</v>
      </c>
    </row>
    <row r="415" spans="2:16" s="1201" customFormat="1" ht="14" x14ac:dyDescent="0.3">
      <c r="B415" s="2334"/>
      <c r="C415" s="2334" t="s">
        <v>356</v>
      </c>
      <c r="D415" s="2334"/>
      <c r="E415" s="2334"/>
      <c r="F415" s="2334"/>
      <c r="G415" s="2334"/>
      <c r="H415" s="2334"/>
      <c r="I415" s="2334"/>
      <c r="J415" s="2334"/>
      <c r="K415" s="2334"/>
      <c r="L415" s="2335"/>
      <c r="M415" s="2373" t="s">
        <v>339</v>
      </c>
    </row>
    <row r="416" spans="2:16" s="1201" customFormat="1" ht="14" x14ac:dyDescent="0.3">
      <c r="B416" s="2334"/>
      <c r="C416" s="2334" t="s">
        <v>357</v>
      </c>
      <c r="D416" s="2334"/>
      <c r="E416" s="2334"/>
      <c r="F416" s="2334"/>
      <c r="G416" s="2334"/>
      <c r="H416" s="2334"/>
      <c r="I416" s="2334"/>
      <c r="J416" s="2334"/>
      <c r="K416" s="2334"/>
      <c r="L416" s="2335"/>
      <c r="M416" s="2336"/>
      <c r="P416" s="2374"/>
    </row>
    <row r="417" spans="2:23" s="1201" customFormat="1" ht="14" x14ac:dyDescent="0.3">
      <c r="B417" s="2334"/>
      <c r="C417" s="2334" t="s">
        <v>358</v>
      </c>
      <c r="D417" s="2334"/>
      <c r="E417" s="2334"/>
      <c r="F417" s="2334"/>
      <c r="G417" s="2334"/>
      <c r="H417" s="2334"/>
      <c r="I417" s="2334"/>
      <c r="J417" s="2334"/>
      <c r="K417" s="2334"/>
      <c r="L417" s="2335"/>
      <c r="M417" s="2336"/>
      <c r="W417" s="1984"/>
    </row>
    <row r="418" spans="2:23" s="1201" customFormat="1" ht="14" x14ac:dyDescent="0.3">
      <c r="B418" s="2334"/>
      <c r="C418" s="2334"/>
      <c r="D418" s="2334"/>
      <c r="E418" s="2334"/>
      <c r="F418" s="2334"/>
      <c r="G418" s="2334"/>
      <c r="H418" s="2334"/>
      <c r="I418" s="2334"/>
      <c r="J418" s="2334"/>
      <c r="K418" s="2334"/>
      <c r="L418" s="2335"/>
      <c r="M418" s="2336"/>
      <c r="V418" s="1984"/>
      <c r="W418" s="2370"/>
    </row>
    <row r="419" spans="2:23" s="1201" customFormat="1" ht="14" x14ac:dyDescent="0.3">
      <c r="B419" s="2333" t="s">
        <v>359</v>
      </c>
      <c r="C419" s="2333" t="s">
        <v>349</v>
      </c>
      <c r="D419" s="2334"/>
      <c r="E419" s="2334"/>
      <c r="F419" s="2334"/>
      <c r="G419" s="2334"/>
      <c r="H419" s="2334"/>
      <c r="I419" s="2334"/>
      <c r="J419" s="2334"/>
      <c r="K419" s="2334"/>
      <c r="L419" s="2335" t="s">
        <v>312</v>
      </c>
      <c r="M419" s="2336" t="s">
        <v>360</v>
      </c>
      <c r="V419" s="1942"/>
      <c r="W419" s="2370"/>
    </row>
    <row r="420" spans="2:23" s="1201" customFormat="1" ht="14" x14ac:dyDescent="0.3">
      <c r="B420" s="2334"/>
      <c r="C420" s="2334" t="s">
        <v>351</v>
      </c>
      <c r="D420" s="2334"/>
      <c r="E420" s="2334"/>
      <c r="F420" s="2334"/>
      <c r="G420" s="2334"/>
      <c r="H420" s="2334"/>
      <c r="I420" s="2334"/>
      <c r="J420" s="2334"/>
      <c r="K420" s="2334"/>
      <c r="L420" s="2335" t="s">
        <v>315</v>
      </c>
      <c r="M420" s="2373" t="s">
        <v>339</v>
      </c>
      <c r="V420" s="1984"/>
      <c r="W420" s="2368"/>
    </row>
    <row r="421" spans="2:23" s="1201" customFormat="1" ht="14" x14ac:dyDescent="0.3">
      <c r="B421" s="2334"/>
      <c r="C421" s="2334"/>
      <c r="D421" s="2334"/>
      <c r="E421" s="2334"/>
      <c r="F421" s="2334"/>
      <c r="G421" s="2334"/>
      <c r="H421" s="2334"/>
      <c r="I421" s="2334"/>
      <c r="J421" s="2334"/>
      <c r="K421" s="2334"/>
      <c r="L421" s="2335"/>
      <c r="M421" s="2336"/>
      <c r="Q421" s="1984"/>
      <c r="R421" s="1984"/>
      <c r="S421" s="1984"/>
      <c r="T421" s="1984"/>
      <c r="U421" s="1984"/>
      <c r="V421" s="1984"/>
      <c r="W421" s="1984"/>
    </row>
    <row r="422" spans="2:23" s="1201" customFormat="1" ht="14" x14ac:dyDescent="0.3">
      <c r="B422" s="2334"/>
      <c r="C422" s="2334"/>
      <c r="D422" s="2334"/>
      <c r="E422" s="2334"/>
      <c r="F422" s="2334"/>
      <c r="G422" s="2334"/>
      <c r="H422" s="2334"/>
      <c r="I422" s="2334"/>
      <c r="J422" s="2334"/>
      <c r="K422" s="2334"/>
      <c r="L422" s="2335"/>
      <c r="M422" s="2336"/>
      <c r="O422" s="2308"/>
      <c r="Q422" s="1942"/>
      <c r="R422" s="1942"/>
      <c r="S422" s="1942"/>
      <c r="T422" s="1942"/>
      <c r="U422" s="1942"/>
      <c r="V422" s="1984"/>
      <c r="W422" s="1984"/>
    </row>
    <row r="423" spans="2:23" s="1201" customFormat="1" ht="14" x14ac:dyDescent="0.3">
      <c r="B423" s="2334"/>
      <c r="C423" s="2334"/>
      <c r="D423" s="2334"/>
      <c r="E423" s="2334"/>
      <c r="F423" s="2334"/>
      <c r="G423" s="2334"/>
      <c r="H423" s="2334"/>
      <c r="I423" s="2334"/>
      <c r="J423" s="2334"/>
      <c r="K423" s="2334"/>
      <c r="L423" s="2335"/>
      <c r="M423" s="2336"/>
      <c r="O423" s="2308"/>
      <c r="P423" s="1984"/>
      <c r="Q423" s="1984"/>
      <c r="R423" s="1984"/>
      <c r="S423" s="1984"/>
      <c r="T423" s="1984"/>
      <c r="U423" s="1984"/>
      <c r="V423" s="1984"/>
      <c r="W423" s="1984"/>
    </row>
    <row r="424" spans="2:23" s="1201" customFormat="1" ht="14" x14ac:dyDescent="0.3">
      <c r="B424" s="2333" t="s">
        <v>361</v>
      </c>
      <c r="C424" s="2333" t="s">
        <v>362</v>
      </c>
      <c r="D424" s="2334"/>
      <c r="E424" s="2334"/>
      <c r="F424" s="2334"/>
      <c r="G424" s="2334"/>
      <c r="H424" s="2334"/>
      <c r="I424" s="2334"/>
      <c r="J424" s="2334"/>
      <c r="K424" s="2334"/>
      <c r="L424" s="2335" t="s">
        <v>312</v>
      </c>
      <c r="M424" s="2336" t="s">
        <v>363</v>
      </c>
      <c r="O424" s="2308"/>
      <c r="P424" s="1984"/>
      <c r="Q424" s="1984"/>
      <c r="R424" s="1984"/>
      <c r="S424" s="1984"/>
      <c r="T424" s="1984"/>
      <c r="U424" s="1984"/>
      <c r="V424" s="1984"/>
    </row>
    <row r="425" spans="2:23" s="1201" customFormat="1" ht="14" x14ac:dyDescent="0.3">
      <c r="B425" s="2334"/>
      <c r="C425" s="2334" t="s">
        <v>364</v>
      </c>
      <c r="D425" s="2334"/>
      <c r="E425" s="2334"/>
      <c r="F425" s="2334"/>
      <c r="G425" s="2334"/>
      <c r="H425" s="2334"/>
      <c r="I425" s="2334"/>
      <c r="J425" s="2334"/>
      <c r="K425" s="2334"/>
      <c r="L425" s="2335" t="s">
        <v>224</v>
      </c>
      <c r="M425" s="2373" t="s">
        <v>339</v>
      </c>
      <c r="O425" s="2308"/>
      <c r="P425" s="1984"/>
      <c r="Q425" s="1984"/>
      <c r="R425" s="1984"/>
      <c r="S425" s="1984"/>
      <c r="T425" s="1984"/>
      <c r="U425" s="1984"/>
    </row>
    <row r="426" spans="2:23" s="1201" customFormat="1" ht="14" x14ac:dyDescent="0.3">
      <c r="B426" s="2334"/>
      <c r="C426" s="2334" t="s">
        <v>365</v>
      </c>
      <c r="D426" s="2334"/>
      <c r="E426" s="2334"/>
      <c r="F426" s="2334"/>
      <c r="G426" s="2334"/>
      <c r="H426" s="2334"/>
      <c r="I426" s="2334"/>
      <c r="J426" s="2334"/>
      <c r="K426" s="2334"/>
      <c r="L426" s="2335" t="s">
        <v>366</v>
      </c>
      <c r="M426" s="2336"/>
      <c r="Q426" s="1984"/>
      <c r="R426" s="1984"/>
      <c r="S426" s="1984"/>
      <c r="T426" s="1984"/>
      <c r="U426" s="1984"/>
    </row>
    <row r="427" spans="2:23" s="1201" customFormat="1" ht="14" x14ac:dyDescent="0.3">
      <c r="B427" s="2334"/>
      <c r="C427" s="2333"/>
      <c r="D427" s="2334"/>
      <c r="E427" s="2334"/>
      <c r="F427" s="2334"/>
      <c r="G427" s="2334"/>
      <c r="H427" s="2334"/>
      <c r="I427" s="2334"/>
      <c r="J427" s="2334"/>
      <c r="K427" s="2334"/>
      <c r="L427" s="2335"/>
      <c r="M427" s="2336"/>
      <c r="P427" s="2374"/>
      <c r="Q427" s="1984"/>
      <c r="R427" s="1984"/>
      <c r="S427" s="1984"/>
      <c r="T427" s="1984"/>
      <c r="U427" s="1984"/>
    </row>
    <row r="428" spans="2:23" s="1201" customFormat="1" ht="14" x14ac:dyDescent="0.3">
      <c r="B428" s="2334"/>
      <c r="C428" s="2337"/>
      <c r="D428" s="2337"/>
      <c r="E428" s="2358"/>
      <c r="F428" s="2338"/>
      <c r="G428" s="2334"/>
      <c r="H428" s="2334"/>
      <c r="I428" s="2334"/>
      <c r="J428" s="2334"/>
      <c r="K428" s="2334"/>
      <c r="L428" s="2335"/>
      <c r="M428" s="2336"/>
      <c r="P428" s="2374"/>
      <c r="Q428" s="2375"/>
    </row>
    <row r="429" spans="2:23" s="1201" customFormat="1" ht="14" x14ac:dyDescent="0.3">
      <c r="B429" s="2334"/>
      <c r="C429" s="2334"/>
      <c r="D429" s="2334"/>
      <c r="E429" s="2334"/>
      <c r="F429" s="2334"/>
      <c r="G429" s="2334"/>
      <c r="H429" s="2334"/>
      <c r="I429" s="2334"/>
      <c r="J429" s="2334"/>
      <c r="K429" s="2334"/>
      <c r="L429" s="2335"/>
      <c r="M429" s="2336"/>
      <c r="P429" s="2374"/>
    </row>
    <row r="430" spans="2:23" s="1201" customFormat="1" ht="14" x14ac:dyDescent="0.3">
      <c r="B430" s="2334" t="s">
        <v>367</v>
      </c>
      <c r="C430" s="2334"/>
      <c r="D430" s="2334"/>
      <c r="E430" s="2334"/>
      <c r="F430" s="2334"/>
      <c r="G430" s="2334"/>
      <c r="H430" s="2334"/>
      <c r="I430" s="2334"/>
      <c r="J430" s="2334"/>
      <c r="K430" s="2334"/>
      <c r="L430" s="2335"/>
      <c r="M430" s="2336"/>
      <c r="P430" s="2374"/>
    </row>
    <row r="431" spans="2:23" s="1201" customFormat="1" ht="14" x14ac:dyDescent="0.3">
      <c r="B431" s="2333" t="s">
        <v>368</v>
      </c>
      <c r="C431" s="2334"/>
      <c r="D431" s="2334"/>
      <c r="E431" s="2376"/>
      <c r="F431" s="2334"/>
      <c r="G431" s="2334"/>
      <c r="H431" s="2334"/>
      <c r="I431" s="2334"/>
      <c r="J431" s="2334"/>
      <c r="K431" s="2334"/>
      <c r="L431" s="2335"/>
      <c r="M431" s="2336" t="s">
        <v>1353</v>
      </c>
      <c r="P431" s="2374"/>
    </row>
    <row r="432" spans="2:23" s="1201" customFormat="1" ht="14" x14ac:dyDescent="0.3">
      <c r="B432" s="2334"/>
      <c r="C432" s="2333" t="s">
        <v>370</v>
      </c>
      <c r="D432" s="2334"/>
      <c r="E432" s="2369"/>
      <c r="F432" s="2369"/>
      <c r="G432" s="2334"/>
      <c r="H432" s="2334"/>
      <c r="I432" s="2334"/>
      <c r="J432" s="2334"/>
      <c r="K432" s="2334"/>
      <c r="L432" s="2335"/>
      <c r="M432" s="2336"/>
      <c r="P432" s="2374"/>
      <c r="W432" s="1984"/>
    </row>
    <row r="433" spans="2:23" s="1201" customFormat="1" ht="14" x14ac:dyDescent="0.3">
      <c r="B433" s="2334"/>
      <c r="C433" s="2334"/>
      <c r="D433" s="2334"/>
      <c r="E433" s="2334"/>
      <c r="F433" s="2334"/>
      <c r="G433" s="2334"/>
      <c r="H433" s="2334"/>
      <c r="I433" s="2334"/>
      <c r="J433" s="2334"/>
      <c r="K433" s="2334"/>
      <c r="L433" s="2335"/>
      <c r="M433" s="2365"/>
      <c r="O433" s="2377"/>
      <c r="P433" s="2374"/>
      <c r="V433" s="1984"/>
      <c r="W433" s="1984"/>
    </row>
    <row r="434" spans="2:23" s="1201" customFormat="1" ht="14" x14ac:dyDescent="0.3">
      <c r="B434" s="2346"/>
      <c r="C434" s="2338" t="s">
        <v>440</v>
      </c>
      <c r="D434" s="2361" t="e">
        <f>D300*G$85%</f>
        <v>#DIV/0!</v>
      </c>
      <c r="E434" s="2361">
        <f>E300*$G$86%</f>
        <v>0</v>
      </c>
      <c r="F434" s="2361">
        <f t="shared" ref="F434:I434" si="41">F300*$G$86%</f>
        <v>0</v>
      </c>
      <c r="G434" s="2361">
        <f t="shared" si="41"/>
        <v>0</v>
      </c>
      <c r="H434" s="2361">
        <f t="shared" si="41"/>
        <v>0</v>
      </c>
      <c r="I434" s="2361">
        <f t="shared" si="41"/>
        <v>0</v>
      </c>
      <c r="J434" s="2361">
        <f>J300*$G$86%</f>
        <v>0</v>
      </c>
      <c r="K434" s="2361">
        <f>K300*$G$86%</f>
        <v>0</v>
      </c>
      <c r="L434" s="2335" t="s">
        <v>288</v>
      </c>
      <c r="M434" s="2336"/>
      <c r="N434" s="2377"/>
      <c r="O434" s="2377"/>
      <c r="P434" s="2378"/>
      <c r="V434" s="2372"/>
      <c r="W434" s="1984"/>
    </row>
    <row r="435" spans="2:23" s="1201" customFormat="1" ht="14" x14ac:dyDescent="0.3">
      <c r="B435" s="2334"/>
      <c r="C435" s="2334"/>
      <c r="D435" s="2361"/>
      <c r="E435" s="2361"/>
      <c r="F435" s="2361"/>
      <c r="G435" s="2361"/>
      <c r="H435" s="2361"/>
      <c r="I435" s="2361"/>
      <c r="J435" s="2361"/>
      <c r="K435" s="2361"/>
      <c r="L435" s="2335"/>
      <c r="M435" s="2336"/>
      <c r="N435" s="2377"/>
      <c r="O435" s="2377"/>
      <c r="P435" s="2377"/>
      <c r="V435" s="2372"/>
    </row>
    <row r="436" spans="2:23" s="1201" customFormat="1" ht="14" x14ac:dyDescent="0.3">
      <c r="B436" s="2334"/>
      <c r="C436" s="2333" t="s">
        <v>372</v>
      </c>
      <c r="D436" s="2361"/>
      <c r="E436" s="2361"/>
      <c r="F436" s="2361"/>
      <c r="G436" s="2361"/>
      <c r="H436" s="2361"/>
      <c r="I436" s="2361"/>
      <c r="J436" s="2361"/>
      <c r="K436" s="2361"/>
      <c r="L436" s="2335"/>
      <c r="M436" s="2336"/>
      <c r="N436" s="2377"/>
      <c r="O436" s="2377"/>
      <c r="P436" s="2378"/>
      <c r="Q436" s="1984"/>
      <c r="R436" s="1984"/>
      <c r="S436" s="1984"/>
      <c r="T436" s="1984"/>
      <c r="U436" s="1984"/>
    </row>
    <row r="437" spans="2:23" s="1201" customFormat="1" ht="14" x14ac:dyDescent="0.3">
      <c r="B437" s="2334"/>
      <c r="C437" s="2334"/>
      <c r="D437" s="2361"/>
      <c r="E437" s="2361"/>
      <c r="F437" s="2361"/>
      <c r="G437" s="2361"/>
      <c r="H437" s="2361"/>
      <c r="I437" s="2361"/>
      <c r="J437" s="2361"/>
      <c r="K437" s="2361"/>
      <c r="L437" s="2335"/>
      <c r="M437" s="2365"/>
      <c r="N437" s="2377"/>
      <c r="O437" s="2377"/>
      <c r="P437" s="2378"/>
      <c r="Q437" s="1984"/>
      <c r="R437" s="1984"/>
      <c r="S437" s="1984"/>
      <c r="T437" s="1984"/>
      <c r="U437" s="1984"/>
    </row>
    <row r="438" spans="2:23" s="1201" customFormat="1" ht="14" x14ac:dyDescent="0.3">
      <c r="B438" s="2334"/>
      <c r="C438" s="2338" t="s">
        <v>440</v>
      </c>
      <c r="D438" s="2361" t="e">
        <f>D304*$G$85%</f>
        <v>#DIV/0!</v>
      </c>
      <c r="E438" s="2361" t="e">
        <f>E304*$G$86%</f>
        <v>#N/A</v>
      </c>
      <c r="F438" s="2361" t="e">
        <f>F304*$G$86%</f>
        <v>#N/A</v>
      </c>
      <c r="G438" s="2361" t="e">
        <f t="shared" ref="G438:J438" si="42">G304*$G$86%</f>
        <v>#N/A</v>
      </c>
      <c r="H438" s="2361" t="e">
        <f t="shared" si="42"/>
        <v>#N/A</v>
      </c>
      <c r="I438" s="2361">
        <f t="shared" si="42"/>
        <v>0</v>
      </c>
      <c r="J438" s="2361">
        <f t="shared" si="42"/>
        <v>0</v>
      </c>
      <c r="K438" s="2361" t="e">
        <f>K304*$G$86%</f>
        <v>#N/A</v>
      </c>
      <c r="L438" s="2335" t="s">
        <v>288</v>
      </c>
      <c r="M438" s="2365"/>
      <c r="N438" s="2377"/>
      <c r="P438" s="2378"/>
      <c r="Q438" s="1984"/>
      <c r="R438" s="2379"/>
      <c r="S438" s="2379"/>
      <c r="T438" s="1984"/>
      <c r="U438" s="1984"/>
    </row>
    <row r="439" spans="2:23" s="1201" customFormat="1" ht="14" x14ac:dyDescent="0.3">
      <c r="B439" s="2334"/>
      <c r="C439" s="2334"/>
      <c r="D439" s="2380"/>
      <c r="E439" s="2334"/>
      <c r="F439" s="2334"/>
      <c r="G439" s="2334"/>
      <c r="H439" s="2334"/>
      <c r="I439" s="2334"/>
      <c r="J439" s="2334"/>
      <c r="K439" s="2334"/>
      <c r="L439" s="2335"/>
      <c r="M439" s="2365"/>
      <c r="W439" s="1984"/>
    </row>
    <row r="440" spans="2:23" s="1201" customFormat="1" ht="14" x14ac:dyDescent="0.3">
      <c r="B440" s="2333" t="s">
        <v>374</v>
      </c>
      <c r="C440" s="2333" t="s">
        <v>375</v>
      </c>
      <c r="D440" s="2334"/>
      <c r="E440" s="2334"/>
      <c r="F440" s="2334"/>
      <c r="G440" s="2334"/>
      <c r="H440" s="2334"/>
      <c r="I440" s="2334"/>
      <c r="J440" s="2334"/>
      <c r="K440" s="2334"/>
      <c r="L440" s="2335"/>
      <c r="M440" s="2336" t="s">
        <v>1309</v>
      </c>
      <c r="V440" s="1984"/>
      <c r="W440" s="1984"/>
    </row>
    <row r="441" spans="2:23" s="1201" customFormat="1" ht="14" x14ac:dyDescent="0.3">
      <c r="B441" s="2334"/>
      <c r="C441" s="2334" t="s">
        <v>377</v>
      </c>
      <c r="D441" s="2357">
        <v>4.0000000000000001E-3</v>
      </c>
      <c r="E441" s="2334"/>
      <c r="F441" s="2334"/>
      <c r="G441" s="2334"/>
      <c r="H441" s="2334"/>
      <c r="I441" s="2334"/>
      <c r="J441" s="2334"/>
      <c r="K441" s="2334"/>
      <c r="L441" s="2335"/>
      <c r="M441" s="2365"/>
      <c r="V441" s="1984"/>
    </row>
    <row r="442" spans="2:23" s="1201" customFormat="1" ht="14" x14ac:dyDescent="0.3">
      <c r="B442" s="2334"/>
      <c r="C442" s="2334" t="s">
        <v>378</v>
      </c>
      <c r="D442" s="2337">
        <v>4.0000000000000001E-3</v>
      </c>
      <c r="E442" s="2334"/>
      <c r="F442" s="2334"/>
      <c r="G442" s="2334"/>
      <c r="H442" s="2334"/>
      <c r="I442" s="2334"/>
      <c r="J442" s="2334"/>
      <c r="K442" s="2334"/>
      <c r="L442" s="2335"/>
      <c r="M442" s="2365"/>
    </row>
    <row r="443" spans="2:23" s="1201" customFormat="1" ht="14" x14ac:dyDescent="0.3">
      <c r="B443" s="2334"/>
      <c r="C443" s="2334"/>
      <c r="D443" s="2334"/>
      <c r="E443" s="2334"/>
      <c r="F443" s="2334"/>
      <c r="G443" s="2334"/>
      <c r="H443" s="2334"/>
      <c r="I443" s="2334"/>
      <c r="J443" s="2334"/>
      <c r="K443" s="2334"/>
      <c r="L443" s="2335"/>
      <c r="M443" s="2365"/>
      <c r="O443" s="2217"/>
      <c r="Q443" s="1984"/>
      <c r="R443" s="1984"/>
      <c r="S443" s="1984"/>
      <c r="T443" s="1984"/>
      <c r="U443" s="1984"/>
    </row>
    <row r="444" spans="2:23" s="1201" customFormat="1" ht="14" x14ac:dyDescent="0.3">
      <c r="B444" s="2334"/>
      <c r="C444" s="2338" t="s">
        <v>440</v>
      </c>
      <c r="D444" s="2352" t="e">
        <f t="shared" ref="D444:J444" si="43">(D434*$D$441*44/28)+(D438*$D$442*44/28)</f>
        <v>#DIV/0!</v>
      </c>
      <c r="E444" s="2361" t="e">
        <f>(E434*$D$441*44/28)+(E438*$D$442*44/28)</f>
        <v>#N/A</v>
      </c>
      <c r="F444" s="2361" t="e">
        <f t="shared" si="43"/>
        <v>#N/A</v>
      </c>
      <c r="G444" s="2361" t="e">
        <f t="shared" si="43"/>
        <v>#N/A</v>
      </c>
      <c r="H444" s="2361" t="e">
        <f t="shared" si="43"/>
        <v>#N/A</v>
      </c>
      <c r="I444" s="2361">
        <f t="shared" si="43"/>
        <v>0</v>
      </c>
      <c r="J444" s="2361">
        <f t="shared" si="43"/>
        <v>0</v>
      </c>
      <c r="K444" s="2361" t="e">
        <f>(K434*$D$441*44/28)+(K438*$D$442*44/28)</f>
        <v>#N/A</v>
      </c>
      <c r="L444" s="2335" t="s">
        <v>298</v>
      </c>
      <c r="M444" s="2365"/>
      <c r="Q444" s="1984"/>
      <c r="R444" s="1984"/>
      <c r="S444" s="1984"/>
      <c r="T444" s="1984"/>
      <c r="U444" s="1984"/>
    </row>
    <row r="445" spans="2:23" s="1201" customFormat="1" ht="14" x14ac:dyDescent="0.3">
      <c r="B445" s="2334"/>
      <c r="C445" s="2334"/>
      <c r="D445" s="2361"/>
      <c r="E445" s="2361"/>
      <c r="F445" s="2361"/>
      <c r="G445" s="2361"/>
      <c r="H445" s="2361"/>
      <c r="I445" s="2361"/>
      <c r="J445" s="2361"/>
      <c r="K445" s="2361"/>
      <c r="L445" s="2335"/>
      <c r="M445" s="2365"/>
    </row>
    <row r="446" spans="2:23" s="1201" customFormat="1" ht="14" x14ac:dyDescent="0.3">
      <c r="B446" s="2333" t="s">
        <v>379</v>
      </c>
      <c r="C446" s="2334"/>
      <c r="D446" s="2361"/>
      <c r="E446" s="2361"/>
      <c r="F446" s="2361"/>
      <c r="G446" s="2361"/>
      <c r="H446" s="2361"/>
      <c r="I446" s="2361"/>
      <c r="J446" s="2361"/>
      <c r="K446" s="2361"/>
      <c r="L446" s="2335"/>
      <c r="M446" s="2365"/>
    </row>
    <row r="447" spans="2:23" s="1201" customFormat="1" ht="14" x14ac:dyDescent="0.3">
      <c r="B447" s="2334"/>
      <c r="C447" s="2338" t="s">
        <v>440</v>
      </c>
      <c r="D447" s="2352" t="e">
        <f>D399+D444</f>
        <v>#DIV/0!</v>
      </c>
      <c r="E447" s="2352" t="e">
        <f>E399+E444</f>
        <v>#N/A</v>
      </c>
      <c r="F447" s="2352" t="e">
        <f>F399+F444</f>
        <v>#N/A</v>
      </c>
      <c r="G447" s="2352" t="e">
        <f t="shared" ref="G447:I447" si="44">G399+G444</f>
        <v>#N/A</v>
      </c>
      <c r="H447" s="2352" t="e">
        <f t="shared" si="44"/>
        <v>#N/A</v>
      </c>
      <c r="I447" s="2352">
        <f t="shared" si="44"/>
        <v>0</v>
      </c>
      <c r="J447" s="2352">
        <f>J399+J444</f>
        <v>0</v>
      </c>
      <c r="K447" s="2352" t="e">
        <f>K399+K444</f>
        <v>#N/A</v>
      </c>
      <c r="L447" s="2335" t="s">
        <v>298</v>
      </c>
      <c r="M447" s="2365"/>
    </row>
    <row r="448" spans="2:23" s="1201" customFormat="1" ht="14" x14ac:dyDescent="0.3">
      <c r="B448" s="2334"/>
      <c r="C448" s="2338"/>
      <c r="D448" s="2369"/>
      <c r="E448" s="2369"/>
      <c r="F448" s="2369"/>
      <c r="G448" s="2369"/>
      <c r="H448" s="2369"/>
      <c r="I448" s="2369"/>
      <c r="J448" s="2369"/>
      <c r="K448" s="2369"/>
      <c r="L448" s="2335"/>
      <c r="M448" s="2381"/>
      <c r="O448" s="2382"/>
    </row>
    <row r="449" spans="2:23" s="1201" customFormat="1" ht="14" x14ac:dyDescent="0.3">
      <c r="B449" s="2333" t="s">
        <v>263</v>
      </c>
      <c r="C449" s="2383" t="e">
        <f>SUM(D447:K447)</f>
        <v>#DIV/0!</v>
      </c>
      <c r="D449" s="2369"/>
      <c r="E449" s="2369"/>
      <c r="F449" s="2369"/>
      <c r="G449" s="2346"/>
      <c r="H449" s="2346"/>
      <c r="I449" s="2346"/>
      <c r="J449" s="2346"/>
      <c r="K449" s="2346"/>
      <c r="L449" s="2335" t="s">
        <v>299</v>
      </c>
      <c r="M449" s="2381"/>
      <c r="N449" s="2382"/>
      <c r="O449" s="2382"/>
      <c r="P449" s="2382"/>
      <c r="V449" s="1271"/>
    </row>
    <row r="450" spans="2:23" s="1201" customFormat="1" ht="14" x14ac:dyDescent="0.3">
      <c r="B450" s="2333" t="s">
        <v>263</v>
      </c>
      <c r="C450" s="2369" t="e">
        <f>C449*'Emission factors'!$C$5</f>
        <v>#DIV/0!</v>
      </c>
      <c r="D450" s="2346"/>
      <c r="E450" s="2369"/>
      <c r="F450" s="2334"/>
      <c r="G450" s="2334"/>
      <c r="H450" s="2334"/>
      <c r="I450" s="2334"/>
      <c r="J450" s="2334"/>
      <c r="K450" s="2334"/>
      <c r="L450" s="2335" t="s">
        <v>265</v>
      </c>
      <c r="M450" s="2381"/>
      <c r="N450" s="2382"/>
      <c r="O450" s="2382"/>
      <c r="P450" s="2382"/>
    </row>
    <row r="451" spans="2:23" s="1201" customFormat="1" ht="14" x14ac:dyDescent="0.3">
      <c r="B451" s="2333" t="s">
        <v>263</v>
      </c>
      <c r="C451" s="2384" t="e">
        <f>C450*10^3</f>
        <v>#DIV/0!</v>
      </c>
      <c r="D451" s="2384"/>
      <c r="E451" s="2369"/>
      <c r="F451" s="2334"/>
      <c r="G451" s="2334"/>
      <c r="H451" s="2334"/>
      <c r="I451" s="2334"/>
      <c r="J451" s="2334"/>
      <c r="K451" s="2334"/>
      <c r="L451" s="2335" t="s">
        <v>266</v>
      </c>
      <c r="M451" s="2381"/>
      <c r="N451" s="2382"/>
      <c r="O451" s="2382"/>
      <c r="P451" s="2382"/>
    </row>
    <row r="452" spans="2:23" s="1201" customFormat="1" ht="14" x14ac:dyDescent="0.3">
      <c r="B452" s="2334"/>
      <c r="C452" s="2334"/>
      <c r="D452" s="2334"/>
      <c r="E452" s="2334"/>
      <c r="F452" s="2334"/>
      <c r="G452" s="2334"/>
      <c r="H452" s="2334"/>
      <c r="I452" s="2334"/>
      <c r="J452" s="2334"/>
      <c r="K452" s="2334"/>
      <c r="L452" s="2335"/>
      <c r="M452" s="2381"/>
      <c r="N452" s="2382"/>
      <c r="O452" s="2382"/>
      <c r="P452" s="2382"/>
      <c r="Q452" s="1271"/>
      <c r="R452" s="1271"/>
      <c r="S452" s="1271"/>
      <c r="T452" s="1271"/>
      <c r="U452" s="1271"/>
    </row>
    <row r="453" spans="2:23" s="1201" customFormat="1" ht="14" x14ac:dyDescent="0.3">
      <c r="B453" s="2333" t="s">
        <v>380</v>
      </c>
      <c r="C453" s="2333" t="s">
        <v>381</v>
      </c>
      <c r="D453" s="2334"/>
      <c r="E453" s="2334"/>
      <c r="F453" s="2334"/>
      <c r="G453" s="2334"/>
      <c r="H453" s="2334"/>
      <c r="I453" s="2334"/>
      <c r="J453" s="2334"/>
      <c r="K453" s="2334"/>
      <c r="L453" s="2335"/>
      <c r="M453" s="2336" t="s">
        <v>1312</v>
      </c>
      <c r="N453" s="2332"/>
      <c r="O453" s="2382"/>
      <c r="P453" s="2382"/>
    </row>
    <row r="454" spans="2:23" s="1201" customFormat="1" ht="14" x14ac:dyDescent="0.3">
      <c r="B454" s="2334"/>
      <c r="C454" s="2334" t="s">
        <v>383</v>
      </c>
      <c r="D454" s="2334"/>
      <c r="E454" s="2334"/>
      <c r="F454" s="2334"/>
      <c r="G454" s="2334"/>
      <c r="H454" s="2334"/>
      <c r="I454" s="2334"/>
      <c r="J454" s="2334"/>
      <c r="K454" s="2334"/>
      <c r="L454" s="2335" t="s">
        <v>307</v>
      </c>
      <c r="M454" s="2336"/>
      <c r="O454" s="2382"/>
      <c r="P454" s="2382"/>
    </row>
    <row r="455" spans="2:23" s="1201" customFormat="1" ht="14" x14ac:dyDescent="0.3">
      <c r="B455" s="2334"/>
      <c r="C455" s="2334" t="s">
        <v>306</v>
      </c>
      <c r="D455" s="2334"/>
      <c r="E455" s="2334"/>
      <c r="F455" s="2334"/>
      <c r="G455" s="2334"/>
      <c r="H455" s="2334"/>
      <c r="I455" s="2334"/>
      <c r="J455" s="2334"/>
      <c r="K455" s="2334"/>
      <c r="L455" s="2335" t="s">
        <v>307</v>
      </c>
      <c r="M455" s="2336"/>
      <c r="O455" s="2382"/>
      <c r="P455" s="2382"/>
    </row>
    <row r="456" spans="2:23" s="1201" customFormat="1" ht="14" x14ac:dyDescent="0.3">
      <c r="B456" s="2334"/>
      <c r="C456" s="2334" t="s">
        <v>1299</v>
      </c>
      <c r="D456" s="2334">
        <v>0.11</v>
      </c>
      <c r="E456" s="2334"/>
      <c r="F456" s="2334"/>
      <c r="G456" s="2334"/>
      <c r="H456" s="2334"/>
      <c r="I456" s="2334"/>
      <c r="J456" s="2334"/>
      <c r="K456" s="2334"/>
      <c r="L456" s="2335" t="s">
        <v>384</v>
      </c>
      <c r="M456" s="2336"/>
      <c r="O456" s="894"/>
      <c r="P456" s="2382"/>
      <c r="W456" s="894"/>
    </row>
    <row r="457" spans="2:23" s="1201" customFormat="1" ht="14" x14ac:dyDescent="0.3">
      <c r="B457" s="2334"/>
      <c r="C457" s="2334"/>
      <c r="D457" s="2334"/>
      <c r="E457" s="2334"/>
      <c r="F457" s="2334"/>
      <c r="G457" s="2334"/>
      <c r="H457" s="2334"/>
      <c r="I457" s="2334"/>
      <c r="J457" s="2334"/>
      <c r="K457" s="2334"/>
      <c r="L457" s="2335"/>
      <c r="M457" s="2336"/>
      <c r="O457" s="894"/>
      <c r="P457" s="894"/>
      <c r="Q457" s="894"/>
      <c r="R457" s="894"/>
      <c r="S457" s="894"/>
      <c r="T457" s="894"/>
      <c r="U457" s="894"/>
      <c r="V457" s="894"/>
      <c r="W457" s="894"/>
    </row>
    <row r="458" spans="2:23" s="1201" customFormat="1" ht="14" x14ac:dyDescent="0.3">
      <c r="B458" s="2334" t="s">
        <v>385</v>
      </c>
      <c r="C458" s="2357" t="s">
        <v>807</v>
      </c>
      <c r="D458" s="2385">
        <f>D357*D456</f>
        <v>0</v>
      </c>
      <c r="E458" s="2349"/>
      <c r="F458" s="2339"/>
      <c r="G458" s="2334"/>
      <c r="H458" s="2334"/>
      <c r="I458" s="2334"/>
      <c r="J458" s="2334"/>
      <c r="K458" s="2334"/>
      <c r="L458" s="2335" t="s">
        <v>438</v>
      </c>
      <c r="M458" s="2386"/>
      <c r="N458" s="1984"/>
      <c r="O458" s="894"/>
      <c r="P458" s="894"/>
      <c r="Q458" s="894"/>
      <c r="R458" s="894"/>
      <c r="S458" s="894"/>
      <c r="T458" s="894"/>
      <c r="U458" s="894"/>
      <c r="V458" s="894"/>
      <c r="W458" s="894"/>
    </row>
    <row r="459" spans="2:23" s="1201" customFormat="1" ht="14" x14ac:dyDescent="0.3">
      <c r="B459" s="2334"/>
      <c r="C459" s="2357" t="s">
        <v>817</v>
      </c>
      <c r="D459" s="2385">
        <f>D358*D456</f>
        <v>0</v>
      </c>
      <c r="E459" s="2358"/>
      <c r="F459" s="2334"/>
      <c r="G459" s="2334"/>
      <c r="H459" s="2334"/>
      <c r="I459" s="2334"/>
      <c r="J459" s="2334"/>
      <c r="K459" s="2334"/>
      <c r="L459" s="2335" t="s">
        <v>438</v>
      </c>
      <c r="M459" s="2386"/>
      <c r="N459" s="2360"/>
      <c r="O459" s="894"/>
      <c r="P459" s="894"/>
      <c r="Q459" s="894"/>
      <c r="R459" s="894"/>
      <c r="S459" s="894"/>
      <c r="T459" s="894"/>
      <c r="U459" s="894"/>
      <c r="V459" s="894"/>
      <c r="W459" s="894"/>
    </row>
    <row r="460" spans="2:23" s="1201" customFormat="1" ht="14" x14ac:dyDescent="0.3">
      <c r="B460" s="2334"/>
      <c r="C460" s="2357"/>
      <c r="D460" s="2385"/>
      <c r="E460" s="2358"/>
      <c r="F460" s="2334"/>
      <c r="G460" s="2334"/>
      <c r="H460" s="2334"/>
      <c r="I460" s="2334"/>
      <c r="J460" s="2334"/>
      <c r="K460" s="2334"/>
      <c r="L460" s="2335"/>
      <c r="M460" s="2365"/>
      <c r="N460" s="2332"/>
      <c r="O460" s="894"/>
      <c r="P460" s="894"/>
      <c r="Q460" s="894"/>
      <c r="R460" s="894"/>
      <c r="S460" s="894"/>
      <c r="T460" s="894"/>
      <c r="U460" s="894"/>
      <c r="V460" s="894"/>
      <c r="W460" s="894"/>
    </row>
    <row r="461" spans="2:23" s="1201" customFormat="1" ht="14" x14ac:dyDescent="0.3">
      <c r="B461" s="2334"/>
      <c r="C461" s="2357"/>
      <c r="D461" s="2385"/>
      <c r="E461" s="2358"/>
      <c r="F461" s="2334"/>
      <c r="G461" s="2334"/>
      <c r="H461" s="2334"/>
      <c r="I461" s="2334"/>
      <c r="J461" s="2334"/>
      <c r="K461" s="2334"/>
      <c r="L461" s="2335"/>
      <c r="M461" s="2336"/>
      <c r="O461" s="894"/>
      <c r="P461" s="894"/>
      <c r="Q461" s="894"/>
      <c r="R461" s="894"/>
      <c r="S461" s="894"/>
      <c r="T461" s="894"/>
      <c r="U461" s="894"/>
      <c r="V461" s="894"/>
      <c r="W461" s="894"/>
    </row>
    <row r="462" spans="2:23" s="1201" customFormat="1" ht="14" x14ac:dyDescent="0.3">
      <c r="B462" s="2334"/>
      <c r="C462" s="2338"/>
      <c r="D462" s="2348"/>
      <c r="E462" s="2358"/>
      <c r="F462" s="2334"/>
      <c r="G462" s="2334"/>
      <c r="H462" s="2334"/>
      <c r="I462" s="2334"/>
      <c r="J462" s="2334"/>
      <c r="K462" s="2334"/>
      <c r="L462" s="2335"/>
      <c r="M462" s="2336"/>
      <c r="O462" s="894"/>
      <c r="P462" s="894"/>
      <c r="Q462" s="894"/>
      <c r="R462" s="894"/>
      <c r="S462" s="894"/>
      <c r="T462" s="894"/>
      <c r="U462" s="894"/>
      <c r="V462" s="894"/>
      <c r="W462" s="894"/>
    </row>
    <row r="463" spans="2:23" s="1201" customFormat="1" ht="14" x14ac:dyDescent="0.3">
      <c r="B463" s="2333" t="s">
        <v>386</v>
      </c>
      <c r="C463" s="2333" t="s">
        <v>1310</v>
      </c>
      <c r="D463" s="2334"/>
      <c r="E463" s="2334"/>
      <c r="F463" s="2334"/>
      <c r="G463" s="2334"/>
      <c r="H463" s="2334"/>
      <c r="I463" s="2334"/>
      <c r="J463" s="2334"/>
      <c r="K463" s="2334"/>
      <c r="L463" s="2335"/>
      <c r="M463" s="2336" t="s">
        <v>1313</v>
      </c>
      <c r="O463" s="894"/>
      <c r="P463" s="894"/>
      <c r="Q463" s="894"/>
      <c r="R463" s="894"/>
      <c r="S463" s="894"/>
      <c r="T463" s="894"/>
      <c r="U463" s="894"/>
      <c r="V463" s="894"/>
      <c r="W463" s="894"/>
    </row>
    <row r="464" spans="2:23" s="1201" customFormat="1" ht="14" x14ac:dyDescent="0.3">
      <c r="B464" s="2334"/>
      <c r="C464" s="2334" t="s">
        <v>1311</v>
      </c>
      <c r="D464" s="2334">
        <v>0.21</v>
      </c>
      <c r="E464" s="2334"/>
      <c r="F464" s="2334"/>
      <c r="G464" s="2334"/>
      <c r="H464" s="2334"/>
      <c r="I464" s="2334"/>
      <c r="J464" s="2334"/>
      <c r="K464" s="2334"/>
      <c r="L464" s="2335"/>
      <c r="M464" s="2336" t="s">
        <v>389</v>
      </c>
      <c r="O464" s="894"/>
      <c r="P464" s="894"/>
      <c r="Q464" s="894"/>
      <c r="R464" s="894"/>
      <c r="S464" s="894"/>
      <c r="T464" s="894"/>
      <c r="U464" s="894"/>
      <c r="V464" s="894"/>
      <c r="W464" s="894"/>
    </row>
    <row r="465" spans="2:23" s="1201" customFormat="1" ht="14" x14ac:dyDescent="0.3">
      <c r="B465" s="2334"/>
      <c r="C465" s="2334"/>
      <c r="D465" s="2334"/>
      <c r="E465" s="2334"/>
      <c r="F465" s="2334"/>
      <c r="G465" s="2334"/>
      <c r="H465" s="2334"/>
      <c r="I465" s="2334"/>
      <c r="J465" s="2334"/>
      <c r="K465" s="2334"/>
      <c r="L465" s="2335"/>
      <c r="M465" s="2365"/>
      <c r="O465" s="894"/>
      <c r="P465" s="894"/>
      <c r="Q465" s="894"/>
      <c r="R465" s="894"/>
      <c r="S465" s="894"/>
      <c r="T465" s="894"/>
      <c r="U465" s="894"/>
      <c r="V465" s="894"/>
      <c r="W465" s="894"/>
    </row>
    <row r="466" spans="2:23" s="1201" customFormat="1" ht="14" x14ac:dyDescent="0.3">
      <c r="B466" s="2334" t="s">
        <v>390</v>
      </c>
      <c r="C466" s="2338" t="s">
        <v>440</v>
      </c>
      <c r="D466" s="2387" t="e">
        <f>(D434+D438+D395)*D464</f>
        <v>#DIV/0!</v>
      </c>
      <c r="E466" s="2371" t="e">
        <f t="shared" ref="E466:I466" si="45">(E434+E438+E395)*$D$464</f>
        <v>#N/A</v>
      </c>
      <c r="F466" s="2371" t="e">
        <f t="shared" si="45"/>
        <v>#N/A</v>
      </c>
      <c r="G466" s="2371" t="e">
        <f t="shared" si="45"/>
        <v>#N/A</v>
      </c>
      <c r="H466" s="2371" t="e">
        <f t="shared" si="45"/>
        <v>#N/A</v>
      </c>
      <c r="I466" s="2371">
        <f t="shared" si="45"/>
        <v>0</v>
      </c>
      <c r="J466" s="2371">
        <f>(J434+J438+J395)*$D$464</f>
        <v>0</v>
      </c>
      <c r="K466" s="2371" t="e">
        <f>(K434+K438+K395)*$D$464</f>
        <v>#N/A</v>
      </c>
      <c r="L466" s="2335" t="s">
        <v>288</v>
      </c>
      <c r="M466" s="2336"/>
      <c r="O466" s="894"/>
      <c r="P466" s="894"/>
      <c r="Q466" s="894"/>
      <c r="R466" s="894"/>
      <c r="S466" s="894"/>
      <c r="T466" s="894"/>
      <c r="U466" s="894"/>
      <c r="V466" s="894"/>
      <c r="W466" s="894"/>
    </row>
    <row r="467" spans="2:23" s="1201" customFormat="1" ht="14" x14ac:dyDescent="0.3">
      <c r="B467" s="2334"/>
      <c r="C467" s="2334"/>
      <c r="D467" s="2384"/>
      <c r="E467" s="2337"/>
      <c r="F467" s="2337"/>
      <c r="G467" s="2337"/>
      <c r="H467" s="2334"/>
      <c r="I467" s="2334"/>
      <c r="J467" s="2334"/>
      <c r="K467" s="2334"/>
      <c r="L467" s="2335"/>
      <c r="M467" s="2365"/>
      <c r="O467" s="894"/>
      <c r="P467" s="894"/>
      <c r="Q467" s="894"/>
      <c r="R467" s="894"/>
      <c r="S467" s="894"/>
      <c r="T467" s="894"/>
      <c r="U467" s="894"/>
      <c r="V467" s="894"/>
      <c r="W467" s="894"/>
    </row>
    <row r="468" spans="2:23" s="1201" customFormat="1" ht="14" x14ac:dyDescent="0.3">
      <c r="B468" s="2333" t="s">
        <v>391</v>
      </c>
      <c r="C468" s="2342" t="s">
        <v>392</v>
      </c>
      <c r="D468" s="2387"/>
      <c r="E468" s="2337"/>
      <c r="F468" s="2337"/>
      <c r="G468" s="2337"/>
      <c r="H468" s="2337"/>
      <c r="I468" s="2337"/>
      <c r="J468" s="2337"/>
      <c r="K468" s="2337"/>
      <c r="L468" s="2356" t="s">
        <v>307</v>
      </c>
      <c r="M468" s="2336" t="s">
        <v>393</v>
      </c>
      <c r="O468" s="894"/>
      <c r="P468" s="894"/>
      <c r="Q468" s="894"/>
      <c r="R468" s="894"/>
      <c r="S468" s="894"/>
      <c r="T468" s="894"/>
      <c r="U468" s="894"/>
      <c r="V468" s="894"/>
      <c r="W468" s="894"/>
    </row>
    <row r="469" spans="2:23" s="1201" customFormat="1" ht="14" x14ac:dyDescent="0.3">
      <c r="B469" s="2334"/>
      <c r="C469" s="2337" t="s">
        <v>394</v>
      </c>
      <c r="D469" s="2387"/>
      <c r="E469" s="2337"/>
      <c r="F469" s="2337"/>
      <c r="G469" s="2337"/>
      <c r="H469" s="2337"/>
      <c r="I469" s="2337"/>
      <c r="J469" s="2337"/>
      <c r="K469" s="2337"/>
      <c r="L469" s="2356" t="s">
        <v>395</v>
      </c>
      <c r="M469" s="2336" t="s">
        <v>339</v>
      </c>
      <c r="O469" s="894"/>
      <c r="P469" s="894"/>
      <c r="Q469" s="894"/>
      <c r="R469" s="894"/>
      <c r="S469" s="894"/>
      <c r="T469" s="894"/>
      <c r="U469" s="894"/>
      <c r="V469" s="894"/>
      <c r="W469" s="894"/>
    </row>
    <row r="470" spans="2:23" s="1201" customFormat="1" ht="14" x14ac:dyDescent="0.3">
      <c r="B470" s="2334"/>
      <c r="C470" s="2337" t="s">
        <v>396</v>
      </c>
      <c r="D470" s="2387"/>
      <c r="E470" s="2337"/>
      <c r="F470" s="2337"/>
      <c r="G470" s="2337"/>
      <c r="H470" s="2337"/>
      <c r="I470" s="2337"/>
      <c r="J470" s="2337"/>
      <c r="K470" s="2337"/>
      <c r="L470" s="2356"/>
      <c r="M470" s="2336"/>
      <c r="O470" s="894"/>
      <c r="P470" s="894"/>
      <c r="Q470" s="894"/>
      <c r="R470" s="894"/>
      <c r="S470" s="894"/>
      <c r="T470" s="894"/>
      <c r="U470" s="894"/>
      <c r="V470" s="894"/>
      <c r="W470" s="894"/>
    </row>
    <row r="471" spans="2:23" s="1201" customFormat="1" ht="14" x14ac:dyDescent="0.3">
      <c r="B471" s="2334"/>
      <c r="C471" s="2334"/>
      <c r="D471" s="2384"/>
      <c r="E471" s="2337"/>
      <c r="F471" s="2337"/>
      <c r="G471" s="2337"/>
      <c r="H471" s="2334"/>
      <c r="I471" s="2334"/>
      <c r="J471" s="2334"/>
      <c r="K471" s="2334"/>
      <c r="L471" s="2335"/>
      <c r="M471" s="2365"/>
      <c r="O471" s="894"/>
      <c r="P471" s="894"/>
      <c r="Q471" s="894"/>
      <c r="R471" s="894"/>
      <c r="S471" s="894"/>
      <c r="T471" s="894"/>
      <c r="U471" s="894"/>
      <c r="V471" s="894"/>
      <c r="W471" s="894"/>
    </row>
    <row r="472" spans="2:23" s="1201" customFormat="1" ht="14" x14ac:dyDescent="0.3">
      <c r="B472" s="2333" t="s">
        <v>397</v>
      </c>
      <c r="C472" s="2333" t="s">
        <v>349</v>
      </c>
      <c r="D472" s="2384"/>
      <c r="E472" s="2334"/>
      <c r="F472" s="2334"/>
      <c r="G472" s="2334"/>
      <c r="H472" s="2334"/>
      <c r="I472" s="2334"/>
      <c r="J472" s="2334"/>
      <c r="K472" s="2334"/>
      <c r="L472" s="2335"/>
      <c r="M472" s="2336" t="s">
        <v>1316</v>
      </c>
      <c r="O472" s="894"/>
      <c r="P472" s="894"/>
      <c r="Q472" s="894"/>
      <c r="R472" s="894"/>
      <c r="S472" s="894"/>
      <c r="T472" s="894"/>
      <c r="U472" s="894"/>
      <c r="V472" s="894"/>
      <c r="W472" s="894"/>
    </row>
    <row r="473" spans="2:23" s="1201" customFormat="1" ht="14" x14ac:dyDescent="0.3">
      <c r="B473" s="2334"/>
      <c r="C473" s="2334" t="s">
        <v>399</v>
      </c>
      <c r="D473" s="2384"/>
      <c r="E473" s="2334"/>
      <c r="F473" s="2334"/>
      <c r="G473" s="2334"/>
      <c r="H473" s="2334"/>
      <c r="I473" s="2334"/>
      <c r="J473" s="2334"/>
      <c r="K473" s="2334"/>
      <c r="L473" s="2335" t="s">
        <v>307</v>
      </c>
      <c r="M473" s="2336"/>
      <c r="O473" s="894"/>
      <c r="P473" s="894"/>
      <c r="Q473" s="894"/>
      <c r="R473" s="894"/>
      <c r="S473" s="894"/>
      <c r="T473" s="894"/>
      <c r="U473" s="894"/>
      <c r="V473" s="894"/>
      <c r="W473" s="894"/>
    </row>
    <row r="474" spans="2:23" s="1201" customFormat="1" ht="14" x14ac:dyDescent="0.3">
      <c r="B474" s="2334"/>
      <c r="C474" s="2334" t="s">
        <v>1300</v>
      </c>
      <c r="D474" s="2384">
        <v>4.0000000000000001E-3</v>
      </c>
      <c r="E474" s="2334"/>
      <c r="F474" s="2334"/>
      <c r="G474" s="2334"/>
      <c r="H474" s="2334"/>
      <c r="I474" s="2334"/>
      <c r="J474" s="2334"/>
      <c r="K474" s="2334"/>
      <c r="L474" s="2335" t="s">
        <v>315</v>
      </c>
      <c r="M474" s="2336"/>
      <c r="O474" s="894"/>
      <c r="P474" s="894"/>
      <c r="Q474" s="894"/>
      <c r="R474" s="894"/>
      <c r="S474" s="894"/>
      <c r="T474" s="894"/>
      <c r="U474" s="894"/>
      <c r="V474" s="894"/>
      <c r="W474" s="894"/>
    </row>
    <row r="475" spans="2:23" s="1201" customFormat="1" ht="14" x14ac:dyDescent="0.3">
      <c r="B475" s="2334"/>
      <c r="C475" s="2334"/>
      <c r="D475" s="2334"/>
      <c r="E475" s="2334"/>
      <c r="F475" s="2334"/>
      <c r="G475" s="2334"/>
      <c r="H475" s="2334"/>
      <c r="I475" s="2334"/>
      <c r="J475" s="2334"/>
      <c r="K475" s="2334"/>
      <c r="L475" s="2335"/>
      <c r="M475" s="2336"/>
      <c r="O475" s="894"/>
      <c r="P475" s="894"/>
      <c r="Q475" s="894"/>
      <c r="R475" s="894"/>
      <c r="S475" s="894"/>
      <c r="T475" s="894"/>
      <c r="U475" s="894"/>
      <c r="V475" s="894"/>
      <c r="W475" s="894"/>
    </row>
    <row r="476" spans="2:23" s="1201" customFormat="1" ht="14" x14ac:dyDescent="0.3">
      <c r="B476" s="2334" t="s">
        <v>385</v>
      </c>
      <c r="C476" s="2357" t="s">
        <v>807</v>
      </c>
      <c r="D476" s="2353">
        <f>D458*D474*44/28</f>
        <v>0</v>
      </c>
      <c r="E476" s="2349"/>
      <c r="F476" s="2334"/>
      <c r="G476" s="2334"/>
      <c r="H476" s="2334"/>
      <c r="I476" s="2334"/>
      <c r="J476" s="2334"/>
      <c r="K476" s="2334"/>
      <c r="L476" s="2335" t="s">
        <v>439</v>
      </c>
      <c r="M476" s="2336"/>
      <c r="O476" s="894"/>
      <c r="P476" s="894"/>
      <c r="Q476" s="894"/>
      <c r="R476" s="894"/>
      <c r="S476" s="894"/>
      <c r="T476" s="894"/>
      <c r="U476" s="894"/>
      <c r="V476" s="894"/>
      <c r="W476" s="894"/>
    </row>
    <row r="477" spans="2:23" s="1201" customFormat="1" ht="14" x14ac:dyDescent="0.3">
      <c r="B477" s="2334"/>
      <c r="C477" s="2357" t="s">
        <v>817</v>
      </c>
      <c r="D477" s="2353">
        <f>D459*D474*44/28</f>
        <v>0</v>
      </c>
      <c r="E477" s="2388"/>
      <c r="F477" s="2334"/>
      <c r="G477" s="2334"/>
      <c r="H477" s="2334"/>
      <c r="I477" s="2334"/>
      <c r="J477" s="2334"/>
      <c r="K477" s="2334"/>
      <c r="L477" s="2335" t="s">
        <v>439</v>
      </c>
      <c r="M477" s="2336"/>
      <c r="O477" s="894"/>
      <c r="P477" s="894"/>
      <c r="Q477" s="894"/>
      <c r="R477" s="894"/>
      <c r="S477" s="894"/>
      <c r="T477" s="894"/>
      <c r="U477" s="894"/>
      <c r="V477" s="894"/>
      <c r="W477" s="894"/>
    </row>
    <row r="478" spans="2:23" s="1201" customFormat="1" ht="14" x14ac:dyDescent="0.3">
      <c r="B478" s="2334"/>
      <c r="C478" s="2357"/>
      <c r="D478" s="2348"/>
      <c r="E478" s="2337"/>
      <c r="F478" s="2334"/>
      <c r="G478" s="2334"/>
      <c r="H478" s="2334"/>
      <c r="I478" s="2334"/>
      <c r="J478" s="2334"/>
      <c r="K478" s="2334"/>
      <c r="L478" s="2335"/>
      <c r="M478" s="2336"/>
      <c r="P478" s="894"/>
      <c r="Q478" s="894"/>
      <c r="R478" s="894"/>
      <c r="S478" s="894"/>
      <c r="T478" s="894"/>
      <c r="U478" s="894"/>
      <c r="V478" s="894"/>
    </row>
    <row r="479" spans="2:23" s="1201" customFormat="1" ht="14" x14ac:dyDescent="0.3">
      <c r="B479" s="2334"/>
      <c r="C479" s="2357"/>
      <c r="D479" s="2348"/>
      <c r="E479" s="2337"/>
      <c r="F479" s="2334"/>
      <c r="G479" s="2334"/>
      <c r="H479" s="2334"/>
      <c r="I479" s="2334"/>
      <c r="J479" s="2334"/>
      <c r="K479" s="2334"/>
      <c r="L479" s="2335"/>
      <c r="M479" s="2336"/>
    </row>
    <row r="480" spans="2:23" s="1201" customFormat="1" ht="14" x14ac:dyDescent="0.3">
      <c r="B480" s="2334"/>
      <c r="C480" s="2357"/>
      <c r="D480" s="2388"/>
      <c r="E480" s="2388"/>
      <c r="F480" s="2388"/>
      <c r="G480" s="2388"/>
      <c r="H480" s="2388"/>
      <c r="I480" s="2388"/>
      <c r="J480" s="2388"/>
      <c r="K480" s="2388"/>
      <c r="L480" s="2335"/>
      <c r="M480" s="2336"/>
    </row>
    <row r="481" spans="2:26" s="1201" customFormat="1" ht="14" x14ac:dyDescent="0.3">
      <c r="B481" s="2334" t="s">
        <v>390</v>
      </c>
      <c r="C481" s="2338" t="s">
        <v>440</v>
      </c>
      <c r="D481" s="2369" t="e">
        <f t="shared" ref="D481:J481" si="46">D466*$D$474*44/28</f>
        <v>#DIV/0!</v>
      </c>
      <c r="E481" s="2369" t="e">
        <f t="shared" si="46"/>
        <v>#N/A</v>
      </c>
      <c r="F481" s="2369" t="e">
        <f t="shared" si="46"/>
        <v>#N/A</v>
      </c>
      <c r="G481" s="2369" t="e">
        <f t="shared" si="46"/>
        <v>#N/A</v>
      </c>
      <c r="H481" s="2369" t="e">
        <f t="shared" si="46"/>
        <v>#N/A</v>
      </c>
      <c r="I481" s="2369">
        <f t="shared" si="46"/>
        <v>0</v>
      </c>
      <c r="J481" s="2361">
        <f t="shared" si="46"/>
        <v>0</v>
      </c>
      <c r="K481" s="2369" t="e">
        <f>K466*$D$474*44/28</f>
        <v>#N/A</v>
      </c>
      <c r="L481" s="2335" t="s">
        <v>439</v>
      </c>
      <c r="M481" s="2336"/>
    </row>
    <row r="482" spans="2:26" s="1201" customFormat="1" ht="14" x14ac:dyDescent="0.3">
      <c r="B482" s="2334"/>
      <c r="C482" s="2342"/>
      <c r="D482" s="2343"/>
      <c r="E482" s="2334"/>
      <c r="F482" s="2334"/>
      <c r="G482" s="2334"/>
      <c r="H482" s="2334"/>
      <c r="I482" s="2334"/>
      <c r="J482" s="2334"/>
      <c r="K482" s="2334"/>
      <c r="L482" s="2335"/>
      <c r="M482" s="2336"/>
    </row>
    <row r="483" spans="2:26" s="1201" customFormat="1" ht="14" x14ac:dyDescent="0.3">
      <c r="B483" s="2342" t="s">
        <v>223</v>
      </c>
      <c r="C483" s="2338" t="s">
        <v>440</v>
      </c>
      <c r="D483" s="2361" t="e">
        <f>SUM(D476:D477)+SUM(D481:K481)</f>
        <v>#DIV/0!</v>
      </c>
      <c r="E483" s="2346"/>
      <c r="F483" s="2346"/>
      <c r="G483" s="2346"/>
      <c r="H483" s="2346"/>
      <c r="I483" s="2346"/>
      <c r="J483" s="2346"/>
      <c r="K483" s="2346"/>
      <c r="L483" s="2335" t="s">
        <v>439</v>
      </c>
      <c r="M483" s="2365"/>
    </row>
    <row r="484" spans="2:26" s="1201" customFormat="1" ht="14" x14ac:dyDescent="0.3">
      <c r="B484" s="2342"/>
      <c r="C484" s="2342"/>
      <c r="D484" s="2346"/>
      <c r="E484" s="2334"/>
      <c r="F484" s="2334"/>
      <c r="G484" s="2334"/>
      <c r="H484" s="2334"/>
      <c r="I484" s="2334"/>
      <c r="J484" s="2334"/>
      <c r="K484" s="2334"/>
      <c r="L484" s="2335"/>
      <c r="M484" s="2336"/>
      <c r="X484" s="2389"/>
      <c r="Y484" s="2389"/>
      <c r="Z484" s="2389"/>
    </row>
    <row r="485" spans="2:26" s="1201" customFormat="1" ht="14" x14ac:dyDescent="0.3">
      <c r="B485" s="2333" t="s">
        <v>263</v>
      </c>
      <c r="C485" s="2384" t="e">
        <f>SUM(D483:D483)</f>
        <v>#DIV/0!</v>
      </c>
      <c r="D485" s="2346"/>
      <c r="E485" s="2334"/>
      <c r="F485" s="2334"/>
      <c r="G485" s="2338"/>
      <c r="H485" s="2338"/>
      <c r="I485" s="2338"/>
      <c r="J485" s="2338"/>
      <c r="K485" s="2338"/>
      <c r="L485" s="2335" t="s">
        <v>299</v>
      </c>
      <c r="M485" s="2336"/>
      <c r="X485" s="2389"/>
    </row>
    <row r="486" spans="2:26" s="1201" customFormat="1" ht="14" x14ac:dyDescent="0.3">
      <c r="B486" s="2333" t="s">
        <v>400</v>
      </c>
      <c r="C486" s="2384" t="e">
        <f>C485*'Emission factors'!$C$5</f>
        <v>#DIV/0!</v>
      </c>
      <c r="D486" s="2352"/>
      <c r="E486" s="2352"/>
      <c r="F486" s="2334"/>
      <c r="G486" s="2334"/>
      <c r="H486" s="2334"/>
      <c r="I486" s="2334"/>
      <c r="J486" s="2334"/>
      <c r="K486" s="2334"/>
      <c r="L486" s="2335" t="s">
        <v>265</v>
      </c>
      <c r="M486" s="2336"/>
      <c r="X486" s="2389"/>
    </row>
    <row r="487" spans="2:26" s="1201" customFormat="1" ht="14" x14ac:dyDescent="0.3">
      <c r="B487" s="2334"/>
      <c r="C487" s="2334"/>
      <c r="D487" s="2334"/>
      <c r="E487" s="2334"/>
      <c r="F487" s="2334"/>
      <c r="G487" s="2334"/>
      <c r="H487" s="2334"/>
      <c r="I487" s="2334"/>
      <c r="J487" s="2334"/>
      <c r="K487" s="2334"/>
      <c r="L487" s="2335"/>
      <c r="M487" s="2336"/>
      <c r="X487" s="2389"/>
    </row>
    <row r="488" spans="2:26" s="1201" customFormat="1" ht="14" x14ac:dyDescent="0.3">
      <c r="B488" s="2333" t="s">
        <v>401</v>
      </c>
      <c r="C488" s="2334"/>
      <c r="D488" s="2334"/>
      <c r="E488" s="2334"/>
      <c r="F488" s="2334"/>
      <c r="G488" s="2334"/>
      <c r="H488" s="2334"/>
      <c r="I488" s="2334"/>
      <c r="J488" s="2334"/>
      <c r="K488" s="2334"/>
      <c r="L488" s="2335"/>
      <c r="M488" s="2336"/>
    </row>
    <row r="489" spans="2:26" s="1201" customFormat="1" ht="14" x14ac:dyDescent="0.3">
      <c r="B489" s="2333" t="s">
        <v>402</v>
      </c>
      <c r="C489" s="2333" t="s">
        <v>403</v>
      </c>
      <c r="D489" s="2334"/>
      <c r="E489" s="2334"/>
      <c r="F489" s="2334"/>
      <c r="G489" s="2334"/>
      <c r="H489" s="2334"/>
      <c r="I489" s="2334"/>
      <c r="J489" s="2334"/>
      <c r="K489" s="2334"/>
      <c r="L489" s="2335"/>
      <c r="M489" s="2336" t="s">
        <v>1314</v>
      </c>
    </row>
    <row r="490" spans="2:26" s="1201" customFormat="1" ht="14" x14ac:dyDescent="0.3">
      <c r="B490" s="2334"/>
      <c r="C490" s="2334" t="s">
        <v>405</v>
      </c>
      <c r="D490" s="2334"/>
      <c r="E490" s="2334"/>
      <c r="F490" s="2334"/>
      <c r="G490" s="2334"/>
      <c r="H490" s="2334"/>
      <c r="I490" s="2334"/>
      <c r="J490" s="2334"/>
      <c r="K490" s="2334"/>
      <c r="L490" s="2335" t="s">
        <v>307</v>
      </c>
      <c r="M490" s="2336"/>
    </row>
    <row r="491" spans="2:26" s="1201" customFormat="1" ht="14" x14ac:dyDescent="0.3">
      <c r="B491" s="2334"/>
      <c r="C491" s="2334" t="s">
        <v>406</v>
      </c>
      <c r="D491" s="2334">
        <v>1</v>
      </c>
      <c r="E491" s="2334"/>
      <c r="F491" s="2334"/>
      <c r="G491" s="2334"/>
      <c r="H491" s="2334"/>
      <c r="I491" s="2334"/>
      <c r="J491" s="2334"/>
      <c r="K491" s="2334"/>
      <c r="L491" s="2335"/>
      <c r="M491" s="2336" t="s">
        <v>1315</v>
      </c>
    </row>
    <row r="492" spans="2:26" s="1201" customFormat="1" ht="14" x14ac:dyDescent="0.3">
      <c r="B492" s="2334"/>
      <c r="C492" s="2334" t="s">
        <v>408</v>
      </c>
      <c r="D492" s="2338">
        <v>0.24</v>
      </c>
      <c r="E492" s="2334"/>
      <c r="F492" s="2334"/>
      <c r="G492" s="2334"/>
      <c r="H492" s="2334"/>
      <c r="I492" s="2334"/>
      <c r="J492" s="2334"/>
      <c r="K492" s="2334"/>
      <c r="L492" s="2335" t="s">
        <v>384</v>
      </c>
      <c r="M492" s="2336"/>
      <c r="N492" s="2332"/>
    </row>
    <row r="493" spans="2:26" s="1201" customFormat="1" ht="14" x14ac:dyDescent="0.3">
      <c r="B493" s="2334"/>
      <c r="C493" s="2334"/>
      <c r="D493" s="2334"/>
      <c r="E493" s="2334"/>
      <c r="F493" s="2334"/>
      <c r="G493" s="2334"/>
      <c r="H493" s="2334"/>
      <c r="I493" s="2334"/>
      <c r="J493" s="2334"/>
      <c r="K493" s="2334"/>
      <c r="L493" s="2335"/>
      <c r="M493" s="2336"/>
    </row>
    <row r="494" spans="2:26" s="1201" customFormat="1" ht="14" x14ac:dyDescent="0.3">
      <c r="B494" s="2334" t="s">
        <v>385</v>
      </c>
      <c r="C494" s="2357" t="s">
        <v>807</v>
      </c>
      <c r="D494" s="2371">
        <f>D357*D491*D492</f>
        <v>0</v>
      </c>
      <c r="E494" s="2348"/>
      <c r="F494" s="2334"/>
      <c r="G494" s="2334"/>
      <c r="H494" s="2334"/>
      <c r="I494" s="2334"/>
      <c r="J494" s="2334"/>
      <c r="K494" s="2334"/>
      <c r="L494" s="2335" t="s">
        <v>438</v>
      </c>
      <c r="M494" s="2336"/>
    </row>
    <row r="495" spans="2:26" s="1201" customFormat="1" ht="14" x14ac:dyDescent="0.3">
      <c r="B495" s="2334"/>
      <c r="C495" s="2357" t="s">
        <v>817</v>
      </c>
      <c r="D495" s="2371">
        <f>D358*D491*D492</f>
        <v>0</v>
      </c>
      <c r="E495" s="2337"/>
      <c r="F495" s="2334"/>
      <c r="G495" s="2334"/>
      <c r="H495" s="2334"/>
      <c r="I495" s="2334"/>
      <c r="J495" s="2334"/>
      <c r="K495" s="2334"/>
      <c r="L495" s="2335" t="s">
        <v>438</v>
      </c>
      <c r="M495" s="2336"/>
    </row>
    <row r="496" spans="2:26" s="1201" customFormat="1" ht="14" x14ac:dyDescent="0.3">
      <c r="B496" s="2334"/>
      <c r="C496" s="2357"/>
      <c r="D496" s="2348"/>
      <c r="E496" s="2337"/>
      <c r="F496" s="2334"/>
      <c r="G496" s="2334"/>
      <c r="H496" s="2334"/>
      <c r="I496" s="2334"/>
      <c r="J496" s="2334"/>
      <c r="K496" s="2334"/>
      <c r="L496" s="2335"/>
      <c r="M496" s="2336"/>
    </row>
    <row r="497" spans="2:16" s="1201" customFormat="1" ht="14" x14ac:dyDescent="0.3">
      <c r="B497" s="2334"/>
      <c r="C497" s="2357"/>
      <c r="D497" s="2348"/>
      <c r="E497" s="2337"/>
      <c r="F497" s="2334"/>
      <c r="G497" s="2334"/>
      <c r="H497" s="2334"/>
      <c r="I497" s="2334"/>
      <c r="J497" s="2334"/>
      <c r="K497" s="2334"/>
      <c r="L497" s="2335"/>
      <c r="M497" s="2336"/>
      <c r="O497" s="2217"/>
    </row>
    <row r="498" spans="2:16" s="1201" customFormat="1" ht="14" x14ac:dyDescent="0.3">
      <c r="B498" s="2334"/>
      <c r="C498" s="2334"/>
      <c r="D498" s="2334"/>
      <c r="E498" s="2334"/>
      <c r="F498" s="2334"/>
      <c r="G498" s="2334"/>
      <c r="H498" s="2334"/>
      <c r="I498" s="2334"/>
      <c r="J498" s="2334"/>
      <c r="K498" s="2334"/>
      <c r="L498" s="2335"/>
      <c r="M498" s="2336"/>
      <c r="O498" s="2217"/>
      <c r="P498" s="2217"/>
    </row>
    <row r="499" spans="2:16" s="1201" customFormat="1" ht="14" x14ac:dyDescent="0.3">
      <c r="B499" s="2333" t="s">
        <v>409</v>
      </c>
      <c r="C499" s="2333" t="s">
        <v>410</v>
      </c>
      <c r="D499" s="2334"/>
      <c r="E499" s="2334"/>
      <c r="F499" s="2334"/>
      <c r="G499" s="2334"/>
      <c r="H499" s="2334"/>
      <c r="I499" s="2334"/>
      <c r="J499" s="2334"/>
      <c r="K499" s="2334"/>
      <c r="L499" s="2335" t="s">
        <v>288</v>
      </c>
      <c r="M499" s="2336" t="s">
        <v>1317</v>
      </c>
      <c r="P499" s="2217"/>
    </row>
    <row r="500" spans="2:16" s="1201" customFormat="1" ht="14" x14ac:dyDescent="0.3">
      <c r="B500" s="2334"/>
      <c r="C500" s="2334" t="s">
        <v>412</v>
      </c>
      <c r="D500" s="2334"/>
      <c r="E500" s="2334"/>
      <c r="F500" s="2334"/>
      <c r="G500" s="2334"/>
      <c r="H500" s="2334"/>
      <c r="I500" s="2334"/>
      <c r="J500" s="2334"/>
      <c r="K500" s="2334"/>
      <c r="L500" s="2335" t="s">
        <v>288</v>
      </c>
      <c r="M500" s="2336"/>
    </row>
    <row r="501" spans="2:16" s="1201" customFormat="1" ht="14" x14ac:dyDescent="0.3">
      <c r="B501" s="2334"/>
      <c r="C501" s="2334" t="s">
        <v>413</v>
      </c>
      <c r="D501" s="2334"/>
      <c r="E501" s="2334"/>
      <c r="F501" s="2334"/>
      <c r="G501" s="2334"/>
      <c r="H501" s="2334"/>
      <c r="I501" s="2334"/>
      <c r="J501" s="2334"/>
      <c r="K501" s="2334"/>
      <c r="L501" s="2335" t="s">
        <v>288</v>
      </c>
      <c r="M501" s="2336"/>
    </row>
    <row r="502" spans="2:16" s="1201" customFormat="1" ht="14" x14ac:dyDescent="0.3">
      <c r="B502" s="2334"/>
      <c r="C502" s="2334" t="s">
        <v>414</v>
      </c>
      <c r="D502" s="2334"/>
      <c r="E502" s="2334"/>
      <c r="F502" s="2334"/>
      <c r="G502" s="2334"/>
      <c r="H502" s="2334"/>
      <c r="I502" s="2334"/>
      <c r="J502" s="2334"/>
      <c r="K502" s="2334"/>
      <c r="L502" s="2335" t="s">
        <v>288</v>
      </c>
      <c r="M502" s="2336"/>
    </row>
    <row r="503" spans="2:16" s="1201" customFormat="1" ht="14" x14ac:dyDescent="0.3">
      <c r="B503" s="2334"/>
      <c r="C503" s="2334"/>
      <c r="D503" s="2334"/>
      <c r="E503" s="2334"/>
      <c r="F503" s="2334"/>
      <c r="G503" s="2334"/>
      <c r="H503" s="2334"/>
      <c r="I503" s="2334"/>
      <c r="J503" s="2334"/>
      <c r="K503" s="2334"/>
      <c r="L503" s="2335"/>
      <c r="M503" s="2336"/>
    </row>
    <row r="504" spans="2:16" s="1201" customFormat="1" ht="14" x14ac:dyDescent="0.3">
      <c r="B504" s="2334"/>
      <c r="C504" s="2338" t="s">
        <v>440</v>
      </c>
      <c r="D504" s="2361" t="e">
        <f t="shared" ref="D504:K504" si="47">SUM(D395,D438,D434)*$D$491*$D$492</f>
        <v>#DIV/0!</v>
      </c>
      <c r="E504" s="2361" t="e">
        <f t="shared" si="47"/>
        <v>#N/A</v>
      </c>
      <c r="F504" s="2361" t="e">
        <f t="shared" si="47"/>
        <v>#N/A</v>
      </c>
      <c r="G504" s="2361" t="e">
        <f t="shared" si="47"/>
        <v>#N/A</v>
      </c>
      <c r="H504" s="2361" t="e">
        <f t="shared" si="47"/>
        <v>#N/A</v>
      </c>
      <c r="I504" s="2361">
        <f t="shared" si="47"/>
        <v>0</v>
      </c>
      <c r="J504" s="2361">
        <f t="shared" si="47"/>
        <v>0</v>
      </c>
      <c r="K504" s="2361" t="e">
        <f t="shared" si="47"/>
        <v>#N/A</v>
      </c>
      <c r="L504" s="2335" t="s">
        <v>288</v>
      </c>
      <c r="M504" s="2336"/>
    </row>
    <row r="505" spans="2:16" s="1201" customFormat="1" ht="14" x14ac:dyDescent="0.3">
      <c r="B505" s="2334"/>
      <c r="C505" s="2334"/>
      <c r="D505" s="2361"/>
      <c r="E505" s="2334"/>
      <c r="F505" s="2334"/>
      <c r="G505" s="2334"/>
      <c r="H505" s="2334"/>
      <c r="I505" s="2334"/>
      <c r="J505" s="2334"/>
      <c r="K505" s="2334"/>
      <c r="L505" s="2335"/>
      <c r="M505" s="2336"/>
    </row>
    <row r="506" spans="2:16" s="1201" customFormat="1" ht="14" x14ac:dyDescent="0.3">
      <c r="B506" s="2333" t="s">
        <v>415</v>
      </c>
      <c r="C506" s="2333" t="s">
        <v>349</v>
      </c>
      <c r="D506" s="2334"/>
      <c r="E506" s="2334"/>
      <c r="F506" s="2334"/>
      <c r="G506" s="2334"/>
      <c r="H506" s="2334"/>
      <c r="I506" s="2334"/>
      <c r="J506" s="2334"/>
      <c r="K506" s="2334"/>
      <c r="L506" s="2335"/>
      <c r="M506" s="2336" t="s">
        <v>1318</v>
      </c>
    </row>
    <row r="507" spans="2:16" s="1201" customFormat="1" ht="14" x14ac:dyDescent="0.3">
      <c r="B507" s="2334"/>
      <c r="C507" s="2334" t="s">
        <v>417</v>
      </c>
      <c r="D507" s="2334"/>
      <c r="E507" s="2334"/>
      <c r="F507" s="2334"/>
      <c r="G507" s="2334"/>
      <c r="H507" s="2334"/>
      <c r="I507" s="2334"/>
      <c r="J507" s="2334"/>
      <c r="K507" s="2334"/>
      <c r="L507" s="2335" t="s">
        <v>307</v>
      </c>
      <c r="M507" s="2336"/>
    </row>
    <row r="508" spans="2:16" s="1201" customFormat="1" ht="14" x14ac:dyDescent="0.3">
      <c r="B508" s="2334"/>
      <c r="C508" s="2334" t="s">
        <v>1301</v>
      </c>
      <c r="D508" s="2384">
        <v>1.0999999999999999E-2</v>
      </c>
      <c r="E508" s="2334"/>
      <c r="F508" s="2334"/>
      <c r="G508" s="2334"/>
      <c r="H508" s="2334"/>
      <c r="I508" s="2334"/>
      <c r="J508" s="2334"/>
      <c r="K508" s="2334"/>
      <c r="L508" s="2335" t="s">
        <v>315</v>
      </c>
      <c r="M508" s="2336"/>
    </row>
    <row r="509" spans="2:16" s="1201" customFormat="1" ht="14" x14ac:dyDescent="0.3">
      <c r="B509" s="2334"/>
      <c r="C509" s="2334"/>
      <c r="D509" s="2361"/>
      <c r="E509" s="2334"/>
      <c r="F509" s="2334"/>
      <c r="G509" s="2334"/>
      <c r="H509" s="2334"/>
      <c r="I509" s="2334"/>
      <c r="J509" s="2334"/>
      <c r="K509" s="2334"/>
      <c r="L509" s="2335"/>
      <c r="M509" s="2336"/>
    </row>
    <row r="510" spans="2:16" s="1201" customFormat="1" ht="14" x14ac:dyDescent="0.3">
      <c r="B510" s="2334" t="s">
        <v>385</v>
      </c>
      <c r="C510" s="2357" t="s">
        <v>807</v>
      </c>
      <c r="D510" s="2371">
        <f>D494*D508*44/28</f>
        <v>0</v>
      </c>
      <c r="E510" s="2385"/>
      <c r="F510" s="2334"/>
      <c r="G510" s="2369"/>
      <c r="H510" s="2334"/>
      <c r="I510" s="2334"/>
      <c r="J510" s="2334"/>
      <c r="K510" s="2334"/>
      <c r="L510" s="2335" t="s">
        <v>439</v>
      </c>
      <c r="M510" s="2336"/>
    </row>
    <row r="511" spans="2:16" s="1201" customFormat="1" ht="14" x14ac:dyDescent="0.3">
      <c r="B511" s="2334"/>
      <c r="C511" s="2357" t="s">
        <v>817</v>
      </c>
      <c r="D511" s="2371">
        <f>D495*D508*44/28</f>
        <v>0</v>
      </c>
      <c r="E511" s="2337"/>
      <c r="F511" s="2334"/>
      <c r="G511" s="2369"/>
      <c r="H511" s="2334"/>
      <c r="I511" s="2334"/>
      <c r="J511" s="2334"/>
      <c r="K511" s="2334"/>
      <c r="L511" s="2335" t="s">
        <v>439</v>
      </c>
      <c r="M511" s="2336"/>
    </row>
    <row r="512" spans="2:16" s="1201" customFormat="1" ht="14" x14ac:dyDescent="0.3">
      <c r="B512" s="2334"/>
      <c r="C512" s="2357"/>
      <c r="D512" s="2348"/>
      <c r="E512" s="2337"/>
      <c r="F512" s="2334"/>
      <c r="G512" s="2369"/>
      <c r="H512" s="2334"/>
      <c r="I512" s="2334"/>
      <c r="J512" s="2334"/>
      <c r="K512" s="2334"/>
      <c r="L512" s="2335"/>
      <c r="M512" s="2336"/>
    </row>
    <row r="513" spans="1:50" s="1201" customFormat="1" ht="14" x14ac:dyDescent="0.3">
      <c r="B513" s="2334"/>
      <c r="C513" s="2357"/>
      <c r="D513" s="2348"/>
      <c r="E513" s="2337"/>
      <c r="F513" s="2334"/>
      <c r="G513" s="2369"/>
      <c r="H513" s="2334"/>
      <c r="I513" s="2334"/>
      <c r="J513" s="2334"/>
      <c r="K513" s="2334"/>
      <c r="L513" s="2335"/>
      <c r="M513" s="2336"/>
    </row>
    <row r="514" spans="1:50" s="1201" customFormat="1" ht="14" x14ac:dyDescent="0.3">
      <c r="B514" s="2334"/>
      <c r="C514" s="2334"/>
      <c r="D514" s="2369"/>
      <c r="E514" s="2369"/>
      <c r="F514" s="2369"/>
      <c r="G514" s="2369"/>
      <c r="H514" s="2369"/>
      <c r="I514" s="2369"/>
      <c r="J514" s="2369"/>
      <c r="K514" s="2369"/>
      <c r="L514" s="2335"/>
      <c r="M514" s="2336"/>
    </row>
    <row r="515" spans="1:50" s="1201" customFormat="1" ht="14" x14ac:dyDescent="0.3">
      <c r="B515" s="2334" t="s">
        <v>390</v>
      </c>
      <c r="C515" s="2338" t="s">
        <v>440</v>
      </c>
      <c r="D515" s="2361" t="e">
        <f>D504*$D$508*44/28</f>
        <v>#DIV/0!</v>
      </c>
      <c r="E515" s="2361" t="e">
        <f t="shared" ref="E515:K515" si="48">E504*$D$508*44/28</f>
        <v>#N/A</v>
      </c>
      <c r="F515" s="2361" t="e">
        <f t="shared" si="48"/>
        <v>#N/A</v>
      </c>
      <c r="G515" s="2361" t="e">
        <f t="shared" si="48"/>
        <v>#N/A</v>
      </c>
      <c r="H515" s="2361" t="e">
        <f t="shared" si="48"/>
        <v>#N/A</v>
      </c>
      <c r="I515" s="2361">
        <f t="shared" si="48"/>
        <v>0</v>
      </c>
      <c r="J515" s="2361">
        <f t="shared" si="48"/>
        <v>0</v>
      </c>
      <c r="K515" s="2361" t="e">
        <f t="shared" si="48"/>
        <v>#N/A</v>
      </c>
      <c r="L515" s="2335" t="s">
        <v>298</v>
      </c>
      <c r="M515" s="2336"/>
    </row>
    <row r="516" spans="1:50" s="1201" customFormat="1" ht="14" x14ac:dyDescent="0.3">
      <c r="B516" s="2334"/>
      <c r="C516" s="2338"/>
      <c r="D516" s="2361"/>
      <c r="E516" s="2361"/>
      <c r="F516" s="2361"/>
      <c r="G516" s="2361"/>
      <c r="H516" s="2361"/>
      <c r="I516" s="2361"/>
      <c r="J516" s="2361"/>
      <c r="K516" s="2361"/>
      <c r="L516" s="2335"/>
      <c r="M516" s="2336"/>
    </row>
    <row r="517" spans="1:50" s="1201" customFormat="1" ht="14" x14ac:dyDescent="0.3">
      <c r="B517" s="2333" t="s">
        <v>223</v>
      </c>
      <c r="C517" s="2338" t="s">
        <v>440</v>
      </c>
      <c r="D517" s="2371" t="e">
        <f>SUM(D510:D511)+SUM(D515:K515)</f>
        <v>#DIV/0!</v>
      </c>
      <c r="E517" s="2348"/>
      <c r="F517" s="2346"/>
      <c r="G517" s="2346"/>
      <c r="H517" s="2346"/>
      <c r="I517" s="2346"/>
      <c r="J517" s="2346"/>
      <c r="K517" s="2346"/>
      <c r="L517" s="2335" t="s">
        <v>439</v>
      </c>
      <c r="M517" s="2336"/>
    </row>
    <row r="518" spans="1:50" s="1201" customFormat="1" ht="14" x14ac:dyDescent="0.3">
      <c r="B518" s="2333" t="s">
        <v>263</v>
      </c>
      <c r="C518" s="2390" t="e">
        <f>SUM(D517:D517)</f>
        <v>#DIV/0!</v>
      </c>
      <c r="D518" s="2346"/>
      <c r="E518" s="2346"/>
      <c r="F518" s="2346"/>
      <c r="G518" s="2346"/>
      <c r="H518" s="2346"/>
      <c r="I518" s="2346"/>
      <c r="J518" s="2346"/>
      <c r="K518" s="2346"/>
      <c r="L518" s="2335" t="s">
        <v>299</v>
      </c>
      <c r="M518" s="2336"/>
    </row>
    <row r="519" spans="1:50" s="1201" customFormat="1" ht="14" x14ac:dyDescent="0.3">
      <c r="A519" s="2308"/>
      <c r="B519" s="2391" t="s">
        <v>418</v>
      </c>
      <c r="C519" s="2392" t="e">
        <f>C518*'Emission factors'!$C$5</f>
        <v>#DIV/0!</v>
      </c>
      <c r="D519" s="2393"/>
      <c r="E519" s="2393"/>
      <c r="F519" s="2393"/>
      <c r="G519" s="2393"/>
      <c r="H519" s="2393"/>
      <c r="I519" s="2393"/>
      <c r="J519" s="2393"/>
      <c r="K519" s="2393"/>
      <c r="L519" s="2394" t="s">
        <v>265</v>
      </c>
      <c r="M519" s="2395"/>
    </row>
    <row r="520" spans="1:50" s="1201" customFormat="1" ht="14" x14ac:dyDescent="0.3">
      <c r="A520" s="2308"/>
    </row>
    <row r="521" spans="1:50" s="1201" customFormat="1" ht="14" x14ac:dyDescent="0.3">
      <c r="A521" s="2308"/>
      <c r="B521" s="2308" t="s">
        <v>590</v>
      </c>
      <c r="I521" s="1984"/>
      <c r="J521" s="1984"/>
      <c r="K521" s="1984"/>
      <c r="L521" s="1984"/>
      <c r="M521" s="1984"/>
      <c r="N521" s="1984"/>
      <c r="O521" s="1984"/>
      <c r="W521" s="1984"/>
      <c r="X521" s="1984"/>
      <c r="Y521" s="1984"/>
      <c r="Z521" s="1984"/>
      <c r="AA521" s="1984"/>
      <c r="AB521" s="1984"/>
      <c r="AC521" s="1984"/>
      <c r="AD521" s="1984"/>
      <c r="AE521" s="1984"/>
      <c r="AF521" s="1984"/>
      <c r="AG521" s="1984"/>
      <c r="AH521" s="1984"/>
      <c r="AI521" s="1984"/>
      <c r="AJ521" s="1984"/>
      <c r="AK521" s="1984"/>
      <c r="AL521" s="1984"/>
      <c r="AM521" s="1984"/>
      <c r="AN521" s="1984"/>
      <c r="AO521" s="1984"/>
      <c r="AP521" s="1984"/>
      <c r="AQ521" s="1984"/>
      <c r="AR521" s="1984"/>
      <c r="AS521" s="1984"/>
      <c r="AT521" s="1984"/>
      <c r="AU521" s="1984"/>
      <c r="AV521" s="1984"/>
      <c r="AW521" s="1984"/>
      <c r="AX521" s="1984"/>
    </row>
    <row r="522" spans="1:50" s="1201" customFormat="1" ht="14" x14ac:dyDescent="0.3">
      <c r="I522" s="1984"/>
      <c r="J522" s="1984"/>
      <c r="K522" s="1984"/>
      <c r="L522" s="1984"/>
      <c r="M522" s="1984"/>
      <c r="N522" s="1984"/>
      <c r="O522" s="1984"/>
      <c r="P522" s="1984"/>
      <c r="Q522" s="1984"/>
      <c r="R522" s="1984"/>
      <c r="S522" s="1984"/>
      <c r="T522" s="1984"/>
      <c r="U522" s="1984"/>
      <c r="V522" s="1984"/>
      <c r="W522" s="1984"/>
      <c r="X522" s="1984"/>
      <c r="Y522" s="1984"/>
      <c r="Z522" s="1984"/>
      <c r="AA522" s="1984"/>
      <c r="AB522" s="1984"/>
      <c r="AC522" s="1984"/>
      <c r="AD522" s="1984"/>
      <c r="AE522" s="1984"/>
      <c r="AF522" s="1984"/>
      <c r="AG522" s="1984"/>
      <c r="AH522" s="1984"/>
      <c r="AI522" s="1984"/>
      <c r="AJ522" s="1984"/>
      <c r="AK522" s="1984"/>
      <c r="AL522" s="1984"/>
      <c r="AM522" s="1984"/>
      <c r="AN522" s="1984"/>
      <c r="AO522" s="1984"/>
      <c r="AP522" s="1984"/>
      <c r="AQ522" s="1984"/>
      <c r="AR522" s="1984"/>
      <c r="AS522" s="1984"/>
      <c r="AT522" s="1984"/>
      <c r="AU522" s="1984"/>
      <c r="AV522" s="1984"/>
      <c r="AW522" s="1984"/>
      <c r="AX522" s="1984"/>
    </row>
    <row r="523" spans="1:50" s="1201" customFormat="1" ht="14" x14ac:dyDescent="0.3">
      <c r="B523" s="1967"/>
      <c r="C523" s="1967"/>
      <c r="D523" s="1970" t="s">
        <v>1481</v>
      </c>
      <c r="E523" s="1970"/>
      <c r="F523" s="1970"/>
      <c r="G523" s="1970"/>
      <c r="H523" s="1968" t="s">
        <v>1482</v>
      </c>
      <c r="I523" s="1969"/>
      <c r="J523" s="2396" t="s">
        <v>1483</v>
      </c>
      <c r="K523" s="1970"/>
      <c r="L523" s="1970"/>
      <c r="M523" s="1970"/>
      <c r="N523" s="1969"/>
      <c r="O523" s="1970" t="s">
        <v>1484</v>
      </c>
      <c r="P523" s="1984"/>
      <c r="Q523" s="1984"/>
      <c r="R523" s="1984"/>
      <c r="S523" s="1984"/>
      <c r="T523" s="1984"/>
      <c r="U523" s="1984"/>
      <c r="V523" s="1984"/>
    </row>
    <row r="524" spans="1:50" s="1201" customFormat="1" ht="14" x14ac:dyDescent="0.3">
      <c r="B524" s="1971" t="s">
        <v>1480</v>
      </c>
      <c r="C524" s="1971" t="s">
        <v>1485</v>
      </c>
      <c r="D524" s="1972" t="s">
        <v>223</v>
      </c>
      <c r="E524" s="1972" t="s">
        <v>1475</v>
      </c>
      <c r="F524" s="1972" t="s">
        <v>610</v>
      </c>
      <c r="G524" s="1970" t="s">
        <v>611</v>
      </c>
      <c r="H524" s="1967"/>
      <c r="I524" s="1969"/>
      <c r="J524" s="1973" t="s">
        <v>223</v>
      </c>
      <c r="K524" s="1970" t="s">
        <v>1475</v>
      </c>
      <c r="L524" s="1974" t="s">
        <v>610</v>
      </c>
      <c r="M524" s="1974" t="s">
        <v>611</v>
      </c>
      <c r="N524" s="1969"/>
      <c r="O524" s="1975" t="s">
        <v>223</v>
      </c>
      <c r="P524" s="894"/>
      <c r="Q524" s="894"/>
      <c r="R524" s="894"/>
      <c r="S524" s="894"/>
      <c r="T524" s="1976"/>
      <c r="U524" s="1976"/>
    </row>
    <row r="525" spans="1:50" s="1201" customFormat="1" ht="14" x14ac:dyDescent="0.3">
      <c r="A525" s="2397"/>
      <c r="B525" s="1977" t="s">
        <v>633</v>
      </c>
      <c r="C525" s="1978">
        <v>38.6</v>
      </c>
      <c r="D525" s="1978">
        <f>SUM(E525:G525)</f>
        <v>70.5</v>
      </c>
      <c r="E525" s="1979">
        <v>69.900000000000006</v>
      </c>
      <c r="F525" s="1979">
        <v>0.1</v>
      </c>
      <c r="G525" s="1979">
        <v>0.5</v>
      </c>
      <c r="H525" s="1978">
        <v>3.6</v>
      </c>
      <c r="I525" s="1969"/>
      <c r="J525" s="2398">
        <f>D525*$C525/1000</f>
        <v>2.7213000000000003</v>
      </c>
      <c r="K525" s="1980">
        <f>C525*E525/1000</f>
        <v>2.6981400000000004</v>
      </c>
      <c r="L525" s="1981">
        <f>F525*C525/1000</f>
        <v>3.8600000000000001E-3</v>
      </c>
      <c r="M525" s="1981">
        <f>G525*C525/1000</f>
        <v>1.9300000000000001E-2</v>
      </c>
      <c r="N525" s="1969"/>
      <c r="O525" s="1980">
        <f>C525*H525/1000</f>
        <v>0.13896</v>
      </c>
      <c r="P525" s="1182"/>
      <c r="Q525" s="894"/>
      <c r="R525" s="894"/>
      <c r="S525" s="894"/>
      <c r="T525" s="1976"/>
      <c r="U525" s="1976"/>
    </row>
    <row r="526" spans="1:50" s="1201" customFormat="1" ht="14" x14ac:dyDescent="0.3">
      <c r="A526" s="2308"/>
      <c r="B526" s="1967"/>
      <c r="C526" s="1967"/>
      <c r="D526" s="1967"/>
      <c r="E526" s="1967"/>
      <c r="F526" s="1967"/>
      <c r="G526" s="1967"/>
      <c r="H526" s="1967"/>
      <c r="I526" s="1967"/>
      <c r="J526" s="1967"/>
      <c r="K526" s="1967"/>
      <c r="L526" s="1967"/>
      <c r="M526" s="1967"/>
      <c r="N526" s="1969"/>
      <c r="O526" s="1967"/>
      <c r="P526" s="894"/>
      <c r="Q526" s="894"/>
      <c r="R526" s="894"/>
      <c r="S526" s="894"/>
      <c r="T526" s="1976"/>
      <c r="U526" s="1976"/>
    </row>
    <row r="527" spans="1:50" s="1984" customFormat="1" ht="15.75" customHeight="1" x14ac:dyDescent="0.3">
      <c r="A527" s="2308"/>
      <c r="B527" s="2396" t="s">
        <v>1476</v>
      </c>
      <c r="C527" s="2399" t="s">
        <v>1501</v>
      </c>
      <c r="D527" s="2399" t="s">
        <v>1477</v>
      </c>
      <c r="E527" s="2399" t="s">
        <v>1492</v>
      </c>
      <c r="F527" s="2399"/>
      <c r="G527" s="2399"/>
      <c r="H527" s="2399"/>
      <c r="I527" s="2399" t="s">
        <v>1493</v>
      </c>
      <c r="J527" s="2399"/>
      <c r="K527" s="2399"/>
      <c r="L527" s="2399" t="s">
        <v>2059</v>
      </c>
      <c r="M527" s="2399"/>
      <c r="N527" s="1967"/>
      <c r="O527" s="1967"/>
      <c r="P527" s="894"/>
      <c r="Q527" s="894"/>
      <c r="R527" s="894"/>
      <c r="S527" s="894"/>
      <c r="T527" s="1983"/>
      <c r="U527" s="1983"/>
      <c r="V527" s="1201"/>
    </row>
    <row r="528" spans="1:50" s="1201" customFormat="1" ht="15.75" customHeight="1" x14ac:dyDescent="0.3">
      <c r="A528" s="2308"/>
      <c r="B528" s="2396"/>
      <c r="C528" s="2399"/>
      <c r="D528" s="2399"/>
      <c r="E528" s="1970" t="s">
        <v>1475</v>
      </c>
      <c r="F528" s="1970" t="s">
        <v>610</v>
      </c>
      <c r="G528" s="1970" t="s">
        <v>611</v>
      </c>
      <c r="H528" s="1970" t="s">
        <v>1478</v>
      </c>
      <c r="I528" s="1970"/>
      <c r="J528" s="1970" t="s">
        <v>1478</v>
      </c>
      <c r="K528" s="1967"/>
      <c r="L528" s="1970"/>
      <c r="M528" s="1967"/>
      <c r="N528" s="1967"/>
      <c r="O528" s="1967"/>
      <c r="P528" s="1446"/>
      <c r="Q528" s="1446"/>
      <c r="R528" s="1446"/>
      <c r="S528" s="1446"/>
      <c r="T528" s="1446"/>
      <c r="U528" s="1446"/>
      <c r="V528" s="1984"/>
    </row>
    <row r="529" spans="1:21" s="1201" customFormat="1" ht="14" x14ac:dyDescent="0.3">
      <c r="A529" s="2308"/>
      <c r="B529" s="1967" t="s">
        <v>1479</v>
      </c>
      <c r="C529" s="1985">
        <f>C63</f>
        <v>0</v>
      </c>
      <c r="D529" s="1979">
        <f>C529/1000</f>
        <v>0</v>
      </c>
      <c r="E529" s="1980">
        <f>$D$529*K525</f>
        <v>0</v>
      </c>
      <c r="F529" s="1980">
        <f>$D$529*L525</f>
        <v>0</v>
      </c>
      <c r="G529" s="1980">
        <f>$D$529*M525</f>
        <v>0</v>
      </c>
      <c r="H529" s="1980">
        <f>SUM(E529:G529)</f>
        <v>0</v>
      </c>
      <c r="I529" s="1980"/>
      <c r="J529" s="1980">
        <f>$D$529*O525</f>
        <v>0</v>
      </c>
      <c r="K529" s="1967"/>
      <c r="L529" s="1980">
        <f>H529+J529</f>
        <v>0</v>
      </c>
      <c r="M529" s="1980"/>
      <c r="N529" s="1967"/>
      <c r="O529" s="1967"/>
      <c r="P529" s="1976"/>
      <c r="Q529" s="1976"/>
      <c r="R529" s="1976"/>
      <c r="S529" s="1976"/>
      <c r="T529" s="1976"/>
      <c r="U529" s="1976"/>
    </row>
    <row r="530" spans="1:21" s="1201" customFormat="1" ht="14" x14ac:dyDescent="0.3">
      <c r="B530" s="1968" t="s">
        <v>223</v>
      </c>
      <c r="C530" s="1967"/>
      <c r="D530" s="1967"/>
      <c r="E530" s="1973">
        <f>SUM(E529:E529)</f>
        <v>0</v>
      </c>
      <c r="F530" s="1973">
        <f>SUM(F529:F529)</f>
        <v>0</v>
      </c>
      <c r="G530" s="1973">
        <f>SUM(G529:G529)</f>
        <v>0</v>
      </c>
      <c r="H530" s="1973">
        <f>SUM(H529:H529)</f>
        <v>0</v>
      </c>
      <c r="I530" s="1973"/>
      <c r="J530" s="2400">
        <f>SUM(J529:J529)</f>
        <v>0</v>
      </c>
      <c r="K530" s="1967"/>
      <c r="L530" s="1973">
        <f>SUM(L529:L529)</f>
        <v>0</v>
      </c>
      <c r="M530" s="1973"/>
      <c r="N530" s="1967"/>
      <c r="O530" s="1967"/>
      <c r="P530" s="1976"/>
      <c r="Q530" s="1976"/>
      <c r="R530" s="1976"/>
      <c r="S530" s="1976"/>
      <c r="T530" s="1976"/>
      <c r="U530" s="1976"/>
    </row>
    <row r="531" spans="1:21" s="1201" customFormat="1" ht="14" x14ac:dyDescent="0.3">
      <c r="B531" s="1968"/>
      <c r="C531" s="1967"/>
      <c r="D531" s="1967"/>
      <c r="E531" s="1986"/>
      <c r="F531" s="1986"/>
      <c r="G531" s="1986"/>
      <c r="H531" s="1986"/>
      <c r="I531" s="1986"/>
      <c r="J531" s="1986"/>
      <c r="K531" s="1967"/>
      <c r="L531" s="1967"/>
      <c r="M531" s="1967"/>
      <c r="N531" s="1967"/>
      <c r="O531" s="1967"/>
      <c r="P531" s="1976"/>
      <c r="Q531" s="1976"/>
      <c r="R531" s="1976"/>
      <c r="S531" s="1976"/>
      <c r="T531" s="1976"/>
      <c r="U531" s="1976"/>
    </row>
    <row r="532" spans="1:21" s="1201" customFormat="1" ht="14" x14ac:dyDescent="0.3">
      <c r="B532" s="1987"/>
      <c r="C532" s="1988"/>
      <c r="D532" s="1988"/>
      <c r="E532" s="1446"/>
      <c r="F532" s="1446"/>
      <c r="G532" s="1446"/>
      <c r="H532" s="1988"/>
      <c r="I532" s="1988"/>
      <c r="J532" s="1446"/>
      <c r="K532" s="1446"/>
      <c r="L532" s="1446"/>
      <c r="M532" s="1446"/>
      <c r="N532" s="2035"/>
      <c r="O532" s="1446"/>
      <c r="P532" s="1976"/>
      <c r="Q532" s="1976"/>
      <c r="R532" s="1976"/>
      <c r="S532" s="1976"/>
      <c r="T532" s="1976"/>
      <c r="U532" s="1976"/>
    </row>
    <row r="533" spans="1:21" s="1201" customFormat="1" ht="14" x14ac:dyDescent="0.3">
      <c r="B533" s="2001"/>
      <c r="C533" s="2401" t="s">
        <v>1500</v>
      </c>
      <c r="D533" s="2402"/>
      <c r="E533" s="2402" t="s">
        <v>1499</v>
      </c>
      <c r="F533" s="2402" t="s">
        <v>228</v>
      </c>
      <c r="G533" s="2403"/>
      <c r="H533" s="2403"/>
      <c r="I533" s="2001"/>
      <c r="J533" s="2001"/>
      <c r="K533" s="2001"/>
      <c r="P533" s="894"/>
      <c r="Q533" s="894"/>
      <c r="R533" s="894"/>
      <c r="S533" s="894"/>
      <c r="T533" s="1983"/>
      <c r="U533" s="1983"/>
    </row>
    <row r="534" spans="1:21" s="1201" customFormat="1" ht="15.75" customHeight="1" x14ac:dyDescent="0.3">
      <c r="B534" s="1459" t="s">
        <v>1495</v>
      </c>
      <c r="C534" s="2404">
        <f>C62</f>
        <v>0</v>
      </c>
      <c r="D534" s="2405" t="s">
        <v>1496</v>
      </c>
      <c r="E534" s="2406" t="s">
        <v>1497</v>
      </c>
      <c r="F534" s="2402">
        <f>G62</f>
        <v>0</v>
      </c>
      <c r="G534" s="2407"/>
      <c r="H534" s="2408" t="s">
        <v>2010</v>
      </c>
      <c r="I534" s="2001"/>
      <c r="J534" s="2000">
        <f>G63</f>
        <v>0</v>
      </c>
      <c r="K534" s="2001"/>
    </row>
    <row r="535" spans="1:21" s="1201" customFormat="1" ht="15.75" customHeight="1" x14ac:dyDescent="0.3">
      <c r="B535" s="2001"/>
      <c r="C535" s="2409"/>
      <c r="D535" s="2402"/>
      <c r="E535" s="2406" t="s">
        <v>1498</v>
      </c>
      <c r="F535" s="2402"/>
      <c r="G535" s="2407"/>
      <c r="H535" s="2408"/>
      <c r="I535" s="2001"/>
      <c r="J535" s="2001"/>
      <c r="K535" s="2001"/>
    </row>
    <row r="536" spans="1:21" s="1201" customFormat="1" ht="14" x14ac:dyDescent="0.3">
      <c r="B536" s="1459"/>
      <c r="C536" s="2409"/>
      <c r="D536" s="2402"/>
      <c r="E536" s="2407"/>
      <c r="F536" s="2402"/>
      <c r="G536" s="2407"/>
      <c r="H536" s="2408" t="s">
        <v>1502</v>
      </c>
      <c r="I536" s="2001"/>
      <c r="J536" s="2000">
        <f>IF(F534="State Grid",(C547*(1-J534%)),0)</f>
        <v>0</v>
      </c>
      <c r="K536" s="2001"/>
    </row>
    <row r="537" spans="1:21" s="1201" customFormat="1" ht="14" x14ac:dyDescent="0.3">
      <c r="B537" s="2001"/>
      <c r="C537" s="2402"/>
      <c r="D537" s="2402"/>
      <c r="E537" s="2402"/>
      <c r="F537" s="2402"/>
      <c r="G537" s="2403"/>
      <c r="H537" s="2403"/>
      <c r="I537" s="2001"/>
      <c r="J537" s="2001"/>
      <c r="K537" s="2001"/>
    </row>
    <row r="538" spans="1:21" s="1201" customFormat="1" ht="14" x14ac:dyDescent="0.3">
      <c r="B538" s="2410"/>
      <c r="C538" s="2411"/>
      <c r="D538" s="2411"/>
      <c r="E538" s="2412"/>
      <c r="F538" s="2402"/>
      <c r="G538" s="2403"/>
      <c r="H538" s="1459" t="s">
        <v>1503</v>
      </c>
      <c r="I538" s="2001"/>
      <c r="J538" s="2000">
        <f>J536*C534/1000</f>
        <v>0</v>
      </c>
      <c r="K538" s="2001"/>
    </row>
    <row r="539" spans="1:21" s="1201" customFormat="1" ht="14" x14ac:dyDescent="0.3">
      <c r="B539" s="2413" t="s">
        <v>260</v>
      </c>
      <c r="C539" s="2414" t="s">
        <v>1490</v>
      </c>
      <c r="D539" s="2415" t="s">
        <v>1491</v>
      </c>
      <c r="E539" s="2416"/>
      <c r="F539" s="2402"/>
      <c r="G539" s="2403"/>
      <c r="H539" s="2408"/>
      <c r="I539" s="2001"/>
      <c r="J539" s="2001"/>
      <c r="K539" s="2001"/>
    </row>
    <row r="540" spans="1:21" s="1201" customFormat="1" ht="14" x14ac:dyDescent="0.3">
      <c r="A540" s="1201">
        <v>1</v>
      </c>
      <c r="B540" s="2417" t="s">
        <v>912</v>
      </c>
      <c r="C540" s="2418">
        <v>1.02</v>
      </c>
      <c r="D540" s="2418">
        <v>0.1</v>
      </c>
      <c r="E540" s="2419"/>
      <c r="F540" s="2402"/>
      <c r="G540" s="2407"/>
      <c r="H540" s="2408" t="s">
        <v>1504</v>
      </c>
      <c r="I540" s="2001"/>
      <c r="J540" s="2000">
        <f>IF(F534="State Grid",(D547*(1-J534%)),0)</f>
        <v>0</v>
      </c>
      <c r="K540" s="2001"/>
    </row>
    <row r="541" spans="1:21" s="1201" customFormat="1" ht="14" x14ac:dyDescent="0.3">
      <c r="A541" s="1201">
        <v>2</v>
      </c>
      <c r="B541" s="2420" t="s">
        <v>917</v>
      </c>
      <c r="C541" s="2418">
        <v>0.81</v>
      </c>
      <c r="D541" s="2418">
        <v>0.09</v>
      </c>
      <c r="E541" s="2419"/>
      <c r="F541" s="2402"/>
      <c r="G541" s="2403"/>
      <c r="H541" s="2408"/>
      <c r="I541" s="2001"/>
      <c r="J541" s="2000"/>
      <c r="K541" s="2001"/>
    </row>
    <row r="542" spans="1:21" s="1201" customFormat="1" ht="14" x14ac:dyDescent="0.3">
      <c r="A542" s="1201">
        <v>3</v>
      </c>
      <c r="B542" s="2420" t="s">
        <v>866</v>
      </c>
      <c r="C542" s="2418">
        <v>0.15</v>
      </c>
      <c r="D542" s="2418">
        <v>0.02</v>
      </c>
      <c r="E542" s="2419"/>
      <c r="F542" s="2402"/>
      <c r="G542" s="2403"/>
      <c r="H542" s="1460" t="s">
        <v>1505</v>
      </c>
      <c r="I542" s="2001"/>
      <c r="J542" s="2000">
        <f>C534*J540/1000</f>
        <v>0</v>
      </c>
      <c r="K542" s="2001"/>
    </row>
    <row r="543" spans="1:21" s="1201" customFormat="1" ht="14" x14ac:dyDescent="0.3">
      <c r="A543" s="1201">
        <v>4</v>
      </c>
      <c r="B543" s="2420" t="s">
        <v>914</v>
      </c>
      <c r="C543" s="2418">
        <v>0.81</v>
      </c>
      <c r="D543" s="2418">
        <v>0.12</v>
      </c>
      <c r="E543" s="2421"/>
      <c r="F543" s="2402"/>
      <c r="G543" s="2403"/>
      <c r="H543" s="2403"/>
      <c r="I543" s="2001"/>
      <c r="J543" s="2001"/>
      <c r="K543" s="2001"/>
    </row>
    <row r="544" spans="1:21" s="1201" customFormat="1" ht="14" x14ac:dyDescent="0.3">
      <c r="A544" s="1201">
        <v>5</v>
      </c>
      <c r="B544" s="2420" t="s">
        <v>918</v>
      </c>
      <c r="C544" s="2418">
        <v>0.44</v>
      </c>
      <c r="D544" s="2418">
        <v>0.1</v>
      </c>
      <c r="E544" s="2421"/>
      <c r="F544" s="2402"/>
      <c r="G544" s="2403"/>
      <c r="H544" s="2408" t="s">
        <v>1506</v>
      </c>
      <c r="I544" s="2001"/>
      <c r="J544" s="2422">
        <f>J538+J542</f>
        <v>0</v>
      </c>
      <c r="K544" s="2001"/>
    </row>
    <row r="545" spans="1:33" s="1201" customFormat="1" ht="14" x14ac:dyDescent="0.3">
      <c r="A545" s="1201">
        <v>6</v>
      </c>
      <c r="B545" s="2423" t="s">
        <v>919</v>
      </c>
      <c r="C545" s="2418">
        <v>0.69</v>
      </c>
      <c r="D545" s="2418">
        <v>0.04</v>
      </c>
      <c r="E545" s="2421"/>
      <c r="F545" s="2402"/>
      <c r="G545" s="2403"/>
      <c r="H545" s="2403"/>
      <c r="I545" s="2001"/>
      <c r="J545" s="2001"/>
      <c r="K545" s="2001"/>
    </row>
    <row r="546" spans="1:33" s="1201" customFormat="1" ht="14" x14ac:dyDescent="0.3">
      <c r="A546" s="1201">
        <v>7</v>
      </c>
      <c r="B546" s="2424" t="s">
        <v>920</v>
      </c>
      <c r="C546" s="2425">
        <v>0.63</v>
      </c>
      <c r="D546" s="2425">
        <v>0.08</v>
      </c>
      <c r="E546" s="2426"/>
      <c r="F546" s="2402"/>
      <c r="G546" s="2403"/>
      <c r="H546" s="2403"/>
      <c r="I546" s="2001"/>
      <c r="J546" s="2001"/>
      <c r="K546" s="2001"/>
    </row>
    <row r="547" spans="1:33" s="1201" customFormat="1" ht="14" x14ac:dyDescent="0.3">
      <c r="A547" s="1201" t="s">
        <v>228</v>
      </c>
      <c r="B547" s="2427" t="e">
        <f>VLOOKUP($D$15,$B$540:$E$546,1,FALSE)</f>
        <v>#N/A</v>
      </c>
      <c r="C547" s="2019" t="e">
        <f>VLOOKUP($D$15,$B$540:$E$546,2,FALSE)</f>
        <v>#N/A</v>
      </c>
      <c r="D547" s="2019" t="e">
        <f>VLOOKUP($D$15,$B$540:$E$546,3,FALSE)</f>
        <v>#N/A</v>
      </c>
      <c r="E547" s="2020"/>
      <c r="F547" s="2428"/>
      <c r="G547" s="2018"/>
      <c r="H547" s="2018"/>
      <c r="I547" s="2036"/>
      <c r="J547" s="2037"/>
      <c r="K547" s="2037"/>
      <c r="L547" s="892"/>
      <c r="M547" s="892"/>
      <c r="N547" s="892"/>
      <c r="O547" s="892"/>
      <c r="W547" s="892"/>
      <c r="X547" s="892"/>
      <c r="Y547" s="892"/>
      <c r="Z547" s="892"/>
      <c r="AA547" s="892"/>
      <c r="AB547" s="892"/>
      <c r="AC547" s="892"/>
      <c r="AD547" s="892"/>
      <c r="AE547" s="892"/>
      <c r="AF547" s="892"/>
      <c r="AG547" s="892"/>
    </row>
    <row r="548" spans="1:33" s="1201" customFormat="1" ht="14" x14ac:dyDescent="0.3">
      <c r="A548" s="892"/>
      <c r="B548" s="892"/>
      <c r="C548" s="892"/>
      <c r="D548" s="892"/>
      <c r="E548" s="892"/>
      <c r="F548" s="892"/>
      <c r="G548" s="892"/>
      <c r="H548" s="892"/>
      <c r="I548" s="892"/>
      <c r="J548" s="892"/>
      <c r="K548" s="892"/>
      <c r="L548" s="892"/>
      <c r="M548" s="892"/>
      <c r="N548" s="892"/>
      <c r="O548" s="892"/>
      <c r="P548" s="892"/>
      <c r="Q548" s="892"/>
      <c r="R548" s="892"/>
      <c r="S548" s="892"/>
      <c r="T548" s="892"/>
      <c r="U548" s="892"/>
      <c r="V548" s="892"/>
      <c r="W548" s="892"/>
      <c r="X548" s="892"/>
      <c r="Y548" s="892"/>
      <c r="Z548" s="892"/>
      <c r="AA548" s="892"/>
      <c r="AB548" s="892"/>
      <c r="AC548" s="892"/>
      <c r="AD548" s="892"/>
      <c r="AE548" s="892"/>
      <c r="AF548" s="892"/>
      <c r="AG548" s="892"/>
    </row>
    <row r="549" spans="1:33" s="892" customFormat="1" ht="14" x14ac:dyDescent="0.3"/>
    <row r="550" spans="1:33" s="892" customFormat="1" ht="14" x14ac:dyDescent="0.3">
      <c r="B550" s="1755" t="s">
        <v>837</v>
      </c>
    </row>
    <row r="551" spans="1:33" s="892" customFormat="1" ht="14" x14ac:dyDescent="0.3"/>
    <row r="552" spans="1:33" s="892" customFormat="1" ht="14" x14ac:dyDescent="0.3">
      <c r="B552" s="2021" t="s">
        <v>830</v>
      </c>
      <c r="C552" s="2429" t="s">
        <v>839</v>
      </c>
      <c r="D552" s="2430" t="s">
        <v>318</v>
      </c>
      <c r="E552" s="2430" t="s">
        <v>832</v>
      </c>
    </row>
    <row r="553" spans="1:33" s="892" customFormat="1" ht="14" x14ac:dyDescent="0.3">
      <c r="B553" s="2023" t="s">
        <v>831</v>
      </c>
      <c r="C553" s="2431">
        <f>C66</f>
        <v>0</v>
      </c>
      <c r="D553" s="2432">
        <v>0.16</v>
      </c>
      <c r="E553" s="2433">
        <f>C553*D553</f>
        <v>0</v>
      </c>
      <c r="F553" s="892" t="s">
        <v>1520</v>
      </c>
      <c r="L553" s="2038"/>
      <c r="M553" s="2038"/>
      <c r="N553" s="2038"/>
      <c r="O553" s="2038"/>
    </row>
    <row r="554" spans="1:33" s="892" customFormat="1" ht="14" x14ac:dyDescent="0.3">
      <c r="B554" s="2023" t="s">
        <v>833</v>
      </c>
      <c r="C554" s="2431">
        <f>G66</f>
        <v>0</v>
      </c>
      <c r="D554" s="2432">
        <v>0.16</v>
      </c>
      <c r="E554" s="2433">
        <f t="shared" ref="E554:E558" si="49">C554*D554</f>
        <v>0</v>
      </c>
      <c r="F554" s="892" t="s">
        <v>1520</v>
      </c>
      <c r="L554" s="2038"/>
      <c r="M554" s="2038"/>
      <c r="N554" s="2038"/>
      <c r="O554" s="2038"/>
      <c r="Q554" s="2039"/>
    </row>
    <row r="555" spans="1:33" s="892" customFormat="1" ht="14" x14ac:dyDescent="0.3">
      <c r="B555" s="2023" t="s">
        <v>834</v>
      </c>
      <c r="C555" s="2431">
        <f>C68</f>
        <v>0</v>
      </c>
      <c r="D555" s="2432">
        <v>0.16</v>
      </c>
      <c r="E555" s="2433">
        <f t="shared" si="49"/>
        <v>0</v>
      </c>
      <c r="F555" s="892" t="s">
        <v>1520</v>
      </c>
      <c r="L555" s="2038"/>
      <c r="M555" s="2038"/>
      <c r="N555" s="2038"/>
      <c r="O555" s="2038"/>
      <c r="Q555" s="2039"/>
    </row>
    <row r="556" spans="1:33" s="892" customFormat="1" ht="14" x14ac:dyDescent="0.3">
      <c r="B556" s="2023" t="s">
        <v>835</v>
      </c>
      <c r="C556" s="2431">
        <f>G68</f>
        <v>0</v>
      </c>
      <c r="D556" s="2432">
        <v>0.16</v>
      </c>
      <c r="E556" s="2433">
        <f t="shared" si="49"/>
        <v>0</v>
      </c>
      <c r="F556" s="892" t="s">
        <v>1520</v>
      </c>
      <c r="L556" s="2038"/>
      <c r="M556" s="2038"/>
      <c r="N556" s="2038"/>
      <c r="O556" s="2038"/>
      <c r="Q556" s="2039"/>
    </row>
    <row r="557" spans="1:33" s="892" customFormat="1" ht="14" x14ac:dyDescent="0.3">
      <c r="B557" s="2023" t="s">
        <v>836</v>
      </c>
      <c r="C557" s="2431">
        <f>C70</f>
        <v>0</v>
      </c>
      <c r="D557" s="2432">
        <v>0.2</v>
      </c>
      <c r="E557" s="2433">
        <f t="shared" si="49"/>
        <v>0</v>
      </c>
      <c r="F557" s="892" t="s">
        <v>1520</v>
      </c>
      <c r="L557" s="2038"/>
      <c r="M557" s="2038"/>
      <c r="N557" s="2038"/>
      <c r="O557" s="2038"/>
      <c r="Q557" s="2039"/>
    </row>
    <row r="558" spans="1:33" s="892" customFormat="1" ht="14" x14ac:dyDescent="0.3">
      <c r="B558" s="2023" t="s">
        <v>811</v>
      </c>
      <c r="C558" s="2431">
        <f>G70</f>
        <v>0</v>
      </c>
      <c r="D558" s="2430">
        <v>0</v>
      </c>
      <c r="E558" s="2433">
        <f t="shared" si="49"/>
        <v>0</v>
      </c>
      <c r="L558" s="2038"/>
      <c r="M558" s="2038"/>
      <c r="N558" s="2038"/>
      <c r="O558" s="2038"/>
      <c r="Q558" s="469"/>
    </row>
    <row r="559" spans="1:33" s="892" customFormat="1" ht="14" x14ac:dyDescent="0.3">
      <c r="B559" s="2023" t="s">
        <v>223</v>
      </c>
      <c r="C559" s="2429"/>
      <c r="D559" s="2430"/>
      <c r="E559" s="2433">
        <f>SUM(E553:E558)</f>
        <v>0</v>
      </c>
      <c r="L559" s="2038"/>
      <c r="M559" s="2038"/>
      <c r="N559" s="2038"/>
      <c r="O559" s="2038"/>
      <c r="Q559" s="2039"/>
    </row>
    <row r="560" spans="1:33" s="892" customFormat="1" ht="14" x14ac:dyDescent="0.3">
      <c r="B560" s="2022"/>
      <c r="C560" s="2429" t="s">
        <v>1509</v>
      </c>
      <c r="D560" s="2429"/>
      <c r="E560" s="2429"/>
      <c r="Q560" s="2039"/>
    </row>
    <row r="561" spans="2:6" s="892" customFormat="1" ht="14" x14ac:dyDescent="0.3">
      <c r="B561" s="2023" t="s">
        <v>840</v>
      </c>
      <c r="C561" s="2429">
        <f>IF($V$205="1",((G53*C53)+(G54*C54))/1000,(G53+G54))</f>
        <v>0</v>
      </c>
      <c r="D561" s="2432">
        <v>1.8</v>
      </c>
      <c r="E561" s="2432">
        <f>C561/0.46*D561</f>
        <v>0</v>
      </c>
      <c r="F561" s="892" t="s">
        <v>2052</v>
      </c>
    </row>
    <row r="562" spans="2:6" s="892" customFormat="1" ht="14" x14ac:dyDescent="0.3">
      <c r="B562" s="2023" t="s">
        <v>1521</v>
      </c>
      <c r="C562" s="2429">
        <f>IF($V$205="1",((G58*$C$58)+(G59*$C$59))/1000,(G58+G59))</f>
        <v>0</v>
      </c>
      <c r="D562" s="2432">
        <v>0.2</v>
      </c>
      <c r="E562" s="2432">
        <f>C562/0.09*D562</f>
        <v>0</v>
      </c>
    </row>
    <row r="563" spans="2:6" s="892" customFormat="1" ht="14" x14ac:dyDescent="0.3">
      <c r="B563" s="2023" t="s">
        <v>842</v>
      </c>
      <c r="C563" s="2429">
        <f>IF($V$205="1",((H58*$C$58)+(H59*$C$59))/1000,(H58+H59))</f>
        <v>0</v>
      </c>
      <c r="D563" s="2430">
        <v>0.13100000000000001</v>
      </c>
      <c r="E563" s="2432">
        <f>C563/0.5*D563</f>
        <v>0</v>
      </c>
    </row>
    <row r="564" spans="2:6" s="892" customFormat="1" ht="14" x14ac:dyDescent="0.3">
      <c r="B564" s="2023" t="s">
        <v>1522</v>
      </c>
      <c r="C564" s="2429">
        <f>IF($V$205="1",((I58*$C$58)+(I59*$C$59))/1000,(I58+I59))</f>
        <v>0</v>
      </c>
      <c r="D564" s="2432">
        <f>$D$562</f>
        <v>0.2</v>
      </c>
      <c r="E564" s="2432">
        <f>C564/0.11*D564</f>
        <v>0</v>
      </c>
    </row>
    <row r="565" spans="2:6" s="892" customFormat="1" ht="14" x14ac:dyDescent="0.3">
      <c r="B565" s="2023" t="s">
        <v>838</v>
      </c>
      <c r="C565" s="2429">
        <f>IF($V$205="1",((J58*$C$58)+(J59*$C$59))/1000,(J58+J59))</f>
        <v>0</v>
      </c>
      <c r="D565" s="2432">
        <v>2.5000000000000001E-2</v>
      </c>
      <c r="E565" s="2432">
        <f>C565*D565</f>
        <v>0</v>
      </c>
      <c r="F565" s="469"/>
    </row>
    <row r="566" spans="2:6" s="892" customFormat="1" ht="14" x14ac:dyDescent="0.3">
      <c r="B566" s="2023" t="s">
        <v>223</v>
      </c>
      <c r="C566" s="2430"/>
      <c r="D566" s="2430"/>
      <c r="E566" s="2433">
        <f>IF(C562&gt;C564,E562,E564)+E561+E563+E565</f>
        <v>0</v>
      </c>
      <c r="F566" s="469"/>
    </row>
    <row r="567" spans="2:6" s="892" customFormat="1" ht="14" x14ac:dyDescent="0.3">
      <c r="B567" s="2023"/>
      <c r="C567" s="2429"/>
      <c r="D567" s="2430"/>
      <c r="E567" s="2434"/>
      <c r="F567" s="2039"/>
    </row>
    <row r="568" spans="2:6" s="892" customFormat="1" ht="14" x14ac:dyDescent="0.3">
      <c r="B568" s="2021" t="s">
        <v>1508</v>
      </c>
      <c r="C568" s="2429"/>
      <c r="D568" s="2430"/>
      <c r="E568" s="2434"/>
      <c r="F568" s="469"/>
    </row>
    <row r="569" spans="2:6" s="892" customFormat="1" ht="14" x14ac:dyDescent="0.3">
      <c r="B569" s="2023" t="s">
        <v>1511</v>
      </c>
      <c r="C569" s="2435">
        <f>C561/0.46</f>
        <v>0</v>
      </c>
      <c r="D569" s="2430"/>
      <c r="E569" s="2434"/>
    </row>
    <row r="570" spans="2:6" s="892" customFormat="1" ht="14" x14ac:dyDescent="0.3">
      <c r="B570" s="2023" t="s">
        <v>1510</v>
      </c>
      <c r="C570" s="2435">
        <f>IF(G55="",100,G55)</f>
        <v>100</v>
      </c>
      <c r="D570" s="2430"/>
      <c r="E570" s="2434"/>
    </row>
    <row r="571" spans="2:6" s="892" customFormat="1" ht="14" x14ac:dyDescent="0.3">
      <c r="B571" s="2023" t="s">
        <v>2070</v>
      </c>
      <c r="C571" s="2435">
        <f>C569*C570%</f>
        <v>0</v>
      </c>
      <c r="D571" s="2430"/>
      <c r="E571" s="2434"/>
    </row>
    <row r="572" spans="2:6" s="892" customFormat="1" ht="14" x14ac:dyDescent="0.3">
      <c r="B572" s="2023" t="s">
        <v>1513</v>
      </c>
      <c r="C572" s="2429">
        <v>0.2</v>
      </c>
      <c r="D572" s="2436"/>
      <c r="E572" s="2434"/>
    </row>
    <row r="573" spans="2:6" s="892" customFormat="1" ht="14" x14ac:dyDescent="0.3">
      <c r="B573" s="2023" t="s">
        <v>1514</v>
      </c>
      <c r="C573" s="2435">
        <f>C571*C572*44/12</f>
        <v>0</v>
      </c>
      <c r="D573" s="2430"/>
      <c r="E573" s="2434"/>
    </row>
    <row r="574" spans="2:6" s="892" customFormat="1" ht="14" x14ac:dyDescent="0.3">
      <c r="B574" s="2023"/>
      <c r="C574" s="2429"/>
      <c r="D574" s="2430"/>
      <c r="E574" s="2434"/>
    </row>
    <row r="575" spans="2:6" s="892" customFormat="1" ht="14" x14ac:dyDescent="0.3">
      <c r="B575" s="2021" t="s">
        <v>1515</v>
      </c>
      <c r="C575" s="2429"/>
      <c r="D575" s="2430"/>
      <c r="E575" s="2434"/>
    </row>
    <row r="576" spans="2:6" s="892" customFormat="1" ht="14" x14ac:dyDescent="0.3">
      <c r="B576" s="2023" t="s">
        <v>1516</v>
      </c>
      <c r="C576" s="2429">
        <f>C565</f>
        <v>0</v>
      </c>
      <c r="D576" s="2430"/>
      <c r="E576" s="2434"/>
    </row>
    <row r="577" spans="1:21" s="892" customFormat="1" ht="14" x14ac:dyDescent="0.3">
      <c r="B577" s="2023" t="s">
        <v>1517</v>
      </c>
      <c r="C577" s="2429">
        <v>1</v>
      </c>
      <c r="D577" s="2430"/>
      <c r="E577" s="2434"/>
    </row>
    <row r="578" spans="1:21" s="892" customFormat="1" ht="14" x14ac:dyDescent="0.3">
      <c r="B578" s="2023" t="s">
        <v>1518</v>
      </c>
      <c r="C578" s="2429">
        <v>0.12</v>
      </c>
      <c r="D578" s="2430"/>
      <c r="E578" s="2434"/>
    </row>
    <row r="579" spans="1:21" s="892" customFormat="1" ht="14" x14ac:dyDescent="0.3">
      <c r="B579" s="2023" t="s">
        <v>1519</v>
      </c>
      <c r="C579" s="2429">
        <f>(C576*C577*C578*44/12)/1000</f>
        <v>0</v>
      </c>
      <c r="D579" s="2429"/>
      <c r="E579" s="2434"/>
    </row>
    <row r="580" spans="1:21" s="892" customFormat="1" ht="14" x14ac:dyDescent="0.3">
      <c r="B580" s="2023" t="s">
        <v>1514</v>
      </c>
      <c r="C580" s="2435">
        <f>C579*1000</f>
        <v>0</v>
      </c>
      <c r="D580" s="2435"/>
      <c r="E580" s="2434"/>
    </row>
    <row r="581" spans="1:21" s="892" customFormat="1" ht="14" x14ac:dyDescent="0.3">
      <c r="B581" s="2023"/>
      <c r="C581" s="2022"/>
      <c r="D581" s="2023"/>
      <c r="E581" s="2029"/>
    </row>
    <row r="582" spans="1:21" s="892" customFormat="1" ht="14" x14ac:dyDescent="0.3"/>
    <row r="583" spans="1:21" s="892" customFormat="1" ht="14" x14ac:dyDescent="0.3">
      <c r="B583" s="1755"/>
    </row>
    <row r="584" spans="1:21" s="892" customFormat="1" ht="14" x14ac:dyDescent="0.3">
      <c r="A584" s="2040"/>
      <c r="B584" s="1755" t="s">
        <v>1570</v>
      </c>
    </row>
    <row r="585" spans="1:21" s="892" customFormat="1" ht="14" x14ac:dyDescent="0.3">
      <c r="A585" s="2040"/>
    </row>
    <row r="586" spans="1:21" s="2040" customFormat="1" thickBot="1" x14ac:dyDescent="0.35">
      <c r="B586" s="2566" t="s">
        <v>245</v>
      </c>
      <c r="C586" s="2567"/>
      <c r="E586" s="2566" t="s">
        <v>1571</v>
      </c>
      <c r="F586" s="2568"/>
      <c r="G586" s="2567"/>
      <c r="I586" s="2437" t="s">
        <v>1572</v>
      </c>
    </row>
    <row r="587" spans="1:21" s="2040" customFormat="1" ht="14" x14ac:dyDescent="0.3">
      <c r="B587" s="2041" t="s">
        <v>260</v>
      </c>
      <c r="C587" s="2042">
        <f>D15</f>
        <v>0</v>
      </c>
      <c r="E587" s="2043" t="str">
        <f>CONCATENATE("Amount of carbon grown in the trees between Year ",FIXED(C594-1,0)," and Year ",FIXED(C594,0)," = ")</f>
        <v xml:space="preserve">Amount of carbon grown in the trees between Year -1 and Year 0 = </v>
      </c>
      <c r="F587" s="2044">
        <f>IF(ISERROR(F611),"",F611)</f>
        <v>0</v>
      </c>
      <c r="G587" s="2045" t="s">
        <v>1574</v>
      </c>
      <c r="I587" s="2136" t="s">
        <v>1575</v>
      </c>
      <c r="Q587" s="2438" t="s">
        <v>1573</v>
      </c>
      <c r="R587" s="2439"/>
      <c r="S587" s="2439"/>
      <c r="T587" s="2439"/>
      <c r="U587" s="2440"/>
    </row>
    <row r="588" spans="1:21" s="2040" customFormat="1" ht="14" x14ac:dyDescent="0.3">
      <c r="B588" s="2049" t="s">
        <v>1576</v>
      </c>
      <c r="C588" s="2050">
        <f>C75</f>
        <v>0</v>
      </c>
      <c r="E588" s="2051"/>
      <c r="G588" s="2052"/>
      <c r="I588" s="2136" t="s">
        <v>1577</v>
      </c>
      <c r="Q588" s="2441"/>
      <c r="R588" s="2442"/>
      <c r="S588" s="2442"/>
      <c r="T588" s="2442"/>
      <c r="U588" s="2443"/>
    </row>
    <row r="589" spans="1:21" s="2040" customFormat="1" ht="14" x14ac:dyDescent="0.3">
      <c r="B589" s="2049"/>
      <c r="C589" s="2050"/>
      <c r="E589" s="2051" t="s">
        <v>1578</v>
      </c>
      <c r="F589" s="2056">
        <f>IF(ISERROR(-F587*F594),"",F587*F594)</f>
        <v>0</v>
      </c>
      <c r="G589" s="2052" t="s">
        <v>1574</v>
      </c>
      <c r="I589" s="2136" t="s">
        <v>1579</v>
      </c>
      <c r="Q589" s="2441" t="s">
        <v>1572</v>
      </c>
      <c r="R589" s="2442" t="str">
        <f>CONCATENATE(C587," -- ",C588)</f>
        <v>0 -- 0</v>
      </c>
      <c r="S589" s="2442"/>
      <c r="T589" s="2442"/>
      <c r="U589" s="2443"/>
    </row>
    <row r="590" spans="1:21" s="2040" customFormat="1" ht="14" x14ac:dyDescent="0.3">
      <c r="B590" s="2049" t="s">
        <v>1581</v>
      </c>
      <c r="C590" s="2050">
        <f>C77</f>
        <v>0</v>
      </c>
      <c r="E590" s="2051"/>
      <c r="G590" s="2052"/>
      <c r="I590" s="2136" t="s">
        <v>1582</v>
      </c>
      <c r="Q590" s="2441" t="s">
        <v>1580</v>
      </c>
      <c r="R590" s="2442">
        <f>C590</f>
        <v>0</v>
      </c>
      <c r="S590" s="2442"/>
      <c r="T590" s="2442"/>
      <c r="U590" s="2443"/>
    </row>
    <row r="591" spans="1:21" s="2040" customFormat="1" ht="14" x14ac:dyDescent="0.3">
      <c r="B591" s="2049" t="s">
        <v>1584</v>
      </c>
      <c r="C591" s="2050">
        <f>C79</f>
        <v>0</v>
      </c>
      <c r="E591" s="2444" t="str">
        <f>CONCATENATE("Annual amount of CO2-e sequestered by trees on the ",FIXED(C593,0)," hectares = ")</f>
        <v xml:space="preserve">Annual amount of CO2-e sequestered by trees on the 0 hectares = </v>
      </c>
      <c r="F591" s="2445">
        <f>IF(ISERROR(F589*C593),0,(F589*C593))</f>
        <v>0</v>
      </c>
      <c r="G591" s="2446" t="str">
        <f>IF(F589&gt;0,CONCATENATE("Total tonnes CO2 sequestered in Year ",C594),"")</f>
        <v/>
      </c>
      <c r="I591" s="2136" t="s">
        <v>1585</v>
      </c>
      <c r="Q591" s="2447" t="s">
        <v>1583</v>
      </c>
      <c r="R591" s="2448">
        <f>C591</f>
        <v>0</v>
      </c>
      <c r="S591" s="2448"/>
      <c r="T591" s="2448"/>
      <c r="U591" s="2449"/>
    </row>
    <row r="592" spans="1:21" s="2040" customFormat="1" ht="14" x14ac:dyDescent="0.3">
      <c r="B592" s="2049"/>
      <c r="C592" s="2050"/>
      <c r="E592" s="2051"/>
      <c r="G592" s="2052"/>
      <c r="I592" s="2136" t="s">
        <v>1589</v>
      </c>
      <c r="Q592" s="2450" t="s">
        <v>557</v>
      </c>
      <c r="R592" s="2451" t="s">
        <v>1586</v>
      </c>
      <c r="S592" s="2451"/>
      <c r="T592" s="2451" t="s">
        <v>1587</v>
      </c>
      <c r="U592" s="2452" t="s">
        <v>1588</v>
      </c>
    </row>
    <row r="593" spans="2:21" s="2040" customFormat="1" ht="14" x14ac:dyDescent="0.3">
      <c r="B593" s="2049" t="s">
        <v>1590</v>
      </c>
      <c r="C593" s="2050">
        <f>G79</f>
        <v>0</v>
      </c>
      <c r="E593" s="2051"/>
      <c r="G593" s="2052"/>
      <c r="I593" s="2152" t="s">
        <v>1591</v>
      </c>
      <c r="Q593" s="2453">
        <v>0</v>
      </c>
      <c r="R593" s="2454">
        <v>0</v>
      </c>
      <c r="S593" s="2454"/>
      <c r="T593" s="2454">
        <v>0</v>
      </c>
      <c r="U593" s="2455">
        <f>IF(Q593=$E$609,R593-0,"")</f>
        <v>0</v>
      </c>
    </row>
    <row r="594" spans="2:21" s="2040" customFormat="1" ht="15.75" customHeight="1" x14ac:dyDescent="0.3">
      <c r="B594" s="2069" t="s">
        <v>1569</v>
      </c>
      <c r="C594" s="2070">
        <f>I79</f>
        <v>0</v>
      </c>
      <c r="E594" s="2051" t="s">
        <v>2156</v>
      </c>
      <c r="F594" s="2044">
        <v>3.67</v>
      </c>
      <c r="G594" s="2052"/>
      <c r="Q594" s="2453">
        <v>1</v>
      </c>
      <c r="R594" s="2454">
        <f>IF($F$611&gt;0,HLOOKUP($E$606,$B$699:$HX$799,Q594+1,FALSE),0)</f>
        <v>0</v>
      </c>
      <c r="S594" s="2454"/>
      <c r="T594" s="2454">
        <f>AVERAGE(T593,T595)</f>
        <v>0</v>
      </c>
      <c r="U594" s="2455" t="str">
        <f>IF(Q594=$E$609,R594-0,"")</f>
        <v/>
      </c>
    </row>
    <row r="595" spans="2:21" s="2040" customFormat="1" ht="14" x14ac:dyDescent="0.3">
      <c r="E595" s="2051"/>
      <c r="F595" s="2071" t="s">
        <v>1592</v>
      </c>
      <c r="G595" s="2072" t="s">
        <v>1593</v>
      </c>
      <c r="Q595" s="2453">
        <v>2</v>
      </c>
      <c r="R595" s="2454">
        <f t="shared" ref="R595:R625" si="50">IF($F$611&gt;0,HLOOKUP($E$606,$B$699:$HX$799,Q595+1,FALSE),0)</f>
        <v>0</v>
      </c>
      <c r="S595" s="2454"/>
      <c r="T595" s="2454">
        <f>R595-R594</f>
        <v>0</v>
      </c>
      <c r="U595" s="2455" t="str">
        <f t="shared" ref="U595:U626" si="51">IF(Q595=$E$609,R595-R594,"")</f>
        <v/>
      </c>
    </row>
    <row r="596" spans="2:21" s="2040" customFormat="1" ht="15" customHeight="1" x14ac:dyDescent="0.3">
      <c r="E596" s="2156" t="s">
        <v>2060</v>
      </c>
      <c r="F596" s="2056">
        <f>IF(ISERROR(F611),"",F612)</f>
        <v>0</v>
      </c>
      <c r="G596" s="2056">
        <f>IF(AND(F596&gt;0,C593&gt;0),F596*C593,0)</f>
        <v>0</v>
      </c>
      <c r="Q596" s="2453">
        <v>3</v>
      </c>
      <c r="R596" s="2454">
        <f t="shared" si="50"/>
        <v>0</v>
      </c>
      <c r="S596" s="2454"/>
      <c r="T596" s="2454">
        <f t="shared" ref="T596:T659" si="52">R596-R595</f>
        <v>0</v>
      </c>
      <c r="U596" s="2455" t="str">
        <f t="shared" si="51"/>
        <v/>
      </c>
    </row>
    <row r="597" spans="2:21" s="2040" customFormat="1" ht="14" x14ac:dyDescent="0.3">
      <c r="E597" s="2073" t="s">
        <v>2157</v>
      </c>
      <c r="F597" s="2056" t="str">
        <f>IF(F596&gt;0,(F594*$F$596),"")</f>
        <v/>
      </c>
      <c r="G597" s="2074" t="str">
        <f>IF(G596&gt;0,(G596*$F$594),"")</f>
        <v/>
      </c>
      <c r="Q597" s="2453">
        <v>4</v>
      </c>
      <c r="R597" s="2454">
        <f t="shared" si="50"/>
        <v>0</v>
      </c>
      <c r="S597" s="2454"/>
      <c r="T597" s="2454">
        <f t="shared" si="52"/>
        <v>0</v>
      </c>
      <c r="U597" s="2455" t="str">
        <f t="shared" si="51"/>
        <v/>
      </c>
    </row>
    <row r="598" spans="2:21" s="2040" customFormat="1" ht="14" x14ac:dyDescent="0.3">
      <c r="Q598" s="2453">
        <v>5</v>
      </c>
      <c r="R598" s="2454">
        <f t="shared" si="50"/>
        <v>0</v>
      </c>
      <c r="S598" s="2454"/>
      <c r="T598" s="2454">
        <f t="shared" si="52"/>
        <v>0</v>
      </c>
      <c r="U598" s="2455" t="str">
        <f t="shared" si="51"/>
        <v/>
      </c>
    </row>
    <row r="599" spans="2:21" s="2040" customFormat="1" ht="14" x14ac:dyDescent="0.3">
      <c r="Q599" s="2453">
        <v>6</v>
      </c>
      <c r="R599" s="2454">
        <f t="shared" si="50"/>
        <v>0</v>
      </c>
      <c r="S599" s="2454"/>
      <c r="T599" s="2454">
        <f t="shared" si="52"/>
        <v>0</v>
      </c>
      <c r="U599" s="2455" t="str">
        <f t="shared" si="51"/>
        <v/>
      </c>
    </row>
    <row r="600" spans="2:21" s="2040" customFormat="1" ht="14" x14ac:dyDescent="0.3">
      <c r="Q600" s="2453">
        <v>7</v>
      </c>
      <c r="R600" s="2454">
        <f t="shared" si="50"/>
        <v>0</v>
      </c>
      <c r="S600" s="2454"/>
      <c r="T600" s="2454">
        <f t="shared" si="52"/>
        <v>0</v>
      </c>
      <c r="U600" s="2455" t="str">
        <f t="shared" si="51"/>
        <v/>
      </c>
    </row>
    <row r="601" spans="2:21" s="2040" customFormat="1" ht="14" x14ac:dyDescent="0.3">
      <c r="B601" s="2456" t="s">
        <v>1595</v>
      </c>
      <c r="C601" s="2442"/>
      <c r="D601" s="2442"/>
      <c r="E601" s="2442"/>
      <c r="F601" s="2442"/>
      <c r="O601" s="2079"/>
      <c r="Q601" s="2453">
        <v>8</v>
      </c>
      <c r="R601" s="2454">
        <f t="shared" si="50"/>
        <v>0</v>
      </c>
      <c r="S601" s="2454"/>
      <c r="T601" s="2454">
        <f t="shared" si="52"/>
        <v>0</v>
      </c>
      <c r="U601" s="2455" t="str">
        <f t="shared" si="51"/>
        <v/>
      </c>
    </row>
    <row r="602" spans="2:21" s="2040" customFormat="1" ht="14" x14ac:dyDescent="0.3">
      <c r="B602" s="2456"/>
      <c r="C602" s="2457" t="s">
        <v>1596</v>
      </c>
      <c r="D602" s="2458">
        <f>C587</f>
        <v>0</v>
      </c>
      <c r="E602" s="2459" t="s">
        <v>1597</v>
      </c>
      <c r="F602" s="2442"/>
      <c r="O602" s="2079"/>
      <c r="Q602" s="2453">
        <v>9</v>
      </c>
      <c r="R602" s="2454">
        <f t="shared" si="50"/>
        <v>0</v>
      </c>
      <c r="S602" s="2454"/>
      <c r="T602" s="2454">
        <f t="shared" si="52"/>
        <v>0</v>
      </c>
      <c r="U602" s="2455" t="str">
        <f t="shared" si="51"/>
        <v/>
      </c>
    </row>
    <row r="603" spans="2:21" s="2040" customFormat="1" ht="14" x14ac:dyDescent="0.3">
      <c r="B603" s="2456"/>
      <c r="C603" s="2457" t="s">
        <v>1598</v>
      </c>
      <c r="D603" s="2458">
        <f>C75</f>
        <v>0</v>
      </c>
      <c r="E603" s="2460">
        <f>IF(ISERROR(VLOOKUP($D$603,$C$617:$D$634,2,FALSE)),0,VLOOKUP($D$603,$C$617:$D$634,2,FALSE))</f>
        <v>0</v>
      </c>
      <c r="F603" s="2461"/>
      <c r="O603" s="2079"/>
      <c r="Q603" s="2453">
        <v>10</v>
      </c>
      <c r="R603" s="2454">
        <f t="shared" si="50"/>
        <v>0</v>
      </c>
      <c r="S603" s="2454"/>
      <c r="T603" s="2454">
        <f t="shared" si="52"/>
        <v>0</v>
      </c>
      <c r="U603" s="2455" t="str">
        <f t="shared" si="51"/>
        <v/>
      </c>
    </row>
    <row r="604" spans="2:21" s="2040" customFormat="1" ht="14" x14ac:dyDescent="0.3">
      <c r="B604" s="2456"/>
      <c r="C604" s="2457" t="s">
        <v>1599</v>
      </c>
      <c r="D604" s="2462">
        <f>C590</f>
        <v>0</v>
      </c>
      <c r="E604" s="2463" t="e">
        <f>IF(VLOOKUP($E$603,$D$617:$M$634,5,FALSE)=D604,1,IF(VLOOKUP($E$603,$D$617:$M$634,6,FALSE)=$D604,2,IF(VLOOKUP($E$603,$D$617:$M$634,7,FALSE)=$D604,3,IF(VLOOKUP($E$603,$D$617:$M$634,8,FALSE)=$D604,4,IF(VLOOKUP($E$603,$D$617:$M$634,9,FALSE)=$D604,5,IF(VLOOKUP($E$603,$D$617:$M$634,10,FALSE)=$D604,6,0))))))</f>
        <v>#N/A</v>
      </c>
      <c r="F604" s="2442"/>
      <c r="O604" s="2079"/>
      <c r="Q604" s="2453">
        <v>11</v>
      </c>
      <c r="R604" s="2454">
        <f t="shared" si="50"/>
        <v>0</v>
      </c>
      <c r="S604" s="2454"/>
      <c r="T604" s="2454">
        <f t="shared" si="52"/>
        <v>0</v>
      </c>
      <c r="U604" s="2455" t="str">
        <f t="shared" si="51"/>
        <v/>
      </c>
    </row>
    <row r="605" spans="2:21" s="2040" customFormat="1" thickBot="1" x14ac:dyDescent="0.35">
      <c r="B605" s="2456"/>
      <c r="C605" s="2457" t="s">
        <v>1600</v>
      </c>
      <c r="D605" s="2458">
        <f>C591</f>
        <v>0</v>
      </c>
      <c r="E605" s="2460" t="e">
        <f>IF(VLOOKUP($E$603,$D$617:$E$634,2,FALSE)=$C$591,1,IF(VLOOKUP($E$603,$D$617:$F$634,3,FALSE)=$C$591,2,0))</f>
        <v>#N/A</v>
      </c>
      <c r="F605" s="2461"/>
      <c r="O605" s="2079"/>
      <c r="Q605" s="2453">
        <v>12</v>
      </c>
      <c r="R605" s="2454">
        <f t="shared" si="50"/>
        <v>0</v>
      </c>
      <c r="S605" s="2454"/>
      <c r="T605" s="2454">
        <f t="shared" si="52"/>
        <v>0</v>
      </c>
      <c r="U605" s="2455" t="str">
        <f t="shared" si="51"/>
        <v/>
      </c>
    </row>
    <row r="606" spans="2:21" s="2040" customFormat="1" thickBot="1" x14ac:dyDescent="0.35">
      <c r="B606" s="2456"/>
      <c r="C606" s="2464"/>
      <c r="D606" s="2465" t="s">
        <v>1601</v>
      </c>
      <c r="E606" s="2466" t="e">
        <f>CONCATENATE("R",E603,"T",E604,"S",E605)</f>
        <v>#N/A</v>
      </c>
      <c r="F606" s="2461"/>
      <c r="O606" s="2079"/>
      <c r="Q606" s="2453">
        <v>13</v>
      </c>
      <c r="R606" s="2454">
        <f t="shared" si="50"/>
        <v>0</v>
      </c>
      <c r="S606" s="2454"/>
      <c r="T606" s="2454">
        <f t="shared" si="52"/>
        <v>0</v>
      </c>
      <c r="U606" s="2455" t="str">
        <f t="shared" si="51"/>
        <v/>
      </c>
    </row>
    <row r="607" spans="2:21" s="2040" customFormat="1" ht="14" x14ac:dyDescent="0.3">
      <c r="B607" s="2456"/>
      <c r="C607" s="2464"/>
      <c r="D607" s="2467"/>
      <c r="E607" s="2468"/>
      <c r="F607" s="2461"/>
      <c r="O607" s="2079"/>
      <c r="Q607" s="2453">
        <v>14</v>
      </c>
      <c r="R607" s="2454">
        <f t="shared" si="50"/>
        <v>0</v>
      </c>
      <c r="S607" s="2454"/>
      <c r="T607" s="2454">
        <f t="shared" si="52"/>
        <v>0</v>
      </c>
      <c r="U607" s="2455" t="str">
        <f t="shared" si="51"/>
        <v/>
      </c>
    </row>
    <row r="608" spans="2:21" s="2040" customFormat="1" ht="14" x14ac:dyDescent="0.3">
      <c r="B608" s="2456"/>
      <c r="C608" s="2442"/>
      <c r="D608" s="2442"/>
      <c r="E608" s="2451" t="s">
        <v>1602</v>
      </c>
      <c r="F608" s="2451" t="s">
        <v>1603</v>
      </c>
      <c r="O608" s="2079"/>
      <c r="Q608" s="2453">
        <v>15</v>
      </c>
      <c r="R608" s="2454">
        <f t="shared" si="50"/>
        <v>0</v>
      </c>
      <c r="S608" s="2454"/>
      <c r="T608" s="2454">
        <f t="shared" si="52"/>
        <v>0</v>
      </c>
      <c r="U608" s="2455" t="str">
        <f t="shared" si="51"/>
        <v/>
      </c>
    </row>
    <row r="609" spans="2:21" s="2040" customFormat="1" ht="14" x14ac:dyDescent="0.3">
      <c r="B609" s="2469"/>
      <c r="C609" s="2464" t="s">
        <v>2061</v>
      </c>
      <c r="D609" s="2464"/>
      <c r="E609" s="2458">
        <f>IF(C593&gt;0,C594,0)</f>
        <v>0</v>
      </c>
      <c r="F609" s="2470">
        <f>IF($E$609&gt;0,HLOOKUP($E$606,$B$699:$HX$799,($E$609+1),FALSE),0)</f>
        <v>0</v>
      </c>
      <c r="O609" s="2079"/>
      <c r="Q609" s="2453">
        <v>16</v>
      </c>
      <c r="R609" s="2454">
        <f t="shared" si="50"/>
        <v>0</v>
      </c>
      <c r="S609" s="2454"/>
      <c r="T609" s="2454">
        <f t="shared" si="52"/>
        <v>0</v>
      </c>
      <c r="U609" s="2455" t="str">
        <f t="shared" si="51"/>
        <v/>
      </c>
    </row>
    <row r="610" spans="2:21" s="2040" customFormat="1" thickBot="1" x14ac:dyDescent="0.35">
      <c r="B610" s="2456"/>
      <c r="C610" s="2464" t="s">
        <v>2061</v>
      </c>
      <c r="D610" s="2464"/>
      <c r="E610" s="2471">
        <f>IF(E609&gt;0,E609-1,0)</f>
        <v>0</v>
      </c>
      <c r="F610" s="2472">
        <f>IF($E$609&gt;0,HLOOKUP($E$606,$B$699:$HX$799,($E$610+1),FALSE),0)</f>
        <v>0</v>
      </c>
      <c r="O610" s="2079"/>
      <c r="Q610" s="2453">
        <v>17</v>
      </c>
      <c r="R610" s="2454">
        <f t="shared" si="50"/>
        <v>0</v>
      </c>
      <c r="S610" s="2454"/>
      <c r="T610" s="2454">
        <f t="shared" si="52"/>
        <v>0</v>
      </c>
      <c r="U610" s="2455" t="str">
        <f t="shared" si="51"/>
        <v/>
      </c>
    </row>
    <row r="611" spans="2:21" s="2040" customFormat="1" thickBot="1" x14ac:dyDescent="0.35">
      <c r="B611" s="2469"/>
      <c r="C611" s="2442"/>
      <c r="D611" s="2442"/>
      <c r="E611" s="2473" t="s">
        <v>1605</v>
      </c>
      <c r="F611" s="2474">
        <f>F609-F610</f>
        <v>0</v>
      </c>
      <c r="O611" s="2079"/>
      <c r="Q611" s="2453">
        <v>18</v>
      </c>
      <c r="R611" s="2454">
        <f t="shared" si="50"/>
        <v>0</v>
      </c>
      <c r="S611" s="2454"/>
      <c r="T611" s="2454">
        <f t="shared" si="52"/>
        <v>0</v>
      </c>
      <c r="U611" s="2455" t="str">
        <f t="shared" si="51"/>
        <v/>
      </c>
    </row>
    <row r="612" spans="2:21" s="2040" customFormat="1" ht="14" x14ac:dyDescent="0.3">
      <c r="B612" s="2469"/>
      <c r="C612" s="2442"/>
      <c r="D612" s="2442"/>
      <c r="E612" s="2464" t="s">
        <v>1606</v>
      </c>
      <c r="F612" s="2475">
        <f>IF(OR(ISERROR(F611),F611=0),0,AVERAGE(T594:T693))</f>
        <v>0</v>
      </c>
      <c r="O612" s="2079"/>
      <c r="Q612" s="2453">
        <v>19</v>
      </c>
      <c r="R612" s="2454">
        <f t="shared" si="50"/>
        <v>0</v>
      </c>
      <c r="S612" s="2454"/>
      <c r="T612" s="2454">
        <f t="shared" si="52"/>
        <v>0</v>
      </c>
      <c r="U612" s="2455" t="str">
        <f t="shared" si="51"/>
        <v/>
      </c>
    </row>
    <row r="613" spans="2:21" s="2040" customFormat="1" ht="14" x14ac:dyDescent="0.3">
      <c r="B613" s="2051"/>
      <c r="O613" s="2079"/>
      <c r="Q613" s="2453">
        <v>20</v>
      </c>
      <c r="R613" s="2454">
        <f t="shared" si="50"/>
        <v>0</v>
      </c>
      <c r="S613" s="2454"/>
      <c r="T613" s="2454">
        <f t="shared" si="52"/>
        <v>0</v>
      </c>
      <c r="U613" s="2455" t="str">
        <f t="shared" si="51"/>
        <v/>
      </c>
    </row>
    <row r="614" spans="2:21" s="2040" customFormat="1" ht="14" x14ac:dyDescent="0.3">
      <c r="B614" s="2051"/>
      <c r="O614" s="2079"/>
      <c r="Q614" s="2453">
        <v>21</v>
      </c>
      <c r="R614" s="2454">
        <f t="shared" si="50"/>
        <v>0</v>
      </c>
      <c r="S614" s="2454"/>
      <c r="T614" s="2454">
        <f t="shared" si="52"/>
        <v>0</v>
      </c>
      <c r="U614" s="2455" t="str">
        <f t="shared" si="51"/>
        <v/>
      </c>
    </row>
    <row r="615" spans="2:21" s="2040" customFormat="1" ht="14" x14ac:dyDescent="0.3">
      <c r="B615" s="2456" t="s">
        <v>1607</v>
      </c>
      <c r="C615" s="2442"/>
      <c r="D615" s="2476" t="s">
        <v>1608</v>
      </c>
      <c r="E615" s="2451" t="s">
        <v>1609</v>
      </c>
      <c r="F615" s="2442"/>
      <c r="G615" s="2442"/>
      <c r="H615" s="2467" t="s">
        <v>1610</v>
      </c>
      <c r="I615" s="2442"/>
      <c r="J615" s="2442"/>
      <c r="K615" s="2442"/>
      <c r="L615" s="2442"/>
      <c r="M615" s="2442"/>
      <c r="N615" s="2442"/>
      <c r="O615" s="2079"/>
      <c r="Q615" s="2453">
        <v>22</v>
      </c>
      <c r="R615" s="2454">
        <f t="shared" si="50"/>
        <v>0</v>
      </c>
      <c r="S615" s="2454"/>
      <c r="T615" s="2454">
        <f t="shared" si="52"/>
        <v>0</v>
      </c>
      <c r="U615" s="2455" t="str">
        <f t="shared" si="51"/>
        <v/>
      </c>
    </row>
    <row r="616" spans="2:21" s="2040" customFormat="1" ht="14" x14ac:dyDescent="0.3">
      <c r="B616" s="2456" t="s">
        <v>1611</v>
      </c>
      <c r="C616" s="2451" t="s">
        <v>1917</v>
      </c>
      <c r="D616" s="2468" t="s">
        <v>1613</v>
      </c>
      <c r="E616" s="2451" t="s">
        <v>1614</v>
      </c>
      <c r="F616" s="2451" t="s">
        <v>1615</v>
      </c>
      <c r="G616" s="2442"/>
      <c r="H616" s="2468" t="s">
        <v>1616</v>
      </c>
      <c r="I616" s="2468" t="s">
        <v>1617</v>
      </c>
      <c r="J616" s="2468" t="s">
        <v>1618</v>
      </c>
      <c r="K616" s="2468" t="s">
        <v>1619</v>
      </c>
      <c r="L616" s="2468" t="s">
        <v>1620</v>
      </c>
      <c r="M616" s="2468" t="s">
        <v>1621</v>
      </c>
      <c r="N616" s="2477"/>
      <c r="O616" s="2079"/>
      <c r="Q616" s="2453">
        <v>23</v>
      </c>
      <c r="R616" s="2454">
        <f t="shared" si="50"/>
        <v>0</v>
      </c>
      <c r="S616" s="2454"/>
      <c r="T616" s="2454">
        <f t="shared" si="52"/>
        <v>0</v>
      </c>
      <c r="U616" s="2455" t="str">
        <f t="shared" si="51"/>
        <v/>
      </c>
    </row>
    <row r="617" spans="2:21" s="2040" customFormat="1" ht="14" x14ac:dyDescent="0.3">
      <c r="B617" s="2478" t="s">
        <v>868</v>
      </c>
      <c r="C617" s="2479" t="s">
        <v>1551</v>
      </c>
      <c r="D617" s="2480">
        <v>1</v>
      </c>
      <c r="E617" s="2481" t="s">
        <v>1622</v>
      </c>
      <c r="F617" s="2482" t="s">
        <v>1623</v>
      </c>
      <c r="G617" s="2482"/>
      <c r="H617" s="2483" t="s">
        <v>1624</v>
      </c>
      <c r="I617" s="2483" t="s">
        <v>1625</v>
      </c>
      <c r="J617" s="2483" t="s">
        <v>1626</v>
      </c>
      <c r="K617" s="2483" t="s">
        <v>1627</v>
      </c>
      <c r="L617" s="2483" t="s">
        <v>1628</v>
      </c>
      <c r="M617" s="2483" t="s">
        <v>1629</v>
      </c>
      <c r="N617" s="2479"/>
      <c r="O617" s="2079"/>
      <c r="Q617" s="2453">
        <v>24</v>
      </c>
      <c r="R617" s="2454">
        <f t="shared" si="50"/>
        <v>0</v>
      </c>
      <c r="S617" s="2454"/>
      <c r="T617" s="2454">
        <f t="shared" si="52"/>
        <v>0</v>
      </c>
      <c r="U617" s="2455" t="str">
        <f t="shared" si="51"/>
        <v/>
      </c>
    </row>
    <row r="618" spans="2:21" s="2040" customFormat="1" ht="14" x14ac:dyDescent="0.3">
      <c r="B618" s="2478" t="s">
        <v>913</v>
      </c>
      <c r="C618" s="2484" t="s">
        <v>1904</v>
      </c>
      <c r="D618" s="2480">
        <v>10</v>
      </c>
      <c r="E618" s="2481" t="s">
        <v>1630</v>
      </c>
      <c r="F618" s="2482" t="s">
        <v>1631</v>
      </c>
      <c r="G618" s="2482"/>
      <c r="H618" s="2483" t="s">
        <v>1624</v>
      </c>
      <c r="I618" s="2482" t="s">
        <v>1632</v>
      </c>
      <c r="J618" s="2482" t="s">
        <v>1633</v>
      </c>
      <c r="K618" s="2482" t="s">
        <v>1634</v>
      </c>
      <c r="L618" s="2482" t="s">
        <v>1635</v>
      </c>
      <c r="M618" s="2482" t="s">
        <v>1636</v>
      </c>
      <c r="N618" s="2479"/>
      <c r="O618" s="2079"/>
      <c r="Q618" s="2453">
        <v>25</v>
      </c>
      <c r="R618" s="2454">
        <f t="shared" si="50"/>
        <v>0</v>
      </c>
      <c r="S618" s="2454"/>
      <c r="T618" s="2454">
        <f t="shared" si="52"/>
        <v>0</v>
      </c>
      <c r="U618" s="2455" t="str">
        <f t="shared" si="51"/>
        <v/>
      </c>
    </row>
    <row r="619" spans="2:21" s="2040" customFormat="1" ht="14" x14ac:dyDescent="0.3">
      <c r="B619" s="2485" t="s">
        <v>913</v>
      </c>
      <c r="C619" s="2486" t="s">
        <v>1905</v>
      </c>
      <c r="D619" s="2487">
        <v>11</v>
      </c>
      <c r="E619" s="2469" t="s">
        <v>1637</v>
      </c>
      <c r="F619" s="2442" t="s">
        <v>1638</v>
      </c>
      <c r="G619" s="2442"/>
      <c r="H619" s="2461" t="s">
        <v>1624</v>
      </c>
      <c r="I619" s="2442" t="s">
        <v>1639</v>
      </c>
      <c r="J619" s="2442" t="s">
        <v>1625</v>
      </c>
      <c r="K619" s="2442" t="s">
        <v>1640</v>
      </c>
      <c r="L619" s="2442" t="s">
        <v>1641</v>
      </c>
      <c r="M619" s="2442" t="s">
        <v>1642</v>
      </c>
      <c r="N619" s="2488"/>
      <c r="O619" s="2079"/>
      <c r="Q619" s="2453">
        <v>26</v>
      </c>
      <c r="R619" s="2454">
        <f t="shared" si="50"/>
        <v>0</v>
      </c>
      <c r="S619" s="2454"/>
      <c r="T619" s="2454">
        <f t="shared" si="52"/>
        <v>0</v>
      </c>
      <c r="U619" s="2455" t="str">
        <f t="shared" si="51"/>
        <v/>
      </c>
    </row>
    <row r="620" spans="2:21" s="2040" customFormat="1" ht="14" x14ac:dyDescent="0.3">
      <c r="B620" s="2489" t="s">
        <v>913</v>
      </c>
      <c r="C620" s="2490" t="s">
        <v>1911</v>
      </c>
      <c r="D620" s="2487">
        <v>15</v>
      </c>
      <c r="E620" s="2469" t="s">
        <v>1637</v>
      </c>
      <c r="F620" s="2442" t="s">
        <v>1638</v>
      </c>
      <c r="G620" s="2442"/>
      <c r="H620" s="2461" t="s">
        <v>1624</v>
      </c>
      <c r="I620" s="2442" t="s">
        <v>1639</v>
      </c>
      <c r="J620" s="2442" t="s">
        <v>1625</v>
      </c>
      <c r="K620" s="2442" t="s">
        <v>1640</v>
      </c>
      <c r="L620" s="2442" t="s">
        <v>1641</v>
      </c>
      <c r="M620" s="2442" t="s">
        <v>1642</v>
      </c>
      <c r="N620" s="2488"/>
      <c r="O620" s="2079"/>
      <c r="Q620" s="2453">
        <v>27</v>
      </c>
      <c r="R620" s="2454">
        <f t="shared" si="50"/>
        <v>0</v>
      </c>
      <c r="S620" s="2454"/>
      <c r="T620" s="2454">
        <f t="shared" si="52"/>
        <v>0</v>
      </c>
      <c r="U620" s="2455" t="str">
        <f t="shared" si="51"/>
        <v/>
      </c>
    </row>
    <row r="621" spans="2:21" s="2040" customFormat="1" ht="14" x14ac:dyDescent="0.3">
      <c r="B621" s="2469" t="s">
        <v>866</v>
      </c>
      <c r="C621" s="2488" t="s">
        <v>1548</v>
      </c>
      <c r="D621" s="2480">
        <v>17</v>
      </c>
      <c r="E621" s="2481" t="s">
        <v>1643</v>
      </c>
      <c r="F621" s="2482" t="s">
        <v>1644</v>
      </c>
      <c r="G621" s="2482"/>
      <c r="H621" s="2483" t="s">
        <v>1624</v>
      </c>
      <c r="I621" s="2482" t="s">
        <v>1625</v>
      </c>
      <c r="J621" s="2482" t="s">
        <v>1645</v>
      </c>
      <c r="K621" s="2482" t="s">
        <v>1641</v>
      </c>
      <c r="L621" s="2482" t="s">
        <v>1642</v>
      </c>
      <c r="M621" s="2482"/>
      <c r="N621" s="2479"/>
      <c r="O621" s="2079"/>
      <c r="Q621" s="2453">
        <v>28</v>
      </c>
      <c r="R621" s="2454">
        <f t="shared" si="50"/>
        <v>0</v>
      </c>
      <c r="S621" s="2454"/>
      <c r="T621" s="2454">
        <f t="shared" si="52"/>
        <v>0</v>
      </c>
      <c r="U621" s="2455" t="str">
        <f t="shared" si="51"/>
        <v/>
      </c>
    </row>
    <row r="622" spans="2:21" s="2040" customFormat="1" ht="14" x14ac:dyDescent="0.3">
      <c r="B622" s="2469" t="s">
        <v>866</v>
      </c>
      <c r="C622" s="2488" t="s">
        <v>1906</v>
      </c>
      <c r="D622" s="2487">
        <v>19</v>
      </c>
      <c r="E622" s="2469" t="s">
        <v>1646</v>
      </c>
      <c r="F622" s="2442" t="s">
        <v>1644</v>
      </c>
      <c r="G622" s="2442"/>
      <c r="H622" s="2461" t="s">
        <v>1624</v>
      </c>
      <c r="I622" s="2442" t="s">
        <v>1625</v>
      </c>
      <c r="J622" s="2442" t="s">
        <v>1645</v>
      </c>
      <c r="K622" s="2442" t="s">
        <v>1641</v>
      </c>
      <c r="L622" s="2442" t="s">
        <v>1642</v>
      </c>
      <c r="M622" s="2442"/>
      <c r="N622" s="2488"/>
      <c r="O622" s="2079"/>
      <c r="Q622" s="2453">
        <v>29</v>
      </c>
      <c r="R622" s="2454">
        <f t="shared" si="50"/>
        <v>0</v>
      </c>
      <c r="S622" s="2454"/>
      <c r="T622" s="2454">
        <f t="shared" si="52"/>
        <v>0</v>
      </c>
      <c r="U622" s="2455" t="str">
        <f t="shared" si="51"/>
        <v/>
      </c>
    </row>
    <row r="623" spans="2:21" s="2040" customFormat="1" ht="14" x14ac:dyDescent="0.3">
      <c r="B623" s="2469" t="s">
        <v>866</v>
      </c>
      <c r="C623" s="2488" t="s">
        <v>1947</v>
      </c>
      <c r="D623" s="2487">
        <v>20</v>
      </c>
      <c r="E623" s="2469" t="s">
        <v>1646</v>
      </c>
      <c r="F623" s="2442" t="s">
        <v>1644</v>
      </c>
      <c r="G623" s="2442"/>
      <c r="H623" s="2461" t="s">
        <v>1624</v>
      </c>
      <c r="I623" s="2442" t="s">
        <v>1625</v>
      </c>
      <c r="J623" s="2442" t="s">
        <v>1645</v>
      </c>
      <c r="K623" s="2442" t="s">
        <v>1641</v>
      </c>
      <c r="L623" s="2442" t="s">
        <v>1642</v>
      </c>
      <c r="M623" s="2442"/>
      <c r="N623" s="2488"/>
      <c r="O623" s="2079"/>
      <c r="Q623" s="2453">
        <v>30</v>
      </c>
      <c r="R623" s="2454">
        <f t="shared" si="50"/>
        <v>0</v>
      </c>
      <c r="S623" s="2454"/>
      <c r="T623" s="2454">
        <f t="shared" si="52"/>
        <v>0</v>
      </c>
      <c r="U623" s="2455" t="str">
        <f t="shared" si="51"/>
        <v/>
      </c>
    </row>
    <row r="624" spans="2:21" s="2040" customFormat="1" ht="14" x14ac:dyDescent="0.3">
      <c r="B624" s="2489" t="s">
        <v>866</v>
      </c>
      <c r="C624" s="2491" t="s">
        <v>1549</v>
      </c>
      <c r="D624" s="2492">
        <v>22</v>
      </c>
      <c r="E624" s="2469" t="s">
        <v>1646</v>
      </c>
      <c r="F624" s="2442" t="s">
        <v>1644</v>
      </c>
      <c r="G624" s="2493"/>
      <c r="H624" s="2448" t="s">
        <v>1624</v>
      </c>
      <c r="I624" s="2493" t="s">
        <v>1625</v>
      </c>
      <c r="J624" s="2493" t="s">
        <v>1645</v>
      </c>
      <c r="K624" s="2493" t="s">
        <v>1641</v>
      </c>
      <c r="L624" s="2493" t="s">
        <v>1642</v>
      </c>
      <c r="M624" s="2493"/>
      <c r="N624" s="2491"/>
      <c r="O624" s="2079"/>
      <c r="Q624" s="2453">
        <v>31</v>
      </c>
      <c r="R624" s="2454">
        <f t="shared" si="50"/>
        <v>0</v>
      </c>
      <c r="S624" s="2454"/>
      <c r="T624" s="2454">
        <f t="shared" si="52"/>
        <v>0</v>
      </c>
      <c r="U624" s="2455" t="str">
        <f t="shared" si="51"/>
        <v/>
      </c>
    </row>
    <row r="625" spans="2:21" s="2040" customFormat="1" ht="14" x14ac:dyDescent="0.3">
      <c r="B625" s="2485" t="s">
        <v>867</v>
      </c>
      <c r="C625" s="2488" t="s">
        <v>1552</v>
      </c>
      <c r="D625" s="2480">
        <v>23</v>
      </c>
      <c r="E625" s="2481" t="s">
        <v>1647</v>
      </c>
      <c r="F625" s="2482" t="s">
        <v>1648</v>
      </c>
      <c r="G625" s="2482"/>
      <c r="H625" s="2483" t="s">
        <v>1624</v>
      </c>
      <c r="I625" s="2482" t="s">
        <v>1625</v>
      </c>
      <c r="J625" s="2482" t="s">
        <v>1628</v>
      </c>
      <c r="K625" s="2482"/>
      <c r="L625" s="2482"/>
      <c r="M625" s="2482"/>
      <c r="N625" s="2479"/>
      <c r="O625" s="2079"/>
      <c r="Q625" s="2453">
        <v>32</v>
      </c>
      <c r="R625" s="2454">
        <f t="shared" si="50"/>
        <v>0</v>
      </c>
      <c r="S625" s="2454"/>
      <c r="T625" s="2454">
        <f t="shared" si="52"/>
        <v>0</v>
      </c>
      <c r="U625" s="2455" t="str">
        <f t="shared" si="51"/>
        <v/>
      </c>
    </row>
    <row r="626" spans="2:21" s="2040" customFormat="1" ht="14" x14ac:dyDescent="0.3">
      <c r="B626" s="2489" t="s">
        <v>867</v>
      </c>
      <c r="C626" s="2491" t="s">
        <v>1907</v>
      </c>
      <c r="D626" s="2487">
        <v>24</v>
      </c>
      <c r="E626" s="2469" t="s">
        <v>1647</v>
      </c>
      <c r="F626" s="2442" t="s">
        <v>1648</v>
      </c>
      <c r="G626" s="2442"/>
      <c r="H626" s="2461" t="s">
        <v>1624</v>
      </c>
      <c r="I626" s="2442" t="s">
        <v>1625</v>
      </c>
      <c r="J626" s="2442" t="s">
        <v>1628</v>
      </c>
      <c r="K626" s="2442"/>
      <c r="L626" s="2442"/>
      <c r="M626" s="2442"/>
      <c r="N626" s="2488"/>
      <c r="O626" s="2079"/>
      <c r="Q626" s="2453">
        <v>33</v>
      </c>
      <c r="R626" s="2454">
        <f t="shared" ref="R626:R657" si="53">IF($F$611&gt;0,HLOOKUP($E$606,$B$699:$HX$799,Q626+1,FALSE),0)</f>
        <v>0</v>
      </c>
      <c r="S626" s="2454"/>
      <c r="T626" s="2454">
        <f t="shared" si="52"/>
        <v>0</v>
      </c>
      <c r="U626" s="2455" t="str">
        <f t="shared" si="51"/>
        <v/>
      </c>
    </row>
    <row r="627" spans="2:21" s="2040" customFormat="1" ht="14" x14ac:dyDescent="0.3">
      <c r="B627" s="2485" t="s">
        <v>912</v>
      </c>
      <c r="C627" s="2494" t="s">
        <v>1908</v>
      </c>
      <c r="D627" s="2480">
        <v>28</v>
      </c>
      <c r="E627" s="2481" t="s">
        <v>1649</v>
      </c>
      <c r="F627" s="2482" t="s">
        <v>1650</v>
      </c>
      <c r="G627" s="2482"/>
      <c r="H627" s="2483" t="s">
        <v>1624</v>
      </c>
      <c r="I627" s="2482" t="s">
        <v>1639</v>
      </c>
      <c r="J627" s="2482" t="s">
        <v>1625</v>
      </c>
      <c r="K627" s="2482" t="s">
        <v>1645</v>
      </c>
      <c r="L627" s="2482" t="s">
        <v>1651</v>
      </c>
      <c r="M627" s="2482" t="s">
        <v>1652</v>
      </c>
      <c r="N627" s="2479"/>
      <c r="O627" s="2079"/>
      <c r="Q627" s="2453">
        <v>34</v>
      </c>
      <c r="R627" s="2454">
        <f t="shared" si="53"/>
        <v>0</v>
      </c>
      <c r="S627" s="2454"/>
      <c r="T627" s="2454">
        <f t="shared" si="52"/>
        <v>0</v>
      </c>
      <c r="U627" s="2455" t="str">
        <f t="shared" ref="U627:U658" si="54">IF(Q627=$E$609,R627-R626,"")</f>
        <v/>
      </c>
    </row>
    <row r="628" spans="2:21" s="2040" customFormat="1" ht="14" x14ac:dyDescent="0.3">
      <c r="B628" s="2485" t="s">
        <v>912</v>
      </c>
      <c r="C628" s="2442" t="s">
        <v>1909</v>
      </c>
      <c r="D628" s="2487">
        <v>30</v>
      </c>
      <c r="E628" s="2469" t="s">
        <v>1653</v>
      </c>
      <c r="F628" s="2442" t="s">
        <v>1654</v>
      </c>
      <c r="G628" s="2442"/>
      <c r="H628" s="2461" t="s">
        <v>1624</v>
      </c>
      <c r="I628" s="2442" t="s">
        <v>1639</v>
      </c>
      <c r="J628" s="2442" t="s">
        <v>1625</v>
      </c>
      <c r="K628" s="2442" t="s">
        <v>1645</v>
      </c>
      <c r="L628" s="2442" t="s">
        <v>1628</v>
      </c>
      <c r="M628" s="2442"/>
      <c r="N628" s="2488"/>
      <c r="O628" s="2079"/>
      <c r="Q628" s="2453">
        <v>35</v>
      </c>
      <c r="R628" s="2454">
        <f t="shared" si="53"/>
        <v>0</v>
      </c>
      <c r="S628" s="2454"/>
      <c r="T628" s="2454">
        <f t="shared" si="52"/>
        <v>0</v>
      </c>
      <c r="U628" s="2455" t="str">
        <f t="shared" si="54"/>
        <v/>
      </c>
    </row>
    <row r="629" spans="2:21" s="2040" customFormat="1" ht="14" x14ac:dyDescent="0.3">
      <c r="B629" s="2485" t="s">
        <v>912</v>
      </c>
      <c r="C629" s="2442" t="s">
        <v>1910</v>
      </c>
      <c r="D629" s="2487">
        <v>31</v>
      </c>
      <c r="E629" s="2469" t="s">
        <v>1653</v>
      </c>
      <c r="F629" s="2442" t="s">
        <v>1654</v>
      </c>
      <c r="G629" s="2442"/>
      <c r="H629" s="2461" t="s">
        <v>1624</v>
      </c>
      <c r="I629" s="2442" t="s">
        <v>1639</v>
      </c>
      <c r="J629" s="2442" t="s">
        <v>1625</v>
      </c>
      <c r="K629" s="2442" t="s">
        <v>1645</v>
      </c>
      <c r="L629" s="2442" t="s">
        <v>1628</v>
      </c>
      <c r="M629" s="2442"/>
      <c r="N629" s="2488"/>
      <c r="O629" s="2079"/>
      <c r="Q629" s="2453">
        <v>36</v>
      </c>
      <c r="R629" s="2454">
        <f t="shared" si="53"/>
        <v>0</v>
      </c>
      <c r="S629" s="2454"/>
      <c r="T629" s="2454">
        <f t="shared" si="52"/>
        <v>0</v>
      </c>
      <c r="U629" s="2455" t="str">
        <f t="shared" si="54"/>
        <v/>
      </c>
    </row>
    <row r="630" spans="2:21" s="2040" customFormat="1" ht="14" x14ac:dyDescent="0.3">
      <c r="B630" s="2485" t="s">
        <v>912</v>
      </c>
      <c r="C630" s="2442" t="s">
        <v>1555</v>
      </c>
      <c r="D630" s="2487">
        <v>32</v>
      </c>
      <c r="E630" s="2469" t="s">
        <v>1655</v>
      </c>
      <c r="F630" s="2442" t="s">
        <v>1650</v>
      </c>
      <c r="G630" s="2442"/>
      <c r="H630" s="2461" t="s">
        <v>1624</v>
      </c>
      <c r="I630" s="2442" t="s">
        <v>1625</v>
      </c>
      <c r="J630" s="2442" t="s">
        <v>1645</v>
      </c>
      <c r="K630" s="2442" t="s">
        <v>1628</v>
      </c>
      <c r="L630" s="2442"/>
      <c r="M630" s="2442"/>
      <c r="N630" s="2488"/>
      <c r="Q630" s="2453">
        <v>37</v>
      </c>
      <c r="R630" s="2454">
        <f t="shared" si="53"/>
        <v>0</v>
      </c>
      <c r="S630" s="2454"/>
      <c r="T630" s="2454">
        <f t="shared" si="52"/>
        <v>0</v>
      </c>
      <c r="U630" s="2455" t="str">
        <f t="shared" si="54"/>
        <v/>
      </c>
    </row>
    <row r="631" spans="2:21" s="2040" customFormat="1" ht="14" x14ac:dyDescent="0.3">
      <c r="B631" s="2485" t="s">
        <v>912</v>
      </c>
      <c r="C631" s="2442" t="s">
        <v>1557</v>
      </c>
      <c r="D631" s="2487">
        <v>33</v>
      </c>
      <c r="E631" s="2469" t="s">
        <v>1656</v>
      </c>
      <c r="F631" s="2442" t="s">
        <v>1657</v>
      </c>
      <c r="G631" s="2442"/>
      <c r="H631" s="2461" t="s">
        <v>1624</v>
      </c>
      <c r="I631" s="2442" t="s">
        <v>1625</v>
      </c>
      <c r="J631" s="2442" t="s">
        <v>1645</v>
      </c>
      <c r="K631" s="2442" t="s">
        <v>1658</v>
      </c>
      <c r="L631" s="2442" t="s">
        <v>1628</v>
      </c>
      <c r="M631" s="2442"/>
      <c r="N631" s="2488"/>
      <c r="Q631" s="2453">
        <v>38</v>
      </c>
      <c r="R631" s="2454">
        <f t="shared" si="53"/>
        <v>0</v>
      </c>
      <c r="S631" s="2454"/>
      <c r="T631" s="2454">
        <f t="shared" si="52"/>
        <v>0</v>
      </c>
      <c r="U631" s="2455" t="str">
        <f t="shared" si="54"/>
        <v/>
      </c>
    </row>
    <row r="632" spans="2:21" s="2040" customFormat="1" ht="14" x14ac:dyDescent="0.3">
      <c r="B632" s="2489" t="s">
        <v>912</v>
      </c>
      <c r="C632" s="2493" t="s">
        <v>1556</v>
      </c>
      <c r="D632" s="2492">
        <v>35</v>
      </c>
      <c r="E632" s="2495" t="s">
        <v>1648</v>
      </c>
      <c r="F632" s="2493" t="s">
        <v>1654</v>
      </c>
      <c r="G632" s="2493"/>
      <c r="H632" s="2448" t="s">
        <v>1624</v>
      </c>
      <c r="I632" s="2493" t="s">
        <v>1639</v>
      </c>
      <c r="J632" s="2493" t="s">
        <v>1625</v>
      </c>
      <c r="K632" s="2493" t="s">
        <v>1645</v>
      </c>
      <c r="L632" s="2493" t="s">
        <v>1628</v>
      </c>
      <c r="M632" s="2493"/>
      <c r="N632" s="2491"/>
      <c r="Q632" s="2453">
        <v>39</v>
      </c>
      <c r="R632" s="2454">
        <f t="shared" si="53"/>
        <v>0</v>
      </c>
      <c r="S632" s="2454"/>
      <c r="T632" s="2454">
        <f t="shared" si="52"/>
        <v>0</v>
      </c>
      <c r="U632" s="2455" t="str">
        <f t="shared" si="54"/>
        <v/>
      </c>
    </row>
    <row r="633" spans="2:21" s="2040" customFormat="1" ht="14" x14ac:dyDescent="0.3">
      <c r="B633" s="2485" t="s">
        <v>914</v>
      </c>
      <c r="C633" s="2442" t="s">
        <v>1550</v>
      </c>
      <c r="D633" s="2480">
        <v>36</v>
      </c>
      <c r="E633" s="2481" t="s">
        <v>1659</v>
      </c>
      <c r="F633" s="2482" t="s">
        <v>1630</v>
      </c>
      <c r="G633" s="2482"/>
      <c r="H633" s="2483" t="s">
        <v>1624</v>
      </c>
      <c r="I633" s="2482" t="s">
        <v>1660</v>
      </c>
      <c r="J633" s="2482" t="s">
        <v>1661</v>
      </c>
      <c r="K633" s="2482" t="s">
        <v>1662</v>
      </c>
      <c r="L633" s="2482" t="s">
        <v>1663</v>
      </c>
      <c r="M633" s="2482" t="s">
        <v>1664</v>
      </c>
      <c r="N633" s="2479"/>
      <c r="Q633" s="2453">
        <v>40</v>
      </c>
      <c r="R633" s="2454">
        <f t="shared" si="53"/>
        <v>0</v>
      </c>
      <c r="S633" s="2454"/>
      <c r="T633" s="2454">
        <f t="shared" si="52"/>
        <v>0</v>
      </c>
      <c r="U633" s="2455" t="str">
        <f t="shared" si="54"/>
        <v/>
      </c>
    </row>
    <row r="634" spans="2:21" s="2040" customFormat="1" ht="14" x14ac:dyDescent="0.3">
      <c r="B634" s="2489" t="s">
        <v>914</v>
      </c>
      <c r="C634" s="2491" t="s">
        <v>1543</v>
      </c>
      <c r="D634" s="2492">
        <v>40</v>
      </c>
      <c r="E634" s="2495" t="s">
        <v>1665</v>
      </c>
      <c r="F634" s="2493" t="s">
        <v>1666</v>
      </c>
      <c r="G634" s="2493"/>
      <c r="H634" s="2448" t="s">
        <v>1624</v>
      </c>
      <c r="I634" s="2493" t="s">
        <v>1660</v>
      </c>
      <c r="J634" s="2493" t="s">
        <v>1661</v>
      </c>
      <c r="K634" s="2493" t="s">
        <v>1662</v>
      </c>
      <c r="L634" s="2493" t="s">
        <v>1663</v>
      </c>
      <c r="M634" s="2493" t="s">
        <v>1664</v>
      </c>
      <c r="N634" s="2491"/>
      <c r="Q634" s="2453">
        <v>41</v>
      </c>
      <c r="R634" s="2454">
        <f t="shared" si="53"/>
        <v>0</v>
      </c>
      <c r="S634" s="2454"/>
      <c r="T634" s="2454">
        <f t="shared" si="52"/>
        <v>0</v>
      </c>
      <c r="U634" s="2455" t="str">
        <f t="shared" si="54"/>
        <v/>
      </c>
    </row>
    <row r="635" spans="2:21" s="2040" customFormat="1" ht="14" x14ac:dyDescent="0.3">
      <c r="Q635" s="2453">
        <v>42</v>
      </c>
      <c r="R635" s="2454">
        <f t="shared" si="53"/>
        <v>0</v>
      </c>
      <c r="S635" s="2454"/>
      <c r="T635" s="2454">
        <f t="shared" si="52"/>
        <v>0</v>
      </c>
      <c r="U635" s="2455" t="str">
        <f t="shared" si="54"/>
        <v/>
      </c>
    </row>
    <row r="636" spans="2:21" s="2040" customFormat="1" ht="14" x14ac:dyDescent="0.3">
      <c r="Q636" s="2453">
        <v>43</v>
      </c>
      <c r="R636" s="2454">
        <f t="shared" si="53"/>
        <v>0</v>
      </c>
      <c r="S636" s="2454"/>
      <c r="T636" s="2454">
        <f t="shared" si="52"/>
        <v>0</v>
      </c>
      <c r="U636" s="2455" t="str">
        <f t="shared" si="54"/>
        <v/>
      </c>
    </row>
    <row r="637" spans="2:21" s="2040" customFormat="1" ht="14" x14ac:dyDescent="0.3">
      <c r="Q637" s="2453">
        <v>44</v>
      </c>
      <c r="R637" s="2454">
        <f t="shared" si="53"/>
        <v>0</v>
      </c>
      <c r="S637" s="2442"/>
      <c r="T637" s="2454">
        <f t="shared" si="52"/>
        <v>0</v>
      </c>
      <c r="U637" s="2455" t="str">
        <f t="shared" si="54"/>
        <v/>
      </c>
    </row>
    <row r="638" spans="2:21" s="2040" customFormat="1" ht="14" x14ac:dyDescent="0.3">
      <c r="Q638" s="2453">
        <v>45</v>
      </c>
      <c r="R638" s="2454">
        <f t="shared" si="53"/>
        <v>0</v>
      </c>
      <c r="S638" s="2442"/>
      <c r="T638" s="2454">
        <f t="shared" si="52"/>
        <v>0</v>
      </c>
      <c r="U638" s="2455" t="str">
        <f t="shared" si="54"/>
        <v/>
      </c>
    </row>
    <row r="639" spans="2:21" s="2040" customFormat="1" ht="14" x14ac:dyDescent="0.3">
      <c r="Q639" s="2453">
        <v>46</v>
      </c>
      <c r="R639" s="2454">
        <f t="shared" si="53"/>
        <v>0</v>
      </c>
      <c r="S639" s="2442"/>
      <c r="T639" s="2454">
        <f t="shared" si="52"/>
        <v>0</v>
      </c>
      <c r="U639" s="2455" t="str">
        <f t="shared" si="54"/>
        <v/>
      </c>
    </row>
    <row r="640" spans="2:21" s="2040" customFormat="1" ht="14" x14ac:dyDescent="0.3">
      <c r="Q640" s="2453">
        <v>47</v>
      </c>
      <c r="R640" s="2454">
        <f t="shared" si="53"/>
        <v>0</v>
      </c>
      <c r="S640" s="2442"/>
      <c r="T640" s="2454">
        <f t="shared" si="52"/>
        <v>0</v>
      </c>
      <c r="U640" s="2455" t="str">
        <f t="shared" si="54"/>
        <v/>
      </c>
    </row>
    <row r="641" spans="17:21" s="2040" customFormat="1" ht="14" x14ac:dyDescent="0.3">
      <c r="Q641" s="2453">
        <v>48</v>
      </c>
      <c r="R641" s="2454">
        <f t="shared" si="53"/>
        <v>0</v>
      </c>
      <c r="S641" s="2442"/>
      <c r="T641" s="2454">
        <f t="shared" si="52"/>
        <v>0</v>
      </c>
      <c r="U641" s="2455" t="str">
        <f t="shared" si="54"/>
        <v/>
      </c>
    </row>
    <row r="642" spans="17:21" s="2040" customFormat="1" ht="14" x14ac:dyDescent="0.3">
      <c r="Q642" s="2453">
        <v>49</v>
      </c>
      <c r="R642" s="2454">
        <f t="shared" si="53"/>
        <v>0</v>
      </c>
      <c r="S642" s="2442"/>
      <c r="T642" s="2454">
        <f t="shared" si="52"/>
        <v>0</v>
      </c>
      <c r="U642" s="2455" t="str">
        <f t="shared" si="54"/>
        <v/>
      </c>
    </row>
    <row r="643" spans="17:21" s="2040" customFormat="1" ht="14" x14ac:dyDescent="0.3">
      <c r="Q643" s="2453">
        <v>50</v>
      </c>
      <c r="R643" s="2454">
        <f t="shared" si="53"/>
        <v>0</v>
      </c>
      <c r="S643" s="2442"/>
      <c r="T643" s="2454">
        <f t="shared" si="52"/>
        <v>0</v>
      </c>
      <c r="U643" s="2455" t="str">
        <f t="shared" si="54"/>
        <v/>
      </c>
    </row>
    <row r="644" spans="17:21" s="2040" customFormat="1" ht="14" x14ac:dyDescent="0.3">
      <c r="Q644" s="2453">
        <v>51</v>
      </c>
      <c r="R644" s="2454">
        <f t="shared" si="53"/>
        <v>0</v>
      </c>
      <c r="S644" s="2442"/>
      <c r="T644" s="2454">
        <f t="shared" si="52"/>
        <v>0</v>
      </c>
      <c r="U644" s="2455" t="str">
        <f t="shared" si="54"/>
        <v/>
      </c>
    </row>
    <row r="645" spans="17:21" s="2040" customFormat="1" ht="14" x14ac:dyDescent="0.3">
      <c r="Q645" s="2453">
        <v>52</v>
      </c>
      <c r="R645" s="2454">
        <f t="shared" si="53"/>
        <v>0</v>
      </c>
      <c r="S645" s="2442"/>
      <c r="T645" s="2454">
        <f t="shared" si="52"/>
        <v>0</v>
      </c>
      <c r="U645" s="2455" t="str">
        <f t="shared" si="54"/>
        <v/>
      </c>
    </row>
    <row r="646" spans="17:21" s="2040" customFormat="1" ht="14" x14ac:dyDescent="0.3">
      <c r="Q646" s="2453">
        <v>53</v>
      </c>
      <c r="R646" s="2454">
        <f t="shared" si="53"/>
        <v>0</v>
      </c>
      <c r="S646" s="2442"/>
      <c r="T646" s="2454">
        <f t="shared" si="52"/>
        <v>0</v>
      </c>
      <c r="U646" s="2455" t="str">
        <f t="shared" si="54"/>
        <v/>
      </c>
    </row>
    <row r="647" spans="17:21" s="2040" customFormat="1" ht="14" x14ac:dyDescent="0.3">
      <c r="Q647" s="2453">
        <v>54</v>
      </c>
      <c r="R647" s="2454">
        <f t="shared" si="53"/>
        <v>0</v>
      </c>
      <c r="S647" s="2442"/>
      <c r="T647" s="2454">
        <f t="shared" si="52"/>
        <v>0</v>
      </c>
      <c r="U647" s="2455" t="str">
        <f t="shared" si="54"/>
        <v/>
      </c>
    </row>
    <row r="648" spans="17:21" s="2040" customFormat="1" ht="14" x14ac:dyDescent="0.3">
      <c r="Q648" s="2453">
        <v>55</v>
      </c>
      <c r="R648" s="2454">
        <f t="shared" si="53"/>
        <v>0</v>
      </c>
      <c r="S648" s="2442"/>
      <c r="T648" s="2454">
        <f t="shared" si="52"/>
        <v>0</v>
      </c>
      <c r="U648" s="2455" t="str">
        <f t="shared" si="54"/>
        <v/>
      </c>
    </row>
    <row r="649" spans="17:21" s="2040" customFormat="1" ht="14" x14ac:dyDescent="0.3">
      <c r="Q649" s="2453">
        <v>56</v>
      </c>
      <c r="R649" s="2454">
        <f t="shared" si="53"/>
        <v>0</v>
      </c>
      <c r="S649" s="2442"/>
      <c r="T649" s="2454">
        <f t="shared" si="52"/>
        <v>0</v>
      </c>
      <c r="U649" s="2455" t="str">
        <f t="shared" si="54"/>
        <v/>
      </c>
    </row>
    <row r="650" spans="17:21" s="2040" customFormat="1" ht="14" x14ac:dyDescent="0.3">
      <c r="Q650" s="2453">
        <v>57</v>
      </c>
      <c r="R650" s="2454">
        <f t="shared" si="53"/>
        <v>0</v>
      </c>
      <c r="S650" s="2442"/>
      <c r="T650" s="2454">
        <f t="shared" si="52"/>
        <v>0</v>
      </c>
      <c r="U650" s="2455" t="str">
        <f t="shared" si="54"/>
        <v/>
      </c>
    </row>
    <row r="651" spans="17:21" s="2040" customFormat="1" ht="14" x14ac:dyDescent="0.3">
      <c r="Q651" s="2453">
        <v>58</v>
      </c>
      <c r="R651" s="2454">
        <f t="shared" si="53"/>
        <v>0</v>
      </c>
      <c r="S651" s="2442"/>
      <c r="T651" s="2454">
        <f t="shared" si="52"/>
        <v>0</v>
      </c>
      <c r="U651" s="2455" t="str">
        <f t="shared" si="54"/>
        <v/>
      </c>
    </row>
    <row r="652" spans="17:21" s="2040" customFormat="1" ht="14" x14ac:dyDescent="0.3">
      <c r="Q652" s="2453">
        <v>59</v>
      </c>
      <c r="R652" s="2454">
        <f t="shared" si="53"/>
        <v>0</v>
      </c>
      <c r="S652" s="2442"/>
      <c r="T652" s="2454">
        <f t="shared" si="52"/>
        <v>0</v>
      </c>
      <c r="U652" s="2455" t="str">
        <f t="shared" si="54"/>
        <v/>
      </c>
    </row>
    <row r="653" spans="17:21" s="2040" customFormat="1" ht="14" x14ac:dyDescent="0.3">
      <c r="Q653" s="2453">
        <v>60</v>
      </c>
      <c r="R653" s="2454">
        <f t="shared" si="53"/>
        <v>0</v>
      </c>
      <c r="S653" s="2442"/>
      <c r="T653" s="2454">
        <f t="shared" si="52"/>
        <v>0</v>
      </c>
      <c r="U653" s="2455" t="str">
        <f t="shared" si="54"/>
        <v/>
      </c>
    </row>
    <row r="654" spans="17:21" s="2040" customFormat="1" ht="14" x14ac:dyDescent="0.3">
      <c r="Q654" s="2453">
        <v>61</v>
      </c>
      <c r="R654" s="2454">
        <f t="shared" si="53"/>
        <v>0</v>
      </c>
      <c r="S654" s="2442"/>
      <c r="T654" s="2454">
        <f t="shared" si="52"/>
        <v>0</v>
      </c>
      <c r="U654" s="2455" t="str">
        <f t="shared" si="54"/>
        <v/>
      </c>
    </row>
    <row r="655" spans="17:21" s="2040" customFormat="1" ht="14" x14ac:dyDescent="0.3">
      <c r="Q655" s="2453">
        <v>62</v>
      </c>
      <c r="R655" s="2454">
        <f t="shared" si="53"/>
        <v>0</v>
      </c>
      <c r="S655" s="2442"/>
      <c r="T655" s="2454">
        <f t="shared" si="52"/>
        <v>0</v>
      </c>
      <c r="U655" s="2455" t="str">
        <f t="shared" si="54"/>
        <v/>
      </c>
    </row>
    <row r="656" spans="17:21" s="2040" customFormat="1" ht="14" x14ac:dyDescent="0.3">
      <c r="Q656" s="2453">
        <v>63</v>
      </c>
      <c r="R656" s="2454">
        <f t="shared" si="53"/>
        <v>0</v>
      </c>
      <c r="S656" s="2442"/>
      <c r="T656" s="2454">
        <f t="shared" si="52"/>
        <v>0</v>
      </c>
      <c r="U656" s="2455" t="str">
        <f t="shared" si="54"/>
        <v/>
      </c>
    </row>
    <row r="657" spans="17:21" s="2040" customFormat="1" ht="14" x14ac:dyDescent="0.3">
      <c r="Q657" s="2453">
        <v>64</v>
      </c>
      <c r="R657" s="2454">
        <f t="shared" si="53"/>
        <v>0</v>
      </c>
      <c r="S657" s="2442"/>
      <c r="T657" s="2454">
        <f t="shared" si="52"/>
        <v>0</v>
      </c>
      <c r="U657" s="2455" t="str">
        <f t="shared" si="54"/>
        <v/>
      </c>
    </row>
    <row r="658" spans="17:21" s="2040" customFormat="1" ht="14" x14ac:dyDescent="0.3">
      <c r="Q658" s="2453">
        <v>65</v>
      </c>
      <c r="R658" s="2454">
        <f t="shared" ref="R658:R689" si="55">IF($F$611&gt;0,HLOOKUP($E$606,$B$699:$HX$799,Q658+1,FALSE),0)</f>
        <v>0</v>
      </c>
      <c r="S658" s="2442"/>
      <c r="T658" s="2454">
        <f t="shared" si="52"/>
        <v>0</v>
      </c>
      <c r="U658" s="2455" t="str">
        <f t="shared" si="54"/>
        <v/>
      </c>
    </row>
    <row r="659" spans="17:21" s="2040" customFormat="1" ht="14" x14ac:dyDescent="0.3">
      <c r="Q659" s="2453">
        <v>66</v>
      </c>
      <c r="R659" s="2454">
        <f t="shared" si="55"/>
        <v>0</v>
      </c>
      <c r="S659" s="2442"/>
      <c r="T659" s="2454">
        <f t="shared" si="52"/>
        <v>0</v>
      </c>
      <c r="U659" s="2455" t="str">
        <f t="shared" ref="U659:U666" si="56">IF(Q659=$E$609,R659-R658,"")</f>
        <v/>
      </c>
    </row>
    <row r="660" spans="17:21" s="2040" customFormat="1" ht="14" x14ac:dyDescent="0.3">
      <c r="Q660" s="2453">
        <v>67</v>
      </c>
      <c r="R660" s="2454">
        <f t="shared" si="55"/>
        <v>0</v>
      </c>
      <c r="S660" s="2442"/>
      <c r="T660" s="2454">
        <f t="shared" ref="T660:T693" si="57">R660-R659</f>
        <v>0</v>
      </c>
      <c r="U660" s="2455" t="str">
        <f t="shared" si="56"/>
        <v/>
      </c>
    </row>
    <row r="661" spans="17:21" s="2040" customFormat="1" ht="14" x14ac:dyDescent="0.3">
      <c r="Q661" s="2453">
        <v>68</v>
      </c>
      <c r="R661" s="2454">
        <f t="shared" si="55"/>
        <v>0</v>
      </c>
      <c r="S661" s="2442"/>
      <c r="T661" s="2454">
        <f t="shared" si="57"/>
        <v>0</v>
      </c>
      <c r="U661" s="2455" t="str">
        <f t="shared" si="56"/>
        <v/>
      </c>
    </row>
    <row r="662" spans="17:21" s="2040" customFormat="1" ht="14" x14ac:dyDescent="0.3">
      <c r="Q662" s="2453">
        <v>69</v>
      </c>
      <c r="R662" s="2454">
        <f t="shared" si="55"/>
        <v>0</v>
      </c>
      <c r="S662" s="2442"/>
      <c r="T662" s="2454">
        <f t="shared" si="57"/>
        <v>0</v>
      </c>
      <c r="U662" s="2455" t="str">
        <f t="shared" si="56"/>
        <v/>
      </c>
    </row>
    <row r="663" spans="17:21" s="2040" customFormat="1" ht="14" x14ac:dyDescent="0.3">
      <c r="Q663" s="2453">
        <v>70</v>
      </c>
      <c r="R663" s="2454">
        <f t="shared" si="55"/>
        <v>0</v>
      </c>
      <c r="S663" s="2442"/>
      <c r="T663" s="2454">
        <f t="shared" si="57"/>
        <v>0</v>
      </c>
      <c r="U663" s="2455" t="str">
        <f t="shared" si="56"/>
        <v/>
      </c>
    </row>
    <row r="664" spans="17:21" s="2040" customFormat="1" ht="14" x14ac:dyDescent="0.3">
      <c r="Q664" s="2453">
        <v>71</v>
      </c>
      <c r="R664" s="2454">
        <f t="shared" si="55"/>
        <v>0</v>
      </c>
      <c r="S664" s="2442"/>
      <c r="T664" s="2454">
        <f t="shared" si="57"/>
        <v>0</v>
      </c>
      <c r="U664" s="2455" t="str">
        <f t="shared" si="56"/>
        <v/>
      </c>
    </row>
    <row r="665" spans="17:21" s="2040" customFormat="1" ht="14" x14ac:dyDescent="0.3">
      <c r="Q665" s="2453">
        <v>72</v>
      </c>
      <c r="R665" s="2454">
        <f t="shared" si="55"/>
        <v>0</v>
      </c>
      <c r="S665" s="2442"/>
      <c r="T665" s="2454">
        <f t="shared" si="57"/>
        <v>0</v>
      </c>
      <c r="U665" s="2455" t="str">
        <f t="shared" si="56"/>
        <v/>
      </c>
    </row>
    <row r="666" spans="17:21" s="2040" customFormat="1" ht="14" x14ac:dyDescent="0.3">
      <c r="Q666" s="2453">
        <v>73</v>
      </c>
      <c r="R666" s="2454">
        <f t="shared" si="55"/>
        <v>0</v>
      </c>
      <c r="T666" s="2454">
        <f t="shared" si="57"/>
        <v>0</v>
      </c>
      <c r="U666" s="2455" t="str">
        <f t="shared" si="56"/>
        <v/>
      </c>
    </row>
    <row r="667" spans="17:21" s="2040" customFormat="1" ht="14" x14ac:dyDescent="0.3">
      <c r="Q667" s="2453">
        <v>74</v>
      </c>
      <c r="R667" s="2454">
        <f t="shared" si="55"/>
        <v>0</v>
      </c>
      <c r="T667" s="2454">
        <f t="shared" si="57"/>
        <v>0</v>
      </c>
      <c r="U667" s="2115"/>
    </row>
    <row r="668" spans="17:21" s="2040" customFormat="1" ht="14" x14ac:dyDescent="0.3">
      <c r="Q668" s="2453">
        <v>75</v>
      </c>
      <c r="R668" s="2454">
        <f t="shared" si="55"/>
        <v>0</v>
      </c>
      <c r="T668" s="2454">
        <f t="shared" si="57"/>
        <v>0</v>
      </c>
      <c r="U668" s="2115"/>
    </row>
    <row r="669" spans="17:21" s="2040" customFormat="1" ht="14" x14ac:dyDescent="0.3">
      <c r="Q669" s="2453">
        <v>76</v>
      </c>
      <c r="R669" s="2454">
        <f t="shared" si="55"/>
        <v>0</v>
      </c>
      <c r="T669" s="2454">
        <f t="shared" si="57"/>
        <v>0</v>
      </c>
      <c r="U669" s="2115"/>
    </row>
    <row r="670" spans="17:21" s="2040" customFormat="1" ht="14" x14ac:dyDescent="0.3">
      <c r="Q670" s="2453">
        <v>77</v>
      </c>
      <c r="R670" s="2454">
        <f t="shared" si="55"/>
        <v>0</v>
      </c>
      <c r="T670" s="2454">
        <f t="shared" si="57"/>
        <v>0</v>
      </c>
      <c r="U670" s="2115"/>
    </row>
    <row r="671" spans="17:21" s="2040" customFormat="1" ht="14" x14ac:dyDescent="0.3">
      <c r="Q671" s="2453">
        <v>78</v>
      </c>
      <c r="R671" s="2454">
        <f t="shared" si="55"/>
        <v>0</v>
      </c>
      <c r="T671" s="2454">
        <f t="shared" si="57"/>
        <v>0</v>
      </c>
      <c r="U671" s="2115"/>
    </row>
    <row r="672" spans="17:21" s="2040" customFormat="1" ht="14" x14ac:dyDescent="0.3">
      <c r="Q672" s="2453">
        <v>79</v>
      </c>
      <c r="R672" s="2454">
        <f t="shared" si="55"/>
        <v>0</v>
      </c>
      <c r="T672" s="2454">
        <f t="shared" si="57"/>
        <v>0</v>
      </c>
      <c r="U672" s="2115"/>
    </row>
    <row r="673" spans="17:21" s="2040" customFormat="1" ht="14" x14ac:dyDescent="0.3">
      <c r="Q673" s="2453">
        <v>80</v>
      </c>
      <c r="R673" s="2454">
        <f t="shared" si="55"/>
        <v>0</v>
      </c>
      <c r="T673" s="2454">
        <f t="shared" si="57"/>
        <v>0</v>
      </c>
      <c r="U673" s="2115"/>
    </row>
    <row r="674" spans="17:21" s="2040" customFormat="1" ht="14" x14ac:dyDescent="0.3">
      <c r="Q674" s="2453">
        <v>81</v>
      </c>
      <c r="R674" s="2454">
        <f t="shared" si="55"/>
        <v>0</v>
      </c>
      <c r="T674" s="2454">
        <f t="shared" si="57"/>
        <v>0</v>
      </c>
      <c r="U674" s="2115"/>
    </row>
    <row r="675" spans="17:21" s="2040" customFormat="1" ht="14" x14ac:dyDescent="0.3">
      <c r="Q675" s="2453">
        <v>82</v>
      </c>
      <c r="R675" s="2454">
        <f t="shared" si="55"/>
        <v>0</v>
      </c>
      <c r="T675" s="2454">
        <f t="shared" si="57"/>
        <v>0</v>
      </c>
      <c r="U675" s="2115"/>
    </row>
    <row r="676" spans="17:21" s="2040" customFormat="1" ht="14" x14ac:dyDescent="0.3">
      <c r="Q676" s="2453">
        <v>83</v>
      </c>
      <c r="R676" s="2454">
        <f t="shared" si="55"/>
        <v>0</v>
      </c>
      <c r="T676" s="2454">
        <f t="shared" si="57"/>
        <v>0</v>
      </c>
      <c r="U676" s="2115"/>
    </row>
    <row r="677" spans="17:21" s="2040" customFormat="1" ht="14" x14ac:dyDescent="0.3">
      <c r="Q677" s="2453">
        <v>84</v>
      </c>
      <c r="R677" s="2454">
        <f t="shared" si="55"/>
        <v>0</v>
      </c>
      <c r="T677" s="2454">
        <f t="shared" si="57"/>
        <v>0</v>
      </c>
      <c r="U677" s="2115"/>
    </row>
    <row r="678" spans="17:21" s="2040" customFormat="1" ht="14" x14ac:dyDescent="0.3">
      <c r="Q678" s="2453">
        <v>85</v>
      </c>
      <c r="R678" s="2454">
        <f t="shared" si="55"/>
        <v>0</v>
      </c>
      <c r="T678" s="2454">
        <f t="shared" si="57"/>
        <v>0</v>
      </c>
      <c r="U678" s="2115"/>
    </row>
    <row r="679" spans="17:21" s="2040" customFormat="1" ht="14" x14ac:dyDescent="0.3">
      <c r="Q679" s="2453">
        <v>86</v>
      </c>
      <c r="R679" s="2454">
        <f t="shared" si="55"/>
        <v>0</v>
      </c>
      <c r="T679" s="2454">
        <f t="shared" si="57"/>
        <v>0</v>
      </c>
      <c r="U679" s="2115"/>
    </row>
    <row r="680" spans="17:21" s="2040" customFormat="1" ht="14" x14ac:dyDescent="0.3">
      <c r="Q680" s="2453">
        <v>87</v>
      </c>
      <c r="R680" s="2454">
        <f t="shared" si="55"/>
        <v>0</v>
      </c>
      <c r="T680" s="2454">
        <f t="shared" si="57"/>
        <v>0</v>
      </c>
      <c r="U680" s="2115"/>
    </row>
    <row r="681" spans="17:21" s="2040" customFormat="1" ht="14" x14ac:dyDescent="0.3">
      <c r="Q681" s="2453">
        <v>88</v>
      </c>
      <c r="R681" s="2454">
        <f t="shared" si="55"/>
        <v>0</v>
      </c>
      <c r="T681" s="2454">
        <f t="shared" si="57"/>
        <v>0</v>
      </c>
      <c r="U681" s="2115"/>
    </row>
    <row r="682" spans="17:21" s="2040" customFormat="1" ht="14" x14ac:dyDescent="0.3">
      <c r="Q682" s="2453">
        <v>89</v>
      </c>
      <c r="R682" s="2454">
        <f t="shared" si="55"/>
        <v>0</v>
      </c>
      <c r="T682" s="2454">
        <f t="shared" si="57"/>
        <v>0</v>
      </c>
      <c r="U682" s="2115"/>
    </row>
    <row r="683" spans="17:21" s="2040" customFormat="1" ht="14" x14ac:dyDescent="0.3">
      <c r="Q683" s="2453">
        <v>90</v>
      </c>
      <c r="R683" s="2454">
        <f t="shared" si="55"/>
        <v>0</v>
      </c>
      <c r="T683" s="2454">
        <f t="shared" si="57"/>
        <v>0</v>
      </c>
      <c r="U683" s="2115"/>
    </row>
    <row r="684" spans="17:21" s="2040" customFormat="1" ht="14" x14ac:dyDescent="0.3">
      <c r="Q684" s="2453">
        <v>91</v>
      </c>
      <c r="R684" s="2454">
        <f t="shared" si="55"/>
        <v>0</v>
      </c>
      <c r="T684" s="2454">
        <f t="shared" si="57"/>
        <v>0</v>
      </c>
      <c r="U684" s="2115"/>
    </row>
    <row r="685" spans="17:21" s="2040" customFormat="1" ht="14" x14ac:dyDescent="0.3">
      <c r="Q685" s="2453">
        <v>92</v>
      </c>
      <c r="R685" s="2454">
        <f t="shared" si="55"/>
        <v>0</v>
      </c>
      <c r="T685" s="2454">
        <f t="shared" si="57"/>
        <v>0</v>
      </c>
      <c r="U685" s="2115"/>
    </row>
    <row r="686" spans="17:21" s="2040" customFormat="1" ht="14" x14ac:dyDescent="0.3">
      <c r="Q686" s="2453">
        <v>93</v>
      </c>
      <c r="R686" s="2454">
        <f t="shared" si="55"/>
        <v>0</v>
      </c>
      <c r="T686" s="2454">
        <f t="shared" si="57"/>
        <v>0</v>
      </c>
      <c r="U686" s="2115"/>
    </row>
    <row r="687" spans="17:21" s="2040" customFormat="1" ht="14" x14ac:dyDescent="0.3">
      <c r="Q687" s="2453">
        <v>94</v>
      </c>
      <c r="R687" s="2454">
        <f t="shared" si="55"/>
        <v>0</v>
      </c>
      <c r="T687" s="2454">
        <f t="shared" si="57"/>
        <v>0</v>
      </c>
      <c r="U687" s="2115"/>
    </row>
    <row r="688" spans="17:21" s="2040" customFormat="1" ht="14" x14ac:dyDescent="0.3">
      <c r="Q688" s="2453">
        <v>95</v>
      </c>
      <c r="R688" s="2454">
        <f t="shared" si="55"/>
        <v>0</v>
      </c>
      <c r="T688" s="2454">
        <f t="shared" si="57"/>
        <v>0</v>
      </c>
      <c r="U688" s="2115"/>
    </row>
    <row r="689" spans="2:232" s="2040" customFormat="1" ht="14" x14ac:dyDescent="0.3">
      <c r="Q689" s="2453">
        <v>96</v>
      </c>
      <c r="R689" s="2454">
        <f t="shared" si="55"/>
        <v>0</v>
      </c>
      <c r="T689" s="2454">
        <f t="shared" si="57"/>
        <v>0</v>
      </c>
      <c r="U689" s="2115"/>
    </row>
    <row r="690" spans="2:232" s="2040" customFormat="1" ht="14" x14ac:dyDescent="0.3">
      <c r="Q690" s="2453">
        <v>97</v>
      </c>
      <c r="R690" s="2454">
        <f t="shared" ref="R690:R693" si="58">IF($F$611&gt;0,HLOOKUP($E$606,$B$699:$HX$799,Q690+1,FALSE),0)</f>
        <v>0</v>
      </c>
      <c r="T690" s="2454">
        <f t="shared" si="57"/>
        <v>0</v>
      </c>
      <c r="U690" s="2115"/>
    </row>
    <row r="691" spans="2:232" s="2040" customFormat="1" ht="14" x14ac:dyDescent="0.3">
      <c r="Q691" s="2453">
        <v>98</v>
      </c>
      <c r="R691" s="2454">
        <f t="shared" si="58"/>
        <v>0</v>
      </c>
      <c r="T691" s="2454">
        <f t="shared" si="57"/>
        <v>0</v>
      </c>
      <c r="U691" s="2115"/>
    </row>
    <row r="692" spans="2:232" s="2040" customFormat="1" ht="14" x14ac:dyDescent="0.3">
      <c r="Q692" s="2453">
        <v>99</v>
      </c>
      <c r="R692" s="2454">
        <f t="shared" si="58"/>
        <v>0</v>
      </c>
      <c r="T692" s="2454">
        <f t="shared" si="57"/>
        <v>0</v>
      </c>
      <c r="U692" s="2115"/>
    </row>
    <row r="693" spans="2:232" s="2040" customFormat="1" thickBot="1" x14ac:dyDescent="0.35">
      <c r="Q693" s="2496">
        <v>100</v>
      </c>
      <c r="R693" s="2497">
        <f t="shared" si="58"/>
        <v>0</v>
      </c>
      <c r="S693" s="2498"/>
      <c r="T693" s="2497">
        <f t="shared" si="57"/>
        <v>0</v>
      </c>
      <c r="U693" s="2119"/>
    </row>
    <row r="694" spans="2:232" s="2040" customFormat="1" ht="14" x14ac:dyDescent="0.3"/>
    <row r="695" spans="2:232" s="2040" customFormat="1" ht="14" x14ac:dyDescent="0.3"/>
    <row r="696" spans="2:232" s="2040" customFormat="1" ht="14" x14ac:dyDescent="0.3">
      <c r="B696" s="2499" t="s">
        <v>1667</v>
      </c>
    </row>
    <row r="697" spans="2:232" s="2040" customFormat="1" ht="14" x14ac:dyDescent="0.3">
      <c r="B697" s="2481"/>
      <c r="C697" s="2500">
        <v>1</v>
      </c>
      <c r="D697" s="2500">
        <v>1</v>
      </c>
      <c r="E697" s="2500">
        <v>1</v>
      </c>
      <c r="F697" s="2500">
        <v>1</v>
      </c>
      <c r="G697" s="2500">
        <v>1</v>
      </c>
      <c r="H697" s="2500">
        <v>1</v>
      </c>
      <c r="I697" s="2500">
        <v>1</v>
      </c>
      <c r="J697" s="2500">
        <v>1</v>
      </c>
      <c r="K697" s="2500">
        <v>1</v>
      </c>
      <c r="L697" s="2500">
        <v>1</v>
      </c>
      <c r="M697" s="2500">
        <v>1</v>
      </c>
      <c r="N697" s="2500">
        <v>1</v>
      </c>
      <c r="O697" s="2500">
        <v>10</v>
      </c>
      <c r="P697" s="2500">
        <v>10</v>
      </c>
      <c r="Q697" s="2500">
        <v>10</v>
      </c>
      <c r="R697" s="2500">
        <v>10</v>
      </c>
      <c r="S697" s="2500">
        <v>10</v>
      </c>
      <c r="T697" s="2500">
        <v>10</v>
      </c>
      <c r="U697" s="2500">
        <v>10</v>
      </c>
      <c r="V697" s="2500">
        <v>10</v>
      </c>
      <c r="W697" s="2500">
        <v>10</v>
      </c>
      <c r="X697" s="2500">
        <v>10</v>
      </c>
      <c r="Y697" s="2500">
        <v>10</v>
      </c>
      <c r="Z697" s="2500">
        <v>10</v>
      </c>
      <c r="AA697" s="2500">
        <v>10</v>
      </c>
      <c r="AB697" s="2500">
        <v>10</v>
      </c>
      <c r="AC697" s="2500">
        <v>10</v>
      </c>
      <c r="AD697" s="2500">
        <v>10</v>
      </c>
      <c r="AE697" s="2500">
        <v>10</v>
      </c>
      <c r="AF697" s="2500">
        <v>10</v>
      </c>
      <c r="AG697" s="2500">
        <v>10</v>
      </c>
      <c r="AH697" s="2500">
        <v>10</v>
      </c>
      <c r="AI697" s="2500">
        <v>10</v>
      </c>
      <c r="AJ697" s="2500">
        <v>10</v>
      </c>
      <c r="AK697" s="2500">
        <v>10</v>
      </c>
      <c r="AL697" s="2500">
        <v>10</v>
      </c>
      <c r="AM697" s="2500">
        <v>11</v>
      </c>
      <c r="AN697" s="2500">
        <v>11</v>
      </c>
      <c r="AO697" s="2500">
        <v>11</v>
      </c>
      <c r="AP697" s="2500">
        <v>11</v>
      </c>
      <c r="AQ697" s="2500">
        <v>11</v>
      </c>
      <c r="AR697" s="2500">
        <v>11</v>
      </c>
      <c r="AS697" s="2500">
        <v>11</v>
      </c>
      <c r="AT697" s="2500">
        <v>11</v>
      </c>
      <c r="AU697" s="2500">
        <v>11</v>
      </c>
      <c r="AV697" s="2500">
        <v>11</v>
      </c>
      <c r="AW697" s="2500">
        <v>11</v>
      </c>
      <c r="AX697" s="2500">
        <v>11</v>
      </c>
      <c r="AY697" s="2500">
        <v>11</v>
      </c>
      <c r="AZ697" s="2500">
        <v>11</v>
      </c>
      <c r="BA697" s="2122">
        <v>15</v>
      </c>
      <c r="BB697" s="2122">
        <v>15</v>
      </c>
      <c r="BC697" s="2122">
        <v>15</v>
      </c>
      <c r="BD697" s="2122">
        <v>15</v>
      </c>
      <c r="BE697" s="2122">
        <v>15</v>
      </c>
      <c r="BF697" s="2122">
        <v>15</v>
      </c>
      <c r="BG697" s="2122">
        <v>15</v>
      </c>
      <c r="BH697" s="2122">
        <v>15</v>
      </c>
      <c r="BI697" s="2122">
        <v>15</v>
      </c>
      <c r="BJ697" s="2122">
        <v>15</v>
      </c>
      <c r="BK697" s="2122">
        <v>15</v>
      </c>
      <c r="BL697" s="2122">
        <v>15</v>
      </c>
      <c r="BM697" s="2122">
        <v>17</v>
      </c>
      <c r="BN697" s="2122">
        <v>17</v>
      </c>
      <c r="BO697" s="2122">
        <v>17</v>
      </c>
      <c r="BP697" s="2122">
        <v>17</v>
      </c>
      <c r="BQ697" s="2122">
        <v>17</v>
      </c>
      <c r="BR697" s="2122">
        <v>17</v>
      </c>
      <c r="BS697" s="2122">
        <v>17</v>
      </c>
      <c r="BT697" s="2122">
        <v>17</v>
      </c>
      <c r="BU697" s="2122">
        <v>17</v>
      </c>
      <c r="BV697" s="2122">
        <v>17</v>
      </c>
      <c r="BW697" s="2122">
        <v>17</v>
      </c>
      <c r="BX697" s="2122">
        <v>17</v>
      </c>
      <c r="BY697" s="2122">
        <v>19</v>
      </c>
      <c r="BZ697" s="2122">
        <v>19</v>
      </c>
      <c r="CA697" s="2122">
        <v>19</v>
      </c>
      <c r="CB697" s="2122">
        <v>19</v>
      </c>
      <c r="CC697" s="2122">
        <v>19</v>
      </c>
      <c r="CD697" s="2122">
        <v>19</v>
      </c>
      <c r="CE697" s="2122">
        <v>19</v>
      </c>
      <c r="CF697" s="2122">
        <v>19</v>
      </c>
      <c r="CG697" s="2122">
        <v>19</v>
      </c>
      <c r="CH697" s="2122">
        <v>19</v>
      </c>
      <c r="CI697" s="2122">
        <v>19</v>
      </c>
      <c r="CJ697" s="2122">
        <v>19</v>
      </c>
      <c r="CK697" s="2122">
        <v>20</v>
      </c>
      <c r="CL697" s="2122">
        <v>20</v>
      </c>
      <c r="CM697" s="2122">
        <v>20</v>
      </c>
      <c r="CN697" s="2122">
        <v>20</v>
      </c>
      <c r="CO697" s="2122">
        <v>20</v>
      </c>
      <c r="CP697" s="2122">
        <v>20</v>
      </c>
      <c r="CQ697" s="2122">
        <v>20</v>
      </c>
      <c r="CR697" s="2122">
        <v>20</v>
      </c>
      <c r="CS697" s="2122">
        <v>20</v>
      </c>
      <c r="CT697" s="2122">
        <v>20</v>
      </c>
      <c r="CU697" s="2122">
        <v>20</v>
      </c>
      <c r="CV697" s="2122">
        <v>20</v>
      </c>
      <c r="CW697" s="2122">
        <v>22</v>
      </c>
      <c r="CX697" s="2122">
        <v>22</v>
      </c>
      <c r="CY697" s="2122">
        <v>22</v>
      </c>
      <c r="CZ697" s="2122">
        <v>22</v>
      </c>
      <c r="DA697" s="2122">
        <v>22</v>
      </c>
      <c r="DB697" s="2122">
        <v>22</v>
      </c>
      <c r="DC697" s="2122">
        <v>22</v>
      </c>
      <c r="DD697" s="2122">
        <v>22</v>
      </c>
      <c r="DE697" s="2122">
        <v>22</v>
      </c>
      <c r="DF697" s="2122">
        <v>22</v>
      </c>
      <c r="DG697" s="2122">
        <v>22</v>
      </c>
      <c r="DH697" s="2122">
        <v>22</v>
      </c>
      <c r="DI697" s="2122">
        <v>23</v>
      </c>
      <c r="DJ697" s="2122">
        <v>23</v>
      </c>
      <c r="DK697" s="2122">
        <v>23</v>
      </c>
      <c r="DL697" s="2122">
        <v>23</v>
      </c>
      <c r="DM697" s="2122">
        <v>23</v>
      </c>
      <c r="DN697" s="2122">
        <v>23</v>
      </c>
      <c r="DO697" s="2122">
        <v>23</v>
      </c>
      <c r="DP697" s="2122">
        <v>23</v>
      </c>
      <c r="DQ697" s="2122">
        <v>23</v>
      </c>
      <c r="DR697" s="2122">
        <v>23</v>
      </c>
      <c r="DS697" s="2122">
        <v>23</v>
      </c>
      <c r="DT697" s="2122">
        <v>23</v>
      </c>
      <c r="DU697" s="2122">
        <v>24</v>
      </c>
      <c r="DV697" s="2122">
        <v>24</v>
      </c>
      <c r="DW697" s="2122">
        <v>24</v>
      </c>
      <c r="DX697" s="2122">
        <v>24</v>
      </c>
      <c r="DY697" s="2122">
        <v>24</v>
      </c>
      <c r="DZ697" s="2122">
        <v>24</v>
      </c>
      <c r="EA697" s="2122">
        <v>24</v>
      </c>
      <c r="EB697" s="2122">
        <v>24</v>
      </c>
      <c r="EC697" s="2122">
        <v>24</v>
      </c>
      <c r="ED697" s="2122">
        <v>24</v>
      </c>
      <c r="EE697" s="2122">
        <v>24</v>
      </c>
      <c r="EF697" s="2122">
        <v>24</v>
      </c>
      <c r="EG697" s="2122">
        <v>28</v>
      </c>
      <c r="EH697" s="2122">
        <v>28</v>
      </c>
      <c r="EI697" s="2122">
        <v>28</v>
      </c>
      <c r="EJ697" s="2122">
        <v>28</v>
      </c>
      <c r="EK697" s="2122">
        <v>28</v>
      </c>
      <c r="EL697" s="2122">
        <v>28</v>
      </c>
      <c r="EM697" s="2122">
        <v>28</v>
      </c>
      <c r="EN697" s="2122">
        <v>28</v>
      </c>
      <c r="EO697" s="2122">
        <v>28</v>
      </c>
      <c r="EP697" s="2122">
        <v>28</v>
      </c>
      <c r="EQ697" s="2122">
        <v>28</v>
      </c>
      <c r="ER697" s="2122">
        <v>28</v>
      </c>
      <c r="ES697" s="2122">
        <v>30</v>
      </c>
      <c r="ET697" s="2122">
        <v>30</v>
      </c>
      <c r="EU697" s="2122">
        <v>30</v>
      </c>
      <c r="EV697" s="2122">
        <v>30</v>
      </c>
      <c r="EW697" s="2122">
        <v>30</v>
      </c>
      <c r="EX697" s="2122">
        <v>30</v>
      </c>
      <c r="EY697" s="2122">
        <v>30</v>
      </c>
      <c r="EZ697" s="2122">
        <v>30</v>
      </c>
      <c r="FA697" s="2122">
        <v>30</v>
      </c>
      <c r="FB697" s="2122">
        <v>30</v>
      </c>
      <c r="FC697" s="2122">
        <v>30</v>
      </c>
      <c r="FD697" s="2122">
        <v>30</v>
      </c>
      <c r="FE697" s="2122">
        <v>31</v>
      </c>
      <c r="FF697" s="2122">
        <v>31</v>
      </c>
      <c r="FG697" s="2122">
        <v>31</v>
      </c>
      <c r="FH697" s="2122">
        <v>31</v>
      </c>
      <c r="FI697" s="2122">
        <v>31</v>
      </c>
      <c r="FJ697" s="2122">
        <v>31</v>
      </c>
      <c r="FK697" s="2122">
        <v>31</v>
      </c>
      <c r="FL697" s="2122">
        <v>31</v>
      </c>
      <c r="FM697" s="2122">
        <v>31</v>
      </c>
      <c r="FN697" s="2122">
        <v>31</v>
      </c>
      <c r="FO697" s="2122">
        <v>31</v>
      </c>
      <c r="FP697" s="2122">
        <v>31</v>
      </c>
      <c r="FQ697" s="2122">
        <v>32</v>
      </c>
      <c r="FR697" s="2122">
        <v>32</v>
      </c>
      <c r="FS697" s="2122">
        <v>32</v>
      </c>
      <c r="FT697" s="2122">
        <v>32</v>
      </c>
      <c r="FU697" s="2122">
        <v>32</v>
      </c>
      <c r="FV697" s="2122">
        <v>32</v>
      </c>
      <c r="FW697" s="2122">
        <v>32</v>
      </c>
      <c r="FX697" s="2122">
        <v>32</v>
      </c>
      <c r="FY697" s="2122">
        <v>32</v>
      </c>
      <c r="FZ697" s="2122">
        <v>32</v>
      </c>
      <c r="GA697" s="2122">
        <v>32</v>
      </c>
      <c r="GB697" s="2122">
        <v>32</v>
      </c>
      <c r="GC697" s="2122">
        <v>33</v>
      </c>
      <c r="GD697" s="2122">
        <v>33</v>
      </c>
      <c r="GE697" s="2122">
        <v>33</v>
      </c>
      <c r="GF697" s="2122">
        <v>33</v>
      </c>
      <c r="GG697" s="2122">
        <v>33</v>
      </c>
      <c r="GH697" s="2122">
        <v>33</v>
      </c>
      <c r="GI697" s="2122">
        <v>33</v>
      </c>
      <c r="GJ697" s="2122">
        <v>33</v>
      </c>
      <c r="GK697" s="2122">
        <v>33</v>
      </c>
      <c r="GL697" s="2122">
        <v>33</v>
      </c>
      <c r="GM697" s="2122">
        <v>33</v>
      </c>
      <c r="GN697" s="2122">
        <v>33</v>
      </c>
      <c r="GO697" s="2122">
        <v>35</v>
      </c>
      <c r="GP697" s="2122">
        <v>35</v>
      </c>
      <c r="GQ697" s="2122">
        <v>35</v>
      </c>
      <c r="GR697" s="2122">
        <v>35</v>
      </c>
      <c r="GS697" s="2122">
        <v>35</v>
      </c>
      <c r="GT697" s="2122">
        <v>35</v>
      </c>
      <c r="GU697" s="2122">
        <v>35</v>
      </c>
      <c r="GV697" s="2122">
        <v>35</v>
      </c>
      <c r="GW697" s="2122">
        <v>35</v>
      </c>
      <c r="GX697" s="2122">
        <v>35</v>
      </c>
      <c r="GY697" s="2122">
        <v>35</v>
      </c>
      <c r="GZ697" s="2122">
        <v>35</v>
      </c>
      <c r="HA697" s="2122">
        <v>36</v>
      </c>
      <c r="HB697" s="2122">
        <v>36</v>
      </c>
      <c r="HC697" s="2122">
        <v>36</v>
      </c>
      <c r="HD697" s="2122">
        <v>36</v>
      </c>
      <c r="HE697" s="2122">
        <v>36</v>
      </c>
      <c r="HF697" s="2122">
        <v>36</v>
      </c>
      <c r="HG697" s="2122">
        <v>36</v>
      </c>
      <c r="HH697" s="2122">
        <v>36</v>
      </c>
      <c r="HI697" s="2122">
        <v>36</v>
      </c>
      <c r="HJ697" s="2122">
        <v>36</v>
      </c>
      <c r="HK697" s="2122">
        <v>36</v>
      </c>
      <c r="HL697" s="2122">
        <v>36</v>
      </c>
      <c r="HM697" s="2122">
        <v>40</v>
      </c>
      <c r="HN697" s="2122">
        <v>40</v>
      </c>
      <c r="HO697" s="2122">
        <v>40</v>
      </c>
      <c r="HP697" s="2122">
        <v>40</v>
      </c>
      <c r="HQ697" s="2122">
        <v>40</v>
      </c>
      <c r="HR697" s="2122">
        <v>40</v>
      </c>
      <c r="HS697" s="2122">
        <v>40</v>
      </c>
      <c r="HT697" s="2122">
        <v>40</v>
      </c>
      <c r="HU697" s="2122">
        <v>40</v>
      </c>
      <c r="HV697" s="2122">
        <v>40</v>
      </c>
      <c r="HW697" s="2122">
        <v>40</v>
      </c>
      <c r="HX697" s="2122">
        <v>40</v>
      </c>
    </row>
    <row r="698" spans="2:232" s="2040" customFormat="1" ht="14" x14ac:dyDescent="0.3">
      <c r="B698" s="2501" t="s">
        <v>1668</v>
      </c>
      <c r="C698" s="2502" t="s">
        <v>1579</v>
      </c>
      <c r="D698" s="2502" t="s">
        <v>1579</v>
      </c>
      <c r="E698" s="2502" t="s">
        <v>1579</v>
      </c>
      <c r="F698" s="2502" t="s">
        <v>1579</v>
      </c>
      <c r="G698" s="2502" t="s">
        <v>1579</v>
      </c>
      <c r="H698" s="2502" t="s">
        <v>1579</v>
      </c>
      <c r="I698" s="2502" t="s">
        <v>1579</v>
      </c>
      <c r="J698" s="2502" t="s">
        <v>1579</v>
      </c>
      <c r="K698" s="2502" t="s">
        <v>1579</v>
      </c>
      <c r="L698" s="2502" t="s">
        <v>1579</v>
      </c>
      <c r="M698" s="2502" t="s">
        <v>1579</v>
      </c>
      <c r="N698" s="2502" t="s">
        <v>1579</v>
      </c>
      <c r="O698" s="2502" t="s">
        <v>1575</v>
      </c>
      <c r="P698" s="2502" t="s">
        <v>1575</v>
      </c>
      <c r="Q698" s="2502" t="s">
        <v>1575</v>
      </c>
      <c r="R698" s="2502" t="s">
        <v>1575</v>
      </c>
      <c r="S698" s="2502" t="s">
        <v>1575</v>
      </c>
      <c r="T698" s="2502" t="s">
        <v>1575</v>
      </c>
      <c r="U698" s="2502" t="s">
        <v>1575</v>
      </c>
      <c r="V698" s="2502" t="s">
        <v>1575</v>
      </c>
      <c r="W698" s="2502" t="s">
        <v>1575</v>
      </c>
      <c r="X698" s="2502" t="s">
        <v>1575</v>
      </c>
      <c r="Y698" s="2502" t="s">
        <v>1575</v>
      </c>
      <c r="Z698" s="2502" t="s">
        <v>1575</v>
      </c>
      <c r="AA698" s="2502" t="s">
        <v>1575</v>
      </c>
      <c r="AB698" s="2502" t="s">
        <v>1575</v>
      </c>
      <c r="AC698" s="2502" t="s">
        <v>1575</v>
      </c>
      <c r="AD698" s="2502" t="s">
        <v>1575</v>
      </c>
      <c r="AE698" s="2502" t="s">
        <v>1575</v>
      </c>
      <c r="AF698" s="2502" t="s">
        <v>1575</v>
      </c>
      <c r="AG698" s="2502" t="s">
        <v>1575</v>
      </c>
      <c r="AH698" s="2502" t="s">
        <v>1575</v>
      </c>
      <c r="AI698" s="2502" t="s">
        <v>1575</v>
      </c>
      <c r="AJ698" s="2502" t="s">
        <v>1575</v>
      </c>
      <c r="AK698" s="2502" t="s">
        <v>1575</v>
      </c>
      <c r="AL698" s="2502" t="s">
        <v>1575</v>
      </c>
      <c r="AM698" s="2502" t="s">
        <v>1575</v>
      </c>
      <c r="AN698" s="2502" t="s">
        <v>1575</v>
      </c>
      <c r="AO698" s="2502" t="s">
        <v>1575</v>
      </c>
      <c r="AP698" s="2502" t="s">
        <v>1575</v>
      </c>
      <c r="AQ698" s="2502" t="s">
        <v>1575</v>
      </c>
      <c r="AR698" s="2502" t="s">
        <v>1575</v>
      </c>
      <c r="AS698" s="2502" t="s">
        <v>1575</v>
      </c>
      <c r="AT698" s="2502" t="s">
        <v>1575</v>
      </c>
      <c r="AU698" s="2502" t="s">
        <v>1575</v>
      </c>
      <c r="AV698" s="2502" t="s">
        <v>1575</v>
      </c>
      <c r="AW698" s="2502" t="s">
        <v>1575</v>
      </c>
      <c r="AX698" s="2502" t="s">
        <v>1575</v>
      </c>
      <c r="AY698" s="2502" t="s">
        <v>1575</v>
      </c>
      <c r="AZ698" s="2502" t="s">
        <v>1575</v>
      </c>
      <c r="BA698" s="2123" t="s">
        <v>1575</v>
      </c>
      <c r="BB698" s="2123" t="s">
        <v>1575</v>
      </c>
      <c r="BC698" s="2123" t="s">
        <v>1575</v>
      </c>
      <c r="BD698" s="2123" t="s">
        <v>1575</v>
      </c>
      <c r="BE698" s="2123" t="s">
        <v>1575</v>
      </c>
      <c r="BF698" s="2123" t="s">
        <v>1575</v>
      </c>
      <c r="BG698" s="2123" t="s">
        <v>1575</v>
      </c>
      <c r="BH698" s="2123" t="s">
        <v>1575</v>
      </c>
      <c r="BI698" s="2123" t="s">
        <v>1575</v>
      </c>
      <c r="BJ698" s="2123" t="s">
        <v>1575</v>
      </c>
      <c r="BK698" s="2123" t="s">
        <v>1575</v>
      </c>
      <c r="BL698" s="2123" t="s">
        <v>1575</v>
      </c>
      <c r="BM698" s="2123" t="s">
        <v>1669</v>
      </c>
      <c r="BN698" s="2123" t="s">
        <v>1669</v>
      </c>
      <c r="BO698" s="2123" t="s">
        <v>1669</v>
      </c>
      <c r="BP698" s="2123" t="s">
        <v>1669</v>
      </c>
      <c r="BQ698" s="2123" t="s">
        <v>1669</v>
      </c>
      <c r="BR698" s="2123" t="s">
        <v>1669</v>
      </c>
      <c r="BS698" s="2123" t="s">
        <v>1669</v>
      </c>
      <c r="BT698" s="2123" t="s">
        <v>1669</v>
      </c>
      <c r="BU698" s="2123" t="s">
        <v>1669</v>
      </c>
      <c r="BV698" s="2123" t="s">
        <v>1669</v>
      </c>
      <c r="BW698" s="2123" t="s">
        <v>1669</v>
      </c>
      <c r="BX698" s="2123" t="s">
        <v>1669</v>
      </c>
      <c r="BY698" s="2123" t="s">
        <v>1669</v>
      </c>
      <c r="BZ698" s="2123" t="s">
        <v>1669</v>
      </c>
      <c r="CA698" s="2123" t="s">
        <v>1669</v>
      </c>
      <c r="CB698" s="2123" t="s">
        <v>1669</v>
      </c>
      <c r="CC698" s="2123" t="s">
        <v>1669</v>
      </c>
      <c r="CD698" s="2123" t="s">
        <v>1669</v>
      </c>
      <c r="CE698" s="2123" t="s">
        <v>1669</v>
      </c>
      <c r="CF698" s="2123" t="s">
        <v>1669</v>
      </c>
      <c r="CG698" s="2123" t="s">
        <v>1669</v>
      </c>
      <c r="CH698" s="2123" t="s">
        <v>1669</v>
      </c>
      <c r="CI698" s="2123" t="s">
        <v>1669</v>
      </c>
      <c r="CJ698" s="2123" t="s">
        <v>1669</v>
      </c>
      <c r="CK698" s="2123" t="s">
        <v>1669</v>
      </c>
      <c r="CL698" s="2123" t="s">
        <v>1669</v>
      </c>
      <c r="CM698" s="2123" t="s">
        <v>1669</v>
      </c>
      <c r="CN698" s="2123" t="s">
        <v>1669</v>
      </c>
      <c r="CO698" s="2123" t="s">
        <v>1669</v>
      </c>
      <c r="CP698" s="2123" t="s">
        <v>1669</v>
      </c>
      <c r="CQ698" s="2123" t="s">
        <v>1669</v>
      </c>
      <c r="CR698" s="2123" t="s">
        <v>1669</v>
      </c>
      <c r="CS698" s="2123" t="s">
        <v>1669</v>
      </c>
      <c r="CT698" s="2123" t="s">
        <v>1669</v>
      </c>
      <c r="CU698" s="2123" t="s">
        <v>1669</v>
      </c>
      <c r="CV698" s="2123" t="s">
        <v>1669</v>
      </c>
      <c r="CW698" s="2123" t="s">
        <v>1669</v>
      </c>
      <c r="CX698" s="2123" t="s">
        <v>1669</v>
      </c>
      <c r="CY698" s="2123" t="s">
        <v>1669</v>
      </c>
      <c r="CZ698" s="2123" t="s">
        <v>1669</v>
      </c>
      <c r="DA698" s="2123" t="s">
        <v>1669</v>
      </c>
      <c r="DB698" s="2123" t="s">
        <v>1669</v>
      </c>
      <c r="DC698" s="2123" t="s">
        <v>1669</v>
      </c>
      <c r="DD698" s="2123" t="s">
        <v>1669</v>
      </c>
      <c r="DE698" s="2123" t="s">
        <v>1669</v>
      </c>
      <c r="DF698" s="2123" t="s">
        <v>1669</v>
      </c>
      <c r="DG698" s="2123" t="s">
        <v>1669</v>
      </c>
      <c r="DH698" s="2123" t="s">
        <v>1669</v>
      </c>
      <c r="DI698" s="2123" t="s">
        <v>1582</v>
      </c>
      <c r="DJ698" s="2123" t="s">
        <v>1582</v>
      </c>
      <c r="DK698" s="2123" t="s">
        <v>1582</v>
      </c>
      <c r="DL698" s="2123" t="s">
        <v>1582</v>
      </c>
      <c r="DM698" s="2123" t="s">
        <v>1582</v>
      </c>
      <c r="DN698" s="2123" t="s">
        <v>1582</v>
      </c>
      <c r="DO698" s="2123" t="s">
        <v>1582</v>
      </c>
      <c r="DP698" s="2123" t="s">
        <v>1582</v>
      </c>
      <c r="DQ698" s="2123" t="s">
        <v>1582</v>
      </c>
      <c r="DR698" s="2123" t="s">
        <v>1582</v>
      </c>
      <c r="DS698" s="2123" t="s">
        <v>1582</v>
      </c>
      <c r="DT698" s="2123" t="s">
        <v>1582</v>
      </c>
      <c r="DU698" s="2123" t="s">
        <v>1582</v>
      </c>
      <c r="DV698" s="2123" t="s">
        <v>1582</v>
      </c>
      <c r="DW698" s="2123" t="s">
        <v>1582</v>
      </c>
      <c r="DX698" s="2123" t="s">
        <v>1582</v>
      </c>
      <c r="DY698" s="2123" t="s">
        <v>1582</v>
      </c>
      <c r="DZ698" s="2123" t="s">
        <v>1582</v>
      </c>
      <c r="EA698" s="2123" t="s">
        <v>1582</v>
      </c>
      <c r="EB698" s="2123" t="s">
        <v>1582</v>
      </c>
      <c r="EC698" s="2123" t="s">
        <v>1582</v>
      </c>
      <c r="ED698" s="2123" t="s">
        <v>1582</v>
      </c>
      <c r="EE698" s="2123" t="s">
        <v>1582</v>
      </c>
      <c r="EF698" s="2123" t="s">
        <v>1582</v>
      </c>
      <c r="EG698" s="2123" t="s">
        <v>1670</v>
      </c>
      <c r="EH698" s="2123" t="s">
        <v>1670</v>
      </c>
      <c r="EI698" s="2123" t="s">
        <v>1670</v>
      </c>
      <c r="EJ698" s="2123" t="s">
        <v>1670</v>
      </c>
      <c r="EK698" s="2123" t="s">
        <v>1670</v>
      </c>
      <c r="EL698" s="2123" t="s">
        <v>1670</v>
      </c>
      <c r="EM698" s="2123" t="s">
        <v>1670</v>
      </c>
      <c r="EN698" s="2123" t="s">
        <v>1670</v>
      </c>
      <c r="EO698" s="2123" t="s">
        <v>1670</v>
      </c>
      <c r="EP698" s="2123" t="s">
        <v>1670</v>
      </c>
      <c r="EQ698" s="2123" t="s">
        <v>1670</v>
      </c>
      <c r="ER698" s="2123" t="s">
        <v>1670</v>
      </c>
      <c r="ES698" s="2123" t="s">
        <v>1670</v>
      </c>
      <c r="ET698" s="2123" t="s">
        <v>1670</v>
      </c>
      <c r="EU698" s="2123" t="s">
        <v>1670</v>
      </c>
      <c r="EV698" s="2123" t="s">
        <v>1670</v>
      </c>
      <c r="EW698" s="2123" t="s">
        <v>1670</v>
      </c>
      <c r="EX698" s="2123" t="s">
        <v>1670</v>
      </c>
      <c r="EY698" s="2123" t="s">
        <v>1670</v>
      </c>
      <c r="EZ698" s="2123" t="s">
        <v>1670</v>
      </c>
      <c r="FA698" s="2123" t="s">
        <v>1670</v>
      </c>
      <c r="FB698" s="2123" t="s">
        <v>1670</v>
      </c>
      <c r="FC698" s="2123" t="s">
        <v>1670</v>
      </c>
      <c r="FD698" s="2123" t="s">
        <v>1670</v>
      </c>
      <c r="FE698" s="2123" t="s">
        <v>1670</v>
      </c>
      <c r="FF698" s="2123" t="s">
        <v>1670</v>
      </c>
      <c r="FG698" s="2123" t="s">
        <v>1670</v>
      </c>
      <c r="FH698" s="2123" t="s">
        <v>1670</v>
      </c>
      <c r="FI698" s="2123" t="s">
        <v>1670</v>
      </c>
      <c r="FJ698" s="2123" t="s">
        <v>1670</v>
      </c>
      <c r="FK698" s="2123" t="s">
        <v>1670</v>
      </c>
      <c r="FL698" s="2123" t="s">
        <v>1670</v>
      </c>
      <c r="FM698" s="2123" t="s">
        <v>1670</v>
      </c>
      <c r="FN698" s="2123" t="s">
        <v>1670</v>
      </c>
      <c r="FO698" s="2123" t="s">
        <v>1670</v>
      </c>
      <c r="FP698" s="2123" t="s">
        <v>1670</v>
      </c>
      <c r="FQ698" s="2123" t="s">
        <v>1670</v>
      </c>
      <c r="FR698" s="2123" t="s">
        <v>1670</v>
      </c>
      <c r="FS698" s="2123" t="s">
        <v>1670</v>
      </c>
      <c r="FT698" s="2123" t="s">
        <v>1670</v>
      </c>
      <c r="FU698" s="2123" t="s">
        <v>1670</v>
      </c>
      <c r="FV698" s="2123" t="s">
        <v>1670</v>
      </c>
      <c r="FW698" s="2123" t="s">
        <v>1670</v>
      </c>
      <c r="FX698" s="2123" t="s">
        <v>1670</v>
      </c>
      <c r="FY698" s="2123" t="s">
        <v>1670</v>
      </c>
      <c r="FZ698" s="2123" t="s">
        <v>1670</v>
      </c>
      <c r="GA698" s="2123" t="s">
        <v>1670</v>
      </c>
      <c r="GB698" s="2123" t="s">
        <v>1670</v>
      </c>
      <c r="GC698" s="2123" t="s">
        <v>1670</v>
      </c>
      <c r="GD698" s="2123" t="s">
        <v>1670</v>
      </c>
      <c r="GE698" s="2123" t="s">
        <v>1670</v>
      </c>
      <c r="GF698" s="2123" t="s">
        <v>1670</v>
      </c>
      <c r="GG698" s="2123" t="s">
        <v>1670</v>
      </c>
      <c r="GH698" s="2123" t="s">
        <v>1670</v>
      </c>
      <c r="GI698" s="2123" t="s">
        <v>1670</v>
      </c>
      <c r="GJ698" s="2123" t="s">
        <v>1670</v>
      </c>
      <c r="GK698" s="2123" t="s">
        <v>1670</v>
      </c>
      <c r="GL698" s="2123" t="s">
        <v>1670</v>
      </c>
      <c r="GM698" s="2123" t="s">
        <v>1670</v>
      </c>
      <c r="GN698" s="2123" t="s">
        <v>1670</v>
      </c>
      <c r="GO698" s="2123" t="s">
        <v>1670</v>
      </c>
      <c r="GP698" s="2123" t="s">
        <v>1670</v>
      </c>
      <c r="GQ698" s="2123" t="s">
        <v>1670</v>
      </c>
      <c r="GR698" s="2123" t="s">
        <v>1670</v>
      </c>
      <c r="GS698" s="2123" t="s">
        <v>1670</v>
      </c>
      <c r="GT698" s="2123" t="s">
        <v>1670</v>
      </c>
      <c r="GU698" s="2123" t="s">
        <v>1670</v>
      </c>
      <c r="GV698" s="2123" t="s">
        <v>1670</v>
      </c>
      <c r="GW698" s="2123" t="s">
        <v>1670</v>
      </c>
      <c r="GX698" s="2123" t="s">
        <v>1670</v>
      </c>
      <c r="GY698" s="2123" t="s">
        <v>1670</v>
      </c>
      <c r="GZ698" s="2123" t="s">
        <v>1670</v>
      </c>
      <c r="HA698" s="2123" t="s">
        <v>1671</v>
      </c>
      <c r="HB698" s="2123" t="s">
        <v>1671</v>
      </c>
      <c r="HC698" s="2123" t="s">
        <v>1671</v>
      </c>
      <c r="HD698" s="2123" t="s">
        <v>1671</v>
      </c>
      <c r="HE698" s="2123" t="s">
        <v>1671</v>
      </c>
      <c r="HF698" s="2123" t="s">
        <v>1671</v>
      </c>
      <c r="HG698" s="2123" t="s">
        <v>1671</v>
      </c>
      <c r="HH698" s="2123" t="s">
        <v>1671</v>
      </c>
      <c r="HI698" s="2123" t="s">
        <v>1671</v>
      </c>
      <c r="HJ698" s="2123" t="s">
        <v>1671</v>
      </c>
      <c r="HK698" s="2123" t="s">
        <v>1671</v>
      </c>
      <c r="HL698" s="2123" t="s">
        <v>1671</v>
      </c>
      <c r="HM698" s="2123" t="s">
        <v>1671</v>
      </c>
      <c r="HN698" s="2123" t="s">
        <v>1671</v>
      </c>
      <c r="HO698" s="2123" t="s">
        <v>1671</v>
      </c>
      <c r="HP698" s="2123" t="s">
        <v>1671</v>
      </c>
      <c r="HQ698" s="2123" t="s">
        <v>1671</v>
      </c>
      <c r="HR698" s="2123" t="s">
        <v>1671</v>
      </c>
      <c r="HS698" s="2123" t="s">
        <v>1671</v>
      </c>
      <c r="HT698" s="2123" t="s">
        <v>1671</v>
      </c>
      <c r="HU698" s="2123" t="s">
        <v>1671</v>
      </c>
      <c r="HV698" s="2123" t="s">
        <v>1671</v>
      </c>
      <c r="HW698" s="2123" t="s">
        <v>1671</v>
      </c>
      <c r="HX698" s="2123" t="s">
        <v>1671</v>
      </c>
    </row>
    <row r="699" spans="2:232" s="2040" customFormat="1" ht="14" x14ac:dyDescent="0.3">
      <c r="B699" s="2501" t="s">
        <v>1602</v>
      </c>
      <c r="C699" s="2442" t="s">
        <v>1672</v>
      </c>
      <c r="D699" s="2442" t="s">
        <v>1673</v>
      </c>
      <c r="E699" s="2442" t="s">
        <v>1674</v>
      </c>
      <c r="F699" s="2442" t="s">
        <v>1675</v>
      </c>
      <c r="G699" s="2442" t="s">
        <v>1676</v>
      </c>
      <c r="H699" s="2442" t="s">
        <v>1677</v>
      </c>
      <c r="I699" s="2503" t="s">
        <v>1678</v>
      </c>
      <c r="J699" s="2503" t="s">
        <v>1679</v>
      </c>
      <c r="K699" s="2503" t="s">
        <v>1680</v>
      </c>
      <c r="L699" s="2503" t="s">
        <v>1681</v>
      </c>
      <c r="M699" s="2503" t="s">
        <v>1682</v>
      </c>
      <c r="N699" s="2503" t="s">
        <v>1683</v>
      </c>
      <c r="O699" s="2503" t="s">
        <v>1684</v>
      </c>
      <c r="P699" s="2503" t="s">
        <v>1685</v>
      </c>
      <c r="Q699" s="2503" t="s">
        <v>1686</v>
      </c>
      <c r="R699" s="2503" t="s">
        <v>1687</v>
      </c>
      <c r="S699" s="2503" t="s">
        <v>1688</v>
      </c>
      <c r="T699" s="2503" t="s">
        <v>1689</v>
      </c>
      <c r="U699" s="2503" t="s">
        <v>1690</v>
      </c>
      <c r="V699" s="2503" t="s">
        <v>1691</v>
      </c>
      <c r="W699" s="2503" t="s">
        <v>1692</v>
      </c>
      <c r="X699" s="2503" t="s">
        <v>1693</v>
      </c>
      <c r="Y699" s="2503" t="s">
        <v>1694</v>
      </c>
      <c r="Z699" s="2503" t="s">
        <v>1695</v>
      </c>
      <c r="AA699" s="2503" t="s">
        <v>1696</v>
      </c>
      <c r="AB699" s="2503" t="s">
        <v>1697</v>
      </c>
      <c r="AC699" s="2503" t="s">
        <v>1698</v>
      </c>
      <c r="AD699" s="2503" t="s">
        <v>1699</v>
      </c>
      <c r="AE699" s="2503" t="s">
        <v>1700</v>
      </c>
      <c r="AF699" s="2503" t="s">
        <v>1701</v>
      </c>
      <c r="AG699" s="2503" t="s">
        <v>1702</v>
      </c>
      <c r="AH699" s="2503" t="s">
        <v>1703</v>
      </c>
      <c r="AI699" s="2503" t="s">
        <v>1704</v>
      </c>
      <c r="AJ699" s="2503" t="s">
        <v>1705</v>
      </c>
      <c r="AK699" s="2503" t="s">
        <v>1706</v>
      </c>
      <c r="AL699" s="2503" t="s">
        <v>1707</v>
      </c>
      <c r="AM699" s="2503" t="s">
        <v>1708</v>
      </c>
      <c r="AN699" s="2503" t="s">
        <v>1709</v>
      </c>
      <c r="AO699" s="2503" t="s">
        <v>1710</v>
      </c>
      <c r="AP699" s="2503" t="s">
        <v>1711</v>
      </c>
      <c r="AQ699" s="2503" t="s">
        <v>1712</v>
      </c>
      <c r="AR699" s="2503" t="s">
        <v>1713</v>
      </c>
      <c r="AS699" s="2503" t="s">
        <v>1714</v>
      </c>
      <c r="AT699" s="2503" t="s">
        <v>1715</v>
      </c>
      <c r="AU699" s="2503" t="s">
        <v>1716</v>
      </c>
      <c r="AV699" s="2503" t="s">
        <v>1717</v>
      </c>
      <c r="AW699" s="2503" t="s">
        <v>1718</v>
      </c>
      <c r="AX699" s="2503" t="s">
        <v>1719</v>
      </c>
      <c r="AY699" s="2503" t="s">
        <v>1720</v>
      </c>
      <c r="AZ699" s="2503" t="s">
        <v>1721</v>
      </c>
      <c r="BA699" s="2123" t="s">
        <v>1722</v>
      </c>
      <c r="BB699" s="2123" t="s">
        <v>1723</v>
      </c>
      <c r="BC699" s="2123" t="s">
        <v>1724</v>
      </c>
      <c r="BD699" s="2123" t="s">
        <v>1725</v>
      </c>
      <c r="BE699" s="2123" t="s">
        <v>1726</v>
      </c>
      <c r="BF699" s="2123" t="s">
        <v>1727</v>
      </c>
      <c r="BG699" s="2123" t="s">
        <v>1728</v>
      </c>
      <c r="BH699" s="2123" t="s">
        <v>1729</v>
      </c>
      <c r="BI699" s="2123" t="s">
        <v>1730</v>
      </c>
      <c r="BJ699" s="2123" t="s">
        <v>1731</v>
      </c>
      <c r="BK699" s="2123" t="s">
        <v>1732</v>
      </c>
      <c r="BL699" s="2123" t="s">
        <v>1733</v>
      </c>
      <c r="BM699" s="2123" t="s">
        <v>1734</v>
      </c>
      <c r="BN699" s="2123" t="s">
        <v>1735</v>
      </c>
      <c r="BO699" s="2123" t="s">
        <v>1736</v>
      </c>
      <c r="BP699" s="2123" t="s">
        <v>1737</v>
      </c>
      <c r="BQ699" s="2123" t="s">
        <v>1738</v>
      </c>
      <c r="BR699" s="2123" t="s">
        <v>1739</v>
      </c>
      <c r="BS699" s="2123" t="s">
        <v>1740</v>
      </c>
      <c r="BT699" s="2123" t="s">
        <v>1741</v>
      </c>
      <c r="BU699" s="2123" t="s">
        <v>1742</v>
      </c>
      <c r="BV699" s="2123" t="s">
        <v>1743</v>
      </c>
      <c r="BW699" s="2123" t="s">
        <v>1744</v>
      </c>
      <c r="BX699" s="2123" t="s">
        <v>1745</v>
      </c>
      <c r="BY699" s="2123" t="s">
        <v>1746</v>
      </c>
      <c r="BZ699" s="2123" t="s">
        <v>1747</v>
      </c>
      <c r="CA699" s="2123" t="s">
        <v>1748</v>
      </c>
      <c r="CB699" s="2123" t="s">
        <v>1749</v>
      </c>
      <c r="CC699" s="2123" t="s">
        <v>1750</v>
      </c>
      <c r="CD699" s="2123" t="s">
        <v>1751</v>
      </c>
      <c r="CE699" s="2123" t="s">
        <v>1752</v>
      </c>
      <c r="CF699" s="2123" t="s">
        <v>1753</v>
      </c>
      <c r="CG699" s="2123" t="s">
        <v>1754</v>
      </c>
      <c r="CH699" s="2123" t="s">
        <v>1755</v>
      </c>
      <c r="CI699" s="2123" t="s">
        <v>1756</v>
      </c>
      <c r="CJ699" s="2123" t="s">
        <v>1757</v>
      </c>
      <c r="CK699" s="2123" t="s">
        <v>1758</v>
      </c>
      <c r="CL699" s="2123" t="s">
        <v>1759</v>
      </c>
      <c r="CM699" s="2123" t="s">
        <v>1760</v>
      </c>
      <c r="CN699" s="2123" t="s">
        <v>1761</v>
      </c>
      <c r="CO699" s="2123" t="s">
        <v>1762</v>
      </c>
      <c r="CP699" s="2123" t="s">
        <v>1763</v>
      </c>
      <c r="CQ699" s="2123" t="s">
        <v>1764</v>
      </c>
      <c r="CR699" s="2123" t="s">
        <v>1765</v>
      </c>
      <c r="CS699" s="2123" t="s">
        <v>1766</v>
      </c>
      <c r="CT699" s="2123" t="s">
        <v>1767</v>
      </c>
      <c r="CU699" s="2123" t="s">
        <v>1768</v>
      </c>
      <c r="CV699" s="2123" t="s">
        <v>1769</v>
      </c>
      <c r="CW699" s="2123" t="s">
        <v>1770</v>
      </c>
      <c r="CX699" s="2123" t="s">
        <v>1771</v>
      </c>
      <c r="CY699" s="2123" t="s">
        <v>1772</v>
      </c>
      <c r="CZ699" s="2123" t="s">
        <v>1773</v>
      </c>
      <c r="DA699" s="2123" t="s">
        <v>1774</v>
      </c>
      <c r="DB699" s="2123" t="s">
        <v>1775</v>
      </c>
      <c r="DC699" s="2123" t="s">
        <v>1776</v>
      </c>
      <c r="DD699" s="2123" t="s">
        <v>1777</v>
      </c>
      <c r="DE699" s="2123" t="s">
        <v>1778</v>
      </c>
      <c r="DF699" s="2123" t="s">
        <v>1779</v>
      </c>
      <c r="DG699" s="2123" t="s">
        <v>1780</v>
      </c>
      <c r="DH699" s="2123" t="s">
        <v>1781</v>
      </c>
      <c r="DI699" s="2123" t="s">
        <v>1782</v>
      </c>
      <c r="DJ699" s="2123" t="s">
        <v>1783</v>
      </c>
      <c r="DK699" s="2123" t="s">
        <v>1784</v>
      </c>
      <c r="DL699" s="2123" t="s">
        <v>1785</v>
      </c>
      <c r="DM699" s="2123" t="s">
        <v>1786</v>
      </c>
      <c r="DN699" s="2123" t="s">
        <v>1787</v>
      </c>
      <c r="DO699" s="2123" t="s">
        <v>1788</v>
      </c>
      <c r="DP699" s="2123" t="s">
        <v>1789</v>
      </c>
      <c r="DQ699" s="2123" t="s">
        <v>1790</v>
      </c>
      <c r="DR699" s="2123" t="s">
        <v>1791</v>
      </c>
      <c r="DS699" s="2123" t="s">
        <v>1792</v>
      </c>
      <c r="DT699" s="2123" t="s">
        <v>1793</v>
      </c>
      <c r="DU699" s="2123" t="s">
        <v>1794</v>
      </c>
      <c r="DV699" s="2123" t="s">
        <v>1795</v>
      </c>
      <c r="DW699" s="2123" t="s">
        <v>1796</v>
      </c>
      <c r="DX699" s="2123" t="s">
        <v>1797</v>
      </c>
      <c r="DY699" s="2123" t="s">
        <v>1798</v>
      </c>
      <c r="DZ699" s="2123" t="s">
        <v>1799</v>
      </c>
      <c r="EA699" s="2123" t="s">
        <v>1800</v>
      </c>
      <c r="EB699" s="2123" t="s">
        <v>1801</v>
      </c>
      <c r="EC699" s="2123" t="s">
        <v>1802</v>
      </c>
      <c r="ED699" s="2123" t="s">
        <v>1803</v>
      </c>
      <c r="EE699" s="2123" t="s">
        <v>1804</v>
      </c>
      <c r="EF699" s="2123" t="s">
        <v>1805</v>
      </c>
      <c r="EG699" s="2123" t="s">
        <v>1806</v>
      </c>
      <c r="EH699" s="2123" t="s">
        <v>1807</v>
      </c>
      <c r="EI699" s="2123" t="s">
        <v>1808</v>
      </c>
      <c r="EJ699" s="2123" t="s">
        <v>1809</v>
      </c>
      <c r="EK699" s="2123" t="s">
        <v>1810</v>
      </c>
      <c r="EL699" s="2123" t="s">
        <v>1811</v>
      </c>
      <c r="EM699" s="2123" t="s">
        <v>1812</v>
      </c>
      <c r="EN699" s="2123" t="s">
        <v>1813</v>
      </c>
      <c r="EO699" s="2123" t="s">
        <v>1814</v>
      </c>
      <c r="EP699" s="2123" t="s">
        <v>1815</v>
      </c>
      <c r="EQ699" s="2123" t="s">
        <v>1816</v>
      </c>
      <c r="ER699" s="2123" t="s">
        <v>1817</v>
      </c>
      <c r="ES699" s="2123" t="s">
        <v>1818</v>
      </c>
      <c r="ET699" s="2123" t="s">
        <v>1819</v>
      </c>
      <c r="EU699" s="2123" t="s">
        <v>1820</v>
      </c>
      <c r="EV699" s="2123" t="s">
        <v>1821</v>
      </c>
      <c r="EW699" s="2123" t="s">
        <v>1822</v>
      </c>
      <c r="EX699" s="2123" t="s">
        <v>1823</v>
      </c>
      <c r="EY699" s="2123" t="s">
        <v>1824</v>
      </c>
      <c r="EZ699" s="2123" t="s">
        <v>1825</v>
      </c>
      <c r="FA699" s="2123" t="s">
        <v>1826</v>
      </c>
      <c r="FB699" s="2123" t="s">
        <v>1827</v>
      </c>
      <c r="FC699" s="2123" t="s">
        <v>1828</v>
      </c>
      <c r="FD699" s="2123" t="s">
        <v>1829</v>
      </c>
      <c r="FE699" s="2123" t="s">
        <v>1830</v>
      </c>
      <c r="FF699" s="2123" t="s">
        <v>1831</v>
      </c>
      <c r="FG699" s="2123" t="s">
        <v>1832</v>
      </c>
      <c r="FH699" s="2123" t="s">
        <v>1833</v>
      </c>
      <c r="FI699" s="2123" t="s">
        <v>1834</v>
      </c>
      <c r="FJ699" s="2123" t="s">
        <v>1835</v>
      </c>
      <c r="FK699" s="2123" t="s">
        <v>1836</v>
      </c>
      <c r="FL699" s="2123" t="s">
        <v>1837</v>
      </c>
      <c r="FM699" s="2123" t="s">
        <v>1838</v>
      </c>
      <c r="FN699" s="2123" t="s">
        <v>1839</v>
      </c>
      <c r="FO699" s="2123" t="s">
        <v>1840</v>
      </c>
      <c r="FP699" s="2123" t="s">
        <v>1841</v>
      </c>
      <c r="FQ699" s="2123" t="s">
        <v>1842</v>
      </c>
      <c r="FR699" s="2123" t="s">
        <v>1843</v>
      </c>
      <c r="FS699" s="2123" t="s">
        <v>1844</v>
      </c>
      <c r="FT699" s="2123" t="s">
        <v>1845</v>
      </c>
      <c r="FU699" s="2123" t="s">
        <v>1846</v>
      </c>
      <c r="FV699" s="2123" t="s">
        <v>1847</v>
      </c>
      <c r="FW699" s="2123" t="s">
        <v>1848</v>
      </c>
      <c r="FX699" s="2123" t="s">
        <v>1849</v>
      </c>
      <c r="FY699" s="2123" t="s">
        <v>1850</v>
      </c>
      <c r="FZ699" s="2123" t="s">
        <v>1851</v>
      </c>
      <c r="GA699" s="2123" t="s">
        <v>1852</v>
      </c>
      <c r="GB699" s="2123" t="s">
        <v>1853</v>
      </c>
      <c r="GC699" s="2123" t="s">
        <v>1854</v>
      </c>
      <c r="GD699" s="2123" t="s">
        <v>1855</v>
      </c>
      <c r="GE699" s="2123" t="s">
        <v>1856</v>
      </c>
      <c r="GF699" s="2123" t="s">
        <v>1857</v>
      </c>
      <c r="GG699" s="2123" t="s">
        <v>1858</v>
      </c>
      <c r="GH699" s="2123" t="s">
        <v>1859</v>
      </c>
      <c r="GI699" s="2123" t="s">
        <v>1860</v>
      </c>
      <c r="GJ699" s="2123" t="s">
        <v>1861</v>
      </c>
      <c r="GK699" s="2123" t="s">
        <v>1862</v>
      </c>
      <c r="GL699" s="2123" t="s">
        <v>1863</v>
      </c>
      <c r="GM699" s="2123" t="s">
        <v>1864</v>
      </c>
      <c r="GN699" s="2123" t="s">
        <v>1865</v>
      </c>
      <c r="GO699" s="2123" t="s">
        <v>1866</v>
      </c>
      <c r="GP699" s="2123" t="s">
        <v>1867</v>
      </c>
      <c r="GQ699" s="2123" t="s">
        <v>1868</v>
      </c>
      <c r="GR699" s="2123" t="s">
        <v>1869</v>
      </c>
      <c r="GS699" s="2123" t="s">
        <v>1870</v>
      </c>
      <c r="GT699" s="2123" t="s">
        <v>1871</v>
      </c>
      <c r="GU699" s="2123" t="s">
        <v>1872</v>
      </c>
      <c r="GV699" s="2123" t="s">
        <v>1873</v>
      </c>
      <c r="GW699" s="2123" t="s">
        <v>1874</v>
      </c>
      <c r="GX699" s="2123" t="s">
        <v>1875</v>
      </c>
      <c r="GY699" s="2123" t="s">
        <v>1876</v>
      </c>
      <c r="GZ699" s="2123" t="s">
        <v>1877</v>
      </c>
      <c r="HA699" s="2123" t="s">
        <v>1878</v>
      </c>
      <c r="HB699" s="2123" t="s">
        <v>1879</v>
      </c>
      <c r="HC699" s="2123" t="s">
        <v>1880</v>
      </c>
      <c r="HD699" s="2123" t="s">
        <v>1881</v>
      </c>
      <c r="HE699" s="2123" t="s">
        <v>1882</v>
      </c>
      <c r="HF699" s="2123" t="s">
        <v>1883</v>
      </c>
      <c r="HG699" s="2123" t="s">
        <v>1884</v>
      </c>
      <c r="HH699" s="2123" t="s">
        <v>1885</v>
      </c>
      <c r="HI699" s="2123" t="s">
        <v>1886</v>
      </c>
      <c r="HJ699" s="2123" t="s">
        <v>1887</v>
      </c>
      <c r="HK699" s="2123" t="s">
        <v>1888</v>
      </c>
      <c r="HL699" s="2123" t="s">
        <v>1889</v>
      </c>
      <c r="HM699" s="2123" t="s">
        <v>1890</v>
      </c>
      <c r="HN699" s="2123" t="s">
        <v>1891</v>
      </c>
      <c r="HO699" s="2123" t="s">
        <v>1892</v>
      </c>
      <c r="HP699" s="2123" t="s">
        <v>1893</v>
      </c>
      <c r="HQ699" s="2123" t="s">
        <v>1894</v>
      </c>
      <c r="HR699" s="2123" t="s">
        <v>1895</v>
      </c>
      <c r="HS699" s="2123" t="s">
        <v>1896</v>
      </c>
      <c r="HT699" s="2123" t="s">
        <v>1897</v>
      </c>
      <c r="HU699" s="2123" t="s">
        <v>1898</v>
      </c>
      <c r="HV699" s="2123" t="s">
        <v>1899</v>
      </c>
      <c r="HW699" s="2123" t="s">
        <v>1900</v>
      </c>
      <c r="HX699" s="2123" t="s">
        <v>1901</v>
      </c>
    </row>
    <row r="700" spans="2:232" s="2040" customFormat="1" ht="14" x14ac:dyDescent="0.3">
      <c r="B700" s="2504">
        <v>1</v>
      </c>
      <c r="C700" s="2505">
        <v>0.28999999999999998</v>
      </c>
      <c r="D700" s="2505">
        <v>0.28999999999999998</v>
      </c>
      <c r="E700" s="2505">
        <v>0.28999999999999998</v>
      </c>
      <c r="F700" s="2505">
        <v>0.28999999999999998</v>
      </c>
      <c r="G700" s="2505">
        <v>0.33</v>
      </c>
      <c r="H700" s="2505">
        <v>0.33</v>
      </c>
      <c r="I700" s="2505">
        <v>0.31</v>
      </c>
      <c r="J700" s="2505">
        <v>0.31</v>
      </c>
      <c r="K700" s="2505">
        <v>0.31</v>
      </c>
      <c r="L700" s="2505">
        <v>0.31</v>
      </c>
      <c r="M700" s="2505"/>
      <c r="N700" s="2505"/>
      <c r="O700" s="2505">
        <v>0.28999999999999998</v>
      </c>
      <c r="P700" s="2505">
        <v>0.28999999999999998</v>
      </c>
      <c r="Q700" s="2505">
        <v>0.28999999999999998</v>
      </c>
      <c r="R700" s="2505">
        <v>0.28999999999999998</v>
      </c>
      <c r="S700" s="2505">
        <v>0.28999999999999998</v>
      </c>
      <c r="T700" s="2505">
        <v>0.28999999999999998</v>
      </c>
      <c r="U700" s="2505">
        <v>0.28999999999999998</v>
      </c>
      <c r="V700" s="2505">
        <v>0.28999999999999998</v>
      </c>
      <c r="W700" s="2505">
        <v>0.28999999999999998</v>
      </c>
      <c r="X700" s="2505">
        <v>0.28999999999999998</v>
      </c>
      <c r="Y700" s="2505">
        <v>0.28999999999999998</v>
      </c>
      <c r="Z700" s="2505">
        <v>0.28999999999999998</v>
      </c>
      <c r="AA700" s="2505">
        <v>0.28999999999999998</v>
      </c>
      <c r="AB700" s="2505">
        <v>0.28999999999999998</v>
      </c>
      <c r="AC700" s="2505">
        <v>0.28999999999999998</v>
      </c>
      <c r="AD700" s="2505">
        <v>0.28999999999999998</v>
      </c>
      <c r="AE700" s="2505">
        <v>0.31</v>
      </c>
      <c r="AF700" s="2505">
        <v>0.31</v>
      </c>
      <c r="AG700" s="2505">
        <v>0.31</v>
      </c>
      <c r="AH700" s="2505">
        <v>0.31</v>
      </c>
      <c r="AI700" s="2505">
        <v>0.31</v>
      </c>
      <c r="AJ700" s="2505">
        <v>0.31</v>
      </c>
      <c r="AK700" s="2505">
        <v>0.31</v>
      </c>
      <c r="AL700" s="2505">
        <v>0.31</v>
      </c>
      <c r="AM700" s="2505">
        <v>0.28999999999999998</v>
      </c>
      <c r="AN700" s="2505">
        <v>0.28999999999999998</v>
      </c>
      <c r="AO700" s="2505">
        <v>0.28999999999999998</v>
      </c>
      <c r="AP700" s="2505">
        <v>0.28999999999999998</v>
      </c>
      <c r="AQ700" s="2505">
        <v>0.28999999999999998</v>
      </c>
      <c r="AR700" s="2505">
        <v>0.28999999999999998</v>
      </c>
      <c r="AS700" s="2505">
        <v>0.28999999999999998</v>
      </c>
      <c r="AT700" s="2505">
        <v>0.28999999999999998</v>
      </c>
      <c r="AU700" s="2505">
        <v>0.28999999999999998</v>
      </c>
      <c r="AV700" s="2505">
        <v>0.28999999999999998</v>
      </c>
      <c r="AW700" s="2505">
        <v>0.31</v>
      </c>
      <c r="AX700" s="2505">
        <v>0.31</v>
      </c>
      <c r="AY700" s="2505">
        <v>0.31</v>
      </c>
      <c r="AZ700" s="2505">
        <v>0.31</v>
      </c>
      <c r="BA700" s="2040">
        <v>0.28999999999999998</v>
      </c>
      <c r="BB700" s="2040">
        <v>0.28999999999999998</v>
      </c>
      <c r="BC700" s="2040">
        <v>0.28999999999999998</v>
      </c>
      <c r="BD700" s="2040">
        <v>0.28999999999999998</v>
      </c>
      <c r="BE700" s="2040">
        <v>0.28999999999999998</v>
      </c>
      <c r="BF700" s="2040">
        <v>0.28999999999999998</v>
      </c>
      <c r="BG700" s="2040">
        <v>0.28999999999999998</v>
      </c>
      <c r="BH700" s="2040">
        <v>0.28999999999999998</v>
      </c>
      <c r="BI700" s="2040">
        <v>0.31</v>
      </c>
      <c r="BJ700" s="2040">
        <v>0.31</v>
      </c>
      <c r="BK700" s="2040">
        <v>0.31</v>
      </c>
      <c r="BL700" s="2040">
        <v>0.31</v>
      </c>
      <c r="BM700" s="2040">
        <v>0.28999999999999998</v>
      </c>
      <c r="BN700" s="2040">
        <v>0.28999999999999998</v>
      </c>
      <c r="BO700" s="2040">
        <v>0.3</v>
      </c>
      <c r="BP700" s="2040">
        <v>0.3</v>
      </c>
      <c r="BQ700" s="2040">
        <v>0.3</v>
      </c>
      <c r="BR700" s="2040">
        <v>0.3</v>
      </c>
      <c r="BS700" s="2040">
        <v>0.31</v>
      </c>
      <c r="BT700" s="2040">
        <v>0.31</v>
      </c>
      <c r="BU700" s="2040">
        <v>0.31</v>
      </c>
      <c r="BV700" s="2040">
        <v>0.31</v>
      </c>
      <c r="BW700" s="2040">
        <v>0.31</v>
      </c>
      <c r="BX700" s="2040">
        <v>0.31</v>
      </c>
      <c r="BY700" s="2040">
        <v>0.28999999999999998</v>
      </c>
      <c r="BZ700" s="2040">
        <v>0.28999999999999998</v>
      </c>
      <c r="CA700" s="2040">
        <v>0.3</v>
      </c>
      <c r="CB700" s="2040">
        <v>0.3</v>
      </c>
      <c r="CC700" s="2040">
        <v>0.28999999999999998</v>
      </c>
      <c r="CD700" s="2040">
        <v>0.28999999999999998</v>
      </c>
      <c r="CE700" s="2040">
        <v>0.31</v>
      </c>
      <c r="CF700" s="2040">
        <v>0.31</v>
      </c>
      <c r="CK700" s="2040">
        <v>2.29</v>
      </c>
      <c r="CL700" s="2040">
        <v>2.29</v>
      </c>
      <c r="CM700" s="2040">
        <v>0.5</v>
      </c>
      <c r="CN700" s="2040">
        <v>0.5</v>
      </c>
      <c r="CO700" s="2040">
        <v>0.34</v>
      </c>
      <c r="CP700" s="2040">
        <v>0.34</v>
      </c>
      <c r="CQ700" s="2040">
        <v>0.34</v>
      </c>
      <c r="CR700" s="2040">
        <v>0.34</v>
      </c>
      <c r="CW700" s="2040">
        <v>0.28999999999999998</v>
      </c>
      <c r="CX700" s="2040">
        <v>0.28999999999999998</v>
      </c>
      <c r="CY700" s="2040">
        <v>0.43</v>
      </c>
      <c r="CZ700" s="2040">
        <v>0.43</v>
      </c>
      <c r="DA700" s="2040">
        <v>0.43</v>
      </c>
      <c r="DB700" s="2040">
        <v>0.43</v>
      </c>
      <c r="DC700" s="2040">
        <v>0.33</v>
      </c>
      <c r="DD700" s="2040">
        <v>0.33</v>
      </c>
      <c r="DE700" s="2040">
        <v>0.33</v>
      </c>
      <c r="DF700" s="2040">
        <v>0.33</v>
      </c>
      <c r="DI700" s="2040">
        <v>0.28999999999999998</v>
      </c>
      <c r="DJ700" s="2040">
        <v>0.28999999999999998</v>
      </c>
      <c r="DK700" s="2040">
        <v>0.28999999999999998</v>
      </c>
      <c r="DL700" s="2040">
        <v>0.28999999999999998</v>
      </c>
      <c r="DM700" s="2040">
        <v>0.28999999999999998</v>
      </c>
      <c r="DN700" s="2040">
        <v>0.28999999999999998</v>
      </c>
      <c r="DU700" s="2040">
        <v>0.28999999999999998</v>
      </c>
      <c r="DV700" s="2040">
        <v>0.28999999999999998</v>
      </c>
      <c r="DW700" s="2040">
        <v>0.28999999999999998</v>
      </c>
      <c r="DX700" s="2040">
        <v>0.28999999999999998</v>
      </c>
      <c r="DY700" s="2040">
        <v>0.28999999999999998</v>
      </c>
      <c r="DZ700" s="2040">
        <v>0.28999999999999998</v>
      </c>
      <c r="EG700" s="2040">
        <v>0.28999999999999998</v>
      </c>
      <c r="EH700" s="2040">
        <v>0.28999999999999998</v>
      </c>
      <c r="EI700" s="2040">
        <v>0.28999999999999998</v>
      </c>
      <c r="EJ700" s="2040">
        <v>0.28999999999999998</v>
      </c>
      <c r="EK700" s="2040">
        <v>0.28999999999999998</v>
      </c>
      <c r="EL700" s="2040">
        <v>0.28999999999999998</v>
      </c>
      <c r="EM700" s="2040">
        <v>0.28999999999999998</v>
      </c>
      <c r="EN700" s="2040">
        <v>0.28999999999999998</v>
      </c>
      <c r="EO700" s="2040">
        <v>0.31</v>
      </c>
      <c r="EP700" s="2040">
        <v>0.31</v>
      </c>
      <c r="EQ700" s="2040">
        <v>0.31</v>
      </c>
      <c r="ER700" s="2040">
        <v>0.28999999999999998</v>
      </c>
      <c r="ES700" s="2040">
        <v>0.28999999999999998</v>
      </c>
      <c r="ET700" s="2040">
        <v>0.28999999999999998</v>
      </c>
      <c r="EU700" s="2040">
        <v>0.3</v>
      </c>
      <c r="EV700" s="2040">
        <v>0.3</v>
      </c>
      <c r="EW700" s="2040">
        <v>0.3</v>
      </c>
      <c r="EX700" s="2040">
        <v>0.3</v>
      </c>
      <c r="EY700" s="2506">
        <f>AVERAGE(EU700,EW700)</f>
        <v>0.3</v>
      </c>
      <c r="EZ700" s="2506">
        <f>AVERAGE(EV700,EX700)</f>
        <v>0.3</v>
      </c>
      <c r="FA700" s="2040">
        <v>0.31</v>
      </c>
      <c r="FB700" s="2040">
        <v>0.31</v>
      </c>
      <c r="FE700" s="2040">
        <v>0.28999999999999998</v>
      </c>
      <c r="FF700" s="2040">
        <v>0.28999999999999998</v>
      </c>
      <c r="FG700" s="2040">
        <v>0.3</v>
      </c>
      <c r="FH700" s="2040">
        <v>0.3</v>
      </c>
      <c r="FI700" s="2040">
        <v>0.3</v>
      </c>
      <c r="FJ700" s="2040">
        <v>0.3</v>
      </c>
      <c r="FK700" s="2040">
        <v>0.3</v>
      </c>
      <c r="FL700" s="2040">
        <v>0.3</v>
      </c>
      <c r="FM700" s="2040">
        <v>0.31</v>
      </c>
      <c r="FN700" s="2040">
        <v>0.31</v>
      </c>
      <c r="FQ700" s="2040">
        <v>0.28999999999999998</v>
      </c>
      <c r="FR700" s="2040">
        <v>0.28999999999999998</v>
      </c>
      <c r="FS700" s="2040">
        <v>0.31</v>
      </c>
      <c r="FT700" s="2040">
        <v>0.31</v>
      </c>
      <c r="FU700" s="2040">
        <v>0.31</v>
      </c>
      <c r="FV700" s="2040">
        <v>0.31</v>
      </c>
      <c r="FW700" s="2040">
        <v>0.32</v>
      </c>
      <c r="FX700" s="2040">
        <v>0.32</v>
      </c>
      <c r="GC700" s="2040">
        <v>0.28999999999999998</v>
      </c>
      <c r="GD700" s="2040">
        <v>0.28999999999999998</v>
      </c>
      <c r="GE700" s="2040">
        <v>0.36</v>
      </c>
      <c r="GF700" s="2040">
        <v>0.36</v>
      </c>
      <c r="GG700" s="2040">
        <v>0.36</v>
      </c>
      <c r="GH700" s="2040">
        <v>0.36</v>
      </c>
      <c r="GI700" s="2040">
        <v>0.28999999999999998</v>
      </c>
      <c r="GJ700" s="2040">
        <v>0.28999999999999998</v>
      </c>
      <c r="GK700" s="2040">
        <v>0.31</v>
      </c>
      <c r="GL700" s="2040">
        <v>0.31</v>
      </c>
      <c r="GO700" s="2040">
        <v>0.28999999999999998</v>
      </c>
      <c r="GP700" s="2040">
        <v>0.28999999999999998</v>
      </c>
      <c r="GQ700" s="2040">
        <v>0.28999999999999998</v>
      </c>
      <c r="GR700" s="2040">
        <v>0.28999999999999998</v>
      </c>
      <c r="GS700" s="2040">
        <v>0.28999999999999998</v>
      </c>
      <c r="GT700" s="2040">
        <v>0.28999999999999998</v>
      </c>
      <c r="GU700" s="2040">
        <v>0.28999999999999998</v>
      </c>
      <c r="GV700" s="2040">
        <v>0.28999999999999998</v>
      </c>
      <c r="GW700" s="2040">
        <v>0.31</v>
      </c>
      <c r="GX700" s="2040">
        <v>0.31</v>
      </c>
      <c r="HA700" s="2040">
        <v>0.28999999999999998</v>
      </c>
      <c r="HB700" s="2040">
        <v>0.28999999999999998</v>
      </c>
      <c r="HC700" s="2040">
        <v>0.31</v>
      </c>
      <c r="HD700" s="2040">
        <v>0.31</v>
      </c>
      <c r="HE700" s="2040">
        <v>0.28999999999999998</v>
      </c>
      <c r="HF700" s="2040">
        <v>0.28999999999999998</v>
      </c>
      <c r="HG700" s="2040">
        <v>0.28999999999999998</v>
      </c>
      <c r="HH700" s="2040">
        <v>0.28999999999999998</v>
      </c>
      <c r="HI700" s="2040">
        <v>0.28999999999999998</v>
      </c>
      <c r="HJ700" s="2040">
        <v>0.28999999999999998</v>
      </c>
      <c r="HK700" s="2040">
        <v>0.31</v>
      </c>
      <c r="HL700" s="2040">
        <v>0.31</v>
      </c>
      <c r="HM700" s="2040">
        <v>0.28999999999999998</v>
      </c>
      <c r="HN700" s="2040">
        <v>0.28999999999999998</v>
      </c>
      <c r="HO700" s="2040">
        <v>0.31</v>
      </c>
      <c r="HP700" s="2040">
        <v>0.31</v>
      </c>
      <c r="HQ700" s="2040">
        <v>0.28999999999999998</v>
      </c>
      <c r="HR700" s="2040">
        <v>0.28999999999999998</v>
      </c>
      <c r="HS700" s="2040">
        <v>0.28999999999999998</v>
      </c>
      <c r="HT700" s="2040">
        <v>0.28999999999999998</v>
      </c>
      <c r="HU700" s="2040">
        <v>0.28999999999999998</v>
      </c>
      <c r="HV700" s="2040">
        <v>0.28999999999999998</v>
      </c>
      <c r="HW700" s="2040">
        <v>0.31</v>
      </c>
      <c r="HX700" s="2040">
        <v>0.31</v>
      </c>
    </row>
    <row r="701" spans="2:232" s="2040" customFormat="1" ht="14" x14ac:dyDescent="0.3">
      <c r="B701" s="2504">
        <v>2</v>
      </c>
      <c r="C701" s="2505">
        <v>0.34</v>
      </c>
      <c r="D701" s="2505">
        <v>0.34</v>
      </c>
      <c r="E701" s="2505">
        <v>0.7</v>
      </c>
      <c r="F701" s="2505">
        <v>0.7</v>
      </c>
      <c r="G701" s="2505">
        <v>0.56999999999999995</v>
      </c>
      <c r="H701" s="2505">
        <v>0.56999999999999995</v>
      </c>
      <c r="I701" s="2505">
        <v>0.35</v>
      </c>
      <c r="J701" s="2505">
        <v>0.35</v>
      </c>
      <c r="K701" s="2505">
        <v>0.43</v>
      </c>
      <c r="L701" s="2505">
        <v>0.43</v>
      </c>
      <c r="M701" s="2505"/>
      <c r="N701" s="2505"/>
      <c r="O701" s="2505">
        <v>0.43</v>
      </c>
      <c r="P701" s="2505">
        <v>0.43</v>
      </c>
      <c r="Q701" s="2505">
        <v>0.59</v>
      </c>
      <c r="R701" s="2505">
        <v>0.44</v>
      </c>
      <c r="S701" s="2505">
        <v>0.33999999999999997</v>
      </c>
      <c r="T701" s="2505">
        <v>0.34</v>
      </c>
      <c r="U701" s="2505">
        <v>0.34</v>
      </c>
      <c r="V701" s="2505">
        <v>0.34</v>
      </c>
      <c r="W701" s="2505">
        <v>0.34</v>
      </c>
      <c r="X701" s="2505">
        <v>0.34</v>
      </c>
      <c r="Y701" s="2505">
        <v>0.34</v>
      </c>
      <c r="Z701" s="2505">
        <v>0.34</v>
      </c>
      <c r="AA701" s="2505">
        <v>0.34</v>
      </c>
      <c r="AB701" s="2505">
        <v>0.34</v>
      </c>
      <c r="AC701" s="2505">
        <v>0.34</v>
      </c>
      <c r="AD701" s="2505">
        <v>0.34</v>
      </c>
      <c r="AE701" s="2505">
        <v>0.37</v>
      </c>
      <c r="AF701" s="2505">
        <v>0.36</v>
      </c>
      <c r="AG701" s="2505">
        <v>0.37</v>
      </c>
      <c r="AH701" s="2505">
        <v>0.37</v>
      </c>
      <c r="AI701" s="2505">
        <v>0.36</v>
      </c>
      <c r="AJ701" s="2505">
        <v>0.36</v>
      </c>
      <c r="AK701" s="2505">
        <v>0.47</v>
      </c>
      <c r="AL701" s="2505">
        <v>0.47</v>
      </c>
      <c r="AM701" s="2505">
        <v>0.37</v>
      </c>
      <c r="AN701" s="2505">
        <v>0.36</v>
      </c>
      <c r="AO701" s="2505">
        <v>0.36</v>
      </c>
      <c r="AP701" s="2505">
        <v>0.36</v>
      </c>
      <c r="AQ701" s="2505">
        <v>0.36</v>
      </c>
      <c r="AR701" s="2505">
        <v>0.36</v>
      </c>
      <c r="AS701" s="2505">
        <v>0.4</v>
      </c>
      <c r="AT701" s="2505">
        <v>0.4</v>
      </c>
      <c r="AU701" s="2505">
        <v>0.4</v>
      </c>
      <c r="AV701" s="2505">
        <v>0.42</v>
      </c>
      <c r="AW701" s="2505">
        <v>0.34</v>
      </c>
      <c r="AX701" s="2505">
        <v>0.34</v>
      </c>
      <c r="AY701" s="2505">
        <v>0.35</v>
      </c>
      <c r="AZ701" s="2505">
        <v>0.35</v>
      </c>
      <c r="BA701" s="2040">
        <v>0.33</v>
      </c>
      <c r="BB701" s="2040">
        <v>0.33</v>
      </c>
      <c r="BC701" s="2040">
        <v>0.3</v>
      </c>
      <c r="BD701" s="2040">
        <v>0.3</v>
      </c>
      <c r="BE701" s="2040">
        <v>0.34</v>
      </c>
      <c r="BF701" s="2040">
        <v>0.34</v>
      </c>
      <c r="BG701" s="2040">
        <v>0.3</v>
      </c>
      <c r="BH701" s="2040">
        <v>0.3</v>
      </c>
      <c r="BI701" s="2040">
        <v>0.31</v>
      </c>
      <c r="BJ701" s="2040">
        <v>0.31</v>
      </c>
      <c r="BK701" s="2040">
        <v>0.31</v>
      </c>
      <c r="BL701" s="2040">
        <v>0.31</v>
      </c>
      <c r="BM701" s="2040">
        <v>0.35</v>
      </c>
      <c r="BN701" s="2040">
        <v>0.35</v>
      </c>
      <c r="BO701" s="2040">
        <v>0.56999999999999995</v>
      </c>
      <c r="BP701" s="2040">
        <v>0.56999999999999995</v>
      </c>
      <c r="BQ701" s="2040">
        <v>0.56999999999999995</v>
      </c>
      <c r="BR701" s="2040">
        <v>0.56999999999999995</v>
      </c>
      <c r="BS701" s="2040">
        <v>0.41</v>
      </c>
      <c r="BT701" s="2040">
        <v>0.41</v>
      </c>
      <c r="BU701" s="2040">
        <v>0.41</v>
      </c>
      <c r="BV701" s="2040">
        <v>0.41</v>
      </c>
      <c r="BW701" s="2040">
        <v>0.41</v>
      </c>
      <c r="BX701" s="2040">
        <v>0.41</v>
      </c>
      <c r="BY701" s="2040">
        <v>0.35</v>
      </c>
      <c r="BZ701" s="2040">
        <v>0.35</v>
      </c>
      <c r="CA701" s="2040">
        <v>0.53</v>
      </c>
      <c r="CB701" s="2040">
        <v>0.53</v>
      </c>
      <c r="CC701" s="2040">
        <v>0.39</v>
      </c>
      <c r="CD701" s="2040">
        <v>0.39</v>
      </c>
      <c r="CE701" s="2040">
        <v>0.4</v>
      </c>
      <c r="CF701" s="2040">
        <v>0.4</v>
      </c>
      <c r="CK701" s="2040">
        <v>4.47</v>
      </c>
      <c r="CL701" s="2040">
        <v>4.47</v>
      </c>
      <c r="CM701" s="2040">
        <v>2.78</v>
      </c>
      <c r="CN701" s="2040">
        <v>2.78</v>
      </c>
      <c r="CO701" s="2040">
        <v>1.2</v>
      </c>
      <c r="CP701" s="2040">
        <v>1.2</v>
      </c>
      <c r="CQ701" s="2040">
        <v>1.2</v>
      </c>
      <c r="CR701" s="2040">
        <v>1.2</v>
      </c>
      <c r="CW701" s="2040">
        <v>0.41</v>
      </c>
      <c r="CX701" s="2040">
        <v>0.41</v>
      </c>
      <c r="CY701" s="2040">
        <v>2.17</v>
      </c>
      <c r="CZ701" s="2040">
        <v>2.17</v>
      </c>
      <c r="DA701" s="2040">
        <v>2.17</v>
      </c>
      <c r="DB701" s="2040">
        <v>2.17</v>
      </c>
      <c r="DC701" s="2040">
        <v>0.99</v>
      </c>
      <c r="DD701" s="2040">
        <v>0.99</v>
      </c>
      <c r="DE701" s="2040">
        <v>0.99</v>
      </c>
      <c r="DF701" s="2040">
        <v>0.99</v>
      </c>
      <c r="DI701" s="2040">
        <v>0.32</v>
      </c>
      <c r="DJ701" s="2040">
        <v>0.32</v>
      </c>
      <c r="DK701" s="2040">
        <v>0.32</v>
      </c>
      <c r="DL701" s="2040">
        <v>0.32</v>
      </c>
      <c r="DM701" s="2040">
        <v>0.32</v>
      </c>
      <c r="DN701" s="2040">
        <v>0.32</v>
      </c>
      <c r="DU701" s="2040">
        <v>0.31</v>
      </c>
      <c r="DV701" s="2040">
        <v>0.31</v>
      </c>
      <c r="DW701" s="2040">
        <v>0.28999999999999998</v>
      </c>
      <c r="DX701" s="2040">
        <v>0.28999999999999998</v>
      </c>
      <c r="DY701" s="2040">
        <v>0.28999999999999998</v>
      </c>
      <c r="DZ701" s="2040">
        <v>0.28999999999999998</v>
      </c>
      <c r="EG701" s="2040">
        <v>0.31</v>
      </c>
      <c r="EH701" s="2040">
        <v>0.32</v>
      </c>
      <c r="EI701" s="2040">
        <v>0.3</v>
      </c>
      <c r="EJ701" s="2040">
        <v>0.3</v>
      </c>
      <c r="EK701" s="2040">
        <v>0.3</v>
      </c>
      <c r="EL701" s="2040">
        <v>0.3</v>
      </c>
      <c r="EM701" s="2040">
        <v>0.3</v>
      </c>
      <c r="EN701" s="2040">
        <v>0.3</v>
      </c>
      <c r="EO701" s="2040">
        <v>0.31</v>
      </c>
      <c r="EP701" s="2040">
        <v>0.31</v>
      </c>
      <c r="EQ701" s="2040">
        <v>0.31</v>
      </c>
      <c r="ER701" s="2040">
        <v>0.3</v>
      </c>
      <c r="ES701" s="2040">
        <v>0.35</v>
      </c>
      <c r="ET701" s="2040">
        <v>0.35</v>
      </c>
      <c r="EU701" s="2040">
        <v>0.42</v>
      </c>
      <c r="EV701" s="2040">
        <v>0.42</v>
      </c>
      <c r="EW701" s="2040">
        <v>0.4</v>
      </c>
      <c r="EX701" s="2040">
        <v>0.4</v>
      </c>
      <c r="EY701" s="2506">
        <f t="shared" ref="EY701:EZ764" si="59">AVERAGE(EU701,EW701)</f>
        <v>0.41000000000000003</v>
      </c>
      <c r="EZ701" s="2506">
        <f t="shared" si="59"/>
        <v>0.41000000000000003</v>
      </c>
      <c r="FA701" s="2040">
        <v>0.45</v>
      </c>
      <c r="FB701" s="2040">
        <v>0.45</v>
      </c>
      <c r="FE701" s="2040">
        <v>0.34</v>
      </c>
      <c r="FF701" s="2040">
        <v>0.34</v>
      </c>
      <c r="FG701" s="2040">
        <v>0.39</v>
      </c>
      <c r="FH701" s="2040">
        <v>0.39</v>
      </c>
      <c r="FI701" s="2040">
        <v>0.39</v>
      </c>
      <c r="FJ701" s="2040">
        <v>0.39</v>
      </c>
      <c r="FK701" s="2040">
        <v>0.37</v>
      </c>
      <c r="FL701" s="2040">
        <v>0.37</v>
      </c>
      <c r="FM701" s="2040">
        <v>0.39</v>
      </c>
      <c r="FN701" s="2040">
        <v>0.39</v>
      </c>
      <c r="FQ701" s="2040">
        <v>0.41</v>
      </c>
      <c r="FR701" s="2040">
        <v>0.41</v>
      </c>
      <c r="FS701" s="2040">
        <v>0.64</v>
      </c>
      <c r="FT701" s="2040">
        <v>0.64</v>
      </c>
      <c r="FU701" s="2040">
        <v>0.64</v>
      </c>
      <c r="FV701" s="2040">
        <v>0.64</v>
      </c>
      <c r="FW701" s="2040">
        <v>0.67</v>
      </c>
      <c r="FX701" s="2040">
        <v>0.67</v>
      </c>
      <c r="GC701" s="2040">
        <v>0.37</v>
      </c>
      <c r="GD701" s="2040">
        <v>0.37</v>
      </c>
      <c r="GE701" s="2040">
        <v>1.31</v>
      </c>
      <c r="GF701" s="2040">
        <v>1.31</v>
      </c>
      <c r="GG701" s="2040">
        <v>1.31</v>
      </c>
      <c r="GH701" s="2040">
        <v>1.31</v>
      </c>
      <c r="GI701" s="2040">
        <v>0.3</v>
      </c>
      <c r="GJ701" s="2040">
        <v>0.3</v>
      </c>
      <c r="GK701" s="2040">
        <v>0.43</v>
      </c>
      <c r="GL701" s="2040">
        <v>0.43</v>
      </c>
      <c r="GO701" s="2040">
        <v>0.34</v>
      </c>
      <c r="GP701" s="2040">
        <v>0.34</v>
      </c>
      <c r="GQ701" s="2040">
        <v>0.31</v>
      </c>
      <c r="GR701" s="2040">
        <v>0.31</v>
      </c>
      <c r="GS701" s="2040">
        <v>0.31</v>
      </c>
      <c r="GT701" s="2040">
        <v>0.3</v>
      </c>
      <c r="GU701" s="2040">
        <v>0.3</v>
      </c>
      <c r="GV701" s="2040">
        <v>0.3</v>
      </c>
      <c r="GW701" s="2040">
        <v>0.38</v>
      </c>
      <c r="GX701" s="2040">
        <v>0.38</v>
      </c>
      <c r="HA701" s="2040">
        <v>0.32</v>
      </c>
      <c r="HB701" s="2040">
        <v>0.32</v>
      </c>
      <c r="HC701" s="2040">
        <v>0.31</v>
      </c>
      <c r="HD701" s="2040">
        <v>0.31</v>
      </c>
      <c r="HE701" s="2040">
        <v>0.3</v>
      </c>
      <c r="HF701" s="2040">
        <v>0.3</v>
      </c>
      <c r="HG701" s="2040">
        <v>0.3</v>
      </c>
      <c r="HH701" s="2040">
        <v>0.3</v>
      </c>
      <c r="HI701" s="2040">
        <v>0.3</v>
      </c>
      <c r="HJ701" s="2040">
        <v>0.3</v>
      </c>
      <c r="HK701" s="2040">
        <v>0.31</v>
      </c>
      <c r="HL701" s="2040">
        <v>0.31</v>
      </c>
      <c r="HM701" s="2040">
        <v>0.34</v>
      </c>
      <c r="HN701" s="2040">
        <v>0.34</v>
      </c>
      <c r="HO701" s="2040">
        <v>0.31</v>
      </c>
      <c r="HP701" s="2040">
        <v>0.31</v>
      </c>
      <c r="HQ701" s="2040">
        <v>0.3</v>
      </c>
      <c r="HR701" s="2040">
        <v>0.3</v>
      </c>
      <c r="HS701" s="2040">
        <v>0.3</v>
      </c>
      <c r="HT701" s="2040">
        <v>0.3</v>
      </c>
      <c r="HU701" s="2040">
        <v>0.3</v>
      </c>
      <c r="HV701" s="2040">
        <v>0.3</v>
      </c>
      <c r="HW701" s="2040">
        <v>0.31</v>
      </c>
      <c r="HX701" s="2040">
        <v>0.31</v>
      </c>
    </row>
    <row r="702" spans="2:232" s="2040" customFormat="1" ht="14" x14ac:dyDescent="0.3">
      <c r="B702" s="2504">
        <v>3</v>
      </c>
      <c r="C702" s="2505">
        <v>0.55000000000000004</v>
      </c>
      <c r="D702" s="2505">
        <v>0.55000000000000004</v>
      </c>
      <c r="E702" s="2505">
        <v>1.39</v>
      </c>
      <c r="F702" s="2505">
        <v>1.39</v>
      </c>
      <c r="G702" s="2505">
        <v>1.31</v>
      </c>
      <c r="H702" s="2505">
        <v>1.31</v>
      </c>
      <c r="I702" s="2505">
        <v>0.57999999999999996</v>
      </c>
      <c r="J702" s="2505">
        <v>0.57999999999999996</v>
      </c>
      <c r="K702" s="2505">
        <v>0.9</v>
      </c>
      <c r="L702" s="2505">
        <v>0.9</v>
      </c>
      <c r="M702" s="2505"/>
      <c r="N702" s="2505"/>
      <c r="O702" s="2505">
        <v>1.08</v>
      </c>
      <c r="P702" s="2505">
        <v>1.08</v>
      </c>
      <c r="Q702" s="2505">
        <v>2.4900000000000002</v>
      </c>
      <c r="R702" s="2505">
        <v>1.0900000000000001</v>
      </c>
      <c r="S702" s="2505">
        <v>0.6399999999999999</v>
      </c>
      <c r="T702" s="2505">
        <v>0.64</v>
      </c>
      <c r="U702" s="2505">
        <v>0.62</v>
      </c>
      <c r="V702" s="2505">
        <v>0.62</v>
      </c>
      <c r="W702" s="2505">
        <v>0.64</v>
      </c>
      <c r="X702" s="2505">
        <v>0.64</v>
      </c>
      <c r="Y702" s="2505">
        <v>0.62</v>
      </c>
      <c r="Z702" s="2505">
        <v>0.64</v>
      </c>
      <c r="AA702" s="2505">
        <v>0.64</v>
      </c>
      <c r="AB702" s="2505">
        <v>0.64</v>
      </c>
      <c r="AC702" s="2505">
        <v>0.62</v>
      </c>
      <c r="AD702" s="2505">
        <v>0.62</v>
      </c>
      <c r="AE702" s="2505">
        <v>0.79</v>
      </c>
      <c r="AF702" s="2505">
        <v>0.78</v>
      </c>
      <c r="AG702" s="2505">
        <v>0.79</v>
      </c>
      <c r="AH702" s="2505">
        <v>0.79</v>
      </c>
      <c r="AI702" s="2505">
        <v>0.78</v>
      </c>
      <c r="AJ702" s="2505">
        <v>0.78</v>
      </c>
      <c r="AK702" s="2505">
        <v>1.19</v>
      </c>
      <c r="AL702" s="2505">
        <v>1.19</v>
      </c>
      <c r="AM702" s="2505">
        <v>0.72</v>
      </c>
      <c r="AN702" s="2505">
        <v>0.69</v>
      </c>
      <c r="AO702" s="2505">
        <v>0.69</v>
      </c>
      <c r="AP702" s="2505">
        <v>0.69</v>
      </c>
      <c r="AQ702" s="2505">
        <v>1.1000000000000001</v>
      </c>
      <c r="AR702" s="2505">
        <v>1.1000000000000001</v>
      </c>
      <c r="AS702" s="2505">
        <v>0.88</v>
      </c>
      <c r="AT702" s="2505">
        <v>0.88</v>
      </c>
      <c r="AU702" s="2505">
        <v>0.88</v>
      </c>
      <c r="AV702" s="2505">
        <v>0.97</v>
      </c>
      <c r="AW702" s="2505">
        <v>0.62</v>
      </c>
      <c r="AX702" s="2505">
        <v>0.62</v>
      </c>
      <c r="AY702" s="2505">
        <v>0.64</v>
      </c>
      <c r="AZ702" s="2505">
        <v>0.64</v>
      </c>
      <c r="BA702" s="2040">
        <v>0.5</v>
      </c>
      <c r="BB702" s="2040">
        <v>0.5</v>
      </c>
      <c r="BC702" s="2040">
        <v>0.31</v>
      </c>
      <c r="BD702" s="2040">
        <v>0.31</v>
      </c>
      <c r="BE702" s="2040">
        <v>0.49</v>
      </c>
      <c r="BF702" s="2040">
        <v>0.49</v>
      </c>
      <c r="BG702" s="2040">
        <v>0.31</v>
      </c>
      <c r="BH702" s="2040">
        <v>0.31</v>
      </c>
      <c r="BI702" s="2040">
        <v>0.31</v>
      </c>
      <c r="BJ702" s="2040">
        <v>0.31</v>
      </c>
      <c r="BK702" s="2040">
        <v>0.31</v>
      </c>
      <c r="BL702" s="2040">
        <v>0.31</v>
      </c>
      <c r="BM702" s="2040">
        <v>0.61</v>
      </c>
      <c r="BN702" s="2040">
        <v>0.61</v>
      </c>
      <c r="BO702" s="2040">
        <v>1.36</v>
      </c>
      <c r="BP702" s="2040">
        <v>1.36</v>
      </c>
      <c r="BQ702" s="2040">
        <v>1.36</v>
      </c>
      <c r="BR702" s="2040">
        <v>1.36</v>
      </c>
      <c r="BS702" s="2040">
        <v>0.82</v>
      </c>
      <c r="BT702" s="2040">
        <v>0.82</v>
      </c>
      <c r="BU702" s="2040">
        <v>0.82</v>
      </c>
      <c r="BV702" s="2040">
        <v>0.82</v>
      </c>
      <c r="BW702" s="2040">
        <v>0.82</v>
      </c>
      <c r="BX702" s="2040">
        <v>0.82</v>
      </c>
      <c r="BY702" s="2040">
        <v>0.57999999999999996</v>
      </c>
      <c r="BZ702" s="2040">
        <v>0.57999999999999996</v>
      </c>
      <c r="CA702" s="2040">
        <v>1.22</v>
      </c>
      <c r="CB702" s="2040">
        <v>1.22</v>
      </c>
      <c r="CC702" s="2040">
        <v>0.84</v>
      </c>
      <c r="CD702" s="2040">
        <v>0.84</v>
      </c>
      <c r="CE702" s="2040">
        <v>0.77</v>
      </c>
      <c r="CF702" s="2040">
        <v>0.77</v>
      </c>
      <c r="CK702" s="2040">
        <v>7.49</v>
      </c>
      <c r="CL702" s="2040">
        <v>7.49</v>
      </c>
      <c r="CM702" s="2040">
        <v>7.09</v>
      </c>
      <c r="CN702" s="2040">
        <v>7.09</v>
      </c>
      <c r="CO702" s="2040">
        <v>3.44</v>
      </c>
      <c r="CP702" s="2040">
        <v>3.44</v>
      </c>
      <c r="CQ702" s="2040">
        <v>3.44</v>
      </c>
      <c r="CR702" s="2040">
        <v>3.44</v>
      </c>
      <c r="CW702" s="2040">
        <v>0.95</v>
      </c>
      <c r="CX702" s="2040">
        <v>0.95</v>
      </c>
      <c r="CY702" s="2040">
        <v>5.67</v>
      </c>
      <c r="CZ702" s="2040">
        <v>5.67</v>
      </c>
      <c r="DA702" s="2040">
        <v>5.67</v>
      </c>
      <c r="DB702" s="2040">
        <v>5.67</v>
      </c>
      <c r="DC702" s="2040">
        <v>2.8</v>
      </c>
      <c r="DD702" s="2040">
        <v>2.8</v>
      </c>
      <c r="DE702" s="2040">
        <v>2.8</v>
      </c>
      <c r="DF702" s="2040">
        <v>2.8</v>
      </c>
      <c r="DI702" s="2040">
        <v>0.46</v>
      </c>
      <c r="DJ702" s="2040">
        <v>0.46</v>
      </c>
      <c r="DK702" s="2040">
        <v>0.46</v>
      </c>
      <c r="DL702" s="2040">
        <v>0.46</v>
      </c>
      <c r="DM702" s="2040">
        <v>0.46</v>
      </c>
      <c r="DN702" s="2040">
        <v>0.46</v>
      </c>
      <c r="DU702" s="2040">
        <v>0.37</v>
      </c>
      <c r="DV702" s="2040">
        <v>0.37</v>
      </c>
      <c r="DW702" s="2040">
        <v>0.3</v>
      </c>
      <c r="DX702" s="2040">
        <v>0.3</v>
      </c>
      <c r="DY702" s="2040">
        <v>0.3</v>
      </c>
      <c r="DZ702" s="2040">
        <v>0.3</v>
      </c>
      <c r="EG702" s="2040">
        <v>0.38</v>
      </c>
      <c r="EH702" s="2040">
        <v>0.55000000000000004</v>
      </c>
      <c r="EI702" s="2040">
        <v>0.3</v>
      </c>
      <c r="EJ702" s="2040">
        <v>0.3</v>
      </c>
      <c r="EK702" s="2040">
        <v>0.3</v>
      </c>
      <c r="EL702" s="2040">
        <v>0.3</v>
      </c>
      <c r="EM702" s="2040">
        <v>0.31</v>
      </c>
      <c r="EN702" s="2040">
        <v>0.31</v>
      </c>
      <c r="EO702" s="2040">
        <v>0.32</v>
      </c>
      <c r="EP702" s="2040">
        <v>0.32</v>
      </c>
      <c r="EQ702" s="2040">
        <v>0.32</v>
      </c>
      <c r="ER702" s="2040">
        <v>0.31</v>
      </c>
      <c r="ES702" s="2040">
        <v>0.65</v>
      </c>
      <c r="ET702" s="2040">
        <v>0.65</v>
      </c>
      <c r="EU702" s="2040">
        <v>0.98</v>
      </c>
      <c r="EV702" s="2040">
        <v>0.98</v>
      </c>
      <c r="EW702" s="2040">
        <v>0.88</v>
      </c>
      <c r="EX702" s="2040">
        <v>0.88</v>
      </c>
      <c r="EY702" s="2506">
        <f t="shared" si="59"/>
        <v>0.92999999999999994</v>
      </c>
      <c r="EZ702" s="2506">
        <f t="shared" si="59"/>
        <v>0.92999999999999994</v>
      </c>
      <c r="FA702" s="2040">
        <v>1.06</v>
      </c>
      <c r="FB702" s="2040">
        <v>1.06</v>
      </c>
      <c r="FE702" s="2040">
        <v>0.6</v>
      </c>
      <c r="FF702" s="2040">
        <v>0.6</v>
      </c>
      <c r="FG702" s="2040">
        <v>0.8</v>
      </c>
      <c r="FH702" s="2040">
        <v>0.8</v>
      </c>
      <c r="FI702" s="2040">
        <v>0.8</v>
      </c>
      <c r="FJ702" s="2040">
        <v>0.8</v>
      </c>
      <c r="FK702" s="2040">
        <v>0.74</v>
      </c>
      <c r="FL702" s="2040">
        <v>0.74</v>
      </c>
      <c r="FM702" s="2040">
        <v>0.79</v>
      </c>
      <c r="FN702" s="2040">
        <v>0.79</v>
      </c>
      <c r="FQ702" s="2040">
        <v>0.93</v>
      </c>
      <c r="FR702" s="2040">
        <v>0.93</v>
      </c>
      <c r="FS702" s="2040">
        <v>1.65</v>
      </c>
      <c r="FT702" s="2040">
        <v>1.65</v>
      </c>
      <c r="FU702" s="2040">
        <v>1.65</v>
      </c>
      <c r="FV702" s="2040">
        <v>1.65</v>
      </c>
      <c r="FW702" s="2040">
        <v>1.72</v>
      </c>
      <c r="FX702" s="2040">
        <v>1.72</v>
      </c>
      <c r="GC702" s="2040">
        <v>0.79</v>
      </c>
      <c r="GD702" s="2040">
        <v>0.79</v>
      </c>
      <c r="GE702" s="2040">
        <v>3.67</v>
      </c>
      <c r="GF702" s="2040">
        <v>3.67</v>
      </c>
      <c r="GG702" s="2040">
        <v>3.67</v>
      </c>
      <c r="GH702" s="2040">
        <v>3.67</v>
      </c>
      <c r="GI702" s="2040">
        <v>0.37</v>
      </c>
      <c r="GJ702" s="2040">
        <v>0.37</v>
      </c>
      <c r="GK702" s="2040">
        <v>0.97</v>
      </c>
      <c r="GL702" s="2040">
        <v>0.97</v>
      </c>
      <c r="GO702" s="2040">
        <v>0.55000000000000004</v>
      </c>
      <c r="GP702" s="2040">
        <v>0.55000000000000004</v>
      </c>
      <c r="GQ702" s="2040">
        <v>0.35</v>
      </c>
      <c r="GR702" s="2040">
        <v>0.35</v>
      </c>
      <c r="GS702" s="2040">
        <v>0.35</v>
      </c>
      <c r="GT702" s="2040">
        <v>0.34</v>
      </c>
      <c r="GU702" s="2040">
        <v>0.34</v>
      </c>
      <c r="GV702" s="2040">
        <v>0.34</v>
      </c>
      <c r="GW702" s="2040">
        <v>0.71</v>
      </c>
      <c r="GX702" s="2040">
        <v>0.71</v>
      </c>
      <c r="HA702" s="2040">
        <v>0.46</v>
      </c>
      <c r="HB702" s="2040">
        <v>0.46</v>
      </c>
      <c r="HC702" s="2040">
        <v>0.31</v>
      </c>
      <c r="HD702" s="2040">
        <v>0.31</v>
      </c>
      <c r="HE702" s="2040">
        <v>0.31</v>
      </c>
      <c r="HF702" s="2040">
        <v>0.31</v>
      </c>
      <c r="HG702" s="2040">
        <v>0.31</v>
      </c>
      <c r="HH702" s="2040">
        <v>0.31</v>
      </c>
      <c r="HI702" s="2040">
        <v>0.31</v>
      </c>
      <c r="HJ702" s="2040">
        <v>0.31</v>
      </c>
      <c r="HK702" s="2040">
        <v>0.32</v>
      </c>
      <c r="HL702" s="2040">
        <v>0.32</v>
      </c>
      <c r="HM702" s="2040">
        <v>0.52</v>
      </c>
      <c r="HN702" s="2040">
        <v>0.52</v>
      </c>
      <c r="HO702" s="2040">
        <v>0.31</v>
      </c>
      <c r="HP702" s="2040">
        <v>0.31</v>
      </c>
      <c r="HQ702" s="2040">
        <v>0.33</v>
      </c>
      <c r="HR702" s="2040">
        <v>0.33</v>
      </c>
      <c r="HS702" s="2040">
        <v>0.33</v>
      </c>
      <c r="HT702" s="2040">
        <v>0.33</v>
      </c>
      <c r="HU702" s="2040">
        <v>0.33</v>
      </c>
      <c r="HV702" s="2040">
        <v>0.33</v>
      </c>
      <c r="HW702" s="2040">
        <v>0.32</v>
      </c>
      <c r="HX702" s="2040">
        <v>0.32</v>
      </c>
    </row>
    <row r="703" spans="2:232" s="2040" customFormat="1" ht="14" x14ac:dyDescent="0.3">
      <c r="B703" s="2504">
        <v>4</v>
      </c>
      <c r="C703" s="2505">
        <v>1.04</v>
      </c>
      <c r="D703" s="2505">
        <v>1.04</v>
      </c>
      <c r="E703" s="2505">
        <v>2.35</v>
      </c>
      <c r="F703" s="2505">
        <v>2.35</v>
      </c>
      <c r="G703" s="2505">
        <v>2.78</v>
      </c>
      <c r="H703" s="2505">
        <v>2.78</v>
      </c>
      <c r="I703" s="2505">
        <v>1.22</v>
      </c>
      <c r="J703" s="2505">
        <v>1.22</v>
      </c>
      <c r="K703" s="2505">
        <v>2.13</v>
      </c>
      <c r="L703" s="2505">
        <v>2.13</v>
      </c>
      <c r="M703" s="2505"/>
      <c r="N703" s="2505"/>
      <c r="O703" s="2505">
        <v>2.6</v>
      </c>
      <c r="P703" s="2505">
        <v>2.6</v>
      </c>
      <c r="Q703" s="2505">
        <v>4.88</v>
      </c>
      <c r="R703" s="2505">
        <v>2.6</v>
      </c>
      <c r="S703" s="2505">
        <v>1.4699999999999998</v>
      </c>
      <c r="T703" s="2505">
        <v>1.47</v>
      </c>
      <c r="U703" s="2505">
        <v>1.43</v>
      </c>
      <c r="V703" s="2505">
        <v>1.43</v>
      </c>
      <c r="W703" s="2505">
        <v>1.47</v>
      </c>
      <c r="X703" s="2505">
        <v>1.47</v>
      </c>
      <c r="Y703" s="2505">
        <v>1.43</v>
      </c>
      <c r="Z703" s="2505">
        <v>1.47</v>
      </c>
      <c r="AA703" s="2505">
        <v>1.47</v>
      </c>
      <c r="AB703" s="2505">
        <v>1.47</v>
      </c>
      <c r="AC703" s="2505">
        <v>1.43</v>
      </c>
      <c r="AD703" s="2505">
        <v>1.43</v>
      </c>
      <c r="AE703" s="2505">
        <v>2.06</v>
      </c>
      <c r="AF703" s="2505">
        <v>2.02</v>
      </c>
      <c r="AG703" s="2505">
        <v>2.06</v>
      </c>
      <c r="AH703" s="2505">
        <v>2.06</v>
      </c>
      <c r="AI703" s="2505">
        <v>2.02</v>
      </c>
      <c r="AJ703" s="2505">
        <v>2.02</v>
      </c>
      <c r="AK703" s="2505">
        <v>2.91</v>
      </c>
      <c r="AL703" s="2505">
        <v>2.91</v>
      </c>
      <c r="AM703" s="2505">
        <v>1.53</v>
      </c>
      <c r="AN703" s="2505">
        <v>1.46</v>
      </c>
      <c r="AO703" s="2505">
        <v>1.46</v>
      </c>
      <c r="AP703" s="2505">
        <v>1.46</v>
      </c>
      <c r="AQ703" s="2505">
        <v>3.65</v>
      </c>
      <c r="AR703" s="2505">
        <v>3.65</v>
      </c>
      <c r="AS703" s="2505">
        <v>2.08</v>
      </c>
      <c r="AT703" s="2505">
        <v>2.08</v>
      </c>
      <c r="AU703" s="2505">
        <v>2.08</v>
      </c>
      <c r="AV703" s="2505">
        <v>2.29</v>
      </c>
      <c r="AW703" s="2505">
        <v>1.51</v>
      </c>
      <c r="AX703" s="2505">
        <v>1.51</v>
      </c>
      <c r="AY703" s="2505">
        <v>1.55</v>
      </c>
      <c r="AZ703" s="2505">
        <v>1.55</v>
      </c>
      <c r="BA703" s="2040">
        <v>0.94</v>
      </c>
      <c r="BB703" s="2040">
        <v>0.94</v>
      </c>
      <c r="BC703" s="2040">
        <v>0.36</v>
      </c>
      <c r="BD703" s="2040">
        <v>0.36</v>
      </c>
      <c r="BE703" s="2040">
        <v>0.8</v>
      </c>
      <c r="BF703" s="2040">
        <v>0.8</v>
      </c>
      <c r="BG703" s="2040">
        <v>0.36</v>
      </c>
      <c r="BH703" s="2040">
        <v>0.36</v>
      </c>
      <c r="BI703" s="2040">
        <v>0.35</v>
      </c>
      <c r="BJ703" s="2040">
        <v>0.35</v>
      </c>
      <c r="BK703" s="2040">
        <v>0.35</v>
      </c>
      <c r="BL703" s="2040">
        <v>0.35</v>
      </c>
      <c r="BM703" s="2040">
        <v>1.2</v>
      </c>
      <c r="BN703" s="2040">
        <v>1.2</v>
      </c>
      <c r="BO703" s="2040">
        <v>2.97</v>
      </c>
      <c r="BP703" s="2040">
        <v>2.97</v>
      </c>
      <c r="BQ703" s="2040">
        <v>2.97</v>
      </c>
      <c r="BR703" s="2040">
        <v>2.97</v>
      </c>
      <c r="BS703" s="2040">
        <v>1.83</v>
      </c>
      <c r="BT703" s="2040">
        <v>1.83</v>
      </c>
      <c r="BU703" s="2040">
        <v>1.83</v>
      </c>
      <c r="BV703" s="2040">
        <v>1.83</v>
      </c>
      <c r="BW703" s="2040">
        <v>1.83</v>
      </c>
      <c r="BX703" s="2040">
        <v>1.83</v>
      </c>
      <c r="BY703" s="2040">
        <v>1.1100000000000001</v>
      </c>
      <c r="BZ703" s="2040">
        <v>1.1100000000000001</v>
      </c>
      <c r="CA703" s="2040">
        <v>2.65</v>
      </c>
      <c r="CB703" s="2040">
        <v>2.65</v>
      </c>
      <c r="CC703" s="2040">
        <v>1.95</v>
      </c>
      <c r="CD703" s="2040">
        <v>1.95</v>
      </c>
      <c r="CE703" s="2040">
        <v>1.68</v>
      </c>
      <c r="CF703" s="2040">
        <v>1.68</v>
      </c>
      <c r="CK703" s="2040">
        <v>11.26</v>
      </c>
      <c r="CL703" s="2040">
        <v>11.26</v>
      </c>
      <c r="CM703" s="2040">
        <v>13.8</v>
      </c>
      <c r="CN703" s="2040">
        <v>13.8</v>
      </c>
      <c r="CO703" s="2040">
        <v>7.65</v>
      </c>
      <c r="CP703" s="2040">
        <v>7.65</v>
      </c>
      <c r="CQ703" s="2040">
        <v>7.65</v>
      </c>
      <c r="CR703" s="2040">
        <v>7.65</v>
      </c>
      <c r="CW703" s="2040">
        <v>2.19</v>
      </c>
      <c r="CX703" s="2040">
        <v>2.19</v>
      </c>
      <c r="CY703" s="2040">
        <v>11.3</v>
      </c>
      <c r="CZ703" s="2040">
        <v>11.3</v>
      </c>
      <c r="DA703" s="2040">
        <v>11.3</v>
      </c>
      <c r="DB703" s="2040">
        <v>11.3</v>
      </c>
      <c r="DC703" s="2040">
        <v>6.34</v>
      </c>
      <c r="DD703" s="2040">
        <v>6.34</v>
      </c>
      <c r="DE703" s="2040">
        <v>6.34</v>
      </c>
      <c r="DF703" s="2040">
        <v>6.34</v>
      </c>
      <c r="DI703" s="2040">
        <v>0.79</v>
      </c>
      <c r="DJ703" s="2040">
        <v>0.79</v>
      </c>
      <c r="DK703" s="2040">
        <v>0.79</v>
      </c>
      <c r="DL703" s="2040">
        <v>0.79</v>
      </c>
      <c r="DM703" s="2040">
        <v>0.79</v>
      </c>
      <c r="DN703" s="2040">
        <v>0.79</v>
      </c>
      <c r="DU703" s="2040">
        <v>0.51</v>
      </c>
      <c r="DV703" s="2040">
        <v>0.51</v>
      </c>
      <c r="DW703" s="2040">
        <v>0.35</v>
      </c>
      <c r="DX703" s="2040">
        <v>0.35</v>
      </c>
      <c r="DY703" s="2040">
        <v>0.35</v>
      </c>
      <c r="DZ703" s="2040">
        <v>0.35</v>
      </c>
      <c r="EG703" s="2040">
        <v>0.54</v>
      </c>
      <c r="EH703" s="2040">
        <v>0.81</v>
      </c>
      <c r="EI703" s="2040">
        <v>0.33</v>
      </c>
      <c r="EJ703" s="2040">
        <v>0.33</v>
      </c>
      <c r="EK703" s="2040">
        <v>0.33</v>
      </c>
      <c r="EL703" s="2040">
        <v>0.33</v>
      </c>
      <c r="EM703" s="2040">
        <v>0.36</v>
      </c>
      <c r="EN703" s="2040">
        <v>0.36</v>
      </c>
      <c r="EO703" s="2040">
        <v>0.35</v>
      </c>
      <c r="EP703" s="2040">
        <v>0.35</v>
      </c>
      <c r="EQ703" s="2040">
        <v>0.35</v>
      </c>
      <c r="ER703" s="2040">
        <v>0.35</v>
      </c>
      <c r="ES703" s="2040">
        <v>1.29</v>
      </c>
      <c r="ET703" s="2040">
        <v>1.29</v>
      </c>
      <c r="EU703" s="2040">
        <v>2.19</v>
      </c>
      <c r="EV703" s="2040">
        <v>2.19</v>
      </c>
      <c r="EW703" s="2040">
        <v>1.97</v>
      </c>
      <c r="EX703" s="2040">
        <v>1.97</v>
      </c>
      <c r="EY703" s="2506">
        <f t="shared" si="59"/>
        <v>2.08</v>
      </c>
      <c r="EZ703" s="2506">
        <f t="shared" si="59"/>
        <v>2.08</v>
      </c>
      <c r="FA703" s="2040">
        <v>2.39</v>
      </c>
      <c r="FB703" s="2040">
        <v>2.39</v>
      </c>
      <c r="FE703" s="2040">
        <v>1.03</v>
      </c>
      <c r="FF703" s="2040">
        <v>1.03</v>
      </c>
      <c r="FG703" s="2040">
        <v>1.54</v>
      </c>
      <c r="FH703" s="2040">
        <v>1.54</v>
      </c>
      <c r="FI703" s="2040">
        <v>1.54</v>
      </c>
      <c r="FJ703" s="2040">
        <v>1.54</v>
      </c>
      <c r="FK703" s="2040">
        <v>1.42</v>
      </c>
      <c r="FL703" s="2040">
        <v>1.42</v>
      </c>
      <c r="FM703" s="2040">
        <v>1.52</v>
      </c>
      <c r="FN703" s="2040">
        <v>1.52</v>
      </c>
      <c r="FQ703" s="2040">
        <v>2.35</v>
      </c>
      <c r="FR703" s="2040">
        <v>2.35</v>
      </c>
      <c r="FS703" s="2040">
        <v>4.08</v>
      </c>
      <c r="FT703" s="2040">
        <v>4.08</v>
      </c>
      <c r="FU703" s="2040">
        <v>4.08</v>
      </c>
      <c r="FV703" s="2040">
        <v>4.08</v>
      </c>
      <c r="FW703" s="2040">
        <v>4.25</v>
      </c>
      <c r="FX703" s="2040">
        <v>4.25</v>
      </c>
      <c r="GC703" s="2040">
        <v>1.61</v>
      </c>
      <c r="GD703" s="2040">
        <v>1.61</v>
      </c>
      <c r="GE703" s="2040">
        <v>7.09</v>
      </c>
      <c r="GF703" s="2040">
        <v>7.09</v>
      </c>
      <c r="GG703" s="2040">
        <v>7.09</v>
      </c>
      <c r="GH703" s="2040">
        <v>7.09</v>
      </c>
      <c r="GI703" s="2040">
        <v>0.57999999999999996</v>
      </c>
      <c r="GJ703" s="2040">
        <v>0.57999999999999996</v>
      </c>
      <c r="GK703" s="2040">
        <v>2.0699999999999998</v>
      </c>
      <c r="GL703" s="2040">
        <v>2.0699999999999998</v>
      </c>
      <c r="GO703" s="2040">
        <v>1.06</v>
      </c>
      <c r="GP703" s="2040">
        <v>1.06</v>
      </c>
      <c r="GQ703" s="2040">
        <v>0.48</v>
      </c>
      <c r="GR703" s="2040">
        <v>0.48</v>
      </c>
      <c r="GS703" s="2040">
        <v>0.48</v>
      </c>
      <c r="GT703" s="2040">
        <v>0.46</v>
      </c>
      <c r="GU703" s="2040">
        <v>0.46</v>
      </c>
      <c r="GV703" s="2040">
        <v>0.46</v>
      </c>
      <c r="GW703" s="2040">
        <v>1.53</v>
      </c>
      <c r="GX703" s="2040">
        <v>1.53</v>
      </c>
      <c r="HA703" s="2040">
        <v>0.76</v>
      </c>
      <c r="HB703" s="2040">
        <v>0.76</v>
      </c>
      <c r="HC703" s="2040">
        <v>0.33</v>
      </c>
      <c r="HD703" s="2040">
        <v>0.33</v>
      </c>
      <c r="HE703" s="2040">
        <v>0.36</v>
      </c>
      <c r="HF703" s="2040">
        <v>0.36</v>
      </c>
      <c r="HG703" s="2040">
        <v>0.36</v>
      </c>
      <c r="HH703" s="2040">
        <v>0.36</v>
      </c>
      <c r="HI703" s="2040">
        <v>0.36</v>
      </c>
      <c r="HJ703" s="2040">
        <v>0.36</v>
      </c>
      <c r="HK703" s="2040">
        <v>0.35</v>
      </c>
      <c r="HL703" s="2040">
        <v>0.35</v>
      </c>
      <c r="HM703" s="2040">
        <v>0.95</v>
      </c>
      <c r="HN703" s="2040">
        <v>0.95</v>
      </c>
      <c r="HO703" s="2040">
        <v>0.34</v>
      </c>
      <c r="HP703" s="2040">
        <v>0.34</v>
      </c>
      <c r="HQ703" s="2040">
        <v>0.4</v>
      </c>
      <c r="HR703" s="2040">
        <v>0.4</v>
      </c>
      <c r="HS703" s="2040">
        <v>0.4</v>
      </c>
      <c r="HT703" s="2040">
        <v>0.4</v>
      </c>
      <c r="HU703" s="2040">
        <v>0.4</v>
      </c>
      <c r="HV703" s="2040">
        <v>0.4</v>
      </c>
      <c r="HW703" s="2040">
        <v>0.38</v>
      </c>
      <c r="HX703" s="2040">
        <v>0.38</v>
      </c>
    </row>
    <row r="704" spans="2:232" s="2040" customFormat="1" ht="14" x14ac:dyDescent="0.3">
      <c r="B704" s="2504">
        <v>5</v>
      </c>
      <c r="C704" s="2505">
        <v>1.85</v>
      </c>
      <c r="D704" s="2505">
        <v>1.85</v>
      </c>
      <c r="E704" s="2505">
        <v>3.59</v>
      </c>
      <c r="F704" s="2505">
        <v>3.59</v>
      </c>
      <c r="G704" s="2505">
        <v>5.0999999999999996</v>
      </c>
      <c r="H704" s="2505">
        <v>5.0999999999999996</v>
      </c>
      <c r="I704" s="2505">
        <v>2.4300000000000002</v>
      </c>
      <c r="J704" s="2505">
        <v>2.4300000000000002</v>
      </c>
      <c r="K704" s="2505">
        <v>4.6500000000000004</v>
      </c>
      <c r="L704" s="2505">
        <v>4.6500000000000004</v>
      </c>
      <c r="M704" s="2505"/>
      <c r="N704" s="2505"/>
      <c r="O704" s="2505">
        <v>5.1100000000000003</v>
      </c>
      <c r="P704" s="2505">
        <v>5.1100000000000003</v>
      </c>
      <c r="Q704" s="2505">
        <v>8.2200000000000006</v>
      </c>
      <c r="R704" s="2505">
        <v>5.12</v>
      </c>
      <c r="S704" s="2505">
        <v>3.13</v>
      </c>
      <c r="T704" s="2505">
        <v>3.13</v>
      </c>
      <c r="U704" s="2505">
        <v>3.03</v>
      </c>
      <c r="V704" s="2505">
        <v>3.03</v>
      </c>
      <c r="W704" s="2505">
        <v>3.13</v>
      </c>
      <c r="X704" s="2505">
        <v>3.13</v>
      </c>
      <c r="Y704" s="2505">
        <v>3.03</v>
      </c>
      <c r="Z704" s="2505">
        <v>3.13</v>
      </c>
      <c r="AA704" s="2505">
        <v>3.13</v>
      </c>
      <c r="AB704" s="2505">
        <v>3.13</v>
      </c>
      <c r="AC704" s="2505">
        <v>3.03</v>
      </c>
      <c r="AD704" s="2505">
        <v>3.03</v>
      </c>
      <c r="AE704" s="2505">
        <v>4.5599999999999996</v>
      </c>
      <c r="AF704" s="2505">
        <v>4.45</v>
      </c>
      <c r="AG704" s="2505">
        <v>4.5599999999999996</v>
      </c>
      <c r="AH704" s="2505">
        <v>4.5599999999999996</v>
      </c>
      <c r="AI704" s="2505">
        <v>4.45</v>
      </c>
      <c r="AJ704" s="2505">
        <v>4.45</v>
      </c>
      <c r="AK704" s="2505">
        <v>5.93</v>
      </c>
      <c r="AL704" s="2505">
        <v>5.93</v>
      </c>
      <c r="AM704" s="2505">
        <v>2.87</v>
      </c>
      <c r="AN704" s="2505">
        <v>2.74</v>
      </c>
      <c r="AO704" s="2505">
        <v>2.74</v>
      </c>
      <c r="AP704" s="2505">
        <v>2.74</v>
      </c>
      <c r="AQ704" s="2505">
        <v>5.64</v>
      </c>
      <c r="AR704" s="2505">
        <v>5.64</v>
      </c>
      <c r="AS704" s="2505">
        <v>4.2300000000000004</v>
      </c>
      <c r="AT704" s="2505">
        <v>4.2300000000000004</v>
      </c>
      <c r="AU704" s="2505">
        <v>4.2300000000000004</v>
      </c>
      <c r="AV704" s="2505">
        <v>4.62</v>
      </c>
      <c r="AW704" s="2505">
        <v>3.3</v>
      </c>
      <c r="AX704" s="2505">
        <v>3.3</v>
      </c>
      <c r="AY704" s="2505">
        <v>3.37</v>
      </c>
      <c r="AZ704" s="2505">
        <v>3.37</v>
      </c>
      <c r="BA704" s="2040">
        <v>1.76</v>
      </c>
      <c r="BB704" s="2040">
        <v>1.76</v>
      </c>
      <c r="BC704" s="2040">
        <v>0.45</v>
      </c>
      <c r="BD704" s="2040">
        <v>0.45</v>
      </c>
      <c r="BE704" s="2040">
        <v>1.28</v>
      </c>
      <c r="BF704" s="2040">
        <v>1.28</v>
      </c>
      <c r="BG704" s="2040">
        <v>0.47</v>
      </c>
      <c r="BH704" s="2040">
        <v>0.47</v>
      </c>
      <c r="BI704" s="2040">
        <v>0.43</v>
      </c>
      <c r="BJ704" s="2040">
        <v>0.43</v>
      </c>
      <c r="BK704" s="2040">
        <v>0.43</v>
      </c>
      <c r="BL704" s="2040">
        <v>0.43</v>
      </c>
      <c r="BM704" s="2040">
        <v>2.17</v>
      </c>
      <c r="BN704" s="2040">
        <v>2.17</v>
      </c>
      <c r="BO704" s="2040">
        <v>5.5</v>
      </c>
      <c r="BP704" s="2040">
        <v>5.5</v>
      </c>
      <c r="BQ704" s="2040">
        <v>5.5</v>
      </c>
      <c r="BR704" s="2040">
        <v>5.5</v>
      </c>
      <c r="BS704" s="2040">
        <v>3.62</v>
      </c>
      <c r="BT704" s="2040">
        <v>3.62</v>
      </c>
      <c r="BU704" s="2040">
        <v>3.62</v>
      </c>
      <c r="BV704" s="2040">
        <v>3.62</v>
      </c>
      <c r="BW704" s="2040">
        <v>3.62</v>
      </c>
      <c r="BX704" s="2040">
        <v>3.62</v>
      </c>
      <c r="BY704" s="2040">
        <v>2</v>
      </c>
      <c r="BZ704" s="2040">
        <v>2</v>
      </c>
      <c r="CA704" s="2040">
        <v>4.93</v>
      </c>
      <c r="CB704" s="2040">
        <v>4.93</v>
      </c>
      <c r="CC704" s="2040">
        <v>3.88</v>
      </c>
      <c r="CD704" s="2040">
        <v>3.88</v>
      </c>
      <c r="CE704" s="2040">
        <v>3.35</v>
      </c>
      <c r="CF704" s="2040">
        <v>3.35</v>
      </c>
      <c r="CK704" s="2040">
        <v>15.65</v>
      </c>
      <c r="CL704" s="2040">
        <v>15.65</v>
      </c>
      <c r="CM704" s="2040">
        <v>22.62</v>
      </c>
      <c r="CN704" s="2040">
        <v>22.62</v>
      </c>
      <c r="CO704" s="2040">
        <v>13.95</v>
      </c>
      <c r="CP704" s="2040">
        <v>13.95</v>
      </c>
      <c r="CQ704" s="2040">
        <v>13.95</v>
      </c>
      <c r="CR704" s="2040">
        <v>13.95</v>
      </c>
      <c r="CW704" s="2040">
        <v>4.25</v>
      </c>
      <c r="CX704" s="2040">
        <v>4.25</v>
      </c>
      <c r="CY704" s="2040">
        <v>18.899999999999999</v>
      </c>
      <c r="CZ704" s="2040">
        <v>18.899999999999999</v>
      </c>
      <c r="DA704" s="2040">
        <v>18.899999999999999</v>
      </c>
      <c r="DB704" s="2040">
        <v>18.899999999999999</v>
      </c>
      <c r="DC704" s="2040">
        <v>11.75</v>
      </c>
      <c r="DD704" s="2040">
        <v>11.75</v>
      </c>
      <c r="DE704" s="2040">
        <v>11.75</v>
      </c>
      <c r="DF704" s="2040">
        <v>11.75</v>
      </c>
      <c r="DI704" s="2040">
        <v>1.32</v>
      </c>
      <c r="DJ704" s="2040">
        <v>1.32</v>
      </c>
      <c r="DK704" s="2040">
        <v>1.32</v>
      </c>
      <c r="DL704" s="2040">
        <v>1.32</v>
      </c>
      <c r="DM704" s="2040">
        <v>1.32</v>
      </c>
      <c r="DN704" s="2040">
        <v>1.32</v>
      </c>
      <c r="DU704" s="2040">
        <v>0.75</v>
      </c>
      <c r="DV704" s="2040">
        <v>0.75</v>
      </c>
      <c r="DW704" s="2040">
        <v>0.44</v>
      </c>
      <c r="DX704" s="2040">
        <v>0.44</v>
      </c>
      <c r="DY704" s="2040">
        <v>0.44</v>
      </c>
      <c r="DZ704" s="2040">
        <v>0.44</v>
      </c>
      <c r="EG704" s="2040">
        <v>0.76</v>
      </c>
      <c r="EH704" s="2040">
        <v>1.1100000000000001</v>
      </c>
      <c r="EI704" s="2040">
        <v>0.37</v>
      </c>
      <c r="EJ704" s="2040">
        <v>0.37</v>
      </c>
      <c r="EK704" s="2040">
        <v>0.37</v>
      </c>
      <c r="EL704" s="2040">
        <v>0.37</v>
      </c>
      <c r="EM704" s="2040">
        <v>0.42</v>
      </c>
      <c r="EN704" s="2040">
        <v>0.42</v>
      </c>
      <c r="EO704" s="2040">
        <v>0.4</v>
      </c>
      <c r="EP704" s="2040">
        <v>0.4</v>
      </c>
      <c r="EQ704" s="2040">
        <v>0.4</v>
      </c>
      <c r="ER704" s="2040">
        <v>0.42</v>
      </c>
      <c r="ES704" s="2040">
        <v>1.98</v>
      </c>
      <c r="ET704" s="2040">
        <v>1.98</v>
      </c>
      <c r="EU704" s="2040">
        <v>3.6</v>
      </c>
      <c r="EV704" s="2040">
        <v>3.6</v>
      </c>
      <c r="EW704" s="2040">
        <v>3.27</v>
      </c>
      <c r="EX704" s="2040">
        <v>3.27</v>
      </c>
      <c r="EY704" s="2506">
        <f t="shared" si="59"/>
        <v>3.4350000000000001</v>
      </c>
      <c r="EZ704" s="2506">
        <f t="shared" si="59"/>
        <v>3.4350000000000001</v>
      </c>
      <c r="FA704" s="2040">
        <v>3.92</v>
      </c>
      <c r="FB704" s="2040">
        <v>3.92</v>
      </c>
      <c r="FE704" s="2040">
        <v>1.73</v>
      </c>
      <c r="FF704" s="2040">
        <v>1.73</v>
      </c>
      <c r="FG704" s="2040">
        <v>2.83</v>
      </c>
      <c r="FH704" s="2040">
        <v>2.83</v>
      </c>
      <c r="FI704" s="2040">
        <v>2.83</v>
      </c>
      <c r="FJ704" s="2040">
        <v>2.83</v>
      </c>
      <c r="FK704" s="2040">
        <v>2.64</v>
      </c>
      <c r="FL704" s="2040">
        <v>2.64</v>
      </c>
      <c r="FM704" s="2040">
        <v>2.82</v>
      </c>
      <c r="FN704" s="2040">
        <v>2.82</v>
      </c>
      <c r="FQ704" s="2040">
        <v>3.81</v>
      </c>
      <c r="FR704" s="2040">
        <v>3.81</v>
      </c>
      <c r="FS704" s="2040">
        <v>6.46</v>
      </c>
      <c r="FT704" s="2040">
        <v>6.46</v>
      </c>
      <c r="FU704" s="2040">
        <v>6.46</v>
      </c>
      <c r="FV704" s="2040">
        <v>6.46</v>
      </c>
      <c r="FW704" s="2040">
        <v>6.72</v>
      </c>
      <c r="FX704" s="2040">
        <v>6.72</v>
      </c>
      <c r="GC704" s="2040">
        <v>2.71</v>
      </c>
      <c r="GD704" s="2040">
        <v>2.71</v>
      </c>
      <c r="GE704" s="2040">
        <v>10.9</v>
      </c>
      <c r="GF704" s="2040">
        <v>10.9</v>
      </c>
      <c r="GG704" s="2040">
        <v>10.9</v>
      </c>
      <c r="GH704" s="2040">
        <v>10.9</v>
      </c>
      <c r="GI704" s="2040">
        <v>0.95</v>
      </c>
      <c r="GJ704" s="2040">
        <v>0.95</v>
      </c>
      <c r="GK704" s="2040">
        <v>3.61</v>
      </c>
      <c r="GL704" s="2040">
        <v>3.61</v>
      </c>
      <c r="GO704" s="2040">
        <v>1.73</v>
      </c>
      <c r="GP704" s="2040">
        <v>1.73</v>
      </c>
      <c r="GQ704" s="2040">
        <v>0.71</v>
      </c>
      <c r="GR704" s="2040">
        <v>0.71</v>
      </c>
      <c r="GS704" s="2040">
        <v>0.71</v>
      </c>
      <c r="GT704" s="2040">
        <v>0.66</v>
      </c>
      <c r="GU704" s="2040">
        <v>0.66</v>
      </c>
      <c r="GV704" s="2040">
        <v>0.66</v>
      </c>
      <c r="GW704" s="2040">
        <v>3.03</v>
      </c>
      <c r="GX704" s="2040">
        <v>3.03</v>
      </c>
      <c r="HA704" s="2040">
        <v>1.27</v>
      </c>
      <c r="HB704" s="2040">
        <v>1.27</v>
      </c>
      <c r="HC704" s="2040">
        <v>0.37</v>
      </c>
      <c r="HD704" s="2040">
        <v>0.37</v>
      </c>
      <c r="HE704" s="2040">
        <v>0.45</v>
      </c>
      <c r="HF704" s="2040">
        <v>0.45</v>
      </c>
      <c r="HG704" s="2040">
        <v>0.45</v>
      </c>
      <c r="HH704" s="2040">
        <v>0.45</v>
      </c>
      <c r="HI704" s="2040">
        <v>0.45</v>
      </c>
      <c r="HJ704" s="2040">
        <v>0.45</v>
      </c>
      <c r="HK704" s="2040">
        <v>0.42</v>
      </c>
      <c r="HL704" s="2040">
        <v>0.42</v>
      </c>
      <c r="HM704" s="2040">
        <v>1.67</v>
      </c>
      <c r="HN704" s="2040">
        <v>1.67</v>
      </c>
      <c r="HO704" s="2040">
        <v>0.42</v>
      </c>
      <c r="HP704" s="2040">
        <v>0.42</v>
      </c>
      <c r="HQ704" s="2040">
        <v>0.54</v>
      </c>
      <c r="HR704" s="2040">
        <v>0.54</v>
      </c>
      <c r="HS704" s="2040">
        <v>0.54</v>
      </c>
      <c r="HT704" s="2040">
        <v>0.54</v>
      </c>
      <c r="HU704" s="2040">
        <v>0.54</v>
      </c>
      <c r="HV704" s="2040">
        <v>0.54</v>
      </c>
      <c r="HW704" s="2040">
        <v>0.5</v>
      </c>
      <c r="HX704" s="2040">
        <v>0.5</v>
      </c>
    </row>
    <row r="705" spans="2:232" s="2040" customFormat="1" ht="14" x14ac:dyDescent="0.3">
      <c r="B705" s="2504">
        <v>6</v>
      </c>
      <c r="C705" s="2505">
        <v>2.96</v>
      </c>
      <c r="D705" s="2505">
        <v>2.96</v>
      </c>
      <c r="E705" s="2505">
        <v>5.0999999999999996</v>
      </c>
      <c r="F705" s="2505">
        <v>5.0999999999999996</v>
      </c>
      <c r="G705" s="2505">
        <v>8.27</v>
      </c>
      <c r="H705" s="2505">
        <v>8.27</v>
      </c>
      <c r="I705" s="2505">
        <v>4.3099999999999996</v>
      </c>
      <c r="J705" s="2505">
        <v>4.3099999999999996</v>
      </c>
      <c r="K705" s="2505">
        <v>8.39</v>
      </c>
      <c r="L705" s="2505">
        <v>8.39</v>
      </c>
      <c r="M705" s="2505"/>
      <c r="N705" s="2505"/>
      <c r="O705" s="2505">
        <v>8.6</v>
      </c>
      <c r="P705" s="2505">
        <v>8.6</v>
      </c>
      <c r="Q705" s="2505">
        <v>12.42</v>
      </c>
      <c r="R705" s="2505">
        <v>8.61</v>
      </c>
      <c r="S705" s="2505">
        <v>5.76</v>
      </c>
      <c r="T705" s="2505">
        <v>5.76</v>
      </c>
      <c r="U705" s="2505">
        <v>5.56</v>
      </c>
      <c r="V705" s="2505">
        <v>5.56</v>
      </c>
      <c r="W705" s="2505">
        <v>5.76</v>
      </c>
      <c r="X705" s="2505">
        <v>5.76</v>
      </c>
      <c r="Y705" s="2505">
        <v>5.56</v>
      </c>
      <c r="Z705" s="2505">
        <v>5.76</v>
      </c>
      <c r="AA705" s="2505">
        <v>5.76</v>
      </c>
      <c r="AB705" s="2505">
        <v>5.76</v>
      </c>
      <c r="AC705" s="2505">
        <v>5.56</v>
      </c>
      <c r="AD705" s="2505">
        <v>5.56</v>
      </c>
      <c r="AE705" s="2505">
        <v>8.4600000000000009</v>
      </c>
      <c r="AF705" s="2505">
        <v>8.24</v>
      </c>
      <c r="AG705" s="2505">
        <v>8.4600000000000009</v>
      </c>
      <c r="AH705" s="2505">
        <v>8.4600000000000009</v>
      </c>
      <c r="AI705" s="2505">
        <v>8.24</v>
      </c>
      <c r="AJ705" s="2505">
        <v>8.24</v>
      </c>
      <c r="AK705" s="2505">
        <v>10.31</v>
      </c>
      <c r="AL705" s="2505">
        <v>10.31</v>
      </c>
      <c r="AM705" s="2505">
        <v>4.72</v>
      </c>
      <c r="AN705" s="2505">
        <v>4.5199999999999996</v>
      </c>
      <c r="AO705" s="2505">
        <v>4.5199999999999996</v>
      </c>
      <c r="AP705" s="2505">
        <v>4.5199999999999996</v>
      </c>
      <c r="AQ705" s="2505">
        <v>8.0299999999999994</v>
      </c>
      <c r="AR705" s="2505">
        <v>8.0299999999999994</v>
      </c>
      <c r="AS705" s="2505">
        <v>7.4</v>
      </c>
      <c r="AT705" s="2505">
        <v>7.4</v>
      </c>
      <c r="AU705" s="2505">
        <v>7.4</v>
      </c>
      <c r="AV705" s="2505">
        <v>8.02</v>
      </c>
      <c r="AW705" s="2505">
        <v>6.15</v>
      </c>
      <c r="AX705" s="2505">
        <v>6.15</v>
      </c>
      <c r="AY705" s="2505">
        <v>6.25</v>
      </c>
      <c r="AZ705" s="2505">
        <v>6.25</v>
      </c>
      <c r="BA705" s="2040">
        <v>2.99</v>
      </c>
      <c r="BB705" s="2040">
        <v>2.99</v>
      </c>
      <c r="BC705" s="2040">
        <v>0.59</v>
      </c>
      <c r="BD705" s="2040">
        <v>0.59</v>
      </c>
      <c r="BE705" s="2040">
        <v>1.93</v>
      </c>
      <c r="BF705" s="2040">
        <v>1.93</v>
      </c>
      <c r="BG705" s="2040">
        <v>0.65</v>
      </c>
      <c r="BH705" s="2040">
        <v>0.65</v>
      </c>
      <c r="BI705" s="2040">
        <v>0.57999999999999996</v>
      </c>
      <c r="BJ705" s="2040">
        <v>0.57999999999999996</v>
      </c>
      <c r="BK705" s="2040">
        <v>0.57999999999999996</v>
      </c>
      <c r="BL705" s="2040">
        <v>0.57999999999999996</v>
      </c>
      <c r="BM705" s="2040">
        <v>3.53</v>
      </c>
      <c r="BN705" s="2040">
        <v>3.53</v>
      </c>
      <c r="BO705" s="2040">
        <v>8.9499999999999993</v>
      </c>
      <c r="BP705" s="2040">
        <v>8.9499999999999993</v>
      </c>
      <c r="BQ705" s="2040">
        <v>8.9499999999999993</v>
      </c>
      <c r="BR705" s="2040">
        <v>8.9499999999999993</v>
      </c>
      <c r="BS705" s="2040">
        <v>6.32</v>
      </c>
      <c r="BT705" s="2040">
        <v>6.32</v>
      </c>
      <c r="BU705" s="2040">
        <v>6.32</v>
      </c>
      <c r="BV705" s="2040">
        <v>6.32</v>
      </c>
      <c r="BW705" s="2040">
        <v>6.32</v>
      </c>
      <c r="BX705" s="2040">
        <v>6.32</v>
      </c>
      <c r="BY705" s="2040">
        <v>3.23</v>
      </c>
      <c r="BZ705" s="2040">
        <v>3.23</v>
      </c>
      <c r="CA705" s="2040">
        <v>8.07</v>
      </c>
      <c r="CB705" s="2040">
        <v>8.07</v>
      </c>
      <c r="CC705" s="2040">
        <v>6.69</v>
      </c>
      <c r="CD705" s="2040">
        <v>6.69</v>
      </c>
      <c r="CE705" s="2040">
        <v>5.87</v>
      </c>
      <c r="CF705" s="2040">
        <v>5.87</v>
      </c>
      <c r="CK705" s="2040">
        <v>20.55</v>
      </c>
      <c r="CL705" s="2040">
        <v>20.55</v>
      </c>
      <c r="CM705" s="2040">
        <v>33.11</v>
      </c>
      <c r="CN705" s="2040">
        <v>33.11</v>
      </c>
      <c r="CO705" s="2040">
        <v>22.19</v>
      </c>
      <c r="CP705" s="2040">
        <v>22.19</v>
      </c>
      <c r="CQ705" s="2040">
        <v>22.19</v>
      </c>
      <c r="CR705" s="2040">
        <v>22.19</v>
      </c>
      <c r="CW705" s="2040">
        <v>7.1</v>
      </c>
      <c r="CX705" s="2040">
        <v>7.1</v>
      </c>
      <c r="CY705" s="2040">
        <v>28.08</v>
      </c>
      <c r="CZ705" s="2040">
        <v>28.08</v>
      </c>
      <c r="DA705" s="2040">
        <v>28.08</v>
      </c>
      <c r="DB705" s="2040">
        <v>28.08</v>
      </c>
      <c r="DC705" s="2040">
        <v>18.97</v>
      </c>
      <c r="DD705" s="2040">
        <v>18.97</v>
      </c>
      <c r="DE705" s="2040">
        <v>18.97</v>
      </c>
      <c r="DF705" s="2040">
        <v>18.97</v>
      </c>
      <c r="DI705" s="2040">
        <v>2.0699999999999998</v>
      </c>
      <c r="DJ705" s="2040">
        <v>2.0699999999999998</v>
      </c>
      <c r="DK705" s="2040">
        <v>2.0699999999999998</v>
      </c>
      <c r="DL705" s="2040">
        <v>2.0699999999999998</v>
      </c>
      <c r="DM705" s="2040">
        <v>2.0699999999999998</v>
      </c>
      <c r="DN705" s="2040">
        <v>2.0699999999999998</v>
      </c>
      <c r="DU705" s="2040">
        <v>1.08</v>
      </c>
      <c r="DV705" s="2040">
        <v>1.08</v>
      </c>
      <c r="DW705" s="2040">
        <v>0.59</v>
      </c>
      <c r="DX705" s="2040">
        <v>0.59</v>
      </c>
      <c r="DY705" s="2040">
        <v>0.59</v>
      </c>
      <c r="DZ705" s="2040">
        <v>0.59</v>
      </c>
      <c r="EG705" s="2040">
        <v>1.32</v>
      </c>
      <c r="EH705" s="2040">
        <v>1.82</v>
      </c>
      <c r="EI705" s="2040">
        <v>0.5</v>
      </c>
      <c r="EJ705" s="2040">
        <v>0.5</v>
      </c>
      <c r="EK705" s="2040">
        <v>0.49</v>
      </c>
      <c r="EL705" s="2040">
        <v>0.49</v>
      </c>
      <c r="EM705" s="2040">
        <v>0.62</v>
      </c>
      <c r="EN705" s="2040">
        <v>0.62</v>
      </c>
      <c r="EO705" s="2040">
        <v>0.56000000000000005</v>
      </c>
      <c r="EP705" s="2040">
        <v>0.56000000000000005</v>
      </c>
      <c r="EQ705" s="2040">
        <v>0.56000000000000005</v>
      </c>
      <c r="ER705" s="2040">
        <v>0.6</v>
      </c>
      <c r="ES705" s="2040">
        <v>4.3099999999999996</v>
      </c>
      <c r="ET705" s="2040">
        <v>4.3099999999999996</v>
      </c>
      <c r="EU705" s="2040">
        <v>8.66</v>
      </c>
      <c r="EV705" s="2040">
        <v>8.66</v>
      </c>
      <c r="EW705" s="2040">
        <v>7.97</v>
      </c>
      <c r="EX705" s="2040">
        <v>7.97</v>
      </c>
      <c r="EY705" s="2506">
        <f t="shared" si="59"/>
        <v>8.3149999999999995</v>
      </c>
      <c r="EZ705" s="2506">
        <f t="shared" si="59"/>
        <v>8.3149999999999995</v>
      </c>
      <c r="FA705" s="2040">
        <v>9.39</v>
      </c>
      <c r="FB705" s="2040">
        <v>9.39</v>
      </c>
      <c r="FE705" s="2040">
        <v>3.57</v>
      </c>
      <c r="FF705" s="2040">
        <v>3.57</v>
      </c>
      <c r="FG705" s="2040">
        <v>6.49</v>
      </c>
      <c r="FH705" s="2040">
        <v>6.49</v>
      </c>
      <c r="FI705" s="2040">
        <v>6.49</v>
      </c>
      <c r="FJ705" s="2040">
        <v>6.49</v>
      </c>
      <c r="FK705" s="2040">
        <v>6.11</v>
      </c>
      <c r="FL705" s="2040">
        <v>6.11</v>
      </c>
      <c r="FM705" s="2040">
        <v>6.52</v>
      </c>
      <c r="FN705" s="2040">
        <v>6.52</v>
      </c>
      <c r="FQ705" s="2040">
        <v>6.94</v>
      </c>
      <c r="FR705" s="2040">
        <v>6.94</v>
      </c>
      <c r="FS705" s="2040">
        <v>11.48</v>
      </c>
      <c r="FT705" s="2040">
        <v>11.48</v>
      </c>
      <c r="FU705" s="2040">
        <v>11.48</v>
      </c>
      <c r="FV705" s="2040">
        <v>11.48</v>
      </c>
      <c r="FW705" s="2040">
        <v>11.93</v>
      </c>
      <c r="FX705" s="2040">
        <v>11.93</v>
      </c>
      <c r="GC705" s="2040">
        <v>4.9000000000000004</v>
      </c>
      <c r="GD705" s="2040">
        <v>4.9000000000000004</v>
      </c>
      <c r="GE705" s="2040">
        <v>17.690000000000001</v>
      </c>
      <c r="GF705" s="2040">
        <v>17.690000000000001</v>
      </c>
      <c r="GG705" s="2040">
        <v>17.690000000000001</v>
      </c>
      <c r="GH705" s="2040">
        <v>17.690000000000001</v>
      </c>
      <c r="GI705" s="2040">
        <v>1.91</v>
      </c>
      <c r="GJ705" s="2040">
        <v>1.91</v>
      </c>
      <c r="GK705" s="2040">
        <v>6.9</v>
      </c>
      <c r="GL705" s="2040">
        <v>6.9</v>
      </c>
      <c r="GO705" s="2040">
        <v>2.95</v>
      </c>
      <c r="GP705" s="2040">
        <v>2.95</v>
      </c>
      <c r="GQ705" s="2040">
        <v>1.06</v>
      </c>
      <c r="GR705" s="2040">
        <v>1.06</v>
      </c>
      <c r="GS705" s="2040">
        <v>1.06</v>
      </c>
      <c r="GT705" s="2040">
        <v>0.99</v>
      </c>
      <c r="GU705" s="2040">
        <v>0.99</v>
      </c>
      <c r="GV705" s="2040">
        <v>0.99</v>
      </c>
      <c r="GW705" s="2040">
        <v>5.31</v>
      </c>
      <c r="GX705" s="2040">
        <v>5.31</v>
      </c>
      <c r="HA705" s="2040">
        <v>1.97</v>
      </c>
      <c r="HB705" s="2040">
        <v>1.97</v>
      </c>
      <c r="HC705" s="2040">
        <v>0.46</v>
      </c>
      <c r="HD705" s="2040">
        <v>0.46</v>
      </c>
      <c r="HE705" s="2040">
        <v>0.59</v>
      </c>
      <c r="HF705" s="2040">
        <v>0.59</v>
      </c>
      <c r="HG705" s="2040">
        <v>0.59</v>
      </c>
      <c r="HH705" s="2040">
        <v>0.59</v>
      </c>
      <c r="HI705" s="2040">
        <v>0.59</v>
      </c>
      <c r="HJ705" s="2040">
        <v>0.59</v>
      </c>
      <c r="HK705" s="2040">
        <v>0.55000000000000004</v>
      </c>
      <c r="HL705" s="2040">
        <v>0.55000000000000004</v>
      </c>
      <c r="HM705" s="2040">
        <v>2.65</v>
      </c>
      <c r="HN705" s="2040">
        <v>2.65</v>
      </c>
      <c r="HO705" s="2040">
        <v>0.56000000000000005</v>
      </c>
      <c r="HP705" s="2040">
        <v>0.56000000000000005</v>
      </c>
      <c r="HQ705" s="2040">
        <v>0.77</v>
      </c>
      <c r="HR705" s="2040">
        <v>0.77</v>
      </c>
      <c r="HS705" s="2040">
        <v>0.77</v>
      </c>
      <c r="HT705" s="2040">
        <v>0.77</v>
      </c>
      <c r="HU705" s="2040">
        <v>0.77</v>
      </c>
      <c r="HV705" s="2040">
        <v>0.77</v>
      </c>
      <c r="HW705" s="2040">
        <v>0.7</v>
      </c>
      <c r="HX705" s="2040">
        <v>0.7</v>
      </c>
    </row>
    <row r="706" spans="2:232" s="2040" customFormat="1" ht="14" x14ac:dyDescent="0.3">
      <c r="B706" s="2504">
        <v>7</v>
      </c>
      <c r="C706" s="2505">
        <v>4.3499999999999996</v>
      </c>
      <c r="D706" s="2505">
        <v>4.3499999999999996</v>
      </c>
      <c r="E706" s="2505">
        <v>6.8</v>
      </c>
      <c r="F706" s="2505">
        <v>6.8</v>
      </c>
      <c r="G706" s="2505">
        <v>12.24</v>
      </c>
      <c r="H706" s="2505">
        <v>12.24</v>
      </c>
      <c r="I706" s="2505">
        <v>7.11</v>
      </c>
      <c r="J706" s="2505">
        <v>7.11</v>
      </c>
      <c r="K706" s="2505">
        <v>13.24</v>
      </c>
      <c r="L706" s="2505">
        <v>13.24</v>
      </c>
      <c r="M706" s="2505"/>
      <c r="N706" s="2505"/>
      <c r="O706" s="2505">
        <v>12.96</v>
      </c>
      <c r="P706" s="2505">
        <v>12.96</v>
      </c>
      <c r="Q706" s="2505">
        <v>17.3</v>
      </c>
      <c r="R706" s="2505">
        <v>12.96</v>
      </c>
      <c r="S706" s="2505">
        <v>9.41</v>
      </c>
      <c r="T706" s="2505">
        <v>9.41</v>
      </c>
      <c r="U706" s="2505">
        <v>9.08</v>
      </c>
      <c r="V706" s="2505">
        <v>9.08</v>
      </c>
      <c r="W706" s="2505">
        <v>9.41</v>
      </c>
      <c r="X706" s="2505">
        <v>9.41</v>
      </c>
      <c r="Y706" s="2505">
        <v>9.08</v>
      </c>
      <c r="Z706" s="2505">
        <v>9.41</v>
      </c>
      <c r="AA706" s="2505">
        <v>9.41</v>
      </c>
      <c r="AB706" s="2505">
        <v>9.41</v>
      </c>
      <c r="AC706" s="2505">
        <v>9.08</v>
      </c>
      <c r="AD706" s="2505">
        <v>9.08</v>
      </c>
      <c r="AE706" s="2505">
        <v>13.76</v>
      </c>
      <c r="AF706" s="2505">
        <v>13.39</v>
      </c>
      <c r="AG706" s="2505">
        <v>13.76</v>
      </c>
      <c r="AH706" s="2505">
        <v>13.76</v>
      </c>
      <c r="AI706" s="2505">
        <v>13.39</v>
      </c>
      <c r="AJ706" s="2505">
        <v>13.39</v>
      </c>
      <c r="AK706" s="2505">
        <v>16.02</v>
      </c>
      <c r="AL706" s="2505">
        <v>16.02</v>
      </c>
      <c r="AM706" s="2505">
        <v>7.03</v>
      </c>
      <c r="AN706" s="2505">
        <v>6.73</v>
      </c>
      <c r="AO706" s="2505">
        <v>6.73</v>
      </c>
      <c r="AP706" s="2505">
        <v>6.73</v>
      </c>
      <c r="AQ706" s="2505">
        <v>10.76</v>
      </c>
      <c r="AR706" s="2505">
        <v>10.76</v>
      </c>
      <c r="AS706" s="2505">
        <v>11.58</v>
      </c>
      <c r="AT706" s="2505">
        <v>11.58</v>
      </c>
      <c r="AU706" s="2505">
        <v>11.58</v>
      </c>
      <c r="AV706" s="2505">
        <v>12.46</v>
      </c>
      <c r="AW706" s="2505">
        <v>10.07</v>
      </c>
      <c r="AX706" s="2505">
        <v>10.07</v>
      </c>
      <c r="AY706" s="2505">
        <v>10.199999999999999</v>
      </c>
      <c r="AZ706" s="2505">
        <v>10.199999999999999</v>
      </c>
      <c r="BA706" s="2040">
        <v>4.6500000000000004</v>
      </c>
      <c r="BB706" s="2040">
        <v>4.6500000000000004</v>
      </c>
      <c r="BC706" s="2040">
        <v>0.85</v>
      </c>
      <c r="BD706" s="2040">
        <v>0.85</v>
      </c>
      <c r="BE706" s="2040">
        <v>2.73</v>
      </c>
      <c r="BF706" s="2040">
        <v>2.73</v>
      </c>
      <c r="BG706" s="2040">
        <v>0.9</v>
      </c>
      <c r="BH706" s="2040">
        <v>0.9</v>
      </c>
      <c r="BI706" s="2040">
        <v>0.8</v>
      </c>
      <c r="BJ706" s="2040">
        <v>0.8</v>
      </c>
      <c r="BK706" s="2040">
        <v>0.8</v>
      </c>
      <c r="BL706" s="2040">
        <v>0.8</v>
      </c>
      <c r="BM706" s="2040">
        <v>5.21</v>
      </c>
      <c r="BN706" s="2040">
        <v>5.21</v>
      </c>
      <c r="BO706" s="2040">
        <v>13.24</v>
      </c>
      <c r="BP706" s="2040">
        <v>13.24</v>
      </c>
      <c r="BQ706" s="2040">
        <v>13.24</v>
      </c>
      <c r="BR706" s="2040">
        <v>13.24</v>
      </c>
      <c r="BS706" s="2040">
        <v>9.91</v>
      </c>
      <c r="BT706" s="2040">
        <v>9.91</v>
      </c>
      <c r="BU706" s="2040">
        <v>9.91</v>
      </c>
      <c r="BV706" s="2040">
        <v>9.91</v>
      </c>
      <c r="BW706" s="2040">
        <v>9.91</v>
      </c>
      <c r="BX706" s="2040">
        <v>9.91</v>
      </c>
      <c r="BY706" s="2040">
        <v>4.76</v>
      </c>
      <c r="BZ706" s="2040">
        <v>4.76</v>
      </c>
      <c r="CA706" s="2040">
        <v>12</v>
      </c>
      <c r="CB706" s="2040">
        <v>12</v>
      </c>
      <c r="CC706" s="2040">
        <v>10.35</v>
      </c>
      <c r="CD706" s="2040">
        <v>10.35</v>
      </c>
      <c r="CE706" s="2040">
        <v>9.25</v>
      </c>
      <c r="CF706" s="2040">
        <v>9.25</v>
      </c>
      <c r="CK706" s="2040">
        <v>25.38</v>
      </c>
      <c r="CL706" s="2040">
        <v>25.38</v>
      </c>
      <c r="CM706" s="2040">
        <v>44.41</v>
      </c>
      <c r="CN706" s="2040">
        <v>44.41</v>
      </c>
      <c r="CO706" s="2040">
        <v>32.15</v>
      </c>
      <c r="CP706" s="2040">
        <v>32.15</v>
      </c>
      <c r="CQ706" s="2040">
        <v>32.15</v>
      </c>
      <c r="CR706" s="2040">
        <v>32.15</v>
      </c>
      <c r="CW706" s="2040">
        <v>10.66</v>
      </c>
      <c r="CX706" s="2040">
        <v>10.66</v>
      </c>
      <c r="CY706" s="2040">
        <v>38.57</v>
      </c>
      <c r="CZ706" s="2040">
        <v>38.57</v>
      </c>
      <c r="DA706" s="2040">
        <v>38.57</v>
      </c>
      <c r="DB706" s="2040">
        <v>38.57</v>
      </c>
      <c r="DC706" s="2040">
        <v>27.79</v>
      </c>
      <c r="DD706" s="2040">
        <v>27.79</v>
      </c>
      <c r="DE706" s="2040">
        <v>27.79</v>
      </c>
      <c r="DF706" s="2040">
        <v>27.79</v>
      </c>
      <c r="DI706" s="2040">
        <v>3</v>
      </c>
      <c r="DJ706" s="2040">
        <v>3</v>
      </c>
      <c r="DK706" s="2040">
        <v>3</v>
      </c>
      <c r="DL706" s="2040">
        <v>3</v>
      </c>
      <c r="DM706" s="2040">
        <v>3</v>
      </c>
      <c r="DN706" s="2040">
        <v>3</v>
      </c>
      <c r="DU706" s="2040">
        <v>1.49</v>
      </c>
      <c r="DV706" s="2040">
        <v>1.49</v>
      </c>
      <c r="DW706" s="2040">
        <v>0.81</v>
      </c>
      <c r="DX706" s="2040">
        <v>0.81</v>
      </c>
      <c r="DY706" s="2040">
        <v>0.81</v>
      </c>
      <c r="DZ706" s="2040">
        <v>0.81</v>
      </c>
      <c r="EG706" s="2040">
        <v>1.94</v>
      </c>
      <c r="EH706" s="2040">
        <v>2.54</v>
      </c>
      <c r="EI706" s="2040">
        <v>0.67</v>
      </c>
      <c r="EJ706" s="2040">
        <v>0.67</v>
      </c>
      <c r="EK706" s="2040">
        <v>0.65</v>
      </c>
      <c r="EL706" s="2040">
        <v>0.65</v>
      </c>
      <c r="EM706" s="2040">
        <v>0.85</v>
      </c>
      <c r="EN706" s="2040">
        <v>0.85</v>
      </c>
      <c r="EO706" s="2040">
        <v>0.75</v>
      </c>
      <c r="EP706" s="2040">
        <v>0.75</v>
      </c>
      <c r="EQ706" s="2040">
        <v>0.76</v>
      </c>
      <c r="ER706" s="2040">
        <v>0.83</v>
      </c>
      <c r="ES706" s="2040">
        <v>6.55</v>
      </c>
      <c r="ET706" s="2040">
        <v>6.55</v>
      </c>
      <c r="EU706" s="2040">
        <v>13.86</v>
      </c>
      <c r="EV706" s="2040">
        <v>13.86</v>
      </c>
      <c r="EW706" s="2040">
        <v>12.85</v>
      </c>
      <c r="EX706" s="2040">
        <v>12.85</v>
      </c>
      <c r="EY706" s="2506">
        <f t="shared" si="59"/>
        <v>13.355</v>
      </c>
      <c r="EZ706" s="2506">
        <f t="shared" si="59"/>
        <v>13.355</v>
      </c>
      <c r="FA706" s="2040">
        <v>14.99</v>
      </c>
      <c r="FB706" s="2040">
        <v>14.99</v>
      </c>
      <c r="FE706" s="2040">
        <v>5.43</v>
      </c>
      <c r="FF706" s="2040">
        <v>5.43</v>
      </c>
      <c r="FG706" s="2040">
        <v>10.48</v>
      </c>
      <c r="FH706" s="2040">
        <v>10.48</v>
      </c>
      <c r="FI706" s="2040">
        <v>10.48</v>
      </c>
      <c r="FJ706" s="2040">
        <v>10.48</v>
      </c>
      <c r="FK706" s="2040">
        <v>9.94</v>
      </c>
      <c r="FL706" s="2040">
        <v>9.94</v>
      </c>
      <c r="FM706" s="2040">
        <v>10.57</v>
      </c>
      <c r="FN706" s="2040">
        <v>10.57</v>
      </c>
      <c r="FQ706" s="2040">
        <v>10.66</v>
      </c>
      <c r="FR706" s="2040">
        <v>10.66</v>
      </c>
      <c r="FS706" s="2040">
        <v>17.47</v>
      </c>
      <c r="FT706" s="2040">
        <v>17.47</v>
      </c>
      <c r="FU706" s="2040">
        <v>17.47</v>
      </c>
      <c r="FV706" s="2040">
        <v>17.47</v>
      </c>
      <c r="FW706" s="2040">
        <v>18.13</v>
      </c>
      <c r="FX706" s="2040">
        <v>18.13</v>
      </c>
      <c r="GC706" s="2040">
        <v>7.18</v>
      </c>
      <c r="GD706" s="2040">
        <v>7.18</v>
      </c>
      <c r="GE706" s="2040">
        <v>24.26</v>
      </c>
      <c r="GF706" s="2040">
        <v>24.26</v>
      </c>
      <c r="GG706" s="2040">
        <v>24.26</v>
      </c>
      <c r="GH706" s="2040">
        <v>24.26</v>
      </c>
      <c r="GI706" s="2040">
        <v>3.14</v>
      </c>
      <c r="GJ706" s="2040">
        <v>3.14</v>
      </c>
      <c r="GK706" s="2040">
        <v>10.53</v>
      </c>
      <c r="GL706" s="2040">
        <v>10.53</v>
      </c>
      <c r="GO706" s="2040">
        <v>4.17</v>
      </c>
      <c r="GP706" s="2040">
        <v>4.17</v>
      </c>
      <c r="GQ706" s="2040">
        <v>1.55</v>
      </c>
      <c r="GR706" s="2040">
        <v>1.55</v>
      </c>
      <c r="GS706" s="2040">
        <v>1.55</v>
      </c>
      <c r="GT706" s="2040">
        <v>1.43</v>
      </c>
      <c r="GU706" s="2040">
        <v>1.43</v>
      </c>
      <c r="GV706" s="2040">
        <v>1.43</v>
      </c>
      <c r="GW706" s="2040">
        <v>8.3800000000000008</v>
      </c>
      <c r="GX706" s="2040">
        <v>8.3800000000000008</v>
      </c>
      <c r="HA706" s="2040">
        <v>2.84</v>
      </c>
      <c r="HB706" s="2040">
        <v>2.84</v>
      </c>
      <c r="HC706" s="2040">
        <v>0.6</v>
      </c>
      <c r="HD706" s="2040">
        <v>0.6</v>
      </c>
      <c r="HE706" s="2040">
        <v>0.8</v>
      </c>
      <c r="HF706" s="2040">
        <v>0.8</v>
      </c>
      <c r="HG706" s="2040">
        <v>0.8</v>
      </c>
      <c r="HH706" s="2040">
        <v>0.8</v>
      </c>
      <c r="HI706" s="2040">
        <v>0.8</v>
      </c>
      <c r="HJ706" s="2040">
        <v>0.8</v>
      </c>
      <c r="HK706" s="2040">
        <v>0.75</v>
      </c>
      <c r="HL706" s="2040">
        <v>0.75</v>
      </c>
      <c r="HM706" s="2040">
        <v>3.88</v>
      </c>
      <c r="HN706" s="2040">
        <v>3.88</v>
      </c>
      <c r="HO706" s="2040">
        <v>0.77</v>
      </c>
      <c r="HP706" s="2040">
        <v>0.77</v>
      </c>
      <c r="HQ706" s="2040">
        <v>1.1000000000000001</v>
      </c>
      <c r="HR706" s="2040">
        <v>1.1000000000000001</v>
      </c>
      <c r="HS706" s="2040">
        <v>1.1000000000000001</v>
      </c>
      <c r="HT706" s="2040">
        <v>1.1000000000000001</v>
      </c>
      <c r="HU706" s="2040">
        <v>1.1000000000000001</v>
      </c>
      <c r="HV706" s="2040">
        <v>1.1000000000000001</v>
      </c>
      <c r="HW706" s="2040">
        <v>1</v>
      </c>
      <c r="HX706" s="2040">
        <v>1</v>
      </c>
    </row>
    <row r="707" spans="2:232" s="2040" customFormat="1" ht="14" x14ac:dyDescent="0.3">
      <c r="B707" s="2504">
        <v>8</v>
      </c>
      <c r="C707" s="2505">
        <v>5.97</v>
      </c>
      <c r="D707" s="2505">
        <v>5.97</v>
      </c>
      <c r="E707" s="2505">
        <v>8.6</v>
      </c>
      <c r="F707" s="2505">
        <v>8.6</v>
      </c>
      <c r="G707" s="2505">
        <v>16.93</v>
      </c>
      <c r="H707" s="2505">
        <v>16.93</v>
      </c>
      <c r="I707" s="2505">
        <v>11.18</v>
      </c>
      <c r="J707" s="2505">
        <v>11.18</v>
      </c>
      <c r="K707" s="2505">
        <v>19.54</v>
      </c>
      <c r="L707" s="2505">
        <v>19.54</v>
      </c>
      <c r="M707" s="2505"/>
      <c r="N707" s="2505"/>
      <c r="O707" s="2505">
        <v>18.03</v>
      </c>
      <c r="P707" s="2505">
        <v>18.03</v>
      </c>
      <c r="Q707" s="2505">
        <v>22.78</v>
      </c>
      <c r="R707" s="2505">
        <v>18.04</v>
      </c>
      <c r="S707" s="2505">
        <v>14.07</v>
      </c>
      <c r="T707" s="2505">
        <v>14.07</v>
      </c>
      <c r="U707" s="2505">
        <v>13.58</v>
      </c>
      <c r="V707" s="2505">
        <v>13.58</v>
      </c>
      <c r="W707" s="2505">
        <v>14.07</v>
      </c>
      <c r="X707" s="2505">
        <v>14.07</v>
      </c>
      <c r="Y707" s="2505">
        <v>13.58</v>
      </c>
      <c r="Z707" s="2505">
        <v>14.07</v>
      </c>
      <c r="AA707" s="2505">
        <v>14.07</v>
      </c>
      <c r="AB707" s="2505">
        <v>14.07</v>
      </c>
      <c r="AC707" s="2505">
        <v>13.58</v>
      </c>
      <c r="AD707" s="2505">
        <v>13.58</v>
      </c>
      <c r="AE707" s="2505">
        <v>20.350000000000001</v>
      </c>
      <c r="AF707" s="2505">
        <v>19.8</v>
      </c>
      <c r="AG707" s="2505">
        <v>20.350000000000001</v>
      </c>
      <c r="AH707" s="2505">
        <v>20.350000000000001</v>
      </c>
      <c r="AI707" s="2505">
        <v>19.8</v>
      </c>
      <c r="AJ707" s="2505">
        <v>19.8</v>
      </c>
      <c r="AK707" s="2505">
        <v>22.93</v>
      </c>
      <c r="AL707" s="2505">
        <v>22.93</v>
      </c>
      <c r="AM707" s="2505">
        <v>9.7100000000000009</v>
      </c>
      <c r="AN707" s="2505">
        <v>9.31</v>
      </c>
      <c r="AO707" s="2505">
        <v>9.31</v>
      </c>
      <c r="AP707" s="2505">
        <v>9.31</v>
      </c>
      <c r="AQ707" s="2505">
        <v>13.62</v>
      </c>
      <c r="AR707" s="2505">
        <v>13.62</v>
      </c>
      <c r="AS707" s="2505">
        <v>16.71</v>
      </c>
      <c r="AT707" s="2505">
        <v>16.71</v>
      </c>
      <c r="AU707" s="2505">
        <v>16.71</v>
      </c>
      <c r="AV707" s="2505">
        <v>17.86</v>
      </c>
      <c r="AW707" s="2505">
        <v>14.68</v>
      </c>
      <c r="AX707" s="2505">
        <v>14.68</v>
      </c>
      <c r="AY707" s="2505">
        <v>14.93</v>
      </c>
      <c r="AZ707" s="2505">
        <v>14.93</v>
      </c>
      <c r="BA707" s="2040">
        <v>6.7</v>
      </c>
      <c r="BB707" s="2040">
        <v>6.7</v>
      </c>
      <c r="BC707" s="2040">
        <v>1.19</v>
      </c>
      <c r="BD707" s="2040">
        <v>1.19</v>
      </c>
      <c r="BE707" s="2040">
        <v>3.65</v>
      </c>
      <c r="BF707" s="2040">
        <v>3.65</v>
      </c>
      <c r="BG707" s="2040">
        <v>1.24</v>
      </c>
      <c r="BH707" s="2040">
        <v>1.24</v>
      </c>
      <c r="BI707" s="2040">
        <v>1.1100000000000001</v>
      </c>
      <c r="BJ707" s="2040">
        <v>1.1100000000000001</v>
      </c>
      <c r="BK707" s="2040">
        <v>1.1100000000000001</v>
      </c>
      <c r="BL707" s="2040">
        <v>1.1100000000000001</v>
      </c>
      <c r="BM707" s="2040">
        <v>7.17</v>
      </c>
      <c r="BN707" s="2040">
        <v>7.17</v>
      </c>
      <c r="BO707" s="2040">
        <v>18.28</v>
      </c>
      <c r="BP707" s="2040">
        <v>18.28</v>
      </c>
      <c r="BQ707" s="2040">
        <v>18.28</v>
      </c>
      <c r="BR707" s="2040">
        <v>18.28</v>
      </c>
      <c r="BS707" s="2040">
        <v>14.37</v>
      </c>
      <c r="BT707" s="2040">
        <v>14.37</v>
      </c>
      <c r="BU707" s="2040">
        <v>14.37</v>
      </c>
      <c r="BV707" s="2040">
        <v>14.37</v>
      </c>
      <c r="BW707" s="2040">
        <v>14.37</v>
      </c>
      <c r="BX707" s="2040">
        <v>14.37</v>
      </c>
      <c r="BY707" s="2040">
        <v>6.54</v>
      </c>
      <c r="BZ707" s="2040">
        <v>6.54</v>
      </c>
      <c r="CA707" s="2040">
        <v>16.64</v>
      </c>
      <c r="CB707" s="2040">
        <v>16.64</v>
      </c>
      <c r="CC707" s="2040">
        <v>14.76</v>
      </c>
      <c r="CD707" s="2040">
        <v>14.76</v>
      </c>
      <c r="CE707" s="2040">
        <v>13.48</v>
      </c>
      <c r="CF707" s="2040">
        <v>13.48</v>
      </c>
      <c r="CK707" s="2040">
        <v>30.06</v>
      </c>
      <c r="CL707" s="2040">
        <v>30.06</v>
      </c>
      <c r="CM707" s="2040">
        <v>55.41</v>
      </c>
      <c r="CN707" s="2040">
        <v>55.41</v>
      </c>
      <c r="CO707" s="2040">
        <v>43.54</v>
      </c>
      <c r="CP707" s="2040">
        <v>43.54</v>
      </c>
      <c r="CQ707" s="2040">
        <v>43.54</v>
      </c>
      <c r="CR707" s="2040">
        <v>43.54</v>
      </c>
      <c r="CW707" s="2040">
        <v>14.8</v>
      </c>
      <c r="CX707" s="2040">
        <v>14.8</v>
      </c>
      <c r="CY707" s="2040">
        <v>48.91</v>
      </c>
      <c r="CZ707" s="2040">
        <v>48.91</v>
      </c>
      <c r="DA707" s="2040">
        <v>48.91</v>
      </c>
      <c r="DB707" s="2040">
        <v>48.91</v>
      </c>
      <c r="DC707" s="2040">
        <v>38</v>
      </c>
      <c r="DD707" s="2040">
        <v>38</v>
      </c>
      <c r="DE707" s="2040">
        <v>38</v>
      </c>
      <c r="DF707" s="2040">
        <v>38</v>
      </c>
      <c r="DI707" s="2040">
        <v>4.08</v>
      </c>
      <c r="DJ707" s="2040">
        <v>4.08</v>
      </c>
      <c r="DK707" s="2040">
        <v>4.08</v>
      </c>
      <c r="DL707" s="2040">
        <v>4.08</v>
      </c>
      <c r="DM707" s="2040">
        <v>4.08</v>
      </c>
      <c r="DN707" s="2040">
        <v>4.08</v>
      </c>
      <c r="DU707" s="2040">
        <v>1.96</v>
      </c>
      <c r="DV707" s="2040">
        <v>1.96</v>
      </c>
      <c r="DW707" s="2040">
        <v>1.0900000000000001</v>
      </c>
      <c r="DX707" s="2040">
        <v>1.0900000000000001</v>
      </c>
      <c r="DY707" s="2040">
        <v>1.0900000000000001</v>
      </c>
      <c r="DZ707" s="2040">
        <v>1.0900000000000001</v>
      </c>
      <c r="EG707" s="2040">
        <v>2.63</v>
      </c>
      <c r="EH707" s="2040">
        <v>3.3</v>
      </c>
      <c r="EI707" s="2040">
        <v>0.87</v>
      </c>
      <c r="EJ707" s="2040">
        <v>0.87</v>
      </c>
      <c r="EK707" s="2040">
        <v>0.85</v>
      </c>
      <c r="EL707" s="2040">
        <v>0.85</v>
      </c>
      <c r="EM707" s="2040">
        <v>1.1299999999999999</v>
      </c>
      <c r="EN707" s="2040">
        <v>1.1299999999999999</v>
      </c>
      <c r="EO707" s="2040">
        <v>0.98</v>
      </c>
      <c r="EP707" s="2040">
        <v>0.98</v>
      </c>
      <c r="EQ707" s="2040">
        <v>1</v>
      </c>
      <c r="ER707" s="2040">
        <v>1.1000000000000001</v>
      </c>
      <c r="ES707" s="2040">
        <v>9.15</v>
      </c>
      <c r="ET707" s="2040">
        <v>9.15</v>
      </c>
      <c r="EU707" s="2040">
        <v>20.239999999999998</v>
      </c>
      <c r="EV707" s="2040">
        <v>20.239999999999998</v>
      </c>
      <c r="EW707" s="2040">
        <v>18.89</v>
      </c>
      <c r="EX707" s="2040">
        <v>18.89</v>
      </c>
      <c r="EY707" s="2506">
        <f t="shared" si="59"/>
        <v>19.564999999999998</v>
      </c>
      <c r="EZ707" s="2506">
        <f t="shared" si="59"/>
        <v>19.564999999999998</v>
      </c>
      <c r="FA707" s="2040">
        <v>21.81</v>
      </c>
      <c r="FB707" s="2040">
        <v>21.81</v>
      </c>
      <c r="FE707" s="2040">
        <v>7.51</v>
      </c>
      <c r="FF707" s="2040">
        <v>7.51</v>
      </c>
      <c r="FG707" s="2040">
        <v>15.25</v>
      </c>
      <c r="FH707" s="2040">
        <v>15.25</v>
      </c>
      <c r="FI707" s="2040">
        <v>15.25</v>
      </c>
      <c r="FJ707" s="2040">
        <v>15.25</v>
      </c>
      <c r="FK707" s="2040">
        <v>14.56</v>
      </c>
      <c r="FL707" s="2040">
        <v>14.56</v>
      </c>
      <c r="FM707" s="2040">
        <v>15.42</v>
      </c>
      <c r="FN707" s="2040">
        <v>15.42</v>
      </c>
      <c r="FQ707" s="2040">
        <v>14.48</v>
      </c>
      <c r="FR707" s="2040">
        <v>14.48</v>
      </c>
      <c r="FS707" s="2040">
        <v>23.67</v>
      </c>
      <c r="FT707" s="2040">
        <v>23.67</v>
      </c>
      <c r="FU707" s="2040">
        <v>23.67</v>
      </c>
      <c r="FV707" s="2040">
        <v>23.67</v>
      </c>
      <c r="FW707" s="2040">
        <v>24.53</v>
      </c>
      <c r="FX707" s="2040">
        <v>24.53</v>
      </c>
      <c r="GC707" s="2040">
        <v>10.07</v>
      </c>
      <c r="GD707" s="2040">
        <v>10.07</v>
      </c>
      <c r="GE707" s="2040">
        <v>31.77</v>
      </c>
      <c r="GF707" s="2040">
        <v>31.77</v>
      </c>
      <c r="GG707" s="2040">
        <v>31.77</v>
      </c>
      <c r="GH707" s="2040">
        <v>31.77</v>
      </c>
      <c r="GI707" s="2040">
        <v>4.97</v>
      </c>
      <c r="GJ707" s="2040">
        <v>4.97</v>
      </c>
      <c r="GK707" s="2040">
        <v>15.36</v>
      </c>
      <c r="GL707" s="2040">
        <v>15.36</v>
      </c>
      <c r="GO707" s="2040">
        <v>6.04</v>
      </c>
      <c r="GP707" s="2040">
        <v>6.04</v>
      </c>
      <c r="GQ707" s="2040">
        <v>2.15</v>
      </c>
      <c r="GR707" s="2040">
        <v>2.15</v>
      </c>
      <c r="GS707" s="2040">
        <v>2.15</v>
      </c>
      <c r="GT707" s="2040">
        <v>2</v>
      </c>
      <c r="GU707" s="2040">
        <v>2</v>
      </c>
      <c r="GV707" s="2040">
        <v>2</v>
      </c>
      <c r="GW707" s="2040">
        <v>12.22</v>
      </c>
      <c r="GX707" s="2040">
        <v>12.22</v>
      </c>
      <c r="HA707" s="2040">
        <v>3.86</v>
      </c>
      <c r="HB707" s="2040">
        <v>3.86</v>
      </c>
      <c r="HC707" s="2040">
        <v>0.79</v>
      </c>
      <c r="HD707" s="2040">
        <v>0.79</v>
      </c>
      <c r="HE707" s="2040">
        <v>1.08</v>
      </c>
      <c r="HF707" s="2040">
        <v>1.08</v>
      </c>
      <c r="HG707" s="2040">
        <v>1.08</v>
      </c>
      <c r="HH707" s="2040">
        <v>1.08</v>
      </c>
      <c r="HI707" s="2040">
        <v>1.08</v>
      </c>
      <c r="HJ707" s="2040">
        <v>1.08</v>
      </c>
      <c r="HK707" s="2040">
        <v>1.01</v>
      </c>
      <c r="HL707" s="2040">
        <v>1.01</v>
      </c>
      <c r="HM707" s="2040">
        <v>5.31</v>
      </c>
      <c r="HN707" s="2040">
        <v>5.31</v>
      </c>
      <c r="HO707" s="2040">
        <v>1.07</v>
      </c>
      <c r="HP707" s="2040">
        <v>1.07</v>
      </c>
      <c r="HQ707" s="2040">
        <v>1.53</v>
      </c>
      <c r="HR707" s="2040">
        <v>1.53</v>
      </c>
      <c r="HS707" s="2040">
        <v>1.53</v>
      </c>
      <c r="HT707" s="2040">
        <v>1.53</v>
      </c>
      <c r="HU707" s="2040">
        <v>1.53</v>
      </c>
      <c r="HV707" s="2040">
        <v>1.53</v>
      </c>
      <c r="HW707" s="2040">
        <v>1.39</v>
      </c>
      <c r="HX707" s="2040">
        <v>1.39</v>
      </c>
    </row>
    <row r="708" spans="2:232" s="2040" customFormat="1" ht="14" x14ac:dyDescent="0.3">
      <c r="B708" s="2504">
        <v>9</v>
      </c>
      <c r="C708" s="2505">
        <v>7.77</v>
      </c>
      <c r="D708" s="2505">
        <v>7.77</v>
      </c>
      <c r="E708" s="2505">
        <v>10.34</v>
      </c>
      <c r="F708" s="2505">
        <v>10.34</v>
      </c>
      <c r="G708" s="2505">
        <v>22.21</v>
      </c>
      <c r="H708" s="2505">
        <v>22.21</v>
      </c>
      <c r="I708" s="2505">
        <v>16.11</v>
      </c>
      <c r="J708" s="2505">
        <v>16.11</v>
      </c>
      <c r="K708" s="2505">
        <v>26.76</v>
      </c>
      <c r="L708" s="2505">
        <v>26.76</v>
      </c>
      <c r="M708" s="2505"/>
      <c r="N708" s="2505"/>
      <c r="O708" s="2505">
        <v>23.68</v>
      </c>
      <c r="P708" s="2505">
        <v>23.68</v>
      </c>
      <c r="Q708" s="2505">
        <v>28.36</v>
      </c>
      <c r="R708" s="2505">
        <v>23.69</v>
      </c>
      <c r="S708" s="2505">
        <v>19.670000000000002</v>
      </c>
      <c r="T708" s="2505">
        <v>19.670000000000002</v>
      </c>
      <c r="U708" s="2505">
        <v>18.98</v>
      </c>
      <c r="V708" s="2505">
        <v>18.98</v>
      </c>
      <c r="W708" s="2505">
        <v>19.670000000000002</v>
      </c>
      <c r="X708" s="2505">
        <v>19.670000000000002</v>
      </c>
      <c r="Y708" s="2505">
        <v>18.98</v>
      </c>
      <c r="Z708" s="2505">
        <v>19.670000000000002</v>
      </c>
      <c r="AA708" s="2505">
        <v>19.670000000000002</v>
      </c>
      <c r="AB708" s="2505">
        <v>19.670000000000002</v>
      </c>
      <c r="AC708" s="2505">
        <v>18.98</v>
      </c>
      <c r="AD708" s="2505">
        <v>18.98</v>
      </c>
      <c r="AE708" s="2505">
        <v>28.09</v>
      </c>
      <c r="AF708" s="2505">
        <v>27.32</v>
      </c>
      <c r="AG708" s="2505">
        <v>28.09</v>
      </c>
      <c r="AH708" s="2505">
        <v>28.09</v>
      </c>
      <c r="AI708" s="2505">
        <v>27.32</v>
      </c>
      <c r="AJ708" s="2505">
        <v>27.32</v>
      </c>
      <c r="AK708" s="2505">
        <v>30.88</v>
      </c>
      <c r="AL708" s="2505">
        <v>30.88</v>
      </c>
      <c r="AM708" s="2505">
        <v>12.7</v>
      </c>
      <c r="AN708" s="2505">
        <v>12.19</v>
      </c>
      <c r="AO708" s="2505">
        <v>12.19</v>
      </c>
      <c r="AP708" s="2505">
        <v>12.19</v>
      </c>
      <c r="AQ708" s="2505">
        <v>16.41</v>
      </c>
      <c r="AR708" s="2505">
        <v>16.41</v>
      </c>
      <c r="AS708" s="2505">
        <v>22.67</v>
      </c>
      <c r="AT708" s="2505">
        <v>22.67</v>
      </c>
      <c r="AU708" s="2505">
        <v>22.67</v>
      </c>
      <c r="AV708" s="2505">
        <v>24.1</v>
      </c>
      <c r="AW708" s="2505">
        <v>20.51</v>
      </c>
      <c r="AX708" s="2505">
        <v>20.51</v>
      </c>
      <c r="AY708" s="2505">
        <v>20.78</v>
      </c>
      <c r="AZ708" s="2505">
        <v>20.78</v>
      </c>
      <c r="BA708" s="2040">
        <v>9.1</v>
      </c>
      <c r="BB708" s="2040">
        <v>9.1</v>
      </c>
      <c r="BC708" s="2040">
        <v>1.6</v>
      </c>
      <c r="BD708" s="2040">
        <v>1.6</v>
      </c>
      <c r="BE708" s="2040">
        <v>4.67</v>
      </c>
      <c r="BF708" s="2040">
        <v>4.67</v>
      </c>
      <c r="BG708" s="2040">
        <v>1.65</v>
      </c>
      <c r="BH708" s="2040">
        <v>1.65</v>
      </c>
      <c r="BI708" s="2040">
        <v>1.5</v>
      </c>
      <c r="BJ708" s="2040">
        <v>1.5</v>
      </c>
      <c r="BK708" s="2040">
        <v>1.5</v>
      </c>
      <c r="BL708" s="2040">
        <v>1.5</v>
      </c>
      <c r="BM708" s="2040">
        <v>9.35</v>
      </c>
      <c r="BN708" s="2040">
        <v>9.35</v>
      </c>
      <c r="BO708" s="2040">
        <v>23.95</v>
      </c>
      <c r="BP708" s="2040">
        <v>23.95</v>
      </c>
      <c r="BQ708" s="2040">
        <v>23.95</v>
      </c>
      <c r="BR708" s="2040">
        <v>23.95</v>
      </c>
      <c r="BS708" s="2040">
        <v>19.62</v>
      </c>
      <c r="BT708" s="2040">
        <v>19.62</v>
      </c>
      <c r="BU708" s="2040">
        <v>19.62</v>
      </c>
      <c r="BV708" s="2040">
        <v>19.62</v>
      </c>
      <c r="BW708" s="2040">
        <v>19.62</v>
      </c>
      <c r="BX708" s="2040">
        <v>19.62</v>
      </c>
      <c r="BY708" s="2040">
        <v>8.52</v>
      </c>
      <c r="BZ708" s="2040">
        <v>8.52</v>
      </c>
      <c r="CA708" s="2040">
        <v>21.88</v>
      </c>
      <c r="CB708" s="2040">
        <v>21.88</v>
      </c>
      <c r="CC708" s="2040">
        <v>19.84</v>
      </c>
      <c r="CD708" s="2040">
        <v>19.84</v>
      </c>
      <c r="CE708" s="2040">
        <v>18.47</v>
      </c>
      <c r="CF708" s="2040">
        <v>18.47</v>
      </c>
      <c r="CK708" s="2040">
        <v>34.56</v>
      </c>
      <c r="CL708" s="2040">
        <v>34.56</v>
      </c>
      <c r="CM708" s="2040">
        <v>65.94</v>
      </c>
      <c r="CN708" s="2040">
        <v>65.94</v>
      </c>
      <c r="CO708" s="2040">
        <v>55.67</v>
      </c>
      <c r="CP708" s="2040">
        <v>55.67</v>
      </c>
      <c r="CQ708" s="2040">
        <v>55.67</v>
      </c>
      <c r="CR708" s="2040">
        <v>55.67</v>
      </c>
      <c r="CW708" s="2040">
        <v>19.41</v>
      </c>
      <c r="CX708" s="2040">
        <v>19.41</v>
      </c>
      <c r="CY708" s="2040">
        <v>58.91</v>
      </c>
      <c r="CZ708" s="2040">
        <v>58.91</v>
      </c>
      <c r="DA708" s="2040">
        <v>58.91</v>
      </c>
      <c r="DB708" s="2040">
        <v>58.91</v>
      </c>
      <c r="DC708" s="2040">
        <v>49.36</v>
      </c>
      <c r="DD708" s="2040">
        <v>49.36</v>
      </c>
      <c r="DE708" s="2040">
        <v>49.36</v>
      </c>
      <c r="DF708" s="2040">
        <v>49.36</v>
      </c>
      <c r="DI708" s="2040">
        <v>5.29</v>
      </c>
      <c r="DJ708" s="2040">
        <v>5.29</v>
      </c>
      <c r="DK708" s="2040">
        <v>5.29</v>
      </c>
      <c r="DL708" s="2040">
        <v>5.29</v>
      </c>
      <c r="DM708" s="2040">
        <v>5.29</v>
      </c>
      <c r="DN708" s="2040">
        <v>5.29</v>
      </c>
      <c r="DU708" s="2040">
        <v>2.5</v>
      </c>
      <c r="DV708" s="2040">
        <v>2.5</v>
      </c>
      <c r="DW708" s="2040">
        <v>1.43</v>
      </c>
      <c r="DX708" s="2040">
        <v>1.43</v>
      </c>
      <c r="DY708" s="2040">
        <v>1.43</v>
      </c>
      <c r="DZ708" s="2040">
        <v>1.43</v>
      </c>
      <c r="EG708" s="2040">
        <v>3.14</v>
      </c>
      <c r="EH708" s="2040">
        <v>3.8</v>
      </c>
      <c r="EI708" s="2040">
        <v>1.04</v>
      </c>
      <c r="EJ708" s="2040">
        <v>1.04</v>
      </c>
      <c r="EK708" s="2040">
        <v>1.01</v>
      </c>
      <c r="EL708" s="2040">
        <v>1.01</v>
      </c>
      <c r="EM708" s="2040">
        <v>1.35</v>
      </c>
      <c r="EN708" s="2040">
        <v>1.35</v>
      </c>
      <c r="EO708" s="2040">
        <v>1.17</v>
      </c>
      <c r="EP708" s="2040">
        <v>1.17</v>
      </c>
      <c r="EQ708" s="2040">
        <v>1.2</v>
      </c>
      <c r="ER708" s="2040">
        <v>1.31</v>
      </c>
      <c r="ES708" s="2040">
        <v>10.59</v>
      </c>
      <c r="ET708" s="2040">
        <v>10.59</v>
      </c>
      <c r="EU708" s="2040">
        <v>23.96</v>
      </c>
      <c r="EV708" s="2040">
        <v>23.96</v>
      </c>
      <c r="EW708" s="2040">
        <v>22.44</v>
      </c>
      <c r="EX708" s="2040">
        <v>22.44</v>
      </c>
      <c r="EY708" s="2506">
        <f t="shared" si="59"/>
        <v>23.200000000000003</v>
      </c>
      <c r="EZ708" s="2506">
        <f t="shared" si="59"/>
        <v>23.200000000000003</v>
      </c>
      <c r="FA708" s="2040">
        <v>25.77</v>
      </c>
      <c r="FB708" s="2040">
        <v>25.77</v>
      </c>
      <c r="FE708" s="2040">
        <v>8.86</v>
      </c>
      <c r="FF708" s="2040">
        <v>8.86</v>
      </c>
      <c r="FG708" s="2040">
        <v>18.52</v>
      </c>
      <c r="FH708" s="2040">
        <v>18.52</v>
      </c>
      <c r="FI708" s="2040">
        <v>18.52</v>
      </c>
      <c r="FJ708" s="2040">
        <v>18.52</v>
      </c>
      <c r="FK708" s="2040">
        <v>17.73</v>
      </c>
      <c r="FL708" s="2040">
        <v>17.73</v>
      </c>
      <c r="FM708" s="2040">
        <v>18.739999999999998</v>
      </c>
      <c r="FN708" s="2040">
        <v>18.739999999999998</v>
      </c>
      <c r="FQ708" s="2040">
        <v>18.54</v>
      </c>
      <c r="FR708" s="2040">
        <v>18.54</v>
      </c>
      <c r="FS708" s="2040">
        <v>30.34</v>
      </c>
      <c r="FT708" s="2040">
        <v>30.34</v>
      </c>
      <c r="FU708" s="2040">
        <v>30.34</v>
      </c>
      <c r="FV708" s="2040">
        <v>30.34</v>
      </c>
      <c r="FW708" s="2040">
        <v>31.4</v>
      </c>
      <c r="FX708" s="2040">
        <v>31.4</v>
      </c>
      <c r="GC708" s="2040">
        <v>13.23</v>
      </c>
      <c r="GD708" s="2040">
        <v>13.23</v>
      </c>
      <c r="GE708" s="2040">
        <v>38.96</v>
      </c>
      <c r="GF708" s="2040">
        <v>38.96</v>
      </c>
      <c r="GG708" s="2040">
        <v>38.96</v>
      </c>
      <c r="GH708" s="2040">
        <v>38.96</v>
      </c>
      <c r="GI708" s="2040">
        <v>7.29</v>
      </c>
      <c r="GJ708" s="2040">
        <v>7.29</v>
      </c>
      <c r="GK708" s="2040">
        <v>20.91</v>
      </c>
      <c r="GL708" s="2040">
        <v>20.91</v>
      </c>
      <c r="GO708" s="2040">
        <v>7.74</v>
      </c>
      <c r="GP708" s="2040">
        <v>7.74</v>
      </c>
      <c r="GQ708" s="2040">
        <v>2.88</v>
      </c>
      <c r="GR708" s="2040">
        <v>2.88</v>
      </c>
      <c r="GS708" s="2040">
        <v>2.88</v>
      </c>
      <c r="GT708" s="2040">
        <v>2.69</v>
      </c>
      <c r="GU708" s="2040">
        <v>2.69</v>
      </c>
      <c r="GV708" s="2040">
        <v>2.69</v>
      </c>
      <c r="GW708" s="2040">
        <v>16.77</v>
      </c>
      <c r="GX708" s="2040">
        <v>16.77</v>
      </c>
      <c r="HA708" s="2040">
        <v>4.99</v>
      </c>
      <c r="HB708" s="2040">
        <v>4.99</v>
      </c>
      <c r="HC708" s="2040">
        <v>1.04</v>
      </c>
      <c r="HD708" s="2040">
        <v>1.04</v>
      </c>
      <c r="HE708" s="2040">
        <v>1.43</v>
      </c>
      <c r="HF708" s="2040">
        <v>1.43</v>
      </c>
      <c r="HG708" s="2040">
        <v>1.43</v>
      </c>
      <c r="HH708" s="2040">
        <v>1.43</v>
      </c>
      <c r="HI708" s="2040">
        <v>1.43</v>
      </c>
      <c r="HJ708" s="2040">
        <v>1.43</v>
      </c>
      <c r="HK708" s="2040">
        <v>1.34</v>
      </c>
      <c r="HL708" s="2040">
        <v>1.34</v>
      </c>
      <c r="HM708" s="2040">
        <v>6.9</v>
      </c>
      <c r="HN708" s="2040">
        <v>6.9</v>
      </c>
      <c r="HO708" s="2040">
        <v>1.45</v>
      </c>
      <c r="HP708" s="2040">
        <v>1.45</v>
      </c>
      <c r="HQ708" s="2040">
        <v>2.06</v>
      </c>
      <c r="HR708" s="2040">
        <v>2.06</v>
      </c>
      <c r="HS708" s="2040">
        <v>2.06</v>
      </c>
      <c r="HT708" s="2040">
        <v>2.06</v>
      </c>
      <c r="HU708" s="2040">
        <v>2.06</v>
      </c>
      <c r="HV708" s="2040">
        <v>2.06</v>
      </c>
      <c r="HW708" s="2040">
        <v>1.89</v>
      </c>
      <c r="HX708" s="2040">
        <v>1.89</v>
      </c>
    </row>
    <row r="709" spans="2:232" s="2040" customFormat="1" ht="14" x14ac:dyDescent="0.3">
      <c r="B709" s="2504">
        <v>10</v>
      </c>
      <c r="C709" s="2505">
        <v>9.5500000000000007</v>
      </c>
      <c r="D709" s="2505">
        <v>9.5500000000000007</v>
      </c>
      <c r="E709" s="2505">
        <v>12.03</v>
      </c>
      <c r="F709" s="2505">
        <v>12.03</v>
      </c>
      <c r="G709" s="2505">
        <v>28.02</v>
      </c>
      <c r="H709" s="2505">
        <v>28.02</v>
      </c>
      <c r="I709" s="2505">
        <v>21.77</v>
      </c>
      <c r="J709" s="2505">
        <v>21.77</v>
      </c>
      <c r="K709" s="2505">
        <v>33.58</v>
      </c>
      <c r="L709" s="2505">
        <v>33.58</v>
      </c>
      <c r="M709" s="2505"/>
      <c r="N709" s="2505"/>
      <c r="O709" s="2505">
        <v>29.26</v>
      </c>
      <c r="P709" s="2505">
        <v>29.26</v>
      </c>
      <c r="Q709" s="2505">
        <v>33.770000000000003</v>
      </c>
      <c r="R709" s="2505">
        <v>29.27</v>
      </c>
      <c r="S709" s="2505">
        <v>26.12</v>
      </c>
      <c r="T709" s="2505">
        <v>26.12</v>
      </c>
      <c r="U709" s="2505">
        <v>25.2</v>
      </c>
      <c r="V709" s="2505">
        <v>25.2</v>
      </c>
      <c r="W709" s="2505">
        <v>26.12</v>
      </c>
      <c r="X709" s="2505">
        <v>26.12</v>
      </c>
      <c r="Y709" s="2505">
        <v>25.2</v>
      </c>
      <c r="Z709" s="2505">
        <v>26.12</v>
      </c>
      <c r="AA709" s="2505">
        <v>26.12</v>
      </c>
      <c r="AB709" s="2505">
        <v>26.12</v>
      </c>
      <c r="AC709" s="2505">
        <v>25.2</v>
      </c>
      <c r="AD709" s="2505">
        <v>25.2</v>
      </c>
      <c r="AE709" s="2505">
        <v>36.81</v>
      </c>
      <c r="AF709" s="2505">
        <v>35.79</v>
      </c>
      <c r="AG709" s="2505">
        <v>36.81</v>
      </c>
      <c r="AH709" s="2505">
        <v>36.81</v>
      </c>
      <c r="AI709" s="2505">
        <v>35.79</v>
      </c>
      <c r="AJ709" s="2505">
        <v>35.79</v>
      </c>
      <c r="AK709" s="2505">
        <v>39.72</v>
      </c>
      <c r="AL709" s="2505">
        <v>39.72</v>
      </c>
      <c r="AM709" s="2505">
        <v>15.65</v>
      </c>
      <c r="AN709" s="2505">
        <v>15.03</v>
      </c>
      <c r="AO709" s="2505">
        <v>15.03</v>
      </c>
      <c r="AP709" s="2505">
        <v>15.03</v>
      </c>
      <c r="AQ709" s="2505">
        <v>19.11</v>
      </c>
      <c r="AR709" s="2505">
        <v>19.11</v>
      </c>
      <c r="AS709" s="2505">
        <v>29.34</v>
      </c>
      <c r="AT709" s="2505">
        <v>29.34</v>
      </c>
      <c r="AU709" s="2505">
        <v>29.34</v>
      </c>
      <c r="AV709" s="2505">
        <v>31.06</v>
      </c>
      <c r="AW709" s="2505">
        <v>27.12</v>
      </c>
      <c r="AX709" s="2505">
        <v>27.12</v>
      </c>
      <c r="AY709" s="2505">
        <v>27.41</v>
      </c>
      <c r="AZ709" s="2505">
        <v>27.41</v>
      </c>
      <c r="BA709" s="2040">
        <v>11.82</v>
      </c>
      <c r="BB709" s="2040">
        <v>11.82</v>
      </c>
      <c r="BC709" s="2040">
        <v>2.09</v>
      </c>
      <c r="BD709" s="2040">
        <v>2.09</v>
      </c>
      <c r="BE709" s="2040">
        <v>5.67</v>
      </c>
      <c r="BF709" s="2040">
        <v>5.67</v>
      </c>
      <c r="BG709" s="2040">
        <v>2.14</v>
      </c>
      <c r="BH709" s="2040">
        <v>2.14</v>
      </c>
      <c r="BI709" s="2040">
        <v>1.97</v>
      </c>
      <c r="BJ709" s="2040">
        <v>1.97</v>
      </c>
      <c r="BK709" s="2040">
        <v>1.97</v>
      </c>
      <c r="BL709" s="2040">
        <v>1.97</v>
      </c>
      <c r="BM709" s="2040">
        <v>11.51</v>
      </c>
      <c r="BN709" s="2040">
        <v>11.51</v>
      </c>
      <c r="BO709" s="2040">
        <v>29.99</v>
      </c>
      <c r="BP709" s="2040">
        <v>29.99</v>
      </c>
      <c r="BQ709" s="2040">
        <v>29.99</v>
      </c>
      <c r="BR709" s="2040">
        <v>29.99</v>
      </c>
      <c r="BS709" s="2040">
        <v>25.56</v>
      </c>
      <c r="BT709" s="2040">
        <v>25.56</v>
      </c>
      <c r="BU709" s="2040">
        <v>25.56</v>
      </c>
      <c r="BV709" s="2040">
        <v>25.56</v>
      </c>
      <c r="BW709" s="2040">
        <v>25.56</v>
      </c>
      <c r="BX709" s="2040">
        <v>25.56</v>
      </c>
      <c r="BY709" s="2040">
        <v>10.47</v>
      </c>
      <c r="BZ709" s="2040">
        <v>10.47</v>
      </c>
      <c r="CA709" s="2040">
        <v>27.6</v>
      </c>
      <c r="CB709" s="2040">
        <v>27.6</v>
      </c>
      <c r="CC709" s="2040">
        <v>25.48</v>
      </c>
      <c r="CD709" s="2040">
        <v>25.48</v>
      </c>
      <c r="CE709" s="2040">
        <v>24.14</v>
      </c>
      <c r="CF709" s="2040">
        <v>24.14</v>
      </c>
      <c r="CK709" s="2040">
        <v>38.840000000000003</v>
      </c>
      <c r="CL709" s="2040">
        <v>38.840000000000003</v>
      </c>
      <c r="CM709" s="2040">
        <v>75.930000000000007</v>
      </c>
      <c r="CN709" s="2040">
        <v>75.930000000000007</v>
      </c>
      <c r="CO709" s="2040">
        <v>67.599999999999994</v>
      </c>
      <c r="CP709" s="2040">
        <v>67.599999999999994</v>
      </c>
      <c r="CQ709" s="2040">
        <v>67.599999999999994</v>
      </c>
      <c r="CR709" s="2040">
        <v>67.599999999999994</v>
      </c>
      <c r="CW709" s="2040">
        <v>23.96</v>
      </c>
      <c r="CX709" s="2040">
        <v>23.96</v>
      </c>
      <c r="CY709" s="2040">
        <v>68.45</v>
      </c>
      <c r="CZ709" s="2040">
        <v>68.45</v>
      </c>
      <c r="DA709" s="2040">
        <v>68.45</v>
      </c>
      <c r="DB709" s="2040">
        <v>68.45</v>
      </c>
      <c r="DC709" s="2040">
        <v>60.65</v>
      </c>
      <c r="DD709" s="2040">
        <v>60.65</v>
      </c>
      <c r="DE709" s="2040">
        <v>60.65</v>
      </c>
      <c r="DF709" s="2040">
        <v>60.65</v>
      </c>
      <c r="DI709" s="2040">
        <v>6.48</v>
      </c>
      <c r="DJ709" s="2040">
        <v>6.48</v>
      </c>
      <c r="DK709" s="2040">
        <v>6.48</v>
      </c>
      <c r="DL709" s="2040">
        <v>6.48</v>
      </c>
      <c r="DM709" s="2040">
        <v>6.48</v>
      </c>
      <c r="DN709" s="2040">
        <v>6.48</v>
      </c>
      <c r="DU709" s="2040">
        <v>3.02</v>
      </c>
      <c r="DV709" s="2040">
        <v>3.02</v>
      </c>
      <c r="DW709" s="2040">
        <v>1.81</v>
      </c>
      <c r="DX709" s="2040">
        <v>1.81</v>
      </c>
      <c r="DY709" s="2040">
        <v>1.81</v>
      </c>
      <c r="DZ709" s="2040">
        <v>1.81</v>
      </c>
      <c r="EG709" s="2040">
        <v>3.61</v>
      </c>
      <c r="EH709" s="2040">
        <v>4.26</v>
      </c>
      <c r="EI709" s="2040">
        <v>1.23</v>
      </c>
      <c r="EJ709" s="2040">
        <v>1.23</v>
      </c>
      <c r="EK709" s="2040">
        <v>1.2</v>
      </c>
      <c r="EL709" s="2040">
        <v>1.2</v>
      </c>
      <c r="EM709" s="2040">
        <v>1.59</v>
      </c>
      <c r="EN709" s="2040">
        <v>1.59</v>
      </c>
      <c r="EO709" s="2040">
        <v>1.38</v>
      </c>
      <c r="EP709" s="2040">
        <v>1.38</v>
      </c>
      <c r="EQ709" s="2040">
        <v>1.41</v>
      </c>
      <c r="ER709" s="2040">
        <v>1.55</v>
      </c>
      <c r="ES709" s="2040">
        <v>12.4</v>
      </c>
      <c r="ET709" s="2040">
        <v>12.4</v>
      </c>
      <c r="EU709" s="2040">
        <v>29.34</v>
      </c>
      <c r="EV709" s="2040">
        <v>29.34</v>
      </c>
      <c r="EW709" s="2040">
        <v>27.59</v>
      </c>
      <c r="EX709" s="2040">
        <v>27.59</v>
      </c>
      <c r="EY709" s="2506">
        <f t="shared" si="59"/>
        <v>28.465</v>
      </c>
      <c r="EZ709" s="2506">
        <f t="shared" si="59"/>
        <v>28.465</v>
      </c>
      <c r="FA709" s="2040">
        <v>31.47</v>
      </c>
      <c r="FB709" s="2040">
        <v>31.47</v>
      </c>
      <c r="FE709" s="2040">
        <v>10.25</v>
      </c>
      <c r="FF709" s="2040">
        <v>10.25</v>
      </c>
      <c r="FG709" s="2040">
        <v>22.39</v>
      </c>
      <c r="FH709" s="2040">
        <v>22.39</v>
      </c>
      <c r="FI709" s="2040">
        <v>22.39</v>
      </c>
      <c r="FJ709" s="2040">
        <v>22.39</v>
      </c>
      <c r="FK709" s="2040">
        <v>21.52</v>
      </c>
      <c r="FL709" s="2040">
        <v>21.52</v>
      </c>
      <c r="FM709" s="2040">
        <v>22.69</v>
      </c>
      <c r="FN709" s="2040">
        <v>22.69</v>
      </c>
      <c r="FQ709" s="2040">
        <v>22.59</v>
      </c>
      <c r="FR709" s="2040">
        <v>22.59</v>
      </c>
      <c r="FS709" s="2040">
        <v>37.57</v>
      </c>
      <c r="FT709" s="2040">
        <v>37.57</v>
      </c>
      <c r="FU709" s="2040">
        <v>37.57</v>
      </c>
      <c r="FV709" s="2040">
        <v>37.57</v>
      </c>
      <c r="FW709" s="2040">
        <v>38.68</v>
      </c>
      <c r="FX709" s="2040">
        <v>38.68</v>
      </c>
      <c r="GC709" s="2040">
        <v>16.079999999999998</v>
      </c>
      <c r="GD709" s="2040">
        <v>16.079999999999998</v>
      </c>
      <c r="GE709" s="2040">
        <v>45.3</v>
      </c>
      <c r="GF709" s="2040">
        <v>45.3</v>
      </c>
      <c r="GG709" s="2040">
        <v>45.3</v>
      </c>
      <c r="GH709" s="2040">
        <v>45.3</v>
      </c>
      <c r="GI709" s="2040">
        <v>9.8699999999999992</v>
      </c>
      <c r="GJ709" s="2040">
        <v>9.8699999999999992</v>
      </c>
      <c r="GK709" s="2040">
        <v>26.62</v>
      </c>
      <c r="GL709" s="2040">
        <v>26.62</v>
      </c>
      <c r="GO709" s="2040">
        <v>9.16</v>
      </c>
      <c r="GP709" s="2040">
        <v>9.16</v>
      </c>
      <c r="GQ709" s="2040">
        <v>3.72</v>
      </c>
      <c r="GR709" s="2040">
        <v>3.72</v>
      </c>
      <c r="GS709" s="2040">
        <v>3.72</v>
      </c>
      <c r="GT709" s="2040">
        <v>3.47</v>
      </c>
      <c r="GU709" s="2040">
        <v>3.47</v>
      </c>
      <c r="GV709" s="2040">
        <v>3.47</v>
      </c>
      <c r="GW709" s="2040">
        <v>21.96</v>
      </c>
      <c r="GX709" s="2040">
        <v>21.96</v>
      </c>
      <c r="HA709" s="2040">
        <v>6.11</v>
      </c>
      <c r="HB709" s="2040">
        <v>6.11</v>
      </c>
      <c r="HC709" s="2040">
        <v>1.35</v>
      </c>
      <c r="HD709" s="2040">
        <v>1.35</v>
      </c>
      <c r="HE709" s="2040">
        <v>1.84</v>
      </c>
      <c r="HF709" s="2040">
        <v>1.84</v>
      </c>
      <c r="HG709" s="2040">
        <v>1.84</v>
      </c>
      <c r="HH709" s="2040">
        <v>1.84</v>
      </c>
      <c r="HI709" s="2040">
        <v>1.84</v>
      </c>
      <c r="HJ709" s="2040">
        <v>1.84</v>
      </c>
      <c r="HK709" s="2040">
        <v>1.73</v>
      </c>
      <c r="HL709" s="2040">
        <v>1.73</v>
      </c>
      <c r="HM709" s="2040">
        <v>8.4700000000000006</v>
      </c>
      <c r="HN709" s="2040">
        <v>8.4700000000000006</v>
      </c>
      <c r="HO709" s="2040">
        <v>1.93</v>
      </c>
      <c r="HP709" s="2040">
        <v>1.93</v>
      </c>
      <c r="HQ709" s="2040">
        <v>2.68</v>
      </c>
      <c r="HR709" s="2040">
        <v>2.68</v>
      </c>
      <c r="HS709" s="2040">
        <v>2.68</v>
      </c>
      <c r="HT709" s="2040">
        <v>2.68</v>
      </c>
      <c r="HU709" s="2040">
        <v>2.68</v>
      </c>
      <c r="HV709" s="2040">
        <v>2.68</v>
      </c>
      <c r="HW709" s="2040">
        <v>2.4900000000000002</v>
      </c>
      <c r="HX709" s="2040">
        <v>2.4900000000000002</v>
      </c>
    </row>
    <row r="710" spans="2:232" s="2040" customFormat="1" ht="14" x14ac:dyDescent="0.3">
      <c r="B710" s="2504">
        <v>11</v>
      </c>
      <c r="C710" s="2505">
        <v>11.27</v>
      </c>
      <c r="D710" s="2505">
        <v>11.27</v>
      </c>
      <c r="E710" s="2505">
        <v>13.63</v>
      </c>
      <c r="F710" s="2505">
        <v>13.63</v>
      </c>
      <c r="G710" s="2505">
        <v>33.9</v>
      </c>
      <c r="H710" s="2505">
        <v>33.9</v>
      </c>
      <c r="I710" s="2505">
        <v>28.02</v>
      </c>
      <c r="J710" s="2505">
        <v>28.02</v>
      </c>
      <c r="K710" s="2505">
        <v>40.25</v>
      </c>
      <c r="L710" s="2505">
        <v>40.25</v>
      </c>
      <c r="M710" s="2505"/>
      <c r="N710" s="2505"/>
      <c r="O710" s="2505">
        <v>34.67</v>
      </c>
      <c r="P710" s="2505">
        <v>34.67</v>
      </c>
      <c r="Q710" s="2505">
        <v>38.97</v>
      </c>
      <c r="R710" s="2505">
        <v>34.68</v>
      </c>
      <c r="S710" s="2505">
        <v>33.31</v>
      </c>
      <c r="T710" s="2505">
        <v>33.31</v>
      </c>
      <c r="U710" s="2505">
        <v>32.15</v>
      </c>
      <c r="V710" s="2505">
        <v>32.15</v>
      </c>
      <c r="W710" s="2505">
        <v>33.31</v>
      </c>
      <c r="X710" s="2505">
        <v>33.31</v>
      </c>
      <c r="Y710" s="2505">
        <v>32.15</v>
      </c>
      <c r="Z710" s="2505">
        <v>33.31</v>
      </c>
      <c r="AA710" s="2505">
        <v>33.31</v>
      </c>
      <c r="AB710" s="2505">
        <v>33.31</v>
      </c>
      <c r="AC710" s="2505">
        <v>32.15</v>
      </c>
      <c r="AD710" s="2505">
        <v>32.15</v>
      </c>
      <c r="AE710" s="2505">
        <v>46.24</v>
      </c>
      <c r="AF710" s="2505">
        <v>44.97</v>
      </c>
      <c r="AG710" s="2505">
        <v>46.24</v>
      </c>
      <c r="AH710" s="2505">
        <v>46.24</v>
      </c>
      <c r="AI710" s="2505">
        <v>44.97</v>
      </c>
      <c r="AJ710" s="2505">
        <v>44.97</v>
      </c>
      <c r="AK710" s="2505">
        <v>48.87</v>
      </c>
      <c r="AL710" s="2505">
        <v>48.87</v>
      </c>
      <c r="AM710" s="2505">
        <v>18.510000000000002</v>
      </c>
      <c r="AN710" s="2505">
        <v>17.78</v>
      </c>
      <c r="AO710" s="2505">
        <v>17.78</v>
      </c>
      <c r="AP710" s="2505">
        <v>17.78</v>
      </c>
      <c r="AQ710" s="2505">
        <v>21.67</v>
      </c>
      <c r="AR710" s="2505">
        <v>21.67</v>
      </c>
      <c r="AS710" s="2505">
        <v>36.58</v>
      </c>
      <c r="AT710" s="2505">
        <v>36.58</v>
      </c>
      <c r="AU710" s="2505">
        <v>36.58</v>
      </c>
      <c r="AV710" s="2505">
        <v>38.590000000000003</v>
      </c>
      <c r="AW710" s="2505">
        <v>34.4</v>
      </c>
      <c r="AX710" s="2505">
        <v>34.4</v>
      </c>
      <c r="AY710" s="2505">
        <v>34.71</v>
      </c>
      <c r="AZ710" s="2505">
        <v>34.71</v>
      </c>
      <c r="BA710" s="2040">
        <v>14.81</v>
      </c>
      <c r="BB710" s="2040">
        <v>14.81</v>
      </c>
      <c r="BC710" s="2040">
        <v>2.64</v>
      </c>
      <c r="BD710" s="2040">
        <v>2.64</v>
      </c>
      <c r="BE710" s="2040">
        <v>6.65</v>
      </c>
      <c r="BF710" s="2040">
        <v>6.65</v>
      </c>
      <c r="BG710" s="2040">
        <v>2.69</v>
      </c>
      <c r="BH710" s="2040">
        <v>2.69</v>
      </c>
      <c r="BI710" s="2040">
        <v>2.5</v>
      </c>
      <c r="BJ710" s="2040">
        <v>2.5</v>
      </c>
      <c r="BK710" s="2040">
        <v>2.5</v>
      </c>
      <c r="BL710" s="2040">
        <v>2.5</v>
      </c>
      <c r="BM710" s="2040">
        <v>13.59</v>
      </c>
      <c r="BN710" s="2040">
        <v>13.59</v>
      </c>
      <c r="BO710" s="2040">
        <v>35.950000000000003</v>
      </c>
      <c r="BP710" s="2040">
        <v>35.950000000000003</v>
      </c>
      <c r="BQ710" s="2040">
        <v>35.950000000000003</v>
      </c>
      <c r="BR710" s="2040">
        <v>35.950000000000003</v>
      </c>
      <c r="BS710" s="2040">
        <v>32.119999999999997</v>
      </c>
      <c r="BT710" s="2040">
        <v>32.119999999999997</v>
      </c>
      <c r="BU710" s="2040">
        <v>32.119999999999997</v>
      </c>
      <c r="BV710" s="2040">
        <v>32.119999999999997</v>
      </c>
      <c r="BW710" s="2040">
        <v>32.119999999999997</v>
      </c>
      <c r="BX710" s="2040">
        <v>32.119999999999997</v>
      </c>
      <c r="BY710" s="2040">
        <v>12.37</v>
      </c>
      <c r="BZ710" s="2040">
        <v>12.37</v>
      </c>
      <c r="CA710" s="2040">
        <v>33.25</v>
      </c>
      <c r="CB710" s="2040">
        <v>33.25</v>
      </c>
      <c r="CC710" s="2040">
        <v>31.26</v>
      </c>
      <c r="CD710" s="2040">
        <v>31.26</v>
      </c>
      <c r="CE710" s="2040">
        <v>30.43</v>
      </c>
      <c r="CF710" s="2040">
        <v>30.43</v>
      </c>
      <c r="CK710" s="2040">
        <v>42.91</v>
      </c>
      <c r="CL710" s="2040">
        <v>42.91</v>
      </c>
      <c r="CM710" s="2040">
        <v>85.35</v>
      </c>
      <c r="CN710" s="2040">
        <v>85.35</v>
      </c>
      <c r="CO710" s="2040">
        <v>79.23</v>
      </c>
      <c r="CP710" s="2040">
        <v>79.23</v>
      </c>
      <c r="CQ710" s="2040">
        <v>79.23</v>
      </c>
      <c r="CR710" s="2040">
        <v>79.23</v>
      </c>
      <c r="CW710" s="2040">
        <v>28.37</v>
      </c>
      <c r="CX710" s="2040">
        <v>28.37</v>
      </c>
      <c r="CY710" s="2040">
        <v>77.510000000000005</v>
      </c>
      <c r="CZ710" s="2040">
        <v>77.510000000000005</v>
      </c>
      <c r="DA710" s="2040">
        <v>77.510000000000005</v>
      </c>
      <c r="DB710" s="2040">
        <v>77.510000000000005</v>
      </c>
      <c r="DC710" s="2040">
        <v>71.709999999999994</v>
      </c>
      <c r="DD710" s="2040">
        <v>71.709999999999994</v>
      </c>
      <c r="DE710" s="2040">
        <v>71.709999999999994</v>
      </c>
      <c r="DF710" s="2040">
        <v>71.709999999999994</v>
      </c>
      <c r="DI710" s="2040">
        <v>7.64</v>
      </c>
      <c r="DJ710" s="2040">
        <v>7.64</v>
      </c>
      <c r="DK710" s="2040">
        <v>7.64</v>
      </c>
      <c r="DL710" s="2040">
        <v>7.64</v>
      </c>
      <c r="DM710" s="2040">
        <v>7.64</v>
      </c>
      <c r="DN710" s="2040">
        <v>7.64</v>
      </c>
      <c r="DU710" s="2040">
        <v>3.53</v>
      </c>
      <c r="DV710" s="2040">
        <v>3.53</v>
      </c>
      <c r="DW710" s="2040">
        <v>2.2400000000000002</v>
      </c>
      <c r="DX710" s="2040">
        <v>2.2400000000000002</v>
      </c>
      <c r="DY710" s="2040">
        <v>2.2400000000000002</v>
      </c>
      <c r="DZ710" s="2040">
        <v>2.2400000000000002</v>
      </c>
      <c r="EG710" s="2040">
        <v>4.24</v>
      </c>
      <c r="EH710" s="2040">
        <v>4.87</v>
      </c>
      <c r="EI710" s="2040">
        <v>1.52</v>
      </c>
      <c r="EJ710" s="2040">
        <v>1.52</v>
      </c>
      <c r="EK710" s="2040">
        <v>1.48</v>
      </c>
      <c r="EL710" s="2040">
        <v>1.48</v>
      </c>
      <c r="EM710" s="2040">
        <v>1.97</v>
      </c>
      <c r="EN710" s="2040">
        <v>1.97</v>
      </c>
      <c r="EO710" s="2040">
        <v>1.7</v>
      </c>
      <c r="EP710" s="2040">
        <v>1.7</v>
      </c>
      <c r="EQ710" s="2040">
        <v>1.74</v>
      </c>
      <c r="ER710" s="2040">
        <v>1.91</v>
      </c>
      <c r="ES710" s="2040">
        <v>15.13</v>
      </c>
      <c r="ET710" s="2040">
        <v>15.13</v>
      </c>
      <c r="EU710" s="2040">
        <v>38.54</v>
      </c>
      <c r="EV710" s="2040">
        <v>38.54</v>
      </c>
      <c r="EW710" s="2040">
        <v>36.43</v>
      </c>
      <c r="EX710" s="2040">
        <v>36.43</v>
      </c>
      <c r="EY710" s="2506">
        <f t="shared" si="59"/>
        <v>37.484999999999999</v>
      </c>
      <c r="EZ710" s="2506">
        <f t="shared" si="59"/>
        <v>37.484999999999999</v>
      </c>
      <c r="FA710" s="2040">
        <v>41.17</v>
      </c>
      <c r="FB710" s="2040">
        <v>41.17</v>
      </c>
      <c r="FE710" s="2040">
        <v>12.35</v>
      </c>
      <c r="FF710" s="2040">
        <v>12.35</v>
      </c>
      <c r="FG710" s="2040">
        <v>29.07</v>
      </c>
      <c r="FH710" s="2040">
        <v>29.07</v>
      </c>
      <c r="FI710" s="2040">
        <v>29.07</v>
      </c>
      <c r="FJ710" s="2040">
        <v>29.07</v>
      </c>
      <c r="FK710" s="2040">
        <v>28.06</v>
      </c>
      <c r="FL710" s="2040">
        <v>28.06</v>
      </c>
      <c r="FM710" s="2040">
        <v>29.5</v>
      </c>
      <c r="FN710" s="2040">
        <v>29.5</v>
      </c>
      <c r="FQ710" s="2040">
        <v>27.35</v>
      </c>
      <c r="FR710" s="2040">
        <v>27.35</v>
      </c>
      <c r="FS710" s="2040">
        <v>46.21</v>
      </c>
      <c r="FT710" s="2040">
        <v>46.21</v>
      </c>
      <c r="FU710" s="2040">
        <v>46.21</v>
      </c>
      <c r="FV710" s="2040">
        <v>46.21</v>
      </c>
      <c r="FW710" s="2040">
        <v>47.39</v>
      </c>
      <c r="FX710" s="2040">
        <v>47.39</v>
      </c>
      <c r="GC710" s="2040">
        <v>19.45</v>
      </c>
      <c r="GD710" s="2040">
        <v>19.45</v>
      </c>
      <c r="GE710" s="2040">
        <v>52.69</v>
      </c>
      <c r="GF710" s="2040">
        <v>52.69</v>
      </c>
      <c r="GG710" s="2040">
        <v>52.69</v>
      </c>
      <c r="GH710" s="2040">
        <v>52.69</v>
      </c>
      <c r="GI710" s="2040">
        <v>13.55</v>
      </c>
      <c r="GJ710" s="2040">
        <v>13.55</v>
      </c>
      <c r="GK710" s="2040">
        <v>34.270000000000003</v>
      </c>
      <c r="GL710" s="2040">
        <v>34.270000000000003</v>
      </c>
      <c r="GO710" s="2040">
        <v>10.76</v>
      </c>
      <c r="GP710" s="2040">
        <v>10.76</v>
      </c>
      <c r="GQ710" s="2040">
        <v>4.6500000000000004</v>
      </c>
      <c r="GR710" s="2040">
        <v>4.6500000000000004</v>
      </c>
      <c r="GS710" s="2040">
        <v>4.6500000000000004</v>
      </c>
      <c r="GT710" s="2040">
        <v>4.3499999999999996</v>
      </c>
      <c r="GU710" s="2040">
        <v>4.3499999999999996</v>
      </c>
      <c r="GV710" s="2040">
        <v>4.3499999999999996</v>
      </c>
      <c r="GW710" s="2040">
        <v>27.71</v>
      </c>
      <c r="GX710" s="2040">
        <v>27.71</v>
      </c>
      <c r="HA710" s="2040">
        <v>7.19</v>
      </c>
      <c r="HB710" s="2040">
        <v>7.19</v>
      </c>
      <c r="HC710" s="2040">
        <v>1.72</v>
      </c>
      <c r="HD710" s="2040">
        <v>1.72</v>
      </c>
      <c r="HE710" s="2040">
        <v>2.2999999999999998</v>
      </c>
      <c r="HF710" s="2040">
        <v>2.2999999999999998</v>
      </c>
      <c r="HG710" s="2040">
        <v>2.2999999999999998</v>
      </c>
      <c r="HH710" s="2040">
        <v>2.2999999999999998</v>
      </c>
      <c r="HI710" s="2040">
        <v>2.2999999999999998</v>
      </c>
      <c r="HJ710" s="2040">
        <v>2.2999999999999998</v>
      </c>
      <c r="HK710" s="2040">
        <v>2.19</v>
      </c>
      <c r="HL710" s="2040">
        <v>2.19</v>
      </c>
      <c r="HM710" s="2040">
        <v>10</v>
      </c>
      <c r="HN710" s="2040">
        <v>10</v>
      </c>
      <c r="HO710" s="2040">
        <v>2.48</v>
      </c>
      <c r="HP710" s="2040">
        <v>2.48</v>
      </c>
      <c r="HQ710" s="2040">
        <v>3.38</v>
      </c>
      <c r="HR710" s="2040">
        <v>3.38</v>
      </c>
      <c r="HS710" s="2040">
        <v>3.38</v>
      </c>
      <c r="HT710" s="2040">
        <v>3.38</v>
      </c>
      <c r="HU710" s="2040">
        <v>3.38</v>
      </c>
      <c r="HV710" s="2040">
        <v>3.38</v>
      </c>
      <c r="HW710" s="2040">
        <v>3.17</v>
      </c>
      <c r="HX710" s="2040">
        <v>3.17</v>
      </c>
    </row>
    <row r="711" spans="2:232" s="2040" customFormat="1" ht="14" x14ac:dyDescent="0.3">
      <c r="B711" s="2504">
        <v>12</v>
      </c>
      <c r="C711" s="2505">
        <v>12.93</v>
      </c>
      <c r="D711" s="2505">
        <v>12.93</v>
      </c>
      <c r="E711" s="2505">
        <v>15.16</v>
      </c>
      <c r="F711" s="2505">
        <v>15.16</v>
      </c>
      <c r="G711" s="2505">
        <v>39.68</v>
      </c>
      <c r="H711" s="2505">
        <v>39.68</v>
      </c>
      <c r="I711" s="2505">
        <v>33.72</v>
      </c>
      <c r="J711" s="2505">
        <v>33.72</v>
      </c>
      <c r="K711" s="2505">
        <v>46.7</v>
      </c>
      <c r="L711" s="2505">
        <v>46.7</v>
      </c>
      <c r="M711" s="2505"/>
      <c r="N711" s="2505"/>
      <c r="O711" s="2505">
        <v>39.869999999999997</v>
      </c>
      <c r="P711" s="2505">
        <v>39.869999999999997</v>
      </c>
      <c r="Q711" s="2505">
        <v>43.91</v>
      </c>
      <c r="R711" s="2505">
        <v>39.880000000000003</v>
      </c>
      <c r="S711" s="2505">
        <v>41.160000000000004</v>
      </c>
      <c r="T711" s="2505">
        <v>41.16</v>
      </c>
      <c r="U711" s="2505">
        <v>39.72</v>
      </c>
      <c r="V711" s="2505">
        <v>39.72</v>
      </c>
      <c r="W711" s="2505">
        <v>41.16</v>
      </c>
      <c r="X711" s="2505">
        <v>41.16</v>
      </c>
      <c r="Y711" s="2505">
        <v>39.72</v>
      </c>
      <c r="Z711" s="2505">
        <v>41.16</v>
      </c>
      <c r="AA711" s="2505">
        <v>41.16</v>
      </c>
      <c r="AB711" s="2505">
        <v>41.16</v>
      </c>
      <c r="AC711" s="2505">
        <v>39.72</v>
      </c>
      <c r="AD711" s="2505">
        <v>39.72</v>
      </c>
      <c r="AE711" s="2505">
        <v>55.57</v>
      </c>
      <c r="AF711" s="2505">
        <v>54.04</v>
      </c>
      <c r="AG711" s="2505">
        <v>55.57</v>
      </c>
      <c r="AH711" s="2505">
        <v>55.57</v>
      </c>
      <c r="AI711" s="2505">
        <v>54.04</v>
      </c>
      <c r="AJ711" s="2505">
        <v>54.04</v>
      </c>
      <c r="AK711" s="2505">
        <v>57.87</v>
      </c>
      <c r="AL711" s="2505">
        <v>57.87</v>
      </c>
      <c r="AM711" s="2505">
        <v>21.26</v>
      </c>
      <c r="AN711" s="2505">
        <v>20.420000000000002</v>
      </c>
      <c r="AO711" s="2505">
        <v>20.420000000000002</v>
      </c>
      <c r="AP711" s="2505">
        <v>20.420000000000002</v>
      </c>
      <c r="AQ711" s="2505">
        <v>24.12</v>
      </c>
      <c r="AR711" s="2505">
        <v>24.12</v>
      </c>
      <c r="AS711" s="2505">
        <v>43.75</v>
      </c>
      <c r="AT711" s="2505">
        <v>43.75</v>
      </c>
      <c r="AU711" s="2505">
        <v>43.75</v>
      </c>
      <c r="AV711" s="2505">
        <v>46.01</v>
      </c>
      <c r="AW711" s="2505">
        <v>41.71</v>
      </c>
      <c r="AX711" s="2505">
        <v>41.71</v>
      </c>
      <c r="AY711" s="2505">
        <v>42.02</v>
      </c>
      <c r="AZ711" s="2505">
        <v>42.02</v>
      </c>
      <c r="BA711" s="2040">
        <v>17.87</v>
      </c>
      <c r="BB711" s="2040">
        <v>17.87</v>
      </c>
      <c r="BC711" s="2040">
        <v>3.25</v>
      </c>
      <c r="BD711" s="2040">
        <v>3.25</v>
      </c>
      <c r="BE711" s="2040">
        <v>7.59</v>
      </c>
      <c r="BF711" s="2040">
        <v>7.59</v>
      </c>
      <c r="BG711" s="2040">
        <v>3.31</v>
      </c>
      <c r="BH711" s="2040">
        <v>3.31</v>
      </c>
      <c r="BI711" s="2040">
        <v>3.1</v>
      </c>
      <c r="BJ711" s="2040">
        <v>3.1</v>
      </c>
      <c r="BK711" s="2040">
        <v>3.1</v>
      </c>
      <c r="BL711" s="2040">
        <v>3.1</v>
      </c>
      <c r="BM711" s="2040">
        <v>15.6</v>
      </c>
      <c r="BN711" s="2040">
        <v>15.6</v>
      </c>
      <c r="BO711" s="2040">
        <v>41.76</v>
      </c>
      <c r="BP711" s="2040">
        <v>41.76</v>
      </c>
      <c r="BQ711" s="2040">
        <v>41.76</v>
      </c>
      <c r="BR711" s="2040">
        <v>41.76</v>
      </c>
      <c r="BS711" s="2040">
        <v>39.06</v>
      </c>
      <c r="BT711" s="2040">
        <v>39.06</v>
      </c>
      <c r="BU711" s="2040">
        <v>39.06</v>
      </c>
      <c r="BV711" s="2040">
        <v>39.06</v>
      </c>
      <c r="BW711" s="2040">
        <v>39.06</v>
      </c>
      <c r="BX711" s="2040">
        <v>39.06</v>
      </c>
      <c r="BY711" s="2040">
        <v>14.18</v>
      </c>
      <c r="BZ711" s="2040">
        <v>14.18</v>
      </c>
      <c r="CA711" s="2040">
        <v>38.770000000000003</v>
      </c>
      <c r="CB711" s="2040">
        <v>38.770000000000003</v>
      </c>
      <c r="CC711" s="2040">
        <v>36.94</v>
      </c>
      <c r="CD711" s="2040">
        <v>36.94</v>
      </c>
      <c r="CE711" s="2040">
        <v>37.19</v>
      </c>
      <c r="CF711" s="2040">
        <v>37.19</v>
      </c>
      <c r="CK711" s="2040">
        <v>46.77</v>
      </c>
      <c r="CL711" s="2040">
        <v>46.77</v>
      </c>
      <c r="CM711" s="2040">
        <v>94.2</v>
      </c>
      <c r="CN711" s="2040">
        <v>94.2</v>
      </c>
      <c r="CO711" s="2040">
        <v>90.43</v>
      </c>
      <c r="CP711" s="2040">
        <v>90.43</v>
      </c>
      <c r="CQ711" s="2040">
        <v>90.43</v>
      </c>
      <c r="CR711" s="2040">
        <v>90.43</v>
      </c>
      <c r="CW711" s="2040">
        <v>32.61</v>
      </c>
      <c r="CX711" s="2040">
        <v>32.61</v>
      </c>
      <c r="CY711" s="2040">
        <v>86.06</v>
      </c>
      <c r="CZ711" s="2040">
        <v>86.06</v>
      </c>
      <c r="DA711" s="2040">
        <v>86.06</v>
      </c>
      <c r="DB711" s="2040">
        <v>86.06</v>
      </c>
      <c r="DC711" s="2040">
        <v>82.43</v>
      </c>
      <c r="DD711" s="2040">
        <v>82.43</v>
      </c>
      <c r="DE711" s="2040">
        <v>82.43</v>
      </c>
      <c r="DF711" s="2040">
        <v>82.43</v>
      </c>
      <c r="DI711" s="2040">
        <v>8.75</v>
      </c>
      <c r="DJ711" s="2040">
        <v>8.75</v>
      </c>
      <c r="DK711" s="2040">
        <v>8.75</v>
      </c>
      <c r="DL711" s="2040">
        <v>8.75</v>
      </c>
      <c r="DM711" s="2040">
        <v>8.75</v>
      </c>
      <c r="DN711" s="2040">
        <v>8.75</v>
      </c>
      <c r="DU711" s="2040">
        <v>4.0199999999999996</v>
      </c>
      <c r="DV711" s="2040">
        <v>4.0199999999999996</v>
      </c>
      <c r="DW711" s="2040">
        <v>2.67</v>
      </c>
      <c r="DX711" s="2040">
        <v>2.67</v>
      </c>
      <c r="DY711" s="2040">
        <v>2.67</v>
      </c>
      <c r="DZ711" s="2040">
        <v>2.67</v>
      </c>
      <c r="EG711" s="2040">
        <v>4.84</v>
      </c>
      <c r="EH711" s="2040">
        <v>5.44</v>
      </c>
      <c r="EI711" s="2040">
        <v>1.85</v>
      </c>
      <c r="EJ711" s="2040">
        <v>1.85</v>
      </c>
      <c r="EK711" s="2040">
        <v>1.8</v>
      </c>
      <c r="EL711" s="2040">
        <v>1.8</v>
      </c>
      <c r="EM711" s="2040">
        <v>2.37</v>
      </c>
      <c r="EN711" s="2040">
        <v>2.37</v>
      </c>
      <c r="EO711" s="2040">
        <v>2.06</v>
      </c>
      <c r="EP711" s="2040">
        <v>2.06</v>
      </c>
      <c r="EQ711" s="2040">
        <v>2.11</v>
      </c>
      <c r="ER711" s="2040">
        <v>2.2999999999999998</v>
      </c>
      <c r="ES711" s="2040">
        <v>17.09</v>
      </c>
      <c r="ET711" s="2040">
        <v>17.09</v>
      </c>
      <c r="EU711" s="2040">
        <v>45.92</v>
      </c>
      <c r="EV711" s="2040">
        <v>45.92</v>
      </c>
      <c r="EW711" s="2040">
        <v>43.54</v>
      </c>
      <c r="EX711" s="2040">
        <v>43.54</v>
      </c>
      <c r="EY711" s="2506">
        <f t="shared" si="59"/>
        <v>44.730000000000004</v>
      </c>
      <c r="EZ711" s="2506">
        <f t="shared" si="59"/>
        <v>44.730000000000004</v>
      </c>
      <c r="FA711" s="2040">
        <v>48.55</v>
      </c>
      <c r="FB711" s="2040">
        <v>48.55</v>
      </c>
      <c r="FE711" s="2040">
        <v>13.95</v>
      </c>
      <c r="FF711" s="2040">
        <v>13.95</v>
      </c>
      <c r="FG711" s="2040">
        <v>34.79</v>
      </c>
      <c r="FH711" s="2040">
        <v>34.79</v>
      </c>
      <c r="FI711" s="2040">
        <v>34.79</v>
      </c>
      <c r="FJ711" s="2040">
        <v>34.79</v>
      </c>
      <c r="FK711" s="2040">
        <v>33.69</v>
      </c>
      <c r="FL711" s="2040">
        <v>33.69</v>
      </c>
      <c r="FM711" s="2040">
        <v>35.29</v>
      </c>
      <c r="FN711" s="2040">
        <v>35.29</v>
      </c>
      <c r="FQ711" s="2040">
        <v>29.9</v>
      </c>
      <c r="FR711" s="2040">
        <v>29.9</v>
      </c>
      <c r="FS711" s="2040">
        <v>50.91</v>
      </c>
      <c r="FT711" s="2040">
        <v>50.91</v>
      </c>
      <c r="FU711" s="2040">
        <v>50.91</v>
      </c>
      <c r="FV711" s="2040">
        <v>50.91</v>
      </c>
      <c r="FW711" s="2040">
        <v>52.12</v>
      </c>
      <c r="FX711" s="2040">
        <v>52.12</v>
      </c>
      <c r="GC711" s="2040">
        <v>22.11</v>
      </c>
      <c r="GD711" s="2040">
        <v>22.11</v>
      </c>
      <c r="GE711" s="2040">
        <v>58.44</v>
      </c>
      <c r="GF711" s="2040">
        <v>58.44</v>
      </c>
      <c r="GG711" s="2040">
        <v>58.44</v>
      </c>
      <c r="GH711" s="2040">
        <v>58.44</v>
      </c>
      <c r="GI711" s="2040">
        <v>16.98</v>
      </c>
      <c r="GJ711" s="2040">
        <v>16.98</v>
      </c>
      <c r="GK711" s="2040">
        <v>40.68</v>
      </c>
      <c r="GL711" s="2040">
        <v>40.68</v>
      </c>
      <c r="GO711" s="2040">
        <v>12.31</v>
      </c>
      <c r="GP711" s="2040">
        <v>12.31</v>
      </c>
      <c r="GQ711" s="2040">
        <v>5.66</v>
      </c>
      <c r="GR711" s="2040">
        <v>5.66</v>
      </c>
      <c r="GS711" s="2040">
        <v>5.66</v>
      </c>
      <c r="GT711" s="2040">
        <v>5.31</v>
      </c>
      <c r="GU711" s="2040">
        <v>5.31</v>
      </c>
      <c r="GV711" s="2040">
        <v>5.31</v>
      </c>
      <c r="GW711" s="2040">
        <v>33.94</v>
      </c>
      <c r="GX711" s="2040">
        <v>33.94</v>
      </c>
      <c r="HA711" s="2040">
        <v>8.23</v>
      </c>
      <c r="HB711" s="2040">
        <v>8.23</v>
      </c>
      <c r="HC711" s="2040">
        <v>2.14</v>
      </c>
      <c r="HD711" s="2040">
        <v>2.14</v>
      </c>
      <c r="HE711" s="2040">
        <v>2.82</v>
      </c>
      <c r="HF711" s="2040">
        <v>2.82</v>
      </c>
      <c r="HG711" s="2040">
        <v>2.82</v>
      </c>
      <c r="HH711" s="2040">
        <v>2.82</v>
      </c>
      <c r="HI711" s="2040">
        <v>2.82</v>
      </c>
      <c r="HJ711" s="2040">
        <v>2.82</v>
      </c>
      <c r="HK711" s="2040">
        <v>2.7</v>
      </c>
      <c r="HL711" s="2040">
        <v>2.7</v>
      </c>
      <c r="HM711" s="2040">
        <v>11.46</v>
      </c>
      <c r="HN711" s="2040">
        <v>11.46</v>
      </c>
      <c r="HO711" s="2040">
        <v>3.11</v>
      </c>
      <c r="HP711" s="2040">
        <v>3.11</v>
      </c>
      <c r="HQ711" s="2040">
        <v>4.16</v>
      </c>
      <c r="HR711" s="2040">
        <v>4.16</v>
      </c>
      <c r="HS711" s="2040">
        <v>4.16</v>
      </c>
      <c r="HT711" s="2040">
        <v>4.16</v>
      </c>
      <c r="HU711" s="2040">
        <v>4.16</v>
      </c>
      <c r="HV711" s="2040">
        <v>4.16</v>
      </c>
      <c r="HW711" s="2040">
        <v>3.93</v>
      </c>
      <c r="HX711" s="2040">
        <v>3.93</v>
      </c>
    </row>
    <row r="712" spans="2:232" s="2040" customFormat="1" ht="14" x14ac:dyDescent="0.3">
      <c r="B712" s="2504">
        <v>13</v>
      </c>
      <c r="C712" s="2505">
        <v>14.5</v>
      </c>
      <c r="D712" s="2505">
        <v>14.5</v>
      </c>
      <c r="E712" s="2505">
        <v>16.62</v>
      </c>
      <c r="F712" s="2505">
        <v>16.62</v>
      </c>
      <c r="G712" s="2505">
        <v>45.31</v>
      </c>
      <c r="H712" s="2505">
        <v>45.31</v>
      </c>
      <c r="I712" s="2505">
        <v>38.81</v>
      </c>
      <c r="J712" s="2505">
        <v>38.81</v>
      </c>
      <c r="K712" s="2505">
        <v>52.89</v>
      </c>
      <c r="L712" s="2505">
        <v>52.89</v>
      </c>
      <c r="M712" s="2505"/>
      <c r="N712" s="2505"/>
      <c r="O712" s="2505">
        <v>44.81</v>
      </c>
      <c r="P712" s="2505">
        <v>44.81</v>
      </c>
      <c r="Q712" s="2505">
        <v>48.61</v>
      </c>
      <c r="R712" s="2505">
        <v>44.82</v>
      </c>
      <c r="S712" s="2505">
        <v>49.220000000000006</v>
      </c>
      <c r="T712" s="2505">
        <v>49.22</v>
      </c>
      <c r="U712" s="2505">
        <v>47.5</v>
      </c>
      <c r="V712" s="2505">
        <v>47.5</v>
      </c>
      <c r="W712" s="2505">
        <v>49.22</v>
      </c>
      <c r="X712" s="2505">
        <v>49.22</v>
      </c>
      <c r="Y712" s="2505">
        <v>47.5</v>
      </c>
      <c r="Z712" s="2505">
        <v>49.22</v>
      </c>
      <c r="AA712" s="2505">
        <v>49.22</v>
      </c>
      <c r="AB712" s="2505">
        <v>49.22</v>
      </c>
      <c r="AC712" s="2505">
        <v>47.5</v>
      </c>
      <c r="AD712" s="2505">
        <v>47.5</v>
      </c>
      <c r="AE712" s="2505">
        <v>64.709999999999994</v>
      </c>
      <c r="AF712" s="2505">
        <v>62.92</v>
      </c>
      <c r="AG712" s="2505">
        <v>64.709999999999994</v>
      </c>
      <c r="AH712" s="2505">
        <v>64.709999999999994</v>
      </c>
      <c r="AI712" s="2505">
        <v>62.92</v>
      </c>
      <c r="AJ712" s="2505">
        <v>62.92</v>
      </c>
      <c r="AK712" s="2505">
        <v>66.650000000000006</v>
      </c>
      <c r="AL712" s="2505">
        <v>66.650000000000006</v>
      </c>
      <c r="AM712" s="2505">
        <v>23.86</v>
      </c>
      <c r="AN712" s="2505">
        <v>22.93</v>
      </c>
      <c r="AO712" s="2505">
        <v>22.93</v>
      </c>
      <c r="AP712" s="2505">
        <v>22.93</v>
      </c>
      <c r="AQ712" s="2505">
        <v>26.45</v>
      </c>
      <c r="AR712" s="2505">
        <v>26.45</v>
      </c>
      <c r="AS712" s="2505">
        <v>50.78</v>
      </c>
      <c r="AT712" s="2505">
        <v>50.78</v>
      </c>
      <c r="AU712" s="2505">
        <v>50.78</v>
      </c>
      <c r="AV712" s="2505">
        <v>53.28</v>
      </c>
      <c r="AW712" s="2505">
        <v>48.89</v>
      </c>
      <c r="AX712" s="2505">
        <v>48.89</v>
      </c>
      <c r="AY712" s="2505">
        <v>49.19</v>
      </c>
      <c r="AZ712" s="2505">
        <v>49.19</v>
      </c>
      <c r="BA712" s="2040">
        <v>20.89</v>
      </c>
      <c r="BB712" s="2040">
        <v>20.89</v>
      </c>
      <c r="BC712" s="2040">
        <v>3.92</v>
      </c>
      <c r="BD712" s="2040">
        <v>3.92</v>
      </c>
      <c r="BE712" s="2040">
        <v>8.49</v>
      </c>
      <c r="BF712" s="2040">
        <v>8.49</v>
      </c>
      <c r="BG712" s="2040">
        <v>3.97</v>
      </c>
      <c r="BH712" s="2040">
        <v>3.97</v>
      </c>
      <c r="BI712" s="2040">
        <v>3.76</v>
      </c>
      <c r="BJ712" s="2040">
        <v>3.76</v>
      </c>
      <c r="BK712" s="2040">
        <v>3.76</v>
      </c>
      <c r="BL712" s="2040">
        <v>3.76</v>
      </c>
      <c r="BM712" s="2040">
        <v>17.5</v>
      </c>
      <c r="BN712" s="2040">
        <v>17.5</v>
      </c>
      <c r="BO712" s="2040">
        <v>47.39</v>
      </c>
      <c r="BP712" s="2040">
        <v>47.39</v>
      </c>
      <c r="BQ712" s="2040">
        <v>47.39</v>
      </c>
      <c r="BR712" s="2040">
        <v>47.39</v>
      </c>
      <c r="BS712" s="2040">
        <v>45.92</v>
      </c>
      <c r="BT712" s="2040">
        <v>45.92</v>
      </c>
      <c r="BU712" s="2040">
        <v>45.92</v>
      </c>
      <c r="BV712" s="2040">
        <v>45.92</v>
      </c>
      <c r="BW712" s="2040">
        <v>45.92</v>
      </c>
      <c r="BX712" s="2040">
        <v>45.92</v>
      </c>
      <c r="BY712" s="2040">
        <v>15.91</v>
      </c>
      <c r="BZ712" s="2040">
        <v>15.91</v>
      </c>
      <c r="CA712" s="2040">
        <v>44.14</v>
      </c>
      <c r="CB712" s="2040">
        <v>44.14</v>
      </c>
      <c r="CC712" s="2040">
        <v>42.47</v>
      </c>
      <c r="CD712" s="2040">
        <v>42.47</v>
      </c>
      <c r="CE712" s="2040">
        <v>43.9</v>
      </c>
      <c r="CF712" s="2040">
        <v>43.9</v>
      </c>
      <c r="CK712" s="2040">
        <v>50.44</v>
      </c>
      <c r="CL712" s="2040">
        <v>50.44</v>
      </c>
      <c r="CM712" s="2040">
        <v>102.51</v>
      </c>
      <c r="CN712" s="2040">
        <v>102.51</v>
      </c>
      <c r="CO712" s="2040">
        <v>101.18</v>
      </c>
      <c r="CP712" s="2040">
        <v>101.18</v>
      </c>
      <c r="CQ712" s="2040">
        <v>101.18</v>
      </c>
      <c r="CR712" s="2040">
        <v>101.18</v>
      </c>
      <c r="CW712" s="2040">
        <v>36.630000000000003</v>
      </c>
      <c r="CX712" s="2040">
        <v>36.630000000000003</v>
      </c>
      <c r="CY712" s="2040">
        <v>94.12</v>
      </c>
      <c r="CZ712" s="2040">
        <v>94.12</v>
      </c>
      <c r="DA712" s="2040">
        <v>94.12</v>
      </c>
      <c r="DB712" s="2040">
        <v>94.12</v>
      </c>
      <c r="DC712" s="2040">
        <v>92.75</v>
      </c>
      <c r="DD712" s="2040">
        <v>92.75</v>
      </c>
      <c r="DE712" s="2040">
        <v>92.75</v>
      </c>
      <c r="DF712" s="2040">
        <v>92.75</v>
      </c>
      <c r="DI712" s="2040">
        <v>9.8000000000000007</v>
      </c>
      <c r="DJ712" s="2040">
        <v>9.8000000000000007</v>
      </c>
      <c r="DK712" s="2040">
        <v>9.8000000000000007</v>
      </c>
      <c r="DL712" s="2040">
        <v>9.8000000000000007</v>
      </c>
      <c r="DM712" s="2040">
        <v>9.8000000000000007</v>
      </c>
      <c r="DN712" s="2040">
        <v>9.8000000000000007</v>
      </c>
      <c r="DU712" s="2040">
        <v>4.4800000000000004</v>
      </c>
      <c r="DV712" s="2040">
        <v>4.4800000000000004</v>
      </c>
      <c r="DW712" s="2040">
        <v>3.1</v>
      </c>
      <c r="DX712" s="2040">
        <v>3.1</v>
      </c>
      <c r="DY712" s="2040">
        <v>3.1</v>
      </c>
      <c r="DZ712" s="2040">
        <v>3.1</v>
      </c>
      <c r="EG712" s="2040">
        <v>5.35</v>
      </c>
      <c r="EH712" s="2040">
        <v>5.92</v>
      </c>
      <c r="EI712" s="2040">
        <v>2.16</v>
      </c>
      <c r="EJ712" s="2040">
        <v>2.16</v>
      </c>
      <c r="EK712" s="2040">
        <v>2.11</v>
      </c>
      <c r="EL712" s="2040">
        <v>2.11</v>
      </c>
      <c r="EM712" s="2040">
        <v>2.75</v>
      </c>
      <c r="EN712" s="2040">
        <v>2.75</v>
      </c>
      <c r="EO712" s="2040">
        <v>2.4</v>
      </c>
      <c r="EP712" s="2040">
        <v>2.4</v>
      </c>
      <c r="EQ712" s="2040">
        <v>2.46</v>
      </c>
      <c r="ER712" s="2040">
        <v>2.66</v>
      </c>
      <c r="ES712" s="2040">
        <v>19.09</v>
      </c>
      <c r="ET712" s="2040">
        <v>19.09</v>
      </c>
      <c r="EU712" s="2040">
        <v>53.81</v>
      </c>
      <c r="EV712" s="2040">
        <v>53.81</v>
      </c>
      <c r="EW712" s="2040">
        <v>51.17</v>
      </c>
      <c r="EX712" s="2040">
        <v>51.17</v>
      </c>
      <c r="EY712" s="2506">
        <f t="shared" si="59"/>
        <v>52.49</v>
      </c>
      <c r="EZ712" s="2506">
        <f t="shared" si="59"/>
        <v>52.49</v>
      </c>
      <c r="FA712" s="2040">
        <v>56.42</v>
      </c>
      <c r="FB712" s="2040">
        <v>56.42</v>
      </c>
      <c r="FE712" s="2040">
        <v>15.51</v>
      </c>
      <c r="FF712" s="2040">
        <v>15.51</v>
      </c>
      <c r="FG712" s="2040">
        <v>40.700000000000003</v>
      </c>
      <c r="FH712" s="2040">
        <v>40.700000000000003</v>
      </c>
      <c r="FI712" s="2040">
        <v>40.700000000000003</v>
      </c>
      <c r="FJ712" s="2040">
        <v>40.700000000000003</v>
      </c>
      <c r="FK712" s="2040">
        <v>39.520000000000003</v>
      </c>
      <c r="FL712" s="2040">
        <v>39.520000000000003</v>
      </c>
      <c r="FM712" s="2040">
        <v>41.19</v>
      </c>
      <c r="FN712" s="2040">
        <v>41.19</v>
      </c>
      <c r="FQ712" s="2040">
        <v>33.630000000000003</v>
      </c>
      <c r="FR712" s="2040">
        <v>33.630000000000003</v>
      </c>
      <c r="FS712" s="2040">
        <v>57.94</v>
      </c>
      <c r="FT712" s="2040">
        <v>57.94</v>
      </c>
      <c r="FU712" s="2040">
        <v>57.94</v>
      </c>
      <c r="FV712" s="2040">
        <v>57.94</v>
      </c>
      <c r="FW712" s="2040">
        <v>59.19</v>
      </c>
      <c r="FX712" s="2040">
        <v>59.19</v>
      </c>
      <c r="GC712" s="2040">
        <v>24.98</v>
      </c>
      <c r="GD712" s="2040">
        <v>24.98</v>
      </c>
      <c r="GE712" s="2040">
        <v>64.64</v>
      </c>
      <c r="GF712" s="2040">
        <v>64.64</v>
      </c>
      <c r="GG712" s="2040">
        <v>64.64</v>
      </c>
      <c r="GH712" s="2040">
        <v>64.64</v>
      </c>
      <c r="GI712" s="2040">
        <v>21.31</v>
      </c>
      <c r="GJ712" s="2040">
        <v>21.31</v>
      </c>
      <c r="GK712" s="2040">
        <v>47.88</v>
      </c>
      <c r="GL712" s="2040">
        <v>47.88</v>
      </c>
      <c r="GO712" s="2040">
        <v>13.62</v>
      </c>
      <c r="GP712" s="2040">
        <v>13.62</v>
      </c>
      <c r="GQ712" s="2040">
        <v>6.73</v>
      </c>
      <c r="GR712" s="2040">
        <v>6.73</v>
      </c>
      <c r="GS712" s="2040">
        <v>6.73</v>
      </c>
      <c r="GT712" s="2040">
        <v>6.33</v>
      </c>
      <c r="GU712" s="2040">
        <v>6.33</v>
      </c>
      <c r="GV712" s="2040">
        <v>6.33</v>
      </c>
      <c r="GW712" s="2040">
        <v>40.14</v>
      </c>
      <c r="GX712" s="2040">
        <v>40.14</v>
      </c>
      <c r="HA712" s="2040">
        <v>9.2200000000000006</v>
      </c>
      <c r="HB712" s="2040">
        <v>9.2200000000000006</v>
      </c>
      <c r="HC712" s="2040">
        <v>2.6</v>
      </c>
      <c r="HD712" s="2040">
        <v>2.6</v>
      </c>
      <c r="HE712" s="2040">
        <v>3.39</v>
      </c>
      <c r="HF712" s="2040">
        <v>3.39</v>
      </c>
      <c r="HG712" s="2040">
        <v>3.39</v>
      </c>
      <c r="HH712" s="2040">
        <v>3.39</v>
      </c>
      <c r="HI712" s="2040">
        <v>3.39</v>
      </c>
      <c r="HJ712" s="2040">
        <v>3.39</v>
      </c>
      <c r="HK712" s="2040">
        <v>3.26</v>
      </c>
      <c r="HL712" s="2040">
        <v>3.26</v>
      </c>
      <c r="HM712" s="2040">
        <v>12.85</v>
      </c>
      <c r="HN712" s="2040">
        <v>12.85</v>
      </c>
      <c r="HO712" s="2040">
        <v>3.81</v>
      </c>
      <c r="HP712" s="2040">
        <v>3.81</v>
      </c>
      <c r="HQ712" s="2040">
        <v>5.01</v>
      </c>
      <c r="HR712" s="2040">
        <v>5.01</v>
      </c>
      <c r="HS712" s="2040">
        <v>5.01</v>
      </c>
      <c r="HT712" s="2040">
        <v>5.01</v>
      </c>
      <c r="HU712" s="2040">
        <v>5.01</v>
      </c>
      <c r="HV712" s="2040">
        <v>5.01</v>
      </c>
      <c r="HW712" s="2040">
        <v>4.76</v>
      </c>
      <c r="HX712" s="2040">
        <v>4.76</v>
      </c>
    </row>
    <row r="713" spans="2:232" s="2040" customFormat="1" ht="14" x14ac:dyDescent="0.3">
      <c r="B713" s="2504">
        <v>14</v>
      </c>
      <c r="C713" s="2505">
        <v>15.99</v>
      </c>
      <c r="D713" s="2505">
        <v>15.99</v>
      </c>
      <c r="E713" s="2505">
        <v>18</v>
      </c>
      <c r="F713" s="2505">
        <v>18</v>
      </c>
      <c r="G713" s="2505">
        <v>50.76</v>
      </c>
      <c r="H713" s="2505">
        <v>50.76</v>
      </c>
      <c r="I713" s="2505">
        <v>43.78</v>
      </c>
      <c r="J713" s="2505">
        <v>43.78</v>
      </c>
      <c r="K713" s="2505">
        <v>58.81</v>
      </c>
      <c r="L713" s="2505">
        <v>58.81</v>
      </c>
      <c r="M713" s="2505"/>
      <c r="N713" s="2505"/>
      <c r="O713" s="2505">
        <v>49.51</v>
      </c>
      <c r="P713" s="2505">
        <v>49.51</v>
      </c>
      <c r="Q713" s="2505">
        <v>53.08</v>
      </c>
      <c r="R713" s="2505">
        <v>49.52</v>
      </c>
      <c r="S713" s="2505">
        <v>57.180000000000007</v>
      </c>
      <c r="T713" s="2505">
        <v>57.18</v>
      </c>
      <c r="U713" s="2505">
        <v>55.18</v>
      </c>
      <c r="V713" s="2505">
        <v>55.18</v>
      </c>
      <c r="W713" s="2505">
        <v>57.18</v>
      </c>
      <c r="X713" s="2505">
        <v>57.18</v>
      </c>
      <c r="Y713" s="2505">
        <v>55.18</v>
      </c>
      <c r="Z713" s="2505">
        <v>57.18</v>
      </c>
      <c r="AA713" s="2505">
        <v>57.18</v>
      </c>
      <c r="AB713" s="2505">
        <v>57.18</v>
      </c>
      <c r="AC713" s="2505">
        <v>55.18</v>
      </c>
      <c r="AD713" s="2505">
        <v>55.18</v>
      </c>
      <c r="AE713" s="2505">
        <v>73.59</v>
      </c>
      <c r="AF713" s="2505">
        <v>71.56</v>
      </c>
      <c r="AG713" s="2505">
        <v>73.59</v>
      </c>
      <c r="AH713" s="2505">
        <v>73.59</v>
      </c>
      <c r="AI713" s="2505">
        <v>71.56</v>
      </c>
      <c r="AJ713" s="2505">
        <v>71.56</v>
      </c>
      <c r="AK713" s="2505">
        <v>75.17</v>
      </c>
      <c r="AL713" s="2505">
        <v>75.17</v>
      </c>
      <c r="AM713" s="2505">
        <v>26.34</v>
      </c>
      <c r="AN713" s="2505">
        <v>25.32</v>
      </c>
      <c r="AO713" s="2505">
        <v>25.32</v>
      </c>
      <c r="AP713" s="2505">
        <v>25.32</v>
      </c>
      <c r="AQ713" s="2505">
        <v>28.66</v>
      </c>
      <c r="AR713" s="2505">
        <v>28.66</v>
      </c>
      <c r="AS713" s="2505">
        <v>57.63</v>
      </c>
      <c r="AT713" s="2505">
        <v>57.63</v>
      </c>
      <c r="AU713" s="2505">
        <v>57.63</v>
      </c>
      <c r="AV713" s="2505">
        <v>60.3</v>
      </c>
      <c r="AW713" s="2505">
        <v>55.89</v>
      </c>
      <c r="AX713" s="2505">
        <v>55.89</v>
      </c>
      <c r="AY713" s="2505">
        <v>56.18</v>
      </c>
      <c r="AZ713" s="2505">
        <v>56.18</v>
      </c>
      <c r="BA713" s="2040">
        <v>23.84</v>
      </c>
      <c r="BB713" s="2040">
        <v>23.84</v>
      </c>
      <c r="BC713" s="2040">
        <v>4.6100000000000003</v>
      </c>
      <c r="BD713" s="2040">
        <v>4.6100000000000003</v>
      </c>
      <c r="BE713" s="2040">
        <v>9.35</v>
      </c>
      <c r="BF713" s="2040">
        <v>9.35</v>
      </c>
      <c r="BG713" s="2040">
        <v>4.66</v>
      </c>
      <c r="BH713" s="2040">
        <v>4.66</v>
      </c>
      <c r="BI713" s="2040">
        <v>4.45</v>
      </c>
      <c r="BJ713" s="2040">
        <v>4.45</v>
      </c>
      <c r="BK713" s="2040">
        <v>4.45</v>
      </c>
      <c r="BL713" s="2040">
        <v>4.45</v>
      </c>
      <c r="BM713" s="2040">
        <v>19.309999999999999</v>
      </c>
      <c r="BN713" s="2040">
        <v>19.309999999999999</v>
      </c>
      <c r="BO713" s="2040">
        <v>52.82</v>
      </c>
      <c r="BP713" s="2040">
        <v>52.82</v>
      </c>
      <c r="BQ713" s="2040">
        <v>52.82</v>
      </c>
      <c r="BR713" s="2040">
        <v>52.82</v>
      </c>
      <c r="BS713" s="2040">
        <v>52.67</v>
      </c>
      <c r="BT713" s="2040">
        <v>52.67</v>
      </c>
      <c r="BU713" s="2040">
        <v>52.67</v>
      </c>
      <c r="BV713" s="2040">
        <v>52.67</v>
      </c>
      <c r="BW713" s="2040">
        <v>52.67</v>
      </c>
      <c r="BX713" s="2040">
        <v>52.67</v>
      </c>
      <c r="BY713" s="2040">
        <v>17.55</v>
      </c>
      <c r="BZ713" s="2040">
        <v>17.55</v>
      </c>
      <c r="CA713" s="2040">
        <v>49.33</v>
      </c>
      <c r="CB713" s="2040">
        <v>49.33</v>
      </c>
      <c r="CC713" s="2040">
        <v>47.83</v>
      </c>
      <c r="CD713" s="2040">
        <v>47.83</v>
      </c>
      <c r="CE713" s="2040">
        <v>50.51</v>
      </c>
      <c r="CF713" s="2040">
        <v>50.51</v>
      </c>
      <c r="CK713" s="2040">
        <v>53.91</v>
      </c>
      <c r="CL713" s="2040">
        <v>53.91</v>
      </c>
      <c r="CM713" s="2040">
        <v>110.29</v>
      </c>
      <c r="CN713" s="2040">
        <v>110.29</v>
      </c>
      <c r="CO713" s="2040">
        <v>111.45</v>
      </c>
      <c r="CP713" s="2040">
        <v>111.45</v>
      </c>
      <c r="CQ713" s="2040">
        <v>111.45</v>
      </c>
      <c r="CR713" s="2040">
        <v>111.45</v>
      </c>
      <c r="CW713" s="2040">
        <v>40.46</v>
      </c>
      <c r="CX713" s="2040">
        <v>40.46</v>
      </c>
      <c r="CY713" s="2040">
        <v>101.7</v>
      </c>
      <c r="CZ713" s="2040">
        <v>101.7</v>
      </c>
      <c r="DA713" s="2040">
        <v>101.7</v>
      </c>
      <c r="DB713" s="2040">
        <v>101.7</v>
      </c>
      <c r="DC713" s="2040">
        <v>102.65</v>
      </c>
      <c r="DD713" s="2040">
        <v>102.65</v>
      </c>
      <c r="DE713" s="2040">
        <v>102.65</v>
      </c>
      <c r="DF713" s="2040">
        <v>102.65</v>
      </c>
      <c r="DI713" s="2040">
        <v>10.81</v>
      </c>
      <c r="DJ713" s="2040">
        <v>10.81</v>
      </c>
      <c r="DK713" s="2040">
        <v>10.81</v>
      </c>
      <c r="DL713" s="2040">
        <v>10.81</v>
      </c>
      <c r="DM713" s="2040">
        <v>10.81</v>
      </c>
      <c r="DN713" s="2040">
        <v>10.81</v>
      </c>
      <c r="DU713" s="2040">
        <v>4.93</v>
      </c>
      <c r="DV713" s="2040">
        <v>4.93</v>
      </c>
      <c r="DW713" s="2040">
        <v>3.52</v>
      </c>
      <c r="DX713" s="2040">
        <v>3.52</v>
      </c>
      <c r="DY713" s="2040">
        <v>3.52</v>
      </c>
      <c r="DZ713" s="2040">
        <v>3.52</v>
      </c>
      <c r="EG713" s="2040">
        <v>5.78</v>
      </c>
      <c r="EH713" s="2040">
        <v>6.33</v>
      </c>
      <c r="EI713" s="2040">
        <v>2.46</v>
      </c>
      <c r="EJ713" s="2040">
        <v>2.46</v>
      </c>
      <c r="EK713" s="2040">
        <v>2.41</v>
      </c>
      <c r="EL713" s="2040">
        <v>2.41</v>
      </c>
      <c r="EM713" s="2040">
        <v>3.08</v>
      </c>
      <c r="EN713" s="2040">
        <v>3.08</v>
      </c>
      <c r="EO713" s="2040">
        <v>2.71</v>
      </c>
      <c r="EP713" s="2040">
        <v>2.71</v>
      </c>
      <c r="EQ713" s="2040">
        <v>2.77</v>
      </c>
      <c r="ER713" s="2040">
        <v>2.98</v>
      </c>
      <c r="ES713" s="2040">
        <v>20.78</v>
      </c>
      <c r="ET713" s="2040">
        <v>20.78</v>
      </c>
      <c r="EU713" s="2040">
        <v>60.63</v>
      </c>
      <c r="EV713" s="2040">
        <v>60.63</v>
      </c>
      <c r="EW713" s="2040">
        <v>57.82</v>
      </c>
      <c r="EX713" s="2040">
        <v>57.82</v>
      </c>
      <c r="EY713" s="2506">
        <f t="shared" si="59"/>
        <v>59.225000000000001</v>
      </c>
      <c r="EZ713" s="2506">
        <f t="shared" si="59"/>
        <v>59.225000000000001</v>
      </c>
      <c r="FA713" s="2040">
        <v>63.26</v>
      </c>
      <c r="FB713" s="2040">
        <v>63.26</v>
      </c>
      <c r="FE713" s="2040">
        <v>16.95</v>
      </c>
      <c r="FF713" s="2040">
        <v>16.95</v>
      </c>
      <c r="FG713" s="2040">
        <v>46.31</v>
      </c>
      <c r="FH713" s="2040">
        <v>46.31</v>
      </c>
      <c r="FI713" s="2040">
        <v>46.31</v>
      </c>
      <c r="FJ713" s="2040">
        <v>46.31</v>
      </c>
      <c r="FK713" s="2040">
        <v>45.09</v>
      </c>
      <c r="FL713" s="2040">
        <v>45.09</v>
      </c>
      <c r="FM713" s="2040">
        <v>46.81</v>
      </c>
      <c r="FN713" s="2040">
        <v>46.81</v>
      </c>
      <c r="FQ713" s="2040">
        <v>37.159999999999997</v>
      </c>
      <c r="FR713" s="2040">
        <v>37.159999999999997</v>
      </c>
      <c r="FS713" s="2040">
        <v>64.7</v>
      </c>
      <c r="FT713" s="2040">
        <v>64.7</v>
      </c>
      <c r="FU713" s="2040">
        <v>64.7</v>
      </c>
      <c r="FV713" s="2040">
        <v>64.7</v>
      </c>
      <c r="FW713" s="2040">
        <v>65.98</v>
      </c>
      <c r="FX713" s="2040">
        <v>65.98</v>
      </c>
      <c r="GC713" s="2040">
        <v>27.05</v>
      </c>
      <c r="GD713" s="2040">
        <v>27.05</v>
      </c>
      <c r="GE713" s="2040">
        <v>69.08</v>
      </c>
      <c r="GF713" s="2040">
        <v>69.08</v>
      </c>
      <c r="GG713" s="2040">
        <v>69.08</v>
      </c>
      <c r="GH713" s="2040">
        <v>69.08</v>
      </c>
      <c r="GI713" s="2040">
        <v>24.89</v>
      </c>
      <c r="GJ713" s="2040">
        <v>24.89</v>
      </c>
      <c r="GK713" s="2040">
        <v>53.22</v>
      </c>
      <c r="GL713" s="2040">
        <v>53.22</v>
      </c>
      <c r="GO713" s="2040">
        <v>14.79</v>
      </c>
      <c r="GP713" s="2040">
        <v>14.79</v>
      </c>
      <c r="GQ713" s="2040">
        <v>7.78</v>
      </c>
      <c r="GR713" s="2040">
        <v>7.78</v>
      </c>
      <c r="GS713" s="2040">
        <v>7.78</v>
      </c>
      <c r="GT713" s="2040">
        <v>7.34</v>
      </c>
      <c r="GU713" s="2040">
        <v>7.34</v>
      </c>
      <c r="GV713" s="2040">
        <v>7.34</v>
      </c>
      <c r="GW713" s="2040">
        <v>46.26</v>
      </c>
      <c r="GX713" s="2040">
        <v>46.26</v>
      </c>
      <c r="HA713" s="2040">
        <v>10.16</v>
      </c>
      <c r="HB713" s="2040">
        <v>10.16</v>
      </c>
      <c r="HC713" s="2040">
        <v>3.11</v>
      </c>
      <c r="HD713" s="2040">
        <v>3.11</v>
      </c>
      <c r="HE713" s="2040">
        <v>4</v>
      </c>
      <c r="HF713" s="2040">
        <v>4</v>
      </c>
      <c r="HG713" s="2040">
        <v>4</v>
      </c>
      <c r="HH713" s="2040">
        <v>4</v>
      </c>
      <c r="HI713" s="2040">
        <v>4</v>
      </c>
      <c r="HJ713" s="2040">
        <v>4</v>
      </c>
      <c r="HK713" s="2040">
        <v>3.87</v>
      </c>
      <c r="HL713" s="2040">
        <v>3.87</v>
      </c>
      <c r="HM713" s="2040">
        <v>14.17</v>
      </c>
      <c r="HN713" s="2040">
        <v>14.17</v>
      </c>
      <c r="HO713" s="2040">
        <v>4.57</v>
      </c>
      <c r="HP713" s="2040">
        <v>4.57</v>
      </c>
      <c r="HQ713" s="2040">
        <v>5.91</v>
      </c>
      <c r="HR713" s="2040">
        <v>5.91</v>
      </c>
      <c r="HS713" s="2040">
        <v>5.91</v>
      </c>
      <c r="HT713" s="2040">
        <v>5.91</v>
      </c>
      <c r="HU713" s="2040">
        <v>5.91</v>
      </c>
      <c r="HV713" s="2040">
        <v>5.91</v>
      </c>
      <c r="HW713" s="2040">
        <v>5.65</v>
      </c>
      <c r="HX713" s="2040">
        <v>5.65</v>
      </c>
    </row>
    <row r="714" spans="2:232" s="2040" customFormat="1" ht="14" x14ac:dyDescent="0.3">
      <c r="B714" s="2504">
        <v>15</v>
      </c>
      <c r="C714" s="2505">
        <v>17.41</v>
      </c>
      <c r="D714" s="2505">
        <v>17.41</v>
      </c>
      <c r="E714" s="2505">
        <v>19.309999999999999</v>
      </c>
      <c r="F714" s="2505">
        <v>19.309999999999999</v>
      </c>
      <c r="G714" s="2505">
        <v>56.03</v>
      </c>
      <c r="H714" s="2505">
        <v>56.03</v>
      </c>
      <c r="I714" s="2505">
        <v>48.62</v>
      </c>
      <c r="J714" s="2505">
        <v>48.62</v>
      </c>
      <c r="K714" s="2505">
        <v>64.45</v>
      </c>
      <c r="L714" s="2505">
        <v>64.45</v>
      </c>
      <c r="M714" s="2505"/>
      <c r="N714" s="2505"/>
      <c r="O714" s="2505">
        <v>53.98</v>
      </c>
      <c r="P714" s="2505">
        <v>53.98</v>
      </c>
      <c r="Q714" s="2505">
        <v>57.31</v>
      </c>
      <c r="R714" s="2505">
        <v>53.98</v>
      </c>
      <c r="S714" s="2505">
        <v>64.990000000000009</v>
      </c>
      <c r="T714" s="2505">
        <v>64.989999999999995</v>
      </c>
      <c r="U714" s="2505">
        <v>62.72</v>
      </c>
      <c r="V714" s="2505">
        <v>62.72</v>
      </c>
      <c r="W714" s="2505">
        <v>64.989999999999995</v>
      </c>
      <c r="X714" s="2505">
        <v>64.989999999999995</v>
      </c>
      <c r="Y714" s="2505">
        <v>62.72</v>
      </c>
      <c r="Z714" s="2505">
        <v>64.989999999999995</v>
      </c>
      <c r="AA714" s="2505">
        <v>64.989999999999995</v>
      </c>
      <c r="AB714" s="2505">
        <v>64.989999999999995</v>
      </c>
      <c r="AC714" s="2505">
        <v>62.72</v>
      </c>
      <c r="AD714" s="2505">
        <v>62.72</v>
      </c>
      <c r="AE714" s="2505">
        <v>82.18</v>
      </c>
      <c r="AF714" s="2505">
        <v>79.91</v>
      </c>
      <c r="AG714" s="2505">
        <v>82.18</v>
      </c>
      <c r="AH714" s="2505">
        <v>82.18</v>
      </c>
      <c r="AI714" s="2505">
        <v>79.91</v>
      </c>
      <c r="AJ714" s="2505">
        <v>79.91</v>
      </c>
      <c r="AK714" s="2505">
        <v>83.39</v>
      </c>
      <c r="AL714" s="2505">
        <v>83.39</v>
      </c>
      <c r="AM714" s="2505">
        <v>28.7</v>
      </c>
      <c r="AN714" s="2505">
        <v>27.59</v>
      </c>
      <c r="AO714" s="2505">
        <v>27.59</v>
      </c>
      <c r="AP714" s="2505">
        <v>27.59</v>
      </c>
      <c r="AQ714" s="2505">
        <v>30.75</v>
      </c>
      <c r="AR714" s="2505">
        <v>30.75</v>
      </c>
      <c r="AS714" s="2505">
        <v>64.260000000000005</v>
      </c>
      <c r="AT714" s="2505">
        <v>64.260000000000005</v>
      </c>
      <c r="AU714" s="2505">
        <v>64.260000000000005</v>
      </c>
      <c r="AV714" s="2505">
        <v>67.08</v>
      </c>
      <c r="AW714" s="2505">
        <v>62.67</v>
      </c>
      <c r="AX714" s="2505">
        <v>62.67</v>
      </c>
      <c r="AY714" s="2505">
        <v>62.96</v>
      </c>
      <c r="AZ714" s="2505">
        <v>62.96</v>
      </c>
      <c r="BA714" s="2040">
        <v>26.71</v>
      </c>
      <c r="BB714" s="2040">
        <v>26.71</v>
      </c>
      <c r="BC714" s="2040">
        <v>5.3</v>
      </c>
      <c r="BD714" s="2040">
        <v>5.3</v>
      </c>
      <c r="BE714" s="2040">
        <v>10.18</v>
      </c>
      <c r="BF714" s="2040">
        <v>10.18</v>
      </c>
      <c r="BG714" s="2040">
        <v>5.35</v>
      </c>
      <c r="BH714" s="2040">
        <v>5.35</v>
      </c>
      <c r="BI714" s="2040">
        <v>5.14</v>
      </c>
      <c r="BJ714" s="2040">
        <v>5.14</v>
      </c>
      <c r="BK714" s="2040">
        <v>5.14</v>
      </c>
      <c r="BL714" s="2040">
        <v>5.14</v>
      </c>
      <c r="BM714" s="2040">
        <v>21.02</v>
      </c>
      <c r="BN714" s="2040">
        <v>21.02</v>
      </c>
      <c r="BO714" s="2040">
        <v>58.04</v>
      </c>
      <c r="BP714" s="2040">
        <v>58.04</v>
      </c>
      <c r="BQ714" s="2040">
        <v>58.04</v>
      </c>
      <c r="BR714" s="2040">
        <v>58.04</v>
      </c>
      <c r="BS714" s="2040">
        <v>59.27</v>
      </c>
      <c r="BT714" s="2040">
        <v>59.27</v>
      </c>
      <c r="BU714" s="2040">
        <v>59.27</v>
      </c>
      <c r="BV714" s="2040">
        <v>59.27</v>
      </c>
      <c r="BW714" s="2040">
        <v>59.27</v>
      </c>
      <c r="BX714" s="2040">
        <v>59.27</v>
      </c>
      <c r="BY714" s="2040">
        <v>19.11</v>
      </c>
      <c r="BZ714" s="2040">
        <v>19.11</v>
      </c>
      <c r="CA714" s="2040">
        <v>54.32</v>
      </c>
      <c r="CB714" s="2040">
        <v>54.32</v>
      </c>
      <c r="CC714" s="2040">
        <v>52.99</v>
      </c>
      <c r="CD714" s="2040">
        <v>52.99</v>
      </c>
      <c r="CE714" s="2040">
        <v>56.98</v>
      </c>
      <c r="CF714" s="2040">
        <v>56.98</v>
      </c>
      <c r="CK714" s="2040">
        <v>57.2</v>
      </c>
      <c r="CL714" s="2040">
        <v>57.2</v>
      </c>
      <c r="CM714" s="2040">
        <v>117.58</v>
      </c>
      <c r="CN714" s="2040">
        <v>117.58</v>
      </c>
      <c r="CO714" s="2040">
        <v>121.23</v>
      </c>
      <c r="CP714" s="2040">
        <v>121.23</v>
      </c>
      <c r="CQ714" s="2040">
        <v>121.23</v>
      </c>
      <c r="CR714" s="2040">
        <v>121.23</v>
      </c>
      <c r="CW714" s="2040">
        <v>44.1</v>
      </c>
      <c r="CX714" s="2040">
        <v>44.1</v>
      </c>
      <c r="CY714" s="2040">
        <v>108.82</v>
      </c>
      <c r="CZ714" s="2040">
        <v>108.82</v>
      </c>
      <c r="DA714" s="2040">
        <v>108.82</v>
      </c>
      <c r="DB714" s="2040">
        <v>108.82</v>
      </c>
      <c r="DC714" s="2040">
        <v>112.11</v>
      </c>
      <c r="DD714" s="2040">
        <v>112.11</v>
      </c>
      <c r="DE714" s="2040">
        <v>112.11</v>
      </c>
      <c r="DF714" s="2040">
        <v>112.11</v>
      </c>
      <c r="DI714" s="2040">
        <v>11.76</v>
      </c>
      <c r="DJ714" s="2040">
        <v>11.76</v>
      </c>
      <c r="DK714" s="2040">
        <v>11.76</v>
      </c>
      <c r="DL714" s="2040">
        <v>11.76</v>
      </c>
      <c r="DM714" s="2040">
        <v>11.76</v>
      </c>
      <c r="DN714" s="2040">
        <v>11.76</v>
      </c>
      <c r="DU714" s="2040">
        <v>5.35</v>
      </c>
      <c r="DV714" s="2040">
        <v>5.35</v>
      </c>
      <c r="DW714" s="2040">
        <v>3.93</v>
      </c>
      <c r="DX714" s="2040">
        <v>3.93</v>
      </c>
      <c r="DY714" s="2040">
        <v>3.93</v>
      </c>
      <c r="DZ714" s="2040">
        <v>3.93</v>
      </c>
      <c r="EG714" s="2040">
        <v>5.95</v>
      </c>
      <c r="EH714" s="2040">
        <v>6.49</v>
      </c>
      <c r="EI714" s="2040">
        <v>2.59</v>
      </c>
      <c r="EJ714" s="2040">
        <v>2.59</v>
      </c>
      <c r="EK714" s="2040">
        <v>2.5299999999999998</v>
      </c>
      <c r="EL714" s="2040">
        <v>2.5299999999999998</v>
      </c>
      <c r="EM714" s="2040">
        <v>3.22</v>
      </c>
      <c r="EN714" s="2040">
        <v>3.22</v>
      </c>
      <c r="EO714" s="2040">
        <v>2.84</v>
      </c>
      <c r="EP714" s="2040">
        <v>2.84</v>
      </c>
      <c r="EQ714" s="2040">
        <v>2.91</v>
      </c>
      <c r="ER714" s="2040">
        <v>3.12</v>
      </c>
      <c r="ES714" s="2040">
        <v>21.76</v>
      </c>
      <c r="ET714" s="2040">
        <v>21.76</v>
      </c>
      <c r="EU714" s="2040">
        <v>64.709999999999994</v>
      </c>
      <c r="EV714" s="2040">
        <v>64.709999999999994</v>
      </c>
      <c r="EW714" s="2040">
        <v>61.8</v>
      </c>
      <c r="EX714" s="2040">
        <v>61.8</v>
      </c>
      <c r="EY714" s="2506">
        <f t="shared" si="59"/>
        <v>63.254999999999995</v>
      </c>
      <c r="EZ714" s="2506">
        <f t="shared" si="59"/>
        <v>63.254999999999995</v>
      </c>
      <c r="FA714" s="2040">
        <v>67.33</v>
      </c>
      <c r="FB714" s="2040">
        <v>67.33</v>
      </c>
      <c r="FE714" s="2040">
        <v>17.79</v>
      </c>
      <c r="FF714" s="2040">
        <v>17.79</v>
      </c>
      <c r="FG714" s="2040">
        <v>49.7</v>
      </c>
      <c r="FH714" s="2040">
        <v>49.7</v>
      </c>
      <c r="FI714" s="2040">
        <v>49.7</v>
      </c>
      <c r="FJ714" s="2040">
        <v>49.7</v>
      </c>
      <c r="FK714" s="2040">
        <v>48.47</v>
      </c>
      <c r="FL714" s="2040">
        <v>48.47</v>
      </c>
      <c r="FM714" s="2040">
        <v>50.22</v>
      </c>
      <c r="FN714" s="2040">
        <v>50.22</v>
      </c>
      <c r="FQ714" s="2040">
        <v>40.06</v>
      </c>
      <c r="FR714" s="2040">
        <v>40.06</v>
      </c>
      <c r="FS714" s="2040">
        <v>70.31</v>
      </c>
      <c r="FT714" s="2040">
        <v>70.31</v>
      </c>
      <c r="FU714" s="2040">
        <v>70.31</v>
      </c>
      <c r="FV714" s="2040">
        <v>70.31</v>
      </c>
      <c r="FW714" s="2040">
        <v>71.599999999999994</v>
      </c>
      <c r="FX714" s="2040">
        <v>71.599999999999994</v>
      </c>
      <c r="GC714" s="2040">
        <v>28.94</v>
      </c>
      <c r="GD714" s="2040">
        <v>28.94</v>
      </c>
      <c r="GE714" s="2040">
        <v>73.13</v>
      </c>
      <c r="GF714" s="2040">
        <v>73.13</v>
      </c>
      <c r="GG714" s="2040">
        <v>73.13</v>
      </c>
      <c r="GH714" s="2040">
        <v>73.13</v>
      </c>
      <c r="GI714" s="2040">
        <v>28.61</v>
      </c>
      <c r="GJ714" s="2040">
        <v>28.61</v>
      </c>
      <c r="GK714" s="2040">
        <v>58.25</v>
      </c>
      <c r="GL714" s="2040">
        <v>58.25</v>
      </c>
      <c r="GO714" s="2040">
        <v>15.59</v>
      </c>
      <c r="GP714" s="2040">
        <v>15.59</v>
      </c>
      <c r="GQ714" s="2040">
        <v>8.82</v>
      </c>
      <c r="GR714" s="2040">
        <v>8.82</v>
      </c>
      <c r="GS714" s="2040">
        <v>8.82</v>
      </c>
      <c r="GT714" s="2040">
        <v>8.34</v>
      </c>
      <c r="GU714" s="2040">
        <v>8.34</v>
      </c>
      <c r="GV714" s="2040">
        <v>8.34</v>
      </c>
      <c r="GW714" s="2040">
        <v>52.25</v>
      </c>
      <c r="GX714" s="2040">
        <v>52.25</v>
      </c>
      <c r="HA714" s="2040">
        <v>11.05</v>
      </c>
      <c r="HB714" s="2040">
        <v>11.05</v>
      </c>
      <c r="HC714" s="2040">
        <v>3.66</v>
      </c>
      <c r="HD714" s="2040">
        <v>3.66</v>
      </c>
      <c r="HE714" s="2040">
        <v>4.62</v>
      </c>
      <c r="HF714" s="2040">
        <v>4.62</v>
      </c>
      <c r="HG714" s="2040">
        <v>4.62</v>
      </c>
      <c r="HH714" s="2040">
        <v>4.62</v>
      </c>
      <c r="HI714" s="2040">
        <v>4.62</v>
      </c>
      <c r="HJ714" s="2040">
        <v>4.62</v>
      </c>
      <c r="HK714" s="2040">
        <v>4.5</v>
      </c>
      <c r="HL714" s="2040">
        <v>4.5</v>
      </c>
      <c r="HM714" s="2040">
        <v>15.42</v>
      </c>
      <c r="HN714" s="2040">
        <v>15.42</v>
      </c>
      <c r="HO714" s="2040">
        <v>5.38</v>
      </c>
      <c r="HP714" s="2040">
        <v>5.38</v>
      </c>
      <c r="HQ714" s="2040">
        <v>6.81</v>
      </c>
      <c r="HR714" s="2040">
        <v>6.81</v>
      </c>
      <c r="HS714" s="2040">
        <v>6.81</v>
      </c>
      <c r="HT714" s="2040">
        <v>6.81</v>
      </c>
      <c r="HU714" s="2040">
        <v>6.81</v>
      </c>
      <c r="HV714" s="2040">
        <v>6.81</v>
      </c>
      <c r="HW714" s="2040">
        <v>6.55</v>
      </c>
      <c r="HX714" s="2040">
        <v>6.55</v>
      </c>
    </row>
    <row r="715" spans="2:232" s="2040" customFormat="1" ht="14" x14ac:dyDescent="0.3">
      <c r="B715" s="2504">
        <v>16</v>
      </c>
      <c r="C715" s="2505">
        <v>18.75</v>
      </c>
      <c r="D715" s="2505">
        <v>18.75</v>
      </c>
      <c r="E715" s="2505">
        <v>20.54</v>
      </c>
      <c r="F715" s="2505">
        <v>20.54</v>
      </c>
      <c r="G715" s="2505">
        <v>61.1</v>
      </c>
      <c r="H715" s="2505">
        <v>61.1</v>
      </c>
      <c r="I715" s="2505">
        <v>53.31</v>
      </c>
      <c r="J715" s="2505">
        <v>53.31</v>
      </c>
      <c r="K715" s="2505">
        <v>69.81</v>
      </c>
      <c r="L715" s="2505">
        <v>69.81</v>
      </c>
      <c r="M715" s="2505"/>
      <c r="N715" s="2505"/>
      <c r="O715" s="2505">
        <v>58.21</v>
      </c>
      <c r="P715" s="2505">
        <v>58.21</v>
      </c>
      <c r="Q715" s="2505">
        <v>61.32</v>
      </c>
      <c r="R715" s="2505">
        <v>58.22</v>
      </c>
      <c r="S715" s="2505">
        <v>72.610000000000014</v>
      </c>
      <c r="T715" s="2505">
        <v>72.61</v>
      </c>
      <c r="U715" s="2505">
        <v>70.08</v>
      </c>
      <c r="V715" s="2505">
        <v>70.08</v>
      </c>
      <c r="W715" s="2505">
        <v>72.61</v>
      </c>
      <c r="X715" s="2505">
        <v>72.61</v>
      </c>
      <c r="Y715" s="2505">
        <v>70.08</v>
      </c>
      <c r="Z715" s="2505">
        <v>72.61</v>
      </c>
      <c r="AA715" s="2505">
        <v>72.61</v>
      </c>
      <c r="AB715" s="2505">
        <v>72.61</v>
      </c>
      <c r="AC715" s="2505">
        <v>70.08</v>
      </c>
      <c r="AD715" s="2505">
        <v>70.08</v>
      </c>
      <c r="AE715" s="2505">
        <v>90.46</v>
      </c>
      <c r="AF715" s="2505">
        <v>87.96</v>
      </c>
      <c r="AG715" s="2505">
        <v>90.46</v>
      </c>
      <c r="AH715" s="2505">
        <v>90.46</v>
      </c>
      <c r="AI715" s="2505">
        <v>87.96</v>
      </c>
      <c r="AJ715" s="2505">
        <v>87.96</v>
      </c>
      <c r="AK715" s="2505">
        <v>91.3</v>
      </c>
      <c r="AL715" s="2505">
        <v>91.3</v>
      </c>
      <c r="AM715" s="2505">
        <v>30.93</v>
      </c>
      <c r="AN715" s="2505">
        <v>29.75</v>
      </c>
      <c r="AO715" s="2505">
        <v>29.75</v>
      </c>
      <c r="AP715" s="2505">
        <v>29.75</v>
      </c>
      <c r="AQ715" s="2505">
        <v>32.74</v>
      </c>
      <c r="AR715" s="2505">
        <v>32.74</v>
      </c>
      <c r="AS715" s="2505">
        <v>70.67</v>
      </c>
      <c r="AT715" s="2505">
        <v>70.67</v>
      </c>
      <c r="AU715" s="2505">
        <v>70.67</v>
      </c>
      <c r="AV715" s="2505">
        <v>73.63</v>
      </c>
      <c r="AW715" s="2505">
        <v>69.23</v>
      </c>
      <c r="AX715" s="2505">
        <v>69.23</v>
      </c>
      <c r="AY715" s="2505">
        <v>69.510000000000005</v>
      </c>
      <c r="AZ715" s="2505">
        <v>69.510000000000005</v>
      </c>
      <c r="BA715" s="2040">
        <v>29.49</v>
      </c>
      <c r="BB715" s="2040">
        <v>29.49</v>
      </c>
      <c r="BC715" s="2040">
        <v>5.97</v>
      </c>
      <c r="BD715" s="2040">
        <v>5.97</v>
      </c>
      <c r="BE715" s="2040">
        <v>10.96</v>
      </c>
      <c r="BF715" s="2040">
        <v>10.96</v>
      </c>
      <c r="BG715" s="2040">
        <v>6.02</v>
      </c>
      <c r="BH715" s="2040">
        <v>6.02</v>
      </c>
      <c r="BI715" s="2040">
        <v>5.82</v>
      </c>
      <c r="BJ715" s="2040">
        <v>5.82</v>
      </c>
      <c r="BK715" s="2040">
        <v>5.82</v>
      </c>
      <c r="BL715" s="2040">
        <v>5.82</v>
      </c>
      <c r="BM715" s="2040">
        <v>22.65</v>
      </c>
      <c r="BN715" s="2040">
        <v>22.65</v>
      </c>
      <c r="BO715" s="2040">
        <v>63.04</v>
      </c>
      <c r="BP715" s="2040">
        <v>63.04</v>
      </c>
      <c r="BQ715" s="2040">
        <v>63.04</v>
      </c>
      <c r="BR715" s="2040">
        <v>63.04</v>
      </c>
      <c r="BS715" s="2040">
        <v>65.680000000000007</v>
      </c>
      <c r="BT715" s="2040">
        <v>65.680000000000007</v>
      </c>
      <c r="BU715" s="2040">
        <v>65.680000000000007</v>
      </c>
      <c r="BV715" s="2040">
        <v>65.680000000000007</v>
      </c>
      <c r="BW715" s="2040">
        <v>65.680000000000007</v>
      </c>
      <c r="BX715" s="2040">
        <v>65.680000000000007</v>
      </c>
      <c r="BY715" s="2040">
        <v>20.59</v>
      </c>
      <c r="BZ715" s="2040">
        <v>20.59</v>
      </c>
      <c r="CA715" s="2040">
        <v>59.11</v>
      </c>
      <c r="CB715" s="2040">
        <v>59.11</v>
      </c>
      <c r="CC715" s="2040">
        <v>57.95</v>
      </c>
      <c r="CD715" s="2040">
        <v>57.95</v>
      </c>
      <c r="CE715" s="2040">
        <v>63.28</v>
      </c>
      <c r="CF715" s="2040">
        <v>63.28</v>
      </c>
      <c r="CK715" s="2040">
        <v>60.31</v>
      </c>
      <c r="CL715" s="2040">
        <v>60.31</v>
      </c>
      <c r="CM715" s="2040">
        <v>124.42</v>
      </c>
      <c r="CN715" s="2040">
        <v>124.42</v>
      </c>
      <c r="CO715" s="2040">
        <v>130.54</v>
      </c>
      <c r="CP715" s="2040">
        <v>130.54</v>
      </c>
      <c r="CQ715" s="2040">
        <v>130.54</v>
      </c>
      <c r="CR715" s="2040">
        <v>130.54</v>
      </c>
      <c r="CW715" s="2040">
        <v>47.55</v>
      </c>
      <c r="CX715" s="2040">
        <v>47.55</v>
      </c>
      <c r="CY715" s="2040">
        <v>115.52</v>
      </c>
      <c r="CZ715" s="2040">
        <v>115.52</v>
      </c>
      <c r="DA715" s="2040">
        <v>115.52</v>
      </c>
      <c r="DB715" s="2040">
        <v>115.52</v>
      </c>
      <c r="DC715" s="2040">
        <v>121.14</v>
      </c>
      <c r="DD715" s="2040">
        <v>121.14</v>
      </c>
      <c r="DE715" s="2040">
        <v>121.14</v>
      </c>
      <c r="DF715" s="2040">
        <v>121.14</v>
      </c>
      <c r="DI715" s="2040">
        <v>12.66</v>
      </c>
      <c r="DJ715" s="2040">
        <v>12.66</v>
      </c>
      <c r="DK715" s="2040">
        <v>12.66</v>
      </c>
      <c r="DL715" s="2040">
        <v>12.66</v>
      </c>
      <c r="DM715" s="2040">
        <v>12.66</v>
      </c>
      <c r="DN715" s="2040">
        <v>12.66</v>
      </c>
      <c r="DU715" s="2040">
        <v>5.74</v>
      </c>
      <c r="DV715" s="2040">
        <v>5.74</v>
      </c>
      <c r="DW715" s="2040">
        <v>4.32</v>
      </c>
      <c r="DX715" s="2040">
        <v>4.32</v>
      </c>
      <c r="DY715" s="2040">
        <v>4.32</v>
      </c>
      <c r="DZ715" s="2040">
        <v>4.32</v>
      </c>
      <c r="EG715" s="2040">
        <v>6.46</v>
      </c>
      <c r="EH715" s="2040">
        <v>6.98</v>
      </c>
      <c r="EI715" s="2040">
        <v>2.98</v>
      </c>
      <c r="EJ715" s="2040">
        <v>2.98</v>
      </c>
      <c r="EK715" s="2040">
        <v>2.93</v>
      </c>
      <c r="EL715" s="2040">
        <v>2.93</v>
      </c>
      <c r="EM715" s="2040">
        <v>3.65</v>
      </c>
      <c r="EN715" s="2040">
        <v>3.65</v>
      </c>
      <c r="EO715" s="2040">
        <v>3.24</v>
      </c>
      <c r="EP715" s="2040">
        <v>3.24</v>
      </c>
      <c r="EQ715" s="2040">
        <v>3.32</v>
      </c>
      <c r="ER715" s="2040">
        <v>3.53</v>
      </c>
      <c r="ES715" s="2040">
        <v>23.47</v>
      </c>
      <c r="ET715" s="2040">
        <v>23.47</v>
      </c>
      <c r="EU715" s="2040">
        <v>72.010000000000005</v>
      </c>
      <c r="EV715" s="2040">
        <v>72.010000000000005</v>
      </c>
      <c r="EW715" s="2040">
        <v>68.94</v>
      </c>
      <c r="EX715" s="2040">
        <v>68.94</v>
      </c>
      <c r="EY715" s="2506">
        <f t="shared" si="59"/>
        <v>70.474999999999994</v>
      </c>
      <c r="EZ715" s="2506">
        <f t="shared" si="59"/>
        <v>70.474999999999994</v>
      </c>
      <c r="FA715" s="2040">
        <v>74.599999999999994</v>
      </c>
      <c r="FB715" s="2040">
        <v>74.599999999999994</v>
      </c>
      <c r="FE715" s="2040">
        <v>19.38</v>
      </c>
      <c r="FF715" s="2040">
        <v>19.38</v>
      </c>
      <c r="FG715" s="2040">
        <v>56.27</v>
      </c>
      <c r="FH715" s="2040">
        <v>56.27</v>
      </c>
      <c r="FI715" s="2040">
        <v>56.27</v>
      </c>
      <c r="FJ715" s="2040">
        <v>56.27</v>
      </c>
      <c r="FK715" s="2040">
        <v>55.01</v>
      </c>
      <c r="FL715" s="2040">
        <v>55.01</v>
      </c>
      <c r="FM715" s="2040">
        <v>56.8</v>
      </c>
      <c r="FN715" s="2040">
        <v>56.8</v>
      </c>
      <c r="FQ715" s="2040">
        <v>43</v>
      </c>
      <c r="FR715" s="2040">
        <v>43</v>
      </c>
      <c r="FS715" s="2040">
        <v>76.06</v>
      </c>
      <c r="FT715" s="2040">
        <v>76.06</v>
      </c>
      <c r="FU715" s="2040">
        <v>76.06</v>
      </c>
      <c r="FV715" s="2040">
        <v>76.06</v>
      </c>
      <c r="FW715" s="2040">
        <v>77.37</v>
      </c>
      <c r="FX715" s="2040">
        <v>77.37</v>
      </c>
      <c r="GC715" s="2040">
        <v>31.36</v>
      </c>
      <c r="GD715" s="2040">
        <v>31.36</v>
      </c>
      <c r="GE715" s="2040">
        <v>78.260000000000005</v>
      </c>
      <c r="GF715" s="2040">
        <v>78.260000000000005</v>
      </c>
      <c r="GG715" s="2040">
        <v>78.260000000000005</v>
      </c>
      <c r="GH715" s="2040">
        <v>78.260000000000005</v>
      </c>
      <c r="GI715" s="2040">
        <v>33.9</v>
      </c>
      <c r="GJ715" s="2040">
        <v>33.9</v>
      </c>
      <c r="GK715" s="2040">
        <v>64.81</v>
      </c>
      <c r="GL715" s="2040">
        <v>64.81</v>
      </c>
      <c r="GO715" s="2040">
        <v>16.940000000000001</v>
      </c>
      <c r="GP715" s="2040">
        <v>16.940000000000001</v>
      </c>
      <c r="GQ715" s="2040">
        <v>9.83</v>
      </c>
      <c r="GR715" s="2040">
        <v>9.83</v>
      </c>
      <c r="GS715" s="2040">
        <v>9.83</v>
      </c>
      <c r="GT715" s="2040">
        <v>9.31</v>
      </c>
      <c r="GU715" s="2040">
        <v>9.31</v>
      </c>
      <c r="GV715" s="2040">
        <v>9.31</v>
      </c>
      <c r="GW715" s="2040">
        <v>58.09</v>
      </c>
      <c r="GX715" s="2040">
        <v>58.09</v>
      </c>
      <c r="HA715" s="2040">
        <v>11.9</v>
      </c>
      <c r="HB715" s="2040">
        <v>11.9</v>
      </c>
      <c r="HC715" s="2040">
        <v>4.24</v>
      </c>
      <c r="HD715" s="2040">
        <v>4.24</v>
      </c>
      <c r="HE715" s="2040">
        <v>5.24</v>
      </c>
      <c r="HF715" s="2040">
        <v>5.24</v>
      </c>
      <c r="HG715" s="2040">
        <v>5.24</v>
      </c>
      <c r="HH715" s="2040">
        <v>5.24</v>
      </c>
      <c r="HI715" s="2040">
        <v>5.24</v>
      </c>
      <c r="HJ715" s="2040">
        <v>5.24</v>
      </c>
      <c r="HK715" s="2040">
        <v>5.12</v>
      </c>
      <c r="HL715" s="2040">
        <v>5.12</v>
      </c>
      <c r="HM715" s="2040">
        <v>16.61</v>
      </c>
      <c r="HN715" s="2040">
        <v>16.61</v>
      </c>
      <c r="HO715" s="2040">
        <v>6.22</v>
      </c>
      <c r="HP715" s="2040">
        <v>6.22</v>
      </c>
      <c r="HQ715" s="2040">
        <v>7.7</v>
      </c>
      <c r="HR715" s="2040">
        <v>7.7</v>
      </c>
      <c r="HS715" s="2040">
        <v>7.7</v>
      </c>
      <c r="HT715" s="2040">
        <v>7.7</v>
      </c>
      <c r="HU715" s="2040">
        <v>7.7</v>
      </c>
      <c r="HV715" s="2040">
        <v>7.7</v>
      </c>
      <c r="HW715" s="2040">
        <v>7.45</v>
      </c>
      <c r="HX715" s="2040">
        <v>7.45</v>
      </c>
    </row>
    <row r="716" spans="2:232" s="2040" customFormat="1" ht="14" x14ac:dyDescent="0.3">
      <c r="B716" s="2504">
        <v>17</v>
      </c>
      <c r="C716" s="2505">
        <v>20.03</v>
      </c>
      <c r="D716" s="2505">
        <v>20.03</v>
      </c>
      <c r="E716" s="2505">
        <v>21.72</v>
      </c>
      <c r="F716" s="2505">
        <v>21.72</v>
      </c>
      <c r="G716" s="2505">
        <v>65.97</v>
      </c>
      <c r="H716" s="2505">
        <v>65.97</v>
      </c>
      <c r="I716" s="2505">
        <v>57.85</v>
      </c>
      <c r="J716" s="2505">
        <v>57.85</v>
      </c>
      <c r="K716" s="2505">
        <v>74.91</v>
      </c>
      <c r="L716" s="2505">
        <v>74.91</v>
      </c>
      <c r="M716" s="2505"/>
      <c r="N716" s="2505"/>
      <c r="O716" s="2505">
        <v>62.22</v>
      </c>
      <c r="P716" s="2505">
        <v>62.22</v>
      </c>
      <c r="Q716" s="2505">
        <v>65.11</v>
      </c>
      <c r="R716" s="2505">
        <v>62.22</v>
      </c>
      <c r="S716" s="2505">
        <v>80.030000000000015</v>
      </c>
      <c r="T716" s="2505">
        <v>80.03</v>
      </c>
      <c r="U716" s="2505">
        <v>77.23</v>
      </c>
      <c r="V716" s="2505">
        <v>77.23</v>
      </c>
      <c r="W716" s="2505">
        <v>80.03</v>
      </c>
      <c r="X716" s="2505">
        <v>80.03</v>
      </c>
      <c r="Y716" s="2505">
        <v>77.23</v>
      </c>
      <c r="Z716" s="2505">
        <v>80.03</v>
      </c>
      <c r="AA716" s="2505">
        <v>80.03</v>
      </c>
      <c r="AB716" s="2505">
        <v>80.03</v>
      </c>
      <c r="AC716" s="2505">
        <v>77.23</v>
      </c>
      <c r="AD716" s="2505">
        <v>77.23</v>
      </c>
      <c r="AE716" s="2505">
        <v>98.42</v>
      </c>
      <c r="AF716" s="2505">
        <v>95.69</v>
      </c>
      <c r="AG716" s="2505">
        <v>98.42</v>
      </c>
      <c r="AH716" s="2505">
        <v>98.42</v>
      </c>
      <c r="AI716" s="2505">
        <v>95.69</v>
      </c>
      <c r="AJ716" s="2505">
        <v>95.69</v>
      </c>
      <c r="AK716" s="2505">
        <v>98.9</v>
      </c>
      <c r="AL716" s="2505">
        <v>98.9</v>
      </c>
      <c r="AM716" s="2505">
        <v>33.04</v>
      </c>
      <c r="AN716" s="2505">
        <v>31.79</v>
      </c>
      <c r="AO716" s="2505">
        <v>31.79</v>
      </c>
      <c r="AP716" s="2505">
        <v>31.79</v>
      </c>
      <c r="AQ716" s="2505">
        <v>34.61</v>
      </c>
      <c r="AR716" s="2505">
        <v>34.61</v>
      </c>
      <c r="AS716" s="2505">
        <v>76.83</v>
      </c>
      <c r="AT716" s="2505">
        <v>76.83</v>
      </c>
      <c r="AU716" s="2505">
        <v>76.83</v>
      </c>
      <c r="AV716" s="2505">
        <v>79.92</v>
      </c>
      <c r="AW716" s="2505">
        <v>75.53</v>
      </c>
      <c r="AX716" s="2505">
        <v>75.53</v>
      </c>
      <c r="AY716" s="2505">
        <v>75.81</v>
      </c>
      <c r="AZ716" s="2505">
        <v>75.81</v>
      </c>
      <c r="BA716" s="2040">
        <v>32.17</v>
      </c>
      <c r="BB716" s="2040">
        <v>32.17</v>
      </c>
      <c r="BC716" s="2040">
        <v>6.63</v>
      </c>
      <c r="BD716" s="2040">
        <v>6.63</v>
      </c>
      <c r="BE716" s="2040">
        <v>11.7</v>
      </c>
      <c r="BF716" s="2040">
        <v>11.7</v>
      </c>
      <c r="BG716" s="2040">
        <v>6.69</v>
      </c>
      <c r="BH716" s="2040">
        <v>6.69</v>
      </c>
      <c r="BI716" s="2040">
        <v>6.48</v>
      </c>
      <c r="BJ716" s="2040">
        <v>6.48</v>
      </c>
      <c r="BK716" s="2040">
        <v>6.48</v>
      </c>
      <c r="BL716" s="2040">
        <v>6.48</v>
      </c>
      <c r="BM716" s="2040">
        <v>24.2</v>
      </c>
      <c r="BN716" s="2040">
        <v>24.2</v>
      </c>
      <c r="BO716" s="2040">
        <v>67.819999999999993</v>
      </c>
      <c r="BP716" s="2040">
        <v>67.819999999999993</v>
      </c>
      <c r="BQ716" s="2040">
        <v>67.819999999999993</v>
      </c>
      <c r="BR716" s="2040">
        <v>67.819999999999993</v>
      </c>
      <c r="BS716" s="2040">
        <v>71.900000000000006</v>
      </c>
      <c r="BT716" s="2040">
        <v>71.900000000000006</v>
      </c>
      <c r="BU716" s="2040">
        <v>71.900000000000006</v>
      </c>
      <c r="BV716" s="2040">
        <v>71.900000000000006</v>
      </c>
      <c r="BW716" s="2040">
        <v>71.900000000000006</v>
      </c>
      <c r="BX716" s="2040">
        <v>71.900000000000006</v>
      </c>
      <c r="BY716" s="2040">
        <v>21.99</v>
      </c>
      <c r="BZ716" s="2040">
        <v>21.99</v>
      </c>
      <c r="CA716" s="2040">
        <v>63.7</v>
      </c>
      <c r="CB716" s="2040">
        <v>63.7</v>
      </c>
      <c r="CC716" s="2040">
        <v>62.7</v>
      </c>
      <c r="CD716" s="2040">
        <v>62.7</v>
      </c>
      <c r="CE716" s="2040">
        <v>69.400000000000006</v>
      </c>
      <c r="CF716" s="2040">
        <v>69.400000000000006</v>
      </c>
      <c r="CK716" s="2040">
        <v>63.25</v>
      </c>
      <c r="CL716" s="2040">
        <v>63.25</v>
      </c>
      <c r="CM716" s="2040">
        <v>130.84</v>
      </c>
      <c r="CN716" s="2040">
        <v>130.84</v>
      </c>
      <c r="CO716" s="2040">
        <v>139.38999999999999</v>
      </c>
      <c r="CP716" s="2040">
        <v>139.38999999999999</v>
      </c>
      <c r="CQ716" s="2040">
        <v>139.38999999999999</v>
      </c>
      <c r="CR716" s="2040">
        <v>139.38999999999999</v>
      </c>
      <c r="CW716" s="2040">
        <v>50.81</v>
      </c>
      <c r="CX716" s="2040">
        <v>50.81</v>
      </c>
      <c r="CY716" s="2040">
        <v>121.83</v>
      </c>
      <c r="CZ716" s="2040">
        <v>121.83</v>
      </c>
      <c r="DA716" s="2040">
        <v>121.83</v>
      </c>
      <c r="DB716" s="2040">
        <v>121.83</v>
      </c>
      <c r="DC716" s="2040">
        <v>129.75</v>
      </c>
      <c r="DD716" s="2040">
        <v>129.75</v>
      </c>
      <c r="DE716" s="2040">
        <v>129.75</v>
      </c>
      <c r="DF716" s="2040">
        <v>129.75</v>
      </c>
      <c r="DI716" s="2040">
        <v>13.52</v>
      </c>
      <c r="DJ716" s="2040">
        <v>13.52</v>
      </c>
      <c r="DK716" s="2040">
        <v>13.52</v>
      </c>
      <c r="DL716" s="2040">
        <v>13.52</v>
      </c>
      <c r="DM716" s="2040">
        <v>13.52</v>
      </c>
      <c r="DN716" s="2040">
        <v>13.52</v>
      </c>
      <c r="DU716" s="2040">
        <v>6.12</v>
      </c>
      <c r="DV716" s="2040">
        <v>6.12</v>
      </c>
      <c r="DW716" s="2040">
        <v>4.7</v>
      </c>
      <c r="DX716" s="2040">
        <v>4.7</v>
      </c>
      <c r="DY716" s="2040">
        <v>4.7</v>
      </c>
      <c r="DZ716" s="2040">
        <v>4.7</v>
      </c>
      <c r="EG716" s="2040">
        <v>6.73</v>
      </c>
      <c r="EH716" s="2040">
        <v>7.23</v>
      </c>
      <c r="EI716" s="2040">
        <v>3.19</v>
      </c>
      <c r="EJ716" s="2040">
        <v>3.19</v>
      </c>
      <c r="EK716" s="2040">
        <v>3.14</v>
      </c>
      <c r="EL716" s="2040">
        <v>3.14</v>
      </c>
      <c r="EM716" s="2040">
        <v>3.87</v>
      </c>
      <c r="EN716" s="2040">
        <v>3.87</v>
      </c>
      <c r="EO716" s="2040">
        <v>3.45</v>
      </c>
      <c r="EP716" s="2040">
        <v>3.45</v>
      </c>
      <c r="EQ716" s="2040">
        <v>3.54</v>
      </c>
      <c r="ER716" s="2040">
        <v>3.74</v>
      </c>
      <c r="ES716" s="2040">
        <v>24.9</v>
      </c>
      <c r="ET716" s="2040">
        <v>24.9</v>
      </c>
      <c r="EU716" s="2040">
        <v>78.22</v>
      </c>
      <c r="EV716" s="2040">
        <v>78.22</v>
      </c>
      <c r="EW716" s="2040">
        <v>75.02</v>
      </c>
      <c r="EX716" s="2040">
        <v>75.02</v>
      </c>
      <c r="EY716" s="2506">
        <f t="shared" si="59"/>
        <v>76.62</v>
      </c>
      <c r="EZ716" s="2506">
        <f t="shared" si="59"/>
        <v>76.62</v>
      </c>
      <c r="FA716" s="2040">
        <v>80.77</v>
      </c>
      <c r="FB716" s="2040">
        <v>80.77</v>
      </c>
      <c r="FE716" s="2040">
        <v>20.5</v>
      </c>
      <c r="FF716" s="2040">
        <v>20.5</v>
      </c>
      <c r="FG716" s="2040">
        <v>61.02</v>
      </c>
      <c r="FH716" s="2040">
        <v>61.02</v>
      </c>
      <c r="FI716" s="2040">
        <v>61.02</v>
      </c>
      <c r="FJ716" s="2040">
        <v>61.02</v>
      </c>
      <c r="FK716" s="2040">
        <v>59.75</v>
      </c>
      <c r="FL716" s="2040">
        <v>59.75</v>
      </c>
      <c r="FM716" s="2040">
        <v>61.57</v>
      </c>
      <c r="FN716" s="2040">
        <v>61.57</v>
      </c>
      <c r="FQ716" s="2040">
        <v>46.36</v>
      </c>
      <c r="FR716" s="2040">
        <v>46.36</v>
      </c>
      <c r="FS716" s="2040">
        <v>82.7</v>
      </c>
      <c r="FT716" s="2040">
        <v>82.7</v>
      </c>
      <c r="FU716" s="2040">
        <v>82.7</v>
      </c>
      <c r="FV716" s="2040">
        <v>82.7</v>
      </c>
      <c r="FW716" s="2040">
        <v>84.01</v>
      </c>
      <c r="FX716" s="2040">
        <v>84.01</v>
      </c>
      <c r="GC716" s="2040">
        <v>33.659999999999997</v>
      </c>
      <c r="GD716" s="2040">
        <v>33.659999999999997</v>
      </c>
      <c r="GE716" s="2040">
        <v>83.11</v>
      </c>
      <c r="GF716" s="2040">
        <v>83.11</v>
      </c>
      <c r="GG716" s="2040">
        <v>83.11</v>
      </c>
      <c r="GH716" s="2040">
        <v>83.11</v>
      </c>
      <c r="GI716" s="2040">
        <v>39.17</v>
      </c>
      <c r="GJ716" s="2040">
        <v>39.17</v>
      </c>
      <c r="GK716" s="2040">
        <v>71.16</v>
      </c>
      <c r="GL716" s="2040">
        <v>71.16</v>
      </c>
      <c r="GO716" s="2040">
        <v>18.190000000000001</v>
      </c>
      <c r="GP716" s="2040">
        <v>18.190000000000001</v>
      </c>
      <c r="GQ716" s="2040">
        <v>10.82</v>
      </c>
      <c r="GR716" s="2040">
        <v>10.82</v>
      </c>
      <c r="GS716" s="2040">
        <v>10.82</v>
      </c>
      <c r="GT716" s="2040">
        <v>10.26</v>
      </c>
      <c r="GU716" s="2040">
        <v>10.26</v>
      </c>
      <c r="GV716" s="2040">
        <v>10.26</v>
      </c>
      <c r="GW716" s="2040">
        <v>63.76</v>
      </c>
      <c r="GX716" s="2040">
        <v>63.76</v>
      </c>
      <c r="HA716" s="2040">
        <v>12.7</v>
      </c>
      <c r="HB716" s="2040">
        <v>12.7</v>
      </c>
      <c r="HC716" s="2040">
        <v>4.82</v>
      </c>
      <c r="HD716" s="2040">
        <v>4.82</v>
      </c>
      <c r="HE716" s="2040">
        <v>5.85</v>
      </c>
      <c r="HF716" s="2040">
        <v>5.85</v>
      </c>
      <c r="HG716" s="2040">
        <v>5.85</v>
      </c>
      <c r="HH716" s="2040">
        <v>5.85</v>
      </c>
      <c r="HI716" s="2040">
        <v>5.85</v>
      </c>
      <c r="HJ716" s="2040">
        <v>5.85</v>
      </c>
      <c r="HK716" s="2040">
        <v>5.74</v>
      </c>
      <c r="HL716" s="2040">
        <v>5.74</v>
      </c>
      <c r="HM716" s="2040">
        <v>17.73</v>
      </c>
      <c r="HN716" s="2040">
        <v>17.73</v>
      </c>
      <c r="HO716" s="2040">
        <v>7.06</v>
      </c>
      <c r="HP716" s="2040">
        <v>7.06</v>
      </c>
      <c r="HQ716" s="2040">
        <v>8.57</v>
      </c>
      <c r="HR716" s="2040">
        <v>8.57</v>
      </c>
      <c r="HS716" s="2040">
        <v>8.57</v>
      </c>
      <c r="HT716" s="2040">
        <v>8.57</v>
      </c>
      <c r="HU716" s="2040">
        <v>8.57</v>
      </c>
      <c r="HV716" s="2040">
        <v>8.57</v>
      </c>
      <c r="HW716" s="2040">
        <v>8.33</v>
      </c>
      <c r="HX716" s="2040">
        <v>8.33</v>
      </c>
    </row>
    <row r="717" spans="2:232" s="2040" customFormat="1" ht="14" x14ac:dyDescent="0.3">
      <c r="B717" s="2504">
        <v>18</v>
      </c>
      <c r="C717" s="2505">
        <v>21.23</v>
      </c>
      <c r="D717" s="2505">
        <v>21.23</v>
      </c>
      <c r="E717" s="2505">
        <v>22.83</v>
      </c>
      <c r="F717" s="2505">
        <v>22.83</v>
      </c>
      <c r="G717" s="2505">
        <v>70.63</v>
      </c>
      <c r="H717" s="2505">
        <v>70.63</v>
      </c>
      <c r="I717" s="2505">
        <v>62.23</v>
      </c>
      <c r="J717" s="2505">
        <v>62.23</v>
      </c>
      <c r="K717" s="2505">
        <v>79.28</v>
      </c>
      <c r="L717" s="2505">
        <v>79.28</v>
      </c>
      <c r="M717" s="2505"/>
      <c r="N717" s="2505"/>
      <c r="O717" s="2505">
        <v>66.010000000000005</v>
      </c>
      <c r="P717" s="2505">
        <v>66.010000000000005</v>
      </c>
      <c r="Q717" s="2505">
        <v>68.709999999999994</v>
      </c>
      <c r="R717" s="2505">
        <v>66.02</v>
      </c>
      <c r="S717" s="2505">
        <v>87.210000000000008</v>
      </c>
      <c r="T717" s="2505">
        <v>87.21</v>
      </c>
      <c r="U717" s="2505">
        <v>84.16</v>
      </c>
      <c r="V717" s="2505">
        <v>84.16</v>
      </c>
      <c r="W717" s="2505">
        <v>87.21</v>
      </c>
      <c r="X717" s="2505">
        <v>87.21</v>
      </c>
      <c r="Y717" s="2505">
        <v>84.16</v>
      </c>
      <c r="Z717" s="2505">
        <v>87.21</v>
      </c>
      <c r="AA717" s="2505">
        <v>87.21</v>
      </c>
      <c r="AB717" s="2505">
        <v>87.21</v>
      </c>
      <c r="AC717" s="2505">
        <v>84.16</v>
      </c>
      <c r="AD717" s="2505">
        <v>84.16</v>
      </c>
      <c r="AE717" s="2505">
        <v>106.05</v>
      </c>
      <c r="AF717" s="2505">
        <v>103.11</v>
      </c>
      <c r="AG717" s="2505">
        <v>106.05</v>
      </c>
      <c r="AH717" s="2505">
        <v>106.05</v>
      </c>
      <c r="AI717" s="2505">
        <v>103.11</v>
      </c>
      <c r="AJ717" s="2505">
        <v>103.11</v>
      </c>
      <c r="AK717" s="2505">
        <v>106.18</v>
      </c>
      <c r="AL717" s="2505">
        <v>106.18</v>
      </c>
      <c r="AM717" s="2505">
        <v>35.049999999999997</v>
      </c>
      <c r="AN717" s="2505">
        <v>33.72</v>
      </c>
      <c r="AO717" s="2505">
        <v>33.72</v>
      </c>
      <c r="AP717" s="2505">
        <v>33.72</v>
      </c>
      <c r="AQ717" s="2505">
        <v>36.39</v>
      </c>
      <c r="AR717" s="2505">
        <v>36.39</v>
      </c>
      <c r="AS717" s="2505">
        <v>82.76</v>
      </c>
      <c r="AT717" s="2505">
        <v>82.76</v>
      </c>
      <c r="AU717" s="2505">
        <v>82.76</v>
      </c>
      <c r="AV717" s="2505">
        <v>85.97</v>
      </c>
      <c r="AW717" s="2505">
        <v>81.59</v>
      </c>
      <c r="AX717" s="2505">
        <v>81.59</v>
      </c>
      <c r="AY717" s="2505">
        <v>81.86</v>
      </c>
      <c r="AZ717" s="2505">
        <v>81.86</v>
      </c>
      <c r="BA717" s="2040">
        <v>34.76</v>
      </c>
      <c r="BB717" s="2040">
        <v>34.76</v>
      </c>
      <c r="BC717" s="2040">
        <v>7.28</v>
      </c>
      <c r="BD717" s="2040">
        <v>7.28</v>
      </c>
      <c r="BE717" s="2040">
        <v>12.41</v>
      </c>
      <c r="BF717" s="2040">
        <v>12.41</v>
      </c>
      <c r="BG717" s="2040">
        <v>7.33</v>
      </c>
      <c r="BH717" s="2040">
        <v>7.33</v>
      </c>
      <c r="BI717" s="2040">
        <v>7.13</v>
      </c>
      <c r="BJ717" s="2040">
        <v>7.13</v>
      </c>
      <c r="BK717" s="2040">
        <v>7.13</v>
      </c>
      <c r="BL717" s="2040">
        <v>7.13</v>
      </c>
      <c r="BM717" s="2040">
        <v>25.66</v>
      </c>
      <c r="BN717" s="2040">
        <v>25.66</v>
      </c>
      <c r="BO717" s="2040">
        <v>72.39</v>
      </c>
      <c r="BP717" s="2040">
        <v>72.39</v>
      </c>
      <c r="BQ717" s="2040">
        <v>72.39</v>
      </c>
      <c r="BR717" s="2040">
        <v>72.39</v>
      </c>
      <c r="BS717" s="2040">
        <v>77.91</v>
      </c>
      <c r="BT717" s="2040">
        <v>77.91</v>
      </c>
      <c r="BU717" s="2040">
        <v>77.91</v>
      </c>
      <c r="BV717" s="2040">
        <v>77.91</v>
      </c>
      <c r="BW717" s="2040">
        <v>77.91</v>
      </c>
      <c r="BX717" s="2040">
        <v>77.91</v>
      </c>
      <c r="BY717" s="2040">
        <v>23.32</v>
      </c>
      <c r="BZ717" s="2040">
        <v>23.32</v>
      </c>
      <c r="CA717" s="2040">
        <v>68.09</v>
      </c>
      <c r="CB717" s="2040">
        <v>68.09</v>
      </c>
      <c r="CC717" s="2040">
        <v>67.260000000000005</v>
      </c>
      <c r="CD717" s="2040">
        <v>67.260000000000005</v>
      </c>
      <c r="CE717" s="2040">
        <v>75.33</v>
      </c>
      <c r="CF717" s="2040">
        <v>75.33</v>
      </c>
      <c r="CK717" s="2040">
        <v>66.05</v>
      </c>
      <c r="CL717" s="2040">
        <v>66.05</v>
      </c>
      <c r="CM717" s="2040">
        <v>136.87</v>
      </c>
      <c r="CN717" s="2040">
        <v>136.87</v>
      </c>
      <c r="CO717" s="2040">
        <v>147.81</v>
      </c>
      <c r="CP717" s="2040">
        <v>147.81</v>
      </c>
      <c r="CQ717" s="2040">
        <v>147.81</v>
      </c>
      <c r="CR717" s="2040">
        <v>147.81</v>
      </c>
      <c r="CW717" s="2040">
        <v>53.9</v>
      </c>
      <c r="CX717" s="2040">
        <v>53.9</v>
      </c>
      <c r="CY717" s="2040">
        <v>127.76</v>
      </c>
      <c r="CZ717" s="2040">
        <v>127.76</v>
      </c>
      <c r="DA717" s="2040">
        <v>127.76</v>
      </c>
      <c r="DB717" s="2040">
        <v>127.76</v>
      </c>
      <c r="DC717" s="2040">
        <v>137.94999999999999</v>
      </c>
      <c r="DD717" s="2040">
        <v>137.94999999999999</v>
      </c>
      <c r="DE717" s="2040">
        <v>137.94999999999999</v>
      </c>
      <c r="DF717" s="2040">
        <v>137.94999999999999</v>
      </c>
      <c r="DI717" s="2040">
        <v>14.33</v>
      </c>
      <c r="DJ717" s="2040">
        <v>14.33</v>
      </c>
      <c r="DK717" s="2040">
        <v>14.33</v>
      </c>
      <c r="DL717" s="2040">
        <v>14.33</v>
      </c>
      <c r="DM717" s="2040">
        <v>14.33</v>
      </c>
      <c r="DN717" s="2040">
        <v>14.33</v>
      </c>
      <c r="DU717" s="2040">
        <v>6.48</v>
      </c>
      <c r="DV717" s="2040">
        <v>6.48</v>
      </c>
      <c r="DW717" s="2040">
        <v>5.0599999999999996</v>
      </c>
      <c r="DX717" s="2040">
        <v>5.0599999999999996</v>
      </c>
      <c r="DY717" s="2040">
        <v>5.0599999999999996</v>
      </c>
      <c r="DZ717" s="2040">
        <v>5.0599999999999996</v>
      </c>
      <c r="EG717" s="2040">
        <v>7.08</v>
      </c>
      <c r="EH717" s="2040">
        <v>7.56</v>
      </c>
      <c r="EI717" s="2040">
        <v>3.49</v>
      </c>
      <c r="EJ717" s="2040">
        <v>3.49</v>
      </c>
      <c r="EK717" s="2040">
        <v>3.43</v>
      </c>
      <c r="EL717" s="2040">
        <v>3.43</v>
      </c>
      <c r="EM717" s="2040">
        <v>4.18</v>
      </c>
      <c r="EN717" s="2040">
        <v>4.18</v>
      </c>
      <c r="EO717" s="2040">
        <v>3.74</v>
      </c>
      <c r="EP717" s="2040">
        <v>3.74</v>
      </c>
      <c r="EQ717" s="2040">
        <v>3.84</v>
      </c>
      <c r="ER717" s="2040">
        <v>4.04</v>
      </c>
      <c r="ES717" s="2040">
        <v>26.15</v>
      </c>
      <c r="ET717" s="2040">
        <v>26.15</v>
      </c>
      <c r="EU717" s="2040">
        <v>83.82</v>
      </c>
      <c r="EV717" s="2040">
        <v>83.82</v>
      </c>
      <c r="EW717" s="2040">
        <v>80.510000000000005</v>
      </c>
      <c r="EX717" s="2040">
        <v>80.510000000000005</v>
      </c>
      <c r="EY717" s="2506">
        <f t="shared" si="59"/>
        <v>82.164999999999992</v>
      </c>
      <c r="EZ717" s="2506">
        <f t="shared" si="59"/>
        <v>82.164999999999992</v>
      </c>
      <c r="FA717" s="2040">
        <v>86.32</v>
      </c>
      <c r="FB717" s="2040">
        <v>86.32</v>
      </c>
      <c r="FE717" s="2040">
        <v>21.79</v>
      </c>
      <c r="FF717" s="2040">
        <v>21.79</v>
      </c>
      <c r="FG717" s="2040">
        <v>66.62</v>
      </c>
      <c r="FH717" s="2040">
        <v>66.62</v>
      </c>
      <c r="FI717" s="2040">
        <v>66.62</v>
      </c>
      <c r="FJ717" s="2040">
        <v>66.62</v>
      </c>
      <c r="FK717" s="2040">
        <v>65.34</v>
      </c>
      <c r="FL717" s="2040">
        <v>65.34</v>
      </c>
      <c r="FM717" s="2040">
        <v>67.180000000000007</v>
      </c>
      <c r="FN717" s="2040">
        <v>67.180000000000007</v>
      </c>
      <c r="FQ717" s="2040">
        <v>49.4</v>
      </c>
      <c r="FR717" s="2040">
        <v>49.4</v>
      </c>
      <c r="FS717" s="2040">
        <v>88.77</v>
      </c>
      <c r="FT717" s="2040">
        <v>88.77</v>
      </c>
      <c r="FU717" s="2040">
        <v>88.77</v>
      </c>
      <c r="FV717" s="2040">
        <v>88.77</v>
      </c>
      <c r="FW717" s="2040">
        <v>90.08</v>
      </c>
      <c r="FX717" s="2040">
        <v>90.08</v>
      </c>
      <c r="GC717" s="2040">
        <v>35.79</v>
      </c>
      <c r="GD717" s="2040">
        <v>35.79</v>
      </c>
      <c r="GE717" s="2040">
        <v>87.61</v>
      </c>
      <c r="GF717" s="2040">
        <v>87.61</v>
      </c>
      <c r="GG717" s="2040">
        <v>87.61</v>
      </c>
      <c r="GH717" s="2040">
        <v>87.61</v>
      </c>
      <c r="GI717" s="2040">
        <v>44.31</v>
      </c>
      <c r="GJ717" s="2040">
        <v>44.31</v>
      </c>
      <c r="GK717" s="2040">
        <v>77.19</v>
      </c>
      <c r="GL717" s="2040">
        <v>77.19</v>
      </c>
      <c r="GO717" s="2040">
        <v>19.34</v>
      </c>
      <c r="GP717" s="2040">
        <v>19.34</v>
      </c>
      <c r="GQ717" s="2040">
        <v>11.78</v>
      </c>
      <c r="GR717" s="2040">
        <v>11.78</v>
      </c>
      <c r="GS717" s="2040">
        <v>11.78</v>
      </c>
      <c r="GT717" s="2040">
        <v>11.19</v>
      </c>
      <c r="GU717" s="2040">
        <v>11.19</v>
      </c>
      <c r="GV717" s="2040">
        <v>11.19</v>
      </c>
      <c r="GW717" s="2040">
        <v>69.260000000000005</v>
      </c>
      <c r="GX717" s="2040">
        <v>69.260000000000005</v>
      </c>
      <c r="HA717" s="2040">
        <v>13.45</v>
      </c>
      <c r="HB717" s="2040">
        <v>13.45</v>
      </c>
      <c r="HC717" s="2040">
        <v>5.4</v>
      </c>
      <c r="HD717" s="2040">
        <v>5.4</v>
      </c>
      <c r="HE717" s="2040">
        <v>6.45</v>
      </c>
      <c r="HF717" s="2040">
        <v>6.45</v>
      </c>
      <c r="HG717" s="2040">
        <v>6.45</v>
      </c>
      <c r="HH717" s="2040">
        <v>6.45</v>
      </c>
      <c r="HI717" s="2040">
        <v>6.45</v>
      </c>
      <c r="HJ717" s="2040">
        <v>6.45</v>
      </c>
      <c r="HK717" s="2040">
        <v>6.34</v>
      </c>
      <c r="HL717" s="2040">
        <v>6.34</v>
      </c>
      <c r="HM717" s="2040">
        <v>18.8</v>
      </c>
      <c r="HN717" s="2040">
        <v>18.8</v>
      </c>
      <c r="HO717" s="2040">
        <v>7.88</v>
      </c>
      <c r="HP717" s="2040">
        <v>7.88</v>
      </c>
      <c r="HQ717" s="2040">
        <v>9.42</v>
      </c>
      <c r="HR717" s="2040">
        <v>9.42</v>
      </c>
      <c r="HS717" s="2040">
        <v>9.42</v>
      </c>
      <c r="HT717" s="2040">
        <v>9.42</v>
      </c>
      <c r="HU717" s="2040">
        <v>9.42</v>
      </c>
      <c r="HV717" s="2040">
        <v>9.42</v>
      </c>
      <c r="HW717" s="2040">
        <v>9.19</v>
      </c>
      <c r="HX717" s="2040">
        <v>9.19</v>
      </c>
    </row>
    <row r="718" spans="2:232" s="2040" customFormat="1" ht="14" x14ac:dyDescent="0.3">
      <c r="B718" s="2504">
        <v>19</v>
      </c>
      <c r="C718" s="2505">
        <v>22.37</v>
      </c>
      <c r="D718" s="2505">
        <v>22.37</v>
      </c>
      <c r="E718" s="2505">
        <v>23.88</v>
      </c>
      <c r="F718" s="2505">
        <v>23.88</v>
      </c>
      <c r="G718" s="2505">
        <v>75.11</v>
      </c>
      <c r="H718" s="2505">
        <v>75.11</v>
      </c>
      <c r="I718" s="2505">
        <v>66.44</v>
      </c>
      <c r="J718" s="2505">
        <v>66.44</v>
      </c>
      <c r="K718" s="2505">
        <v>83.14</v>
      </c>
      <c r="L718" s="2505">
        <v>83.14</v>
      </c>
      <c r="M718" s="2505"/>
      <c r="N718" s="2505"/>
      <c r="O718" s="2505">
        <v>69.61</v>
      </c>
      <c r="P718" s="2505">
        <v>69.61</v>
      </c>
      <c r="Q718" s="2505">
        <v>72.11</v>
      </c>
      <c r="R718" s="2505">
        <v>69.61</v>
      </c>
      <c r="S718" s="2505">
        <v>94.16</v>
      </c>
      <c r="T718" s="2505">
        <v>94.16</v>
      </c>
      <c r="U718" s="2505">
        <v>90.87</v>
      </c>
      <c r="V718" s="2505">
        <v>90.87</v>
      </c>
      <c r="W718" s="2505">
        <v>94.16</v>
      </c>
      <c r="X718" s="2505">
        <v>94.16</v>
      </c>
      <c r="Y718" s="2505">
        <v>90.87</v>
      </c>
      <c r="Z718" s="2505">
        <v>94.16</v>
      </c>
      <c r="AA718" s="2505">
        <v>94.16</v>
      </c>
      <c r="AB718" s="2505">
        <v>94.16</v>
      </c>
      <c r="AC718" s="2505">
        <v>90.87</v>
      </c>
      <c r="AD718" s="2505">
        <v>90.87</v>
      </c>
      <c r="AE718" s="2505">
        <v>113.37</v>
      </c>
      <c r="AF718" s="2505">
        <v>110.21</v>
      </c>
      <c r="AG718" s="2505">
        <v>113.37</v>
      </c>
      <c r="AH718" s="2505">
        <v>113.37</v>
      </c>
      <c r="AI718" s="2505">
        <v>110.21</v>
      </c>
      <c r="AJ718" s="2505">
        <v>110.21</v>
      </c>
      <c r="AK718" s="2505">
        <v>113.15</v>
      </c>
      <c r="AL718" s="2505">
        <v>113.15</v>
      </c>
      <c r="AM718" s="2505">
        <v>36.94</v>
      </c>
      <c r="AN718" s="2505">
        <v>35.54</v>
      </c>
      <c r="AO718" s="2505">
        <v>35.54</v>
      </c>
      <c r="AP718" s="2505">
        <v>35.54</v>
      </c>
      <c r="AQ718" s="2505">
        <v>38.08</v>
      </c>
      <c r="AR718" s="2505">
        <v>38.08</v>
      </c>
      <c r="AS718" s="2505">
        <v>88.45</v>
      </c>
      <c r="AT718" s="2505">
        <v>88.45</v>
      </c>
      <c r="AU718" s="2505">
        <v>88.45</v>
      </c>
      <c r="AV718" s="2505">
        <v>91.76</v>
      </c>
      <c r="AW718" s="2505">
        <v>87.4</v>
      </c>
      <c r="AX718" s="2505">
        <v>87.4</v>
      </c>
      <c r="AY718" s="2505">
        <v>87.67</v>
      </c>
      <c r="AZ718" s="2505">
        <v>87.67</v>
      </c>
      <c r="BA718" s="2040">
        <v>37.25</v>
      </c>
      <c r="BB718" s="2040">
        <v>37.25</v>
      </c>
      <c r="BC718" s="2040">
        <v>7.91</v>
      </c>
      <c r="BD718" s="2040">
        <v>7.91</v>
      </c>
      <c r="BE718" s="2040">
        <v>13.08</v>
      </c>
      <c r="BF718" s="2040">
        <v>13.08</v>
      </c>
      <c r="BG718" s="2040">
        <v>7.96</v>
      </c>
      <c r="BH718" s="2040">
        <v>7.96</v>
      </c>
      <c r="BI718" s="2040">
        <v>7.76</v>
      </c>
      <c r="BJ718" s="2040">
        <v>7.76</v>
      </c>
      <c r="BK718" s="2040">
        <v>7.76</v>
      </c>
      <c r="BL718" s="2040">
        <v>7.76</v>
      </c>
      <c r="BM718" s="2040">
        <v>27.04</v>
      </c>
      <c r="BN718" s="2040">
        <v>27.04</v>
      </c>
      <c r="BO718" s="2040">
        <v>76.760000000000005</v>
      </c>
      <c r="BP718" s="2040">
        <v>76.760000000000005</v>
      </c>
      <c r="BQ718" s="2040">
        <v>76.760000000000005</v>
      </c>
      <c r="BR718" s="2040">
        <v>76.760000000000005</v>
      </c>
      <c r="BS718" s="2040">
        <v>83.71</v>
      </c>
      <c r="BT718" s="2040">
        <v>83.71</v>
      </c>
      <c r="BU718" s="2040">
        <v>83.71</v>
      </c>
      <c r="BV718" s="2040">
        <v>83.71</v>
      </c>
      <c r="BW718" s="2040">
        <v>83.71</v>
      </c>
      <c r="BX718" s="2040">
        <v>83.71</v>
      </c>
      <c r="BY718" s="2040">
        <v>24.57</v>
      </c>
      <c r="BZ718" s="2040">
        <v>24.57</v>
      </c>
      <c r="CA718" s="2040">
        <v>72.290000000000006</v>
      </c>
      <c r="CB718" s="2040">
        <v>72.290000000000006</v>
      </c>
      <c r="CC718" s="2040">
        <v>71.61</v>
      </c>
      <c r="CD718" s="2040">
        <v>71.61</v>
      </c>
      <c r="CE718" s="2040">
        <v>81.06</v>
      </c>
      <c r="CF718" s="2040">
        <v>81.06</v>
      </c>
      <c r="CK718" s="2040">
        <v>68.7</v>
      </c>
      <c r="CL718" s="2040">
        <v>68.7</v>
      </c>
      <c r="CM718" s="2040">
        <v>142.53</v>
      </c>
      <c r="CN718" s="2040">
        <v>142.53</v>
      </c>
      <c r="CO718" s="2040">
        <v>155.80000000000001</v>
      </c>
      <c r="CP718" s="2040">
        <v>155.80000000000001</v>
      </c>
      <c r="CQ718" s="2040">
        <v>155.80000000000001</v>
      </c>
      <c r="CR718" s="2040">
        <v>155.80000000000001</v>
      </c>
      <c r="CW718" s="2040">
        <v>56.83</v>
      </c>
      <c r="CX718" s="2040">
        <v>56.83</v>
      </c>
      <c r="CY718" s="2040">
        <v>133.35</v>
      </c>
      <c r="CZ718" s="2040">
        <v>133.35</v>
      </c>
      <c r="DA718" s="2040">
        <v>133.35</v>
      </c>
      <c r="DB718" s="2040">
        <v>133.35</v>
      </c>
      <c r="DC718" s="2040">
        <v>145.76</v>
      </c>
      <c r="DD718" s="2040">
        <v>145.76</v>
      </c>
      <c r="DE718" s="2040">
        <v>145.76</v>
      </c>
      <c r="DF718" s="2040">
        <v>145.76</v>
      </c>
      <c r="DI718" s="2040">
        <v>15.1</v>
      </c>
      <c r="DJ718" s="2040">
        <v>15.1</v>
      </c>
      <c r="DK718" s="2040">
        <v>15.1</v>
      </c>
      <c r="DL718" s="2040">
        <v>15.1</v>
      </c>
      <c r="DM718" s="2040">
        <v>15.1</v>
      </c>
      <c r="DN718" s="2040">
        <v>15.1</v>
      </c>
      <c r="DU718" s="2040">
        <v>6.82</v>
      </c>
      <c r="DV718" s="2040">
        <v>6.82</v>
      </c>
      <c r="DW718" s="2040">
        <v>5.41</v>
      </c>
      <c r="DX718" s="2040">
        <v>5.41</v>
      </c>
      <c r="DY718" s="2040">
        <v>5.41</v>
      </c>
      <c r="DZ718" s="2040">
        <v>5.41</v>
      </c>
      <c r="EG718" s="2040">
        <v>7.49</v>
      </c>
      <c r="EH718" s="2040">
        <v>7.95</v>
      </c>
      <c r="EI718" s="2040">
        <v>3.84</v>
      </c>
      <c r="EJ718" s="2040">
        <v>3.84</v>
      </c>
      <c r="EK718" s="2040">
        <v>3.78</v>
      </c>
      <c r="EL718" s="2040">
        <v>3.78</v>
      </c>
      <c r="EM718" s="2040">
        <v>4.55</v>
      </c>
      <c r="EN718" s="2040">
        <v>4.55</v>
      </c>
      <c r="EO718" s="2040">
        <v>4.09</v>
      </c>
      <c r="EP718" s="2040">
        <v>4.09</v>
      </c>
      <c r="EQ718" s="2040">
        <v>4.2</v>
      </c>
      <c r="ER718" s="2040">
        <v>4.4000000000000004</v>
      </c>
      <c r="ES718" s="2040">
        <v>27.43</v>
      </c>
      <c r="ET718" s="2040">
        <v>27.43</v>
      </c>
      <c r="EU718" s="2040">
        <v>89.65</v>
      </c>
      <c r="EV718" s="2040">
        <v>89.65</v>
      </c>
      <c r="EW718" s="2040">
        <v>86.23</v>
      </c>
      <c r="EX718" s="2040">
        <v>86.23</v>
      </c>
      <c r="EY718" s="2506">
        <f t="shared" si="59"/>
        <v>87.94</v>
      </c>
      <c r="EZ718" s="2506">
        <f t="shared" si="59"/>
        <v>87.94</v>
      </c>
      <c r="FA718" s="2040">
        <v>92.09</v>
      </c>
      <c r="FB718" s="2040">
        <v>92.09</v>
      </c>
      <c r="FE718" s="2040">
        <v>22.94</v>
      </c>
      <c r="FF718" s="2040">
        <v>22.94</v>
      </c>
      <c r="FG718" s="2040">
        <v>71.7</v>
      </c>
      <c r="FH718" s="2040">
        <v>71.7</v>
      </c>
      <c r="FI718" s="2040">
        <v>71.7</v>
      </c>
      <c r="FJ718" s="2040">
        <v>71.7</v>
      </c>
      <c r="FK718" s="2040">
        <v>70.42</v>
      </c>
      <c r="FL718" s="2040">
        <v>70.42</v>
      </c>
      <c r="FM718" s="2040">
        <v>72.27</v>
      </c>
      <c r="FN718" s="2040">
        <v>72.27</v>
      </c>
      <c r="FQ718" s="2040">
        <v>51.52</v>
      </c>
      <c r="FR718" s="2040">
        <v>51.52</v>
      </c>
      <c r="FS718" s="2040">
        <v>93.04</v>
      </c>
      <c r="FT718" s="2040">
        <v>93.04</v>
      </c>
      <c r="FU718" s="2040">
        <v>93.04</v>
      </c>
      <c r="FV718" s="2040">
        <v>93.04</v>
      </c>
      <c r="FW718" s="2040">
        <v>94.35</v>
      </c>
      <c r="FX718" s="2040">
        <v>94.35</v>
      </c>
      <c r="GC718" s="2040">
        <v>37.6</v>
      </c>
      <c r="GD718" s="2040">
        <v>37.6</v>
      </c>
      <c r="GE718" s="2040">
        <v>91.42</v>
      </c>
      <c r="GF718" s="2040">
        <v>91.42</v>
      </c>
      <c r="GG718" s="2040">
        <v>91.42</v>
      </c>
      <c r="GH718" s="2040">
        <v>91.42</v>
      </c>
      <c r="GI718" s="2040">
        <v>48.85</v>
      </c>
      <c r="GJ718" s="2040">
        <v>48.85</v>
      </c>
      <c r="GK718" s="2040">
        <v>82.39</v>
      </c>
      <c r="GL718" s="2040">
        <v>82.39</v>
      </c>
      <c r="GO718" s="2040">
        <v>20.36</v>
      </c>
      <c r="GP718" s="2040">
        <v>20.36</v>
      </c>
      <c r="GQ718" s="2040">
        <v>12.71</v>
      </c>
      <c r="GR718" s="2040">
        <v>12.71</v>
      </c>
      <c r="GS718" s="2040">
        <v>12.71</v>
      </c>
      <c r="GT718" s="2040">
        <v>12.09</v>
      </c>
      <c r="GU718" s="2040">
        <v>12.09</v>
      </c>
      <c r="GV718" s="2040">
        <v>12.09</v>
      </c>
      <c r="GW718" s="2040">
        <v>74.569999999999993</v>
      </c>
      <c r="GX718" s="2040">
        <v>74.569999999999993</v>
      </c>
      <c r="HA718" s="2040">
        <v>14.17</v>
      </c>
      <c r="HB718" s="2040">
        <v>14.17</v>
      </c>
      <c r="HC718" s="2040">
        <v>5.97</v>
      </c>
      <c r="HD718" s="2040">
        <v>5.97</v>
      </c>
      <c r="HE718" s="2040">
        <v>7.03</v>
      </c>
      <c r="HF718" s="2040">
        <v>7.03</v>
      </c>
      <c r="HG718" s="2040">
        <v>7.03</v>
      </c>
      <c r="HH718" s="2040">
        <v>7.03</v>
      </c>
      <c r="HI718" s="2040">
        <v>7.03</v>
      </c>
      <c r="HJ718" s="2040">
        <v>7.03</v>
      </c>
      <c r="HK718" s="2040">
        <v>6.94</v>
      </c>
      <c r="HL718" s="2040">
        <v>6.94</v>
      </c>
      <c r="HM718" s="2040">
        <v>19.809999999999999</v>
      </c>
      <c r="HN718" s="2040">
        <v>19.809999999999999</v>
      </c>
      <c r="HO718" s="2040">
        <v>8.6999999999999993</v>
      </c>
      <c r="HP718" s="2040">
        <v>8.6999999999999993</v>
      </c>
      <c r="HQ718" s="2040">
        <v>10.26</v>
      </c>
      <c r="HR718" s="2040">
        <v>10.26</v>
      </c>
      <c r="HS718" s="2040">
        <v>10.26</v>
      </c>
      <c r="HT718" s="2040">
        <v>10.26</v>
      </c>
      <c r="HU718" s="2040">
        <v>10.26</v>
      </c>
      <c r="HV718" s="2040">
        <v>10.26</v>
      </c>
      <c r="HW718" s="2040">
        <v>10.039999999999999</v>
      </c>
      <c r="HX718" s="2040">
        <v>10.039999999999999</v>
      </c>
    </row>
    <row r="719" spans="2:232" s="2040" customFormat="1" ht="14" x14ac:dyDescent="0.3">
      <c r="B719" s="2504">
        <v>20</v>
      </c>
      <c r="C719" s="2505">
        <v>23.46</v>
      </c>
      <c r="D719" s="2505">
        <v>23.46</v>
      </c>
      <c r="E719" s="2505">
        <v>24.88</v>
      </c>
      <c r="F719" s="2505">
        <v>24.88</v>
      </c>
      <c r="G719" s="2505">
        <v>79.39</v>
      </c>
      <c r="H719" s="2505">
        <v>79.39</v>
      </c>
      <c r="I719" s="2505">
        <v>70.510000000000005</v>
      </c>
      <c r="J719" s="2505">
        <v>70.510000000000005</v>
      </c>
      <c r="K719" s="2505">
        <v>86.83</v>
      </c>
      <c r="L719" s="2505">
        <v>86.83</v>
      </c>
      <c r="M719" s="2505"/>
      <c r="N719" s="2505"/>
      <c r="O719" s="2505">
        <v>73.010000000000005</v>
      </c>
      <c r="P719" s="2505">
        <v>73.010000000000005</v>
      </c>
      <c r="Q719" s="2505">
        <v>75.34</v>
      </c>
      <c r="R719" s="2505">
        <v>73.02</v>
      </c>
      <c r="S719" s="2505">
        <v>100.87</v>
      </c>
      <c r="T719" s="2505">
        <v>100.87</v>
      </c>
      <c r="U719" s="2505">
        <v>97.35</v>
      </c>
      <c r="V719" s="2505">
        <v>97.35</v>
      </c>
      <c r="W719" s="2505">
        <v>100.87</v>
      </c>
      <c r="X719" s="2505">
        <v>100.87</v>
      </c>
      <c r="Y719" s="2505">
        <v>97.35</v>
      </c>
      <c r="Z719" s="2505">
        <v>100.87</v>
      </c>
      <c r="AA719" s="2505">
        <v>100.87</v>
      </c>
      <c r="AB719" s="2505">
        <v>100.87</v>
      </c>
      <c r="AC719" s="2505">
        <v>97.35</v>
      </c>
      <c r="AD719" s="2505">
        <v>97.35</v>
      </c>
      <c r="AE719" s="2505">
        <v>120.37</v>
      </c>
      <c r="AF719" s="2505">
        <v>117.01</v>
      </c>
      <c r="AG719" s="2505">
        <v>120.37</v>
      </c>
      <c r="AH719" s="2505">
        <v>120.37</v>
      </c>
      <c r="AI719" s="2505">
        <v>117.01</v>
      </c>
      <c r="AJ719" s="2505">
        <v>117.01</v>
      </c>
      <c r="AK719" s="2505">
        <v>119.82</v>
      </c>
      <c r="AL719" s="2505">
        <v>119.82</v>
      </c>
      <c r="AM719" s="2505">
        <v>38.74</v>
      </c>
      <c r="AN719" s="2505">
        <v>37.28</v>
      </c>
      <c r="AO719" s="2505">
        <v>37.28</v>
      </c>
      <c r="AP719" s="2505">
        <v>37.28</v>
      </c>
      <c r="AQ719" s="2505">
        <v>39.67</v>
      </c>
      <c r="AR719" s="2505">
        <v>39.67</v>
      </c>
      <c r="AS719" s="2505">
        <v>93.9</v>
      </c>
      <c r="AT719" s="2505">
        <v>93.9</v>
      </c>
      <c r="AU719" s="2505">
        <v>93.9</v>
      </c>
      <c r="AV719" s="2505">
        <v>97.32</v>
      </c>
      <c r="AW719" s="2505">
        <v>92.98</v>
      </c>
      <c r="AX719" s="2505">
        <v>92.98</v>
      </c>
      <c r="AY719" s="2505">
        <v>93.23</v>
      </c>
      <c r="AZ719" s="2505">
        <v>93.23</v>
      </c>
      <c r="BA719" s="2040">
        <v>39.64</v>
      </c>
      <c r="BB719" s="2040">
        <v>39.64</v>
      </c>
      <c r="BC719" s="2040">
        <v>8.52</v>
      </c>
      <c r="BD719" s="2040">
        <v>8.52</v>
      </c>
      <c r="BE719" s="2040">
        <v>13.71</v>
      </c>
      <c r="BF719" s="2040">
        <v>13.71</v>
      </c>
      <c r="BG719" s="2040">
        <v>8.57</v>
      </c>
      <c r="BH719" s="2040">
        <v>8.57</v>
      </c>
      <c r="BI719" s="2040">
        <v>8.3800000000000008</v>
      </c>
      <c r="BJ719" s="2040">
        <v>8.3800000000000008</v>
      </c>
      <c r="BK719" s="2040">
        <v>8.3800000000000008</v>
      </c>
      <c r="BL719" s="2040">
        <v>8.3800000000000008</v>
      </c>
      <c r="BM719" s="2040">
        <v>28.35</v>
      </c>
      <c r="BN719" s="2040">
        <v>28.35</v>
      </c>
      <c r="BO719" s="2040">
        <v>80.92</v>
      </c>
      <c r="BP719" s="2040">
        <v>80.92</v>
      </c>
      <c r="BQ719" s="2040">
        <v>80.92</v>
      </c>
      <c r="BR719" s="2040">
        <v>80.92</v>
      </c>
      <c r="BS719" s="2040">
        <v>89.3</v>
      </c>
      <c r="BT719" s="2040">
        <v>89.3</v>
      </c>
      <c r="BU719" s="2040">
        <v>89.3</v>
      </c>
      <c r="BV719" s="2040">
        <v>89.3</v>
      </c>
      <c r="BW719" s="2040">
        <v>89.3</v>
      </c>
      <c r="BX719" s="2040">
        <v>89.3</v>
      </c>
      <c r="BY719" s="2040">
        <v>25.76</v>
      </c>
      <c r="BZ719" s="2040">
        <v>25.76</v>
      </c>
      <c r="CA719" s="2040">
        <v>76.3</v>
      </c>
      <c r="CB719" s="2040">
        <v>76.3</v>
      </c>
      <c r="CC719" s="2040">
        <v>75.77</v>
      </c>
      <c r="CD719" s="2040">
        <v>75.77</v>
      </c>
      <c r="CE719" s="2040">
        <v>86.58</v>
      </c>
      <c r="CF719" s="2040">
        <v>86.58</v>
      </c>
      <c r="CK719" s="2040">
        <v>71.209999999999994</v>
      </c>
      <c r="CL719" s="2040">
        <v>71.209999999999994</v>
      </c>
      <c r="CM719" s="2040">
        <v>147.87</v>
      </c>
      <c r="CN719" s="2040">
        <v>147.87</v>
      </c>
      <c r="CO719" s="2040">
        <v>163.4</v>
      </c>
      <c r="CP719" s="2040">
        <v>163.4</v>
      </c>
      <c r="CQ719" s="2040">
        <v>163.4</v>
      </c>
      <c r="CR719" s="2040">
        <v>163.4</v>
      </c>
      <c r="CW719" s="2040">
        <v>59.6</v>
      </c>
      <c r="CX719" s="2040">
        <v>59.6</v>
      </c>
      <c r="CY719" s="2040">
        <v>138.63</v>
      </c>
      <c r="CZ719" s="2040">
        <v>138.63</v>
      </c>
      <c r="DA719" s="2040">
        <v>138.63</v>
      </c>
      <c r="DB719" s="2040">
        <v>138.63</v>
      </c>
      <c r="DC719" s="2040">
        <v>153.19</v>
      </c>
      <c r="DD719" s="2040">
        <v>153.19</v>
      </c>
      <c r="DE719" s="2040">
        <v>153.19</v>
      </c>
      <c r="DF719" s="2040">
        <v>153.19</v>
      </c>
      <c r="DI719" s="2040">
        <v>15.82</v>
      </c>
      <c r="DJ719" s="2040">
        <v>15.82</v>
      </c>
      <c r="DK719" s="2040">
        <v>15.82</v>
      </c>
      <c r="DL719" s="2040">
        <v>15.82</v>
      </c>
      <c r="DM719" s="2040">
        <v>15.82</v>
      </c>
      <c r="DN719" s="2040">
        <v>15.82</v>
      </c>
      <c r="DU719" s="2040">
        <v>7.14</v>
      </c>
      <c r="DV719" s="2040">
        <v>7.14</v>
      </c>
      <c r="DW719" s="2040">
        <v>5.74</v>
      </c>
      <c r="DX719" s="2040">
        <v>5.74</v>
      </c>
      <c r="DY719" s="2040">
        <v>5.74</v>
      </c>
      <c r="DZ719" s="2040">
        <v>5.74</v>
      </c>
      <c r="EG719" s="2040">
        <v>7.88</v>
      </c>
      <c r="EH719" s="2040">
        <v>8.32</v>
      </c>
      <c r="EI719" s="2040">
        <v>4.18</v>
      </c>
      <c r="EJ719" s="2040">
        <v>4.18</v>
      </c>
      <c r="EK719" s="2040">
        <v>4.12</v>
      </c>
      <c r="EL719" s="2040">
        <v>4.12</v>
      </c>
      <c r="EM719" s="2040">
        <v>4.9000000000000004</v>
      </c>
      <c r="EN719" s="2040">
        <v>4.9000000000000004</v>
      </c>
      <c r="EO719" s="2040">
        <v>4.43</v>
      </c>
      <c r="EP719" s="2040">
        <v>4.43</v>
      </c>
      <c r="EQ719" s="2040">
        <v>4.55</v>
      </c>
      <c r="ER719" s="2040">
        <v>4.74</v>
      </c>
      <c r="ES719" s="2040">
        <v>28.61</v>
      </c>
      <c r="ET719" s="2040">
        <v>28.61</v>
      </c>
      <c r="EU719" s="2040">
        <v>95.07</v>
      </c>
      <c r="EV719" s="2040">
        <v>95.07</v>
      </c>
      <c r="EW719" s="2040">
        <v>91.55</v>
      </c>
      <c r="EX719" s="2040">
        <v>91.55</v>
      </c>
      <c r="EY719" s="2506">
        <f t="shared" si="59"/>
        <v>93.31</v>
      </c>
      <c r="EZ719" s="2506">
        <f t="shared" si="59"/>
        <v>93.31</v>
      </c>
      <c r="FA719" s="2040">
        <v>97.45</v>
      </c>
      <c r="FB719" s="2040">
        <v>97.45</v>
      </c>
      <c r="FE719" s="2040">
        <v>23.96</v>
      </c>
      <c r="FF719" s="2040">
        <v>23.96</v>
      </c>
      <c r="FG719" s="2040">
        <v>76.290000000000006</v>
      </c>
      <c r="FH719" s="2040">
        <v>76.290000000000006</v>
      </c>
      <c r="FI719" s="2040">
        <v>76.290000000000006</v>
      </c>
      <c r="FJ719" s="2040">
        <v>76.290000000000006</v>
      </c>
      <c r="FK719" s="2040">
        <v>75.010000000000005</v>
      </c>
      <c r="FL719" s="2040">
        <v>75.010000000000005</v>
      </c>
      <c r="FM719" s="2040">
        <v>76.87</v>
      </c>
      <c r="FN719" s="2040">
        <v>76.87</v>
      </c>
      <c r="FQ719" s="2040">
        <v>53.95</v>
      </c>
      <c r="FR719" s="2040">
        <v>53.95</v>
      </c>
      <c r="FS719" s="2040">
        <v>97.97</v>
      </c>
      <c r="FT719" s="2040">
        <v>97.97</v>
      </c>
      <c r="FU719" s="2040">
        <v>97.97</v>
      </c>
      <c r="FV719" s="2040">
        <v>97.97</v>
      </c>
      <c r="FW719" s="2040">
        <v>99.28</v>
      </c>
      <c r="FX719" s="2040">
        <v>99.28</v>
      </c>
      <c r="GC719" s="2040">
        <v>39.520000000000003</v>
      </c>
      <c r="GD719" s="2040">
        <v>39.520000000000003</v>
      </c>
      <c r="GE719" s="2040">
        <v>95.43</v>
      </c>
      <c r="GF719" s="2040">
        <v>95.43</v>
      </c>
      <c r="GG719" s="2040">
        <v>95.43</v>
      </c>
      <c r="GH719" s="2040">
        <v>95.43</v>
      </c>
      <c r="GI719" s="2040">
        <v>53.82</v>
      </c>
      <c r="GJ719" s="2040">
        <v>53.82</v>
      </c>
      <c r="GK719" s="2040">
        <v>87.97</v>
      </c>
      <c r="GL719" s="2040">
        <v>87.97</v>
      </c>
      <c r="GO719" s="2040">
        <v>21.27</v>
      </c>
      <c r="GP719" s="2040">
        <v>21.27</v>
      </c>
      <c r="GQ719" s="2040">
        <v>13.61</v>
      </c>
      <c r="GR719" s="2040">
        <v>13.61</v>
      </c>
      <c r="GS719" s="2040">
        <v>13.61</v>
      </c>
      <c r="GT719" s="2040">
        <v>12.95</v>
      </c>
      <c r="GU719" s="2040">
        <v>12.95</v>
      </c>
      <c r="GV719" s="2040">
        <v>12.95</v>
      </c>
      <c r="GW719" s="2040">
        <v>79.7</v>
      </c>
      <c r="GX719" s="2040">
        <v>79.7</v>
      </c>
      <c r="HA719" s="2040">
        <v>14.85</v>
      </c>
      <c r="HB719" s="2040">
        <v>14.85</v>
      </c>
      <c r="HC719" s="2040">
        <v>6.52</v>
      </c>
      <c r="HD719" s="2040">
        <v>6.52</v>
      </c>
      <c r="HE719" s="2040">
        <v>7.6</v>
      </c>
      <c r="HF719" s="2040">
        <v>7.6</v>
      </c>
      <c r="HG719" s="2040">
        <v>7.6</v>
      </c>
      <c r="HH719" s="2040">
        <v>7.6</v>
      </c>
      <c r="HI719" s="2040">
        <v>7.6</v>
      </c>
      <c r="HJ719" s="2040">
        <v>7.6</v>
      </c>
      <c r="HK719" s="2040">
        <v>7.52</v>
      </c>
      <c r="HL719" s="2040">
        <v>7.52</v>
      </c>
      <c r="HM719" s="2040">
        <v>20.76</v>
      </c>
      <c r="HN719" s="2040">
        <v>20.76</v>
      </c>
      <c r="HO719" s="2040">
        <v>9.49</v>
      </c>
      <c r="HP719" s="2040">
        <v>9.49</v>
      </c>
      <c r="HQ719" s="2040">
        <v>11.07</v>
      </c>
      <c r="HR719" s="2040">
        <v>11.07</v>
      </c>
      <c r="HS719" s="2040">
        <v>11.07</v>
      </c>
      <c r="HT719" s="2040">
        <v>11.07</v>
      </c>
      <c r="HU719" s="2040">
        <v>11.07</v>
      </c>
      <c r="HV719" s="2040">
        <v>11.07</v>
      </c>
      <c r="HW719" s="2040">
        <v>10.86</v>
      </c>
      <c r="HX719" s="2040">
        <v>10.86</v>
      </c>
    </row>
    <row r="720" spans="2:232" s="2040" customFormat="1" ht="14" x14ac:dyDescent="0.3">
      <c r="B720" s="2504">
        <v>21</v>
      </c>
      <c r="C720" s="2505">
        <v>24.48</v>
      </c>
      <c r="D720" s="2505">
        <v>24.48</v>
      </c>
      <c r="E720" s="2505">
        <v>25.82</v>
      </c>
      <c r="F720" s="2505">
        <v>25.82</v>
      </c>
      <c r="G720" s="2505">
        <v>83.5</v>
      </c>
      <c r="H720" s="2505">
        <v>83.5</v>
      </c>
      <c r="I720" s="2505">
        <v>74.41</v>
      </c>
      <c r="J720" s="2505">
        <v>74.41</v>
      </c>
      <c r="K720" s="2505">
        <v>90.37</v>
      </c>
      <c r="L720" s="2505">
        <v>90.37</v>
      </c>
      <c r="M720" s="2505"/>
      <c r="N720" s="2505"/>
      <c r="O720" s="2505">
        <v>76.239999999999995</v>
      </c>
      <c r="P720" s="2505">
        <v>76.239999999999995</v>
      </c>
      <c r="Q720" s="2505">
        <v>78.400000000000006</v>
      </c>
      <c r="R720" s="2505">
        <v>76.25</v>
      </c>
      <c r="S720" s="2505">
        <v>107.35</v>
      </c>
      <c r="T720" s="2505">
        <v>107.35</v>
      </c>
      <c r="U720" s="2505">
        <v>103.6</v>
      </c>
      <c r="V720" s="2505">
        <v>103.6</v>
      </c>
      <c r="W720" s="2505">
        <v>107.35</v>
      </c>
      <c r="X720" s="2505">
        <v>107.35</v>
      </c>
      <c r="Y720" s="2505">
        <v>103.6</v>
      </c>
      <c r="Z720" s="2505">
        <v>107.35</v>
      </c>
      <c r="AA720" s="2505">
        <v>107.35</v>
      </c>
      <c r="AB720" s="2505">
        <v>107.35</v>
      </c>
      <c r="AC720" s="2505">
        <v>103.6</v>
      </c>
      <c r="AD720" s="2505">
        <v>103.6</v>
      </c>
      <c r="AE720" s="2505">
        <v>127.06</v>
      </c>
      <c r="AF720" s="2505">
        <v>123.51</v>
      </c>
      <c r="AG720" s="2505">
        <v>127.06</v>
      </c>
      <c r="AH720" s="2505">
        <v>127.06</v>
      </c>
      <c r="AI720" s="2505">
        <v>123.51</v>
      </c>
      <c r="AJ720" s="2505">
        <v>123.51</v>
      </c>
      <c r="AK720" s="2505">
        <v>126.2</v>
      </c>
      <c r="AL720" s="2505">
        <v>126.2</v>
      </c>
      <c r="AM720" s="2505">
        <v>40.44</v>
      </c>
      <c r="AN720" s="2505">
        <v>38.92</v>
      </c>
      <c r="AO720" s="2505">
        <v>38.92</v>
      </c>
      <c r="AP720" s="2505">
        <v>38.92</v>
      </c>
      <c r="AQ720" s="2505">
        <v>41.19</v>
      </c>
      <c r="AR720" s="2505">
        <v>41.19</v>
      </c>
      <c r="AS720" s="2505">
        <v>99.13</v>
      </c>
      <c r="AT720" s="2505">
        <v>99.13</v>
      </c>
      <c r="AU720" s="2505">
        <v>99.13</v>
      </c>
      <c r="AV720" s="2505">
        <v>102.63</v>
      </c>
      <c r="AW720" s="2505">
        <v>98.31</v>
      </c>
      <c r="AX720" s="2505">
        <v>98.31</v>
      </c>
      <c r="AY720" s="2505">
        <v>98.56</v>
      </c>
      <c r="AZ720" s="2505">
        <v>98.56</v>
      </c>
      <c r="BA720" s="2040">
        <v>41.93</v>
      </c>
      <c r="BB720" s="2040">
        <v>41.93</v>
      </c>
      <c r="BC720" s="2040">
        <v>9.11</v>
      </c>
      <c r="BD720" s="2040">
        <v>9.11</v>
      </c>
      <c r="BE720" s="2040">
        <v>14.32</v>
      </c>
      <c r="BF720" s="2040">
        <v>14.32</v>
      </c>
      <c r="BG720" s="2040">
        <v>9.16</v>
      </c>
      <c r="BH720" s="2040">
        <v>9.16</v>
      </c>
      <c r="BI720" s="2040">
        <v>8.98</v>
      </c>
      <c r="BJ720" s="2040">
        <v>8.98</v>
      </c>
      <c r="BK720" s="2040">
        <v>8.98</v>
      </c>
      <c r="BL720" s="2040">
        <v>8.98</v>
      </c>
      <c r="BM720" s="2040">
        <v>29.59</v>
      </c>
      <c r="BN720" s="2040">
        <v>29.59</v>
      </c>
      <c r="BO720" s="2040">
        <v>84.9</v>
      </c>
      <c r="BP720" s="2040">
        <v>84.9</v>
      </c>
      <c r="BQ720" s="2040">
        <v>84.9</v>
      </c>
      <c r="BR720" s="2040">
        <v>84.9</v>
      </c>
      <c r="BS720" s="2040">
        <v>94.69</v>
      </c>
      <c r="BT720" s="2040">
        <v>94.69</v>
      </c>
      <c r="BU720" s="2040">
        <v>94.69</v>
      </c>
      <c r="BV720" s="2040">
        <v>94.69</v>
      </c>
      <c r="BW720" s="2040">
        <v>94.69</v>
      </c>
      <c r="BX720" s="2040">
        <v>94.69</v>
      </c>
      <c r="BY720" s="2040">
        <v>26.89</v>
      </c>
      <c r="BZ720" s="2040">
        <v>26.89</v>
      </c>
      <c r="CA720" s="2040">
        <v>80.13</v>
      </c>
      <c r="CB720" s="2040">
        <v>80.13</v>
      </c>
      <c r="CC720" s="2040">
        <v>79.75</v>
      </c>
      <c r="CD720" s="2040">
        <v>79.75</v>
      </c>
      <c r="CE720" s="2040">
        <v>91.91</v>
      </c>
      <c r="CF720" s="2040">
        <v>91.91</v>
      </c>
      <c r="CK720" s="2040">
        <v>73.599999999999994</v>
      </c>
      <c r="CL720" s="2040">
        <v>73.599999999999994</v>
      </c>
      <c r="CM720" s="2040">
        <v>152.88999999999999</v>
      </c>
      <c r="CN720" s="2040">
        <v>152.88999999999999</v>
      </c>
      <c r="CO720" s="2040">
        <v>170.62</v>
      </c>
      <c r="CP720" s="2040">
        <v>170.62</v>
      </c>
      <c r="CQ720" s="2040">
        <v>170.62</v>
      </c>
      <c r="CR720" s="2040">
        <v>170.62</v>
      </c>
      <c r="CW720" s="2040">
        <v>62.23</v>
      </c>
      <c r="CX720" s="2040">
        <v>62.23</v>
      </c>
      <c r="CY720" s="2040">
        <v>143.6</v>
      </c>
      <c r="CZ720" s="2040">
        <v>143.6</v>
      </c>
      <c r="DA720" s="2040">
        <v>143.6</v>
      </c>
      <c r="DB720" s="2040">
        <v>143.6</v>
      </c>
      <c r="DC720" s="2040">
        <v>160.27000000000001</v>
      </c>
      <c r="DD720" s="2040">
        <v>160.27000000000001</v>
      </c>
      <c r="DE720" s="2040">
        <v>160.27000000000001</v>
      </c>
      <c r="DF720" s="2040">
        <v>160.27000000000001</v>
      </c>
      <c r="DI720" s="2040">
        <v>16.510000000000002</v>
      </c>
      <c r="DJ720" s="2040">
        <v>16.510000000000002</v>
      </c>
      <c r="DK720" s="2040">
        <v>16.510000000000002</v>
      </c>
      <c r="DL720" s="2040">
        <v>16.510000000000002</v>
      </c>
      <c r="DM720" s="2040">
        <v>16.510000000000002</v>
      </c>
      <c r="DN720" s="2040">
        <v>16.510000000000002</v>
      </c>
      <c r="DU720" s="2040">
        <v>7.44</v>
      </c>
      <c r="DV720" s="2040">
        <v>7.44</v>
      </c>
      <c r="DW720" s="2040">
        <v>6.06</v>
      </c>
      <c r="DX720" s="2040">
        <v>6.06</v>
      </c>
      <c r="DY720" s="2040">
        <v>6.06</v>
      </c>
      <c r="DZ720" s="2040">
        <v>6.06</v>
      </c>
      <c r="EG720" s="2040">
        <v>8.23</v>
      </c>
      <c r="EH720" s="2040">
        <v>8.65</v>
      </c>
      <c r="EI720" s="2040">
        <v>4.49</v>
      </c>
      <c r="EJ720" s="2040">
        <v>4.49</v>
      </c>
      <c r="EK720" s="2040">
        <v>4.4400000000000004</v>
      </c>
      <c r="EL720" s="2040">
        <v>4.4400000000000004</v>
      </c>
      <c r="EM720" s="2040">
        <v>5.23</v>
      </c>
      <c r="EN720" s="2040">
        <v>5.23</v>
      </c>
      <c r="EO720" s="2040">
        <v>4.74</v>
      </c>
      <c r="EP720" s="2040">
        <v>4.74</v>
      </c>
      <c r="EQ720" s="2040">
        <v>4.87</v>
      </c>
      <c r="ER720" s="2040">
        <v>5.0599999999999996</v>
      </c>
      <c r="ES720" s="2040">
        <v>30.04</v>
      </c>
      <c r="ET720" s="2040">
        <v>30.04</v>
      </c>
      <c r="EU720" s="2040">
        <v>101.82</v>
      </c>
      <c r="EV720" s="2040">
        <v>101.82</v>
      </c>
      <c r="EW720" s="2040">
        <v>98.19</v>
      </c>
      <c r="EX720" s="2040">
        <v>98.19</v>
      </c>
      <c r="EY720" s="2506">
        <f>AVERAGE(EU720,EW720)</f>
        <v>100.005</v>
      </c>
      <c r="EZ720" s="2506">
        <f t="shared" si="59"/>
        <v>100.005</v>
      </c>
      <c r="FA720" s="2040">
        <v>104.11</v>
      </c>
      <c r="FB720" s="2040">
        <v>104.11</v>
      </c>
      <c r="FE720" s="2040">
        <v>25.26</v>
      </c>
      <c r="FF720" s="2040">
        <v>25.26</v>
      </c>
      <c r="FG720" s="2040">
        <v>82.28</v>
      </c>
      <c r="FH720" s="2040">
        <v>82.28</v>
      </c>
      <c r="FI720" s="2040">
        <v>82.28</v>
      </c>
      <c r="FJ720" s="2040">
        <v>82.28</v>
      </c>
      <c r="FK720" s="2040">
        <v>81.010000000000005</v>
      </c>
      <c r="FL720" s="2040">
        <v>81.010000000000005</v>
      </c>
      <c r="FM720" s="2040">
        <v>82.87</v>
      </c>
      <c r="FN720" s="2040">
        <v>82.87</v>
      </c>
      <c r="FQ720" s="2040">
        <v>56.47</v>
      </c>
      <c r="FR720" s="2040">
        <v>56.47</v>
      </c>
      <c r="FS720" s="2040">
        <v>103.12</v>
      </c>
      <c r="FT720" s="2040">
        <v>103.12</v>
      </c>
      <c r="FU720" s="2040">
        <v>103.12</v>
      </c>
      <c r="FV720" s="2040">
        <v>103.12</v>
      </c>
      <c r="FW720" s="2040">
        <v>104.43</v>
      </c>
      <c r="FX720" s="2040">
        <v>104.43</v>
      </c>
      <c r="GC720" s="2040">
        <v>41.38</v>
      </c>
      <c r="GD720" s="2040">
        <v>41.38</v>
      </c>
      <c r="GE720" s="2040">
        <v>99.34</v>
      </c>
      <c r="GF720" s="2040">
        <v>99.34</v>
      </c>
      <c r="GG720" s="2040">
        <v>99.34</v>
      </c>
      <c r="GH720" s="2040">
        <v>99.34</v>
      </c>
      <c r="GI720" s="2040">
        <v>58.84</v>
      </c>
      <c r="GJ720" s="2040">
        <v>58.84</v>
      </c>
      <c r="GK720" s="2040">
        <v>93.5</v>
      </c>
      <c r="GL720" s="2040">
        <v>93.5</v>
      </c>
      <c r="GO720" s="2040">
        <v>22.15</v>
      </c>
      <c r="GP720" s="2040">
        <v>22.15</v>
      </c>
      <c r="GQ720" s="2040">
        <v>14.48</v>
      </c>
      <c r="GR720" s="2040">
        <v>14.48</v>
      </c>
      <c r="GS720" s="2040">
        <v>14.48</v>
      </c>
      <c r="GT720" s="2040">
        <v>13.8</v>
      </c>
      <c r="GU720" s="2040">
        <v>13.8</v>
      </c>
      <c r="GV720" s="2040">
        <v>13.8</v>
      </c>
      <c r="GW720" s="2040">
        <v>84.65</v>
      </c>
      <c r="GX720" s="2040">
        <v>84.65</v>
      </c>
      <c r="HA720" s="2040">
        <v>15.5</v>
      </c>
      <c r="HB720" s="2040">
        <v>15.5</v>
      </c>
      <c r="HC720" s="2040">
        <v>7.07</v>
      </c>
      <c r="HD720" s="2040">
        <v>7.07</v>
      </c>
      <c r="HE720" s="2040">
        <v>8.16</v>
      </c>
      <c r="HF720" s="2040">
        <v>8.16</v>
      </c>
      <c r="HG720" s="2040">
        <v>8.16</v>
      </c>
      <c r="HH720" s="2040">
        <v>8.16</v>
      </c>
      <c r="HI720" s="2040">
        <v>8.16</v>
      </c>
      <c r="HJ720" s="2040">
        <v>8.16</v>
      </c>
      <c r="HK720" s="2040">
        <v>8.08</v>
      </c>
      <c r="HL720" s="2040">
        <v>8.08</v>
      </c>
      <c r="HM720" s="2040">
        <v>21.67</v>
      </c>
      <c r="HN720" s="2040">
        <v>21.67</v>
      </c>
      <c r="HO720" s="2040">
        <v>10.27</v>
      </c>
      <c r="HP720" s="2040">
        <v>10.27</v>
      </c>
      <c r="HQ720" s="2040">
        <v>11.86</v>
      </c>
      <c r="HR720" s="2040">
        <v>11.86</v>
      </c>
      <c r="HS720" s="2040">
        <v>11.86</v>
      </c>
      <c r="HT720" s="2040">
        <v>11.86</v>
      </c>
      <c r="HU720" s="2040">
        <v>11.86</v>
      </c>
      <c r="HV720" s="2040">
        <v>11.86</v>
      </c>
      <c r="HW720" s="2040">
        <v>11.66</v>
      </c>
      <c r="HX720" s="2040">
        <v>11.66</v>
      </c>
    </row>
    <row r="721" spans="2:232" s="2040" customFormat="1" ht="14" x14ac:dyDescent="0.3">
      <c r="B721" s="2504">
        <v>22</v>
      </c>
      <c r="C721" s="2505">
        <v>25.45</v>
      </c>
      <c r="D721" s="2505">
        <v>25.45</v>
      </c>
      <c r="E721" s="2505">
        <v>26.72</v>
      </c>
      <c r="F721" s="2505">
        <v>26.72</v>
      </c>
      <c r="G721" s="2505">
        <v>87.43</v>
      </c>
      <c r="H721" s="2505">
        <v>87.43</v>
      </c>
      <c r="I721" s="2505">
        <v>78.17</v>
      </c>
      <c r="J721" s="2505">
        <v>78.17</v>
      </c>
      <c r="K721" s="2505">
        <v>93.76</v>
      </c>
      <c r="L721" s="2505">
        <v>93.76</v>
      </c>
      <c r="M721" s="2505"/>
      <c r="N721" s="2505"/>
      <c r="O721" s="2505">
        <v>79.3</v>
      </c>
      <c r="P721" s="2505">
        <v>79.3</v>
      </c>
      <c r="Q721" s="2505">
        <v>81.3</v>
      </c>
      <c r="R721" s="2505">
        <v>79.31</v>
      </c>
      <c r="S721" s="2505">
        <v>113.59</v>
      </c>
      <c r="T721" s="2505">
        <v>113.59</v>
      </c>
      <c r="U721" s="2505">
        <v>109.63</v>
      </c>
      <c r="V721" s="2505">
        <v>109.63</v>
      </c>
      <c r="W721" s="2505">
        <v>113.59</v>
      </c>
      <c r="X721" s="2505">
        <v>113.59</v>
      </c>
      <c r="Y721" s="2505">
        <v>109.63</v>
      </c>
      <c r="Z721" s="2505">
        <v>113.59</v>
      </c>
      <c r="AA721" s="2505">
        <v>113.59</v>
      </c>
      <c r="AB721" s="2505">
        <v>113.59</v>
      </c>
      <c r="AC721" s="2505">
        <v>109.63</v>
      </c>
      <c r="AD721" s="2505">
        <v>109.63</v>
      </c>
      <c r="AE721" s="2505">
        <v>133.47</v>
      </c>
      <c r="AF721" s="2505">
        <v>129.72999999999999</v>
      </c>
      <c r="AG721" s="2505">
        <v>133.47</v>
      </c>
      <c r="AH721" s="2505">
        <v>133.47</v>
      </c>
      <c r="AI721" s="2505">
        <v>129.72999999999999</v>
      </c>
      <c r="AJ721" s="2505">
        <v>129.72999999999999</v>
      </c>
      <c r="AK721" s="2505">
        <v>132.30000000000001</v>
      </c>
      <c r="AL721" s="2505">
        <v>132.30000000000001</v>
      </c>
      <c r="AM721" s="2505">
        <v>42.05</v>
      </c>
      <c r="AN721" s="2505">
        <v>40.47</v>
      </c>
      <c r="AO721" s="2505">
        <v>40.47</v>
      </c>
      <c r="AP721" s="2505">
        <v>40.47</v>
      </c>
      <c r="AQ721" s="2505">
        <v>42.63</v>
      </c>
      <c r="AR721" s="2505">
        <v>42.63</v>
      </c>
      <c r="AS721" s="2505">
        <v>104.13</v>
      </c>
      <c r="AT721" s="2505">
        <v>104.13</v>
      </c>
      <c r="AU721" s="2505">
        <v>104.13</v>
      </c>
      <c r="AV721" s="2505">
        <v>107.73</v>
      </c>
      <c r="AW721" s="2505">
        <v>103.42</v>
      </c>
      <c r="AX721" s="2505">
        <v>103.42</v>
      </c>
      <c r="AY721" s="2505">
        <v>103.66</v>
      </c>
      <c r="AZ721" s="2505">
        <v>103.66</v>
      </c>
      <c r="BA721" s="2040">
        <v>44.13</v>
      </c>
      <c r="BB721" s="2040">
        <v>44.13</v>
      </c>
      <c r="BC721" s="2040">
        <v>9.68</v>
      </c>
      <c r="BD721" s="2040">
        <v>9.68</v>
      </c>
      <c r="BE721" s="2040">
        <v>14.89</v>
      </c>
      <c r="BF721" s="2040">
        <v>14.89</v>
      </c>
      <c r="BG721" s="2040">
        <v>9.74</v>
      </c>
      <c r="BH721" s="2040">
        <v>9.74</v>
      </c>
      <c r="BI721" s="2040">
        <v>9.5500000000000007</v>
      </c>
      <c r="BJ721" s="2040">
        <v>9.5500000000000007</v>
      </c>
      <c r="BK721" s="2040">
        <v>9.5500000000000007</v>
      </c>
      <c r="BL721" s="2040">
        <v>9.5500000000000007</v>
      </c>
      <c r="BM721" s="2040">
        <v>30.77</v>
      </c>
      <c r="BN721" s="2040">
        <v>30.77</v>
      </c>
      <c r="BO721" s="2040">
        <v>88.7</v>
      </c>
      <c r="BP721" s="2040">
        <v>88.7</v>
      </c>
      <c r="BQ721" s="2040">
        <v>88.7</v>
      </c>
      <c r="BR721" s="2040">
        <v>88.7</v>
      </c>
      <c r="BS721" s="2040">
        <v>99.88</v>
      </c>
      <c r="BT721" s="2040">
        <v>99.88</v>
      </c>
      <c r="BU721" s="2040">
        <v>99.88</v>
      </c>
      <c r="BV721" s="2040">
        <v>99.88</v>
      </c>
      <c r="BW721" s="2040">
        <v>99.88</v>
      </c>
      <c r="BX721" s="2040">
        <v>99.88</v>
      </c>
      <c r="BY721" s="2040">
        <v>27.96</v>
      </c>
      <c r="BZ721" s="2040">
        <v>27.96</v>
      </c>
      <c r="CA721" s="2040">
        <v>83.8</v>
      </c>
      <c r="CB721" s="2040">
        <v>83.8</v>
      </c>
      <c r="CC721" s="2040">
        <v>83.55</v>
      </c>
      <c r="CD721" s="2040">
        <v>83.55</v>
      </c>
      <c r="CE721" s="2040">
        <v>97.04</v>
      </c>
      <c r="CF721" s="2040">
        <v>97.04</v>
      </c>
      <c r="CK721" s="2040">
        <v>75.87</v>
      </c>
      <c r="CL721" s="2040">
        <v>75.87</v>
      </c>
      <c r="CM721" s="2040">
        <v>157.63999999999999</v>
      </c>
      <c r="CN721" s="2040">
        <v>157.63999999999999</v>
      </c>
      <c r="CO721" s="2040">
        <v>177.49</v>
      </c>
      <c r="CP721" s="2040">
        <v>177.49</v>
      </c>
      <c r="CQ721" s="2040">
        <v>177.49</v>
      </c>
      <c r="CR721" s="2040">
        <v>177.49</v>
      </c>
      <c r="CW721" s="2040">
        <v>64.72</v>
      </c>
      <c r="CX721" s="2040">
        <v>64.72</v>
      </c>
      <c r="CY721" s="2040">
        <v>148.31</v>
      </c>
      <c r="CZ721" s="2040">
        <v>148.31</v>
      </c>
      <c r="DA721" s="2040">
        <v>148.31</v>
      </c>
      <c r="DB721" s="2040">
        <v>148.31</v>
      </c>
      <c r="DC721" s="2040">
        <v>167.01</v>
      </c>
      <c r="DD721" s="2040">
        <v>167.01</v>
      </c>
      <c r="DE721" s="2040">
        <v>167.01</v>
      </c>
      <c r="DF721" s="2040">
        <v>167.01</v>
      </c>
      <c r="DI721" s="2040">
        <v>17.170000000000002</v>
      </c>
      <c r="DJ721" s="2040">
        <v>17.170000000000002</v>
      </c>
      <c r="DK721" s="2040">
        <v>17.170000000000002</v>
      </c>
      <c r="DL721" s="2040">
        <v>17.170000000000002</v>
      </c>
      <c r="DM721" s="2040">
        <v>17.170000000000002</v>
      </c>
      <c r="DN721" s="2040">
        <v>17.170000000000002</v>
      </c>
      <c r="DU721" s="2040">
        <v>7.73</v>
      </c>
      <c r="DV721" s="2040">
        <v>7.73</v>
      </c>
      <c r="DW721" s="2040">
        <v>6.36</v>
      </c>
      <c r="DX721" s="2040">
        <v>6.36</v>
      </c>
      <c r="DY721" s="2040">
        <v>6.36</v>
      </c>
      <c r="DZ721" s="2040">
        <v>6.36</v>
      </c>
      <c r="EG721" s="2040">
        <v>8.49</v>
      </c>
      <c r="EH721" s="2040">
        <v>8.9</v>
      </c>
      <c r="EI721" s="2040">
        <v>4.7300000000000004</v>
      </c>
      <c r="EJ721" s="2040">
        <v>4.7300000000000004</v>
      </c>
      <c r="EK721" s="2040">
        <v>4.68</v>
      </c>
      <c r="EL721" s="2040">
        <v>4.68</v>
      </c>
      <c r="EM721" s="2040">
        <v>5.47</v>
      </c>
      <c r="EN721" s="2040">
        <v>5.47</v>
      </c>
      <c r="EO721" s="2040">
        <v>4.9800000000000004</v>
      </c>
      <c r="EP721" s="2040">
        <v>4.9800000000000004</v>
      </c>
      <c r="EQ721" s="2040">
        <v>5.1100000000000003</v>
      </c>
      <c r="ER721" s="2040">
        <v>5.29</v>
      </c>
      <c r="ES721" s="2040">
        <v>31.32</v>
      </c>
      <c r="ET721" s="2040">
        <v>31.32</v>
      </c>
      <c r="EU721" s="2040">
        <v>107.91</v>
      </c>
      <c r="EV721" s="2040">
        <v>107.91</v>
      </c>
      <c r="EW721" s="2040">
        <v>104.17</v>
      </c>
      <c r="EX721" s="2040">
        <v>104.17</v>
      </c>
      <c r="EY721" s="2506">
        <f t="shared" si="59"/>
        <v>106.03999999999999</v>
      </c>
      <c r="EZ721" s="2506">
        <f t="shared" si="59"/>
        <v>106.03999999999999</v>
      </c>
      <c r="FA721" s="2040">
        <v>110.1</v>
      </c>
      <c r="FB721" s="2040">
        <v>110.1</v>
      </c>
      <c r="FE721" s="2040">
        <v>26.27</v>
      </c>
      <c r="FF721" s="2040">
        <v>26.27</v>
      </c>
      <c r="FG721" s="2040">
        <v>86.98</v>
      </c>
      <c r="FH721" s="2040">
        <v>86.98</v>
      </c>
      <c r="FI721" s="2040">
        <v>86.98</v>
      </c>
      <c r="FJ721" s="2040">
        <v>86.98</v>
      </c>
      <c r="FK721" s="2040">
        <v>85.72</v>
      </c>
      <c r="FL721" s="2040">
        <v>85.72</v>
      </c>
      <c r="FM721" s="2040">
        <v>87.58</v>
      </c>
      <c r="FN721" s="2040">
        <v>87.58</v>
      </c>
      <c r="FQ721" s="2040">
        <v>58.54</v>
      </c>
      <c r="FR721" s="2040">
        <v>58.54</v>
      </c>
      <c r="FS721" s="2040">
        <v>107.39</v>
      </c>
      <c r="FT721" s="2040">
        <v>107.39</v>
      </c>
      <c r="FU721" s="2040">
        <v>107.39</v>
      </c>
      <c r="FV721" s="2040">
        <v>107.39</v>
      </c>
      <c r="FW721" s="2040">
        <v>108.68</v>
      </c>
      <c r="FX721" s="2040">
        <v>108.68</v>
      </c>
      <c r="GC721" s="2040">
        <v>42.91</v>
      </c>
      <c r="GD721" s="2040">
        <v>42.91</v>
      </c>
      <c r="GE721" s="2040">
        <v>102.53</v>
      </c>
      <c r="GF721" s="2040">
        <v>102.53</v>
      </c>
      <c r="GG721" s="2040">
        <v>102.53</v>
      </c>
      <c r="GH721" s="2040">
        <v>102.53</v>
      </c>
      <c r="GI721" s="2040">
        <v>63.08</v>
      </c>
      <c r="GJ721" s="2040">
        <v>63.08</v>
      </c>
      <c r="GK721" s="2040">
        <v>98.09</v>
      </c>
      <c r="GL721" s="2040">
        <v>98.09</v>
      </c>
      <c r="GO721" s="2040">
        <v>22.91</v>
      </c>
      <c r="GP721" s="2040">
        <v>22.91</v>
      </c>
      <c r="GQ721" s="2040">
        <v>15.32</v>
      </c>
      <c r="GR721" s="2040">
        <v>15.32</v>
      </c>
      <c r="GS721" s="2040">
        <v>15.32</v>
      </c>
      <c r="GT721" s="2040">
        <v>14.61</v>
      </c>
      <c r="GU721" s="2040">
        <v>14.61</v>
      </c>
      <c r="GV721" s="2040">
        <v>14.61</v>
      </c>
      <c r="GW721" s="2040">
        <v>89.42</v>
      </c>
      <c r="GX721" s="2040">
        <v>89.42</v>
      </c>
      <c r="HA721" s="2040">
        <v>16.11</v>
      </c>
      <c r="HB721" s="2040">
        <v>16.11</v>
      </c>
      <c r="HC721" s="2040">
        <v>7.6</v>
      </c>
      <c r="HD721" s="2040">
        <v>7.6</v>
      </c>
      <c r="HE721" s="2040">
        <v>8.6999999999999993</v>
      </c>
      <c r="HF721" s="2040">
        <v>8.6999999999999993</v>
      </c>
      <c r="HG721" s="2040">
        <v>8.6999999999999993</v>
      </c>
      <c r="HH721" s="2040">
        <v>8.6999999999999993</v>
      </c>
      <c r="HI721" s="2040">
        <v>8.6999999999999993</v>
      </c>
      <c r="HJ721" s="2040">
        <v>8.6999999999999993</v>
      </c>
      <c r="HK721" s="2040">
        <v>8.6300000000000008</v>
      </c>
      <c r="HL721" s="2040">
        <v>8.6300000000000008</v>
      </c>
      <c r="HM721" s="2040">
        <v>22.53</v>
      </c>
      <c r="HN721" s="2040">
        <v>22.53</v>
      </c>
      <c r="HO721" s="2040">
        <v>11.03</v>
      </c>
      <c r="HP721" s="2040">
        <v>11.03</v>
      </c>
      <c r="HQ721" s="2040">
        <v>12.63</v>
      </c>
      <c r="HR721" s="2040">
        <v>12.63</v>
      </c>
      <c r="HS721" s="2040">
        <v>12.63</v>
      </c>
      <c r="HT721" s="2040">
        <v>12.63</v>
      </c>
      <c r="HU721" s="2040">
        <v>12.63</v>
      </c>
      <c r="HV721" s="2040">
        <v>12.63</v>
      </c>
      <c r="HW721" s="2040">
        <v>12.44</v>
      </c>
      <c r="HX721" s="2040">
        <v>12.44</v>
      </c>
    </row>
    <row r="722" spans="2:232" s="2040" customFormat="1" ht="14" x14ac:dyDescent="0.3">
      <c r="B722" s="2504">
        <v>23</v>
      </c>
      <c r="C722" s="2505">
        <v>26.37</v>
      </c>
      <c r="D722" s="2505">
        <v>26.37</v>
      </c>
      <c r="E722" s="2505">
        <v>27.57</v>
      </c>
      <c r="F722" s="2505">
        <v>27.57</v>
      </c>
      <c r="G722" s="2505">
        <v>91.19</v>
      </c>
      <c r="H722" s="2505">
        <v>91.19</v>
      </c>
      <c r="I722" s="2505">
        <v>81.790000000000006</v>
      </c>
      <c r="J722" s="2505">
        <v>81.790000000000006</v>
      </c>
      <c r="K722" s="2505">
        <v>97</v>
      </c>
      <c r="L722" s="2505">
        <v>97</v>
      </c>
      <c r="M722" s="2505"/>
      <c r="N722" s="2505"/>
      <c r="O722" s="2505">
        <v>82.2</v>
      </c>
      <c r="P722" s="2505">
        <v>82.2</v>
      </c>
      <c r="Q722" s="2505">
        <v>84.06</v>
      </c>
      <c r="R722" s="2505">
        <v>82.21</v>
      </c>
      <c r="S722" s="2505">
        <v>119.6</v>
      </c>
      <c r="T722" s="2505">
        <v>119.6</v>
      </c>
      <c r="U722" s="2505">
        <v>115.43</v>
      </c>
      <c r="V722" s="2505">
        <v>115.43</v>
      </c>
      <c r="W722" s="2505">
        <v>119.6</v>
      </c>
      <c r="X722" s="2505">
        <v>119.6</v>
      </c>
      <c r="Y722" s="2505">
        <v>115.43</v>
      </c>
      <c r="Z722" s="2505">
        <v>119.6</v>
      </c>
      <c r="AA722" s="2505">
        <v>119.6</v>
      </c>
      <c r="AB722" s="2505">
        <v>119.6</v>
      </c>
      <c r="AC722" s="2505">
        <v>115.43</v>
      </c>
      <c r="AD722" s="2505">
        <v>115.43</v>
      </c>
      <c r="AE722" s="2505">
        <v>139.59</v>
      </c>
      <c r="AF722" s="2505">
        <v>135.68</v>
      </c>
      <c r="AG722" s="2505">
        <v>139.59</v>
      </c>
      <c r="AH722" s="2505">
        <v>139.59</v>
      </c>
      <c r="AI722" s="2505">
        <v>135.68</v>
      </c>
      <c r="AJ722" s="2505">
        <v>135.68</v>
      </c>
      <c r="AK722" s="2505">
        <v>138.13999999999999</v>
      </c>
      <c r="AL722" s="2505">
        <v>138.13999999999999</v>
      </c>
      <c r="AM722" s="2505">
        <v>43.58</v>
      </c>
      <c r="AN722" s="2505">
        <v>41.95</v>
      </c>
      <c r="AO722" s="2505">
        <v>41.95</v>
      </c>
      <c r="AP722" s="2505">
        <v>41.95</v>
      </c>
      <c r="AQ722" s="2505">
        <v>44</v>
      </c>
      <c r="AR722" s="2505">
        <v>44</v>
      </c>
      <c r="AS722" s="2505">
        <v>108.93</v>
      </c>
      <c r="AT722" s="2505">
        <v>108.93</v>
      </c>
      <c r="AU722" s="2505">
        <v>108.93</v>
      </c>
      <c r="AV722" s="2505">
        <v>112.6</v>
      </c>
      <c r="AW722" s="2505">
        <v>108.31</v>
      </c>
      <c r="AX722" s="2505">
        <v>108.31</v>
      </c>
      <c r="AY722" s="2505">
        <v>108.55</v>
      </c>
      <c r="AZ722" s="2505">
        <v>108.55</v>
      </c>
      <c r="BA722" s="2040">
        <v>46.25</v>
      </c>
      <c r="BB722" s="2040">
        <v>46.25</v>
      </c>
      <c r="BC722" s="2040">
        <v>10.24</v>
      </c>
      <c r="BD722" s="2040">
        <v>10.24</v>
      </c>
      <c r="BE722" s="2040">
        <v>15.44</v>
      </c>
      <c r="BF722" s="2040">
        <v>15.44</v>
      </c>
      <c r="BG722" s="2040">
        <v>10.29</v>
      </c>
      <c r="BH722" s="2040">
        <v>10.29</v>
      </c>
      <c r="BI722" s="2040">
        <v>10.11</v>
      </c>
      <c r="BJ722" s="2040">
        <v>10.11</v>
      </c>
      <c r="BK722" s="2040">
        <v>10.11</v>
      </c>
      <c r="BL722" s="2040">
        <v>10.11</v>
      </c>
      <c r="BM722" s="2040">
        <v>31.88</v>
      </c>
      <c r="BN722" s="2040">
        <v>31.88</v>
      </c>
      <c r="BO722" s="2040">
        <v>92.33</v>
      </c>
      <c r="BP722" s="2040">
        <v>92.33</v>
      </c>
      <c r="BQ722" s="2040">
        <v>92.33</v>
      </c>
      <c r="BR722" s="2040">
        <v>92.33</v>
      </c>
      <c r="BS722" s="2040">
        <v>104.87</v>
      </c>
      <c r="BT722" s="2040">
        <v>104.87</v>
      </c>
      <c r="BU722" s="2040">
        <v>104.87</v>
      </c>
      <c r="BV722" s="2040">
        <v>104.87</v>
      </c>
      <c r="BW722" s="2040">
        <v>104.87</v>
      </c>
      <c r="BX722" s="2040">
        <v>104.87</v>
      </c>
      <c r="BY722" s="2040">
        <v>28.97</v>
      </c>
      <c r="BZ722" s="2040">
        <v>28.97</v>
      </c>
      <c r="CA722" s="2040">
        <v>87.3</v>
      </c>
      <c r="CB722" s="2040">
        <v>87.3</v>
      </c>
      <c r="CC722" s="2040">
        <v>87.18</v>
      </c>
      <c r="CD722" s="2040">
        <v>87.18</v>
      </c>
      <c r="CE722" s="2040">
        <v>101.99</v>
      </c>
      <c r="CF722" s="2040">
        <v>101.99</v>
      </c>
      <c r="CK722" s="2040">
        <v>78.03</v>
      </c>
      <c r="CL722" s="2040">
        <v>78.03</v>
      </c>
      <c r="CM722" s="2040">
        <v>162.12</v>
      </c>
      <c r="CN722" s="2040">
        <v>162.12</v>
      </c>
      <c r="CO722" s="2040">
        <v>184.03</v>
      </c>
      <c r="CP722" s="2040">
        <v>184.03</v>
      </c>
      <c r="CQ722" s="2040">
        <v>184.03</v>
      </c>
      <c r="CR722" s="2040">
        <v>184.03</v>
      </c>
      <c r="CW722" s="2040">
        <v>67.09</v>
      </c>
      <c r="CX722" s="2040">
        <v>67.09</v>
      </c>
      <c r="CY722" s="2040">
        <v>152.76</v>
      </c>
      <c r="CZ722" s="2040">
        <v>152.76</v>
      </c>
      <c r="DA722" s="2040">
        <v>152.76</v>
      </c>
      <c r="DB722" s="2040">
        <v>152.76</v>
      </c>
      <c r="DC722" s="2040">
        <v>173.44</v>
      </c>
      <c r="DD722" s="2040">
        <v>173.44</v>
      </c>
      <c r="DE722" s="2040">
        <v>173.44</v>
      </c>
      <c r="DF722" s="2040">
        <v>173.44</v>
      </c>
      <c r="DI722" s="2040">
        <v>17.79</v>
      </c>
      <c r="DJ722" s="2040">
        <v>17.79</v>
      </c>
      <c r="DK722" s="2040">
        <v>17.79</v>
      </c>
      <c r="DL722" s="2040">
        <v>17.79</v>
      </c>
      <c r="DM722" s="2040">
        <v>17.79</v>
      </c>
      <c r="DN722" s="2040">
        <v>17.79</v>
      </c>
      <c r="DU722" s="2040">
        <v>8</v>
      </c>
      <c r="DV722" s="2040">
        <v>8</v>
      </c>
      <c r="DW722" s="2040">
        <v>6.65</v>
      </c>
      <c r="DX722" s="2040">
        <v>6.65</v>
      </c>
      <c r="DY722" s="2040">
        <v>6.65</v>
      </c>
      <c r="DZ722" s="2040">
        <v>6.65</v>
      </c>
      <c r="EG722" s="2040">
        <v>8.76</v>
      </c>
      <c r="EH722" s="2040">
        <v>9.15</v>
      </c>
      <c r="EI722" s="2040">
        <v>4.99</v>
      </c>
      <c r="EJ722" s="2040">
        <v>4.99</v>
      </c>
      <c r="EK722" s="2040">
        <v>4.93</v>
      </c>
      <c r="EL722" s="2040">
        <v>4.93</v>
      </c>
      <c r="EM722" s="2040">
        <v>5.74</v>
      </c>
      <c r="EN722" s="2040">
        <v>5.74</v>
      </c>
      <c r="EO722" s="2040">
        <v>5.23</v>
      </c>
      <c r="EP722" s="2040">
        <v>5.23</v>
      </c>
      <c r="EQ722" s="2040">
        <v>5.37</v>
      </c>
      <c r="ER722" s="2040">
        <v>5.55</v>
      </c>
      <c r="ES722" s="2040">
        <v>32.380000000000003</v>
      </c>
      <c r="ET722" s="2040">
        <v>32.380000000000003</v>
      </c>
      <c r="EU722" s="2040">
        <v>113.05</v>
      </c>
      <c r="EV722" s="2040">
        <v>113.05</v>
      </c>
      <c r="EW722" s="2040">
        <v>109.23</v>
      </c>
      <c r="EX722" s="2040">
        <v>109.23</v>
      </c>
      <c r="EY722" s="2506">
        <f t="shared" si="59"/>
        <v>111.14</v>
      </c>
      <c r="EZ722" s="2506">
        <f t="shared" si="59"/>
        <v>111.14</v>
      </c>
      <c r="FA722" s="2040">
        <v>115.16</v>
      </c>
      <c r="FB722" s="2040">
        <v>115.16</v>
      </c>
      <c r="FE722" s="2040">
        <v>27.43</v>
      </c>
      <c r="FF722" s="2040">
        <v>27.43</v>
      </c>
      <c r="FG722" s="2040">
        <v>92.45</v>
      </c>
      <c r="FH722" s="2040">
        <v>92.45</v>
      </c>
      <c r="FI722" s="2040">
        <v>92.45</v>
      </c>
      <c r="FJ722" s="2040">
        <v>92.45</v>
      </c>
      <c r="FK722" s="2040">
        <v>91.19</v>
      </c>
      <c r="FL722" s="2040">
        <v>91.19</v>
      </c>
      <c r="FM722" s="2040">
        <v>93.05</v>
      </c>
      <c r="FN722" s="2040">
        <v>93.05</v>
      </c>
      <c r="FQ722" s="2040">
        <v>60.91</v>
      </c>
      <c r="FR722" s="2040">
        <v>60.91</v>
      </c>
      <c r="FS722" s="2040">
        <v>112.32</v>
      </c>
      <c r="FT722" s="2040">
        <v>112.32</v>
      </c>
      <c r="FU722" s="2040">
        <v>112.32</v>
      </c>
      <c r="FV722" s="2040">
        <v>112.32</v>
      </c>
      <c r="FW722" s="2040">
        <v>113.6</v>
      </c>
      <c r="FX722" s="2040">
        <v>113.6</v>
      </c>
      <c r="GC722" s="2040">
        <v>44.44</v>
      </c>
      <c r="GD722" s="2040">
        <v>44.44</v>
      </c>
      <c r="GE722" s="2040">
        <v>105.72</v>
      </c>
      <c r="GF722" s="2040">
        <v>105.72</v>
      </c>
      <c r="GG722" s="2040">
        <v>105.72</v>
      </c>
      <c r="GH722" s="2040">
        <v>105.72</v>
      </c>
      <c r="GI722" s="2040">
        <v>67.44</v>
      </c>
      <c r="GJ722" s="2040">
        <v>67.44</v>
      </c>
      <c r="GK722" s="2040">
        <v>102.73</v>
      </c>
      <c r="GL722" s="2040">
        <v>102.73</v>
      </c>
      <c r="GO722" s="2040">
        <v>23.77</v>
      </c>
      <c r="GP722" s="2040">
        <v>23.77</v>
      </c>
      <c r="GQ722" s="2040">
        <v>16.13</v>
      </c>
      <c r="GR722" s="2040">
        <v>16.13</v>
      </c>
      <c r="GS722" s="2040">
        <v>16.13</v>
      </c>
      <c r="GT722" s="2040">
        <v>15.39</v>
      </c>
      <c r="GU722" s="2040">
        <v>15.39</v>
      </c>
      <c r="GV722" s="2040">
        <v>15.39</v>
      </c>
      <c r="GW722" s="2040">
        <v>94.01</v>
      </c>
      <c r="GX722" s="2040">
        <v>94.01</v>
      </c>
      <c r="HA722" s="2040">
        <v>16.690000000000001</v>
      </c>
      <c r="HB722" s="2040">
        <v>16.690000000000001</v>
      </c>
      <c r="HC722" s="2040">
        <v>8.1199999999999992</v>
      </c>
      <c r="HD722" s="2040">
        <v>8.1199999999999992</v>
      </c>
      <c r="HE722" s="2040">
        <v>9.2200000000000006</v>
      </c>
      <c r="HF722" s="2040">
        <v>9.2200000000000006</v>
      </c>
      <c r="HG722" s="2040">
        <v>9.2200000000000006</v>
      </c>
      <c r="HH722" s="2040">
        <v>9.2200000000000006</v>
      </c>
      <c r="HI722" s="2040">
        <v>9.2200000000000006</v>
      </c>
      <c r="HJ722" s="2040">
        <v>9.2200000000000006</v>
      </c>
      <c r="HK722" s="2040">
        <v>9.16</v>
      </c>
      <c r="HL722" s="2040">
        <v>9.16</v>
      </c>
      <c r="HM722" s="2040">
        <v>23.34</v>
      </c>
      <c r="HN722" s="2040">
        <v>23.34</v>
      </c>
      <c r="HO722" s="2040">
        <v>11.77</v>
      </c>
      <c r="HP722" s="2040">
        <v>11.77</v>
      </c>
      <c r="HQ722" s="2040">
        <v>13.38</v>
      </c>
      <c r="HR722" s="2040">
        <v>13.38</v>
      </c>
      <c r="HS722" s="2040">
        <v>13.38</v>
      </c>
      <c r="HT722" s="2040">
        <v>13.38</v>
      </c>
      <c r="HU722" s="2040">
        <v>13.38</v>
      </c>
      <c r="HV722" s="2040">
        <v>13.38</v>
      </c>
      <c r="HW722" s="2040">
        <v>13.2</v>
      </c>
      <c r="HX722" s="2040">
        <v>13.2</v>
      </c>
    </row>
    <row r="723" spans="2:232" s="2040" customFormat="1" ht="14" x14ac:dyDescent="0.3">
      <c r="B723" s="2504">
        <v>24</v>
      </c>
      <c r="C723" s="2505">
        <v>27.25</v>
      </c>
      <c r="D723" s="2505">
        <v>27.25</v>
      </c>
      <c r="E723" s="2505">
        <v>28.39</v>
      </c>
      <c r="F723" s="2505">
        <v>28.39</v>
      </c>
      <c r="G723" s="2505">
        <v>94.79</v>
      </c>
      <c r="H723" s="2505">
        <v>94.79</v>
      </c>
      <c r="I723" s="2505">
        <v>85.26</v>
      </c>
      <c r="J723" s="2505">
        <v>85.26</v>
      </c>
      <c r="K723" s="2505">
        <v>100.11</v>
      </c>
      <c r="L723" s="2505">
        <v>100.11</v>
      </c>
      <c r="M723" s="2505"/>
      <c r="N723" s="2505"/>
      <c r="O723" s="2505">
        <v>84.96</v>
      </c>
      <c r="P723" s="2505">
        <v>84.96</v>
      </c>
      <c r="Q723" s="2505">
        <v>86.68</v>
      </c>
      <c r="R723" s="2505">
        <v>84.97</v>
      </c>
      <c r="S723" s="2505">
        <v>125.39</v>
      </c>
      <c r="T723" s="2505">
        <v>125.39</v>
      </c>
      <c r="U723" s="2505">
        <v>121.02</v>
      </c>
      <c r="V723" s="2505">
        <v>121.02</v>
      </c>
      <c r="W723" s="2505">
        <v>125.39</v>
      </c>
      <c r="X723" s="2505">
        <v>125.39</v>
      </c>
      <c r="Y723" s="2505">
        <v>121.02</v>
      </c>
      <c r="Z723" s="2505">
        <v>125.39</v>
      </c>
      <c r="AA723" s="2505">
        <v>125.39</v>
      </c>
      <c r="AB723" s="2505">
        <v>125.39</v>
      </c>
      <c r="AC723" s="2505">
        <v>121.02</v>
      </c>
      <c r="AD723" s="2505">
        <v>121.02</v>
      </c>
      <c r="AE723" s="2505">
        <v>145.46</v>
      </c>
      <c r="AF723" s="2505">
        <v>141.38</v>
      </c>
      <c r="AG723" s="2505">
        <v>145.46</v>
      </c>
      <c r="AH723" s="2505">
        <v>145.46</v>
      </c>
      <c r="AI723" s="2505">
        <v>141.38</v>
      </c>
      <c r="AJ723" s="2505">
        <v>141.38</v>
      </c>
      <c r="AK723" s="2505">
        <v>143.72</v>
      </c>
      <c r="AL723" s="2505">
        <v>143.72</v>
      </c>
      <c r="AM723" s="2505">
        <v>45.03</v>
      </c>
      <c r="AN723" s="2505">
        <v>43.35</v>
      </c>
      <c r="AO723" s="2505">
        <v>43.35</v>
      </c>
      <c r="AP723" s="2505">
        <v>43.35</v>
      </c>
      <c r="AQ723" s="2505">
        <v>45.3</v>
      </c>
      <c r="AR723" s="2505">
        <v>45.3</v>
      </c>
      <c r="AS723" s="2505">
        <v>113.53</v>
      </c>
      <c r="AT723" s="2505">
        <v>113.53</v>
      </c>
      <c r="AU723" s="2505">
        <v>113.53</v>
      </c>
      <c r="AV723" s="2505">
        <v>117.27</v>
      </c>
      <c r="AW723" s="2505">
        <v>113</v>
      </c>
      <c r="AX723" s="2505">
        <v>113</v>
      </c>
      <c r="AY723" s="2505">
        <v>113.23</v>
      </c>
      <c r="AZ723" s="2505">
        <v>113.23</v>
      </c>
      <c r="BA723" s="2040">
        <v>48.28</v>
      </c>
      <c r="BB723" s="2040">
        <v>48.28</v>
      </c>
      <c r="BC723" s="2040">
        <v>10.78</v>
      </c>
      <c r="BD723" s="2040">
        <v>10.78</v>
      </c>
      <c r="BE723" s="2040">
        <v>15.96</v>
      </c>
      <c r="BF723" s="2040">
        <v>15.96</v>
      </c>
      <c r="BG723" s="2040">
        <v>10.83</v>
      </c>
      <c r="BH723" s="2040">
        <v>10.83</v>
      </c>
      <c r="BI723" s="2040">
        <v>10.65</v>
      </c>
      <c r="BJ723" s="2040">
        <v>10.65</v>
      </c>
      <c r="BK723" s="2040">
        <v>10.65</v>
      </c>
      <c r="BL723" s="2040">
        <v>10.65</v>
      </c>
      <c r="BM723" s="2040">
        <v>32.94</v>
      </c>
      <c r="BN723" s="2040">
        <v>32.94</v>
      </c>
      <c r="BO723" s="2040">
        <v>95.8</v>
      </c>
      <c r="BP723" s="2040">
        <v>95.8</v>
      </c>
      <c r="BQ723" s="2040">
        <v>95.8</v>
      </c>
      <c r="BR723" s="2040">
        <v>95.8</v>
      </c>
      <c r="BS723" s="2040">
        <v>109.67</v>
      </c>
      <c r="BT723" s="2040">
        <v>109.67</v>
      </c>
      <c r="BU723" s="2040">
        <v>109.67</v>
      </c>
      <c r="BV723" s="2040">
        <v>109.67</v>
      </c>
      <c r="BW723" s="2040">
        <v>109.67</v>
      </c>
      <c r="BX723" s="2040">
        <v>109.67</v>
      </c>
      <c r="BY723" s="2040">
        <v>29.93</v>
      </c>
      <c r="BZ723" s="2040">
        <v>29.93</v>
      </c>
      <c r="CA723" s="2040">
        <v>90.65</v>
      </c>
      <c r="CB723" s="2040">
        <v>90.65</v>
      </c>
      <c r="CC723" s="2040">
        <v>90.65</v>
      </c>
      <c r="CD723" s="2040">
        <v>90.65</v>
      </c>
      <c r="CE723" s="2040">
        <v>106.75</v>
      </c>
      <c r="CF723" s="2040">
        <v>106.75</v>
      </c>
      <c r="CK723" s="2040">
        <v>80.09</v>
      </c>
      <c r="CL723" s="2040">
        <v>80.09</v>
      </c>
      <c r="CM723" s="2040">
        <v>166.36</v>
      </c>
      <c r="CN723" s="2040">
        <v>166.36</v>
      </c>
      <c r="CO723" s="2040">
        <v>190.25</v>
      </c>
      <c r="CP723" s="2040">
        <v>190.25</v>
      </c>
      <c r="CQ723" s="2040">
        <v>190.25</v>
      </c>
      <c r="CR723" s="2040">
        <v>190.25</v>
      </c>
      <c r="CW723" s="2040">
        <v>69.33</v>
      </c>
      <c r="CX723" s="2040">
        <v>69.33</v>
      </c>
      <c r="CY723" s="2040">
        <v>156.97</v>
      </c>
      <c r="CZ723" s="2040">
        <v>156.97</v>
      </c>
      <c r="DA723" s="2040">
        <v>156.97</v>
      </c>
      <c r="DB723" s="2040">
        <v>156.97</v>
      </c>
      <c r="DC723" s="2040">
        <v>179.57</v>
      </c>
      <c r="DD723" s="2040">
        <v>179.57</v>
      </c>
      <c r="DE723" s="2040">
        <v>179.57</v>
      </c>
      <c r="DF723" s="2040">
        <v>179.57</v>
      </c>
      <c r="DI723" s="2040">
        <v>18.38</v>
      </c>
      <c r="DJ723" s="2040">
        <v>18.38</v>
      </c>
      <c r="DK723" s="2040">
        <v>18.38</v>
      </c>
      <c r="DL723" s="2040">
        <v>18.38</v>
      </c>
      <c r="DM723" s="2040">
        <v>18.38</v>
      </c>
      <c r="DN723" s="2040">
        <v>18.38</v>
      </c>
      <c r="DU723" s="2040">
        <v>8.26</v>
      </c>
      <c r="DV723" s="2040">
        <v>8.26</v>
      </c>
      <c r="DW723" s="2040">
        <v>6.93</v>
      </c>
      <c r="DX723" s="2040">
        <v>6.93</v>
      </c>
      <c r="DY723" s="2040">
        <v>6.93</v>
      </c>
      <c r="DZ723" s="2040">
        <v>6.93</v>
      </c>
      <c r="EG723" s="2040">
        <v>8.9700000000000006</v>
      </c>
      <c r="EH723" s="2040">
        <v>9.35</v>
      </c>
      <c r="EI723" s="2040">
        <v>5.19</v>
      </c>
      <c r="EJ723" s="2040">
        <v>5.19</v>
      </c>
      <c r="EK723" s="2040">
        <v>5.13</v>
      </c>
      <c r="EL723" s="2040">
        <v>5.13</v>
      </c>
      <c r="EM723" s="2040">
        <v>5.94</v>
      </c>
      <c r="EN723" s="2040">
        <v>5.94</v>
      </c>
      <c r="EO723" s="2040">
        <v>5.43</v>
      </c>
      <c r="EP723" s="2040">
        <v>5.43</v>
      </c>
      <c r="EQ723" s="2040">
        <v>5.58</v>
      </c>
      <c r="ER723" s="2040">
        <v>5.74</v>
      </c>
      <c r="ES723" s="2040">
        <v>33.409999999999997</v>
      </c>
      <c r="ET723" s="2040">
        <v>33.409999999999997</v>
      </c>
      <c r="EU723" s="2040">
        <v>118.09</v>
      </c>
      <c r="EV723" s="2040">
        <v>118.09</v>
      </c>
      <c r="EW723" s="2040">
        <v>114.18</v>
      </c>
      <c r="EX723" s="2040">
        <v>114.18</v>
      </c>
      <c r="EY723" s="2506">
        <f t="shared" si="59"/>
        <v>116.13500000000001</v>
      </c>
      <c r="EZ723" s="2506">
        <f t="shared" si="59"/>
        <v>116.13500000000001</v>
      </c>
      <c r="FA723" s="2040">
        <v>120.1</v>
      </c>
      <c r="FB723" s="2040">
        <v>120.1</v>
      </c>
      <c r="FE723" s="2040">
        <v>28.29</v>
      </c>
      <c r="FF723" s="2040">
        <v>28.29</v>
      </c>
      <c r="FG723" s="2040">
        <v>96.55</v>
      </c>
      <c r="FH723" s="2040">
        <v>96.55</v>
      </c>
      <c r="FI723" s="2040">
        <v>96.55</v>
      </c>
      <c r="FJ723" s="2040">
        <v>96.55</v>
      </c>
      <c r="FK723" s="2040">
        <v>95.31</v>
      </c>
      <c r="FL723" s="2040">
        <v>95.31</v>
      </c>
      <c r="FM723" s="2040">
        <v>97.15</v>
      </c>
      <c r="FN723" s="2040">
        <v>97.15</v>
      </c>
      <c r="FQ723" s="2040">
        <v>63.14</v>
      </c>
      <c r="FR723" s="2040">
        <v>63.14</v>
      </c>
      <c r="FS723" s="2040">
        <v>116.98</v>
      </c>
      <c r="FT723" s="2040">
        <v>116.98</v>
      </c>
      <c r="FU723" s="2040">
        <v>116.98</v>
      </c>
      <c r="FV723" s="2040">
        <v>116.98</v>
      </c>
      <c r="FW723" s="2040">
        <v>118.25</v>
      </c>
      <c r="FX723" s="2040">
        <v>118.25</v>
      </c>
      <c r="GC723" s="2040">
        <v>45.88</v>
      </c>
      <c r="GD723" s="2040">
        <v>45.88</v>
      </c>
      <c r="GE723" s="2040">
        <v>108.72</v>
      </c>
      <c r="GF723" s="2040">
        <v>108.72</v>
      </c>
      <c r="GG723" s="2040">
        <v>108.72</v>
      </c>
      <c r="GH723" s="2040">
        <v>108.72</v>
      </c>
      <c r="GI723" s="2040">
        <v>71.64</v>
      </c>
      <c r="GJ723" s="2040">
        <v>71.64</v>
      </c>
      <c r="GK723" s="2040">
        <v>107.15</v>
      </c>
      <c r="GL723" s="2040">
        <v>107.15</v>
      </c>
      <c r="GO723" s="2040">
        <v>24.58</v>
      </c>
      <c r="GP723" s="2040">
        <v>24.58</v>
      </c>
      <c r="GQ723" s="2040">
        <v>16.91</v>
      </c>
      <c r="GR723" s="2040">
        <v>16.91</v>
      </c>
      <c r="GS723" s="2040">
        <v>16.91</v>
      </c>
      <c r="GT723" s="2040">
        <v>16.149999999999999</v>
      </c>
      <c r="GU723" s="2040">
        <v>16.149999999999999</v>
      </c>
      <c r="GV723" s="2040">
        <v>16.149999999999999</v>
      </c>
      <c r="GW723" s="2040">
        <v>98.43</v>
      </c>
      <c r="GX723" s="2040">
        <v>98.43</v>
      </c>
      <c r="HA723" s="2040">
        <v>17.239999999999998</v>
      </c>
      <c r="HB723" s="2040">
        <v>17.239999999999998</v>
      </c>
      <c r="HC723" s="2040">
        <v>8.6300000000000008</v>
      </c>
      <c r="HD723" s="2040">
        <v>8.6300000000000008</v>
      </c>
      <c r="HE723" s="2040">
        <v>9.73</v>
      </c>
      <c r="HF723" s="2040">
        <v>9.73</v>
      </c>
      <c r="HG723" s="2040">
        <v>9.73</v>
      </c>
      <c r="HH723" s="2040">
        <v>9.73</v>
      </c>
      <c r="HI723" s="2040">
        <v>9.73</v>
      </c>
      <c r="HJ723" s="2040">
        <v>9.73</v>
      </c>
      <c r="HK723" s="2040">
        <v>9.68</v>
      </c>
      <c r="HL723" s="2040">
        <v>9.68</v>
      </c>
      <c r="HM723" s="2040">
        <v>24.12</v>
      </c>
      <c r="HN723" s="2040">
        <v>24.12</v>
      </c>
      <c r="HO723" s="2040">
        <v>12.49</v>
      </c>
      <c r="HP723" s="2040">
        <v>12.49</v>
      </c>
      <c r="HQ723" s="2040">
        <v>14.1</v>
      </c>
      <c r="HR723" s="2040">
        <v>14.1</v>
      </c>
      <c r="HS723" s="2040">
        <v>14.1</v>
      </c>
      <c r="HT723" s="2040">
        <v>14.1</v>
      </c>
      <c r="HU723" s="2040">
        <v>14.1</v>
      </c>
      <c r="HV723" s="2040">
        <v>14.1</v>
      </c>
      <c r="HW723" s="2040">
        <v>13.93</v>
      </c>
      <c r="HX723" s="2040">
        <v>13.93</v>
      </c>
    </row>
    <row r="724" spans="2:232" s="2040" customFormat="1" ht="14" x14ac:dyDescent="0.3">
      <c r="B724" s="2504">
        <v>25</v>
      </c>
      <c r="C724" s="2505">
        <v>28.08</v>
      </c>
      <c r="D724" s="2505">
        <v>28.08</v>
      </c>
      <c r="E724" s="2505">
        <v>29.16</v>
      </c>
      <c r="F724" s="2505">
        <v>29.16</v>
      </c>
      <c r="G724" s="2505">
        <v>98.24</v>
      </c>
      <c r="H724" s="2505">
        <v>98.24</v>
      </c>
      <c r="I724" s="2505">
        <v>88.6</v>
      </c>
      <c r="J724" s="2505">
        <v>88.6</v>
      </c>
      <c r="K724" s="2505">
        <v>103.1</v>
      </c>
      <c r="L724" s="2505">
        <v>103.1</v>
      </c>
      <c r="M724" s="2505"/>
      <c r="N724" s="2505"/>
      <c r="O724" s="2505">
        <v>87.58</v>
      </c>
      <c r="P724" s="2505">
        <v>87.58</v>
      </c>
      <c r="Q724" s="2505">
        <v>89.18</v>
      </c>
      <c r="R724" s="2505">
        <v>87.59</v>
      </c>
      <c r="S724" s="2505">
        <v>130.96</v>
      </c>
      <c r="T724" s="2505">
        <v>130.96</v>
      </c>
      <c r="U724" s="2505">
        <v>126.4</v>
      </c>
      <c r="V724" s="2505">
        <v>126.4</v>
      </c>
      <c r="W724" s="2505">
        <v>130.96</v>
      </c>
      <c r="X724" s="2505">
        <v>130.96</v>
      </c>
      <c r="Y724" s="2505">
        <v>126.4</v>
      </c>
      <c r="Z724" s="2505">
        <v>130.96</v>
      </c>
      <c r="AA724" s="2505">
        <v>130.96</v>
      </c>
      <c r="AB724" s="2505">
        <v>130.96</v>
      </c>
      <c r="AC724" s="2505">
        <v>126.4</v>
      </c>
      <c r="AD724" s="2505">
        <v>126.4</v>
      </c>
      <c r="AE724" s="2505">
        <v>151.07</v>
      </c>
      <c r="AF724" s="2505">
        <v>146.82</v>
      </c>
      <c r="AG724" s="2505">
        <v>151.07</v>
      </c>
      <c r="AH724" s="2505">
        <v>151.07</v>
      </c>
      <c r="AI724" s="2505">
        <v>146.82</v>
      </c>
      <c r="AJ724" s="2505">
        <v>146.82</v>
      </c>
      <c r="AK724" s="2505">
        <v>149.07</v>
      </c>
      <c r="AL724" s="2505">
        <v>149.07</v>
      </c>
      <c r="AM724" s="2505">
        <v>46.42</v>
      </c>
      <c r="AN724" s="2505">
        <v>44.69</v>
      </c>
      <c r="AO724" s="2505">
        <v>44.69</v>
      </c>
      <c r="AP724" s="2505">
        <v>44.69</v>
      </c>
      <c r="AQ724" s="2505">
        <v>46.53</v>
      </c>
      <c r="AR724" s="2505">
        <v>46.53</v>
      </c>
      <c r="AS724" s="2505">
        <v>117.94</v>
      </c>
      <c r="AT724" s="2505">
        <v>117.94</v>
      </c>
      <c r="AU724" s="2505">
        <v>117.94</v>
      </c>
      <c r="AV724" s="2505">
        <v>121.75</v>
      </c>
      <c r="AW724" s="2505">
        <v>117.48</v>
      </c>
      <c r="AX724" s="2505">
        <v>117.48</v>
      </c>
      <c r="AY724" s="2505">
        <v>117.71</v>
      </c>
      <c r="AZ724" s="2505">
        <v>117.71</v>
      </c>
      <c r="BA724" s="2040">
        <v>50.23</v>
      </c>
      <c r="BB724" s="2040">
        <v>50.23</v>
      </c>
      <c r="BC724" s="2040">
        <v>11.29</v>
      </c>
      <c r="BD724" s="2040">
        <v>11.29</v>
      </c>
      <c r="BE724" s="2040">
        <v>16.45</v>
      </c>
      <c r="BF724" s="2040">
        <v>16.45</v>
      </c>
      <c r="BG724" s="2040">
        <v>11.34</v>
      </c>
      <c r="BH724" s="2040">
        <v>11.34</v>
      </c>
      <c r="BI724" s="2040">
        <v>11.17</v>
      </c>
      <c r="BJ724" s="2040">
        <v>11.17</v>
      </c>
      <c r="BK724" s="2040">
        <v>11.17</v>
      </c>
      <c r="BL724" s="2040">
        <v>11.17</v>
      </c>
      <c r="BM724" s="2040">
        <v>33.950000000000003</v>
      </c>
      <c r="BN724" s="2040">
        <v>33.950000000000003</v>
      </c>
      <c r="BO724" s="2040">
        <v>99.11</v>
      </c>
      <c r="BP724" s="2040">
        <v>99.11</v>
      </c>
      <c r="BQ724" s="2040">
        <v>99.11</v>
      </c>
      <c r="BR724" s="2040">
        <v>99.11</v>
      </c>
      <c r="BS724" s="2040">
        <v>114.28</v>
      </c>
      <c r="BT724" s="2040">
        <v>114.28</v>
      </c>
      <c r="BU724" s="2040">
        <v>114.28</v>
      </c>
      <c r="BV724" s="2040">
        <v>114.28</v>
      </c>
      <c r="BW724" s="2040">
        <v>114.28</v>
      </c>
      <c r="BX724" s="2040">
        <v>114.28</v>
      </c>
      <c r="BY724" s="2040">
        <v>30.85</v>
      </c>
      <c r="BZ724" s="2040">
        <v>30.85</v>
      </c>
      <c r="CA724" s="2040">
        <v>93.85</v>
      </c>
      <c r="CB724" s="2040">
        <v>93.85</v>
      </c>
      <c r="CC724" s="2040">
        <v>93.97</v>
      </c>
      <c r="CD724" s="2040">
        <v>93.97</v>
      </c>
      <c r="CE724" s="2040">
        <v>111.33</v>
      </c>
      <c r="CF724" s="2040">
        <v>111.33</v>
      </c>
      <c r="CK724" s="2040">
        <v>82.05</v>
      </c>
      <c r="CL724" s="2040">
        <v>82.05</v>
      </c>
      <c r="CM724" s="2040">
        <v>170.37</v>
      </c>
      <c r="CN724" s="2040">
        <v>170.37</v>
      </c>
      <c r="CO724" s="2040">
        <v>196.19</v>
      </c>
      <c r="CP724" s="2040">
        <v>196.19</v>
      </c>
      <c r="CQ724" s="2040">
        <v>196.19</v>
      </c>
      <c r="CR724" s="2040">
        <v>196.19</v>
      </c>
      <c r="CW724" s="2040">
        <v>71.47</v>
      </c>
      <c r="CX724" s="2040">
        <v>71.47</v>
      </c>
      <c r="CY724" s="2040">
        <v>160.97</v>
      </c>
      <c r="CZ724" s="2040">
        <v>160.97</v>
      </c>
      <c r="DA724" s="2040">
        <v>160.97</v>
      </c>
      <c r="DB724" s="2040">
        <v>160.97</v>
      </c>
      <c r="DC724" s="2040">
        <v>185.42</v>
      </c>
      <c r="DD724" s="2040">
        <v>185.42</v>
      </c>
      <c r="DE724" s="2040">
        <v>185.42</v>
      </c>
      <c r="DF724" s="2040">
        <v>185.42</v>
      </c>
      <c r="DI724" s="2040">
        <v>18.940000000000001</v>
      </c>
      <c r="DJ724" s="2040">
        <v>18.940000000000001</v>
      </c>
      <c r="DK724" s="2040">
        <v>18.940000000000001</v>
      </c>
      <c r="DL724" s="2040">
        <v>18.940000000000001</v>
      </c>
      <c r="DM724" s="2040">
        <v>18.940000000000001</v>
      </c>
      <c r="DN724" s="2040">
        <v>18.940000000000001</v>
      </c>
      <c r="DU724" s="2040">
        <v>8.51</v>
      </c>
      <c r="DV724" s="2040">
        <v>8.51</v>
      </c>
      <c r="DW724" s="2040">
        <v>7.2</v>
      </c>
      <c r="DX724" s="2040">
        <v>7.2</v>
      </c>
      <c r="DY724" s="2040">
        <v>7.2</v>
      </c>
      <c r="DZ724" s="2040">
        <v>7.2</v>
      </c>
      <c r="EG724" s="2040">
        <v>9.31</v>
      </c>
      <c r="EH724" s="2040">
        <v>9.67</v>
      </c>
      <c r="EI724" s="2040">
        <v>5.52</v>
      </c>
      <c r="EJ724" s="2040">
        <v>5.52</v>
      </c>
      <c r="EK724" s="2040">
        <v>5.47</v>
      </c>
      <c r="EL724" s="2040">
        <v>5.47</v>
      </c>
      <c r="EM724" s="2040">
        <v>6.28</v>
      </c>
      <c r="EN724" s="2040">
        <v>6.28</v>
      </c>
      <c r="EO724" s="2040">
        <v>5.75</v>
      </c>
      <c r="EP724" s="2040">
        <v>5.75</v>
      </c>
      <c r="EQ724" s="2040">
        <v>5.91</v>
      </c>
      <c r="ER724" s="2040">
        <v>6.07</v>
      </c>
      <c r="ES724" s="2040">
        <v>34.68</v>
      </c>
      <c r="ET724" s="2040">
        <v>34.68</v>
      </c>
      <c r="EU724" s="2040">
        <v>124.4</v>
      </c>
      <c r="EV724" s="2040">
        <v>124.4</v>
      </c>
      <c r="EW724" s="2040">
        <v>120.41</v>
      </c>
      <c r="EX724" s="2040">
        <v>120.41</v>
      </c>
      <c r="EY724" s="2506">
        <f t="shared" si="59"/>
        <v>122.405</v>
      </c>
      <c r="EZ724" s="2506">
        <f t="shared" si="59"/>
        <v>122.405</v>
      </c>
      <c r="FA724" s="2040">
        <v>126.3</v>
      </c>
      <c r="FB724" s="2040">
        <v>126.3</v>
      </c>
      <c r="FE724" s="2040">
        <v>29.42</v>
      </c>
      <c r="FF724" s="2040">
        <v>29.42</v>
      </c>
      <c r="FG724" s="2040">
        <v>102.07</v>
      </c>
      <c r="FH724" s="2040">
        <v>102.07</v>
      </c>
      <c r="FI724" s="2040">
        <v>102.07</v>
      </c>
      <c r="FJ724" s="2040">
        <v>102.07</v>
      </c>
      <c r="FK724" s="2040">
        <v>100.85</v>
      </c>
      <c r="FL724" s="2040">
        <v>100.85</v>
      </c>
      <c r="FM724" s="2040">
        <v>102.68</v>
      </c>
      <c r="FN724" s="2040">
        <v>102.68</v>
      </c>
      <c r="FQ724" s="2040">
        <v>65.78</v>
      </c>
      <c r="FR724" s="2040">
        <v>65.78</v>
      </c>
      <c r="FS724" s="2040">
        <v>122.51</v>
      </c>
      <c r="FT724" s="2040">
        <v>122.51</v>
      </c>
      <c r="FU724" s="2040">
        <v>122.51</v>
      </c>
      <c r="FV724" s="2040">
        <v>122.51</v>
      </c>
      <c r="FW724" s="2040">
        <v>123.76</v>
      </c>
      <c r="FX724" s="2040">
        <v>123.76</v>
      </c>
      <c r="GC724" s="2040">
        <v>47.42</v>
      </c>
      <c r="GD724" s="2040">
        <v>47.42</v>
      </c>
      <c r="GE724" s="2040">
        <v>111.93</v>
      </c>
      <c r="GF724" s="2040">
        <v>111.93</v>
      </c>
      <c r="GG724" s="2040">
        <v>111.93</v>
      </c>
      <c r="GH724" s="2040">
        <v>111.93</v>
      </c>
      <c r="GI724" s="2040">
        <v>76.28</v>
      </c>
      <c r="GJ724" s="2040">
        <v>76.28</v>
      </c>
      <c r="GK724" s="2040">
        <v>111.95</v>
      </c>
      <c r="GL724" s="2040">
        <v>111.95</v>
      </c>
      <c r="GO724" s="2040">
        <v>25.54</v>
      </c>
      <c r="GP724" s="2040">
        <v>25.54</v>
      </c>
      <c r="GQ724" s="2040">
        <v>17.670000000000002</v>
      </c>
      <c r="GR724" s="2040">
        <v>17.670000000000002</v>
      </c>
      <c r="GS724" s="2040">
        <v>17.670000000000002</v>
      </c>
      <c r="GT724" s="2040">
        <v>16.88</v>
      </c>
      <c r="GU724" s="2040">
        <v>16.88</v>
      </c>
      <c r="GV724" s="2040">
        <v>16.88</v>
      </c>
      <c r="GW724" s="2040">
        <v>102.69</v>
      </c>
      <c r="GX724" s="2040">
        <v>102.69</v>
      </c>
      <c r="HA724" s="2040">
        <v>17.760000000000002</v>
      </c>
      <c r="HB724" s="2040">
        <v>17.760000000000002</v>
      </c>
      <c r="HC724" s="2040">
        <v>9.1300000000000008</v>
      </c>
      <c r="HD724" s="2040">
        <v>9.1300000000000008</v>
      </c>
      <c r="HE724" s="2040">
        <v>10.23</v>
      </c>
      <c r="HF724" s="2040">
        <v>10.23</v>
      </c>
      <c r="HG724" s="2040">
        <v>10.23</v>
      </c>
      <c r="HH724" s="2040">
        <v>10.23</v>
      </c>
      <c r="HI724" s="2040">
        <v>10.23</v>
      </c>
      <c r="HJ724" s="2040">
        <v>10.23</v>
      </c>
      <c r="HK724" s="2040">
        <v>10.18</v>
      </c>
      <c r="HL724" s="2040">
        <v>10.18</v>
      </c>
      <c r="HM724" s="2040">
        <v>24.85</v>
      </c>
      <c r="HN724" s="2040">
        <v>24.85</v>
      </c>
      <c r="HO724" s="2040">
        <v>13.19</v>
      </c>
      <c r="HP724" s="2040">
        <v>13.19</v>
      </c>
      <c r="HQ724" s="2040">
        <v>14.8</v>
      </c>
      <c r="HR724" s="2040">
        <v>14.8</v>
      </c>
      <c r="HS724" s="2040">
        <v>14.8</v>
      </c>
      <c r="HT724" s="2040">
        <v>14.8</v>
      </c>
      <c r="HU724" s="2040">
        <v>14.8</v>
      </c>
      <c r="HV724" s="2040">
        <v>14.8</v>
      </c>
      <c r="HW724" s="2040">
        <v>14.64</v>
      </c>
      <c r="HX724" s="2040">
        <v>14.64</v>
      </c>
    </row>
    <row r="725" spans="2:232" s="2040" customFormat="1" ht="14" x14ac:dyDescent="0.3">
      <c r="B725" s="2504">
        <v>26</v>
      </c>
      <c r="C725" s="2505">
        <v>28.87</v>
      </c>
      <c r="D725" s="2505">
        <v>28.87</v>
      </c>
      <c r="E725" s="2505">
        <v>29.9</v>
      </c>
      <c r="F725" s="2505">
        <v>29.9</v>
      </c>
      <c r="G725" s="2505">
        <v>101.54</v>
      </c>
      <c r="H725" s="2505">
        <v>101.54</v>
      </c>
      <c r="I725" s="2505">
        <v>91.81</v>
      </c>
      <c r="J725" s="2505">
        <v>91.81</v>
      </c>
      <c r="K725" s="2505">
        <v>105.96</v>
      </c>
      <c r="L725" s="2505">
        <v>105.96</v>
      </c>
      <c r="M725" s="2505"/>
      <c r="N725" s="2505"/>
      <c r="O725" s="2505">
        <v>90.08</v>
      </c>
      <c r="P725" s="2505">
        <v>90.08</v>
      </c>
      <c r="Q725" s="2505">
        <v>91.55</v>
      </c>
      <c r="R725" s="2505">
        <v>90.09</v>
      </c>
      <c r="S725" s="2505">
        <v>136.33000000000001</v>
      </c>
      <c r="T725" s="2505">
        <v>136.33000000000001</v>
      </c>
      <c r="U725" s="2505">
        <v>131.58000000000001</v>
      </c>
      <c r="V725" s="2505">
        <v>131.58000000000001</v>
      </c>
      <c r="W725" s="2505">
        <v>136.33000000000001</v>
      </c>
      <c r="X725" s="2505">
        <v>136.33000000000001</v>
      </c>
      <c r="Y725" s="2505">
        <v>131.58000000000001</v>
      </c>
      <c r="Z725" s="2505">
        <v>136.33000000000001</v>
      </c>
      <c r="AA725" s="2505">
        <v>136.33000000000001</v>
      </c>
      <c r="AB725" s="2505">
        <v>136.33000000000001</v>
      </c>
      <c r="AC725" s="2505">
        <v>131.58000000000001</v>
      </c>
      <c r="AD725" s="2505">
        <v>131.58000000000001</v>
      </c>
      <c r="AE725" s="2505">
        <v>156.44</v>
      </c>
      <c r="AF725" s="2505">
        <v>152.04</v>
      </c>
      <c r="AG725" s="2505">
        <v>156.44</v>
      </c>
      <c r="AH725" s="2505">
        <v>156.44</v>
      </c>
      <c r="AI725" s="2505">
        <v>152.04</v>
      </c>
      <c r="AJ725" s="2505">
        <v>152.04</v>
      </c>
      <c r="AK725" s="2505">
        <v>154.19</v>
      </c>
      <c r="AL725" s="2505">
        <v>154.19</v>
      </c>
      <c r="AM725" s="2505">
        <v>47.73</v>
      </c>
      <c r="AN725" s="2505">
        <v>45.96</v>
      </c>
      <c r="AO725" s="2505">
        <v>45.96</v>
      </c>
      <c r="AP725" s="2505">
        <v>45.96</v>
      </c>
      <c r="AQ725" s="2505">
        <v>47.71</v>
      </c>
      <c r="AR725" s="2505">
        <v>47.71</v>
      </c>
      <c r="AS725" s="2505">
        <v>122.17</v>
      </c>
      <c r="AT725" s="2505">
        <v>122.17</v>
      </c>
      <c r="AU725" s="2505">
        <v>122.17</v>
      </c>
      <c r="AV725" s="2505">
        <v>126.03</v>
      </c>
      <c r="AW725" s="2505">
        <v>121.78</v>
      </c>
      <c r="AX725" s="2505">
        <v>121.78</v>
      </c>
      <c r="AY725" s="2505">
        <v>122</v>
      </c>
      <c r="AZ725" s="2505">
        <v>122</v>
      </c>
      <c r="BA725" s="2040">
        <v>52.1</v>
      </c>
      <c r="BB725" s="2040">
        <v>52.1</v>
      </c>
      <c r="BC725" s="2040">
        <v>11.79</v>
      </c>
      <c r="BD725" s="2040">
        <v>11.79</v>
      </c>
      <c r="BE725" s="2040">
        <v>16.93</v>
      </c>
      <c r="BF725" s="2040">
        <v>16.93</v>
      </c>
      <c r="BG725" s="2040">
        <v>11.85</v>
      </c>
      <c r="BH725" s="2040">
        <v>11.85</v>
      </c>
      <c r="BI725" s="2040">
        <v>11.68</v>
      </c>
      <c r="BJ725" s="2040">
        <v>11.68</v>
      </c>
      <c r="BK725" s="2040">
        <v>11.68</v>
      </c>
      <c r="BL725" s="2040">
        <v>11.68</v>
      </c>
      <c r="BM725" s="2040">
        <v>34.909999999999997</v>
      </c>
      <c r="BN725" s="2040">
        <v>34.909999999999997</v>
      </c>
      <c r="BO725" s="2040">
        <v>102.29</v>
      </c>
      <c r="BP725" s="2040">
        <v>102.29</v>
      </c>
      <c r="BQ725" s="2040">
        <v>102.29</v>
      </c>
      <c r="BR725" s="2040">
        <v>102.29</v>
      </c>
      <c r="BS725" s="2040">
        <v>118.72</v>
      </c>
      <c r="BT725" s="2040">
        <v>118.72</v>
      </c>
      <c r="BU725" s="2040">
        <v>118.72</v>
      </c>
      <c r="BV725" s="2040">
        <v>118.72</v>
      </c>
      <c r="BW725" s="2040">
        <v>118.72</v>
      </c>
      <c r="BX725" s="2040">
        <v>118.72</v>
      </c>
      <c r="BY725" s="2040">
        <v>31.72</v>
      </c>
      <c r="BZ725" s="2040">
        <v>31.72</v>
      </c>
      <c r="CA725" s="2040">
        <v>96.92</v>
      </c>
      <c r="CB725" s="2040">
        <v>96.92</v>
      </c>
      <c r="CC725" s="2040">
        <v>97.15</v>
      </c>
      <c r="CD725" s="2040">
        <v>97.15</v>
      </c>
      <c r="CE725" s="2040">
        <v>115.74</v>
      </c>
      <c r="CF725" s="2040">
        <v>115.74</v>
      </c>
      <c r="CK725" s="2040">
        <v>83.92</v>
      </c>
      <c r="CL725" s="2040">
        <v>83.92</v>
      </c>
      <c r="CM725" s="2040">
        <v>174.18</v>
      </c>
      <c r="CN725" s="2040">
        <v>174.18</v>
      </c>
      <c r="CO725" s="2040">
        <v>201.84</v>
      </c>
      <c r="CP725" s="2040">
        <v>201.84</v>
      </c>
      <c r="CQ725" s="2040">
        <v>201.84</v>
      </c>
      <c r="CR725" s="2040">
        <v>201.84</v>
      </c>
      <c r="CW725" s="2040">
        <v>73.5</v>
      </c>
      <c r="CX725" s="2040">
        <v>73.5</v>
      </c>
      <c r="CY725" s="2040">
        <v>164.77</v>
      </c>
      <c r="CZ725" s="2040">
        <v>164.77</v>
      </c>
      <c r="DA725" s="2040">
        <v>164.77</v>
      </c>
      <c r="DB725" s="2040">
        <v>164.77</v>
      </c>
      <c r="DC725" s="2040">
        <v>191</v>
      </c>
      <c r="DD725" s="2040">
        <v>191</v>
      </c>
      <c r="DE725" s="2040">
        <v>191</v>
      </c>
      <c r="DF725" s="2040">
        <v>191</v>
      </c>
      <c r="DI725" s="2040">
        <v>19.47</v>
      </c>
      <c r="DJ725" s="2040">
        <v>19.47</v>
      </c>
      <c r="DK725" s="2040">
        <v>19.47</v>
      </c>
      <c r="DL725" s="2040">
        <v>19.47</v>
      </c>
      <c r="DM725" s="2040">
        <v>19.47</v>
      </c>
      <c r="DN725" s="2040">
        <v>19.47</v>
      </c>
      <c r="DU725" s="2040">
        <v>8.74</v>
      </c>
      <c r="DV725" s="2040">
        <v>8.74</v>
      </c>
      <c r="DW725" s="2040">
        <v>7.45</v>
      </c>
      <c r="DX725" s="2040">
        <v>7.45</v>
      </c>
      <c r="DY725" s="2040">
        <v>7.45</v>
      </c>
      <c r="DZ725" s="2040">
        <v>7.45</v>
      </c>
      <c r="EG725" s="2040">
        <v>9.58</v>
      </c>
      <c r="EH725" s="2040">
        <v>9.93</v>
      </c>
      <c r="EI725" s="2040">
        <v>5.79</v>
      </c>
      <c r="EJ725" s="2040">
        <v>5.79</v>
      </c>
      <c r="EK725" s="2040">
        <v>5.74</v>
      </c>
      <c r="EL725" s="2040">
        <v>5.74</v>
      </c>
      <c r="EM725" s="2040">
        <v>6.56</v>
      </c>
      <c r="EN725" s="2040">
        <v>6.56</v>
      </c>
      <c r="EO725" s="2040">
        <v>6.02</v>
      </c>
      <c r="EP725" s="2040">
        <v>6.02</v>
      </c>
      <c r="EQ725" s="2040">
        <v>6.19</v>
      </c>
      <c r="ER725" s="2040">
        <v>6.34</v>
      </c>
      <c r="ES725" s="2040">
        <v>36.090000000000003</v>
      </c>
      <c r="ET725" s="2040">
        <v>36.090000000000003</v>
      </c>
      <c r="EU725" s="2040">
        <v>131.47999999999999</v>
      </c>
      <c r="EV725" s="2040">
        <v>131.47999999999999</v>
      </c>
      <c r="EW725" s="2040">
        <v>127.39</v>
      </c>
      <c r="EX725" s="2040">
        <v>127.39</v>
      </c>
      <c r="EY725" s="2506">
        <f t="shared" si="59"/>
        <v>129.435</v>
      </c>
      <c r="EZ725" s="2506">
        <f t="shared" si="59"/>
        <v>129.435</v>
      </c>
      <c r="FA725" s="2040">
        <v>133.22999999999999</v>
      </c>
      <c r="FB725" s="2040">
        <v>133.22999999999999</v>
      </c>
      <c r="FE725" s="2040">
        <v>30.44</v>
      </c>
      <c r="FF725" s="2040">
        <v>30.44</v>
      </c>
      <c r="FG725" s="2040">
        <v>107.08</v>
      </c>
      <c r="FH725" s="2040">
        <v>107.08</v>
      </c>
      <c r="FI725" s="2040">
        <v>107.08</v>
      </c>
      <c r="FJ725" s="2040">
        <v>107.08</v>
      </c>
      <c r="FK725" s="2040">
        <v>105.88</v>
      </c>
      <c r="FL725" s="2040">
        <v>105.88</v>
      </c>
      <c r="FM725" s="2040">
        <v>107.69</v>
      </c>
      <c r="FN725" s="2040">
        <v>107.69</v>
      </c>
      <c r="FQ725" s="2040">
        <v>68.099999999999994</v>
      </c>
      <c r="FR725" s="2040">
        <v>68.099999999999994</v>
      </c>
      <c r="FS725" s="2040">
        <v>127.4</v>
      </c>
      <c r="FT725" s="2040">
        <v>127.4</v>
      </c>
      <c r="FU725" s="2040">
        <v>127.4</v>
      </c>
      <c r="FV725" s="2040">
        <v>127.4</v>
      </c>
      <c r="FW725" s="2040">
        <v>128.63</v>
      </c>
      <c r="FX725" s="2040">
        <v>128.63</v>
      </c>
      <c r="GC725" s="2040">
        <v>48.89</v>
      </c>
      <c r="GD725" s="2040">
        <v>48.89</v>
      </c>
      <c r="GE725" s="2040">
        <v>114.99</v>
      </c>
      <c r="GF725" s="2040">
        <v>114.99</v>
      </c>
      <c r="GG725" s="2040">
        <v>114.99</v>
      </c>
      <c r="GH725" s="2040">
        <v>114.99</v>
      </c>
      <c r="GI725" s="2040">
        <v>80.790000000000006</v>
      </c>
      <c r="GJ725" s="2040">
        <v>80.790000000000006</v>
      </c>
      <c r="GK725" s="2040">
        <v>116.55</v>
      </c>
      <c r="GL725" s="2040">
        <v>116.55</v>
      </c>
      <c r="GO725" s="2040">
        <v>26.3</v>
      </c>
      <c r="GP725" s="2040">
        <v>26.3</v>
      </c>
      <c r="GQ725" s="2040">
        <v>18.399999999999999</v>
      </c>
      <c r="GR725" s="2040">
        <v>18.399999999999999</v>
      </c>
      <c r="GS725" s="2040">
        <v>18.399999999999999</v>
      </c>
      <c r="GT725" s="2040">
        <v>17.59</v>
      </c>
      <c r="GU725" s="2040">
        <v>17.59</v>
      </c>
      <c r="GV725" s="2040">
        <v>17.59</v>
      </c>
      <c r="GW725" s="2040">
        <v>106.79</v>
      </c>
      <c r="GX725" s="2040">
        <v>106.79</v>
      </c>
      <c r="HA725" s="2040">
        <v>18.260000000000002</v>
      </c>
      <c r="HB725" s="2040">
        <v>18.260000000000002</v>
      </c>
      <c r="HC725" s="2040">
        <v>9.61</v>
      </c>
      <c r="HD725" s="2040">
        <v>9.61</v>
      </c>
      <c r="HE725" s="2040">
        <v>10.71</v>
      </c>
      <c r="HF725" s="2040">
        <v>10.71</v>
      </c>
      <c r="HG725" s="2040">
        <v>10.71</v>
      </c>
      <c r="HH725" s="2040">
        <v>10.71</v>
      </c>
      <c r="HI725" s="2040">
        <v>10.71</v>
      </c>
      <c r="HJ725" s="2040">
        <v>10.71</v>
      </c>
      <c r="HK725" s="2040">
        <v>10.67</v>
      </c>
      <c r="HL725" s="2040">
        <v>10.67</v>
      </c>
      <c r="HM725" s="2040">
        <v>25.55</v>
      </c>
      <c r="HN725" s="2040">
        <v>25.55</v>
      </c>
      <c r="HO725" s="2040">
        <v>13.87</v>
      </c>
      <c r="HP725" s="2040">
        <v>13.87</v>
      </c>
      <c r="HQ725" s="2040">
        <v>15.48</v>
      </c>
      <c r="HR725" s="2040">
        <v>15.48</v>
      </c>
      <c r="HS725" s="2040">
        <v>15.48</v>
      </c>
      <c r="HT725" s="2040">
        <v>15.48</v>
      </c>
      <c r="HU725" s="2040">
        <v>15.48</v>
      </c>
      <c r="HV725" s="2040">
        <v>15.48</v>
      </c>
      <c r="HW725" s="2040">
        <v>15.33</v>
      </c>
      <c r="HX725" s="2040">
        <v>15.33</v>
      </c>
    </row>
    <row r="726" spans="2:232" s="2040" customFormat="1" ht="14" x14ac:dyDescent="0.3">
      <c r="B726" s="2504">
        <v>27</v>
      </c>
      <c r="C726" s="2505">
        <v>29.63</v>
      </c>
      <c r="D726" s="2505">
        <v>29.63</v>
      </c>
      <c r="E726" s="2505">
        <v>30.6</v>
      </c>
      <c r="F726" s="2505">
        <v>30.6</v>
      </c>
      <c r="G726" s="2505">
        <v>104.71</v>
      </c>
      <c r="H726" s="2505">
        <v>104.71</v>
      </c>
      <c r="I726" s="2505">
        <v>94.91</v>
      </c>
      <c r="J726" s="2505">
        <v>94.91</v>
      </c>
      <c r="K726" s="2505">
        <v>108.7</v>
      </c>
      <c r="L726" s="2505">
        <v>108.7</v>
      </c>
      <c r="M726" s="2505"/>
      <c r="N726" s="2505"/>
      <c r="O726" s="2505">
        <v>92.45</v>
      </c>
      <c r="P726" s="2505">
        <v>92.45</v>
      </c>
      <c r="Q726" s="2505">
        <v>93.82</v>
      </c>
      <c r="R726" s="2505">
        <v>92.46</v>
      </c>
      <c r="S726" s="2505">
        <v>141.5</v>
      </c>
      <c r="T726" s="2505">
        <v>141.5</v>
      </c>
      <c r="U726" s="2505">
        <v>136.57</v>
      </c>
      <c r="V726" s="2505">
        <v>136.57</v>
      </c>
      <c r="W726" s="2505">
        <v>141.5</v>
      </c>
      <c r="X726" s="2505">
        <v>141.5</v>
      </c>
      <c r="Y726" s="2505">
        <v>136.57</v>
      </c>
      <c r="Z726" s="2505">
        <v>141.5</v>
      </c>
      <c r="AA726" s="2505">
        <v>141.5</v>
      </c>
      <c r="AB726" s="2505">
        <v>141.5</v>
      </c>
      <c r="AC726" s="2505">
        <v>136.57</v>
      </c>
      <c r="AD726" s="2505">
        <v>136.57</v>
      </c>
      <c r="AE726" s="2505">
        <v>161.58000000000001</v>
      </c>
      <c r="AF726" s="2505">
        <v>157.03</v>
      </c>
      <c r="AG726" s="2505">
        <v>161.58000000000001</v>
      </c>
      <c r="AH726" s="2505">
        <v>161.58000000000001</v>
      </c>
      <c r="AI726" s="2505">
        <v>157.03</v>
      </c>
      <c r="AJ726" s="2505">
        <v>157.03</v>
      </c>
      <c r="AK726" s="2505">
        <v>159.09</v>
      </c>
      <c r="AL726" s="2505">
        <v>159.09</v>
      </c>
      <c r="AM726" s="2505">
        <v>48.98</v>
      </c>
      <c r="AN726" s="2505">
        <v>47.16</v>
      </c>
      <c r="AO726" s="2505">
        <v>47.16</v>
      </c>
      <c r="AP726" s="2505">
        <v>47.16</v>
      </c>
      <c r="AQ726" s="2505">
        <v>48.84</v>
      </c>
      <c r="AR726" s="2505">
        <v>48.84</v>
      </c>
      <c r="AS726" s="2505">
        <v>126.22</v>
      </c>
      <c r="AT726" s="2505">
        <v>126.22</v>
      </c>
      <c r="AU726" s="2505">
        <v>126.22</v>
      </c>
      <c r="AV726" s="2505">
        <v>130.13999999999999</v>
      </c>
      <c r="AW726" s="2505">
        <v>125.9</v>
      </c>
      <c r="AX726" s="2505">
        <v>125.9</v>
      </c>
      <c r="AY726" s="2505">
        <v>126.11</v>
      </c>
      <c r="AZ726" s="2505">
        <v>126.11</v>
      </c>
      <c r="BA726" s="2040">
        <v>53.89</v>
      </c>
      <c r="BB726" s="2040">
        <v>53.89</v>
      </c>
      <c r="BC726" s="2040">
        <v>12.28</v>
      </c>
      <c r="BD726" s="2040">
        <v>12.28</v>
      </c>
      <c r="BE726" s="2040">
        <v>17.38</v>
      </c>
      <c r="BF726" s="2040">
        <v>17.38</v>
      </c>
      <c r="BG726" s="2040">
        <v>12.33</v>
      </c>
      <c r="BH726" s="2040">
        <v>12.33</v>
      </c>
      <c r="BI726" s="2040">
        <v>12.16</v>
      </c>
      <c r="BJ726" s="2040">
        <v>12.16</v>
      </c>
      <c r="BK726" s="2040">
        <v>12.16</v>
      </c>
      <c r="BL726" s="2040">
        <v>12.16</v>
      </c>
      <c r="BM726" s="2040">
        <v>35.83</v>
      </c>
      <c r="BN726" s="2040">
        <v>35.83</v>
      </c>
      <c r="BO726" s="2040">
        <v>105.32</v>
      </c>
      <c r="BP726" s="2040">
        <v>105.32</v>
      </c>
      <c r="BQ726" s="2040">
        <v>105.32</v>
      </c>
      <c r="BR726" s="2040">
        <v>105.32</v>
      </c>
      <c r="BS726" s="2040">
        <v>122.99</v>
      </c>
      <c r="BT726" s="2040">
        <v>122.99</v>
      </c>
      <c r="BU726" s="2040">
        <v>122.99</v>
      </c>
      <c r="BV726" s="2040">
        <v>122.99</v>
      </c>
      <c r="BW726" s="2040">
        <v>122.99</v>
      </c>
      <c r="BX726" s="2040">
        <v>122.99</v>
      </c>
      <c r="BY726" s="2040">
        <v>32.549999999999997</v>
      </c>
      <c r="BZ726" s="2040">
        <v>32.549999999999997</v>
      </c>
      <c r="CA726" s="2040">
        <v>99.85</v>
      </c>
      <c r="CB726" s="2040">
        <v>99.85</v>
      </c>
      <c r="CC726" s="2040">
        <v>100.2</v>
      </c>
      <c r="CD726" s="2040">
        <v>100.2</v>
      </c>
      <c r="CE726" s="2040">
        <v>119.98</v>
      </c>
      <c r="CF726" s="2040">
        <v>119.98</v>
      </c>
      <c r="CK726" s="2040">
        <v>85.7</v>
      </c>
      <c r="CL726" s="2040">
        <v>85.7</v>
      </c>
      <c r="CM726" s="2040">
        <v>177.8</v>
      </c>
      <c r="CN726" s="2040">
        <v>177.8</v>
      </c>
      <c r="CO726" s="2040">
        <v>207.25</v>
      </c>
      <c r="CP726" s="2040">
        <v>207.25</v>
      </c>
      <c r="CQ726" s="2040">
        <v>207.25</v>
      </c>
      <c r="CR726" s="2040">
        <v>207.25</v>
      </c>
      <c r="CW726" s="2040">
        <v>75.44</v>
      </c>
      <c r="CX726" s="2040">
        <v>75.44</v>
      </c>
      <c r="CY726" s="2040">
        <v>168.38</v>
      </c>
      <c r="CZ726" s="2040">
        <v>168.38</v>
      </c>
      <c r="DA726" s="2040">
        <v>168.38</v>
      </c>
      <c r="DB726" s="2040">
        <v>168.38</v>
      </c>
      <c r="DC726" s="2040">
        <v>196.34</v>
      </c>
      <c r="DD726" s="2040">
        <v>196.34</v>
      </c>
      <c r="DE726" s="2040">
        <v>196.34</v>
      </c>
      <c r="DF726" s="2040">
        <v>196.34</v>
      </c>
      <c r="DI726" s="2040">
        <v>19.98</v>
      </c>
      <c r="DJ726" s="2040">
        <v>19.98</v>
      </c>
      <c r="DK726" s="2040">
        <v>19.98</v>
      </c>
      <c r="DL726" s="2040">
        <v>19.98</v>
      </c>
      <c r="DM726" s="2040">
        <v>19.98</v>
      </c>
      <c r="DN726" s="2040">
        <v>19.98</v>
      </c>
      <c r="DU726" s="2040">
        <v>8.9700000000000006</v>
      </c>
      <c r="DV726" s="2040">
        <v>8.9700000000000006</v>
      </c>
      <c r="DW726" s="2040">
        <v>7.7</v>
      </c>
      <c r="DX726" s="2040">
        <v>7.7</v>
      </c>
      <c r="DY726" s="2040">
        <v>7.7</v>
      </c>
      <c r="DZ726" s="2040">
        <v>7.7</v>
      </c>
      <c r="EG726" s="2040">
        <v>9.7100000000000009</v>
      </c>
      <c r="EH726" s="2040">
        <v>10.06</v>
      </c>
      <c r="EI726" s="2040">
        <v>5.93</v>
      </c>
      <c r="EJ726" s="2040">
        <v>5.93</v>
      </c>
      <c r="EK726" s="2040">
        <v>5.88</v>
      </c>
      <c r="EL726" s="2040">
        <v>5.88</v>
      </c>
      <c r="EM726" s="2040">
        <v>6.69</v>
      </c>
      <c r="EN726" s="2040">
        <v>6.69</v>
      </c>
      <c r="EO726" s="2040">
        <v>6.15</v>
      </c>
      <c r="EP726" s="2040">
        <v>6.15</v>
      </c>
      <c r="EQ726" s="2040">
        <v>6.32</v>
      </c>
      <c r="ER726" s="2040">
        <v>6.47</v>
      </c>
      <c r="ES726" s="2040">
        <v>36.630000000000003</v>
      </c>
      <c r="ET726" s="2040">
        <v>36.630000000000003</v>
      </c>
      <c r="EU726" s="2040">
        <v>134.18</v>
      </c>
      <c r="EV726" s="2040">
        <v>134.18</v>
      </c>
      <c r="EW726" s="2040">
        <v>130.04</v>
      </c>
      <c r="EX726" s="2040">
        <v>130.04</v>
      </c>
      <c r="EY726" s="2506">
        <f t="shared" si="59"/>
        <v>132.11000000000001</v>
      </c>
      <c r="EZ726" s="2506">
        <f t="shared" si="59"/>
        <v>132.11000000000001</v>
      </c>
      <c r="FA726" s="2040">
        <v>135.87</v>
      </c>
      <c r="FB726" s="2040">
        <v>135.87</v>
      </c>
      <c r="FE726" s="2040">
        <v>31.05</v>
      </c>
      <c r="FF726" s="2040">
        <v>31.05</v>
      </c>
      <c r="FG726" s="2040">
        <v>110.08</v>
      </c>
      <c r="FH726" s="2040">
        <v>110.08</v>
      </c>
      <c r="FI726" s="2040">
        <v>110.08</v>
      </c>
      <c r="FJ726" s="2040">
        <v>110.08</v>
      </c>
      <c r="FK726" s="2040">
        <v>108.89</v>
      </c>
      <c r="FL726" s="2040">
        <v>108.89</v>
      </c>
      <c r="FM726" s="2040">
        <v>110.69</v>
      </c>
      <c r="FN726" s="2040">
        <v>110.69</v>
      </c>
      <c r="FQ726" s="2040">
        <v>70.010000000000005</v>
      </c>
      <c r="FR726" s="2040">
        <v>70.010000000000005</v>
      </c>
      <c r="FS726" s="2040">
        <v>131.46</v>
      </c>
      <c r="FT726" s="2040">
        <v>131.46</v>
      </c>
      <c r="FU726" s="2040">
        <v>131.46</v>
      </c>
      <c r="FV726" s="2040">
        <v>131.46</v>
      </c>
      <c r="FW726" s="2040">
        <v>132.66999999999999</v>
      </c>
      <c r="FX726" s="2040">
        <v>132.66999999999999</v>
      </c>
      <c r="GC726" s="2040">
        <v>50.25</v>
      </c>
      <c r="GD726" s="2040">
        <v>50.25</v>
      </c>
      <c r="GE726" s="2040">
        <v>117.83</v>
      </c>
      <c r="GF726" s="2040">
        <v>117.83</v>
      </c>
      <c r="GG726" s="2040">
        <v>117.83</v>
      </c>
      <c r="GH726" s="2040">
        <v>117.83</v>
      </c>
      <c r="GI726" s="2040">
        <v>85.07</v>
      </c>
      <c r="GJ726" s="2040">
        <v>85.07</v>
      </c>
      <c r="GK726" s="2040">
        <v>120.87</v>
      </c>
      <c r="GL726" s="2040">
        <v>120.87</v>
      </c>
      <c r="GO726" s="2040">
        <v>26.84</v>
      </c>
      <c r="GP726" s="2040">
        <v>26.84</v>
      </c>
      <c r="GQ726" s="2040">
        <v>19.100000000000001</v>
      </c>
      <c r="GR726" s="2040">
        <v>19.100000000000001</v>
      </c>
      <c r="GS726" s="2040">
        <v>19.100000000000001</v>
      </c>
      <c r="GT726" s="2040">
        <v>18.27</v>
      </c>
      <c r="GU726" s="2040">
        <v>18.27</v>
      </c>
      <c r="GV726" s="2040">
        <v>18.27</v>
      </c>
      <c r="GW726" s="2040">
        <v>110.74</v>
      </c>
      <c r="GX726" s="2040">
        <v>110.74</v>
      </c>
      <c r="HA726" s="2040">
        <v>18.73</v>
      </c>
      <c r="HB726" s="2040">
        <v>18.73</v>
      </c>
      <c r="HC726" s="2040">
        <v>10.08</v>
      </c>
      <c r="HD726" s="2040">
        <v>10.08</v>
      </c>
      <c r="HE726" s="2040">
        <v>11.18</v>
      </c>
      <c r="HF726" s="2040">
        <v>11.18</v>
      </c>
      <c r="HG726" s="2040">
        <v>11.18</v>
      </c>
      <c r="HH726" s="2040">
        <v>11.18</v>
      </c>
      <c r="HI726" s="2040">
        <v>11.18</v>
      </c>
      <c r="HJ726" s="2040">
        <v>11.18</v>
      </c>
      <c r="HK726" s="2040">
        <v>11.14</v>
      </c>
      <c r="HL726" s="2040">
        <v>11.14</v>
      </c>
      <c r="HM726" s="2040">
        <v>26.22</v>
      </c>
      <c r="HN726" s="2040">
        <v>26.22</v>
      </c>
      <c r="HO726" s="2040">
        <v>14.53</v>
      </c>
      <c r="HP726" s="2040">
        <v>14.53</v>
      </c>
      <c r="HQ726" s="2040">
        <v>16.13</v>
      </c>
      <c r="HR726" s="2040">
        <v>16.13</v>
      </c>
      <c r="HS726" s="2040">
        <v>16.13</v>
      </c>
      <c r="HT726" s="2040">
        <v>16.13</v>
      </c>
      <c r="HU726" s="2040">
        <v>16.13</v>
      </c>
      <c r="HV726" s="2040">
        <v>16.13</v>
      </c>
      <c r="HW726" s="2040">
        <v>15.99</v>
      </c>
      <c r="HX726" s="2040">
        <v>15.99</v>
      </c>
    </row>
    <row r="727" spans="2:232" s="2040" customFormat="1" ht="14" x14ac:dyDescent="0.3">
      <c r="B727" s="2504">
        <v>28</v>
      </c>
      <c r="C727" s="2505">
        <v>30.35</v>
      </c>
      <c r="D727" s="2505">
        <v>30.35</v>
      </c>
      <c r="E727" s="2505">
        <v>31.27</v>
      </c>
      <c r="F727" s="2505">
        <v>31.27</v>
      </c>
      <c r="G727" s="2505">
        <v>107.75</v>
      </c>
      <c r="H727" s="2505">
        <v>107.75</v>
      </c>
      <c r="I727" s="2505">
        <v>97.88</v>
      </c>
      <c r="J727" s="2505">
        <v>97.88</v>
      </c>
      <c r="K727" s="2505">
        <v>111.34</v>
      </c>
      <c r="L727" s="2505">
        <v>111.34</v>
      </c>
      <c r="M727" s="2505"/>
      <c r="N727" s="2505"/>
      <c r="O727" s="2505">
        <v>94.72</v>
      </c>
      <c r="P727" s="2505">
        <v>94.72</v>
      </c>
      <c r="Q727" s="2505">
        <v>95.98</v>
      </c>
      <c r="R727" s="2505">
        <v>94.73</v>
      </c>
      <c r="S727" s="2505">
        <v>146.47999999999999</v>
      </c>
      <c r="T727" s="2505">
        <v>146.47999999999999</v>
      </c>
      <c r="U727" s="2505">
        <v>141.38</v>
      </c>
      <c r="V727" s="2505">
        <v>141.38</v>
      </c>
      <c r="W727" s="2505">
        <v>146.47999999999999</v>
      </c>
      <c r="X727" s="2505">
        <v>146.47999999999999</v>
      </c>
      <c r="Y727" s="2505">
        <v>141.38</v>
      </c>
      <c r="Z727" s="2505">
        <v>146.47999999999999</v>
      </c>
      <c r="AA727" s="2505">
        <v>146.47999999999999</v>
      </c>
      <c r="AB727" s="2505">
        <v>146.47999999999999</v>
      </c>
      <c r="AC727" s="2505">
        <v>141.38</v>
      </c>
      <c r="AD727" s="2505">
        <v>141.38</v>
      </c>
      <c r="AE727" s="2505">
        <v>166.51</v>
      </c>
      <c r="AF727" s="2505">
        <v>161.82</v>
      </c>
      <c r="AG727" s="2505">
        <v>166.51</v>
      </c>
      <c r="AH727" s="2505">
        <v>166.51</v>
      </c>
      <c r="AI727" s="2505">
        <v>161.82</v>
      </c>
      <c r="AJ727" s="2505">
        <v>161.82</v>
      </c>
      <c r="AK727" s="2505">
        <v>163.79</v>
      </c>
      <c r="AL727" s="2505">
        <v>163.79</v>
      </c>
      <c r="AM727" s="2505">
        <v>50.18</v>
      </c>
      <c r="AN727" s="2505">
        <v>48.31</v>
      </c>
      <c r="AO727" s="2505">
        <v>48.31</v>
      </c>
      <c r="AP727" s="2505">
        <v>48.31</v>
      </c>
      <c r="AQ727" s="2505">
        <v>49.91</v>
      </c>
      <c r="AR727" s="2505">
        <v>49.91</v>
      </c>
      <c r="AS727" s="2505">
        <v>130.11000000000001</v>
      </c>
      <c r="AT727" s="2505">
        <v>130.11000000000001</v>
      </c>
      <c r="AU727" s="2505">
        <v>130.11000000000001</v>
      </c>
      <c r="AV727" s="2505">
        <v>134.08000000000001</v>
      </c>
      <c r="AW727" s="2505">
        <v>129.85</v>
      </c>
      <c r="AX727" s="2505">
        <v>129.85</v>
      </c>
      <c r="AY727" s="2505">
        <v>130.06</v>
      </c>
      <c r="AZ727" s="2505">
        <v>130.06</v>
      </c>
      <c r="BA727" s="2040">
        <v>55.62</v>
      </c>
      <c r="BB727" s="2040">
        <v>55.62</v>
      </c>
      <c r="BC727" s="2040">
        <v>12.74</v>
      </c>
      <c r="BD727" s="2040">
        <v>12.74</v>
      </c>
      <c r="BE727" s="2040">
        <v>17.809999999999999</v>
      </c>
      <c r="BF727" s="2040">
        <v>17.809999999999999</v>
      </c>
      <c r="BG727" s="2040">
        <v>12.8</v>
      </c>
      <c r="BH727" s="2040">
        <v>12.8</v>
      </c>
      <c r="BI727" s="2040">
        <v>12.63</v>
      </c>
      <c r="BJ727" s="2040">
        <v>12.63</v>
      </c>
      <c r="BK727" s="2040">
        <v>12.63</v>
      </c>
      <c r="BL727" s="2040">
        <v>12.63</v>
      </c>
      <c r="BM727" s="2040">
        <v>36.700000000000003</v>
      </c>
      <c r="BN727" s="2040">
        <v>36.700000000000003</v>
      </c>
      <c r="BO727" s="2040">
        <v>108.23</v>
      </c>
      <c r="BP727" s="2040">
        <v>108.23</v>
      </c>
      <c r="BQ727" s="2040">
        <v>108.23</v>
      </c>
      <c r="BR727" s="2040">
        <v>108.23</v>
      </c>
      <c r="BS727" s="2040">
        <v>127.11</v>
      </c>
      <c r="BT727" s="2040">
        <v>127.11</v>
      </c>
      <c r="BU727" s="2040">
        <v>127.11</v>
      </c>
      <c r="BV727" s="2040">
        <v>127.11</v>
      </c>
      <c r="BW727" s="2040">
        <v>127.11</v>
      </c>
      <c r="BX727" s="2040">
        <v>127.11</v>
      </c>
      <c r="BY727" s="2040">
        <v>33.340000000000003</v>
      </c>
      <c r="BZ727" s="2040">
        <v>33.340000000000003</v>
      </c>
      <c r="CA727" s="2040">
        <v>102.67</v>
      </c>
      <c r="CB727" s="2040">
        <v>102.67</v>
      </c>
      <c r="CC727" s="2040">
        <v>103.11</v>
      </c>
      <c r="CD727" s="2040">
        <v>103.11</v>
      </c>
      <c r="CE727" s="2040">
        <v>124.07</v>
      </c>
      <c r="CF727" s="2040">
        <v>124.07</v>
      </c>
      <c r="CK727" s="2040">
        <v>87.41</v>
      </c>
      <c r="CL727" s="2040">
        <v>87.41</v>
      </c>
      <c r="CM727" s="2040">
        <v>181.24</v>
      </c>
      <c r="CN727" s="2040">
        <v>181.24</v>
      </c>
      <c r="CO727" s="2040">
        <v>212.4</v>
      </c>
      <c r="CP727" s="2040">
        <v>212.4</v>
      </c>
      <c r="CQ727" s="2040">
        <v>212.4</v>
      </c>
      <c r="CR727" s="2040">
        <v>212.4</v>
      </c>
      <c r="CW727" s="2040">
        <v>77.28</v>
      </c>
      <c r="CX727" s="2040">
        <v>77.28</v>
      </c>
      <c r="CY727" s="2040">
        <v>171.81</v>
      </c>
      <c r="CZ727" s="2040">
        <v>171.81</v>
      </c>
      <c r="DA727" s="2040">
        <v>171.81</v>
      </c>
      <c r="DB727" s="2040">
        <v>171.81</v>
      </c>
      <c r="DC727" s="2040">
        <v>201.44</v>
      </c>
      <c r="DD727" s="2040">
        <v>201.44</v>
      </c>
      <c r="DE727" s="2040">
        <v>201.44</v>
      </c>
      <c r="DF727" s="2040">
        <v>201.44</v>
      </c>
      <c r="DI727" s="2040">
        <v>20.46</v>
      </c>
      <c r="DJ727" s="2040">
        <v>20.46</v>
      </c>
      <c r="DK727" s="2040">
        <v>20.46</v>
      </c>
      <c r="DL727" s="2040">
        <v>20.46</v>
      </c>
      <c r="DM727" s="2040">
        <v>20.46</v>
      </c>
      <c r="DN727" s="2040">
        <v>20.46</v>
      </c>
      <c r="DU727" s="2040">
        <v>9.18</v>
      </c>
      <c r="DV727" s="2040">
        <v>9.18</v>
      </c>
      <c r="DW727" s="2040">
        <v>7.93</v>
      </c>
      <c r="DX727" s="2040">
        <v>7.93</v>
      </c>
      <c r="DY727" s="2040">
        <v>7.93</v>
      </c>
      <c r="DZ727" s="2040">
        <v>7.93</v>
      </c>
      <c r="EG727" s="2040">
        <v>9.94</v>
      </c>
      <c r="EH727" s="2040">
        <v>10.28</v>
      </c>
      <c r="EI727" s="2040">
        <v>6.16</v>
      </c>
      <c r="EJ727" s="2040">
        <v>6.16</v>
      </c>
      <c r="EK727" s="2040">
        <v>6.11</v>
      </c>
      <c r="EL727" s="2040">
        <v>6.11</v>
      </c>
      <c r="EM727" s="2040">
        <v>6.93</v>
      </c>
      <c r="EN727" s="2040">
        <v>6.93</v>
      </c>
      <c r="EO727" s="2040">
        <v>6.38</v>
      </c>
      <c r="EP727" s="2040">
        <v>6.38</v>
      </c>
      <c r="EQ727" s="2040">
        <v>6.56</v>
      </c>
      <c r="ER727" s="2040">
        <v>6.7</v>
      </c>
      <c r="ES727" s="2040">
        <v>37.44</v>
      </c>
      <c r="ET727" s="2040">
        <v>37.44</v>
      </c>
      <c r="EU727" s="2040">
        <v>138.35</v>
      </c>
      <c r="EV727" s="2040">
        <v>138.35</v>
      </c>
      <c r="EW727" s="2040">
        <v>134.16</v>
      </c>
      <c r="EX727" s="2040">
        <v>134.16</v>
      </c>
      <c r="EY727" s="2506">
        <f t="shared" si="59"/>
        <v>136.255</v>
      </c>
      <c r="EZ727" s="2506">
        <f t="shared" si="59"/>
        <v>136.255</v>
      </c>
      <c r="FA727" s="2040">
        <v>139.94999999999999</v>
      </c>
      <c r="FB727" s="2040">
        <v>139.94999999999999</v>
      </c>
      <c r="FE727" s="2040">
        <v>31.77</v>
      </c>
      <c r="FF727" s="2040">
        <v>31.77</v>
      </c>
      <c r="FG727" s="2040">
        <v>113.71</v>
      </c>
      <c r="FH727" s="2040">
        <v>113.71</v>
      </c>
      <c r="FI727" s="2040">
        <v>113.71</v>
      </c>
      <c r="FJ727" s="2040">
        <v>113.71</v>
      </c>
      <c r="FK727" s="2040">
        <v>112.54</v>
      </c>
      <c r="FL727" s="2040">
        <v>112.54</v>
      </c>
      <c r="FM727" s="2040">
        <v>114.32</v>
      </c>
      <c r="FN727" s="2040">
        <v>114.32</v>
      </c>
      <c r="FQ727" s="2040">
        <v>72.14</v>
      </c>
      <c r="FR727" s="2040">
        <v>72.14</v>
      </c>
      <c r="FS727" s="2040">
        <v>136.02000000000001</v>
      </c>
      <c r="FT727" s="2040">
        <v>136.02000000000001</v>
      </c>
      <c r="FU727" s="2040">
        <v>136.02000000000001</v>
      </c>
      <c r="FV727" s="2040">
        <v>136.02000000000001</v>
      </c>
      <c r="FW727" s="2040">
        <v>137.19999999999999</v>
      </c>
      <c r="FX727" s="2040">
        <v>137.19999999999999</v>
      </c>
      <c r="GC727" s="2040">
        <v>51.6</v>
      </c>
      <c r="GD727" s="2040">
        <v>51.6</v>
      </c>
      <c r="GE727" s="2040">
        <v>120.64</v>
      </c>
      <c r="GF727" s="2040">
        <v>120.64</v>
      </c>
      <c r="GG727" s="2040">
        <v>120.64</v>
      </c>
      <c r="GH727" s="2040">
        <v>120.64</v>
      </c>
      <c r="GI727" s="2040">
        <v>89.4</v>
      </c>
      <c r="GJ727" s="2040">
        <v>89.4</v>
      </c>
      <c r="GK727" s="2040">
        <v>125.2</v>
      </c>
      <c r="GL727" s="2040">
        <v>125.2</v>
      </c>
      <c r="GO727" s="2040">
        <v>27.45</v>
      </c>
      <c r="GP727" s="2040">
        <v>27.45</v>
      </c>
      <c r="GQ727" s="2040">
        <v>19.77</v>
      </c>
      <c r="GR727" s="2040">
        <v>19.77</v>
      </c>
      <c r="GS727" s="2040">
        <v>19.77</v>
      </c>
      <c r="GT727" s="2040">
        <v>18.920000000000002</v>
      </c>
      <c r="GU727" s="2040">
        <v>18.920000000000002</v>
      </c>
      <c r="GV727" s="2040">
        <v>18.920000000000002</v>
      </c>
      <c r="GW727" s="2040">
        <v>114.55</v>
      </c>
      <c r="GX727" s="2040">
        <v>114.55</v>
      </c>
      <c r="HA727" s="2040">
        <v>19.18</v>
      </c>
      <c r="HB727" s="2040">
        <v>19.18</v>
      </c>
      <c r="HC727" s="2040">
        <v>10.53</v>
      </c>
      <c r="HD727" s="2040">
        <v>10.53</v>
      </c>
      <c r="HE727" s="2040">
        <v>11.63</v>
      </c>
      <c r="HF727" s="2040">
        <v>11.63</v>
      </c>
      <c r="HG727" s="2040">
        <v>11.63</v>
      </c>
      <c r="HH727" s="2040">
        <v>11.63</v>
      </c>
      <c r="HI727" s="2040">
        <v>11.63</v>
      </c>
      <c r="HJ727" s="2040">
        <v>11.63</v>
      </c>
      <c r="HK727" s="2040">
        <v>11.6</v>
      </c>
      <c r="HL727" s="2040">
        <v>11.6</v>
      </c>
      <c r="HM727" s="2040">
        <v>26.86</v>
      </c>
      <c r="HN727" s="2040">
        <v>26.86</v>
      </c>
      <c r="HO727" s="2040">
        <v>15.17</v>
      </c>
      <c r="HP727" s="2040">
        <v>15.17</v>
      </c>
      <c r="HQ727" s="2040">
        <v>16.77</v>
      </c>
      <c r="HR727" s="2040">
        <v>16.77</v>
      </c>
      <c r="HS727" s="2040">
        <v>16.77</v>
      </c>
      <c r="HT727" s="2040">
        <v>16.77</v>
      </c>
      <c r="HU727" s="2040">
        <v>16.77</v>
      </c>
      <c r="HV727" s="2040">
        <v>16.77</v>
      </c>
      <c r="HW727" s="2040">
        <v>16.63</v>
      </c>
      <c r="HX727" s="2040">
        <v>16.63</v>
      </c>
    </row>
    <row r="728" spans="2:232" s="2040" customFormat="1" ht="14" x14ac:dyDescent="0.3">
      <c r="B728" s="2504">
        <v>29</v>
      </c>
      <c r="C728" s="2505">
        <v>31.03</v>
      </c>
      <c r="D728" s="2505">
        <v>31.03</v>
      </c>
      <c r="E728" s="2505">
        <v>31.91</v>
      </c>
      <c r="F728" s="2505">
        <v>31.91</v>
      </c>
      <c r="G728" s="2505">
        <v>110.67</v>
      </c>
      <c r="H728" s="2505">
        <v>110.67</v>
      </c>
      <c r="I728" s="2505">
        <v>100.74</v>
      </c>
      <c r="J728" s="2505">
        <v>100.74</v>
      </c>
      <c r="K728" s="2505">
        <v>113.88</v>
      </c>
      <c r="L728" s="2505">
        <v>113.88</v>
      </c>
      <c r="M728" s="2505"/>
      <c r="N728" s="2505"/>
      <c r="O728" s="2505">
        <v>96.88</v>
      </c>
      <c r="P728" s="2505">
        <v>96.88</v>
      </c>
      <c r="Q728" s="2505">
        <v>98.04</v>
      </c>
      <c r="R728" s="2505">
        <v>96.89</v>
      </c>
      <c r="S728" s="2505">
        <v>151.28</v>
      </c>
      <c r="T728" s="2505">
        <v>151.28</v>
      </c>
      <c r="U728" s="2505">
        <v>146.01</v>
      </c>
      <c r="V728" s="2505">
        <v>146.01</v>
      </c>
      <c r="W728" s="2505">
        <v>151.28</v>
      </c>
      <c r="X728" s="2505">
        <v>151.28</v>
      </c>
      <c r="Y728" s="2505">
        <v>146.01</v>
      </c>
      <c r="Z728" s="2505">
        <v>151.28</v>
      </c>
      <c r="AA728" s="2505">
        <v>151.28</v>
      </c>
      <c r="AB728" s="2505">
        <v>151.28</v>
      </c>
      <c r="AC728" s="2505">
        <v>146.01</v>
      </c>
      <c r="AD728" s="2505">
        <v>146.01</v>
      </c>
      <c r="AE728" s="2505">
        <v>171.24</v>
      </c>
      <c r="AF728" s="2505">
        <v>166.4</v>
      </c>
      <c r="AG728" s="2505">
        <v>171.24</v>
      </c>
      <c r="AH728" s="2505">
        <v>171.24</v>
      </c>
      <c r="AI728" s="2505">
        <v>166.4</v>
      </c>
      <c r="AJ728" s="2505">
        <v>166.4</v>
      </c>
      <c r="AK728" s="2505">
        <v>168.29</v>
      </c>
      <c r="AL728" s="2505">
        <v>168.29</v>
      </c>
      <c r="AM728" s="2505">
        <v>51.31</v>
      </c>
      <c r="AN728" s="2505">
        <v>49.41</v>
      </c>
      <c r="AO728" s="2505">
        <v>49.41</v>
      </c>
      <c r="AP728" s="2505">
        <v>49.41</v>
      </c>
      <c r="AQ728" s="2505">
        <v>50.93</v>
      </c>
      <c r="AR728" s="2505">
        <v>50.93</v>
      </c>
      <c r="AS728" s="2505">
        <v>133.85</v>
      </c>
      <c r="AT728" s="2505">
        <v>133.85</v>
      </c>
      <c r="AU728" s="2505">
        <v>133.85</v>
      </c>
      <c r="AV728" s="2505">
        <v>137.87</v>
      </c>
      <c r="AW728" s="2505">
        <v>133.63999999999999</v>
      </c>
      <c r="AX728" s="2505">
        <v>133.63999999999999</v>
      </c>
      <c r="AY728" s="2505">
        <v>133.84</v>
      </c>
      <c r="AZ728" s="2505">
        <v>133.84</v>
      </c>
      <c r="BA728" s="2040">
        <v>57.27</v>
      </c>
      <c r="BB728" s="2040">
        <v>57.27</v>
      </c>
      <c r="BC728" s="2040">
        <v>13.2</v>
      </c>
      <c r="BD728" s="2040">
        <v>13.2</v>
      </c>
      <c r="BE728" s="2040">
        <v>18.22</v>
      </c>
      <c r="BF728" s="2040">
        <v>18.22</v>
      </c>
      <c r="BG728" s="2040">
        <v>13.25</v>
      </c>
      <c r="BH728" s="2040">
        <v>13.25</v>
      </c>
      <c r="BI728" s="2040">
        <v>13.08</v>
      </c>
      <c r="BJ728" s="2040">
        <v>13.08</v>
      </c>
      <c r="BK728" s="2040">
        <v>13.08</v>
      </c>
      <c r="BL728" s="2040">
        <v>13.08</v>
      </c>
      <c r="BM728" s="2040">
        <v>37.53</v>
      </c>
      <c r="BN728" s="2040">
        <v>37.53</v>
      </c>
      <c r="BO728" s="2040">
        <v>111.02</v>
      </c>
      <c r="BP728" s="2040">
        <v>111.02</v>
      </c>
      <c r="BQ728" s="2040">
        <v>111.02</v>
      </c>
      <c r="BR728" s="2040">
        <v>111.02</v>
      </c>
      <c r="BS728" s="2040">
        <v>131.06</v>
      </c>
      <c r="BT728" s="2040">
        <v>131.06</v>
      </c>
      <c r="BU728" s="2040">
        <v>131.06</v>
      </c>
      <c r="BV728" s="2040">
        <v>131.06</v>
      </c>
      <c r="BW728" s="2040">
        <v>131.06</v>
      </c>
      <c r="BX728" s="2040">
        <v>131.06</v>
      </c>
      <c r="BY728" s="2040">
        <v>34.1</v>
      </c>
      <c r="BZ728" s="2040">
        <v>34.1</v>
      </c>
      <c r="CA728" s="2040">
        <v>105.36</v>
      </c>
      <c r="CB728" s="2040">
        <v>105.36</v>
      </c>
      <c r="CC728" s="2040">
        <v>105.9</v>
      </c>
      <c r="CD728" s="2040">
        <v>105.9</v>
      </c>
      <c r="CE728" s="2040">
        <v>128</v>
      </c>
      <c r="CF728" s="2040">
        <v>128</v>
      </c>
      <c r="CK728" s="2040">
        <v>89.04</v>
      </c>
      <c r="CL728" s="2040">
        <v>89.04</v>
      </c>
      <c r="CM728" s="2040">
        <v>184.51</v>
      </c>
      <c r="CN728" s="2040">
        <v>184.51</v>
      </c>
      <c r="CO728" s="2040">
        <v>217.34</v>
      </c>
      <c r="CP728" s="2040">
        <v>217.34</v>
      </c>
      <c r="CQ728" s="2040">
        <v>217.34</v>
      </c>
      <c r="CR728" s="2040">
        <v>217.34</v>
      </c>
      <c r="CW728" s="2040">
        <v>79.040000000000006</v>
      </c>
      <c r="CX728" s="2040">
        <v>79.040000000000006</v>
      </c>
      <c r="CY728" s="2040">
        <v>175.08</v>
      </c>
      <c r="CZ728" s="2040">
        <v>175.08</v>
      </c>
      <c r="DA728" s="2040">
        <v>175.08</v>
      </c>
      <c r="DB728" s="2040">
        <v>175.08</v>
      </c>
      <c r="DC728" s="2040">
        <v>206.32</v>
      </c>
      <c r="DD728" s="2040">
        <v>206.32</v>
      </c>
      <c r="DE728" s="2040">
        <v>206.32</v>
      </c>
      <c r="DF728" s="2040">
        <v>206.32</v>
      </c>
      <c r="DI728" s="2040">
        <v>20.92</v>
      </c>
      <c r="DJ728" s="2040">
        <v>20.92</v>
      </c>
      <c r="DK728" s="2040">
        <v>20.92</v>
      </c>
      <c r="DL728" s="2040">
        <v>20.92</v>
      </c>
      <c r="DM728" s="2040">
        <v>20.92</v>
      </c>
      <c r="DN728" s="2040">
        <v>20.92</v>
      </c>
      <c r="DU728" s="2040">
        <v>9.3800000000000008</v>
      </c>
      <c r="DV728" s="2040">
        <v>9.3800000000000008</v>
      </c>
      <c r="DW728" s="2040">
        <v>8.15</v>
      </c>
      <c r="DX728" s="2040">
        <v>8.15</v>
      </c>
      <c r="DY728" s="2040">
        <v>8.15</v>
      </c>
      <c r="DZ728" s="2040">
        <v>8.15</v>
      </c>
      <c r="EG728" s="2040">
        <v>10.14</v>
      </c>
      <c r="EH728" s="2040">
        <v>10.47</v>
      </c>
      <c r="EI728" s="2040">
        <v>6.37</v>
      </c>
      <c r="EJ728" s="2040">
        <v>6.37</v>
      </c>
      <c r="EK728" s="2040">
        <v>6.32</v>
      </c>
      <c r="EL728" s="2040">
        <v>6.32</v>
      </c>
      <c r="EM728" s="2040">
        <v>7.14</v>
      </c>
      <c r="EN728" s="2040">
        <v>7.14</v>
      </c>
      <c r="EO728" s="2040">
        <v>6.58</v>
      </c>
      <c r="EP728" s="2040">
        <v>6.58</v>
      </c>
      <c r="EQ728" s="2040">
        <v>6.77</v>
      </c>
      <c r="ER728" s="2040">
        <v>6.9</v>
      </c>
      <c r="ES728" s="2040">
        <v>38.36</v>
      </c>
      <c r="ET728" s="2040">
        <v>38.36</v>
      </c>
      <c r="EU728" s="2040">
        <v>143.1</v>
      </c>
      <c r="EV728" s="2040">
        <v>143.1</v>
      </c>
      <c r="EW728" s="2040">
        <v>138.85</v>
      </c>
      <c r="EX728" s="2040">
        <v>138.85</v>
      </c>
      <c r="EY728" s="2506">
        <f t="shared" si="59"/>
        <v>140.97499999999999</v>
      </c>
      <c r="EZ728" s="2506">
        <f t="shared" si="59"/>
        <v>140.97499999999999</v>
      </c>
      <c r="FA728" s="2040">
        <v>144.59</v>
      </c>
      <c r="FB728" s="2040">
        <v>144.59</v>
      </c>
      <c r="FE728" s="2040">
        <v>32.590000000000003</v>
      </c>
      <c r="FF728" s="2040">
        <v>32.590000000000003</v>
      </c>
      <c r="FG728" s="2040">
        <v>117.87</v>
      </c>
      <c r="FH728" s="2040">
        <v>117.87</v>
      </c>
      <c r="FI728" s="2040">
        <v>117.87</v>
      </c>
      <c r="FJ728" s="2040">
        <v>117.87</v>
      </c>
      <c r="FK728" s="2040">
        <v>116.72</v>
      </c>
      <c r="FL728" s="2040">
        <v>116.72</v>
      </c>
      <c r="FM728" s="2040">
        <v>118.48</v>
      </c>
      <c r="FN728" s="2040">
        <v>118.48</v>
      </c>
      <c r="FQ728" s="2040">
        <v>73.83</v>
      </c>
      <c r="FR728" s="2040">
        <v>73.83</v>
      </c>
      <c r="FS728" s="2040">
        <v>139.63</v>
      </c>
      <c r="FT728" s="2040">
        <v>139.63</v>
      </c>
      <c r="FU728" s="2040">
        <v>139.63</v>
      </c>
      <c r="FV728" s="2040">
        <v>139.63</v>
      </c>
      <c r="FW728" s="2040">
        <v>140.79</v>
      </c>
      <c r="FX728" s="2040">
        <v>140.79</v>
      </c>
      <c r="GC728" s="2040">
        <v>52.82</v>
      </c>
      <c r="GD728" s="2040">
        <v>52.82</v>
      </c>
      <c r="GE728" s="2040">
        <v>123.16</v>
      </c>
      <c r="GF728" s="2040">
        <v>123.16</v>
      </c>
      <c r="GG728" s="2040">
        <v>123.16</v>
      </c>
      <c r="GH728" s="2040">
        <v>123.16</v>
      </c>
      <c r="GI728" s="2040">
        <v>93.36</v>
      </c>
      <c r="GJ728" s="2040">
        <v>93.36</v>
      </c>
      <c r="GK728" s="2040">
        <v>129.11000000000001</v>
      </c>
      <c r="GL728" s="2040">
        <v>129.11000000000001</v>
      </c>
      <c r="GO728" s="2040">
        <v>28.11</v>
      </c>
      <c r="GP728" s="2040">
        <v>28.11</v>
      </c>
      <c r="GQ728" s="2040">
        <v>20.43</v>
      </c>
      <c r="GR728" s="2040">
        <v>20.43</v>
      </c>
      <c r="GS728" s="2040">
        <v>20.43</v>
      </c>
      <c r="GT728" s="2040">
        <v>19.559999999999999</v>
      </c>
      <c r="GU728" s="2040">
        <v>19.559999999999999</v>
      </c>
      <c r="GV728" s="2040">
        <v>19.559999999999999</v>
      </c>
      <c r="GW728" s="2040">
        <v>118.21</v>
      </c>
      <c r="GX728" s="2040">
        <v>118.21</v>
      </c>
      <c r="HA728" s="2040">
        <v>19.61</v>
      </c>
      <c r="HB728" s="2040">
        <v>19.61</v>
      </c>
      <c r="HC728" s="2040">
        <v>10.97</v>
      </c>
      <c r="HD728" s="2040">
        <v>10.97</v>
      </c>
      <c r="HE728" s="2040">
        <v>12.06</v>
      </c>
      <c r="HF728" s="2040">
        <v>12.06</v>
      </c>
      <c r="HG728" s="2040">
        <v>12.06</v>
      </c>
      <c r="HH728" s="2040">
        <v>12.06</v>
      </c>
      <c r="HI728" s="2040">
        <v>12.06</v>
      </c>
      <c r="HJ728" s="2040">
        <v>12.06</v>
      </c>
      <c r="HK728" s="2040">
        <v>12.04</v>
      </c>
      <c r="HL728" s="2040">
        <v>12.04</v>
      </c>
      <c r="HM728" s="2040">
        <v>27.46</v>
      </c>
      <c r="HN728" s="2040">
        <v>27.46</v>
      </c>
      <c r="HO728" s="2040">
        <v>15.8</v>
      </c>
      <c r="HP728" s="2040">
        <v>15.8</v>
      </c>
      <c r="HQ728" s="2040">
        <v>17.38</v>
      </c>
      <c r="HR728" s="2040">
        <v>17.38</v>
      </c>
      <c r="HS728" s="2040">
        <v>17.38</v>
      </c>
      <c r="HT728" s="2040">
        <v>17.38</v>
      </c>
      <c r="HU728" s="2040">
        <v>17.38</v>
      </c>
      <c r="HV728" s="2040">
        <v>17.38</v>
      </c>
      <c r="HW728" s="2040">
        <v>17.260000000000002</v>
      </c>
      <c r="HX728" s="2040">
        <v>17.260000000000002</v>
      </c>
    </row>
    <row r="729" spans="2:232" s="2040" customFormat="1" ht="14" x14ac:dyDescent="0.3">
      <c r="B729" s="2504">
        <v>30</v>
      </c>
      <c r="C729" s="2505">
        <v>31.69</v>
      </c>
      <c r="D729" s="2505">
        <v>31.69</v>
      </c>
      <c r="E729" s="2505">
        <v>32.520000000000003</v>
      </c>
      <c r="F729" s="2505">
        <v>32.520000000000003</v>
      </c>
      <c r="G729" s="2505">
        <v>113.47</v>
      </c>
      <c r="H729" s="2505">
        <v>113.47</v>
      </c>
      <c r="I729" s="2505">
        <v>103.5</v>
      </c>
      <c r="J729" s="2505">
        <v>103.5</v>
      </c>
      <c r="K729" s="2505">
        <v>116.31</v>
      </c>
      <c r="L729" s="2505">
        <v>116.31</v>
      </c>
      <c r="M729" s="2505"/>
      <c r="N729" s="2505"/>
      <c r="O729" s="2505">
        <v>98.94</v>
      </c>
      <c r="P729" s="2505">
        <v>98.94</v>
      </c>
      <c r="Q729" s="2505">
        <v>100.01</v>
      </c>
      <c r="R729" s="2505">
        <v>98.95</v>
      </c>
      <c r="S729" s="2505">
        <v>155.9</v>
      </c>
      <c r="T729" s="2505">
        <v>155.9</v>
      </c>
      <c r="U729" s="2505">
        <v>150.47</v>
      </c>
      <c r="V729" s="2505">
        <v>150.47</v>
      </c>
      <c r="W729" s="2505">
        <v>155.9</v>
      </c>
      <c r="X729" s="2505">
        <v>155.9</v>
      </c>
      <c r="Y729" s="2505">
        <v>150.47</v>
      </c>
      <c r="Z729" s="2505">
        <v>155.9</v>
      </c>
      <c r="AA729" s="2505">
        <v>155.9</v>
      </c>
      <c r="AB729" s="2505">
        <v>155.9</v>
      </c>
      <c r="AC729" s="2505">
        <v>150.47</v>
      </c>
      <c r="AD729" s="2505">
        <v>150.47</v>
      </c>
      <c r="AE729" s="2505">
        <v>175.77</v>
      </c>
      <c r="AF729" s="2505">
        <v>170.8</v>
      </c>
      <c r="AG729" s="2505">
        <v>175.77</v>
      </c>
      <c r="AH729" s="2505">
        <v>175.77</v>
      </c>
      <c r="AI729" s="2505">
        <v>170.8</v>
      </c>
      <c r="AJ729" s="2505">
        <v>170.8</v>
      </c>
      <c r="AK729" s="2505">
        <v>172.61</v>
      </c>
      <c r="AL729" s="2505">
        <v>172.61</v>
      </c>
      <c r="AM729" s="2505">
        <v>52.4</v>
      </c>
      <c r="AN729" s="2505">
        <v>50.46</v>
      </c>
      <c r="AO729" s="2505">
        <v>50.46</v>
      </c>
      <c r="AP729" s="2505">
        <v>50.46</v>
      </c>
      <c r="AQ729" s="2505">
        <v>51.91</v>
      </c>
      <c r="AR729" s="2505">
        <v>51.91</v>
      </c>
      <c r="AS729" s="2505">
        <v>137.43</v>
      </c>
      <c r="AT729" s="2505">
        <v>137.43</v>
      </c>
      <c r="AU729" s="2505">
        <v>137.43</v>
      </c>
      <c r="AV729" s="2505">
        <v>141.5</v>
      </c>
      <c r="AW729" s="2505">
        <v>137.27000000000001</v>
      </c>
      <c r="AX729" s="2505">
        <v>137.27000000000001</v>
      </c>
      <c r="AY729" s="2505">
        <v>137.47</v>
      </c>
      <c r="AZ729" s="2505">
        <v>137.47</v>
      </c>
      <c r="BA729" s="2040">
        <v>58.87</v>
      </c>
      <c r="BB729" s="2040">
        <v>58.87</v>
      </c>
      <c r="BC729" s="2040">
        <v>13.63</v>
      </c>
      <c r="BD729" s="2040">
        <v>13.63</v>
      </c>
      <c r="BE729" s="2040">
        <v>18.61</v>
      </c>
      <c r="BF729" s="2040">
        <v>18.61</v>
      </c>
      <c r="BG729" s="2040">
        <v>13.68</v>
      </c>
      <c r="BH729" s="2040">
        <v>13.68</v>
      </c>
      <c r="BI729" s="2040">
        <v>13.52</v>
      </c>
      <c r="BJ729" s="2040">
        <v>13.52</v>
      </c>
      <c r="BK729" s="2040">
        <v>13.52</v>
      </c>
      <c r="BL729" s="2040">
        <v>13.52</v>
      </c>
      <c r="BM729" s="2040">
        <v>38.32</v>
      </c>
      <c r="BN729" s="2040">
        <v>38.32</v>
      </c>
      <c r="BO729" s="2040">
        <v>113.69</v>
      </c>
      <c r="BP729" s="2040">
        <v>113.69</v>
      </c>
      <c r="BQ729" s="2040">
        <v>113.69</v>
      </c>
      <c r="BR729" s="2040">
        <v>113.69</v>
      </c>
      <c r="BS729" s="2040">
        <v>134.87</v>
      </c>
      <c r="BT729" s="2040">
        <v>134.87</v>
      </c>
      <c r="BU729" s="2040">
        <v>134.87</v>
      </c>
      <c r="BV729" s="2040">
        <v>134.87</v>
      </c>
      <c r="BW729" s="2040">
        <v>134.87</v>
      </c>
      <c r="BX729" s="2040">
        <v>134.87</v>
      </c>
      <c r="BY729" s="2040">
        <v>34.82</v>
      </c>
      <c r="BZ729" s="2040">
        <v>34.82</v>
      </c>
      <c r="CA729" s="2040">
        <v>107.95</v>
      </c>
      <c r="CB729" s="2040">
        <v>107.95</v>
      </c>
      <c r="CC729" s="2040">
        <v>108.58</v>
      </c>
      <c r="CD729" s="2040">
        <v>108.58</v>
      </c>
      <c r="CE729" s="2040">
        <v>131.79</v>
      </c>
      <c r="CF729" s="2040">
        <v>131.79</v>
      </c>
      <c r="CK729" s="2040">
        <v>90.6</v>
      </c>
      <c r="CL729" s="2040">
        <v>90.6</v>
      </c>
      <c r="CM729" s="2040">
        <v>187.62</v>
      </c>
      <c r="CN729" s="2040">
        <v>187.62</v>
      </c>
      <c r="CO729" s="2040">
        <v>222.05</v>
      </c>
      <c r="CP729" s="2040">
        <v>222.05</v>
      </c>
      <c r="CQ729" s="2040">
        <v>222.05</v>
      </c>
      <c r="CR729" s="2040">
        <v>222.05</v>
      </c>
      <c r="CW729" s="2040">
        <v>80.72</v>
      </c>
      <c r="CX729" s="2040">
        <v>80.72</v>
      </c>
      <c r="CY729" s="2040">
        <v>178.2</v>
      </c>
      <c r="CZ729" s="2040">
        <v>178.2</v>
      </c>
      <c r="DA729" s="2040">
        <v>178.2</v>
      </c>
      <c r="DB729" s="2040">
        <v>178.2</v>
      </c>
      <c r="DC729" s="2040">
        <v>211</v>
      </c>
      <c r="DD729" s="2040">
        <v>211</v>
      </c>
      <c r="DE729" s="2040">
        <v>211</v>
      </c>
      <c r="DF729" s="2040">
        <v>211</v>
      </c>
      <c r="DI729" s="2040">
        <v>21.36</v>
      </c>
      <c r="DJ729" s="2040">
        <v>21.36</v>
      </c>
      <c r="DK729" s="2040">
        <v>21.36</v>
      </c>
      <c r="DL729" s="2040">
        <v>21.36</v>
      </c>
      <c r="DM729" s="2040">
        <v>21.36</v>
      </c>
      <c r="DN729" s="2040">
        <v>21.36</v>
      </c>
      <c r="DU729" s="2040">
        <v>9.58</v>
      </c>
      <c r="DV729" s="2040">
        <v>9.58</v>
      </c>
      <c r="DW729" s="2040">
        <v>8.3699999999999992</v>
      </c>
      <c r="DX729" s="2040">
        <v>8.3699999999999992</v>
      </c>
      <c r="DY729" s="2040">
        <v>8.3699999999999992</v>
      </c>
      <c r="DZ729" s="2040">
        <v>8.3699999999999992</v>
      </c>
      <c r="EG729" s="2040">
        <v>10.29</v>
      </c>
      <c r="EH729" s="2040">
        <v>10.61</v>
      </c>
      <c r="EI729" s="2040">
        <v>6.53</v>
      </c>
      <c r="EJ729" s="2040">
        <v>6.53</v>
      </c>
      <c r="EK729" s="2040">
        <v>6.48</v>
      </c>
      <c r="EL729" s="2040">
        <v>6.48</v>
      </c>
      <c r="EM729" s="2040">
        <v>7.3</v>
      </c>
      <c r="EN729" s="2040">
        <v>7.3</v>
      </c>
      <c r="EO729" s="2040">
        <v>6.74</v>
      </c>
      <c r="EP729" s="2040">
        <v>6.74</v>
      </c>
      <c r="EQ729" s="2040">
        <v>6.92</v>
      </c>
      <c r="ER729" s="2040">
        <v>7.05</v>
      </c>
      <c r="ES729" s="2040">
        <v>39.090000000000003</v>
      </c>
      <c r="ET729" s="2040">
        <v>39.090000000000003</v>
      </c>
      <c r="EU729" s="2040">
        <v>146.88999999999999</v>
      </c>
      <c r="EV729" s="2040">
        <v>146.88999999999999</v>
      </c>
      <c r="EW729" s="2040">
        <v>142.59</v>
      </c>
      <c r="EX729" s="2040">
        <v>142.59</v>
      </c>
      <c r="EY729" s="2506">
        <f t="shared" si="59"/>
        <v>144.74</v>
      </c>
      <c r="EZ729" s="2506">
        <f t="shared" si="59"/>
        <v>144.74</v>
      </c>
      <c r="FA729" s="2040">
        <v>148.29</v>
      </c>
      <c r="FB729" s="2040">
        <v>148.29</v>
      </c>
      <c r="FE729" s="2040">
        <v>33.229999999999997</v>
      </c>
      <c r="FF729" s="2040">
        <v>33.229999999999997</v>
      </c>
      <c r="FG729" s="2040">
        <v>121.12</v>
      </c>
      <c r="FH729" s="2040">
        <v>121.12</v>
      </c>
      <c r="FI729" s="2040">
        <v>121.12</v>
      </c>
      <c r="FJ729" s="2040">
        <v>121.12</v>
      </c>
      <c r="FK729" s="2040">
        <v>120</v>
      </c>
      <c r="FL729" s="2040">
        <v>120</v>
      </c>
      <c r="FM729" s="2040">
        <v>121.73</v>
      </c>
      <c r="FN729" s="2040">
        <v>121.73</v>
      </c>
      <c r="FQ729" s="2040">
        <v>75.260000000000005</v>
      </c>
      <c r="FR729" s="2040">
        <v>75.260000000000005</v>
      </c>
      <c r="FS729" s="2040">
        <v>142.69999999999999</v>
      </c>
      <c r="FT729" s="2040">
        <v>142.69999999999999</v>
      </c>
      <c r="FU729" s="2040">
        <v>142.69999999999999</v>
      </c>
      <c r="FV729" s="2040">
        <v>142.69999999999999</v>
      </c>
      <c r="FW729" s="2040">
        <v>143.85</v>
      </c>
      <c r="FX729" s="2040">
        <v>143.85</v>
      </c>
      <c r="GC729" s="2040">
        <v>53.75</v>
      </c>
      <c r="GD729" s="2040">
        <v>53.75</v>
      </c>
      <c r="GE729" s="2040">
        <v>125.09</v>
      </c>
      <c r="GF729" s="2040">
        <v>125.09</v>
      </c>
      <c r="GG729" s="2040">
        <v>125.09</v>
      </c>
      <c r="GH729" s="2040">
        <v>125.09</v>
      </c>
      <c r="GI729" s="2040">
        <v>96.45</v>
      </c>
      <c r="GJ729" s="2040">
        <v>96.45</v>
      </c>
      <c r="GK729" s="2040">
        <v>132.13</v>
      </c>
      <c r="GL729" s="2040">
        <v>132.13</v>
      </c>
      <c r="GO729" s="2040">
        <v>28.57</v>
      </c>
      <c r="GP729" s="2040">
        <v>28.57</v>
      </c>
      <c r="GQ729" s="2040">
        <v>21.06</v>
      </c>
      <c r="GR729" s="2040">
        <v>21.06</v>
      </c>
      <c r="GS729" s="2040">
        <v>21.06</v>
      </c>
      <c r="GT729" s="2040">
        <v>20.170000000000002</v>
      </c>
      <c r="GU729" s="2040">
        <v>20.170000000000002</v>
      </c>
      <c r="GV729" s="2040">
        <v>20.170000000000002</v>
      </c>
      <c r="GW729" s="2040">
        <v>121.74</v>
      </c>
      <c r="GX729" s="2040">
        <v>121.74</v>
      </c>
      <c r="HA729" s="2040">
        <v>20.03</v>
      </c>
      <c r="HB729" s="2040">
        <v>20.03</v>
      </c>
      <c r="HC729" s="2040">
        <v>11.4</v>
      </c>
      <c r="HD729" s="2040">
        <v>11.4</v>
      </c>
      <c r="HE729" s="2040">
        <v>12.48</v>
      </c>
      <c r="HF729" s="2040">
        <v>12.48</v>
      </c>
      <c r="HG729" s="2040">
        <v>12.48</v>
      </c>
      <c r="HH729" s="2040">
        <v>12.48</v>
      </c>
      <c r="HI729" s="2040">
        <v>12.48</v>
      </c>
      <c r="HJ729" s="2040">
        <v>12.48</v>
      </c>
      <c r="HK729" s="2040">
        <v>12.47</v>
      </c>
      <c r="HL729" s="2040">
        <v>12.47</v>
      </c>
      <c r="HM729" s="2040">
        <v>28.04</v>
      </c>
      <c r="HN729" s="2040">
        <v>28.04</v>
      </c>
      <c r="HO729" s="2040">
        <v>16.399999999999999</v>
      </c>
      <c r="HP729" s="2040">
        <v>16.399999999999999</v>
      </c>
      <c r="HQ729" s="2040">
        <v>17.97</v>
      </c>
      <c r="HR729" s="2040">
        <v>17.97</v>
      </c>
      <c r="HS729" s="2040">
        <v>17.97</v>
      </c>
      <c r="HT729" s="2040">
        <v>17.97</v>
      </c>
      <c r="HU729" s="2040">
        <v>17.97</v>
      </c>
      <c r="HV729" s="2040">
        <v>17.97</v>
      </c>
      <c r="HW729" s="2040">
        <v>17.86</v>
      </c>
      <c r="HX729" s="2040">
        <v>17.86</v>
      </c>
    </row>
    <row r="730" spans="2:232" s="2040" customFormat="1" ht="14" x14ac:dyDescent="0.3">
      <c r="B730" s="2504">
        <v>31</v>
      </c>
      <c r="C730" s="2505">
        <v>32.31</v>
      </c>
      <c r="D730" s="2505">
        <v>32.31</v>
      </c>
      <c r="E730" s="2505">
        <v>33.1</v>
      </c>
      <c r="F730" s="2505">
        <v>33.1</v>
      </c>
      <c r="G730" s="2505">
        <v>116.17</v>
      </c>
      <c r="H730" s="2505">
        <v>116.17</v>
      </c>
      <c r="I730" s="2505">
        <v>106.15</v>
      </c>
      <c r="J730" s="2505">
        <v>106.15</v>
      </c>
      <c r="K730" s="2505">
        <v>118.66</v>
      </c>
      <c r="L730" s="2505">
        <v>118.66</v>
      </c>
      <c r="M730" s="2505"/>
      <c r="N730" s="2505"/>
      <c r="O730" s="2505">
        <v>100.91</v>
      </c>
      <c r="P730" s="2505">
        <v>100.91</v>
      </c>
      <c r="Q730" s="2505">
        <v>101.89</v>
      </c>
      <c r="R730" s="2505">
        <v>100.92</v>
      </c>
      <c r="S730" s="2505">
        <v>160.35</v>
      </c>
      <c r="T730" s="2505">
        <v>160.35</v>
      </c>
      <c r="U730" s="2505">
        <v>154.77000000000001</v>
      </c>
      <c r="V730" s="2505">
        <v>154.77000000000001</v>
      </c>
      <c r="W730" s="2505">
        <v>160.35</v>
      </c>
      <c r="X730" s="2505">
        <v>160.35</v>
      </c>
      <c r="Y730" s="2505">
        <v>154.77000000000001</v>
      </c>
      <c r="Z730" s="2505">
        <v>160.35</v>
      </c>
      <c r="AA730" s="2505">
        <v>160.35</v>
      </c>
      <c r="AB730" s="2505">
        <v>160.35</v>
      </c>
      <c r="AC730" s="2505">
        <v>154.77000000000001</v>
      </c>
      <c r="AD730" s="2505">
        <v>154.77000000000001</v>
      </c>
      <c r="AE730" s="2505">
        <v>180.12</v>
      </c>
      <c r="AF730" s="2505">
        <v>175.02</v>
      </c>
      <c r="AG730" s="2505">
        <v>180.12</v>
      </c>
      <c r="AH730" s="2505">
        <v>180.12</v>
      </c>
      <c r="AI730" s="2505">
        <v>175.02</v>
      </c>
      <c r="AJ730" s="2505">
        <v>175.02</v>
      </c>
      <c r="AK730" s="2505">
        <v>176.76</v>
      </c>
      <c r="AL730" s="2505">
        <v>176.76</v>
      </c>
      <c r="AM730" s="2505">
        <v>53.44</v>
      </c>
      <c r="AN730" s="2505">
        <v>51.46</v>
      </c>
      <c r="AO730" s="2505">
        <v>51.46</v>
      </c>
      <c r="AP730" s="2505">
        <v>51.46</v>
      </c>
      <c r="AQ730" s="2505">
        <v>52.85</v>
      </c>
      <c r="AR730" s="2505">
        <v>52.85</v>
      </c>
      <c r="AS730" s="2505">
        <v>140.88</v>
      </c>
      <c r="AT730" s="2505">
        <v>140.88</v>
      </c>
      <c r="AU730" s="2505">
        <v>140.88</v>
      </c>
      <c r="AV730" s="2505">
        <v>144.97999999999999</v>
      </c>
      <c r="AW730" s="2505">
        <v>140.76</v>
      </c>
      <c r="AX730" s="2505">
        <v>140.76</v>
      </c>
      <c r="AY730" s="2505">
        <v>140.96</v>
      </c>
      <c r="AZ730" s="2505">
        <v>140.96</v>
      </c>
      <c r="BA730" s="2040">
        <v>60.4</v>
      </c>
      <c r="BB730" s="2040">
        <v>60.4</v>
      </c>
      <c r="BC730" s="2040">
        <v>14.05</v>
      </c>
      <c r="BD730" s="2040">
        <v>14.05</v>
      </c>
      <c r="BE730" s="2040">
        <v>18.989999999999998</v>
      </c>
      <c r="BF730" s="2040">
        <v>18.989999999999998</v>
      </c>
      <c r="BG730" s="2040">
        <v>14.1</v>
      </c>
      <c r="BH730" s="2040">
        <v>14.1</v>
      </c>
      <c r="BI730" s="2040">
        <v>13.94</v>
      </c>
      <c r="BJ730" s="2040">
        <v>13.94</v>
      </c>
      <c r="BK730" s="2040">
        <v>13.94</v>
      </c>
      <c r="BL730" s="2040">
        <v>13.94</v>
      </c>
      <c r="BM730" s="2040">
        <v>39.08</v>
      </c>
      <c r="BN730" s="2040">
        <v>39.08</v>
      </c>
      <c r="BO730" s="2040">
        <v>116.25</v>
      </c>
      <c r="BP730" s="2040">
        <v>116.25</v>
      </c>
      <c r="BQ730" s="2040">
        <v>116.25</v>
      </c>
      <c r="BR730" s="2040">
        <v>116.25</v>
      </c>
      <c r="BS730" s="2040">
        <v>138.54</v>
      </c>
      <c r="BT730" s="2040">
        <v>138.54</v>
      </c>
      <c r="BU730" s="2040">
        <v>138.54</v>
      </c>
      <c r="BV730" s="2040">
        <v>138.54</v>
      </c>
      <c r="BW730" s="2040">
        <v>138.54</v>
      </c>
      <c r="BX730" s="2040">
        <v>138.54</v>
      </c>
      <c r="BY730" s="2040">
        <v>35.5</v>
      </c>
      <c r="BZ730" s="2040">
        <v>35.5</v>
      </c>
      <c r="CA730" s="2040">
        <v>110.43</v>
      </c>
      <c r="CB730" s="2040">
        <v>110.43</v>
      </c>
      <c r="CC730" s="2040">
        <v>111.15</v>
      </c>
      <c r="CD730" s="2040">
        <v>111.15</v>
      </c>
      <c r="CE730" s="2040">
        <v>135.44999999999999</v>
      </c>
      <c r="CF730" s="2040">
        <v>135.44999999999999</v>
      </c>
      <c r="CK730" s="2040">
        <v>92.1</v>
      </c>
      <c r="CL730" s="2040">
        <v>92.1</v>
      </c>
      <c r="CM730" s="2040">
        <v>190.59</v>
      </c>
      <c r="CN730" s="2040">
        <v>190.59</v>
      </c>
      <c r="CO730" s="2040">
        <v>226.57</v>
      </c>
      <c r="CP730" s="2040">
        <v>226.57</v>
      </c>
      <c r="CQ730" s="2040">
        <v>226.57</v>
      </c>
      <c r="CR730" s="2040">
        <v>226.57</v>
      </c>
      <c r="CW730" s="2040">
        <v>82.32</v>
      </c>
      <c r="CX730" s="2040">
        <v>82.32</v>
      </c>
      <c r="CY730" s="2040">
        <v>181.18</v>
      </c>
      <c r="CZ730" s="2040">
        <v>181.18</v>
      </c>
      <c r="DA730" s="2040">
        <v>181.18</v>
      </c>
      <c r="DB730" s="2040">
        <v>181.18</v>
      </c>
      <c r="DC730" s="2040">
        <v>215.47</v>
      </c>
      <c r="DD730" s="2040">
        <v>215.47</v>
      </c>
      <c r="DE730" s="2040">
        <v>215.47</v>
      </c>
      <c r="DF730" s="2040">
        <v>215.47</v>
      </c>
      <c r="DI730" s="2040">
        <v>21.78</v>
      </c>
      <c r="DJ730" s="2040">
        <v>21.78</v>
      </c>
      <c r="DK730" s="2040">
        <v>21.78</v>
      </c>
      <c r="DL730" s="2040">
        <v>21.78</v>
      </c>
      <c r="DM730" s="2040">
        <v>21.78</v>
      </c>
      <c r="DN730" s="2040">
        <v>21.78</v>
      </c>
      <c r="DU730" s="2040">
        <v>9.76</v>
      </c>
      <c r="DV730" s="2040">
        <v>9.76</v>
      </c>
      <c r="DW730" s="2040">
        <v>8.58</v>
      </c>
      <c r="DX730" s="2040">
        <v>8.58</v>
      </c>
      <c r="DY730" s="2040">
        <v>8.58</v>
      </c>
      <c r="DZ730" s="2040">
        <v>8.58</v>
      </c>
      <c r="EG730" s="2040">
        <v>10.49</v>
      </c>
      <c r="EH730" s="2040">
        <v>10.8</v>
      </c>
      <c r="EI730" s="2040">
        <v>6.75</v>
      </c>
      <c r="EJ730" s="2040">
        <v>6.75</v>
      </c>
      <c r="EK730" s="2040">
        <v>6.7</v>
      </c>
      <c r="EL730" s="2040">
        <v>6.7</v>
      </c>
      <c r="EM730" s="2040">
        <v>7.51</v>
      </c>
      <c r="EN730" s="2040">
        <v>7.51</v>
      </c>
      <c r="EO730" s="2040">
        <v>6.95</v>
      </c>
      <c r="EP730" s="2040">
        <v>6.95</v>
      </c>
      <c r="EQ730" s="2040">
        <v>7.14</v>
      </c>
      <c r="ER730" s="2040">
        <v>7.26</v>
      </c>
      <c r="ES730" s="2040">
        <v>39.909999999999997</v>
      </c>
      <c r="ET730" s="2040">
        <v>39.909999999999997</v>
      </c>
      <c r="EU730" s="2040">
        <v>151.19999999999999</v>
      </c>
      <c r="EV730" s="2040">
        <v>151.19999999999999</v>
      </c>
      <c r="EW730" s="2040">
        <v>146.85</v>
      </c>
      <c r="EX730" s="2040">
        <v>146.85</v>
      </c>
      <c r="EY730" s="2506">
        <f t="shared" si="59"/>
        <v>149.02499999999998</v>
      </c>
      <c r="EZ730" s="2506">
        <f t="shared" si="59"/>
        <v>149.02499999999998</v>
      </c>
      <c r="FA730" s="2040">
        <v>152.49</v>
      </c>
      <c r="FB730" s="2040">
        <v>152.49</v>
      </c>
      <c r="FE730" s="2040">
        <v>33.94</v>
      </c>
      <c r="FF730" s="2040">
        <v>33.94</v>
      </c>
      <c r="FG730" s="2040">
        <v>124.81</v>
      </c>
      <c r="FH730" s="2040">
        <v>124.81</v>
      </c>
      <c r="FI730" s="2040">
        <v>124.81</v>
      </c>
      <c r="FJ730" s="2040">
        <v>124.81</v>
      </c>
      <c r="FK730" s="2040">
        <v>123.71</v>
      </c>
      <c r="FL730" s="2040">
        <v>123.71</v>
      </c>
      <c r="FM730" s="2040">
        <v>125.42</v>
      </c>
      <c r="FN730" s="2040">
        <v>125.42</v>
      </c>
      <c r="FQ730" s="2040">
        <v>76.63</v>
      </c>
      <c r="FR730" s="2040">
        <v>76.63</v>
      </c>
      <c r="FS730" s="2040">
        <v>145.66999999999999</v>
      </c>
      <c r="FT730" s="2040">
        <v>145.66999999999999</v>
      </c>
      <c r="FU730" s="2040">
        <v>145.66999999999999</v>
      </c>
      <c r="FV730" s="2040">
        <v>145.66999999999999</v>
      </c>
      <c r="FW730" s="2040">
        <v>146.80000000000001</v>
      </c>
      <c r="FX730" s="2040">
        <v>146.80000000000001</v>
      </c>
      <c r="GC730" s="2040">
        <v>54.9</v>
      </c>
      <c r="GD730" s="2040">
        <v>54.9</v>
      </c>
      <c r="GE730" s="2040">
        <v>127.5</v>
      </c>
      <c r="GF730" s="2040">
        <v>127.5</v>
      </c>
      <c r="GG730" s="2040">
        <v>127.5</v>
      </c>
      <c r="GH730" s="2040">
        <v>127.5</v>
      </c>
      <c r="GI730" s="2040">
        <v>100.36</v>
      </c>
      <c r="GJ730" s="2040">
        <v>100.36</v>
      </c>
      <c r="GK730" s="2040">
        <v>135.91999999999999</v>
      </c>
      <c r="GL730" s="2040">
        <v>135.91999999999999</v>
      </c>
      <c r="GO730" s="2040">
        <v>29.07</v>
      </c>
      <c r="GP730" s="2040">
        <v>29.07</v>
      </c>
      <c r="GQ730" s="2040">
        <v>21.66</v>
      </c>
      <c r="GR730" s="2040">
        <v>21.66</v>
      </c>
      <c r="GS730" s="2040">
        <v>21.66</v>
      </c>
      <c r="GT730" s="2040">
        <v>20.76</v>
      </c>
      <c r="GU730" s="2040">
        <v>20.76</v>
      </c>
      <c r="GV730" s="2040">
        <v>20.76</v>
      </c>
      <c r="GW730" s="2040">
        <v>125.14</v>
      </c>
      <c r="GX730" s="2040">
        <v>125.14</v>
      </c>
      <c r="HA730" s="2040">
        <v>20.420000000000002</v>
      </c>
      <c r="HB730" s="2040">
        <v>20.420000000000002</v>
      </c>
      <c r="HC730" s="2040">
        <v>11.82</v>
      </c>
      <c r="HD730" s="2040">
        <v>11.82</v>
      </c>
      <c r="HE730" s="2040">
        <v>12.89</v>
      </c>
      <c r="HF730" s="2040">
        <v>12.89</v>
      </c>
      <c r="HG730" s="2040">
        <v>12.89</v>
      </c>
      <c r="HH730" s="2040">
        <v>12.89</v>
      </c>
      <c r="HI730" s="2040">
        <v>12.89</v>
      </c>
      <c r="HJ730" s="2040">
        <v>12.89</v>
      </c>
      <c r="HK730" s="2040">
        <v>12.88</v>
      </c>
      <c r="HL730" s="2040">
        <v>13.14</v>
      </c>
      <c r="HM730" s="2040">
        <v>28.59</v>
      </c>
      <c r="HN730" s="2040">
        <v>28.59</v>
      </c>
      <c r="HO730" s="2040">
        <v>16.989999999999998</v>
      </c>
      <c r="HP730" s="2040">
        <v>16.989999999999998</v>
      </c>
      <c r="HQ730" s="2040">
        <v>18.55</v>
      </c>
      <c r="HR730" s="2040">
        <v>18.55</v>
      </c>
      <c r="HS730" s="2040">
        <v>18.55</v>
      </c>
      <c r="HT730" s="2040">
        <v>18.55</v>
      </c>
      <c r="HU730" s="2040">
        <v>18.55</v>
      </c>
      <c r="HV730" s="2040">
        <v>18.55</v>
      </c>
      <c r="HW730" s="2040">
        <v>18.440000000000001</v>
      </c>
      <c r="HX730" s="2040">
        <v>18.440000000000001</v>
      </c>
    </row>
    <row r="731" spans="2:232" s="2040" customFormat="1" ht="14" x14ac:dyDescent="0.3">
      <c r="B731" s="2504">
        <v>32</v>
      </c>
      <c r="C731" s="2505">
        <v>32.909999999999997</v>
      </c>
      <c r="D731" s="2505">
        <v>32.909999999999997</v>
      </c>
      <c r="E731" s="2505">
        <v>33.659999999999997</v>
      </c>
      <c r="F731" s="2505">
        <v>33.659999999999997</v>
      </c>
      <c r="G731" s="2505">
        <v>118.76</v>
      </c>
      <c r="H731" s="2505">
        <v>118.76</v>
      </c>
      <c r="I731" s="2505">
        <v>108.71</v>
      </c>
      <c r="J731" s="2505">
        <v>108.71</v>
      </c>
      <c r="K731" s="2505">
        <v>120.91</v>
      </c>
      <c r="L731" s="2505">
        <v>120.91</v>
      </c>
      <c r="M731" s="2505"/>
      <c r="N731" s="2505"/>
      <c r="O731" s="2505">
        <v>102.8</v>
      </c>
      <c r="P731" s="2505">
        <v>102.8</v>
      </c>
      <c r="Q731" s="2505">
        <v>103.7</v>
      </c>
      <c r="R731" s="2505">
        <v>102.8</v>
      </c>
      <c r="S731" s="2505">
        <v>164.64</v>
      </c>
      <c r="T731" s="2505">
        <v>164.64</v>
      </c>
      <c r="U731" s="2505">
        <v>158.91</v>
      </c>
      <c r="V731" s="2505">
        <v>158.91</v>
      </c>
      <c r="W731" s="2505">
        <v>164.64</v>
      </c>
      <c r="X731" s="2505">
        <v>164.64</v>
      </c>
      <c r="Y731" s="2505">
        <v>158.91</v>
      </c>
      <c r="Z731" s="2505">
        <v>164.64</v>
      </c>
      <c r="AA731" s="2505">
        <v>164.64</v>
      </c>
      <c r="AB731" s="2505">
        <v>164.64</v>
      </c>
      <c r="AC731" s="2505">
        <v>158.91</v>
      </c>
      <c r="AD731" s="2505">
        <v>158.91</v>
      </c>
      <c r="AE731" s="2505">
        <v>184.29</v>
      </c>
      <c r="AF731" s="2505">
        <v>179.08</v>
      </c>
      <c r="AG731" s="2505">
        <v>184.29</v>
      </c>
      <c r="AH731" s="2505">
        <v>184.29</v>
      </c>
      <c r="AI731" s="2505">
        <v>179.08</v>
      </c>
      <c r="AJ731" s="2505">
        <v>179.08</v>
      </c>
      <c r="AK731" s="2505">
        <v>180.74</v>
      </c>
      <c r="AL731" s="2505">
        <v>180.74</v>
      </c>
      <c r="AM731" s="2505">
        <v>54.43</v>
      </c>
      <c r="AN731" s="2505">
        <v>52.42</v>
      </c>
      <c r="AO731" s="2505">
        <v>52.42</v>
      </c>
      <c r="AP731" s="2505">
        <v>52.42</v>
      </c>
      <c r="AQ731" s="2505">
        <v>53.75</v>
      </c>
      <c r="AR731" s="2505">
        <v>53.75</v>
      </c>
      <c r="AS731" s="2505">
        <v>144.19</v>
      </c>
      <c r="AT731" s="2505">
        <v>144.19</v>
      </c>
      <c r="AU731" s="2505">
        <v>144.19</v>
      </c>
      <c r="AV731" s="2505">
        <v>148.33000000000001</v>
      </c>
      <c r="AW731" s="2505">
        <v>144.11000000000001</v>
      </c>
      <c r="AX731" s="2505">
        <v>144.11000000000001</v>
      </c>
      <c r="AY731" s="2505">
        <v>144.31</v>
      </c>
      <c r="AZ731" s="2505">
        <v>144.31</v>
      </c>
      <c r="BA731" s="2040">
        <v>61.88</v>
      </c>
      <c r="BB731" s="2040">
        <v>61.88</v>
      </c>
      <c r="BC731" s="2040">
        <v>14.46</v>
      </c>
      <c r="BD731" s="2040">
        <v>15</v>
      </c>
      <c r="BE731" s="2040">
        <v>19.350000000000001</v>
      </c>
      <c r="BF731" s="2040">
        <v>19.350000000000001</v>
      </c>
      <c r="BG731" s="2040">
        <v>14.51</v>
      </c>
      <c r="BH731" s="2040">
        <v>14.51</v>
      </c>
      <c r="BI731" s="2040">
        <v>14.35</v>
      </c>
      <c r="BJ731" s="2040">
        <v>14.35</v>
      </c>
      <c r="BK731" s="2040">
        <v>14.35</v>
      </c>
      <c r="BL731" s="2040">
        <v>14.35</v>
      </c>
      <c r="BM731" s="2040">
        <v>39.799999999999997</v>
      </c>
      <c r="BN731" s="2040">
        <v>39.799999999999997</v>
      </c>
      <c r="BO731" s="2040">
        <v>118.71</v>
      </c>
      <c r="BP731" s="2040">
        <v>118.71</v>
      </c>
      <c r="BQ731" s="2040">
        <v>118.71</v>
      </c>
      <c r="BR731" s="2040">
        <v>118.71</v>
      </c>
      <c r="BS731" s="2040">
        <v>142.08000000000001</v>
      </c>
      <c r="BT731" s="2040">
        <v>142.08000000000001</v>
      </c>
      <c r="BU731" s="2040">
        <v>142.08000000000001</v>
      </c>
      <c r="BV731" s="2040">
        <v>142.08000000000001</v>
      </c>
      <c r="BW731" s="2040">
        <v>142.08000000000001</v>
      </c>
      <c r="BX731" s="2040">
        <v>142.08000000000001</v>
      </c>
      <c r="BY731" s="2040">
        <v>36.159999999999997</v>
      </c>
      <c r="BZ731" s="2040">
        <v>36.159999999999997</v>
      </c>
      <c r="CA731" s="2040">
        <v>112.82</v>
      </c>
      <c r="CB731" s="2040">
        <v>112.82</v>
      </c>
      <c r="CC731" s="2040">
        <v>113.62</v>
      </c>
      <c r="CD731" s="2040">
        <v>113.62</v>
      </c>
      <c r="CE731" s="2040">
        <v>138.97</v>
      </c>
      <c r="CF731" s="2040">
        <v>138.97</v>
      </c>
      <c r="CK731" s="2040">
        <v>93.53</v>
      </c>
      <c r="CL731" s="2040">
        <v>93.53</v>
      </c>
      <c r="CM731" s="2040">
        <v>193.43</v>
      </c>
      <c r="CN731" s="2040">
        <v>193.43</v>
      </c>
      <c r="CO731" s="2040">
        <v>230.9</v>
      </c>
      <c r="CP731" s="2040">
        <v>230.9</v>
      </c>
      <c r="CQ731" s="2040">
        <v>230.9</v>
      </c>
      <c r="CR731" s="2040">
        <v>230.9</v>
      </c>
      <c r="CW731" s="2040">
        <v>83.86</v>
      </c>
      <c r="CX731" s="2040">
        <v>83.86</v>
      </c>
      <c r="CY731" s="2040">
        <v>184.02</v>
      </c>
      <c r="CZ731" s="2040">
        <v>184.02</v>
      </c>
      <c r="DA731" s="2040">
        <v>184.02</v>
      </c>
      <c r="DB731" s="2040">
        <v>184.02</v>
      </c>
      <c r="DC731" s="2040">
        <v>219.77</v>
      </c>
      <c r="DD731" s="2040">
        <v>219.77</v>
      </c>
      <c r="DE731" s="2040">
        <v>219.77</v>
      </c>
      <c r="DF731" s="2040">
        <v>219.77</v>
      </c>
      <c r="DI731" s="2040">
        <v>22.18</v>
      </c>
      <c r="DJ731" s="2040">
        <v>22.18</v>
      </c>
      <c r="DK731" s="2040">
        <v>22.18</v>
      </c>
      <c r="DL731" s="2040">
        <v>22.18</v>
      </c>
      <c r="DM731" s="2040">
        <v>22.18</v>
      </c>
      <c r="DN731" s="2040">
        <v>22.18</v>
      </c>
      <c r="DU731" s="2040">
        <v>9.94</v>
      </c>
      <c r="DV731" s="2040">
        <v>9.94</v>
      </c>
      <c r="DW731" s="2040">
        <v>8.77</v>
      </c>
      <c r="DX731" s="2040">
        <v>8.77</v>
      </c>
      <c r="DY731" s="2040">
        <v>8.77</v>
      </c>
      <c r="DZ731" s="2040">
        <v>8.77</v>
      </c>
      <c r="EG731" s="2040">
        <v>10.69</v>
      </c>
      <c r="EH731" s="2040">
        <v>11</v>
      </c>
      <c r="EI731" s="2040">
        <v>6.97</v>
      </c>
      <c r="EJ731" s="2040">
        <v>6.97</v>
      </c>
      <c r="EK731" s="2040">
        <v>6.93</v>
      </c>
      <c r="EL731" s="2040">
        <v>6.93</v>
      </c>
      <c r="EM731" s="2040">
        <v>7.73</v>
      </c>
      <c r="EN731" s="2040">
        <v>7.73</v>
      </c>
      <c r="EO731" s="2040">
        <v>7.16</v>
      </c>
      <c r="EP731" s="2040">
        <v>7.16</v>
      </c>
      <c r="EQ731" s="2040">
        <v>7.36</v>
      </c>
      <c r="ER731" s="2040">
        <v>7.47</v>
      </c>
      <c r="ES731" s="2040">
        <v>40.71</v>
      </c>
      <c r="ET731" s="2040">
        <v>40.71</v>
      </c>
      <c r="EU731" s="2040">
        <v>155.41999999999999</v>
      </c>
      <c r="EV731" s="2040">
        <v>155.41999999999999</v>
      </c>
      <c r="EW731" s="2040">
        <v>151.02000000000001</v>
      </c>
      <c r="EX731" s="2040">
        <v>151.02000000000001</v>
      </c>
      <c r="EY731" s="2506">
        <f t="shared" si="59"/>
        <v>153.22</v>
      </c>
      <c r="EZ731" s="2506">
        <f t="shared" si="59"/>
        <v>153.22</v>
      </c>
      <c r="FA731" s="2040">
        <v>156.6</v>
      </c>
      <c r="FB731" s="2040">
        <v>156.6</v>
      </c>
      <c r="FE731" s="2040">
        <v>34.65</v>
      </c>
      <c r="FF731" s="2040">
        <v>34.65</v>
      </c>
      <c r="FG731" s="2040">
        <v>128.47999999999999</v>
      </c>
      <c r="FH731" s="2040">
        <v>128.47999999999999</v>
      </c>
      <c r="FI731" s="2040">
        <v>128.47999999999999</v>
      </c>
      <c r="FJ731" s="2040">
        <v>128.47999999999999</v>
      </c>
      <c r="FK731" s="2040">
        <v>127.4</v>
      </c>
      <c r="FL731" s="2040">
        <v>127.4</v>
      </c>
      <c r="FM731" s="2040">
        <v>129.09</v>
      </c>
      <c r="FN731" s="2040">
        <v>129.09</v>
      </c>
      <c r="FQ731" s="2040">
        <v>78.290000000000006</v>
      </c>
      <c r="FR731" s="2040">
        <v>78.290000000000006</v>
      </c>
      <c r="FS731" s="2040">
        <v>149.26</v>
      </c>
      <c r="FT731" s="2040">
        <v>149.26</v>
      </c>
      <c r="FU731" s="2040">
        <v>149.26</v>
      </c>
      <c r="FV731" s="2040">
        <v>149.26</v>
      </c>
      <c r="FW731" s="2040">
        <v>150.37</v>
      </c>
      <c r="FX731" s="2040">
        <v>150.37</v>
      </c>
      <c r="GC731" s="2040">
        <v>55.89</v>
      </c>
      <c r="GD731" s="2040">
        <v>55.89</v>
      </c>
      <c r="GE731" s="2040">
        <v>129.54</v>
      </c>
      <c r="GF731" s="2040">
        <v>129.54</v>
      </c>
      <c r="GG731" s="2040">
        <v>129.54</v>
      </c>
      <c r="GH731" s="2040">
        <v>129.54</v>
      </c>
      <c r="GI731" s="2040">
        <v>103.72</v>
      </c>
      <c r="GJ731" s="2040">
        <v>103.72</v>
      </c>
      <c r="GK731" s="2040">
        <v>139.15</v>
      </c>
      <c r="GL731" s="2040">
        <v>139.15</v>
      </c>
      <c r="GO731" s="2040">
        <v>29.68</v>
      </c>
      <c r="GP731" s="2040">
        <v>29.68</v>
      </c>
      <c r="GQ731" s="2040">
        <v>22.25</v>
      </c>
      <c r="GR731" s="2040">
        <v>22.25</v>
      </c>
      <c r="GS731" s="2040">
        <v>22.25</v>
      </c>
      <c r="GT731" s="2040">
        <v>21.33</v>
      </c>
      <c r="GU731" s="2040">
        <v>21.33</v>
      </c>
      <c r="GV731" s="2040">
        <v>22.08</v>
      </c>
      <c r="GW731" s="2040">
        <v>128.41999999999999</v>
      </c>
      <c r="GX731" s="2040">
        <v>128.41999999999999</v>
      </c>
      <c r="HA731" s="2040">
        <v>20.8</v>
      </c>
      <c r="HB731" s="2040">
        <v>20.8</v>
      </c>
      <c r="HC731" s="2040">
        <v>12.22</v>
      </c>
      <c r="HD731" s="2040">
        <v>12.22</v>
      </c>
      <c r="HE731" s="2040">
        <v>13.29</v>
      </c>
      <c r="HF731" s="2040">
        <v>13.29</v>
      </c>
      <c r="HG731" s="2040">
        <v>13.29</v>
      </c>
      <c r="HH731" s="2040">
        <v>13.29</v>
      </c>
      <c r="HI731" s="2040">
        <v>13.29</v>
      </c>
      <c r="HJ731" s="2040">
        <v>13.29</v>
      </c>
      <c r="HK731" s="2040">
        <v>13.28</v>
      </c>
      <c r="HL731" s="2040">
        <v>13.86</v>
      </c>
      <c r="HM731" s="2040">
        <v>29.12</v>
      </c>
      <c r="HN731" s="2040">
        <v>29.12</v>
      </c>
      <c r="HO731" s="2040">
        <v>17.55</v>
      </c>
      <c r="HP731" s="2040">
        <v>17.55</v>
      </c>
      <c r="HQ731" s="2040">
        <v>19.11</v>
      </c>
      <c r="HR731" s="2040">
        <v>19.11</v>
      </c>
      <c r="HS731" s="2040">
        <v>19.11</v>
      </c>
      <c r="HT731" s="2040">
        <v>19.11</v>
      </c>
      <c r="HU731" s="2040">
        <v>19.11</v>
      </c>
      <c r="HV731" s="2040">
        <v>19.11</v>
      </c>
      <c r="HW731" s="2040">
        <v>19</v>
      </c>
      <c r="HX731" s="2040">
        <v>19</v>
      </c>
    </row>
    <row r="732" spans="2:232" s="2040" customFormat="1" ht="14" x14ac:dyDescent="0.3">
      <c r="B732" s="2504">
        <v>33</v>
      </c>
      <c r="C732" s="2505">
        <v>33.479999999999997</v>
      </c>
      <c r="D732" s="2505">
        <v>33.479999999999997</v>
      </c>
      <c r="E732" s="2505">
        <v>34.200000000000003</v>
      </c>
      <c r="F732" s="2505">
        <v>34.200000000000003</v>
      </c>
      <c r="G732" s="2505">
        <v>121.25</v>
      </c>
      <c r="H732" s="2505">
        <v>121.25</v>
      </c>
      <c r="I732" s="2505">
        <v>111.18</v>
      </c>
      <c r="J732" s="2505">
        <v>111.18</v>
      </c>
      <c r="K732" s="2505">
        <v>123.09</v>
      </c>
      <c r="L732" s="2505">
        <v>123.09</v>
      </c>
      <c r="M732" s="2505"/>
      <c r="N732" s="2505"/>
      <c r="O732" s="2505">
        <v>104.6</v>
      </c>
      <c r="P732" s="2505">
        <v>104.6</v>
      </c>
      <c r="Q732" s="2505">
        <v>105.43</v>
      </c>
      <c r="R732" s="2505">
        <v>104.61</v>
      </c>
      <c r="S732" s="2505">
        <v>168.78</v>
      </c>
      <c r="T732" s="2505">
        <v>168.78</v>
      </c>
      <c r="U732" s="2505">
        <v>162.91</v>
      </c>
      <c r="V732" s="2505">
        <v>162.91</v>
      </c>
      <c r="W732" s="2505">
        <v>168.78</v>
      </c>
      <c r="X732" s="2505">
        <v>168.78</v>
      </c>
      <c r="Y732" s="2505">
        <v>162.91</v>
      </c>
      <c r="Z732" s="2505">
        <v>168.78</v>
      </c>
      <c r="AA732" s="2505">
        <v>168.78</v>
      </c>
      <c r="AB732" s="2505">
        <v>168.78</v>
      </c>
      <c r="AC732" s="2505">
        <v>162.91</v>
      </c>
      <c r="AD732" s="2505">
        <v>162.91</v>
      </c>
      <c r="AE732" s="2505">
        <v>188.31</v>
      </c>
      <c r="AF732" s="2505">
        <v>182.97</v>
      </c>
      <c r="AG732" s="2505">
        <v>188.31</v>
      </c>
      <c r="AH732" s="2505">
        <v>188.31</v>
      </c>
      <c r="AI732" s="2505">
        <v>182.97</v>
      </c>
      <c r="AJ732" s="2505">
        <v>182.97</v>
      </c>
      <c r="AK732" s="2505">
        <v>184.57</v>
      </c>
      <c r="AL732" s="2505">
        <v>184.57</v>
      </c>
      <c r="AM732" s="2505">
        <v>55.38</v>
      </c>
      <c r="AN732" s="2505">
        <v>53.34</v>
      </c>
      <c r="AO732" s="2505">
        <v>53.34</v>
      </c>
      <c r="AP732" s="2505">
        <v>53.34</v>
      </c>
      <c r="AQ732" s="2505">
        <v>54.61</v>
      </c>
      <c r="AR732" s="2505">
        <v>54.61</v>
      </c>
      <c r="AS732" s="2505">
        <v>147.38</v>
      </c>
      <c r="AT732" s="2505">
        <v>147.38</v>
      </c>
      <c r="AU732" s="2505">
        <v>147.38</v>
      </c>
      <c r="AV732" s="2505">
        <v>151.56</v>
      </c>
      <c r="AW732" s="2505">
        <v>147.34</v>
      </c>
      <c r="AX732" s="2505">
        <v>147.34</v>
      </c>
      <c r="AY732" s="2505">
        <v>147.53</v>
      </c>
      <c r="AZ732" s="2505">
        <v>147.53</v>
      </c>
      <c r="BA732" s="2040">
        <v>63.29</v>
      </c>
      <c r="BB732" s="2040">
        <v>63.29</v>
      </c>
      <c r="BC732" s="2040">
        <v>14.85</v>
      </c>
      <c r="BD732" s="2040">
        <v>15.42</v>
      </c>
      <c r="BE732" s="2040">
        <v>19.690000000000001</v>
      </c>
      <c r="BF732" s="2040">
        <v>19.690000000000001</v>
      </c>
      <c r="BG732" s="2040">
        <v>14.9</v>
      </c>
      <c r="BH732" s="2040">
        <v>14.9</v>
      </c>
      <c r="BI732" s="2040">
        <v>14.75</v>
      </c>
      <c r="BJ732" s="2040">
        <v>14.75</v>
      </c>
      <c r="BK732" s="2040">
        <v>14.75</v>
      </c>
      <c r="BL732" s="2040">
        <v>14.75</v>
      </c>
      <c r="BM732" s="2040">
        <v>40.5</v>
      </c>
      <c r="BN732" s="2040">
        <v>40.5</v>
      </c>
      <c r="BO732" s="2040">
        <v>121.07</v>
      </c>
      <c r="BP732" s="2040">
        <v>121.07</v>
      </c>
      <c r="BQ732" s="2040">
        <v>121.07</v>
      </c>
      <c r="BR732" s="2040">
        <v>121.07</v>
      </c>
      <c r="BS732" s="2040">
        <v>145.49</v>
      </c>
      <c r="BT732" s="2040">
        <v>145.49</v>
      </c>
      <c r="BU732" s="2040">
        <v>145.49</v>
      </c>
      <c r="BV732" s="2040">
        <v>145.49</v>
      </c>
      <c r="BW732" s="2040">
        <v>145.49</v>
      </c>
      <c r="BX732" s="2040">
        <v>145.49</v>
      </c>
      <c r="BY732" s="2040">
        <v>36.79</v>
      </c>
      <c r="BZ732" s="2040">
        <v>36.79</v>
      </c>
      <c r="CA732" s="2040">
        <v>115.11</v>
      </c>
      <c r="CB732" s="2040">
        <v>115.11</v>
      </c>
      <c r="CC732" s="2040">
        <v>115.99</v>
      </c>
      <c r="CD732" s="2040">
        <v>115.99</v>
      </c>
      <c r="CE732" s="2040">
        <v>142.37</v>
      </c>
      <c r="CF732" s="2040">
        <v>142.37</v>
      </c>
      <c r="CK732" s="2040">
        <v>94.91</v>
      </c>
      <c r="CL732" s="2040">
        <v>94.91</v>
      </c>
      <c r="CM732" s="2040">
        <v>196.14</v>
      </c>
      <c r="CN732" s="2040">
        <v>196.14</v>
      </c>
      <c r="CO732" s="2040">
        <v>235.05</v>
      </c>
      <c r="CP732" s="2040">
        <v>235.05</v>
      </c>
      <c r="CQ732" s="2040">
        <v>235.05</v>
      </c>
      <c r="CR732" s="2040">
        <v>235.05</v>
      </c>
      <c r="CW732" s="2040">
        <v>85.32</v>
      </c>
      <c r="CX732" s="2040">
        <v>85.32</v>
      </c>
      <c r="CY732" s="2040">
        <v>186.73</v>
      </c>
      <c r="CZ732" s="2040">
        <v>186.73</v>
      </c>
      <c r="DA732" s="2040">
        <v>186.73</v>
      </c>
      <c r="DB732" s="2040">
        <v>186.73</v>
      </c>
      <c r="DC732" s="2040">
        <v>223.89</v>
      </c>
      <c r="DD732" s="2040">
        <v>223.89</v>
      </c>
      <c r="DE732" s="2040">
        <v>223.89</v>
      </c>
      <c r="DF732" s="2040">
        <v>223.89</v>
      </c>
      <c r="DI732" s="2040">
        <v>22.57</v>
      </c>
      <c r="DJ732" s="2040">
        <v>22.57</v>
      </c>
      <c r="DK732" s="2040">
        <v>22.57</v>
      </c>
      <c r="DL732" s="2040">
        <v>22.57</v>
      </c>
      <c r="DM732" s="2040">
        <v>22.57</v>
      </c>
      <c r="DN732" s="2040">
        <v>22.57</v>
      </c>
      <c r="DU732" s="2040">
        <v>10.11</v>
      </c>
      <c r="DV732" s="2040">
        <v>10.11</v>
      </c>
      <c r="DW732" s="2040">
        <v>8.9600000000000009</v>
      </c>
      <c r="DX732" s="2040">
        <v>8.9600000000000009</v>
      </c>
      <c r="DY732" s="2040">
        <v>8.9600000000000009</v>
      </c>
      <c r="DZ732" s="2040">
        <v>8.9600000000000009</v>
      </c>
      <c r="EG732" s="2040">
        <v>10.91</v>
      </c>
      <c r="EH732" s="2040">
        <v>11.21</v>
      </c>
      <c r="EI732" s="2040">
        <v>7.21</v>
      </c>
      <c r="EJ732" s="2040">
        <v>7.21</v>
      </c>
      <c r="EK732" s="2040">
        <v>7.17</v>
      </c>
      <c r="EL732" s="2040">
        <v>7.17</v>
      </c>
      <c r="EM732" s="2040">
        <v>7.97</v>
      </c>
      <c r="EN732" s="2040">
        <v>7.97</v>
      </c>
      <c r="EO732" s="2040">
        <v>7.4</v>
      </c>
      <c r="EP732" s="2040">
        <v>7.4</v>
      </c>
      <c r="EQ732" s="2040">
        <v>7.61</v>
      </c>
      <c r="ER732" s="2040">
        <v>7.71</v>
      </c>
      <c r="ES732" s="2040">
        <v>41.5</v>
      </c>
      <c r="ET732" s="2040">
        <v>41.5</v>
      </c>
      <c r="EU732" s="2040">
        <v>159.63</v>
      </c>
      <c r="EV732" s="2040">
        <v>159.63</v>
      </c>
      <c r="EW732" s="2040">
        <v>155.19</v>
      </c>
      <c r="EX732" s="2040">
        <v>155.19</v>
      </c>
      <c r="EY732" s="2506">
        <f t="shared" si="59"/>
        <v>157.41</v>
      </c>
      <c r="EZ732" s="2506">
        <f t="shared" si="59"/>
        <v>157.41</v>
      </c>
      <c r="FA732" s="2040">
        <v>160.71</v>
      </c>
      <c r="FB732" s="2040">
        <v>160.71</v>
      </c>
      <c r="FE732" s="2040">
        <v>35.31</v>
      </c>
      <c r="FF732" s="2040">
        <v>35.31</v>
      </c>
      <c r="FG732" s="2040">
        <v>131.93</v>
      </c>
      <c r="FH732" s="2040">
        <v>131.93</v>
      </c>
      <c r="FI732" s="2040">
        <v>131.93</v>
      </c>
      <c r="FJ732" s="2040">
        <v>131.93</v>
      </c>
      <c r="FK732" s="2040">
        <v>130.88</v>
      </c>
      <c r="FL732" s="2040">
        <v>130.88</v>
      </c>
      <c r="FM732" s="2040">
        <v>132.54</v>
      </c>
      <c r="FN732" s="2040">
        <v>132.54</v>
      </c>
      <c r="FQ732" s="2040">
        <v>79.650000000000006</v>
      </c>
      <c r="FR732" s="2040">
        <v>79.650000000000006</v>
      </c>
      <c r="FS732" s="2040">
        <v>152.22</v>
      </c>
      <c r="FT732" s="2040">
        <v>152.22</v>
      </c>
      <c r="FU732" s="2040">
        <v>152.22</v>
      </c>
      <c r="FV732" s="2040">
        <v>152.22</v>
      </c>
      <c r="FW732" s="2040">
        <v>153.31</v>
      </c>
      <c r="FX732" s="2040">
        <v>153.31</v>
      </c>
      <c r="GC732" s="2040">
        <v>56.72</v>
      </c>
      <c r="GD732" s="2040">
        <v>56.72</v>
      </c>
      <c r="GE732" s="2040">
        <v>131.26</v>
      </c>
      <c r="GF732" s="2040">
        <v>131.26</v>
      </c>
      <c r="GG732" s="2040">
        <v>131.26</v>
      </c>
      <c r="GH732" s="2040">
        <v>131.26</v>
      </c>
      <c r="GI732" s="2040">
        <v>106.61</v>
      </c>
      <c r="GJ732" s="2040">
        <v>106.61</v>
      </c>
      <c r="GK732" s="2040">
        <v>141.91</v>
      </c>
      <c r="GL732" s="2040">
        <v>141.91</v>
      </c>
      <c r="GO732" s="2040">
        <v>30.16</v>
      </c>
      <c r="GP732" s="2040">
        <v>30.16</v>
      </c>
      <c r="GQ732" s="2040">
        <v>22.82</v>
      </c>
      <c r="GR732" s="2040">
        <v>22.82</v>
      </c>
      <c r="GS732" s="2040">
        <v>22.82</v>
      </c>
      <c r="GT732" s="2040">
        <v>21.88</v>
      </c>
      <c r="GU732" s="2040">
        <v>21.88</v>
      </c>
      <c r="GV732" s="2040">
        <v>22.67</v>
      </c>
      <c r="GW732" s="2040">
        <v>131.59</v>
      </c>
      <c r="GX732" s="2040">
        <v>131.59</v>
      </c>
      <c r="HA732" s="2040">
        <v>21.16</v>
      </c>
      <c r="HB732" s="2040">
        <v>21.16</v>
      </c>
      <c r="HC732" s="2040">
        <v>12.61</v>
      </c>
      <c r="HD732" s="2040">
        <v>12.61</v>
      </c>
      <c r="HE732" s="2040">
        <v>13.67</v>
      </c>
      <c r="HF732" s="2040">
        <v>13.67</v>
      </c>
      <c r="HG732" s="2040">
        <v>13.67</v>
      </c>
      <c r="HH732" s="2040">
        <v>13.67</v>
      </c>
      <c r="HI732" s="2040">
        <v>13.67</v>
      </c>
      <c r="HJ732" s="2040">
        <v>13.67</v>
      </c>
      <c r="HK732" s="2040">
        <v>13.67</v>
      </c>
      <c r="HL732" s="2040">
        <v>14.23</v>
      </c>
      <c r="HM732" s="2040">
        <v>29.63</v>
      </c>
      <c r="HN732" s="2040">
        <v>29.63</v>
      </c>
      <c r="HO732" s="2040">
        <v>18.11</v>
      </c>
      <c r="HP732" s="2040">
        <v>18.11</v>
      </c>
      <c r="HQ732" s="2040">
        <v>19.64</v>
      </c>
      <c r="HR732" s="2040">
        <v>19.64</v>
      </c>
      <c r="HS732" s="2040">
        <v>19.64</v>
      </c>
      <c r="HT732" s="2040">
        <v>19.64</v>
      </c>
      <c r="HU732" s="2040">
        <v>19.64</v>
      </c>
      <c r="HV732" s="2040">
        <v>19.64</v>
      </c>
      <c r="HW732" s="2040">
        <v>19.55</v>
      </c>
      <c r="HX732" s="2040">
        <v>19.55</v>
      </c>
    </row>
    <row r="733" spans="2:232" s="2040" customFormat="1" ht="14" x14ac:dyDescent="0.3">
      <c r="B733" s="2504">
        <v>34</v>
      </c>
      <c r="C733" s="2505">
        <v>34.03</v>
      </c>
      <c r="D733" s="2505">
        <v>34.03</v>
      </c>
      <c r="E733" s="2505">
        <v>34.72</v>
      </c>
      <c r="F733" s="2505">
        <v>34.72</v>
      </c>
      <c r="G733" s="2505">
        <v>123.64</v>
      </c>
      <c r="H733" s="2505">
        <v>123.64</v>
      </c>
      <c r="I733" s="2505">
        <v>113.56</v>
      </c>
      <c r="J733" s="2505">
        <v>113.56</v>
      </c>
      <c r="K733" s="2505">
        <v>125.18</v>
      </c>
      <c r="L733" s="2505">
        <v>125.18</v>
      </c>
      <c r="M733" s="2505"/>
      <c r="N733" s="2505"/>
      <c r="O733" s="2505">
        <v>106.33</v>
      </c>
      <c r="P733" s="2505">
        <v>106.33</v>
      </c>
      <c r="Q733" s="2505">
        <v>107.08</v>
      </c>
      <c r="R733" s="2505">
        <v>106.33</v>
      </c>
      <c r="S733" s="2505">
        <v>172.78</v>
      </c>
      <c r="T733" s="2505">
        <v>172.78</v>
      </c>
      <c r="U733" s="2505">
        <v>166.77</v>
      </c>
      <c r="V733" s="2505">
        <v>166.77</v>
      </c>
      <c r="W733" s="2505">
        <v>172.78</v>
      </c>
      <c r="X733" s="2505">
        <v>172.78</v>
      </c>
      <c r="Y733" s="2505">
        <v>166.77</v>
      </c>
      <c r="Z733" s="2505">
        <v>172.78</v>
      </c>
      <c r="AA733" s="2505">
        <v>172.78</v>
      </c>
      <c r="AB733" s="2505">
        <v>172.78</v>
      </c>
      <c r="AC733" s="2505">
        <v>166.77</v>
      </c>
      <c r="AD733" s="2505">
        <v>166.77</v>
      </c>
      <c r="AE733" s="2505">
        <v>192.17</v>
      </c>
      <c r="AF733" s="2505">
        <v>186.72</v>
      </c>
      <c r="AG733" s="2505">
        <v>192.17</v>
      </c>
      <c r="AH733" s="2505">
        <v>192.17</v>
      </c>
      <c r="AI733" s="2505">
        <v>186.72</v>
      </c>
      <c r="AJ733" s="2505">
        <v>186.72</v>
      </c>
      <c r="AK733" s="2505">
        <v>188.26</v>
      </c>
      <c r="AL733" s="2505">
        <v>188.26</v>
      </c>
      <c r="AM733" s="2505">
        <v>56.29</v>
      </c>
      <c r="AN733" s="2505">
        <v>54.22</v>
      </c>
      <c r="AO733" s="2505">
        <v>54.22</v>
      </c>
      <c r="AP733" s="2505">
        <v>54.22</v>
      </c>
      <c r="AQ733" s="2505">
        <v>55.43</v>
      </c>
      <c r="AR733" s="2505">
        <v>55.43</v>
      </c>
      <c r="AS733" s="2505">
        <v>150.44</v>
      </c>
      <c r="AT733" s="2505">
        <v>150.44</v>
      </c>
      <c r="AU733" s="2505">
        <v>150.44</v>
      </c>
      <c r="AV733" s="2505">
        <v>154.66</v>
      </c>
      <c r="AW733" s="2505">
        <v>150.44</v>
      </c>
      <c r="AX733" s="2505">
        <v>150.44</v>
      </c>
      <c r="AY733" s="2505">
        <v>150.62</v>
      </c>
      <c r="AZ733" s="2505">
        <v>150.62</v>
      </c>
      <c r="BA733" s="2040">
        <v>64.66</v>
      </c>
      <c r="BB733" s="2040">
        <v>64.66</v>
      </c>
      <c r="BC733" s="2040">
        <v>15.23</v>
      </c>
      <c r="BD733" s="2040">
        <v>15.78</v>
      </c>
      <c r="BE733" s="2040">
        <v>20.02</v>
      </c>
      <c r="BF733" s="2040">
        <v>20.02</v>
      </c>
      <c r="BG733" s="2040">
        <v>15.28</v>
      </c>
      <c r="BH733" s="2040">
        <v>15.28</v>
      </c>
      <c r="BI733" s="2040">
        <v>15.13</v>
      </c>
      <c r="BJ733" s="2040">
        <v>15.13</v>
      </c>
      <c r="BK733" s="2040">
        <v>15.13</v>
      </c>
      <c r="BL733" s="2040">
        <v>15.13</v>
      </c>
      <c r="BM733" s="2040">
        <v>41.16</v>
      </c>
      <c r="BN733" s="2040">
        <v>41.16</v>
      </c>
      <c r="BO733" s="2040">
        <v>123.34</v>
      </c>
      <c r="BP733" s="2040">
        <v>123.34</v>
      </c>
      <c r="BQ733" s="2040">
        <v>123.34</v>
      </c>
      <c r="BR733" s="2040">
        <v>123.34</v>
      </c>
      <c r="BS733" s="2040">
        <v>148.78</v>
      </c>
      <c r="BT733" s="2040">
        <v>148.78</v>
      </c>
      <c r="BU733" s="2040">
        <v>148.78</v>
      </c>
      <c r="BV733" s="2040">
        <v>148.78</v>
      </c>
      <c r="BW733" s="2040">
        <v>148.78</v>
      </c>
      <c r="BX733" s="2040">
        <v>148.78</v>
      </c>
      <c r="BY733" s="2040">
        <v>37.39</v>
      </c>
      <c r="BZ733" s="2040">
        <v>37.39</v>
      </c>
      <c r="CA733" s="2040">
        <v>117.31</v>
      </c>
      <c r="CB733" s="2040">
        <v>117.31</v>
      </c>
      <c r="CC733" s="2040">
        <v>118.27</v>
      </c>
      <c r="CD733" s="2040">
        <v>118.27</v>
      </c>
      <c r="CE733" s="2040">
        <v>145.65</v>
      </c>
      <c r="CF733" s="2040">
        <v>145.65</v>
      </c>
      <c r="CK733" s="2040">
        <v>96.23</v>
      </c>
      <c r="CL733" s="2040">
        <v>96.23</v>
      </c>
      <c r="CM733" s="2040">
        <v>198.73</v>
      </c>
      <c r="CN733" s="2040">
        <v>198.73</v>
      </c>
      <c r="CO733" s="2040">
        <v>239.03</v>
      </c>
      <c r="CP733" s="2040">
        <v>239.03</v>
      </c>
      <c r="CQ733" s="2040">
        <v>239.03</v>
      </c>
      <c r="CR733" s="2040">
        <v>239.03</v>
      </c>
      <c r="CW733" s="2040">
        <v>86.73</v>
      </c>
      <c r="CX733" s="2040">
        <v>86.73</v>
      </c>
      <c r="CY733" s="2040">
        <v>189.33</v>
      </c>
      <c r="CZ733" s="2040">
        <v>189.33</v>
      </c>
      <c r="DA733" s="2040">
        <v>189.33</v>
      </c>
      <c r="DB733" s="2040">
        <v>189.33</v>
      </c>
      <c r="DC733" s="2040">
        <v>227.84</v>
      </c>
      <c r="DD733" s="2040">
        <v>227.84</v>
      </c>
      <c r="DE733" s="2040">
        <v>227.84</v>
      </c>
      <c r="DF733" s="2040">
        <v>227.84</v>
      </c>
      <c r="DI733" s="2040">
        <v>22.94</v>
      </c>
      <c r="DJ733" s="2040">
        <v>22.94</v>
      </c>
      <c r="DK733" s="2040">
        <v>22.94</v>
      </c>
      <c r="DL733" s="2040">
        <v>22.94</v>
      </c>
      <c r="DM733" s="2040">
        <v>22.94</v>
      </c>
      <c r="DN733" s="2040">
        <v>22.94</v>
      </c>
      <c r="DU733" s="2040">
        <v>10.27</v>
      </c>
      <c r="DV733" s="2040">
        <v>10.27</v>
      </c>
      <c r="DW733" s="2040">
        <v>9.15</v>
      </c>
      <c r="DX733" s="2040">
        <v>9.15</v>
      </c>
      <c r="DY733" s="2040">
        <v>9.15</v>
      </c>
      <c r="DZ733" s="2040">
        <v>9.15</v>
      </c>
      <c r="EG733" s="2040">
        <v>11.09</v>
      </c>
      <c r="EH733" s="2040">
        <v>11.38</v>
      </c>
      <c r="EI733" s="2040">
        <v>7.41</v>
      </c>
      <c r="EJ733" s="2040">
        <v>7.41</v>
      </c>
      <c r="EK733" s="2040">
        <v>7.36</v>
      </c>
      <c r="EL733" s="2040">
        <v>7.36</v>
      </c>
      <c r="EM733" s="2040">
        <v>8.16</v>
      </c>
      <c r="EN733" s="2040">
        <v>8.16</v>
      </c>
      <c r="EO733" s="2040">
        <v>7.58</v>
      </c>
      <c r="EP733" s="2040">
        <v>7.58</v>
      </c>
      <c r="EQ733" s="2040">
        <v>7.8</v>
      </c>
      <c r="ER733" s="2040">
        <v>7.89</v>
      </c>
      <c r="ES733" s="2040">
        <v>42.16</v>
      </c>
      <c r="ET733" s="2040">
        <v>42.16</v>
      </c>
      <c r="EU733" s="2040">
        <v>163.19</v>
      </c>
      <c r="EV733" s="2040">
        <v>163.19</v>
      </c>
      <c r="EW733" s="2040">
        <v>158.71</v>
      </c>
      <c r="EX733" s="2040">
        <v>158.71</v>
      </c>
      <c r="EY733" s="2506">
        <f t="shared" si="59"/>
        <v>160.94999999999999</v>
      </c>
      <c r="EZ733" s="2506">
        <f t="shared" si="59"/>
        <v>160.94999999999999</v>
      </c>
      <c r="FA733" s="2040">
        <v>164.18</v>
      </c>
      <c r="FB733" s="2040">
        <v>164.18</v>
      </c>
      <c r="FE733" s="2040">
        <v>35.950000000000003</v>
      </c>
      <c r="FF733" s="2040">
        <v>35.950000000000003</v>
      </c>
      <c r="FG733" s="2040">
        <v>135.33000000000001</v>
      </c>
      <c r="FH733" s="2040">
        <v>135.33000000000001</v>
      </c>
      <c r="FI733" s="2040">
        <v>135.33000000000001</v>
      </c>
      <c r="FJ733" s="2040">
        <v>135.33000000000001</v>
      </c>
      <c r="FK733" s="2040">
        <v>134.30000000000001</v>
      </c>
      <c r="FL733" s="2040">
        <v>134.30000000000001</v>
      </c>
      <c r="FM733" s="2040">
        <v>135.93</v>
      </c>
      <c r="FN733" s="2040">
        <v>135.93</v>
      </c>
      <c r="FQ733" s="2040">
        <v>81.22</v>
      </c>
      <c r="FR733" s="2040">
        <v>81.22</v>
      </c>
      <c r="FS733" s="2040">
        <v>155.66</v>
      </c>
      <c r="FT733" s="2040">
        <v>155.66</v>
      </c>
      <c r="FU733" s="2040">
        <v>155.66</v>
      </c>
      <c r="FV733" s="2040">
        <v>155.66</v>
      </c>
      <c r="FW733" s="2040">
        <v>156.72999999999999</v>
      </c>
      <c r="FX733" s="2040">
        <v>156.72999999999999</v>
      </c>
      <c r="GC733" s="2040">
        <v>57.69</v>
      </c>
      <c r="GD733" s="2040">
        <v>57.69</v>
      </c>
      <c r="GE733" s="2040">
        <v>133.27000000000001</v>
      </c>
      <c r="GF733" s="2040">
        <v>133.27000000000001</v>
      </c>
      <c r="GG733" s="2040">
        <v>133.27000000000001</v>
      </c>
      <c r="GH733" s="2040">
        <v>133.27000000000001</v>
      </c>
      <c r="GI733" s="2040">
        <v>110.02</v>
      </c>
      <c r="GJ733" s="2040">
        <v>110.02</v>
      </c>
      <c r="GK733" s="2040">
        <v>145.13999999999999</v>
      </c>
      <c r="GL733" s="2040">
        <v>145.13999999999999</v>
      </c>
      <c r="GO733" s="2040">
        <v>30.79</v>
      </c>
      <c r="GP733" s="2040">
        <v>30.79</v>
      </c>
      <c r="GQ733" s="2040">
        <v>23.36</v>
      </c>
      <c r="GR733" s="2040">
        <v>23.36</v>
      </c>
      <c r="GS733" s="2040">
        <v>23.36</v>
      </c>
      <c r="GT733" s="2040">
        <v>22.41</v>
      </c>
      <c r="GU733" s="2040">
        <v>22.41</v>
      </c>
      <c r="GV733" s="2040">
        <v>23.17</v>
      </c>
      <c r="GW733" s="2040">
        <v>134.63999999999999</v>
      </c>
      <c r="GX733" s="2040">
        <v>134.63999999999999</v>
      </c>
      <c r="HA733" s="2040">
        <v>21.5</v>
      </c>
      <c r="HB733" s="2040">
        <v>21.5</v>
      </c>
      <c r="HC733" s="2040">
        <v>12.99</v>
      </c>
      <c r="HD733" s="2040">
        <v>12.99</v>
      </c>
      <c r="HE733" s="2040">
        <v>14.05</v>
      </c>
      <c r="HF733" s="2040">
        <v>14.05</v>
      </c>
      <c r="HG733" s="2040">
        <v>14.05</v>
      </c>
      <c r="HH733" s="2040">
        <v>14.05</v>
      </c>
      <c r="HI733" s="2040">
        <v>14.05</v>
      </c>
      <c r="HJ733" s="2040">
        <v>14.05</v>
      </c>
      <c r="HK733" s="2040">
        <v>14.05</v>
      </c>
      <c r="HL733" s="2040">
        <v>14.59</v>
      </c>
      <c r="HM733" s="2040">
        <v>30.11</v>
      </c>
      <c r="HN733" s="2040">
        <v>30.11</v>
      </c>
      <c r="HO733" s="2040">
        <v>18.64</v>
      </c>
      <c r="HP733" s="2040">
        <v>18.64</v>
      </c>
      <c r="HQ733" s="2040">
        <v>20.170000000000002</v>
      </c>
      <c r="HR733" s="2040">
        <v>20.170000000000002</v>
      </c>
      <c r="HS733" s="2040">
        <v>20.170000000000002</v>
      </c>
      <c r="HT733" s="2040">
        <v>20.170000000000002</v>
      </c>
      <c r="HU733" s="2040">
        <v>20.170000000000002</v>
      </c>
      <c r="HV733" s="2040">
        <v>20.170000000000002</v>
      </c>
      <c r="HW733" s="2040">
        <v>20.079999999999998</v>
      </c>
      <c r="HX733" s="2040">
        <v>20.079999999999998</v>
      </c>
    </row>
    <row r="734" spans="2:232" s="2040" customFormat="1" ht="14" x14ac:dyDescent="0.3">
      <c r="B734" s="2504">
        <v>35</v>
      </c>
      <c r="C734" s="2505">
        <v>34.56</v>
      </c>
      <c r="D734" s="2505">
        <v>34.56</v>
      </c>
      <c r="E734" s="2505">
        <v>35.21</v>
      </c>
      <c r="F734" s="2505">
        <v>35.21</v>
      </c>
      <c r="G734" s="2505">
        <v>125.95</v>
      </c>
      <c r="H734" s="2505">
        <v>125.95</v>
      </c>
      <c r="I734" s="2505">
        <v>115.85</v>
      </c>
      <c r="J734" s="2505">
        <v>115.85</v>
      </c>
      <c r="K734" s="2505">
        <v>127.2</v>
      </c>
      <c r="L734" s="2505">
        <v>127.2</v>
      </c>
      <c r="M734" s="2505"/>
      <c r="N734" s="2505"/>
      <c r="O734" s="2505">
        <v>107.98</v>
      </c>
      <c r="P734" s="2505">
        <v>107.98</v>
      </c>
      <c r="Q734" s="2505">
        <v>108.67</v>
      </c>
      <c r="R734" s="2505">
        <v>107.99</v>
      </c>
      <c r="S734" s="2505">
        <v>176.63</v>
      </c>
      <c r="T734" s="2505">
        <v>176.63</v>
      </c>
      <c r="U734" s="2505">
        <v>170.49</v>
      </c>
      <c r="V734" s="2505">
        <v>170.49</v>
      </c>
      <c r="W734" s="2505">
        <v>176.63</v>
      </c>
      <c r="X734" s="2505">
        <v>176.63</v>
      </c>
      <c r="Y734" s="2505">
        <v>170.49</v>
      </c>
      <c r="Z734" s="2505">
        <v>176.63</v>
      </c>
      <c r="AA734" s="2505">
        <v>176.63</v>
      </c>
      <c r="AB734" s="2505">
        <v>176.63</v>
      </c>
      <c r="AC734" s="2505">
        <v>170.49</v>
      </c>
      <c r="AD734" s="2505">
        <v>170.49</v>
      </c>
      <c r="AE734" s="2505">
        <v>195.88</v>
      </c>
      <c r="AF734" s="2505">
        <v>190.32</v>
      </c>
      <c r="AG734" s="2505">
        <v>195.88</v>
      </c>
      <c r="AH734" s="2505">
        <v>195.88</v>
      </c>
      <c r="AI734" s="2505">
        <v>190.32</v>
      </c>
      <c r="AJ734" s="2505">
        <v>190.32</v>
      </c>
      <c r="AK734" s="2505">
        <v>191.8</v>
      </c>
      <c r="AL734" s="2505">
        <v>191.8</v>
      </c>
      <c r="AM734" s="2505">
        <v>57.17</v>
      </c>
      <c r="AN734" s="2505">
        <v>55.06</v>
      </c>
      <c r="AO734" s="2505">
        <v>55.06</v>
      </c>
      <c r="AP734" s="2505">
        <v>55.06</v>
      </c>
      <c r="AQ734" s="2505">
        <v>56.23</v>
      </c>
      <c r="AR734" s="2505">
        <v>56.23</v>
      </c>
      <c r="AS734" s="2505">
        <v>153.4</v>
      </c>
      <c r="AT734" s="2505">
        <v>153.4</v>
      </c>
      <c r="AU734" s="2505">
        <v>153.4</v>
      </c>
      <c r="AV734" s="2505">
        <v>157.63999999999999</v>
      </c>
      <c r="AW734" s="2505">
        <v>153.41999999999999</v>
      </c>
      <c r="AX734" s="2505">
        <v>153.41999999999999</v>
      </c>
      <c r="AY734" s="2505">
        <v>153.6</v>
      </c>
      <c r="AZ734" s="2505">
        <v>153.6</v>
      </c>
      <c r="BA734" s="2040">
        <v>65.98</v>
      </c>
      <c r="BB734" s="2040">
        <v>65.98</v>
      </c>
      <c r="BC734" s="2040">
        <v>15.6</v>
      </c>
      <c r="BD734" s="2040">
        <v>16.13</v>
      </c>
      <c r="BE734" s="2040">
        <v>20.34</v>
      </c>
      <c r="BF734" s="2040">
        <v>20.34</v>
      </c>
      <c r="BG734" s="2040">
        <v>15.65</v>
      </c>
      <c r="BH734" s="2040">
        <v>15.65</v>
      </c>
      <c r="BI734" s="2040">
        <v>15.5</v>
      </c>
      <c r="BJ734" s="2040">
        <v>15.5</v>
      </c>
      <c r="BK734" s="2040">
        <v>15.5</v>
      </c>
      <c r="BL734" s="2040">
        <v>15.5</v>
      </c>
      <c r="BM734" s="2040">
        <v>41.8</v>
      </c>
      <c r="BN734" s="2040">
        <v>41.8</v>
      </c>
      <c r="BO734" s="2040">
        <v>125.52</v>
      </c>
      <c r="BP734" s="2040">
        <v>125.52</v>
      </c>
      <c r="BQ734" s="2040">
        <v>125.52</v>
      </c>
      <c r="BR734" s="2040">
        <v>125.52</v>
      </c>
      <c r="BS734" s="2040">
        <v>151.94999999999999</v>
      </c>
      <c r="BT734" s="2040">
        <v>151.94999999999999</v>
      </c>
      <c r="BU734" s="2040">
        <v>151.94999999999999</v>
      </c>
      <c r="BV734" s="2040">
        <v>151.94999999999999</v>
      </c>
      <c r="BW734" s="2040">
        <v>151.94999999999999</v>
      </c>
      <c r="BX734" s="2040">
        <v>151.94999999999999</v>
      </c>
      <c r="BY734" s="2040">
        <v>37.97</v>
      </c>
      <c r="BZ734" s="2040">
        <v>37.97</v>
      </c>
      <c r="CA734" s="2040">
        <v>119.43</v>
      </c>
      <c r="CB734" s="2040">
        <v>119.43</v>
      </c>
      <c r="CC734" s="2040">
        <v>120.46</v>
      </c>
      <c r="CD734" s="2040">
        <v>120.46</v>
      </c>
      <c r="CE734" s="2040">
        <v>148.81</v>
      </c>
      <c r="CF734" s="2040">
        <v>148.81</v>
      </c>
      <c r="CK734" s="2040">
        <v>97.5</v>
      </c>
      <c r="CL734" s="2040">
        <v>97.5</v>
      </c>
      <c r="CM734" s="2040">
        <v>201.21</v>
      </c>
      <c r="CN734" s="2040">
        <v>201.21</v>
      </c>
      <c r="CO734" s="2040">
        <v>242.85</v>
      </c>
      <c r="CP734" s="2040">
        <v>242.85</v>
      </c>
      <c r="CQ734" s="2040">
        <v>242.85</v>
      </c>
      <c r="CR734" s="2040">
        <v>242.85</v>
      </c>
      <c r="CW734" s="2040">
        <v>88.08</v>
      </c>
      <c r="CX734" s="2040">
        <v>88.08</v>
      </c>
      <c r="CY734" s="2040">
        <v>191.82</v>
      </c>
      <c r="CZ734" s="2040">
        <v>191.82</v>
      </c>
      <c r="DA734" s="2040">
        <v>191.82</v>
      </c>
      <c r="DB734" s="2040">
        <v>191.82</v>
      </c>
      <c r="DC734" s="2040">
        <v>231.64</v>
      </c>
      <c r="DD734" s="2040">
        <v>231.64</v>
      </c>
      <c r="DE734" s="2040">
        <v>231.64</v>
      </c>
      <c r="DF734" s="2040">
        <v>231.64</v>
      </c>
      <c r="DI734" s="2040">
        <v>23.29</v>
      </c>
      <c r="DJ734" s="2040">
        <v>23.29</v>
      </c>
      <c r="DK734" s="2040">
        <v>23.29</v>
      </c>
      <c r="DL734" s="2040">
        <v>23.29</v>
      </c>
      <c r="DM734" s="2040">
        <v>23.29</v>
      </c>
      <c r="DN734" s="2040">
        <v>23.29</v>
      </c>
      <c r="DU734" s="2040">
        <v>10.43</v>
      </c>
      <c r="DV734" s="2040">
        <v>10.43</v>
      </c>
      <c r="DW734" s="2040">
        <v>9.32</v>
      </c>
      <c r="DX734" s="2040">
        <v>9.32</v>
      </c>
      <c r="DY734" s="2040">
        <v>9.32</v>
      </c>
      <c r="DZ734" s="2040">
        <v>9.32</v>
      </c>
      <c r="EG734" s="2040">
        <v>11.21</v>
      </c>
      <c r="EH734" s="2040">
        <v>11.5</v>
      </c>
      <c r="EI734" s="2040">
        <v>7.55</v>
      </c>
      <c r="EJ734" s="2040">
        <v>7.55</v>
      </c>
      <c r="EK734" s="2040">
        <v>7.51</v>
      </c>
      <c r="EL734" s="2040">
        <v>7.51</v>
      </c>
      <c r="EM734" s="2040">
        <v>8.3000000000000007</v>
      </c>
      <c r="EN734" s="2040">
        <v>8.3000000000000007</v>
      </c>
      <c r="EO734" s="2040">
        <v>7.72</v>
      </c>
      <c r="EP734" s="2040">
        <v>7.72</v>
      </c>
      <c r="EQ734" s="2040">
        <v>7.94</v>
      </c>
      <c r="ER734" s="2040">
        <v>8.02</v>
      </c>
      <c r="ES734" s="2040">
        <v>42.52</v>
      </c>
      <c r="ET734" s="2040">
        <v>42.52</v>
      </c>
      <c r="EU734" s="2040">
        <v>165.14</v>
      </c>
      <c r="EV734" s="2040">
        <v>165.14</v>
      </c>
      <c r="EW734" s="2040">
        <v>160.63999999999999</v>
      </c>
      <c r="EX734" s="2040">
        <v>160.63999999999999</v>
      </c>
      <c r="EY734" s="2506">
        <f t="shared" si="59"/>
        <v>162.88999999999999</v>
      </c>
      <c r="EZ734" s="2506">
        <f t="shared" si="59"/>
        <v>162.88999999999999</v>
      </c>
      <c r="FA734" s="2040">
        <v>166.07</v>
      </c>
      <c r="FB734" s="2040">
        <v>166.07</v>
      </c>
      <c r="FE734" s="2040">
        <v>36.450000000000003</v>
      </c>
      <c r="FF734" s="2040">
        <v>36.450000000000003</v>
      </c>
      <c r="FG734" s="2040">
        <v>137.97999999999999</v>
      </c>
      <c r="FH734" s="2040">
        <v>137.97999999999999</v>
      </c>
      <c r="FI734" s="2040">
        <v>137.97999999999999</v>
      </c>
      <c r="FJ734" s="2040">
        <v>137.97999999999999</v>
      </c>
      <c r="FK734" s="2040">
        <v>136.97</v>
      </c>
      <c r="FL734" s="2040">
        <v>136.97</v>
      </c>
      <c r="FM734" s="2040">
        <v>138.58000000000001</v>
      </c>
      <c r="FN734" s="2040">
        <v>138.58000000000001</v>
      </c>
      <c r="FQ734" s="2040">
        <v>82.44</v>
      </c>
      <c r="FR734" s="2040">
        <v>82.44</v>
      </c>
      <c r="FS734" s="2040">
        <v>158.32</v>
      </c>
      <c r="FT734" s="2040">
        <v>158.32</v>
      </c>
      <c r="FU734" s="2040">
        <v>158.32</v>
      </c>
      <c r="FV734" s="2040">
        <v>158.32</v>
      </c>
      <c r="FW734" s="2040">
        <v>159.37</v>
      </c>
      <c r="FX734" s="2040">
        <v>159.37</v>
      </c>
      <c r="GC734" s="2040">
        <v>58.58</v>
      </c>
      <c r="GD734" s="2040">
        <v>58.58</v>
      </c>
      <c r="GE734" s="2040">
        <v>135.12</v>
      </c>
      <c r="GF734" s="2040">
        <v>135.12</v>
      </c>
      <c r="GG734" s="2040">
        <v>135.12</v>
      </c>
      <c r="GH734" s="2040">
        <v>135.12</v>
      </c>
      <c r="GI734" s="2040">
        <v>113.2</v>
      </c>
      <c r="GJ734" s="2040">
        <v>113.2</v>
      </c>
      <c r="GK734" s="2040">
        <v>148.13</v>
      </c>
      <c r="GL734" s="2040">
        <v>148.13</v>
      </c>
      <c r="GO734" s="2040">
        <v>31.26</v>
      </c>
      <c r="GP734" s="2040">
        <v>31.26</v>
      </c>
      <c r="GQ734" s="2040">
        <v>23.89</v>
      </c>
      <c r="GR734" s="2040">
        <v>23.89</v>
      </c>
      <c r="GS734" s="2040">
        <v>23.89</v>
      </c>
      <c r="GT734" s="2040">
        <v>22.92</v>
      </c>
      <c r="GU734" s="2040">
        <v>22.92</v>
      </c>
      <c r="GV734" s="2040">
        <v>23.66</v>
      </c>
      <c r="GW734" s="2040">
        <v>137.59</v>
      </c>
      <c r="GX734" s="2040">
        <v>137.59</v>
      </c>
      <c r="HA734" s="2040">
        <v>21.83</v>
      </c>
      <c r="HB734" s="2040">
        <v>21.83</v>
      </c>
      <c r="HC734" s="2040">
        <v>13.36</v>
      </c>
      <c r="HD734" s="2040">
        <v>13.36</v>
      </c>
      <c r="HE734" s="2040">
        <v>14.41</v>
      </c>
      <c r="HF734" s="2040">
        <v>14.41</v>
      </c>
      <c r="HG734" s="2040">
        <v>14.41</v>
      </c>
      <c r="HH734" s="2040">
        <v>14.41</v>
      </c>
      <c r="HI734" s="2040">
        <v>14.41</v>
      </c>
      <c r="HJ734" s="2040">
        <v>14.41</v>
      </c>
      <c r="HK734" s="2040">
        <v>14.42</v>
      </c>
      <c r="HL734" s="2040">
        <v>14.94</v>
      </c>
      <c r="HM734" s="2040">
        <v>30.58</v>
      </c>
      <c r="HN734" s="2040">
        <v>30.58</v>
      </c>
      <c r="HO734" s="2040">
        <v>19.16</v>
      </c>
      <c r="HP734" s="2040">
        <v>19.16</v>
      </c>
      <c r="HQ734" s="2040">
        <v>20.67</v>
      </c>
      <c r="HR734" s="2040">
        <v>20.67</v>
      </c>
      <c r="HS734" s="2040">
        <v>20.67</v>
      </c>
      <c r="HT734" s="2040">
        <v>20.67</v>
      </c>
      <c r="HU734" s="2040">
        <v>20.67</v>
      </c>
      <c r="HV734" s="2040">
        <v>20.67</v>
      </c>
      <c r="HW734" s="2040">
        <v>20.59</v>
      </c>
      <c r="HX734" s="2040">
        <v>20.59</v>
      </c>
    </row>
    <row r="735" spans="2:232" s="2040" customFormat="1" ht="14" x14ac:dyDescent="0.3">
      <c r="B735" s="2504">
        <v>36</v>
      </c>
      <c r="C735" s="2505">
        <v>35.06</v>
      </c>
      <c r="D735" s="2505">
        <v>35.06</v>
      </c>
      <c r="E735" s="2505">
        <v>35.68</v>
      </c>
      <c r="F735" s="2505">
        <v>35.68</v>
      </c>
      <c r="G735" s="2505">
        <v>128.16999999999999</v>
      </c>
      <c r="H735" s="2505">
        <v>128.16999999999999</v>
      </c>
      <c r="I735" s="2505">
        <v>118.07</v>
      </c>
      <c r="J735" s="2505">
        <v>118.07</v>
      </c>
      <c r="K735" s="2505">
        <v>129.15</v>
      </c>
      <c r="L735" s="2505">
        <v>129.15</v>
      </c>
      <c r="M735" s="2505"/>
      <c r="N735" s="2505"/>
      <c r="O735" s="2505">
        <v>109.57</v>
      </c>
      <c r="P735" s="2505">
        <v>109.57</v>
      </c>
      <c r="Q735" s="2505">
        <v>110.2</v>
      </c>
      <c r="R735" s="2505">
        <v>109.58</v>
      </c>
      <c r="S735" s="2505">
        <v>180.35</v>
      </c>
      <c r="T735" s="2505">
        <v>180.35</v>
      </c>
      <c r="U735" s="2505">
        <v>174.08</v>
      </c>
      <c r="V735" s="2505">
        <v>174.08</v>
      </c>
      <c r="W735" s="2505">
        <v>180.35</v>
      </c>
      <c r="X735" s="2505">
        <v>180.35</v>
      </c>
      <c r="Y735" s="2505">
        <v>174.08</v>
      </c>
      <c r="Z735" s="2505">
        <v>180.35</v>
      </c>
      <c r="AA735" s="2505">
        <v>180.35</v>
      </c>
      <c r="AB735" s="2505">
        <v>180.35</v>
      </c>
      <c r="AC735" s="2505">
        <v>174.08</v>
      </c>
      <c r="AD735" s="2505">
        <v>174.08</v>
      </c>
      <c r="AE735" s="2505">
        <v>199.45</v>
      </c>
      <c r="AF735" s="2505">
        <v>193.79</v>
      </c>
      <c r="AG735" s="2505">
        <v>199.45</v>
      </c>
      <c r="AH735" s="2505">
        <v>199.45</v>
      </c>
      <c r="AI735" s="2505">
        <v>193.79</v>
      </c>
      <c r="AJ735" s="2505">
        <v>193.79</v>
      </c>
      <c r="AK735" s="2505">
        <v>195.21</v>
      </c>
      <c r="AL735" s="2505">
        <v>195.21</v>
      </c>
      <c r="AM735" s="2505">
        <v>58</v>
      </c>
      <c r="AN735" s="2505">
        <v>55.87</v>
      </c>
      <c r="AO735" s="2505">
        <v>55.87</v>
      </c>
      <c r="AP735" s="2505">
        <v>55.87</v>
      </c>
      <c r="AQ735" s="2505">
        <v>56.99</v>
      </c>
      <c r="AR735" s="2505">
        <v>56.99</v>
      </c>
      <c r="AS735" s="2505">
        <v>156.24</v>
      </c>
      <c r="AT735" s="2505">
        <v>156.24</v>
      </c>
      <c r="AU735" s="2505">
        <v>156.24</v>
      </c>
      <c r="AV735" s="2505">
        <v>160.52000000000001</v>
      </c>
      <c r="AW735" s="2505">
        <v>156.30000000000001</v>
      </c>
      <c r="AX735" s="2505">
        <v>156.30000000000001</v>
      </c>
      <c r="AY735" s="2505">
        <v>156.47</v>
      </c>
      <c r="AZ735" s="2505">
        <v>156.47</v>
      </c>
      <c r="BA735" s="2040">
        <v>67.25</v>
      </c>
      <c r="BB735" s="2040">
        <v>67.25</v>
      </c>
      <c r="BC735" s="2040">
        <v>15.95</v>
      </c>
      <c r="BD735" s="2040">
        <v>16.46</v>
      </c>
      <c r="BE735" s="2040">
        <v>20.65</v>
      </c>
      <c r="BF735" s="2040">
        <v>20.65</v>
      </c>
      <c r="BG735" s="2040">
        <v>16</v>
      </c>
      <c r="BH735" s="2040">
        <v>16</v>
      </c>
      <c r="BI735" s="2040">
        <v>15.85</v>
      </c>
      <c r="BJ735" s="2040">
        <v>15.85</v>
      </c>
      <c r="BK735" s="2040">
        <v>15.85</v>
      </c>
      <c r="BL735" s="2040">
        <v>15.85</v>
      </c>
      <c r="BM735" s="2040">
        <v>42.41</v>
      </c>
      <c r="BN735" s="2040">
        <v>42.41</v>
      </c>
      <c r="BO735" s="2040">
        <v>127.62</v>
      </c>
      <c r="BP735" s="2040">
        <v>127.62</v>
      </c>
      <c r="BQ735" s="2040">
        <v>127.62</v>
      </c>
      <c r="BR735" s="2040">
        <v>127.62</v>
      </c>
      <c r="BS735" s="2040">
        <v>155.01</v>
      </c>
      <c r="BT735" s="2040">
        <v>155.01</v>
      </c>
      <c r="BU735" s="2040">
        <v>155.01</v>
      </c>
      <c r="BV735" s="2040">
        <v>155.01</v>
      </c>
      <c r="BW735" s="2040">
        <v>155.01</v>
      </c>
      <c r="BX735" s="2040">
        <v>155.01</v>
      </c>
      <c r="BY735" s="2040">
        <v>38.53</v>
      </c>
      <c r="BZ735" s="2040">
        <v>38.53</v>
      </c>
      <c r="CA735" s="2040">
        <v>121.47</v>
      </c>
      <c r="CB735" s="2040">
        <v>121.47</v>
      </c>
      <c r="CC735" s="2040">
        <v>122.57</v>
      </c>
      <c r="CD735" s="2040">
        <v>122.57</v>
      </c>
      <c r="CE735" s="2040">
        <v>151.86000000000001</v>
      </c>
      <c r="CF735" s="2040">
        <v>151.86000000000001</v>
      </c>
      <c r="CK735" s="2040">
        <v>98.72</v>
      </c>
      <c r="CL735" s="2040">
        <v>98.72</v>
      </c>
      <c r="CM735" s="2040">
        <v>203.58</v>
      </c>
      <c r="CN735" s="2040">
        <v>203.58</v>
      </c>
      <c r="CO735" s="2040">
        <v>246.53</v>
      </c>
      <c r="CP735" s="2040">
        <v>246.53</v>
      </c>
      <c r="CQ735" s="2040">
        <v>246.53</v>
      </c>
      <c r="CR735" s="2040">
        <v>246.53</v>
      </c>
      <c r="CW735" s="2040">
        <v>89.37</v>
      </c>
      <c r="CX735" s="2040">
        <v>89.37</v>
      </c>
      <c r="CY735" s="2040">
        <v>194.21</v>
      </c>
      <c r="CZ735" s="2040">
        <v>194.21</v>
      </c>
      <c r="DA735" s="2040">
        <v>194.21</v>
      </c>
      <c r="DB735" s="2040">
        <v>194.21</v>
      </c>
      <c r="DC735" s="2040">
        <v>235.3</v>
      </c>
      <c r="DD735" s="2040">
        <v>235.3</v>
      </c>
      <c r="DE735" s="2040">
        <v>235.3</v>
      </c>
      <c r="DF735" s="2040">
        <v>235.3</v>
      </c>
      <c r="DI735" s="2040">
        <v>23.63</v>
      </c>
      <c r="DJ735" s="2040">
        <v>23.63</v>
      </c>
      <c r="DK735" s="2040">
        <v>23.63</v>
      </c>
      <c r="DL735" s="2040">
        <v>23.63</v>
      </c>
      <c r="DM735" s="2040">
        <v>23.63</v>
      </c>
      <c r="DN735" s="2040">
        <v>23.63</v>
      </c>
      <c r="DU735" s="2040">
        <v>10.58</v>
      </c>
      <c r="DV735" s="2040">
        <v>10.58</v>
      </c>
      <c r="DW735" s="2040">
        <v>9.49</v>
      </c>
      <c r="DX735" s="2040">
        <v>9.49</v>
      </c>
      <c r="DY735" s="2040">
        <v>9.49</v>
      </c>
      <c r="DZ735" s="2040">
        <v>9.49</v>
      </c>
      <c r="EG735" s="2040">
        <v>11.36</v>
      </c>
      <c r="EH735" s="2040">
        <v>11.64</v>
      </c>
      <c r="EI735" s="2040">
        <v>7.71</v>
      </c>
      <c r="EJ735" s="2040">
        <v>7.71</v>
      </c>
      <c r="EK735" s="2040">
        <v>7.68</v>
      </c>
      <c r="EL735" s="2040">
        <v>7.68</v>
      </c>
      <c r="EM735" s="2040">
        <v>8.4700000000000006</v>
      </c>
      <c r="EN735" s="2040">
        <v>8.4700000000000006</v>
      </c>
      <c r="EO735" s="2040">
        <v>7.88</v>
      </c>
      <c r="EP735" s="2040">
        <v>7.88</v>
      </c>
      <c r="EQ735" s="2040">
        <v>8.1</v>
      </c>
      <c r="ER735" s="2040">
        <v>8.18</v>
      </c>
      <c r="ES735" s="2040">
        <v>43.19</v>
      </c>
      <c r="ET735" s="2040">
        <v>43.19</v>
      </c>
      <c r="EU735" s="2040">
        <v>168.79</v>
      </c>
      <c r="EV735" s="2040">
        <v>168.79</v>
      </c>
      <c r="EW735" s="2040">
        <v>164.25</v>
      </c>
      <c r="EX735" s="2040">
        <v>164.25</v>
      </c>
      <c r="EY735" s="2506">
        <f t="shared" si="59"/>
        <v>166.51999999999998</v>
      </c>
      <c r="EZ735" s="2506">
        <f t="shared" si="59"/>
        <v>166.51999999999998</v>
      </c>
      <c r="FA735" s="2040">
        <v>169.62</v>
      </c>
      <c r="FB735" s="2040">
        <v>169.62</v>
      </c>
      <c r="FE735" s="2040">
        <v>37.049999999999997</v>
      </c>
      <c r="FF735" s="2040">
        <v>37.049999999999997</v>
      </c>
      <c r="FG735" s="2040">
        <v>141.16999999999999</v>
      </c>
      <c r="FH735" s="2040">
        <v>141.16999999999999</v>
      </c>
      <c r="FI735" s="2040">
        <v>141.16999999999999</v>
      </c>
      <c r="FJ735" s="2040">
        <v>141.16999999999999</v>
      </c>
      <c r="FK735" s="2040">
        <v>140.19</v>
      </c>
      <c r="FL735" s="2040">
        <v>140.19</v>
      </c>
      <c r="FM735" s="2040">
        <v>141.77000000000001</v>
      </c>
      <c r="FN735" s="2040">
        <v>141.77000000000001</v>
      </c>
      <c r="FQ735" s="2040">
        <v>83.58</v>
      </c>
      <c r="FR735" s="2040">
        <v>83.58</v>
      </c>
      <c r="FS735" s="2040">
        <v>160.84</v>
      </c>
      <c r="FT735" s="2040">
        <v>160.84</v>
      </c>
      <c r="FU735" s="2040">
        <v>160.84</v>
      </c>
      <c r="FV735" s="2040">
        <v>160.84</v>
      </c>
      <c r="FW735" s="2040">
        <v>161.87</v>
      </c>
      <c r="FX735" s="2040">
        <v>161.87</v>
      </c>
      <c r="GC735" s="2040">
        <v>59.31</v>
      </c>
      <c r="GD735" s="2040">
        <v>59.31</v>
      </c>
      <c r="GE735" s="2040">
        <v>136.63999999999999</v>
      </c>
      <c r="GF735" s="2040">
        <v>136.63999999999999</v>
      </c>
      <c r="GG735" s="2040">
        <v>136.63999999999999</v>
      </c>
      <c r="GH735" s="2040">
        <v>136.63999999999999</v>
      </c>
      <c r="GI735" s="2040">
        <v>115.85</v>
      </c>
      <c r="GJ735" s="2040">
        <v>115.85</v>
      </c>
      <c r="GK735" s="2040">
        <v>150.6</v>
      </c>
      <c r="GL735" s="2040">
        <v>150.6</v>
      </c>
      <c r="GO735" s="2040">
        <v>31.74</v>
      </c>
      <c r="GP735" s="2040">
        <v>31.74</v>
      </c>
      <c r="GQ735" s="2040">
        <v>24.4</v>
      </c>
      <c r="GR735" s="2040">
        <v>24.4</v>
      </c>
      <c r="GS735" s="2040">
        <v>24.4</v>
      </c>
      <c r="GT735" s="2040">
        <v>23.42</v>
      </c>
      <c r="GU735" s="2040">
        <v>23.42</v>
      </c>
      <c r="GV735" s="2040">
        <v>24.13</v>
      </c>
      <c r="GW735" s="2040">
        <v>140.43</v>
      </c>
      <c r="GX735" s="2040">
        <v>140.43</v>
      </c>
      <c r="HA735" s="2040">
        <v>22.15</v>
      </c>
      <c r="HB735" s="2040">
        <v>22.15</v>
      </c>
      <c r="HC735" s="2040">
        <v>13.72</v>
      </c>
      <c r="HD735" s="2040">
        <v>13.72</v>
      </c>
      <c r="HE735" s="2040">
        <v>14.76</v>
      </c>
      <c r="HF735" s="2040">
        <v>14.76</v>
      </c>
      <c r="HG735" s="2040">
        <v>14.76</v>
      </c>
      <c r="HH735" s="2040">
        <v>14.76</v>
      </c>
      <c r="HI735" s="2040">
        <v>14.76</v>
      </c>
      <c r="HJ735" s="2040">
        <v>14.76</v>
      </c>
      <c r="HK735" s="2040">
        <v>14.77</v>
      </c>
      <c r="HL735" s="2040">
        <v>15.28</v>
      </c>
      <c r="HM735" s="2040">
        <v>31.02</v>
      </c>
      <c r="HN735" s="2040">
        <v>31.02</v>
      </c>
      <c r="HO735" s="2040">
        <v>19.66</v>
      </c>
      <c r="HP735" s="2040">
        <v>19.66</v>
      </c>
      <c r="HQ735" s="2040">
        <v>21.16</v>
      </c>
      <c r="HR735" s="2040">
        <v>21.16</v>
      </c>
      <c r="HS735" s="2040">
        <v>21.16</v>
      </c>
      <c r="HT735" s="2040">
        <v>21.16</v>
      </c>
      <c r="HU735" s="2040">
        <v>21.16</v>
      </c>
      <c r="HV735" s="2040">
        <v>21.16</v>
      </c>
      <c r="HW735" s="2040">
        <v>21.09</v>
      </c>
      <c r="HX735" s="2040">
        <v>21.09</v>
      </c>
    </row>
    <row r="736" spans="2:232" s="2040" customFormat="1" ht="14" x14ac:dyDescent="0.3">
      <c r="B736" s="2504">
        <v>37</v>
      </c>
      <c r="C736" s="2505">
        <v>35.549999999999997</v>
      </c>
      <c r="D736" s="2505">
        <v>35.549999999999997</v>
      </c>
      <c r="E736" s="2505">
        <v>36.14</v>
      </c>
      <c r="F736" s="2505">
        <v>36.14</v>
      </c>
      <c r="G736" s="2505">
        <v>130.32</v>
      </c>
      <c r="H736" s="2505">
        <v>130.32</v>
      </c>
      <c r="I736" s="2505">
        <v>120.21</v>
      </c>
      <c r="J736" s="2505">
        <v>120.21</v>
      </c>
      <c r="K736" s="2505">
        <v>131.03</v>
      </c>
      <c r="L736" s="2505">
        <v>131.03</v>
      </c>
      <c r="M736" s="2505"/>
      <c r="N736" s="2505"/>
      <c r="O736" s="2505">
        <v>111.1</v>
      </c>
      <c r="P736" s="2505">
        <v>111.1</v>
      </c>
      <c r="Q736" s="2505">
        <v>111.66</v>
      </c>
      <c r="R736" s="2505">
        <v>111.11</v>
      </c>
      <c r="S736" s="2505">
        <v>183.95</v>
      </c>
      <c r="T736" s="2505">
        <v>183.95</v>
      </c>
      <c r="U736" s="2505">
        <v>177.55</v>
      </c>
      <c r="V736" s="2505">
        <v>177.55</v>
      </c>
      <c r="W736" s="2505">
        <v>183.95</v>
      </c>
      <c r="X736" s="2505">
        <v>183.95</v>
      </c>
      <c r="Y736" s="2505">
        <v>177.55</v>
      </c>
      <c r="Z736" s="2505">
        <v>183.95</v>
      </c>
      <c r="AA736" s="2505">
        <v>183.95</v>
      </c>
      <c r="AB736" s="2505">
        <v>183.95</v>
      </c>
      <c r="AC736" s="2505">
        <v>177.55</v>
      </c>
      <c r="AD736" s="2505">
        <v>177.55</v>
      </c>
      <c r="AE736" s="2505">
        <v>202.89</v>
      </c>
      <c r="AF736" s="2505">
        <v>197.13</v>
      </c>
      <c r="AG736" s="2505">
        <v>202.89</v>
      </c>
      <c r="AH736" s="2505">
        <v>202.89</v>
      </c>
      <c r="AI736" s="2505">
        <v>197.13</v>
      </c>
      <c r="AJ736" s="2505">
        <v>197.13</v>
      </c>
      <c r="AK736" s="2505">
        <v>198.5</v>
      </c>
      <c r="AL736" s="2505">
        <v>198.5</v>
      </c>
      <c r="AM736" s="2505">
        <v>58.81</v>
      </c>
      <c r="AN736" s="2505">
        <v>56.64</v>
      </c>
      <c r="AO736" s="2505">
        <v>56.64</v>
      </c>
      <c r="AP736" s="2505">
        <v>56.64</v>
      </c>
      <c r="AQ736" s="2505">
        <v>57.72</v>
      </c>
      <c r="AR736" s="2505">
        <v>57.72</v>
      </c>
      <c r="AS736" s="2505">
        <v>158.97999999999999</v>
      </c>
      <c r="AT736" s="2505">
        <v>158.97999999999999</v>
      </c>
      <c r="AU736" s="2505">
        <v>158.97999999999999</v>
      </c>
      <c r="AV736" s="2505">
        <v>163.29</v>
      </c>
      <c r="AW736" s="2505">
        <v>159.06</v>
      </c>
      <c r="AX736" s="2505">
        <v>159.06</v>
      </c>
      <c r="AY736" s="2505">
        <v>159.24</v>
      </c>
      <c r="AZ736" s="2505">
        <v>159.24</v>
      </c>
      <c r="BA736" s="2040">
        <v>68.47</v>
      </c>
      <c r="BB736" s="2040">
        <v>68.47</v>
      </c>
      <c r="BC736" s="2040">
        <v>16.3</v>
      </c>
      <c r="BD736" s="2040">
        <v>16.79</v>
      </c>
      <c r="BE736" s="2040">
        <v>20.94</v>
      </c>
      <c r="BF736" s="2040">
        <v>20.94</v>
      </c>
      <c r="BG736" s="2040">
        <v>16.350000000000001</v>
      </c>
      <c r="BH736" s="2040">
        <v>16.350000000000001</v>
      </c>
      <c r="BI736" s="2040">
        <v>16.2</v>
      </c>
      <c r="BJ736" s="2040">
        <v>16.2</v>
      </c>
      <c r="BK736" s="2040">
        <v>16.2</v>
      </c>
      <c r="BL736" s="2040">
        <v>16.2</v>
      </c>
      <c r="BM736" s="2040">
        <v>43</v>
      </c>
      <c r="BN736" s="2040">
        <v>43</v>
      </c>
      <c r="BO736" s="2040">
        <v>129.65</v>
      </c>
      <c r="BP736" s="2040">
        <v>129.65</v>
      </c>
      <c r="BQ736" s="2040">
        <v>129.65</v>
      </c>
      <c r="BR736" s="2040">
        <v>129.65</v>
      </c>
      <c r="BS736" s="2040">
        <v>157.97</v>
      </c>
      <c r="BT736" s="2040">
        <v>157.97</v>
      </c>
      <c r="BU736" s="2040">
        <v>157.97</v>
      </c>
      <c r="BV736" s="2040">
        <v>157.97</v>
      </c>
      <c r="BW736" s="2040">
        <v>157.97</v>
      </c>
      <c r="BX736" s="2040">
        <v>157.97</v>
      </c>
      <c r="BY736" s="2040">
        <v>39.06</v>
      </c>
      <c r="BZ736" s="2040">
        <v>39.06</v>
      </c>
      <c r="CA736" s="2040">
        <v>123.43</v>
      </c>
      <c r="CB736" s="2040">
        <v>123.43</v>
      </c>
      <c r="CC736" s="2040">
        <v>124.6</v>
      </c>
      <c r="CD736" s="2040">
        <v>124.6</v>
      </c>
      <c r="CE736" s="2040">
        <v>154.81</v>
      </c>
      <c r="CF736" s="2040">
        <v>154.81</v>
      </c>
      <c r="CK736" s="2040">
        <v>99.89</v>
      </c>
      <c r="CL736" s="2040">
        <v>99.89</v>
      </c>
      <c r="CM736" s="2040">
        <v>205.86</v>
      </c>
      <c r="CN736" s="2040">
        <v>205.86</v>
      </c>
      <c r="CO736" s="2040">
        <v>250.06</v>
      </c>
      <c r="CP736" s="2040">
        <v>250.06</v>
      </c>
      <c r="CQ736" s="2040">
        <v>250.06</v>
      </c>
      <c r="CR736" s="2040">
        <v>250.06</v>
      </c>
      <c r="CW736" s="2040">
        <v>90.62</v>
      </c>
      <c r="CX736" s="2040">
        <v>90.62</v>
      </c>
      <c r="CY736" s="2040">
        <v>196.5</v>
      </c>
      <c r="CZ736" s="2040">
        <v>196.5</v>
      </c>
      <c r="DA736" s="2040">
        <v>196.5</v>
      </c>
      <c r="DB736" s="2040">
        <v>196.5</v>
      </c>
      <c r="DC736" s="2040">
        <v>238.81</v>
      </c>
      <c r="DD736" s="2040">
        <v>238.81</v>
      </c>
      <c r="DE736" s="2040">
        <v>238.81</v>
      </c>
      <c r="DF736" s="2040">
        <v>238.81</v>
      </c>
      <c r="DI736" s="2040">
        <v>23.96</v>
      </c>
      <c r="DJ736" s="2040">
        <v>23.96</v>
      </c>
      <c r="DK736" s="2040">
        <v>23.96</v>
      </c>
      <c r="DL736" s="2040">
        <v>23.96</v>
      </c>
      <c r="DM736" s="2040">
        <v>23.96</v>
      </c>
      <c r="DN736" s="2040">
        <v>23.96</v>
      </c>
      <c r="DU736" s="2040">
        <v>10.72</v>
      </c>
      <c r="DV736" s="2040">
        <v>10.72</v>
      </c>
      <c r="DW736" s="2040">
        <v>9.66</v>
      </c>
      <c r="DX736" s="2040">
        <v>9.66</v>
      </c>
      <c r="DY736" s="2040">
        <v>9.66</v>
      </c>
      <c r="DZ736" s="2040">
        <v>9.66</v>
      </c>
      <c r="EG736" s="2040">
        <v>11.51</v>
      </c>
      <c r="EH736" s="2040">
        <v>11.78</v>
      </c>
      <c r="EI736" s="2040">
        <v>7.89</v>
      </c>
      <c r="EJ736" s="2040">
        <v>7.89</v>
      </c>
      <c r="EK736" s="2040">
        <v>7.85</v>
      </c>
      <c r="EL736" s="2040">
        <v>7.85</v>
      </c>
      <c r="EM736" s="2040">
        <v>8.64</v>
      </c>
      <c r="EN736" s="2040">
        <v>8.64</v>
      </c>
      <c r="EO736" s="2040">
        <v>8.0500000000000007</v>
      </c>
      <c r="EP736" s="2040">
        <v>8.0500000000000007</v>
      </c>
      <c r="EQ736" s="2040">
        <v>8.2799999999999994</v>
      </c>
      <c r="ER736" s="2040">
        <v>8.35</v>
      </c>
      <c r="ES736" s="2040">
        <v>43.79</v>
      </c>
      <c r="ET736" s="2040">
        <v>43.79</v>
      </c>
      <c r="EU736" s="2040">
        <v>172.07</v>
      </c>
      <c r="EV736" s="2040">
        <v>172.07</v>
      </c>
      <c r="EW736" s="2040">
        <v>167.49</v>
      </c>
      <c r="EX736" s="2040">
        <v>167.49</v>
      </c>
      <c r="EY736" s="2506">
        <f t="shared" si="59"/>
        <v>169.78</v>
      </c>
      <c r="EZ736" s="2506">
        <f t="shared" si="59"/>
        <v>169.78</v>
      </c>
      <c r="FA736" s="2040">
        <v>172.8</v>
      </c>
      <c r="FB736" s="2040">
        <v>172.8</v>
      </c>
      <c r="FE736" s="2040">
        <v>37.57</v>
      </c>
      <c r="FF736" s="2040">
        <v>37.57</v>
      </c>
      <c r="FG736" s="2040">
        <v>143.97</v>
      </c>
      <c r="FH736" s="2040">
        <v>143.97</v>
      </c>
      <c r="FI736" s="2040">
        <v>143.97</v>
      </c>
      <c r="FJ736" s="2040">
        <v>147.66999999999999</v>
      </c>
      <c r="FK736" s="2040">
        <v>143.01</v>
      </c>
      <c r="FL736" s="2040">
        <v>143.01</v>
      </c>
      <c r="FM736" s="2040">
        <v>144.56</v>
      </c>
      <c r="FN736" s="2040">
        <v>144.56</v>
      </c>
      <c r="FQ736" s="2040">
        <v>84.76</v>
      </c>
      <c r="FR736" s="2040">
        <v>84.76</v>
      </c>
      <c r="FS736" s="2040">
        <v>163.44</v>
      </c>
      <c r="FT736" s="2040">
        <v>163.44</v>
      </c>
      <c r="FU736" s="2040">
        <v>163.44</v>
      </c>
      <c r="FV736" s="2040">
        <v>163.44</v>
      </c>
      <c r="FW736" s="2040">
        <v>164.45</v>
      </c>
      <c r="FX736" s="2040">
        <v>164.45</v>
      </c>
      <c r="GC736" s="2040">
        <v>60.13</v>
      </c>
      <c r="GD736" s="2040">
        <v>60.13</v>
      </c>
      <c r="GE736" s="2040">
        <v>138.34</v>
      </c>
      <c r="GF736" s="2040">
        <v>138.34</v>
      </c>
      <c r="GG736" s="2040">
        <v>138.34</v>
      </c>
      <c r="GH736" s="2040">
        <v>138.34</v>
      </c>
      <c r="GI736" s="2040">
        <v>118.86</v>
      </c>
      <c r="GJ736" s="2040">
        <v>118.86</v>
      </c>
      <c r="GK736" s="2040">
        <v>153.38999999999999</v>
      </c>
      <c r="GL736" s="2040">
        <v>153.38999999999999</v>
      </c>
      <c r="GO736" s="2040">
        <v>32.18</v>
      </c>
      <c r="GP736" s="2040">
        <v>32.18</v>
      </c>
      <c r="GQ736" s="2040">
        <v>24.89</v>
      </c>
      <c r="GR736" s="2040">
        <v>24.89</v>
      </c>
      <c r="GS736" s="2040">
        <v>24.89</v>
      </c>
      <c r="GT736" s="2040">
        <v>23.9</v>
      </c>
      <c r="GU736" s="2040">
        <v>23.9</v>
      </c>
      <c r="GV736" s="2040">
        <v>24.59</v>
      </c>
      <c r="GW736" s="2040">
        <v>143.18</v>
      </c>
      <c r="GX736" s="2040">
        <v>143.18</v>
      </c>
      <c r="HA736" s="2040">
        <v>22.45</v>
      </c>
      <c r="HB736" s="2040">
        <v>22.45</v>
      </c>
      <c r="HC736" s="2040">
        <v>14.07</v>
      </c>
      <c r="HD736" s="2040">
        <v>14.07</v>
      </c>
      <c r="HE736" s="2040">
        <v>15.1</v>
      </c>
      <c r="HF736" s="2040">
        <v>15.1</v>
      </c>
      <c r="HG736" s="2040">
        <v>15.1</v>
      </c>
      <c r="HH736" s="2040">
        <v>15.1</v>
      </c>
      <c r="HI736" s="2040">
        <v>15.1</v>
      </c>
      <c r="HJ736" s="2040">
        <v>15.1</v>
      </c>
      <c r="HK736" s="2040">
        <v>15.11</v>
      </c>
      <c r="HL736" s="2040">
        <v>15.61</v>
      </c>
      <c r="HM736" s="2040">
        <v>31.45</v>
      </c>
      <c r="HN736" s="2040">
        <v>31.45</v>
      </c>
      <c r="HO736" s="2040">
        <v>20.149999999999999</v>
      </c>
      <c r="HP736" s="2040">
        <v>20.149999999999999</v>
      </c>
      <c r="HQ736" s="2040">
        <v>21.63</v>
      </c>
      <c r="HR736" s="2040">
        <v>21.63</v>
      </c>
      <c r="HS736" s="2040">
        <v>21.63</v>
      </c>
      <c r="HT736" s="2040">
        <v>21.63</v>
      </c>
      <c r="HU736" s="2040">
        <v>21.63</v>
      </c>
      <c r="HV736" s="2040">
        <v>21.63</v>
      </c>
      <c r="HW736" s="2040">
        <v>21.57</v>
      </c>
      <c r="HX736" s="2040">
        <v>21.57</v>
      </c>
    </row>
    <row r="737" spans="2:232" s="2040" customFormat="1" ht="14" x14ac:dyDescent="0.3">
      <c r="B737" s="2504">
        <v>38</v>
      </c>
      <c r="C737" s="2505">
        <v>36.01</v>
      </c>
      <c r="D737" s="2505">
        <v>36.01</v>
      </c>
      <c r="E737" s="2505">
        <v>36.58</v>
      </c>
      <c r="F737" s="2505">
        <v>36.58</v>
      </c>
      <c r="G737" s="2505">
        <v>132.38</v>
      </c>
      <c r="H737" s="2505">
        <v>132.38</v>
      </c>
      <c r="I737" s="2505">
        <v>122.28</v>
      </c>
      <c r="J737" s="2505">
        <v>122.28</v>
      </c>
      <c r="K737" s="2505">
        <v>132.85</v>
      </c>
      <c r="L737" s="2505">
        <v>132.85</v>
      </c>
      <c r="M737" s="2505"/>
      <c r="N737" s="2505"/>
      <c r="O737" s="2505">
        <v>112.56</v>
      </c>
      <c r="P737" s="2505">
        <v>112.56</v>
      </c>
      <c r="Q737" s="2505">
        <v>113.07</v>
      </c>
      <c r="R737" s="2505">
        <v>112.57</v>
      </c>
      <c r="S737" s="2505">
        <v>187.42</v>
      </c>
      <c r="T737" s="2505">
        <v>187.42</v>
      </c>
      <c r="U737" s="2505">
        <v>180.91</v>
      </c>
      <c r="V737" s="2505">
        <v>180.91</v>
      </c>
      <c r="W737" s="2505">
        <v>187.42</v>
      </c>
      <c r="X737" s="2505">
        <v>187.42</v>
      </c>
      <c r="Y737" s="2505">
        <v>180.91</v>
      </c>
      <c r="Z737" s="2505">
        <v>187.42</v>
      </c>
      <c r="AA737" s="2505">
        <v>187.42</v>
      </c>
      <c r="AB737" s="2505">
        <v>187.42</v>
      </c>
      <c r="AC737" s="2505">
        <v>180.91</v>
      </c>
      <c r="AD737" s="2505">
        <v>180.91</v>
      </c>
      <c r="AE737" s="2505">
        <v>206.21</v>
      </c>
      <c r="AF737" s="2505">
        <v>200.35</v>
      </c>
      <c r="AG737" s="2505">
        <v>206.21</v>
      </c>
      <c r="AH737" s="2505">
        <v>206.21</v>
      </c>
      <c r="AI737" s="2505">
        <v>200.35</v>
      </c>
      <c r="AJ737" s="2505">
        <v>200.35</v>
      </c>
      <c r="AK737" s="2505">
        <v>201.66</v>
      </c>
      <c r="AL737" s="2505">
        <v>201.66</v>
      </c>
      <c r="AM737" s="2505">
        <v>59.58</v>
      </c>
      <c r="AN737" s="2505">
        <v>57.39</v>
      </c>
      <c r="AO737" s="2505">
        <v>57.39</v>
      </c>
      <c r="AP737" s="2505">
        <v>57.39</v>
      </c>
      <c r="AQ737" s="2505">
        <v>58.42</v>
      </c>
      <c r="AR737" s="2505">
        <v>58.42</v>
      </c>
      <c r="AS737" s="2505">
        <v>161.63</v>
      </c>
      <c r="AT737" s="2505">
        <v>161.63</v>
      </c>
      <c r="AU737" s="2505">
        <v>161.63</v>
      </c>
      <c r="AV737" s="2505">
        <v>165.96</v>
      </c>
      <c r="AW737" s="2505">
        <v>161.72999999999999</v>
      </c>
      <c r="AX737" s="2505">
        <v>161.72999999999999</v>
      </c>
      <c r="AY737" s="2505">
        <v>161.9</v>
      </c>
      <c r="AZ737" s="2505">
        <v>161.9</v>
      </c>
      <c r="BA737" s="2040">
        <v>69.650000000000006</v>
      </c>
      <c r="BB737" s="2040">
        <v>69.650000000000006</v>
      </c>
      <c r="BC737" s="2040">
        <v>16.63</v>
      </c>
      <c r="BD737" s="2040">
        <v>17.11</v>
      </c>
      <c r="BE737" s="2040">
        <v>21.22</v>
      </c>
      <c r="BF737" s="2040">
        <v>21.22</v>
      </c>
      <c r="BG737" s="2040">
        <v>16.68</v>
      </c>
      <c r="BH737" s="2040">
        <v>16.68</v>
      </c>
      <c r="BI737" s="2040">
        <v>16.53</v>
      </c>
      <c r="BJ737" s="2040">
        <v>16.53</v>
      </c>
      <c r="BK737" s="2040">
        <v>16.53</v>
      </c>
      <c r="BL737" s="2040">
        <v>16.53</v>
      </c>
      <c r="BM737" s="2040">
        <v>43.56</v>
      </c>
      <c r="BN737" s="2040">
        <v>43.56</v>
      </c>
      <c r="BO737" s="2040">
        <v>131.6</v>
      </c>
      <c r="BP737" s="2040">
        <v>131.6</v>
      </c>
      <c r="BQ737" s="2040">
        <v>131.6</v>
      </c>
      <c r="BR737" s="2040">
        <v>131.6</v>
      </c>
      <c r="BS737" s="2040">
        <v>160.83000000000001</v>
      </c>
      <c r="BT737" s="2040">
        <v>160.83000000000001</v>
      </c>
      <c r="BU737" s="2040">
        <v>160.83000000000001</v>
      </c>
      <c r="BV737" s="2040">
        <v>160.83000000000001</v>
      </c>
      <c r="BW737" s="2040">
        <v>160.83000000000001</v>
      </c>
      <c r="BX737" s="2040">
        <v>160.83000000000001</v>
      </c>
      <c r="BY737" s="2040">
        <v>39.57</v>
      </c>
      <c r="BZ737" s="2040">
        <v>39.57</v>
      </c>
      <c r="CA737" s="2040">
        <v>125.33</v>
      </c>
      <c r="CB737" s="2040">
        <v>125.33</v>
      </c>
      <c r="CC737" s="2040">
        <v>126.56</v>
      </c>
      <c r="CD737" s="2040">
        <v>126.56</v>
      </c>
      <c r="CE737" s="2040">
        <v>157.66999999999999</v>
      </c>
      <c r="CF737" s="2040">
        <v>157.66999999999999</v>
      </c>
      <c r="CK737" s="2040">
        <v>101.02</v>
      </c>
      <c r="CL737" s="2040">
        <v>101.02</v>
      </c>
      <c r="CM737" s="2040">
        <v>208.04</v>
      </c>
      <c r="CN737" s="2040">
        <v>208.04</v>
      </c>
      <c r="CO737" s="2040">
        <v>253.46</v>
      </c>
      <c r="CP737" s="2040">
        <v>253.46</v>
      </c>
      <c r="CQ737" s="2040">
        <v>253.46</v>
      </c>
      <c r="CR737" s="2040">
        <v>253.46</v>
      </c>
      <c r="CW737" s="2040">
        <v>91.81</v>
      </c>
      <c r="CX737" s="2040">
        <v>91.81</v>
      </c>
      <c r="CY737" s="2040">
        <v>198.7</v>
      </c>
      <c r="CZ737" s="2040">
        <v>198.7</v>
      </c>
      <c r="DA737" s="2040">
        <v>198.7</v>
      </c>
      <c r="DB737" s="2040">
        <v>198.7</v>
      </c>
      <c r="DC737" s="2040">
        <v>242.2</v>
      </c>
      <c r="DD737" s="2040">
        <v>242.2</v>
      </c>
      <c r="DE737" s="2040">
        <v>242.2</v>
      </c>
      <c r="DF737" s="2040">
        <v>242.2</v>
      </c>
      <c r="DI737" s="2040">
        <v>24.27</v>
      </c>
      <c r="DJ737" s="2040">
        <v>24.27</v>
      </c>
      <c r="DK737" s="2040">
        <v>24.27</v>
      </c>
      <c r="DL737" s="2040">
        <v>24.27</v>
      </c>
      <c r="DM737" s="2040">
        <v>24.27</v>
      </c>
      <c r="DN737" s="2040">
        <v>24.27</v>
      </c>
      <c r="DU737" s="2040">
        <v>10.86</v>
      </c>
      <c r="DV737" s="2040">
        <v>10.86</v>
      </c>
      <c r="DW737" s="2040">
        <v>9.81</v>
      </c>
      <c r="DX737" s="2040">
        <v>9.81</v>
      </c>
      <c r="DY737" s="2040">
        <v>9.81</v>
      </c>
      <c r="DZ737" s="2040">
        <v>9.81</v>
      </c>
      <c r="EG737" s="2040">
        <v>11.66</v>
      </c>
      <c r="EH737" s="2040">
        <v>11.93</v>
      </c>
      <c r="EI737" s="2040">
        <v>8.06</v>
      </c>
      <c r="EJ737" s="2040">
        <v>8.06</v>
      </c>
      <c r="EK737" s="2040">
        <v>8.02</v>
      </c>
      <c r="EL737" s="2040">
        <v>8.02</v>
      </c>
      <c r="EM737" s="2040">
        <v>8.81</v>
      </c>
      <c r="EN737" s="2040">
        <v>8.81</v>
      </c>
      <c r="EO737" s="2040">
        <v>8.2100000000000009</v>
      </c>
      <c r="EP737" s="2040">
        <v>8.2100000000000009</v>
      </c>
      <c r="EQ737" s="2040">
        <v>8.4499999999999993</v>
      </c>
      <c r="ER737" s="2040">
        <v>8.51</v>
      </c>
      <c r="ES737" s="2040">
        <v>44.37</v>
      </c>
      <c r="ET737" s="2040">
        <v>44.37</v>
      </c>
      <c r="EU737" s="2040">
        <v>175.24</v>
      </c>
      <c r="EV737" s="2040">
        <v>175.24</v>
      </c>
      <c r="EW737" s="2040">
        <v>170.63</v>
      </c>
      <c r="EX737" s="2040">
        <v>170.63</v>
      </c>
      <c r="EY737" s="2506">
        <f t="shared" si="59"/>
        <v>172.935</v>
      </c>
      <c r="EZ737" s="2506">
        <f t="shared" si="59"/>
        <v>172.935</v>
      </c>
      <c r="FA737" s="2040">
        <v>175.88</v>
      </c>
      <c r="FB737" s="2040">
        <v>175.88</v>
      </c>
      <c r="FE737" s="2040">
        <v>38.07</v>
      </c>
      <c r="FF737" s="2040">
        <v>38.07</v>
      </c>
      <c r="FG737" s="2040">
        <v>146.68</v>
      </c>
      <c r="FH737" s="2040">
        <v>146.68</v>
      </c>
      <c r="FI737" s="2040">
        <v>146.68</v>
      </c>
      <c r="FJ737" s="2040">
        <v>150.56</v>
      </c>
      <c r="FK737" s="2040">
        <v>145.72999999999999</v>
      </c>
      <c r="FL737" s="2040">
        <v>145.72999999999999</v>
      </c>
      <c r="FM737" s="2040">
        <v>147.26</v>
      </c>
      <c r="FN737" s="2040">
        <v>147.26</v>
      </c>
      <c r="FQ737" s="2040">
        <v>85.9</v>
      </c>
      <c r="FR737" s="2040">
        <v>85.9</v>
      </c>
      <c r="FS737" s="2040">
        <v>165.95</v>
      </c>
      <c r="FT737" s="2040">
        <v>165.95</v>
      </c>
      <c r="FU737" s="2040">
        <v>165.95</v>
      </c>
      <c r="FV737" s="2040">
        <v>165.95</v>
      </c>
      <c r="FW737" s="2040">
        <v>166.94</v>
      </c>
      <c r="FX737" s="2040">
        <v>166.94</v>
      </c>
      <c r="GC737" s="2040">
        <v>60.92</v>
      </c>
      <c r="GD737" s="2040">
        <v>60.92</v>
      </c>
      <c r="GE737" s="2040">
        <v>139.97999999999999</v>
      </c>
      <c r="GF737" s="2040">
        <v>139.97999999999999</v>
      </c>
      <c r="GG737" s="2040">
        <v>139.97999999999999</v>
      </c>
      <c r="GH737" s="2040">
        <v>139.97999999999999</v>
      </c>
      <c r="GI737" s="2040">
        <v>121.78</v>
      </c>
      <c r="GJ737" s="2040">
        <v>121.78</v>
      </c>
      <c r="GK737" s="2040">
        <v>156.09</v>
      </c>
      <c r="GL737" s="2040">
        <v>156.09</v>
      </c>
      <c r="GO737" s="2040">
        <v>32.6</v>
      </c>
      <c r="GP737" s="2040">
        <v>32.6</v>
      </c>
      <c r="GQ737" s="2040">
        <v>25.37</v>
      </c>
      <c r="GR737" s="2040">
        <v>25.37</v>
      </c>
      <c r="GS737" s="2040">
        <v>25.37</v>
      </c>
      <c r="GT737" s="2040">
        <v>24.36</v>
      </c>
      <c r="GU737" s="2040">
        <v>24.36</v>
      </c>
      <c r="GV737" s="2040">
        <v>25.03</v>
      </c>
      <c r="GW737" s="2040">
        <v>145.84</v>
      </c>
      <c r="GX737" s="2040">
        <v>145.84</v>
      </c>
      <c r="HA737" s="2040">
        <v>22.74</v>
      </c>
      <c r="HB737" s="2040">
        <v>22.74</v>
      </c>
      <c r="HC737" s="2040">
        <v>14.41</v>
      </c>
      <c r="HD737" s="2040">
        <v>14.41</v>
      </c>
      <c r="HE737" s="2040">
        <v>15.42</v>
      </c>
      <c r="HF737" s="2040">
        <v>15.42</v>
      </c>
      <c r="HG737" s="2040">
        <v>15.42</v>
      </c>
      <c r="HH737" s="2040">
        <v>15.42</v>
      </c>
      <c r="HI737" s="2040">
        <v>15.42</v>
      </c>
      <c r="HJ737" s="2040">
        <v>15.42</v>
      </c>
      <c r="HK737" s="2040">
        <v>15.45</v>
      </c>
      <c r="HL737" s="2040">
        <v>15.93</v>
      </c>
      <c r="HM737" s="2040">
        <v>31.86</v>
      </c>
      <c r="HN737" s="2040">
        <v>31.86</v>
      </c>
      <c r="HO737" s="2040">
        <v>20.62</v>
      </c>
      <c r="HP737" s="2040">
        <v>20.62</v>
      </c>
      <c r="HQ737" s="2040">
        <v>22.09</v>
      </c>
      <c r="HR737" s="2040">
        <v>22.09</v>
      </c>
      <c r="HS737" s="2040">
        <v>22.09</v>
      </c>
      <c r="HT737" s="2040">
        <v>22.09</v>
      </c>
      <c r="HU737" s="2040">
        <v>22.09</v>
      </c>
      <c r="HV737" s="2040">
        <v>22.09</v>
      </c>
      <c r="HW737" s="2040">
        <v>22.03</v>
      </c>
      <c r="HX737" s="2040">
        <v>22.03</v>
      </c>
    </row>
    <row r="738" spans="2:232" s="2040" customFormat="1" ht="14" x14ac:dyDescent="0.3">
      <c r="B738" s="2504">
        <v>39</v>
      </c>
      <c r="C738" s="2505">
        <v>36.46</v>
      </c>
      <c r="D738" s="2505">
        <v>36.46</v>
      </c>
      <c r="E738" s="2505">
        <v>37</v>
      </c>
      <c r="F738" s="2505">
        <v>37</v>
      </c>
      <c r="G738" s="2505">
        <v>134.38</v>
      </c>
      <c r="H738" s="2505">
        <v>134.38</v>
      </c>
      <c r="I738" s="2505">
        <v>124.27</v>
      </c>
      <c r="J738" s="2505">
        <v>124.27</v>
      </c>
      <c r="K738" s="2505">
        <v>134.6</v>
      </c>
      <c r="L738" s="2505">
        <v>134.6</v>
      </c>
      <c r="M738" s="2505"/>
      <c r="N738" s="2505"/>
      <c r="O738" s="2505">
        <v>113.97</v>
      </c>
      <c r="P738" s="2505">
        <v>113.97</v>
      </c>
      <c r="Q738" s="2505">
        <v>114.43</v>
      </c>
      <c r="R738" s="2505">
        <v>113.98</v>
      </c>
      <c r="S738" s="2505">
        <v>190.78</v>
      </c>
      <c r="T738" s="2505">
        <v>190.78</v>
      </c>
      <c r="U738" s="2505">
        <v>184.15</v>
      </c>
      <c r="V738" s="2505">
        <v>184.15</v>
      </c>
      <c r="W738" s="2505">
        <v>190.78</v>
      </c>
      <c r="X738" s="2505">
        <v>190.78</v>
      </c>
      <c r="Y738" s="2505">
        <v>184.15</v>
      </c>
      <c r="Z738" s="2505">
        <v>190.78</v>
      </c>
      <c r="AA738" s="2505">
        <v>190.78</v>
      </c>
      <c r="AB738" s="2505">
        <v>190.78</v>
      </c>
      <c r="AC738" s="2505">
        <v>184.15</v>
      </c>
      <c r="AD738" s="2505">
        <v>184.15</v>
      </c>
      <c r="AE738" s="2505">
        <v>209.41</v>
      </c>
      <c r="AF738" s="2505">
        <v>203.45</v>
      </c>
      <c r="AG738" s="2505">
        <v>209.41</v>
      </c>
      <c r="AH738" s="2505">
        <v>209.41</v>
      </c>
      <c r="AI738" s="2505">
        <v>203.45</v>
      </c>
      <c r="AJ738" s="2505">
        <v>203.45</v>
      </c>
      <c r="AK738" s="2505">
        <v>204.72</v>
      </c>
      <c r="AL738" s="2505">
        <v>204.72</v>
      </c>
      <c r="AM738" s="2505">
        <v>60.32</v>
      </c>
      <c r="AN738" s="2505">
        <v>58.11</v>
      </c>
      <c r="AO738" s="2505">
        <v>58.11</v>
      </c>
      <c r="AP738" s="2505">
        <v>58.11</v>
      </c>
      <c r="AQ738" s="2505">
        <v>59.1</v>
      </c>
      <c r="AR738" s="2505">
        <v>59.1</v>
      </c>
      <c r="AS738" s="2505">
        <v>164.18</v>
      </c>
      <c r="AT738" s="2505">
        <v>164.18</v>
      </c>
      <c r="AU738" s="2505">
        <v>164.18</v>
      </c>
      <c r="AV738" s="2505">
        <v>168.54</v>
      </c>
      <c r="AW738" s="2505">
        <v>164.31</v>
      </c>
      <c r="AX738" s="2505">
        <v>164.31</v>
      </c>
      <c r="AY738" s="2505">
        <v>164.48</v>
      </c>
      <c r="AZ738" s="2505">
        <v>164.48</v>
      </c>
      <c r="BA738" s="2040">
        <v>70.8</v>
      </c>
      <c r="BB738" s="2040">
        <v>70.8</v>
      </c>
      <c r="BC738" s="2040">
        <v>16.95</v>
      </c>
      <c r="BD738" s="2040">
        <v>17.420000000000002</v>
      </c>
      <c r="BE738" s="2040">
        <v>21.5</v>
      </c>
      <c r="BF738" s="2040">
        <v>21.5</v>
      </c>
      <c r="BG738" s="2040">
        <v>17</v>
      </c>
      <c r="BH738" s="2040">
        <v>17</v>
      </c>
      <c r="BI738" s="2040">
        <v>16.850000000000001</v>
      </c>
      <c r="BJ738" s="2040">
        <v>16.850000000000001</v>
      </c>
      <c r="BK738" s="2040">
        <v>16.850000000000001</v>
      </c>
      <c r="BL738" s="2040">
        <v>16.850000000000001</v>
      </c>
      <c r="BM738" s="2040">
        <v>44.1</v>
      </c>
      <c r="BN738" s="2040">
        <v>44.1</v>
      </c>
      <c r="BO738" s="2040">
        <v>133.47</v>
      </c>
      <c r="BP738" s="2040">
        <v>133.47</v>
      </c>
      <c r="BQ738" s="2040">
        <v>133.47</v>
      </c>
      <c r="BR738" s="2040">
        <v>133.47</v>
      </c>
      <c r="BS738" s="2040">
        <v>163.59</v>
      </c>
      <c r="BT738" s="2040">
        <v>163.59</v>
      </c>
      <c r="BU738" s="2040">
        <v>163.59</v>
      </c>
      <c r="BV738" s="2040">
        <v>163.59</v>
      </c>
      <c r="BW738" s="2040">
        <v>163.59</v>
      </c>
      <c r="BX738" s="2040">
        <v>163.59</v>
      </c>
      <c r="BY738" s="2040">
        <v>40.06</v>
      </c>
      <c r="BZ738" s="2040">
        <v>40.06</v>
      </c>
      <c r="CA738" s="2040">
        <v>127.15</v>
      </c>
      <c r="CB738" s="2040">
        <v>127.15</v>
      </c>
      <c r="CC738" s="2040">
        <v>128.44</v>
      </c>
      <c r="CD738" s="2040">
        <v>128.44</v>
      </c>
      <c r="CE738" s="2040">
        <v>160.41999999999999</v>
      </c>
      <c r="CF738" s="2040">
        <v>160.41999999999999</v>
      </c>
      <c r="CK738" s="2040">
        <v>102.11</v>
      </c>
      <c r="CL738" s="2040">
        <v>102.11</v>
      </c>
      <c r="CM738" s="2040">
        <v>210.14</v>
      </c>
      <c r="CN738" s="2040">
        <v>210.14</v>
      </c>
      <c r="CO738" s="2040">
        <v>256.73</v>
      </c>
      <c r="CP738" s="2040">
        <v>256.73</v>
      </c>
      <c r="CQ738" s="2040">
        <v>256.73</v>
      </c>
      <c r="CR738" s="2040">
        <v>256.73</v>
      </c>
      <c r="CW738" s="2040">
        <v>92.96</v>
      </c>
      <c r="CX738" s="2040">
        <v>92.96</v>
      </c>
      <c r="CY738" s="2040">
        <v>200.81</v>
      </c>
      <c r="CZ738" s="2040">
        <v>200.81</v>
      </c>
      <c r="DA738" s="2040">
        <v>200.81</v>
      </c>
      <c r="DB738" s="2040">
        <v>200.81</v>
      </c>
      <c r="DC738" s="2040">
        <v>245.46</v>
      </c>
      <c r="DD738" s="2040">
        <v>245.46</v>
      </c>
      <c r="DE738" s="2040">
        <v>245.46</v>
      </c>
      <c r="DF738" s="2040">
        <v>245.46</v>
      </c>
      <c r="DI738" s="2040">
        <v>24.57</v>
      </c>
      <c r="DJ738" s="2040">
        <v>24.57</v>
      </c>
      <c r="DK738" s="2040">
        <v>24.57</v>
      </c>
      <c r="DL738" s="2040">
        <v>24.57</v>
      </c>
      <c r="DM738" s="2040">
        <v>24.57</v>
      </c>
      <c r="DN738" s="2040">
        <v>24.57</v>
      </c>
      <c r="DU738" s="2040">
        <v>10.99</v>
      </c>
      <c r="DV738" s="2040">
        <v>10.99</v>
      </c>
      <c r="DW738" s="2040">
        <v>9.9600000000000009</v>
      </c>
      <c r="DX738" s="2040">
        <v>9.9600000000000009</v>
      </c>
      <c r="DY738" s="2040">
        <v>9.9600000000000009</v>
      </c>
      <c r="DZ738" s="2040">
        <v>9.9600000000000009</v>
      </c>
      <c r="EG738" s="2040">
        <v>11.8</v>
      </c>
      <c r="EH738" s="2040">
        <v>12.06</v>
      </c>
      <c r="EI738" s="2040">
        <v>8.2200000000000006</v>
      </c>
      <c r="EJ738" s="2040">
        <v>8.2200000000000006</v>
      </c>
      <c r="EK738" s="2040">
        <v>8.19</v>
      </c>
      <c r="EL738" s="2040">
        <v>8.19</v>
      </c>
      <c r="EM738" s="2040">
        <v>8.9700000000000006</v>
      </c>
      <c r="EN738" s="2040">
        <v>8.9700000000000006</v>
      </c>
      <c r="EO738" s="2040">
        <v>8.3699999999999992</v>
      </c>
      <c r="EP738" s="2040">
        <v>8.3699999999999992</v>
      </c>
      <c r="EQ738" s="2040">
        <v>8.61</v>
      </c>
      <c r="ER738" s="2040">
        <v>8.67</v>
      </c>
      <c r="ES738" s="2040">
        <v>44.93</v>
      </c>
      <c r="ET738" s="2040">
        <v>44.93</v>
      </c>
      <c r="EU738" s="2040">
        <v>178.3</v>
      </c>
      <c r="EV738" s="2040">
        <v>178.3</v>
      </c>
      <c r="EW738" s="2040">
        <v>173.66</v>
      </c>
      <c r="EX738" s="2040">
        <v>173.66</v>
      </c>
      <c r="EY738" s="2506">
        <f t="shared" si="59"/>
        <v>175.98000000000002</v>
      </c>
      <c r="EZ738" s="2506">
        <f t="shared" si="59"/>
        <v>175.98000000000002</v>
      </c>
      <c r="FA738" s="2040">
        <v>178.85</v>
      </c>
      <c r="FB738" s="2040">
        <v>178.85</v>
      </c>
      <c r="FE738" s="2040">
        <v>38.549999999999997</v>
      </c>
      <c r="FF738" s="2040">
        <v>38.549999999999997</v>
      </c>
      <c r="FG738" s="2040">
        <v>149.29</v>
      </c>
      <c r="FH738" s="2040">
        <v>149.29</v>
      </c>
      <c r="FI738" s="2040">
        <v>149.29</v>
      </c>
      <c r="FJ738" s="2040">
        <v>153.05000000000001</v>
      </c>
      <c r="FK738" s="2040">
        <v>148.37</v>
      </c>
      <c r="FL738" s="2040">
        <v>148.37</v>
      </c>
      <c r="FM738" s="2040">
        <v>149.88</v>
      </c>
      <c r="FN738" s="2040">
        <v>149.88</v>
      </c>
      <c r="FQ738" s="2040">
        <v>86.99</v>
      </c>
      <c r="FR738" s="2040">
        <v>86.99</v>
      </c>
      <c r="FS738" s="2040">
        <v>168.37</v>
      </c>
      <c r="FT738" s="2040">
        <v>168.37</v>
      </c>
      <c r="FU738" s="2040">
        <v>168.37</v>
      </c>
      <c r="FV738" s="2040">
        <v>168.37</v>
      </c>
      <c r="FW738" s="2040">
        <v>169.34</v>
      </c>
      <c r="FX738" s="2040">
        <v>169.34</v>
      </c>
      <c r="GC738" s="2040">
        <v>61.68</v>
      </c>
      <c r="GD738" s="2040">
        <v>61.68</v>
      </c>
      <c r="GE738" s="2040">
        <v>141.55000000000001</v>
      </c>
      <c r="GF738" s="2040">
        <v>141.55000000000001</v>
      </c>
      <c r="GG738" s="2040">
        <v>141.55000000000001</v>
      </c>
      <c r="GH738" s="2040">
        <v>141.55000000000001</v>
      </c>
      <c r="GI738" s="2040">
        <v>124.62</v>
      </c>
      <c r="GJ738" s="2040">
        <v>124.62</v>
      </c>
      <c r="GK738" s="2040">
        <v>158.69</v>
      </c>
      <c r="GL738" s="2040">
        <v>158.69</v>
      </c>
      <c r="GO738" s="2040">
        <v>33.01</v>
      </c>
      <c r="GP738" s="2040">
        <v>33.01</v>
      </c>
      <c r="GQ738" s="2040">
        <v>25.83</v>
      </c>
      <c r="GR738" s="2040">
        <v>25.83</v>
      </c>
      <c r="GS738" s="2040">
        <v>25.83</v>
      </c>
      <c r="GT738" s="2040">
        <v>24.81</v>
      </c>
      <c r="GU738" s="2040">
        <v>24.81</v>
      </c>
      <c r="GV738" s="2040">
        <v>25.46</v>
      </c>
      <c r="GW738" s="2040">
        <v>148.41</v>
      </c>
      <c r="GX738" s="2040">
        <v>148.41</v>
      </c>
      <c r="HA738" s="2040">
        <v>23.03</v>
      </c>
      <c r="HB738" s="2040">
        <v>23.03</v>
      </c>
      <c r="HC738" s="2040">
        <v>14.74</v>
      </c>
      <c r="HD738" s="2040">
        <v>14.74</v>
      </c>
      <c r="HE738" s="2040">
        <v>15.74</v>
      </c>
      <c r="HF738" s="2040">
        <v>15.74</v>
      </c>
      <c r="HG738" s="2040">
        <v>15.74</v>
      </c>
      <c r="HH738" s="2040">
        <v>15.74</v>
      </c>
      <c r="HI738" s="2040">
        <v>15.74</v>
      </c>
      <c r="HJ738" s="2040">
        <v>15.74</v>
      </c>
      <c r="HK738" s="2040">
        <v>15.77</v>
      </c>
      <c r="HL738" s="2040">
        <v>16.23</v>
      </c>
      <c r="HM738" s="2040">
        <v>32.26</v>
      </c>
      <c r="HN738" s="2040">
        <v>32.26</v>
      </c>
      <c r="HO738" s="2040">
        <v>21.08</v>
      </c>
      <c r="HP738" s="2040">
        <v>21.08</v>
      </c>
      <c r="HQ738" s="2040">
        <v>22.54</v>
      </c>
      <c r="HR738" s="2040">
        <v>22.54</v>
      </c>
      <c r="HS738" s="2040">
        <v>22.54</v>
      </c>
      <c r="HT738" s="2040">
        <v>22.54</v>
      </c>
      <c r="HU738" s="2040">
        <v>22.54</v>
      </c>
      <c r="HV738" s="2040">
        <v>22.54</v>
      </c>
      <c r="HW738" s="2040">
        <v>22.48</v>
      </c>
      <c r="HX738" s="2040">
        <v>22.48</v>
      </c>
    </row>
    <row r="739" spans="2:232" s="2040" customFormat="1" ht="14" x14ac:dyDescent="0.3">
      <c r="B739" s="2504">
        <v>40</v>
      </c>
      <c r="C739" s="2505">
        <v>36.89</v>
      </c>
      <c r="D739" s="2505">
        <v>36.89</v>
      </c>
      <c r="E739" s="2505">
        <v>37.409999999999997</v>
      </c>
      <c r="F739" s="2505">
        <v>37.409999999999997</v>
      </c>
      <c r="G739" s="2505">
        <v>136.31</v>
      </c>
      <c r="H739" s="2505">
        <v>136.31</v>
      </c>
      <c r="I739" s="2505">
        <v>126.21</v>
      </c>
      <c r="J739" s="2505">
        <v>126.21</v>
      </c>
      <c r="K739" s="2505">
        <v>136.30000000000001</v>
      </c>
      <c r="L739" s="2505">
        <v>136.30000000000001</v>
      </c>
      <c r="M739" s="2505"/>
      <c r="N739" s="2505"/>
      <c r="O739" s="2505">
        <v>115.33</v>
      </c>
      <c r="P739" s="2505">
        <v>115.33</v>
      </c>
      <c r="Q739" s="2505">
        <v>115.74</v>
      </c>
      <c r="R739" s="2505">
        <v>115.34</v>
      </c>
      <c r="S739" s="2505">
        <v>194.03</v>
      </c>
      <c r="T739" s="2505">
        <v>194.03</v>
      </c>
      <c r="U739" s="2505">
        <v>187.29</v>
      </c>
      <c r="V739" s="2505">
        <v>187.29</v>
      </c>
      <c r="W739" s="2505">
        <v>194.03</v>
      </c>
      <c r="X739" s="2505">
        <v>194.03</v>
      </c>
      <c r="Y739" s="2505">
        <v>187.29</v>
      </c>
      <c r="Z739" s="2505">
        <v>194.03</v>
      </c>
      <c r="AA739" s="2505">
        <v>194.03</v>
      </c>
      <c r="AB739" s="2505">
        <v>194.03</v>
      </c>
      <c r="AC739" s="2505">
        <v>187.29</v>
      </c>
      <c r="AD739" s="2505">
        <v>187.29</v>
      </c>
      <c r="AE739" s="2505">
        <v>212.49</v>
      </c>
      <c r="AF739" s="2505">
        <v>206.44</v>
      </c>
      <c r="AG739" s="2505">
        <v>212.49</v>
      </c>
      <c r="AH739" s="2505">
        <v>212.49</v>
      </c>
      <c r="AI739" s="2505">
        <v>206.44</v>
      </c>
      <c r="AJ739" s="2505">
        <v>206.44</v>
      </c>
      <c r="AK739" s="2505">
        <v>207.67</v>
      </c>
      <c r="AL739" s="2505">
        <v>207.67</v>
      </c>
      <c r="AM739" s="2505">
        <v>61.04</v>
      </c>
      <c r="AN739" s="2505">
        <v>58.8</v>
      </c>
      <c r="AO739" s="2505">
        <v>58.8</v>
      </c>
      <c r="AP739" s="2505">
        <v>58.8</v>
      </c>
      <c r="AQ739" s="2505">
        <v>59.75</v>
      </c>
      <c r="AR739" s="2505">
        <v>59.75</v>
      </c>
      <c r="AS739" s="2505">
        <v>166.64</v>
      </c>
      <c r="AT739" s="2505">
        <v>166.64</v>
      </c>
      <c r="AU739" s="2505">
        <v>166.64</v>
      </c>
      <c r="AV739" s="2505">
        <v>171.03</v>
      </c>
      <c r="AW739" s="2505">
        <v>166.79</v>
      </c>
      <c r="AX739" s="2505">
        <v>166.79</v>
      </c>
      <c r="AY739" s="2505">
        <v>166.96</v>
      </c>
      <c r="AZ739" s="2505">
        <v>166.96</v>
      </c>
      <c r="BA739" s="2040">
        <v>71.900000000000006</v>
      </c>
      <c r="BB739" s="2040">
        <v>71.900000000000006</v>
      </c>
      <c r="BC739" s="2040">
        <v>17.260000000000002</v>
      </c>
      <c r="BD739" s="2040">
        <v>17.71</v>
      </c>
      <c r="BE739" s="2040">
        <v>21.76</v>
      </c>
      <c r="BF739" s="2040">
        <v>21.76</v>
      </c>
      <c r="BG739" s="2040">
        <v>17.309999999999999</v>
      </c>
      <c r="BH739" s="2040">
        <v>17.309999999999999</v>
      </c>
      <c r="BI739" s="2040">
        <v>17.16</v>
      </c>
      <c r="BJ739" s="2040">
        <v>17.16</v>
      </c>
      <c r="BK739" s="2040">
        <v>17.16</v>
      </c>
      <c r="BL739" s="2040">
        <v>17.16</v>
      </c>
      <c r="BM739" s="2040">
        <v>44.62</v>
      </c>
      <c r="BN739" s="2040">
        <v>44.62</v>
      </c>
      <c r="BO739" s="2040">
        <v>135.29</v>
      </c>
      <c r="BP739" s="2040">
        <v>135.29</v>
      </c>
      <c r="BQ739" s="2040">
        <v>135.29</v>
      </c>
      <c r="BR739" s="2040">
        <v>135.29</v>
      </c>
      <c r="BS739" s="2040">
        <v>166.26</v>
      </c>
      <c r="BT739" s="2040">
        <v>166.26</v>
      </c>
      <c r="BU739" s="2040">
        <v>166.26</v>
      </c>
      <c r="BV739" s="2040">
        <v>166.26</v>
      </c>
      <c r="BW739" s="2040">
        <v>166.26</v>
      </c>
      <c r="BX739" s="2040">
        <v>166.26</v>
      </c>
      <c r="BY739" s="2040">
        <v>40.54</v>
      </c>
      <c r="BZ739" s="2040">
        <v>40.54</v>
      </c>
      <c r="CA739" s="2040">
        <v>128.91999999999999</v>
      </c>
      <c r="CB739" s="2040">
        <v>128.91999999999999</v>
      </c>
      <c r="CC739" s="2040">
        <v>130.26</v>
      </c>
      <c r="CD739" s="2040">
        <v>130.26</v>
      </c>
      <c r="CE739" s="2040">
        <v>163.09</v>
      </c>
      <c r="CF739" s="2040">
        <v>163.09</v>
      </c>
      <c r="CK739" s="2040">
        <v>103.16</v>
      </c>
      <c r="CL739" s="2040">
        <v>103.16</v>
      </c>
      <c r="CM739" s="2040">
        <v>212.16</v>
      </c>
      <c r="CN739" s="2040">
        <v>212.16</v>
      </c>
      <c r="CO739" s="2040">
        <v>259.88</v>
      </c>
      <c r="CP739" s="2040">
        <v>259.88</v>
      </c>
      <c r="CQ739" s="2040">
        <v>259.88</v>
      </c>
      <c r="CR739" s="2040">
        <v>259.88</v>
      </c>
      <c r="CW739" s="2040">
        <v>94.06</v>
      </c>
      <c r="CX739" s="2040">
        <v>94.06</v>
      </c>
      <c r="CY739" s="2040">
        <v>202.84</v>
      </c>
      <c r="CZ739" s="2040">
        <v>202.84</v>
      </c>
      <c r="DA739" s="2040">
        <v>202.84</v>
      </c>
      <c r="DB739" s="2040">
        <v>202.84</v>
      </c>
      <c r="DC739" s="2040">
        <v>248.6</v>
      </c>
      <c r="DD739" s="2040">
        <v>248.6</v>
      </c>
      <c r="DE739" s="2040">
        <v>248.6</v>
      </c>
      <c r="DF739" s="2040">
        <v>248.6</v>
      </c>
      <c r="DI739" s="2040">
        <v>24.86</v>
      </c>
      <c r="DJ739" s="2040">
        <v>24.86</v>
      </c>
      <c r="DK739" s="2040">
        <v>24.86</v>
      </c>
      <c r="DL739" s="2040">
        <v>24.86</v>
      </c>
      <c r="DM739" s="2040">
        <v>24.86</v>
      </c>
      <c r="DN739" s="2040">
        <v>24.86</v>
      </c>
      <c r="DU739" s="2040">
        <v>11.12</v>
      </c>
      <c r="DV739" s="2040">
        <v>11.12</v>
      </c>
      <c r="DW739" s="2040">
        <v>10.11</v>
      </c>
      <c r="DX739" s="2040">
        <v>10.11</v>
      </c>
      <c r="DY739" s="2040">
        <v>10.11</v>
      </c>
      <c r="DZ739" s="2040">
        <v>10.11</v>
      </c>
      <c r="EG739" s="2040">
        <v>11.94</v>
      </c>
      <c r="EH739" s="2040">
        <v>12.19</v>
      </c>
      <c r="EI739" s="2040">
        <v>8.3800000000000008</v>
      </c>
      <c r="EJ739" s="2040">
        <v>8.3800000000000008</v>
      </c>
      <c r="EK739" s="2040">
        <v>8.35</v>
      </c>
      <c r="EL739" s="2040">
        <v>8.35</v>
      </c>
      <c r="EM739" s="2040">
        <v>9.1199999999999992</v>
      </c>
      <c r="EN739" s="2040">
        <v>9.1199999999999992</v>
      </c>
      <c r="EO739" s="2040">
        <v>8.52</v>
      </c>
      <c r="EP739" s="2040">
        <v>8.52</v>
      </c>
      <c r="EQ739" s="2040">
        <v>8.77</v>
      </c>
      <c r="ER739" s="2040">
        <v>8.82</v>
      </c>
      <c r="ES739" s="2040">
        <v>45.46</v>
      </c>
      <c r="ET739" s="2040">
        <v>45.46</v>
      </c>
      <c r="EU739" s="2040">
        <v>181.27</v>
      </c>
      <c r="EV739" s="2040">
        <v>181.27</v>
      </c>
      <c r="EW739" s="2040">
        <v>176.59</v>
      </c>
      <c r="EX739" s="2040">
        <v>176.59</v>
      </c>
      <c r="EY739" s="2506">
        <f t="shared" si="59"/>
        <v>178.93</v>
      </c>
      <c r="EZ739" s="2506">
        <f t="shared" si="59"/>
        <v>178.93</v>
      </c>
      <c r="FA739" s="2040">
        <v>181.73</v>
      </c>
      <c r="FB739" s="2040">
        <v>181.73</v>
      </c>
      <c r="FE739" s="2040">
        <v>39.01</v>
      </c>
      <c r="FF739" s="2040">
        <v>39.01</v>
      </c>
      <c r="FG739" s="2040">
        <v>151.82</v>
      </c>
      <c r="FH739" s="2040">
        <v>151.82</v>
      </c>
      <c r="FI739" s="2040">
        <v>151.82</v>
      </c>
      <c r="FJ739" s="2040">
        <v>155.46</v>
      </c>
      <c r="FK739" s="2040">
        <v>150.91999999999999</v>
      </c>
      <c r="FL739" s="2040">
        <v>150.91999999999999</v>
      </c>
      <c r="FM739" s="2040">
        <v>152.4</v>
      </c>
      <c r="FN739" s="2040">
        <v>152.4</v>
      </c>
      <c r="FQ739" s="2040">
        <v>88.04</v>
      </c>
      <c r="FR739" s="2040">
        <v>88.04</v>
      </c>
      <c r="FS739" s="2040">
        <v>170.7</v>
      </c>
      <c r="FT739" s="2040">
        <v>170.7</v>
      </c>
      <c r="FU739" s="2040">
        <v>170.7</v>
      </c>
      <c r="FV739" s="2040">
        <v>170.7</v>
      </c>
      <c r="FW739" s="2040">
        <v>171.65</v>
      </c>
      <c r="FX739" s="2040">
        <v>171.65</v>
      </c>
      <c r="GC739" s="2040">
        <v>62.41</v>
      </c>
      <c r="GD739" s="2040">
        <v>62.41</v>
      </c>
      <c r="GE739" s="2040">
        <v>143.07</v>
      </c>
      <c r="GF739" s="2040">
        <v>143.07</v>
      </c>
      <c r="GG739" s="2040">
        <v>143.07</v>
      </c>
      <c r="GH739" s="2040">
        <v>143.07</v>
      </c>
      <c r="GI739" s="2040">
        <v>127.38</v>
      </c>
      <c r="GJ739" s="2040">
        <v>127.38</v>
      </c>
      <c r="GK739" s="2040">
        <v>161.21</v>
      </c>
      <c r="GL739" s="2040">
        <v>161.21</v>
      </c>
      <c r="GO739" s="2040">
        <v>33.4</v>
      </c>
      <c r="GP739" s="2040">
        <v>33.4</v>
      </c>
      <c r="GQ739" s="2040">
        <v>26.28</v>
      </c>
      <c r="GR739" s="2040">
        <v>26.28</v>
      </c>
      <c r="GS739" s="2040">
        <v>26.28</v>
      </c>
      <c r="GT739" s="2040">
        <v>25.25</v>
      </c>
      <c r="GU739" s="2040">
        <v>25.25</v>
      </c>
      <c r="GV739" s="2040">
        <v>25.88</v>
      </c>
      <c r="GW739" s="2040">
        <v>150.9</v>
      </c>
      <c r="GX739" s="2040">
        <v>150.9</v>
      </c>
      <c r="HA739" s="2040">
        <v>23.3</v>
      </c>
      <c r="HB739" s="2040">
        <v>23.3</v>
      </c>
      <c r="HC739" s="2040">
        <v>15.06</v>
      </c>
      <c r="HD739" s="2040">
        <v>15.06</v>
      </c>
      <c r="HE739" s="2040">
        <v>16.05</v>
      </c>
      <c r="HF739" s="2040">
        <v>16.05</v>
      </c>
      <c r="HG739" s="2040">
        <v>16.05</v>
      </c>
      <c r="HH739" s="2040">
        <v>16.05</v>
      </c>
      <c r="HI739" s="2040">
        <v>16.05</v>
      </c>
      <c r="HJ739" s="2040">
        <v>16.05</v>
      </c>
      <c r="HK739" s="2040">
        <v>16.079999999999998</v>
      </c>
      <c r="HL739" s="2040">
        <v>16.53</v>
      </c>
      <c r="HM739" s="2040">
        <v>32.64</v>
      </c>
      <c r="HN739" s="2040">
        <v>32.64</v>
      </c>
      <c r="HO739" s="2040">
        <v>21.53</v>
      </c>
      <c r="HP739" s="2040">
        <v>21.53</v>
      </c>
      <c r="HQ739" s="2040">
        <v>22.97</v>
      </c>
      <c r="HR739" s="2040">
        <v>22.97</v>
      </c>
      <c r="HS739" s="2040">
        <v>22.97</v>
      </c>
      <c r="HT739" s="2040">
        <v>22.97</v>
      </c>
      <c r="HU739" s="2040">
        <v>22.97</v>
      </c>
      <c r="HV739" s="2040">
        <v>22.97</v>
      </c>
      <c r="HW739" s="2040">
        <v>22.92</v>
      </c>
      <c r="HX739" s="2040">
        <v>22.92</v>
      </c>
    </row>
    <row r="740" spans="2:232" s="2040" customFormat="1" ht="14" x14ac:dyDescent="0.3">
      <c r="B740" s="2504">
        <v>41</v>
      </c>
      <c r="C740" s="2505">
        <v>37.31</v>
      </c>
      <c r="D740" s="2505">
        <v>37.31</v>
      </c>
      <c r="E740" s="2505">
        <v>37.799999999999997</v>
      </c>
      <c r="F740" s="2505">
        <v>37.799999999999997</v>
      </c>
      <c r="G740" s="2505">
        <v>138.16999999999999</v>
      </c>
      <c r="H740" s="2505">
        <v>138.16999999999999</v>
      </c>
      <c r="I740" s="2505">
        <v>128.08000000000001</v>
      </c>
      <c r="J740" s="2505">
        <v>128.08000000000001</v>
      </c>
      <c r="K740" s="2505">
        <v>137.94</v>
      </c>
      <c r="L740" s="2505">
        <v>137.94</v>
      </c>
      <c r="M740" s="2505"/>
      <c r="N740" s="2505"/>
      <c r="O740" s="2505">
        <v>116.64</v>
      </c>
      <c r="P740" s="2505">
        <v>116.64</v>
      </c>
      <c r="Q740" s="2505">
        <v>117</v>
      </c>
      <c r="R740" s="2505">
        <v>116.64</v>
      </c>
      <c r="S740" s="2505">
        <v>197.18</v>
      </c>
      <c r="T740" s="2505">
        <v>197.18</v>
      </c>
      <c r="U740" s="2505">
        <v>190.32</v>
      </c>
      <c r="V740" s="2505">
        <v>190.32</v>
      </c>
      <c r="W740" s="2505">
        <v>197.18</v>
      </c>
      <c r="X740" s="2505">
        <v>197.18</v>
      </c>
      <c r="Y740" s="2505">
        <v>190.32</v>
      </c>
      <c r="Z740" s="2505">
        <v>197.18</v>
      </c>
      <c r="AA740" s="2505">
        <v>197.18</v>
      </c>
      <c r="AB740" s="2505">
        <v>197.18</v>
      </c>
      <c r="AC740" s="2505">
        <v>190.32</v>
      </c>
      <c r="AD740" s="2505">
        <v>190.32</v>
      </c>
      <c r="AE740" s="2505">
        <v>215.47</v>
      </c>
      <c r="AF740" s="2505">
        <v>209.33</v>
      </c>
      <c r="AG740" s="2505">
        <v>215.47</v>
      </c>
      <c r="AH740" s="2505">
        <v>215.47</v>
      </c>
      <c r="AI740" s="2505">
        <v>209.33</v>
      </c>
      <c r="AJ740" s="2505">
        <v>209.33</v>
      </c>
      <c r="AK740" s="2505">
        <v>210.51</v>
      </c>
      <c r="AL740" s="2505">
        <v>210.51</v>
      </c>
      <c r="AM740" s="2505">
        <v>61.73</v>
      </c>
      <c r="AN740" s="2505">
        <v>59.46</v>
      </c>
      <c r="AO740" s="2505">
        <v>59.46</v>
      </c>
      <c r="AP740" s="2505">
        <v>59.46</v>
      </c>
      <c r="AQ740" s="2505">
        <v>60.38</v>
      </c>
      <c r="AR740" s="2505">
        <v>60.38</v>
      </c>
      <c r="AS740" s="2505">
        <v>169.02</v>
      </c>
      <c r="AT740" s="2505">
        <v>169.02</v>
      </c>
      <c r="AU740" s="2505">
        <v>169.02</v>
      </c>
      <c r="AV740" s="2505">
        <v>173.43</v>
      </c>
      <c r="AW740" s="2505">
        <v>169.19</v>
      </c>
      <c r="AX740" s="2505">
        <v>169.19</v>
      </c>
      <c r="AY740" s="2505">
        <v>169.35</v>
      </c>
      <c r="AZ740" s="2505">
        <v>169.35</v>
      </c>
      <c r="BA740" s="2040">
        <v>72.959999999999994</v>
      </c>
      <c r="BB740" s="2040">
        <v>72.959999999999994</v>
      </c>
      <c r="BC740" s="2040">
        <v>17.57</v>
      </c>
      <c r="BD740" s="2040">
        <v>18</v>
      </c>
      <c r="BE740" s="2040">
        <v>22.01</v>
      </c>
      <c r="BF740" s="2040">
        <v>22.01</v>
      </c>
      <c r="BG740" s="2040">
        <v>17.62</v>
      </c>
      <c r="BH740" s="2040">
        <v>17.62</v>
      </c>
      <c r="BI740" s="2040">
        <v>17.47</v>
      </c>
      <c r="BJ740" s="2040">
        <v>17.47</v>
      </c>
      <c r="BK740" s="2040">
        <v>17.47</v>
      </c>
      <c r="BL740" s="2040">
        <v>17.47</v>
      </c>
      <c r="BM740" s="2040">
        <v>45.13</v>
      </c>
      <c r="BN740" s="2040">
        <v>45.13</v>
      </c>
      <c r="BO740" s="2040">
        <v>137.04</v>
      </c>
      <c r="BP740" s="2040">
        <v>137.04</v>
      </c>
      <c r="BQ740" s="2040">
        <v>137.04</v>
      </c>
      <c r="BR740" s="2040">
        <v>137.04</v>
      </c>
      <c r="BS740" s="2040">
        <v>168.84</v>
      </c>
      <c r="BT740" s="2040">
        <v>168.84</v>
      </c>
      <c r="BU740" s="2040">
        <v>168.84</v>
      </c>
      <c r="BV740" s="2040">
        <v>168.84</v>
      </c>
      <c r="BW740" s="2040">
        <v>168.84</v>
      </c>
      <c r="BX740" s="2040">
        <v>168.84</v>
      </c>
      <c r="BY740" s="2040">
        <v>40.99</v>
      </c>
      <c r="BZ740" s="2040">
        <v>40.99</v>
      </c>
      <c r="CA740" s="2040">
        <v>130.62</v>
      </c>
      <c r="CB740" s="2040">
        <v>130.62</v>
      </c>
      <c r="CC740" s="2040">
        <v>132.02000000000001</v>
      </c>
      <c r="CD740" s="2040">
        <v>132.02000000000001</v>
      </c>
      <c r="CE740" s="2040">
        <v>165.67</v>
      </c>
      <c r="CF740" s="2040">
        <v>165.67</v>
      </c>
      <c r="CK740" s="2040">
        <v>104.18</v>
      </c>
      <c r="CL740" s="2040">
        <v>104.18</v>
      </c>
      <c r="CM740" s="2040">
        <v>214.1</v>
      </c>
      <c r="CN740" s="2040">
        <v>214.1</v>
      </c>
      <c r="CO740" s="2040">
        <v>262.92</v>
      </c>
      <c r="CP740" s="2040">
        <v>262.92</v>
      </c>
      <c r="CQ740" s="2040">
        <v>262.92</v>
      </c>
      <c r="CR740" s="2040">
        <v>262.92</v>
      </c>
      <c r="CW740" s="2040">
        <v>95.13</v>
      </c>
      <c r="CX740" s="2040">
        <v>95.13</v>
      </c>
      <c r="CY740" s="2040">
        <v>204.79</v>
      </c>
      <c r="CZ740" s="2040">
        <v>204.79</v>
      </c>
      <c r="DA740" s="2040">
        <v>204.79</v>
      </c>
      <c r="DB740" s="2040">
        <v>204.79</v>
      </c>
      <c r="DC740" s="2040">
        <v>251.63</v>
      </c>
      <c r="DD740" s="2040">
        <v>251.63</v>
      </c>
      <c r="DE740" s="2040">
        <v>251.63</v>
      </c>
      <c r="DF740" s="2040">
        <v>251.63</v>
      </c>
      <c r="DI740" s="2040">
        <v>25.14</v>
      </c>
      <c r="DJ740" s="2040">
        <v>25.14</v>
      </c>
      <c r="DK740" s="2040">
        <v>25.14</v>
      </c>
      <c r="DL740" s="2040">
        <v>25.14</v>
      </c>
      <c r="DM740" s="2040">
        <v>25.14</v>
      </c>
      <c r="DN740" s="2040">
        <v>25.14</v>
      </c>
      <c r="DU740" s="2040">
        <v>11.24</v>
      </c>
      <c r="DV740" s="2040">
        <v>11.24</v>
      </c>
      <c r="DW740" s="2040">
        <v>10.25</v>
      </c>
      <c r="DX740" s="2040">
        <v>10.25</v>
      </c>
      <c r="DY740" s="2040">
        <v>10.25</v>
      </c>
      <c r="DZ740" s="2040">
        <v>10.25</v>
      </c>
      <c r="EG740" s="2040">
        <v>12.07</v>
      </c>
      <c r="EH740" s="2040">
        <v>12.32</v>
      </c>
      <c r="EI740" s="2040">
        <v>8.5399999999999991</v>
      </c>
      <c r="EJ740" s="2040">
        <v>8.5399999999999991</v>
      </c>
      <c r="EK740" s="2040">
        <v>8.5</v>
      </c>
      <c r="EL740" s="2040">
        <v>8.5</v>
      </c>
      <c r="EM740" s="2040">
        <v>9.27</v>
      </c>
      <c r="EN740" s="2040">
        <v>9.27</v>
      </c>
      <c r="EO740" s="2040">
        <v>8.67</v>
      </c>
      <c r="EP740" s="2040">
        <v>8.67</v>
      </c>
      <c r="EQ740" s="2040">
        <v>8.92</v>
      </c>
      <c r="ER740" s="2040">
        <v>8.9600000000000009</v>
      </c>
      <c r="ES740" s="2040">
        <v>45.97</v>
      </c>
      <c r="ET740" s="2040">
        <v>45.97</v>
      </c>
      <c r="EU740" s="2040">
        <v>184.13</v>
      </c>
      <c r="EV740" s="2040">
        <v>184.13</v>
      </c>
      <c r="EW740" s="2040">
        <v>179.43</v>
      </c>
      <c r="EX740" s="2040">
        <v>179.43</v>
      </c>
      <c r="EY740" s="2506">
        <f t="shared" si="59"/>
        <v>181.78</v>
      </c>
      <c r="EZ740" s="2506">
        <f t="shared" si="59"/>
        <v>181.78</v>
      </c>
      <c r="FA740" s="2040">
        <v>184.5</v>
      </c>
      <c r="FB740" s="2040">
        <v>184.5</v>
      </c>
      <c r="FE740" s="2040">
        <v>39.46</v>
      </c>
      <c r="FF740" s="2040">
        <v>39.46</v>
      </c>
      <c r="FG740" s="2040">
        <v>154.27000000000001</v>
      </c>
      <c r="FH740" s="2040">
        <v>154.27000000000001</v>
      </c>
      <c r="FI740" s="2040">
        <v>154.27000000000001</v>
      </c>
      <c r="FJ740" s="2040">
        <v>157.80000000000001</v>
      </c>
      <c r="FK740" s="2040">
        <v>153.38999999999999</v>
      </c>
      <c r="FL740" s="2040">
        <v>153.38999999999999</v>
      </c>
      <c r="FM740" s="2040">
        <v>154.85</v>
      </c>
      <c r="FN740" s="2040">
        <v>154.85</v>
      </c>
      <c r="FQ740" s="2040">
        <v>89.05</v>
      </c>
      <c r="FR740" s="2040">
        <v>89.05</v>
      </c>
      <c r="FS740" s="2040">
        <v>172.95</v>
      </c>
      <c r="FT740" s="2040">
        <v>172.95</v>
      </c>
      <c r="FU740" s="2040">
        <v>172.95</v>
      </c>
      <c r="FV740" s="2040">
        <v>172.95</v>
      </c>
      <c r="FW740" s="2040">
        <v>173.88</v>
      </c>
      <c r="FX740" s="2040">
        <v>173.88</v>
      </c>
      <c r="GC740" s="2040">
        <v>63.12</v>
      </c>
      <c r="GD740" s="2040">
        <v>63.12</v>
      </c>
      <c r="GE740" s="2040">
        <v>144.53</v>
      </c>
      <c r="GF740" s="2040">
        <v>144.53</v>
      </c>
      <c r="GG740" s="2040">
        <v>144.53</v>
      </c>
      <c r="GH740" s="2040">
        <v>144.53</v>
      </c>
      <c r="GI740" s="2040">
        <v>130.06</v>
      </c>
      <c r="GJ740" s="2040">
        <v>130.06</v>
      </c>
      <c r="GK740" s="2040">
        <v>163.63999999999999</v>
      </c>
      <c r="GL740" s="2040">
        <v>163.63999999999999</v>
      </c>
      <c r="GO740" s="2040">
        <v>33.78</v>
      </c>
      <c r="GP740" s="2040">
        <v>33.78</v>
      </c>
      <c r="GQ740" s="2040">
        <v>26.71</v>
      </c>
      <c r="GR740" s="2040">
        <v>26.71</v>
      </c>
      <c r="GS740" s="2040">
        <v>26.71</v>
      </c>
      <c r="GT740" s="2040">
        <v>25.67</v>
      </c>
      <c r="GU740" s="2040">
        <v>25.67</v>
      </c>
      <c r="GV740" s="2040">
        <v>26.28</v>
      </c>
      <c r="GW740" s="2040">
        <v>153.30000000000001</v>
      </c>
      <c r="GX740" s="2040">
        <v>153.30000000000001</v>
      </c>
      <c r="HA740" s="2040">
        <v>23.56</v>
      </c>
      <c r="HB740" s="2040">
        <v>23.56</v>
      </c>
      <c r="HC740" s="2040">
        <v>15.37</v>
      </c>
      <c r="HD740" s="2040">
        <v>15.37</v>
      </c>
      <c r="HE740" s="2040">
        <v>16.350000000000001</v>
      </c>
      <c r="HF740" s="2040">
        <v>16.350000000000001</v>
      </c>
      <c r="HG740" s="2040">
        <v>16.350000000000001</v>
      </c>
      <c r="HH740" s="2040">
        <v>16.350000000000001</v>
      </c>
      <c r="HI740" s="2040">
        <v>16.350000000000001</v>
      </c>
      <c r="HJ740" s="2040">
        <v>16.350000000000001</v>
      </c>
      <c r="HK740" s="2040">
        <v>16.39</v>
      </c>
      <c r="HL740" s="2040">
        <v>16.82</v>
      </c>
      <c r="HM740" s="2040">
        <v>33.01</v>
      </c>
      <c r="HN740" s="2040">
        <v>33.01</v>
      </c>
      <c r="HO740" s="2040">
        <v>21.96</v>
      </c>
      <c r="HP740" s="2040">
        <v>21.96</v>
      </c>
      <c r="HQ740" s="2040">
        <v>23.39</v>
      </c>
      <c r="HR740" s="2040">
        <v>23.39</v>
      </c>
      <c r="HS740" s="2040">
        <v>23.39</v>
      </c>
      <c r="HT740" s="2040">
        <v>23.39</v>
      </c>
      <c r="HU740" s="2040">
        <v>23.39</v>
      </c>
      <c r="HV740" s="2040">
        <v>23.39</v>
      </c>
      <c r="HW740" s="2040">
        <v>23.35</v>
      </c>
      <c r="HX740" s="2040">
        <v>23.35</v>
      </c>
    </row>
    <row r="741" spans="2:232" s="2040" customFormat="1" ht="14" x14ac:dyDescent="0.3">
      <c r="B741" s="2504">
        <v>42</v>
      </c>
      <c r="C741" s="2505">
        <v>37.71</v>
      </c>
      <c r="D741" s="2505">
        <v>37.71</v>
      </c>
      <c r="E741" s="2505">
        <v>38.18</v>
      </c>
      <c r="F741" s="2505">
        <v>38.18</v>
      </c>
      <c r="G741" s="2505">
        <v>139.97</v>
      </c>
      <c r="H741" s="2505">
        <v>139.97</v>
      </c>
      <c r="I741" s="2505">
        <v>129.88999999999999</v>
      </c>
      <c r="J741" s="2505">
        <v>129.88999999999999</v>
      </c>
      <c r="K741" s="2505">
        <v>139.53</v>
      </c>
      <c r="L741" s="2505">
        <v>139.53</v>
      </c>
      <c r="M741" s="2505"/>
      <c r="N741" s="2505"/>
      <c r="O741" s="2505">
        <v>117.9</v>
      </c>
      <c r="P741" s="2505">
        <v>117.9</v>
      </c>
      <c r="Q741" s="2505">
        <v>118.21</v>
      </c>
      <c r="R741" s="2505">
        <v>117.9</v>
      </c>
      <c r="S741" s="2505">
        <v>200.22</v>
      </c>
      <c r="T741" s="2505">
        <v>200.22</v>
      </c>
      <c r="U741" s="2505">
        <v>193.26</v>
      </c>
      <c r="V741" s="2505">
        <v>193.26</v>
      </c>
      <c r="W741" s="2505">
        <v>200.22</v>
      </c>
      <c r="X741" s="2505">
        <v>200.22</v>
      </c>
      <c r="Y741" s="2505">
        <v>193.26</v>
      </c>
      <c r="Z741" s="2505">
        <v>200.22</v>
      </c>
      <c r="AA741" s="2505">
        <v>200.22</v>
      </c>
      <c r="AB741" s="2505">
        <v>200.22</v>
      </c>
      <c r="AC741" s="2505">
        <v>193.26</v>
      </c>
      <c r="AD741" s="2505">
        <v>193.26</v>
      </c>
      <c r="AE741" s="2505">
        <v>218.35</v>
      </c>
      <c r="AF741" s="2505">
        <v>212.12</v>
      </c>
      <c r="AG741" s="2505">
        <v>218.35</v>
      </c>
      <c r="AH741" s="2505">
        <v>218.35</v>
      </c>
      <c r="AI741" s="2505">
        <v>212.12</v>
      </c>
      <c r="AJ741" s="2505">
        <v>212.12</v>
      </c>
      <c r="AK741" s="2505">
        <v>213.26</v>
      </c>
      <c r="AL741" s="2505">
        <v>213.26</v>
      </c>
      <c r="AM741" s="2505">
        <v>62.39</v>
      </c>
      <c r="AN741" s="2505">
        <v>60.1</v>
      </c>
      <c r="AO741" s="2505">
        <v>60.1</v>
      </c>
      <c r="AP741" s="2505">
        <v>60.1</v>
      </c>
      <c r="AQ741" s="2505">
        <v>60.98</v>
      </c>
      <c r="AR741" s="2505">
        <v>60.98</v>
      </c>
      <c r="AS741" s="2505">
        <v>171.32</v>
      </c>
      <c r="AT741" s="2505">
        <v>171.32</v>
      </c>
      <c r="AU741" s="2505">
        <v>171.32</v>
      </c>
      <c r="AV741" s="2505">
        <v>175.75</v>
      </c>
      <c r="AW741" s="2505">
        <v>171.5</v>
      </c>
      <c r="AX741" s="2505">
        <v>171.5</v>
      </c>
      <c r="AY741" s="2505">
        <v>171.67</v>
      </c>
      <c r="AZ741" s="2505">
        <v>171.67</v>
      </c>
      <c r="BA741" s="2040">
        <v>73.989999999999995</v>
      </c>
      <c r="BB741" s="2040">
        <v>73.989999999999995</v>
      </c>
      <c r="BC741" s="2040">
        <v>17.86</v>
      </c>
      <c r="BD741" s="2040">
        <v>18.28</v>
      </c>
      <c r="BE741" s="2040">
        <v>22.25</v>
      </c>
      <c r="BF741" s="2040">
        <v>22.25</v>
      </c>
      <c r="BG741" s="2040">
        <v>17.91</v>
      </c>
      <c r="BH741" s="2040">
        <v>17.91</v>
      </c>
      <c r="BI741" s="2040">
        <v>17.760000000000002</v>
      </c>
      <c r="BJ741" s="2040">
        <v>17.760000000000002</v>
      </c>
      <c r="BK741" s="2040">
        <v>17.760000000000002</v>
      </c>
      <c r="BL741" s="2040">
        <v>17.760000000000002</v>
      </c>
      <c r="BM741" s="2040">
        <v>45.61</v>
      </c>
      <c r="BN741" s="2040">
        <v>45.61</v>
      </c>
      <c r="BO741" s="2040">
        <v>138.72999999999999</v>
      </c>
      <c r="BP741" s="2040">
        <v>138.72999999999999</v>
      </c>
      <c r="BQ741" s="2040">
        <v>138.72999999999999</v>
      </c>
      <c r="BR741" s="2040">
        <v>138.72999999999999</v>
      </c>
      <c r="BS741" s="2040">
        <v>171.34</v>
      </c>
      <c r="BT741" s="2040">
        <v>171.34</v>
      </c>
      <c r="BU741" s="2040">
        <v>171.34</v>
      </c>
      <c r="BV741" s="2040">
        <v>171.34</v>
      </c>
      <c r="BW741" s="2040">
        <v>171.34</v>
      </c>
      <c r="BX741" s="2040">
        <v>171.34</v>
      </c>
      <c r="BY741" s="2040">
        <v>41.43</v>
      </c>
      <c r="BZ741" s="2040">
        <v>41.43</v>
      </c>
      <c r="CA741" s="2040">
        <v>132.26</v>
      </c>
      <c r="CB741" s="2040">
        <v>132.26</v>
      </c>
      <c r="CC741" s="2040">
        <v>133.72</v>
      </c>
      <c r="CD741" s="2040">
        <v>133.72</v>
      </c>
      <c r="CE741" s="2040">
        <v>168.17</v>
      </c>
      <c r="CF741" s="2040">
        <v>168.17</v>
      </c>
      <c r="CK741" s="2040">
        <v>105.16</v>
      </c>
      <c r="CL741" s="2040">
        <v>105.16</v>
      </c>
      <c r="CM741" s="2040">
        <v>215.96</v>
      </c>
      <c r="CN741" s="2040">
        <v>215.96</v>
      </c>
      <c r="CO741" s="2040">
        <v>265.85000000000002</v>
      </c>
      <c r="CP741" s="2040">
        <v>265.85000000000002</v>
      </c>
      <c r="CQ741" s="2040">
        <v>265.85000000000002</v>
      </c>
      <c r="CR741" s="2040">
        <v>265.85000000000002</v>
      </c>
      <c r="CW741" s="2040">
        <v>96.15</v>
      </c>
      <c r="CX741" s="2040">
        <v>96.15</v>
      </c>
      <c r="CY741" s="2040">
        <v>206.67</v>
      </c>
      <c r="CZ741" s="2040">
        <v>206.67</v>
      </c>
      <c r="DA741" s="2040">
        <v>206.67</v>
      </c>
      <c r="DB741" s="2040">
        <v>206.67</v>
      </c>
      <c r="DC741" s="2040">
        <v>254.56</v>
      </c>
      <c r="DD741" s="2040">
        <v>254.56</v>
      </c>
      <c r="DE741" s="2040">
        <v>254.56</v>
      </c>
      <c r="DF741" s="2040">
        <v>254.56</v>
      </c>
      <c r="DI741" s="2040">
        <v>25.41</v>
      </c>
      <c r="DJ741" s="2040">
        <v>25.41</v>
      </c>
      <c r="DK741" s="2040">
        <v>25.41</v>
      </c>
      <c r="DL741" s="2040">
        <v>25.41</v>
      </c>
      <c r="DM741" s="2040">
        <v>25.41</v>
      </c>
      <c r="DN741" s="2040">
        <v>25.41</v>
      </c>
      <c r="DU741" s="2040">
        <v>11.36</v>
      </c>
      <c r="DV741" s="2040">
        <v>11.36</v>
      </c>
      <c r="DW741" s="2040">
        <v>10.39</v>
      </c>
      <c r="DX741" s="2040">
        <v>10.39</v>
      </c>
      <c r="DY741" s="2040">
        <v>10.39</v>
      </c>
      <c r="DZ741" s="2040">
        <v>10.39</v>
      </c>
      <c r="EG741" s="2040">
        <v>12.19</v>
      </c>
      <c r="EH741" s="2040">
        <v>12.44</v>
      </c>
      <c r="EI741" s="2040">
        <v>8.69</v>
      </c>
      <c r="EJ741" s="2040">
        <v>8.69</v>
      </c>
      <c r="EK741" s="2040">
        <v>8.66</v>
      </c>
      <c r="EL741" s="2040">
        <v>8.66</v>
      </c>
      <c r="EM741" s="2040">
        <v>9.42</v>
      </c>
      <c r="EN741" s="2040">
        <v>9.42</v>
      </c>
      <c r="EO741" s="2040">
        <v>8.82</v>
      </c>
      <c r="EP741" s="2040">
        <v>8.82</v>
      </c>
      <c r="EQ741" s="2040">
        <v>9.07</v>
      </c>
      <c r="ER741" s="2040">
        <v>9.1</v>
      </c>
      <c r="ES741" s="2040">
        <v>46.47</v>
      </c>
      <c r="ET741" s="2040">
        <v>46.47</v>
      </c>
      <c r="EU741" s="2040">
        <v>186.91</v>
      </c>
      <c r="EV741" s="2040">
        <v>186.91</v>
      </c>
      <c r="EW741" s="2040">
        <v>182.18</v>
      </c>
      <c r="EX741" s="2040">
        <v>182.18</v>
      </c>
      <c r="EY741" s="2506">
        <f t="shared" si="59"/>
        <v>184.54500000000002</v>
      </c>
      <c r="EZ741" s="2506">
        <f t="shared" si="59"/>
        <v>184.54500000000002</v>
      </c>
      <c r="FA741" s="2040">
        <v>187.19</v>
      </c>
      <c r="FB741" s="2040">
        <v>187.19</v>
      </c>
      <c r="FE741" s="2040">
        <v>39.89</v>
      </c>
      <c r="FF741" s="2040">
        <v>39.89</v>
      </c>
      <c r="FG741" s="2040">
        <v>156.63999999999999</v>
      </c>
      <c r="FH741" s="2040">
        <v>156.63999999999999</v>
      </c>
      <c r="FI741" s="2040">
        <v>156.63999999999999</v>
      </c>
      <c r="FJ741" s="2040">
        <v>160.06</v>
      </c>
      <c r="FK741" s="2040">
        <v>155.78</v>
      </c>
      <c r="FL741" s="2040">
        <v>155.78</v>
      </c>
      <c r="FM741" s="2040">
        <v>157.21</v>
      </c>
      <c r="FN741" s="2040">
        <v>157.21</v>
      </c>
      <c r="FQ741" s="2040">
        <v>90.02</v>
      </c>
      <c r="FR741" s="2040">
        <v>90.02</v>
      </c>
      <c r="FS741" s="2040">
        <v>175.12</v>
      </c>
      <c r="FT741" s="2040">
        <v>175.12</v>
      </c>
      <c r="FU741" s="2040">
        <v>175.12</v>
      </c>
      <c r="FV741" s="2040">
        <v>175.12</v>
      </c>
      <c r="FW741" s="2040">
        <v>176.04</v>
      </c>
      <c r="FX741" s="2040">
        <v>176.04</v>
      </c>
      <c r="GC741" s="2040">
        <v>63.8</v>
      </c>
      <c r="GD741" s="2040">
        <v>63.8</v>
      </c>
      <c r="GE741" s="2040">
        <v>145.93</v>
      </c>
      <c r="GF741" s="2040">
        <v>145.93</v>
      </c>
      <c r="GG741" s="2040">
        <v>145.93</v>
      </c>
      <c r="GH741" s="2040">
        <v>145.93</v>
      </c>
      <c r="GI741" s="2040">
        <v>132.66999999999999</v>
      </c>
      <c r="GJ741" s="2040">
        <v>132.66999999999999</v>
      </c>
      <c r="GK741" s="2040">
        <v>166</v>
      </c>
      <c r="GL741" s="2040">
        <v>166</v>
      </c>
      <c r="GO741" s="2040">
        <v>34.14</v>
      </c>
      <c r="GP741" s="2040">
        <v>34.14</v>
      </c>
      <c r="GQ741" s="2040">
        <v>27.13</v>
      </c>
      <c r="GR741" s="2040">
        <v>27.13</v>
      </c>
      <c r="GS741" s="2040">
        <v>27.13</v>
      </c>
      <c r="GT741" s="2040">
        <v>26.08</v>
      </c>
      <c r="GU741" s="2040">
        <v>26.08</v>
      </c>
      <c r="GV741" s="2040">
        <v>26.67</v>
      </c>
      <c r="GW741" s="2040">
        <v>155.63</v>
      </c>
      <c r="GX741" s="2040">
        <v>155.63</v>
      </c>
      <c r="HA741" s="2040">
        <v>23.81</v>
      </c>
      <c r="HB741" s="2040">
        <v>23.81</v>
      </c>
      <c r="HC741" s="2040">
        <v>15.67</v>
      </c>
      <c r="HD741" s="2040">
        <v>15.67</v>
      </c>
      <c r="HE741" s="2040">
        <v>16.64</v>
      </c>
      <c r="HF741" s="2040">
        <v>16.64</v>
      </c>
      <c r="HG741" s="2040">
        <v>16.64</v>
      </c>
      <c r="HH741" s="2040">
        <v>16.64</v>
      </c>
      <c r="HI741" s="2040">
        <v>16.64</v>
      </c>
      <c r="HJ741" s="2040">
        <v>16.64</v>
      </c>
      <c r="HK741" s="2040">
        <v>16.68</v>
      </c>
      <c r="HL741" s="2040">
        <v>17.11</v>
      </c>
      <c r="HM741" s="2040">
        <v>33.36</v>
      </c>
      <c r="HN741" s="2040">
        <v>33.36</v>
      </c>
      <c r="HO741" s="2040">
        <v>22.38</v>
      </c>
      <c r="HP741" s="2040">
        <v>22.38</v>
      </c>
      <c r="HQ741" s="2040">
        <v>23.8</v>
      </c>
      <c r="HR741" s="2040">
        <v>23.8</v>
      </c>
      <c r="HS741" s="2040">
        <v>23.8</v>
      </c>
      <c r="HT741" s="2040">
        <v>23.8</v>
      </c>
      <c r="HU741" s="2040">
        <v>23.8</v>
      </c>
      <c r="HV741" s="2040">
        <v>23.8</v>
      </c>
      <c r="HW741" s="2040">
        <v>23.76</v>
      </c>
      <c r="HX741" s="2040">
        <v>23.76</v>
      </c>
    </row>
    <row r="742" spans="2:232" s="2040" customFormat="1" ht="14" x14ac:dyDescent="0.3">
      <c r="B742" s="2504">
        <v>43</v>
      </c>
      <c r="C742" s="2505">
        <v>38.090000000000003</v>
      </c>
      <c r="D742" s="2505">
        <v>38.090000000000003</v>
      </c>
      <c r="E742" s="2505">
        <v>38.549999999999997</v>
      </c>
      <c r="F742" s="2505">
        <v>38.549999999999997</v>
      </c>
      <c r="G742" s="2505">
        <v>141.71</v>
      </c>
      <c r="H742" s="2505">
        <v>141.71</v>
      </c>
      <c r="I742" s="2505">
        <v>131.63999999999999</v>
      </c>
      <c r="J742" s="2505">
        <v>131.63999999999999</v>
      </c>
      <c r="K742" s="2505">
        <v>141.06</v>
      </c>
      <c r="L742" s="2505">
        <v>141.06</v>
      </c>
      <c r="M742" s="2505"/>
      <c r="N742" s="2505"/>
      <c r="O742" s="2505">
        <v>119.11</v>
      </c>
      <c r="P742" s="2505">
        <v>119.11</v>
      </c>
      <c r="Q742" s="2505">
        <v>119.38</v>
      </c>
      <c r="R742" s="2505">
        <v>119.12</v>
      </c>
      <c r="S742" s="2505">
        <v>203.17</v>
      </c>
      <c r="T742" s="2505">
        <v>203.17</v>
      </c>
      <c r="U742" s="2505">
        <v>196.11</v>
      </c>
      <c r="V742" s="2505">
        <v>196.11</v>
      </c>
      <c r="W742" s="2505">
        <v>203.17</v>
      </c>
      <c r="X742" s="2505">
        <v>203.17</v>
      </c>
      <c r="Y742" s="2505">
        <v>196.11</v>
      </c>
      <c r="Z742" s="2505">
        <v>203.17</v>
      </c>
      <c r="AA742" s="2505">
        <v>203.17</v>
      </c>
      <c r="AB742" s="2505">
        <v>203.17</v>
      </c>
      <c r="AC742" s="2505">
        <v>196.11</v>
      </c>
      <c r="AD742" s="2505">
        <v>196.11</v>
      </c>
      <c r="AE742" s="2505">
        <v>221.13</v>
      </c>
      <c r="AF742" s="2505">
        <v>214.82</v>
      </c>
      <c r="AG742" s="2505">
        <v>221.13</v>
      </c>
      <c r="AH742" s="2505">
        <v>221.13</v>
      </c>
      <c r="AI742" s="2505">
        <v>214.82</v>
      </c>
      <c r="AJ742" s="2505">
        <v>214.82</v>
      </c>
      <c r="AK742" s="2505">
        <v>215.92</v>
      </c>
      <c r="AL742" s="2505">
        <v>215.92</v>
      </c>
      <c r="AM742" s="2505">
        <v>63.03</v>
      </c>
      <c r="AN742" s="2505">
        <v>60.72</v>
      </c>
      <c r="AO742" s="2505">
        <v>60.72</v>
      </c>
      <c r="AP742" s="2505">
        <v>60.72</v>
      </c>
      <c r="AQ742" s="2505">
        <v>61.57</v>
      </c>
      <c r="AR742" s="2505">
        <v>61.57</v>
      </c>
      <c r="AS742" s="2505">
        <v>173.55</v>
      </c>
      <c r="AT742" s="2505">
        <v>173.55</v>
      </c>
      <c r="AU742" s="2505">
        <v>173.55</v>
      </c>
      <c r="AV742" s="2505">
        <v>178</v>
      </c>
      <c r="AW742" s="2505">
        <v>173.74</v>
      </c>
      <c r="AX742" s="2505">
        <v>173.74</v>
      </c>
      <c r="AY742" s="2505">
        <v>173.9</v>
      </c>
      <c r="AZ742" s="2505">
        <v>173.9</v>
      </c>
      <c r="BA742" s="2040">
        <v>74.989999999999995</v>
      </c>
      <c r="BB742" s="2040">
        <v>74.989999999999995</v>
      </c>
      <c r="BC742" s="2040">
        <v>18.14</v>
      </c>
      <c r="BD742" s="2040">
        <v>18.559999999999999</v>
      </c>
      <c r="BE742" s="2040">
        <v>22.49</v>
      </c>
      <c r="BF742" s="2040">
        <v>22.49</v>
      </c>
      <c r="BG742" s="2040">
        <v>18.2</v>
      </c>
      <c r="BH742" s="2040">
        <v>18.2</v>
      </c>
      <c r="BI742" s="2040">
        <v>18.04</v>
      </c>
      <c r="BJ742" s="2040">
        <v>18.04</v>
      </c>
      <c r="BK742" s="2040">
        <v>18.04</v>
      </c>
      <c r="BL742" s="2040">
        <v>18.04</v>
      </c>
      <c r="BM742" s="2040">
        <v>46.08</v>
      </c>
      <c r="BN742" s="2040">
        <v>46.08</v>
      </c>
      <c r="BO742" s="2040">
        <v>140.36000000000001</v>
      </c>
      <c r="BP742" s="2040">
        <v>140.36000000000001</v>
      </c>
      <c r="BQ742" s="2040">
        <v>140.36000000000001</v>
      </c>
      <c r="BR742" s="2040">
        <v>140.36000000000001</v>
      </c>
      <c r="BS742" s="2040">
        <v>173.76</v>
      </c>
      <c r="BT742" s="2040">
        <v>173.76</v>
      </c>
      <c r="BU742" s="2040">
        <v>173.76</v>
      </c>
      <c r="BV742" s="2040">
        <v>173.76</v>
      </c>
      <c r="BW742" s="2040">
        <v>173.76</v>
      </c>
      <c r="BX742" s="2040">
        <v>173.76</v>
      </c>
      <c r="BY742" s="2040">
        <v>41.86</v>
      </c>
      <c r="BZ742" s="2040">
        <v>41.86</v>
      </c>
      <c r="CA742" s="2040">
        <v>133.85</v>
      </c>
      <c r="CB742" s="2040">
        <v>133.85</v>
      </c>
      <c r="CC742" s="2040">
        <v>135.35</v>
      </c>
      <c r="CD742" s="2040">
        <v>135.35</v>
      </c>
      <c r="CE742" s="2040">
        <v>170.59</v>
      </c>
      <c r="CF742" s="2040">
        <v>170.59</v>
      </c>
      <c r="CK742" s="2040">
        <v>106.1</v>
      </c>
      <c r="CL742" s="2040">
        <v>106.1</v>
      </c>
      <c r="CM742" s="2040">
        <v>217.76</v>
      </c>
      <c r="CN742" s="2040">
        <v>217.76</v>
      </c>
      <c r="CO742" s="2040">
        <v>268.68</v>
      </c>
      <c r="CP742" s="2040">
        <v>268.68</v>
      </c>
      <c r="CQ742" s="2040">
        <v>268.68</v>
      </c>
      <c r="CR742" s="2040">
        <v>268.68</v>
      </c>
      <c r="CW742" s="2040">
        <v>97.14</v>
      </c>
      <c r="CX742" s="2040">
        <v>97.14</v>
      </c>
      <c r="CY742" s="2040">
        <v>208.49</v>
      </c>
      <c r="CZ742" s="2040">
        <v>208.49</v>
      </c>
      <c r="DA742" s="2040">
        <v>208.49</v>
      </c>
      <c r="DB742" s="2040">
        <v>208.49</v>
      </c>
      <c r="DC742" s="2040">
        <v>257.38</v>
      </c>
      <c r="DD742" s="2040">
        <v>257.38</v>
      </c>
      <c r="DE742" s="2040">
        <v>257.38</v>
      </c>
      <c r="DF742" s="2040">
        <v>257.38</v>
      </c>
      <c r="DI742" s="2040">
        <v>25.67</v>
      </c>
      <c r="DJ742" s="2040">
        <v>25.67</v>
      </c>
      <c r="DK742" s="2040">
        <v>25.67</v>
      </c>
      <c r="DL742" s="2040">
        <v>25.67</v>
      </c>
      <c r="DM742" s="2040">
        <v>25.67</v>
      </c>
      <c r="DN742" s="2040">
        <v>25.67</v>
      </c>
      <c r="DU742" s="2040">
        <v>11.47</v>
      </c>
      <c r="DV742" s="2040">
        <v>11.47</v>
      </c>
      <c r="DW742" s="2040">
        <v>10.52</v>
      </c>
      <c r="DX742" s="2040">
        <v>10.52</v>
      </c>
      <c r="DY742" s="2040">
        <v>10.52</v>
      </c>
      <c r="DZ742" s="2040">
        <v>10.52</v>
      </c>
      <c r="EG742" s="2040">
        <v>12.31</v>
      </c>
      <c r="EH742" s="2040">
        <v>12.56</v>
      </c>
      <c r="EI742" s="2040">
        <v>8.83</v>
      </c>
      <c r="EJ742" s="2040">
        <v>8.83</v>
      </c>
      <c r="EK742" s="2040">
        <v>8.8000000000000007</v>
      </c>
      <c r="EL742" s="2040">
        <v>8.8000000000000007</v>
      </c>
      <c r="EM742" s="2040">
        <v>9.56</v>
      </c>
      <c r="EN742" s="2040">
        <v>9.56</v>
      </c>
      <c r="EO742" s="2040">
        <v>8.9600000000000009</v>
      </c>
      <c r="EP742" s="2040">
        <v>8.9600000000000009</v>
      </c>
      <c r="EQ742" s="2040">
        <v>9.2100000000000009</v>
      </c>
      <c r="ER742" s="2040">
        <v>9.24</v>
      </c>
      <c r="ES742" s="2040">
        <v>46.95</v>
      </c>
      <c r="ET742" s="2040">
        <v>46.95</v>
      </c>
      <c r="EU742" s="2040">
        <v>189.6</v>
      </c>
      <c r="EV742" s="2040">
        <v>189.6</v>
      </c>
      <c r="EW742" s="2040">
        <v>184.84</v>
      </c>
      <c r="EX742" s="2040">
        <v>184.84</v>
      </c>
      <c r="EY742" s="2506">
        <f t="shared" si="59"/>
        <v>187.22</v>
      </c>
      <c r="EZ742" s="2506">
        <f t="shared" si="59"/>
        <v>187.22</v>
      </c>
      <c r="FA742" s="2040">
        <v>189.79</v>
      </c>
      <c r="FB742" s="2040">
        <v>189.79</v>
      </c>
      <c r="FE742" s="2040">
        <v>40.299999999999997</v>
      </c>
      <c r="FF742" s="2040">
        <v>40.299999999999997</v>
      </c>
      <c r="FG742" s="2040">
        <v>158.94</v>
      </c>
      <c r="FH742" s="2040">
        <v>158.94</v>
      </c>
      <c r="FI742" s="2040">
        <v>158.94</v>
      </c>
      <c r="FJ742" s="2040">
        <v>162.25</v>
      </c>
      <c r="FK742" s="2040">
        <v>158.1</v>
      </c>
      <c r="FL742" s="2040">
        <v>158.1</v>
      </c>
      <c r="FM742" s="2040">
        <v>159.5</v>
      </c>
      <c r="FN742" s="2040">
        <v>159.5</v>
      </c>
      <c r="FQ742" s="2040">
        <v>90.96</v>
      </c>
      <c r="FR742" s="2040">
        <v>90.96</v>
      </c>
      <c r="FS742" s="2040">
        <v>177.22</v>
      </c>
      <c r="FT742" s="2040">
        <v>177.22</v>
      </c>
      <c r="FU742" s="2040">
        <v>177.22</v>
      </c>
      <c r="FV742" s="2040">
        <v>177.22</v>
      </c>
      <c r="FW742" s="2040">
        <v>178.12</v>
      </c>
      <c r="FX742" s="2040">
        <v>178.12</v>
      </c>
      <c r="GC742" s="2040">
        <v>64.45</v>
      </c>
      <c r="GD742" s="2040">
        <v>64.45</v>
      </c>
      <c r="GE742" s="2040">
        <v>147.29</v>
      </c>
      <c r="GF742" s="2040">
        <v>147.29</v>
      </c>
      <c r="GG742" s="2040">
        <v>147.29</v>
      </c>
      <c r="GH742" s="2040">
        <v>147.29</v>
      </c>
      <c r="GI742" s="2040">
        <v>135.21</v>
      </c>
      <c r="GJ742" s="2040">
        <v>135.21</v>
      </c>
      <c r="GK742" s="2040">
        <v>168.27</v>
      </c>
      <c r="GL742" s="2040">
        <v>168.27</v>
      </c>
      <c r="GO742" s="2040">
        <v>34.5</v>
      </c>
      <c r="GP742" s="2040">
        <v>34.5</v>
      </c>
      <c r="GQ742" s="2040">
        <v>27.54</v>
      </c>
      <c r="GR742" s="2040">
        <v>27.54</v>
      </c>
      <c r="GS742" s="2040">
        <v>27.54</v>
      </c>
      <c r="GT742" s="2040">
        <v>26.47</v>
      </c>
      <c r="GU742" s="2040">
        <v>26.47</v>
      </c>
      <c r="GV742" s="2040">
        <v>27.05</v>
      </c>
      <c r="GW742" s="2040">
        <v>157.88999999999999</v>
      </c>
      <c r="GX742" s="2040">
        <v>157.88999999999999</v>
      </c>
      <c r="HA742" s="2040">
        <v>24.05</v>
      </c>
      <c r="HB742" s="2040">
        <v>24.05</v>
      </c>
      <c r="HC742" s="2040">
        <v>15.96</v>
      </c>
      <c r="HD742" s="2040">
        <v>15.96</v>
      </c>
      <c r="HE742" s="2040">
        <v>16.93</v>
      </c>
      <c r="HF742" s="2040">
        <v>16.93</v>
      </c>
      <c r="HG742" s="2040">
        <v>16.93</v>
      </c>
      <c r="HH742" s="2040">
        <v>16.93</v>
      </c>
      <c r="HI742" s="2040">
        <v>16.93</v>
      </c>
      <c r="HJ742" s="2040">
        <v>16.93</v>
      </c>
      <c r="HK742" s="2040">
        <v>16.97</v>
      </c>
      <c r="HL742" s="2040">
        <v>17.38</v>
      </c>
      <c r="HM742" s="2040">
        <v>33.700000000000003</v>
      </c>
      <c r="HN742" s="2040">
        <v>33.700000000000003</v>
      </c>
      <c r="HO742" s="2040">
        <v>22.79</v>
      </c>
      <c r="HP742" s="2040">
        <v>22.79</v>
      </c>
      <c r="HQ742" s="2040">
        <v>24.19</v>
      </c>
      <c r="HR742" s="2040">
        <v>24.19</v>
      </c>
      <c r="HS742" s="2040">
        <v>24.19</v>
      </c>
      <c r="HT742" s="2040">
        <v>24.19</v>
      </c>
      <c r="HU742" s="2040">
        <v>24.19</v>
      </c>
      <c r="HV742" s="2040">
        <v>24.19</v>
      </c>
      <c r="HW742" s="2040">
        <v>24.16</v>
      </c>
      <c r="HX742" s="2040">
        <v>24.16</v>
      </c>
    </row>
    <row r="743" spans="2:232" s="2040" customFormat="1" ht="14" x14ac:dyDescent="0.3">
      <c r="B743" s="2504">
        <v>44</v>
      </c>
      <c r="C743" s="2505">
        <v>38.46</v>
      </c>
      <c r="D743" s="2505">
        <v>38.46</v>
      </c>
      <c r="E743" s="2505">
        <v>38.9</v>
      </c>
      <c r="F743" s="2505">
        <v>38.9</v>
      </c>
      <c r="G743" s="2505">
        <v>143.38999999999999</v>
      </c>
      <c r="H743" s="2505">
        <v>143.38999999999999</v>
      </c>
      <c r="I743" s="2505">
        <v>133.34</v>
      </c>
      <c r="J743" s="2505">
        <v>133.34</v>
      </c>
      <c r="K743" s="2505">
        <v>142.55000000000001</v>
      </c>
      <c r="L743" s="2505">
        <v>142.55000000000001</v>
      </c>
      <c r="M743" s="2505"/>
      <c r="N743" s="2505"/>
      <c r="O743" s="2505">
        <v>120.28</v>
      </c>
      <c r="P743" s="2505">
        <v>120.28</v>
      </c>
      <c r="Q743" s="2505">
        <v>120.51</v>
      </c>
      <c r="R743" s="2505">
        <v>120.29</v>
      </c>
      <c r="S743" s="2505">
        <v>206.03</v>
      </c>
      <c r="T743" s="2505">
        <v>206.03</v>
      </c>
      <c r="U743" s="2505">
        <v>198.87</v>
      </c>
      <c r="V743" s="2505">
        <v>198.87</v>
      </c>
      <c r="W743" s="2505">
        <v>206.03</v>
      </c>
      <c r="X743" s="2505">
        <v>206.03</v>
      </c>
      <c r="Y743" s="2505">
        <v>198.87</v>
      </c>
      <c r="Z743" s="2505">
        <v>206.03</v>
      </c>
      <c r="AA743" s="2505">
        <v>206.03</v>
      </c>
      <c r="AB743" s="2505">
        <v>206.03</v>
      </c>
      <c r="AC743" s="2505">
        <v>198.87</v>
      </c>
      <c r="AD743" s="2505">
        <v>198.87</v>
      </c>
      <c r="AE743" s="2505">
        <v>223.81</v>
      </c>
      <c r="AF743" s="2505">
        <v>217.42</v>
      </c>
      <c r="AG743" s="2505">
        <v>223.81</v>
      </c>
      <c r="AH743" s="2505">
        <v>223.81</v>
      </c>
      <c r="AI743" s="2505">
        <v>217.42</v>
      </c>
      <c r="AJ743" s="2505">
        <v>217.42</v>
      </c>
      <c r="AK743" s="2505">
        <v>218.49</v>
      </c>
      <c r="AL743" s="2505">
        <v>218.49</v>
      </c>
      <c r="AM743" s="2505">
        <v>63.65</v>
      </c>
      <c r="AN743" s="2505">
        <v>61.32</v>
      </c>
      <c r="AO743" s="2505">
        <v>61.32</v>
      </c>
      <c r="AP743" s="2505">
        <v>61.32</v>
      </c>
      <c r="AQ743" s="2505">
        <v>62.13</v>
      </c>
      <c r="AR743" s="2505">
        <v>62.13</v>
      </c>
      <c r="AS743" s="2505">
        <v>175.7</v>
      </c>
      <c r="AT743" s="2505">
        <v>175.7</v>
      </c>
      <c r="AU743" s="2505">
        <v>175.7</v>
      </c>
      <c r="AV743" s="2505">
        <v>180.17</v>
      </c>
      <c r="AW743" s="2505">
        <v>175.91</v>
      </c>
      <c r="AX743" s="2505">
        <v>175.91</v>
      </c>
      <c r="AY743" s="2505">
        <v>176.06</v>
      </c>
      <c r="AZ743" s="2505">
        <v>176.06</v>
      </c>
      <c r="BA743" s="2040">
        <v>75.959999999999994</v>
      </c>
      <c r="BB743" s="2040">
        <v>75.959999999999994</v>
      </c>
      <c r="BC743" s="2040">
        <v>18.420000000000002</v>
      </c>
      <c r="BD743" s="2040">
        <v>18.82</v>
      </c>
      <c r="BE743" s="2040">
        <v>22.71</v>
      </c>
      <c r="BF743" s="2040">
        <v>22.71</v>
      </c>
      <c r="BG743" s="2040">
        <v>18.47</v>
      </c>
      <c r="BH743" s="2040">
        <v>18.47</v>
      </c>
      <c r="BI743" s="2040">
        <v>18.32</v>
      </c>
      <c r="BJ743" s="2040">
        <v>18.32</v>
      </c>
      <c r="BK743" s="2040">
        <v>18.32</v>
      </c>
      <c r="BL743" s="2040">
        <v>18.32</v>
      </c>
      <c r="BM743" s="2040">
        <v>46.53</v>
      </c>
      <c r="BN743" s="2040">
        <v>46.53</v>
      </c>
      <c r="BO743" s="2040">
        <v>141.94</v>
      </c>
      <c r="BP743" s="2040">
        <v>141.94</v>
      </c>
      <c r="BQ743" s="2040">
        <v>141.94</v>
      </c>
      <c r="BR743" s="2040">
        <v>141.94</v>
      </c>
      <c r="BS743" s="2040">
        <v>176.11</v>
      </c>
      <c r="BT743" s="2040">
        <v>176.11</v>
      </c>
      <c r="BU743" s="2040">
        <v>176.11</v>
      </c>
      <c r="BV743" s="2040">
        <v>176.11</v>
      </c>
      <c r="BW743" s="2040">
        <v>176.11</v>
      </c>
      <c r="BX743" s="2040">
        <v>176.11</v>
      </c>
      <c r="BY743" s="2040">
        <v>42.26</v>
      </c>
      <c r="BZ743" s="2040">
        <v>42.26</v>
      </c>
      <c r="CA743" s="2040">
        <v>135.38</v>
      </c>
      <c r="CB743" s="2040">
        <v>135.38</v>
      </c>
      <c r="CC743" s="2040">
        <v>136.94</v>
      </c>
      <c r="CD743" s="2040">
        <v>136.94</v>
      </c>
      <c r="CE743" s="2040">
        <v>172.93</v>
      </c>
      <c r="CF743" s="2040">
        <v>172.93</v>
      </c>
      <c r="CK743" s="2040">
        <v>107.02</v>
      </c>
      <c r="CL743" s="2040">
        <v>107.02</v>
      </c>
      <c r="CM743" s="2040">
        <v>219.49</v>
      </c>
      <c r="CN743" s="2040">
        <v>219.49</v>
      </c>
      <c r="CO743" s="2040">
        <v>271.41000000000003</v>
      </c>
      <c r="CP743" s="2040">
        <v>271.41000000000003</v>
      </c>
      <c r="CQ743" s="2040">
        <v>271.41000000000003</v>
      </c>
      <c r="CR743" s="2040">
        <v>271.41000000000003</v>
      </c>
      <c r="CW743" s="2040">
        <v>98.09</v>
      </c>
      <c r="CX743" s="2040">
        <v>98.09</v>
      </c>
      <c r="CY743" s="2040">
        <v>210.24</v>
      </c>
      <c r="CZ743" s="2040">
        <v>210.24</v>
      </c>
      <c r="DA743" s="2040">
        <v>210.24</v>
      </c>
      <c r="DB743" s="2040">
        <v>210.24</v>
      </c>
      <c r="DC743" s="2040">
        <v>260.11</v>
      </c>
      <c r="DD743" s="2040">
        <v>260.11</v>
      </c>
      <c r="DE743" s="2040">
        <v>260.11</v>
      </c>
      <c r="DF743" s="2040">
        <v>260.11</v>
      </c>
      <c r="DI743" s="2040">
        <v>25.92</v>
      </c>
      <c r="DJ743" s="2040">
        <v>25.92</v>
      </c>
      <c r="DK743" s="2040">
        <v>25.92</v>
      </c>
      <c r="DL743" s="2040">
        <v>25.92</v>
      </c>
      <c r="DM743" s="2040">
        <v>25.92</v>
      </c>
      <c r="DN743" s="2040">
        <v>25.92</v>
      </c>
      <c r="DU743" s="2040">
        <v>11.58</v>
      </c>
      <c r="DV743" s="2040">
        <v>11.58</v>
      </c>
      <c r="DW743" s="2040">
        <v>10.65</v>
      </c>
      <c r="DX743" s="2040">
        <v>10.65</v>
      </c>
      <c r="DY743" s="2040">
        <v>10.65</v>
      </c>
      <c r="DZ743" s="2040">
        <v>10.65</v>
      </c>
      <c r="EG743" s="2040">
        <v>12.43</v>
      </c>
      <c r="EH743" s="2040">
        <v>12.67</v>
      </c>
      <c r="EI743" s="2040">
        <v>8.9700000000000006</v>
      </c>
      <c r="EJ743" s="2040">
        <v>8.9700000000000006</v>
      </c>
      <c r="EK743" s="2040">
        <v>8.9499999999999993</v>
      </c>
      <c r="EL743" s="2040">
        <v>8.9499999999999993</v>
      </c>
      <c r="EM743" s="2040">
        <v>9.6999999999999993</v>
      </c>
      <c r="EN743" s="2040">
        <v>9.6999999999999993</v>
      </c>
      <c r="EO743" s="2040">
        <v>9.09</v>
      </c>
      <c r="EP743" s="2040">
        <v>9.09</v>
      </c>
      <c r="EQ743" s="2040">
        <v>9.35</v>
      </c>
      <c r="ER743" s="2040">
        <v>9.3699999999999992</v>
      </c>
      <c r="ES743" s="2040">
        <v>47.41</v>
      </c>
      <c r="ET743" s="2040">
        <v>47.41</v>
      </c>
      <c r="EU743" s="2040">
        <v>192.2</v>
      </c>
      <c r="EV743" s="2040">
        <v>192.2</v>
      </c>
      <c r="EW743" s="2040">
        <v>187.42</v>
      </c>
      <c r="EX743" s="2040">
        <v>187.42</v>
      </c>
      <c r="EY743" s="2506">
        <f t="shared" si="59"/>
        <v>189.81</v>
      </c>
      <c r="EZ743" s="2506">
        <f t="shared" si="59"/>
        <v>189.81</v>
      </c>
      <c r="FA743" s="2040">
        <v>192.31</v>
      </c>
      <c r="FB743" s="2040">
        <v>192.31</v>
      </c>
      <c r="FE743" s="2040">
        <v>40.700000000000003</v>
      </c>
      <c r="FF743" s="2040">
        <v>40.700000000000003</v>
      </c>
      <c r="FG743" s="2040">
        <v>161.16999999999999</v>
      </c>
      <c r="FH743" s="2040">
        <v>161.16999999999999</v>
      </c>
      <c r="FI743" s="2040">
        <v>161.16999999999999</v>
      </c>
      <c r="FJ743" s="2040">
        <v>164.38</v>
      </c>
      <c r="FK743" s="2040">
        <v>160.34</v>
      </c>
      <c r="FL743" s="2040">
        <v>160.34</v>
      </c>
      <c r="FM743" s="2040">
        <v>161.72</v>
      </c>
      <c r="FN743" s="2040">
        <v>161.72</v>
      </c>
      <c r="FQ743" s="2040">
        <v>91.87</v>
      </c>
      <c r="FR743" s="2040">
        <v>91.87</v>
      </c>
      <c r="FS743" s="2040">
        <v>179.25</v>
      </c>
      <c r="FT743" s="2040">
        <v>179.25</v>
      </c>
      <c r="FU743" s="2040">
        <v>179.25</v>
      </c>
      <c r="FV743" s="2040">
        <v>179.25</v>
      </c>
      <c r="FW743" s="2040">
        <v>180.13</v>
      </c>
      <c r="FX743" s="2040">
        <v>180.13</v>
      </c>
      <c r="GC743" s="2040">
        <v>65.08</v>
      </c>
      <c r="GD743" s="2040">
        <v>65.08</v>
      </c>
      <c r="GE743" s="2040">
        <v>148.59</v>
      </c>
      <c r="GF743" s="2040">
        <v>148.59</v>
      </c>
      <c r="GG743" s="2040">
        <v>148.59</v>
      </c>
      <c r="GH743" s="2040">
        <v>148.59</v>
      </c>
      <c r="GI743" s="2040">
        <v>137.68</v>
      </c>
      <c r="GJ743" s="2040">
        <v>137.68</v>
      </c>
      <c r="GK743" s="2040">
        <v>170.48</v>
      </c>
      <c r="GL743" s="2040">
        <v>170.48</v>
      </c>
      <c r="GO743" s="2040">
        <v>34.83</v>
      </c>
      <c r="GP743" s="2040">
        <v>34.83</v>
      </c>
      <c r="GQ743" s="2040">
        <v>27.93</v>
      </c>
      <c r="GR743" s="2040">
        <v>27.93</v>
      </c>
      <c r="GS743" s="2040">
        <v>27.93</v>
      </c>
      <c r="GT743" s="2040">
        <v>26.86</v>
      </c>
      <c r="GU743" s="2040">
        <v>26.86</v>
      </c>
      <c r="GV743" s="2040">
        <v>27.41</v>
      </c>
      <c r="GW743" s="2040">
        <v>160.08000000000001</v>
      </c>
      <c r="GX743" s="2040">
        <v>160.08000000000001</v>
      </c>
      <c r="HA743" s="2040">
        <v>24.28</v>
      </c>
      <c r="HB743" s="2040">
        <v>24.28</v>
      </c>
      <c r="HC743" s="2040">
        <v>16.25</v>
      </c>
      <c r="HD743" s="2040">
        <v>16.25</v>
      </c>
      <c r="HE743" s="2040">
        <v>17.2</v>
      </c>
      <c r="HF743" s="2040">
        <v>17.2</v>
      </c>
      <c r="HG743" s="2040">
        <v>17.2</v>
      </c>
      <c r="HH743" s="2040">
        <v>17.2</v>
      </c>
      <c r="HI743" s="2040">
        <v>17.2</v>
      </c>
      <c r="HJ743" s="2040">
        <v>17.2</v>
      </c>
      <c r="HK743" s="2040">
        <v>17.239999999999998</v>
      </c>
      <c r="HL743" s="2040">
        <v>17.649999999999999</v>
      </c>
      <c r="HM743" s="2040">
        <v>34.03</v>
      </c>
      <c r="HN743" s="2040">
        <v>34.03</v>
      </c>
      <c r="HO743" s="2040">
        <v>23.19</v>
      </c>
      <c r="HP743" s="2040">
        <v>23.19</v>
      </c>
      <c r="HQ743" s="2040">
        <v>24.57</v>
      </c>
      <c r="HR743" s="2040">
        <v>24.57</v>
      </c>
      <c r="HS743" s="2040">
        <v>24.57</v>
      </c>
      <c r="HT743" s="2040">
        <v>24.57</v>
      </c>
      <c r="HU743" s="2040">
        <v>24.57</v>
      </c>
      <c r="HV743" s="2040">
        <v>24.57</v>
      </c>
      <c r="HW743" s="2040">
        <v>24.54</v>
      </c>
      <c r="HX743" s="2040">
        <v>24.54</v>
      </c>
    </row>
    <row r="744" spans="2:232" s="2040" customFormat="1" ht="14" x14ac:dyDescent="0.3">
      <c r="B744" s="2504">
        <v>45</v>
      </c>
      <c r="C744" s="2505">
        <v>38.82</v>
      </c>
      <c r="D744" s="2505">
        <v>38.82</v>
      </c>
      <c r="E744" s="2505">
        <v>39.24</v>
      </c>
      <c r="F744" s="2505">
        <v>39.24</v>
      </c>
      <c r="G744" s="2505">
        <v>145.02000000000001</v>
      </c>
      <c r="H744" s="2505">
        <v>145.02000000000001</v>
      </c>
      <c r="I744" s="2505">
        <v>134.99</v>
      </c>
      <c r="J744" s="2505">
        <v>134.99</v>
      </c>
      <c r="K744" s="2505">
        <v>143.99</v>
      </c>
      <c r="L744" s="2505">
        <v>143.99</v>
      </c>
      <c r="M744" s="2505"/>
      <c r="N744" s="2505"/>
      <c r="O744" s="2505">
        <v>121.41</v>
      </c>
      <c r="P744" s="2505">
        <v>121.41</v>
      </c>
      <c r="Q744" s="2505">
        <v>121.6</v>
      </c>
      <c r="R744" s="2505">
        <v>121.42</v>
      </c>
      <c r="S744" s="2505">
        <v>208.8</v>
      </c>
      <c r="T744" s="2505">
        <v>208.8</v>
      </c>
      <c r="U744" s="2505">
        <v>201.54</v>
      </c>
      <c r="V744" s="2505">
        <v>201.54</v>
      </c>
      <c r="W744" s="2505">
        <v>208.8</v>
      </c>
      <c r="X744" s="2505">
        <v>208.8</v>
      </c>
      <c r="Y744" s="2505">
        <v>201.54</v>
      </c>
      <c r="Z744" s="2505">
        <v>208.8</v>
      </c>
      <c r="AA744" s="2505">
        <v>208.8</v>
      </c>
      <c r="AB744" s="2505">
        <v>208.8</v>
      </c>
      <c r="AC744" s="2505">
        <v>201.54</v>
      </c>
      <c r="AD744" s="2505">
        <v>201.54</v>
      </c>
      <c r="AE744" s="2505">
        <v>226.41</v>
      </c>
      <c r="AF744" s="2505">
        <v>219.95</v>
      </c>
      <c r="AG744" s="2505">
        <v>226.41</v>
      </c>
      <c r="AH744" s="2505">
        <v>226.41</v>
      </c>
      <c r="AI744" s="2505">
        <v>219.95</v>
      </c>
      <c r="AJ744" s="2505">
        <v>219.95</v>
      </c>
      <c r="AK744" s="2505">
        <v>220.97</v>
      </c>
      <c r="AL744" s="2505">
        <v>220.97</v>
      </c>
      <c r="AM744" s="2505">
        <v>64.239999999999995</v>
      </c>
      <c r="AN744" s="2505">
        <v>61.89</v>
      </c>
      <c r="AO744" s="2505">
        <v>61.89</v>
      </c>
      <c r="AP744" s="2505">
        <v>61.89</v>
      </c>
      <c r="AQ744" s="2505">
        <v>62.68</v>
      </c>
      <c r="AR744" s="2505">
        <v>62.68</v>
      </c>
      <c r="AS744" s="2505">
        <v>177.78</v>
      </c>
      <c r="AT744" s="2505">
        <v>177.78</v>
      </c>
      <c r="AU744" s="2505">
        <v>177.78</v>
      </c>
      <c r="AV744" s="2505">
        <v>182.28</v>
      </c>
      <c r="AW744" s="2505">
        <v>178</v>
      </c>
      <c r="AX744" s="2505">
        <v>178</v>
      </c>
      <c r="AY744" s="2505">
        <v>178.16</v>
      </c>
      <c r="AZ744" s="2505">
        <v>178.16</v>
      </c>
      <c r="BA744" s="2040">
        <v>76.89</v>
      </c>
      <c r="BB744" s="2040">
        <v>76.89</v>
      </c>
      <c r="BC744" s="2040">
        <v>18.690000000000001</v>
      </c>
      <c r="BD744" s="2040">
        <v>19.079999999999998</v>
      </c>
      <c r="BE744" s="2040">
        <v>22.93</v>
      </c>
      <c r="BF744" s="2040">
        <v>22.93</v>
      </c>
      <c r="BG744" s="2040">
        <v>18.739999999999998</v>
      </c>
      <c r="BH744" s="2040">
        <v>18.739999999999998</v>
      </c>
      <c r="BI744" s="2040">
        <v>18.59</v>
      </c>
      <c r="BJ744" s="2040">
        <v>18.59</v>
      </c>
      <c r="BK744" s="2040">
        <v>18.59</v>
      </c>
      <c r="BL744" s="2040">
        <v>18.59</v>
      </c>
      <c r="BM744" s="2040">
        <v>46.96</v>
      </c>
      <c r="BN744" s="2040">
        <v>46.96</v>
      </c>
      <c r="BO744" s="2040">
        <v>143.46</v>
      </c>
      <c r="BP744" s="2040">
        <v>143.46</v>
      </c>
      <c r="BQ744" s="2040">
        <v>143.46</v>
      </c>
      <c r="BR744" s="2040">
        <v>143.46</v>
      </c>
      <c r="BS744" s="2040">
        <v>178.38</v>
      </c>
      <c r="BT744" s="2040">
        <v>178.38</v>
      </c>
      <c r="BU744" s="2040">
        <v>178.38</v>
      </c>
      <c r="BV744" s="2040">
        <v>178.38</v>
      </c>
      <c r="BW744" s="2040">
        <v>178.38</v>
      </c>
      <c r="BX744" s="2040">
        <v>178.38</v>
      </c>
      <c r="BY744" s="2040">
        <v>42.66</v>
      </c>
      <c r="BZ744" s="2040">
        <v>42.66</v>
      </c>
      <c r="CA744" s="2040">
        <v>136.87</v>
      </c>
      <c r="CB744" s="2040">
        <v>136.87</v>
      </c>
      <c r="CC744" s="2040">
        <v>138.47</v>
      </c>
      <c r="CD744" s="2040">
        <v>138.47</v>
      </c>
      <c r="CE744" s="2040">
        <v>175.2</v>
      </c>
      <c r="CF744" s="2040">
        <v>175.2</v>
      </c>
      <c r="CK744" s="2040">
        <v>107.9</v>
      </c>
      <c r="CL744" s="2040">
        <v>107.9</v>
      </c>
      <c r="CM744" s="2040">
        <v>221.16</v>
      </c>
      <c r="CN744" s="2040">
        <v>221.16</v>
      </c>
      <c r="CO744" s="2040">
        <v>274.05</v>
      </c>
      <c r="CP744" s="2040">
        <v>274.05</v>
      </c>
      <c r="CQ744" s="2040">
        <v>274.05</v>
      </c>
      <c r="CR744" s="2040">
        <v>274.05</v>
      </c>
      <c r="CW744" s="2040">
        <v>99.01</v>
      </c>
      <c r="CX744" s="2040">
        <v>99.01</v>
      </c>
      <c r="CY744" s="2040">
        <v>211.92</v>
      </c>
      <c r="CZ744" s="2040">
        <v>211.92</v>
      </c>
      <c r="DA744" s="2040">
        <v>211.92</v>
      </c>
      <c r="DB744" s="2040">
        <v>211.92</v>
      </c>
      <c r="DC744" s="2040">
        <v>262.75</v>
      </c>
      <c r="DD744" s="2040">
        <v>262.75</v>
      </c>
      <c r="DE744" s="2040">
        <v>262.75</v>
      </c>
      <c r="DF744" s="2040">
        <v>262.75</v>
      </c>
      <c r="DI744" s="2040">
        <v>26.16</v>
      </c>
      <c r="DJ744" s="2040">
        <v>26.16</v>
      </c>
      <c r="DK744" s="2040">
        <v>26.16</v>
      </c>
      <c r="DL744" s="2040">
        <v>26.16</v>
      </c>
      <c r="DM744" s="2040">
        <v>26.16</v>
      </c>
      <c r="DN744" s="2040">
        <v>26.16</v>
      </c>
      <c r="DU744" s="2040">
        <v>11.69</v>
      </c>
      <c r="DV744" s="2040">
        <v>11.69</v>
      </c>
      <c r="DW744" s="2040">
        <v>10.77</v>
      </c>
      <c r="DX744" s="2040">
        <v>10.77</v>
      </c>
      <c r="DY744" s="2040">
        <v>10.77</v>
      </c>
      <c r="DZ744" s="2040">
        <v>10.77</v>
      </c>
      <c r="EG744" s="2040">
        <v>12.55</v>
      </c>
      <c r="EH744" s="2040">
        <v>12.78</v>
      </c>
      <c r="EI744" s="2040">
        <v>9.11</v>
      </c>
      <c r="EJ744" s="2040">
        <v>9.11</v>
      </c>
      <c r="EK744" s="2040">
        <v>9.08</v>
      </c>
      <c r="EL744" s="2040">
        <v>9.08</v>
      </c>
      <c r="EM744" s="2040">
        <v>9.83</v>
      </c>
      <c r="EN744" s="2040">
        <v>9.83</v>
      </c>
      <c r="EO744" s="2040">
        <v>9.2200000000000006</v>
      </c>
      <c r="EP744" s="2040">
        <v>9.2200000000000006</v>
      </c>
      <c r="EQ744" s="2040">
        <v>9.49</v>
      </c>
      <c r="ER744" s="2040">
        <v>9.5</v>
      </c>
      <c r="ES744" s="2040">
        <v>47.85</v>
      </c>
      <c r="ET744" s="2040">
        <v>47.85</v>
      </c>
      <c r="EU744" s="2040">
        <v>194.73</v>
      </c>
      <c r="EV744" s="2040">
        <v>194.73</v>
      </c>
      <c r="EW744" s="2040">
        <v>189.92</v>
      </c>
      <c r="EX744" s="2040">
        <v>189.92</v>
      </c>
      <c r="EY744" s="2506">
        <f t="shared" si="59"/>
        <v>192.32499999999999</v>
      </c>
      <c r="EZ744" s="2506">
        <f t="shared" si="59"/>
        <v>192.32499999999999</v>
      </c>
      <c r="FA744" s="2040">
        <v>194.75</v>
      </c>
      <c r="FB744" s="2040">
        <v>194.75</v>
      </c>
      <c r="FE744" s="2040">
        <v>41.09</v>
      </c>
      <c r="FF744" s="2040">
        <v>41.09</v>
      </c>
      <c r="FG744" s="2040">
        <v>163.33000000000001</v>
      </c>
      <c r="FH744" s="2040">
        <v>163.33000000000001</v>
      </c>
      <c r="FI744" s="2040">
        <v>163.33000000000001</v>
      </c>
      <c r="FJ744" s="2040">
        <v>166.44</v>
      </c>
      <c r="FK744" s="2040">
        <v>162.52000000000001</v>
      </c>
      <c r="FL744" s="2040">
        <v>162.52000000000001</v>
      </c>
      <c r="FM744" s="2040">
        <v>163.87</v>
      </c>
      <c r="FN744" s="2040">
        <v>163.87</v>
      </c>
      <c r="FQ744" s="2040">
        <v>92.74</v>
      </c>
      <c r="FR744" s="2040">
        <v>92.74</v>
      </c>
      <c r="FS744" s="2040">
        <v>181.22</v>
      </c>
      <c r="FT744" s="2040">
        <v>181.22</v>
      </c>
      <c r="FU744" s="2040">
        <v>181.22</v>
      </c>
      <c r="FV744" s="2040">
        <v>181.22</v>
      </c>
      <c r="FW744" s="2040">
        <v>182.08</v>
      </c>
      <c r="FX744" s="2040">
        <v>182.08</v>
      </c>
      <c r="GC744" s="2040">
        <v>65.69</v>
      </c>
      <c r="GD744" s="2040">
        <v>65.69</v>
      </c>
      <c r="GE744" s="2040">
        <v>149.85</v>
      </c>
      <c r="GF744" s="2040">
        <v>149.85</v>
      </c>
      <c r="GG744" s="2040">
        <v>149.85</v>
      </c>
      <c r="GH744" s="2040">
        <v>149.85</v>
      </c>
      <c r="GI744" s="2040">
        <v>140.08000000000001</v>
      </c>
      <c r="GJ744" s="2040">
        <v>140.08000000000001</v>
      </c>
      <c r="GK744" s="2040">
        <v>172.62</v>
      </c>
      <c r="GL744" s="2040">
        <v>172.62</v>
      </c>
      <c r="GO744" s="2040">
        <v>35.159999999999997</v>
      </c>
      <c r="GP744" s="2040">
        <v>35.159999999999997</v>
      </c>
      <c r="GQ744" s="2040">
        <v>28.32</v>
      </c>
      <c r="GR744" s="2040">
        <v>28.32</v>
      </c>
      <c r="GS744" s="2040">
        <v>28.32</v>
      </c>
      <c r="GT744" s="2040">
        <v>27.23</v>
      </c>
      <c r="GU744" s="2040">
        <v>27.23</v>
      </c>
      <c r="GV744" s="2040">
        <v>27.77</v>
      </c>
      <c r="GW744" s="2040">
        <v>162.19</v>
      </c>
      <c r="GX744" s="2040">
        <v>162.19</v>
      </c>
      <c r="HA744" s="2040">
        <v>24.51</v>
      </c>
      <c r="HB744" s="2040">
        <v>24.51</v>
      </c>
      <c r="HC744" s="2040">
        <v>16.52</v>
      </c>
      <c r="HD744" s="2040">
        <v>16.52</v>
      </c>
      <c r="HE744" s="2040">
        <v>17.47</v>
      </c>
      <c r="HF744" s="2040">
        <v>17.47</v>
      </c>
      <c r="HG744" s="2040">
        <v>17.47</v>
      </c>
      <c r="HH744" s="2040">
        <v>17.47</v>
      </c>
      <c r="HI744" s="2040">
        <v>17.47</v>
      </c>
      <c r="HJ744" s="2040">
        <v>17.47</v>
      </c>
      <c r="HK744" s="2040">
        <v>17.510000000000002</v>
      </c>
      <c r="HL744" s="2040">
        <v>17.899999999999999</v>
      </c>
      <c r="HM744" s="2040">
        <v>34.35</v>
      </c>
      <c r="HN744" s="2040">
        <v>34.35</v>
      </c>
      <c r="HO744" s="2040">
        <v>23.58</v>
      </c>
      <c r="HP744" s="2040">
        <v>23.58</v>
      </c>
      <c r="HQ744" s="2040">
        <v>24.95</v>
      </c>
      <c r="HR744" s="2040">
        <v>24.95</v>
      </c>
      <c r="HS744" s="2040">
        <v>24.95</v>
      </c>
      <c r="HT744" s="2040">
        <v>24.95</v>
      </c>
      <c r="HU744" s="2040">
        <v>24.95</v>
      </c>
      <c r="HV744" s="2040">
        <v>24.95</v>
      </c>
      <c r="HW744" s="2040">
        <v>24.92</v>
      </c>
      <c r="HX744" s="2040">
        <v>24.92</v>
      </c>
    </row>
    <row r="745" spans="2:232" s="2040" customFormat="1" ht="14" x14ac:dyDescent="0.3">
      <c r="B745" s="2504">
        <v>46</v>
      </c>
      <c r="C745" s="2505">
        <v>39.17</v>
      </c>
      <c r="D745" s="2505">
        <v>39.17</v>
      </c>
      <c r="E745" s="2505">
        <v>39.57</v>
      </c>
      <c r="F745" s="2505">
        <v>39.57</v>
      </c>
      <c r="G745" s="2505">
        <v>146.6</v>
      </c>
      <c r="H745" s="2505">
        <v>146.6</v>
      </c>
      <c r="I745" s="2505">
        <v>136.59</v>
      </c>
      <c r="J745" s="2505">
        <v>136.59</v>
      </c>
      <c r="K745" s="2505">
        <v>145.38999999999999</v>
      </c>
      <c r="L745" s="2505">
        <v>145.38999999999999</v>
      </c>
      <c r="M745" s="2505"/>
      <c r="N745" s="2505"/>
      <c r="O745" s="2505">
        <v>122.5</v>
      </c>
      <c r="P745" s="2505">
        <v>122.5</v>
      </c>
      <c r="Q745" s="2505">
        <v>122.66</v>
      </c>
      <c r="R745" s="2505">
        <v>122.51</v>
      </c>
      <c r="S745" s="2505">
        <v>211.48</v>
      </c>
      <c r="T745" s="2505">
        <v>211.48</v>
      </c>
      <c r="U745" s="2505">
        <v>204.13</v>
      </c>
      <c r="V745" s="2505">
        <v>204.13</v>
      </c>
      <c r="W745" s="2505">
        <v>211.48</v>
      </c>
      <c r="X745" s="2505">
        <v>211.48</v>
      </c>
      <c r="Y745" s="2505">
        <v>204.13</v>
      </c>
      <c r="Z745" s="2505">
        <v>211.48</v>
      </c>
      <c r="AA745" s="2505">
        <v>211.48</v>
      </c>
      <c r="AB745" s="2505">
        <v>211.48</v>
      </c>
      <c r="AC745" s="2505">
        <v>204.13</v>
      </c>
      <c r="AD745" s="2505">
        <v>204.13</v>
      </c>
      <c r="AE745" s="2505">
        <v>228.92</v>
      </c>
      <c r="AF745" s="2505">
        <v>222.38</v>
      </c>
      <c r="AG745" s="2505">
        <v>228.92</v>
      </c>
      <c r="AH745" s="2505">
        <v>228.92</v>
      </c>
      <c r="AI745" s="2505">
        <v>222.38</v>
      </c>
      <c r="AJ745" s="2505">
        <v>222.38</v>
      </c>
      <c r="AK745" s="2505">
        <v>223.38</v>
      </c>
      <c r="AL745" s="2505">
        <v>223.38</v>
      </c>
      <c r="AM745" s="2505">
        <v>64.819999999999993</v>
      </c>
      <c r="AN745" s="2505">
        <v>62.45</v>
      </c>
      <c r="AO745" s="2505">
        <v>62.45</v>
      </c>
      <c r="AP745" s="2505">
        <v>62.45</v>
      </c>
      <c r="AQ745" s="2505">
        <v>63.21</v>
      </c>
      <c r="AR745" s="2505">
        <v>63.21</v>
      </c>
      <c r="AS745" s="2505">
        <v>179.8</v>
      </c>
      <c r="AT745" s="2505">
        <v>179.8</v>
      </c>
      <c r="AU745" s="2505">
        <v>179.8</v>
      </c>
      <c r="AV745" s="2505">
        <v>184.32</v>
      </c>
      <c r="AW745" s="2505">
        <v>180.03</v>
      </c>
      <c r="AX745" s="2505">
        <v>180.03</v>
      </c>
      <c r="AY745" s="2505">
        <v>180.18</v>
      </c>
      <c r="AZ745" s="2505">
        <v>180.18</v>
      </c>
      <c r="BA745" s="2040">
        <v>77.8</v>
      </c>
      <c r="BB745" s="2040">
        <v>77.8</v>
      </c>
      <c r="BC745" s="2040">
        <v>18.95</v>
      </c>
      <c r="BD745" s="2040">
        <v>19.32</v>
      </c>
      <c r="BE745" s="2040">
        <v>23.14</v>
      </c>
      <c r="BF745" s="2040">
        <v>23.14</v>
      </c>
      <c r="BG745" s="2040">
        <v>19</v>
      </c>
      <c r="BH745" s="2040">
        <v>19</v>
      </c>
      <c r="BI745" s="2040">
        <v>18.850000000000001</v>
      </c>
      <c r="BJ745" s="2040">
        <v>18.850000000000001</v>
      </c>
      <c r="BK745" s="2040">
        <v>18.850000000000001</v>
      </c>
      <c r="BL745" s="2040">
        <v>18.850000000000001</v>
      </c>
      <c r="BM745" s="2040">
        <v>47.38</v>
      </c>
      <c r="BN745" s="2040">
        <v>47.38</v>
      </c>
      <c r="BO745" s="2040">
        <v>144.94</v>
      </c>
      <c r="BP745" s="2040">
        <v>144.94</v>
      </c>
      <c r="BQ745" s="2040">
        <v>144.94</v>
      </c>
      <c r="BR745" s="2040">
        <v>144.94</v>
      </c>
      <c r="BS745" s="2040">
        <v>180.58</v>
      </c>
      <c r="BT745" s="2040">
        <v>180.58</v>
      </c>
      <c r="BU745" s="2040">
        <v>180.58</v>
      </c>
      <c r="BV745" s="2040">
        <v>180.58</v>
      </c>
      <c r="BW745" s="2040">
        <v>180.58</v>
      </c>
      <c r="BX745" s="2040">
        <v>180.58</v>
      </c>
      <c r="BY745" s="2040">
        <v>43.04</v>
      </c>
      <c r="BZ745" s="2040">
        <v>43.04</v>
      </c>
      <c r="CA745" s="2040">
        <v>138.31</v>
      </c>
      <c r="CB745" s="2040">
        <v>138.31</v>
      </c>
      <c r="CC745" s="2040">
        <v>139.94999999999999</v>
      </c>
      <c r="CD745" s="2040">
        <v>139.94999999999999</v>
      </c>
      <c r="CE745" s="2040">
        <v>177.41</v>
      </c>
      <c r="CF745" s="2040">
        <v>177.41</v>
      </c>
      <c r="CK745" s="2040">
        <v>108.75</v>
      </c>
      <c r="CL745" s="2040">
        <v>108.75</v>
      </c>
      <c r="CM745" s="2040">
        <v>222.78</v>
      </c>
      <c r="CN745" s="2040">
        <v>222.78</v>
      </c>
      <c r="CO745" s="2040">
        <v>276.61</v>
      </c>
      <c r="CP745" s="2040">
        <v>276.61</v>
      </c>
      <c r="CQ745" s="2040">
        <v>276.61</v>
      </c>
      <c r="CR745" s="2040">
        <v>276.61</v>
      </c>
      <c r="CW745" s="2040">
        <v>99.9</v>
      </c>
      <c r="CX745" s="2040">
        <v>99.9</v>
      </c>
      <c r="CY745" s="2040">
        <v>213.55</v>
      </c>
      <c r="CZ745" s="2040">
        <v>213.55</v>
      </c>
      <c r="DA745" s="2040">
        <v>213.55</v>
      </c>
      <c r="DB745" s="2040">
        <v>213.55</v>
      </c>
      <c r="DC745" s="2040">
        <v>265.3</v>
      </c>
      <c r="DD745" s="2040">
        <v>265.3</v>
      </c>
      <c r="DE745" s="2040">
        <v>265.3</v>
      </c>
      <c r="DF745" s="2040">
        <v>265.3</v>
      </c>
      <c r="DI745" s="2040">
        <v>26.39</v>
      </c>
      <c r="DJ745" s="2040">
        <v>26.39</v>
      </c>
      <c r="DK745" s="2040">
        <v>26.39</v>
      </c>
      <c r="DL745" s="2040">
        <v>26.39</v>
      </c>
      <c r="DM745" s="2040">
        <v>26.39</v>
      </c>
      <c r="DN745" s="2040">
        <v>26.39</v>
      </c>
      <c r="DU745" s="2040">
        <v>11.79</v>
      </c>
      <c r="DV745" s="2040">
        <v>11.79</v>
      </c>
      <c r="DW745" s="2040">
        <v>10.89</v>
      </c>
      <c r="DX745" s="2040">
        <v>10.89</v>
      </c>
      <c r="DY745" s="2040">
        <v>10.89</v>
      </c>
      <c r="DZ745" s="2040">
        <v>10.89</v>
      </c>
      <c r="EG745" s="2040">
        <v>12.65</v>
      </c>
      <c r="EH745" s="2040">
        <v>12.89</v>
      </c>
      <c r="EI745" s="2040">
        <v>9.25</v>
      </c>
      <c r="EJ745" s="2040">
        <v>9.25</v>
      </c>
      <c r="EK745" s="2040">
        <v>9.2200000000000006</v>
      </c>
      <c r="EL745" s="2040">
        <v>9.2200000000000006</v>
      </c>
      <c r="EM745" s="2040">
        <v>9.9600000000000009</v>
      </c>
      <c r="EN745" s="2040">
        <v>9.9600000000000009</v>
      </c>
      <c r="EO745" s="2040">
        <v>9.35</v>
      </c>
      <c r="EP745" s="2040">
        <v>9.35</v>
      </c>
      <c r="EQ745" s="2040">
        <v>9.6199999999999992</v>
      </c>
      <c r="ER745" s="2040">
        <v>9.6199999999999992</v>
      </c>
      <c r="ES745" s="2040">
        <v>48.28</v>
      </c>
      <c r="ET745" s="2040">
        <v>48.28</v>
      </c>
      <c r="EU745" s="2040">
        <v>197.18</v>
      </c>
      <c r="EV745" s="2040">
        <v>197.18</v>
      </c>
      <c r="EW745" s="2040">
        <v>192.34</v>
      </c>
      <c r="EX745" s="2040">
        <v>192.34</v>
      </c>
      <c r="EY745" s="2506">
        <f t="shared" si="59"/>
        <v>194.76</v>
      </c>
      <c r="EZ745" s="2506">
        <f t="shared" si="59"/>
        <v>194.76</v>
      </c>
      <c r="FA745" s="2040">
        <v>197.12</v>
      </c>
      <c r="FB745" s="2040">
        <v>197.12</v>
      </c>
      <c r="FE745" s="2040">
        <v>41.46</v>
      </c>
      <c r="FF745" s="2040">
        <v>41.46</v>
      </c>
      <c r="FG745" s="2040">
        <v>165.42</v>
      </c>
      <c r="FH745" s="2040">
        <v>165.42</v>
      </c>
      <c r="FI745" s="2040">
        <v>165.42</v>
      </c>
      <c r="FJ745" s="2040">
        <v>168.44</v>
      </c>
      <c r="FK745" s="2040">
        <v>164.63</v>
      </c>
      <c r="FL745" s="2040">
        <v>164.63</v>
      </c>
      <c r="FM745" s="2040">
        <v>165.96</v>
      </c>
      <c r="FN745" s="2040">
        <v>165.96</v>
      </c>
      <c r="FQ745" s="2040">
        <v>93.58</v>
      </c>
      <c r="FR745" s="2040">
        <v>93.58</v>
      </c>
      <c r="FS745" s="2040">
        <v>183.12</v>
      </c>
      <c r="FT745" s="2040">
        <v>183.12</v>
      </c>
      <c r="FU745" s="2040">
        <v>183.12</v>
      </c>
      <c r="FV745" s="2040">
        <v>183.12</v>
      </c>
      <c r="FW745" s="2040">
        <v>183.96</v>
      </c>
      <c r="FX745" s="2040">
        <v>183.96</v>
      </c>
      <c r="GC745" s="2040">
        <v>66.28</v>
      </c>
      <c r="GD745" s="2040">
        <v>66.28</v>
      </c>
      <c r="GE745" s="2040">
        <v>151.07</v>
      </c>
      <c r="GF745" s="2040">
        <v>151.07</v>
      </c>
      <c r="GG745" s="2040">
        <v>151.07</v>
      </c>
      <c r="GH745" s="2040">
        <v>151.07</v>
      </c>
      <c r="GI745" s="2040">
        <v>142.41999999999999</v>
      </c>
      <c r="GJ745" s="2040">
        <v>142.41999999999999</v>
      </c>
      <c r="GK745" s="2040">
        <v>174.69</v>
      </c>
      <c r="GL745" s="2040">
        <v>174.69</v>
      </c>
      <c r="GO745" s="2040">
        <v>35.479999999999997</v>
      </c>
      <c r="GP745" s="2040">
        <v>35.479999999999997</v>
      </c>
      <c r="GQ745" s="2040">
        <v>28.69</v>
      </c>
      <c r="GR745" s="2040">
        <v>28.69</v>
      </c>
      <c r="GS745" s="2040">
        <v>28.69</v>
      </c>
      <c r="GT745" s="2040">
        <v>27.59</v>
      </c>
      <c r="GU745" s="2040">
        <v>27.59</v>
      </c>
      <c r="GV745" s="2040">
        <v>28.12</v>
      </c>
      <c r="GW745" s="2040">
        <v>164.25</v>
      </c>
      <c r="GX745" s="2040">
        <v>164.25</v>
      </c>
      <c r="HA745" s="2040">
        <v>24.73</v>
      </c>
      <c r="HB745" s="2040">
        <v>24.73</v>
      </c>
      <c r="HC745" s="2040">
        <v>16.79</v>
      </c>
      <c r="HD745" s="2040">
        <v>16.79</v>
      </c>
      <c r="HE745" s="2040">
        <v>17.73</v>
      </c>
      <c r="HF745" s="2040">
        <v>17.73</v>
      </c>
      <c r="HG745" s="2040">
        <v>17.73</v>
      </c>
      <c r="HH745" s="2040">
        <v>17.73</v>
      </c>
      <c r="HI745" s="2040">
        <v>17.73</v>
      </c>
      <c r="HJ745" s="2040">
        <v>17.73</v>
      </c>
      <c r="HK745" s="2040">
        <v>17.78</v>
      </c>
      <c r="HL745" s="2040">
        <v>18.16</v>
      </c>
      <c r="HM745" s="2040">
        <v>34.65</v>
      </c>
      <c r="HN745" s="2040">
        <v>34.65</v>
      </c>
      <c r="HO745" s="2040">
        <v>23.96</v>
      </c>
      <c r="HP745" s="2040">
        <v>23.96</v>
      </c>
      <c r="HQ745" s="2040">
        <v>25.31</v>
      </c>
      <c r="HR745" s="2040">
        <v>25.31</v>
      </c>
      <c r="HS745" s="2040">
        <v>25.31</v>
      </c>
      <c r="HT745" s="2040">
        <v>25.31</v>
      </c>
      <c r="HU745" s="2040">
        <v>25.31</v>
      </c>
      <c r="HV745" s="2040">
        <v>25.31</v>
      </c>
      <c r="HW745" s="2040">
        <v>25.29</v>
      </c>
      <c r="HX745" s="2040">
        <v>25.29</v>
      </c>
    </row>
    <row r="746" spans="2:232" s="2040" customFormat="1" ht="14" x14ac:dyDescent="0.3">
      <c r="B746" s="2504">
        <v>47</v>
      </c>
      <c r="C746" s="2505">
        <v>39.5</v>
      </c>
      <c r="D746" s="2505">
        <v>39.5</v>
      </c>
      <c r="E746" s="2505">
        <v>39.89</v>
      </c>
      <c r="F746" s="2505">
        <v>39.89</v>
      </c>
      <c r="G746" s="2505">
        <v>148.12</v>
      </c>
      <c r="H746" s="2505">
        <v>148.12</v>
      </c>
      <c r="I746" s="2505">
        <v>138.13</v>
      </c>
      <c r="J746" s="2505">
        <v>138.13</v>
      </c>
      <c r="K746" s="2505">
        <v>146.75</v>
      </c>
      <c r="L746" s="2505">
        <v>146.75</v>
      </c>
      <c r="M746" s="2505"/>
      <c r="N746" s="2505"/>
      <c r="O746" s="2505">
        <v>123.56</v>
      </c>
      <c r="P746" s="2505">
        <v>123.56</v>
      </c>
      <c r="Q746" s="2505">
        <v>123.68</v>
      </c>
      <c r="R746" s="2505">
        <v>123.57</v>
      </c>
      <c r="S746" s="2505">
        <v>214.09</v>
      </c>
      <c r="T746" s="2505">
        <v>214.09</v>
      </c>
      <c r="U746" s="2505">
        <v>206.65</v>
      </c>
      <c r="V746" s="2505">
        <v>206.65</v>
      </c>
      <c r="W746" s="2505">
        <v>214.09</v>
      </c>
      <c r="X746" s="2505">
        <v>214.09</v>
      </c>
      <c r="Y746" s="2505">
        <v>206.65</v>
      </c>
      <c r="Z746" s="2505">
        <v>214.09</v>
      </c>
      <c r="AA746" s="2505">
        <v>214.09</v>
      </c>
      <c r="AB746" s="2505">
        <v>214.09</v>
      </c>
      <c r="AC746" s="2505">
        <v>206.65</v>
      </c>
      <c r="AD746" s="2505">
        <v>206.65</v>
      </c>
      <c r="AE746" s="2505">
        <v>231.36</v>
      </c>
      <c r="AF746" s="2505">
        <v>224.75</v>
      </c>
      <c r="AG746" s="2505">
        <v>231.36</v>
      </c>
      <c r="AH746" s="2505">
        <v>231.36</v>
      </c>
      <c r="AI746" s="2505">
        <v>224.75</v>
      </c>
      <c r="AJ746" s="2505">
        <v>224.75</v>
      </c>
      <c r="AK746" s="2505">
        <v>225.71</v>
      </c>
      <c r="AL746" s="2505">
        <v>225.71</v>
      </c>
      <c r="AM746" s="2505">
        <v>65.37</v>
      </c>
      <c r="AN746" s="2505">
        <v>62.98</v>
      </c>
      <c r="AO746" s="2505">
        <v>62.98</v>
      </c>
      <c r="AP746" s="2505">
        <v>62.98</v>
      </c>
      <c r="AQ746" s="2505">
        <v>63.72</v>
      </c>
      <c r="AR746" s="2505">
        <v>63.72</v>
      </c>
      <c r="AS746" s="2505">
        <v>181.75</v>
      </c>
      <c r="AT746" s="2505">
        <v>181.75</v>
      </c>
      <c r="AU746" s="2505">
        <v>181.75</v>
      </c>
      <c r="AV746" s="2505">
        <v>186.29</v>
      </c>
      <c r="AW746" s="2505">
        <v>181.99</v>
      </c>
      <c r="AX746" s="2505">
        <v>181.99</v>
      </c>
      <c r="AY746" s="2505">
        <v>182.14</v>
      </c>
      <c r="AZ746" s="2505">
        <v>182.14</v>
      </c>
      <c r="BA746" s="2040">
        <v>78.67</v>
      </c>
      <c r="BB746" s="2040">
        <v>78.67</v>
      </c>
      <c r="BC746" s="2040">
        <v>19.2</v>
      </c>
      <c r="BD746" s="2040">
        <v>19.57</v>
      </c>
      <c r="BE746" s="2040">
        <v>23.35</v>
      </c>
      <c r="BF746" s="2040">
        <v>23.35</v>
      </c>
      <c r="BG746" s="2040">
        <v>19.25</v>
      </c>
      <c r="BH746" s="2040">
        <v>19.25</v>
      </c>
      <c r="BI746" s="2040">
        <v>19.100000000000001</v>
      </c>
      <c r="BJ746" s="2040">
        <v>19.100000000000001</v>
      </c>
      <c r="BK746" s="2040">
        <v>19.100000000000001</v>
      </c>
      <c r="BL746" s="2040">
        <v>19.100000000000001</v>
      </c>
      <c r="BM746" s="2040">
        <v>47.79</v>
      </c>
      <c r="BN746" s="2040">
        <v>47.79</v>
      </c>
      <c r="BO746" s="2040">
        <v>146.37</v>
      </c>
      <c r="BP746" s="2040">
        <v>146.37</v>
      </c>
      <c r="BQ746" s="2040">
        <v>146.37</v>
      </c>
      <c r="BR746" s="2040">
        <v>146.37</v>
      </c>
      <c r="BS746" s="2040">
        <v>182.72</v>
      </c>
      <c r="BT746" s="2040">
        <v>182.72</v>
      </c>
      <c r="BU746" s="2040">
        <v>182.72</v>
      </c>
      <c r="BV746" s="2040">
        <v>182.72</v>
      </c>
      <c r="BW746" s="2040">
        <v>182.72</v>
      </c>
      <c r="BX746" s="2040">
        <v>182.72</v>
      </c>
      <c r="BY746" s="2040">
        <v>43.41</v>
      </c>
      <c r="BZ746" s="2040">
        <v>43.41</v>
      </c>
      <c r="CA746" s="2040">
        <v>139.69999999999999</v>
      </c>
      <c r="CB746" s="2040">
        <v>139.69999999999999</v>
      </c>
      <c r="CC746" s="2040">
        <v>141.38999999999999</v>
      </c>
      <c r="CD746" s="2040">
        <v>141.38999999999999</v>
      </c>
      <c r="CE746" s="2040">
        <v>179.55</v>
      </c>
      <c r="CF746" s="2040">
        <v>179.55</v>
      </c>
      <c r="CK746" s="2040">
        <v>109.58</v>
      </c>
      <c r="CL746" s="2040">
        <v>109.58</v>
      </c>
      <c r="CM746" s="2040">
        <v>224.33</v>
      </c>
      <c r="CN746" s="2040">
        <v>224.33</v>
      </c>
      <c r="CO746" s="2040">
        <v>279.08</v>
      </c>
      <c r="CP746" s="2040">
        <v>279.08</v>
      </c>
      <c r="CQ746" s="2040">
        <v>279.08</v>
      </c>
      <c r="CR746" s="2040">
        <v>279.08</v>
      </c>
      <c r="CW746" s="2040">
        <v>100.76</v>
      </c>
      <c r="CX746" s="2040">
        <v>100.76</v>
      </c>
      <c r="CY746" s="2040">
        <v>215.12</v>
      </c>
      <c r="CZ746" s="2040">
        <v>215.12</v>
      </c>
      <c r="DA746" s="2040">
        <v>215.12</v>
      </c>
      <c r="DB746" s="2040">
        <v>215.12</v>
      </c>
      <c r="DC746" s="2040">
        <v>267.77</v>
      </c>
      <c r="DD746" s="2040">
        <v>267.77</v>
      </c>
      <c r="DE746" s="2040">
        <v>267.77</v>
      </c>
      <c r="DF746" s="2040">
        <v>267.77</v>
      </c>
      <c r="DI746" s="2040">
        <v>26.62</v>
      </c>
      <c r="DJ746" s="2040">
        <v>26.62</v>
      </c>
      <c r="DK746" s="2040">
        <v>26.62</v>
      </c>
      <c r="DL746" s="2040">
        <v>26.62</v>
      </c>
      <c r="DM746" s="2040">
        <v>26.62</v>
      </c>
      <c r="DN746" s="2040">
        <v>26.62</v>
      </c>
      <c r="DU746" s="2040">
        <v>11.89</v>
      </c>
      <c r="DV746" s="2040">
        <v>11.89</v>
      </c>
      <c r="DW746" s="2040">
        <v>11</v>
      </c>
      <c r="DX746" s="2040">
        <v>11</v>
      </c>
      <c r="DY746" s="2040">
        <v>11</v>
      </c>
      <c r="DZ746" s="2040">
        <v>11</v>
      </c>
      <c r="EG746" s="2040">
        <v>12.76</v>
      </c>
      <c r="EH746" s="2040">
        <v>12.99</v>
      </c>
      <c r="EI746" s="2040">
        <v>9.3800000000000008</v>
      </c>
      <c r="EJ746" s="2040">
        <v>9.3800000000000008</v>
      </c>
      <c r="EK746" s="2040">
        <v>9.35</v>
      </c>
      <c r="EL746" s="2040">
        <v>9.35</v>
      </c>
      <c r="EM746" s="2040">
        <v>10.09</v>
      </c>
      <c r="EN746" s="2040">
        <v>10.09</v>
      </c>
      <c r="EO746" s="2040">
        <v>9.4700000000000006</v>
      </c>
      <c r="EP746" s="2040">
        <v>9.4700000000000006</v>
      </c>
      <c r="EQ746" s="2040">
        <v>9.75</v>
      </c>
      <c r="ER746" s="2040">
        <v>9.75</v>
      </c>
      <c r="ES746" s="2040">
        <v>48.7</v>
      </c>
      <c r="ET746" s="2040">
        <v>48.7</v>
      </c>
      <c r="EU746" s="2040">
        <v>199.55</v>
      </c>
      <c r="EV746" s="2040">
        <v>199.55</v>
      </c>
      <c r="EW746" s="2040">
        <v>194.69</v>
      </c>
      <c r="EX746" s="2040">
        <v>194.69</v>
      </c>
      <c r="EY746" s="2506">
        <f t="shared" si="59"/>
        <v>197.12</v>
      </c>
      <c r="EZ746" s="2506">
        <f t="shared" si="59"/>
        <v>197.12</v>
      </c>
      <c r="FA746" s="2040">
        <v>199.41</v>
      </c>
      <c r="FB746" s="2040">
        <v>199.41</v>
      </c>
      <c r="FE746" s="2040">
        <v>41.82</v>
      </c>
      <c r="FF746" s="2040">
        <v>41.82</v>
      </c>
      <c r="FG746" s="2040">
        <v>167.45</v>
      </c>
      <c r="FH746" s="2040">
        <v>167.45</v>
      </c>
      <c r="FI746" s="2040">
        <v>167.45</v>
      </c>
      <c r="FJ746" s="2040">
        <v>170.39</v>
      </c>
      <c r="FK746" s="2040">
        <v>166.68</v>
      </c>
      <c r="FL746" s="2040">
        <v>166.68</v>
      </c>
      <c r="FM746" s="2040">
        <v>167.99</v>
      </c>
      <c r="FN746" s="2040">
        <v>167.99</v>
      </c>
      <c r="FQ746" s="2040">
        <v>94.4</v>
      </c>
      <c r="FR746" s="2040">
        <v>94.4</v>
      </c>
      <c r="FS746" s="2040">
        <v>184.96</v>
      </c>
      <c r="FT746" s="2040">
        <v>184.96</v>
      </c>
      <c r="FU746" s="2040">
        <v>184.96</v>
      </c>
      <c r="FV746" s="2040">
        <v>184.96</v>
      </c>
      <c r="FW746" s="2040">
        <v>185.78</v>
      </c>
      <c r="FX746" s="2040">
        <v>185.78</v>
      </c>
      <c r="GC746" s="2040">
        <v>66.849999999999994</v>
      </c>
      <c r="GD746" s="2040">
        <v>66.849999999999994</v>
      </c>
      <c r="GE746" s="2040">
        <v>152.25</v>
      </c>
      <c r="GF746" s="2040">
        <v>152.25</v>
      </c>
      <c r="GG746" s="2040">
        <v>152.25</v>
      </c>
      <c r="GH746" s="2040">
        <v>152.25</v>
      </c>
      <c r="GI746" s="2040">
        <v>144.69</v>
      </c>
      <c r="GJ746" s="2040">
        <v>144.69</v>
      </c>
      <c r="GK746" s="2040">
        <v>176.7</v>
      </c>
      <c r="GL746" s="2040">
        <v>176.7</v>
      </c>
      <c r="GO746" s="2040">
        <v>35.78</v>
      </c>
      <c r="GP746" s="2040">
        <v>35.78</v>
      </c>
      <c r="GQ746" s="2040">
        <v>29.05</v>
      </c>
      <c r="GR746" s="2040">
        <v>29.05</v>
      </c>
      <c r="GS746" s="2040">
        <v>29.05</v>
      </c>
      <c r="GT746" s="2040">
        <v>27.94</v>
      </c>
      <c r="GU746" s="2040">
        <v>27.94</v>
      </c>
      <c r="GV746" s="2040">
        <v>28.45</v>
      </c>
      <c r="GW746" s="2040">
        <v>166.24</v>
      </c>
      <c r="GX746" s="2040">
        <v>166.24</v>
      </c>
      <c r="HA746" s="2040">
        <v>24.94</v>
      </c>
      <c r="HB746" s="2040">
        <v>24.94</v>
      </c>
      <c r="HC746" s="2040">
        <v>17.05</v>
      </c>
      <c r="HD746" s="2040">
        <v>17.05</v>
      </c>
      <c r="HE746" s="2040">
        <v>17.98</v>
      </c>
      <c r="HF746" s="2040">
        <v>17.98</v>
      </c>
      <c r="HG746" s="2040">
        <v>17.98</v>
      </c>
      <c r="HH746" s="2040">
        <v>17.98</v>
      </c>
      <c r="HI746" s="2040">
        <v>17.98</v>
      </c>
      <c r="HJ746" s="2040">
        <v>17.98</v>
      </c>
      <c r="HK746" s="2040">
        <v>18.03</v>
      </c>
      <c r="HL746" s="2040">
        <v>18.399999999999999</v>
      </c>
      <c r="HM746" s="2040">
        <v>34.950000000000003</v>
      </c>
      <c r="HN746" s="2040">
        <v>34.950000000000003</v>
      </c>
      <c r="HO746" s="2040">
        <v>24.32</v>
      </c>
      <c r="HP746" s="2040">
        <v>24.32</v>
      </c>
      <c r="HQ746" s="2040">
        <v>25.66</v>
      </c>
      <c r="HR746" s="2040">
        <v>25.66</v>
      </c>
      <c r="HS746" s="2040">
        <v>25.66</v>
      </c>
      <c r="HT746" s="2040">
        <v>25.66</v>
      </c>
      <c r="HU746" s="2040">
        <v>25.66</v>
      </c>
      <c r="HV746" s="2040">
        <v>25.66</v>
      </c>
      <c r="HW746" s="2040">
        <v>25.64</v>
      </c>
      <c r="HX746" s="2040">
        <v>25.64</v>
      </c>
    </row>
    <row r="747" spans="2:232" s="2040" customFormat="1" ht="14" x14ac:dyDescent="0.3">
      <c r="B747" s="2504">
        <v>48</v>
      </c>
      <c r="C747" s="2505">
        <v>39.83</v>
      </c>
      <c r="D747" s="2505">
        <v>39.83</v>
      </c>
      <c r="E747" s="2505">
        <v>40.200000000000003</v>
      </c>
      <c r="F747" s="2505">
        <v>40.200000000000003</v>
      </c>
      <c r="G747" s="2505">
        <v>149.61000000000001</v>
      </c>
      <c r="H747" s="2505">
        <v>149.61000000000001</v>
      </c>
      <c r="I747" s="2505">
        <v>139.63999999999999</v>
      </c>
      <c r="J747" s="2505">
        <v>139.63999999999999</v>
      </c>
      <c r="K747" s="2505">
        <v>148.07</v>
      </c>
      <c r="L747" s="2505">
        <v>148.07</v>
      </c>
      <c r="M747" s="2505"/>
      <c r="N747" s="2505"/>
      <c r="O747" s="2505">
        <v>124.58</v>
      </c>
      <c r="P747" s="2505">
        <v>124.58</v>
      </c>
      <c r="Q747" s="2505">
        <v>124.67</v>
      </c>
      <c r="R747" s="2505">
        <v>124.59</v>
      </c>
      <c r="S747" s="2505">
        <v>216.62</v>
      </c>
      <c r="T747" s="2505">
        <v>216.62</v>
      </c>
      <c r="U747" s="2505">
        <v>209.09</v>
      </c>
      <c r="V747" s="2505">
        <v>209.09</v>
      </c>
      <c r="W747" s="2505">
        <v>216.62</v>
      </c>
      <c r="X747" s="2505">
        <v>216.62</v>
      </c>
      <c r="Y747" s="2505">
        <v>209.09</v>
      </c>
      <c r="Z747" s="2505">
        <v>216.62</v>
      </c>
      <c r="AA747" s="2505">
        <v>216.62</v>
      </c>
      <c r="AB747" s="2505">
        <v>216.62</v>
      </c>
      <c r="AC747" s="2505">
        <v>209.09</v>
      </c>
      <c r="AD747" s="2505">
        <v>209.09</v>
      </c>
      <c r="AE747" s="2505">
        <v>233.72</v>
      </c>
      <c r="AF747" s="2505">
        <v>227.03</v>
      </c>
      <c r="AG747" s="2505">
        <v>233.72</v>
      </c>
      <c r="AH747" s="2505">
        <v>233.72</v>
      </c>
      <c r="AI747" s="2505">
        <v>227.03</v>
      </c>
      <c r="AJ747" s="2505">
        <v>227.03</v>
      </c>
      <c r="AK747" s="2505">
        <v>227.96</v>
      </c>
      <c r="AL747" s="2505">
        <v>227.96</v>
      </c>
      <c r="AM747" s="2505">
        <v>65.91</v>
      </c>
      <c r="AN747" s="2505">
        <v>63.5</v>
      </c>
      <c r="AO747" s="2505">
        <v>63.5</v>
      </c>
      <c r="AP747" s="2505">
        <v>63.5</v>
      </c>
      <c r="AQ747" s="2505">
        <v>64.209999999999994</v>
      </c>
      <c r="AR747" s="2505">
        <v>64.209999999999994</v>
      </c>
      <c r="AS747" s="2505">
        <v>183.65</v>
      </c>
      <c r="AT747" s="2505">
        <v>183.65</v>
      </c>
      <c r="AU747" s="2505">
        <v>183.65</v>
      </c>
      <c r="AV747" s="2505">
        <v>188.2</v>
      </c>
      <c r="AW747" s="2505">
        <v>183.89</v>
      </c>
      <c r="AX747" s="2505">
        <v>183.89</v>
      </c>
      <c r="AY747" s="2505">
        <v>184.04</v>
      </c>
      <c r="AZ747" s="2505">
        <v>184.04</v>
      </c>
      <c r="BA747" s="2040">
        <v>79.52</v>
      </c>
      <c r="BB747" s="2040">
        <v>79.52</v>
      </c>
      <c r="BC747" s="2040">
        <v>19.45</v>
      </c>
      <c r="BD747" s="2040">
        <v>19.8</v>
      </c>
      <c r="BE747" s="2040">
        <v>23.55</v>
      </c>
      <c r="BF747" s="2040">
        <v>23.55</v>
      </c>
      <c r="BG747" s="2040">
        <v>19.5</v>
      </c>
      <c r="BH747" s="2040">
        <v>19.5</v>
      </c>
      <c r="BI747" s="2040">
        <v>19.34</v>
      </c>
      <c r="BJ747" s="2040">
        <v>19.34</v>
      </c>
      <c r="BK747" s="2040">
        <v>19.34</v>
      </c>
      <c r="BL747" s="2040">
        <v>19.34</v>
      </c>
      <c r="BM747" s="2040">
        <v>48.18</v>
      </c>
      <c r="BN747" s="2040">
        <v>48.18</v>
      </c>
      <c r="BO747" s="2040">
        <v>147.76</v>
      </c>
      <c r="BP747" s="2040">
        <v>147.76</v>
      </c>
      <c r="BQ747" s="2040">
        <v>147.76</v>
      </c>
      <c r="BR747" s="2040">
        <v>147.76</v>
      </c>
      <c r="BS747" s="2040">
        <v>184.8</v>
      </c>
      <c r="BT747" s="2040">
        <v>184.8</v>
      </c>
      <c r="BU747" s="2040">
        <v>184.8</v>
      </c>
      <c r="BV747" s="2040">
        <v>184.8</v>
      </c>
      <c r="BW747" s="2040">
        <v>184.8</v>
      </c>
      <c r="BX747" s="2040">
        <v>184.8</v>
      </c>
      <c r="BY747" s="2040">
        <v>43.77</v>
      </c>
      <c r="BZ747" s="2040">
        <v>43.77</v>
      </c>
      <c r="CA747" s="2040">
        <v>141.05000000000001</v>
      </c>
      <c r="CB747" s="2040">
        <v>141.05000000000001</v>
      </c>
      <c r="CC747" s="2040">
        <v>142.78</v>
      </c>
      <c r="CD747" s="2040">
        <v>142.78</v>
      </c>
      <c r="CE747" s="2040">
        <v>181.62</v>
      </c>
      <c r="CF747" s="2040">
        <v>181.62</v>
      </c>
      <c r="CK747" s="2040">
        <v>110.38</v>
      </c>
      <c r="CL747" s="2040">
        <v>110.38</v>
      </c>
      <c r="CM747" s="2040">
        <v>225.84</v>
      </c>
      <c r="CN747" s="2040">
        <v>225.84</v>
      </c>
      <c r="CO747" s="2040">
        <v>281.47000000000003</v>
      </c>
      <c r="CP747" s="2040">
        <v>281.47000000000003</v>
      </c>
      <c r="CQ747" s="2040">
        <v>281.47000000000003</v>
      </c>
      <c r="CR747" s="2040">
        <v>281.47000000000003</v>
      </c>
      <c r="CW747" s="2040">
        <v>101.59</v>
      </c>
      <c r="CX747" s="2040">
        <v>101.59</v>
      </c>
      <c r="CY747" s="2040">
        <v>216.64</v>
      </c>
      <c r="CZ747" s="2040">
        <v>216.64</v>
      </c>
      <c r="DA747" s="2040">
        <v>216.64</v>
      </c>
      <c r="DB747" s="2040">
        <v>216.64</v>
      </c>
      <c r="DC747" s="2040">
        <v>270.14999999999998</v>
      </c>
      <c r="DD747" s="2040">
        <v>270.14999999999998</v>
      </c>
      <c r="DE747" s="2040">
        <v>270.14999999999998</v>
      </c>
      <c r="DF747" s="2040">
        <v>270.14999999999998</v>
      </c>
      <c r="DI747" s="2040">
        <v>26.84</v>
      </c>
      <c r="DJ747" s="2040">
        <v>26.84</v>
      </c>
      <c r="DK747" s="2040">
        <v>26.84</v>
      </c>
      <c r="DL747" s="2040">
        <v>26.84</v>
      </c>
      <c r="DM747" s="2040">
        <v>26.84</v>
      </c>
      <c r="DN747" s="2040">
        <v>26.84</v>
      </c>
      <c r="DU747" s="2040">
        <v>11.99</v>
      </c>
      <c r="DV747" s="2040">
        <v>11.99</v>
      </c>
      <c r="DW747" s="2040">
        <v>11.12</v>
      </c>
      <c r="DX747" s="2040">
        <v>11.12</v>
      </c>
      <c r="DY747" s="2040">
        <v>11.12</v>
      </c>
      <c r="DZ747" s="2040">
        <v>11.12</v>
      </c>
      <c r="EG747" s="2040">
        <v>12.86</v>
      </c>
      <c r="EH747" s="2040">
        <v>13.09</v>
      </c>
      <c r="EI747" s="2040">
        <v>9.5</v>
      </c>
      <c r="EJ747" s="2040">
        <v>9.5</v>
      </c>
      <c r="EK747" s="2040">
        <v>9.48</v>
      </c>
      <c r="EL747" s="2040">
        <v>9.48</v>
      </c>
      <c r="EM747" s="2040">
        <v>10.210000000000001</v>
      </c>
      <c r="EN747" s="2040">
        <v>10.210000000000001</v>
      </c>
      <c r="EO747" s="2040">
        <v>9.59</v>
      </c>
      <c r="EP747" s="2040">
        <v>9.59</v>
      </c>
      <c r="EQ747" s="2040">
        <v>9.8699999999999992</v>
      </c>
      <c r="ER747" s="2040">
        <v>9.86</v>
      </c>
      <c r="ES747" s="2040">
        <v>49.1</v>
      </c>
      <c r="ET747" s="2040">
        <v>49.1</v>
      </c>
      <c r="EU747" s="2040">
        <v>201.86</v>
      </c>
      <c r="EV747" s="2040">
        <v>201.86</v>
      </c>
      <c r="EW747" s="2040">
        <v>196.98</v>
      </c>
      <c r="EX747" s="2040">
        <v>196.98</v>
      </c>
      <c r="EY747" s="2506">
        <f t="shared" si="59"/>
        <v>199.42000000000002</v>
      </c>
      <c r="EZ747" s="2506">
        <f t="shared" si="59"/>
        <v>199.42000000000002</v>
      </c>
      <c r="FA747" s="2040">
        <v>201.63</v>
      </c>
      <c r="FB747" s="2040">
        <v>201.63</v>
      </c>
      <c r="FE747" s="2040">
        <v>42.17</v>
      </c>
      <c r="FF747" s="2040">
        <v>42.17</v>
      </c>
      <c r="FG747" s="2040">
        <v>169.42</v>
      </c>
      <c r="FH747" s="2040">
        <v>169.42</v>
      </c>
      <c r="FI747" s="2040">
        <v>169.42</v>
      </c>
      <c r="FJ747" s="2040">
        <v>172.27</v>
      </c>
      <c r="FK747" s="2040">
        <v>168.67</v>
      </c>
      <c r="FL747" s="2040">
        <v>168.67</v>
      </c>
      <c r="FM747" s="2040">
        <v>169.95</v>
      </c>
      <c r="FN747" s="2040">
        <v>169.95</v>
      </c>
      <c r="FQ747" s="2040">
        <v>95.19</v>
      </c>
      <c r="FR747" s="2040">
        <v>95.19</v>
      </c>
      <c r="FS747" s="2040">
        <v>186.74</v>
      </c>
      <c r="FT747" s="2040">
        <v>186.74</v>
      </c>
      <c r="FU747" s="2040">
        <v>186.74</v>
      </c>
      <c r="FV747" s="2040">
        <v>186.74</v>
      </c>
      <c r="FW747" s="2040">
        <v>187.55</v>
      </c>
      <c r="FX747" s="2040">
        <v>187.55</v>
      </c>
      <c r="GC747" s="2040">
        <v>67.400000000000006</v>
      </c>
      <c r="GD747" s="2040">
        <v>67.400000000000006</v>
      </c>
      <c r="GE747" s="2040">
        <v>153.38999999999999</v>
      </c>
      <c r="GF747" s="2040">
        <v>153.38999999999999</v>
      </c>
      <c r="GG747" s="2040">
        <v>153.38999999999999</v>
      </c>
      <c r="GH747" s="2040">
        <v>153.38999999999999</v>
      </c>
      <c r="GI747" s="2040">
        <v>146.91</v>
      </c>
      <c r="GJ747" s="2040">
        <v>146.91</v>
      </c>
      <c r="GK747" s="2040">
        <v>178.65</v>
      </c>
      <c r="GL747" s="2040">
        <v>178.65</v>
      </c>
      <c r="GO747" s="2040">
        <v>36.08</v>
      </c>
      <c r="GP747" s="2040">
        <v>36.08</v>
      </c>
      <c r="GQ747" s="2040">
        <v>29.4</v>
      </c>
      <c r="GR747" s="2040">
        <v>29.4</v>
      </c>
      <c r="GS747" s="2040">
        <v>29.4</v>
      </c>
      <c r="GT747" s="2040">
        <v>28.29</v>
      </c>
      <c r="GU747" s="2040">
        <v>28.29</v>
      </c>
      <c r="GV747" s="2040">
        <v>28.78</v>
      </c>
      <c r="GW747" s="2040">
        <v>168.18</v>
      </c>
      <c r="GX747" s="2040">
        <v>168.18</v>
      </c>
      <c r="HA747" s="2040">
        <v>25.14</v>
      </c>
      <c r="HB747" s="2040">
        <v>25.14</v>
      </c>
      <c r="HC747" s="2040">
        <v>17.309999999999999</v>
      </c>
      <c r="HD747" s="2040">
        <v>17.309999999999999</v>
      </c>
      <c r="HE747" s="2040">
        <v>18.23</v>
      </c>
      <c r="HF747" s="2040">
        <v>18.23</v>
      </c>
      <c r="HG747" s="2040">
        <v>18.23</v>
      </c>
      <c r="HH747" s="2040">
        <v>18.23</v>
      </c>
      <c r="HI747" s="2040">
        <v>18.23</v>
      </c>
      <c r="HJ747" s="2040">
        <v>18.23</v>
      </c>
      <c r="HK747" s="2040">
        <v>18.28</v>
      </c>
      <c r="HL747" s="2040">
        <v>18.64</v>
      </c>
      <c r="HM747" s="2040">
        <v>35.24</v>
      </c>
      <c r="HN747" s="2040">
        <v>35.24</v>
      </c>
      <c r="HO747" s="2040">
        <v>24.68</v>
      </c>
      <c r="HP747" s="2040">
        <v>24.68</v>
      </c>
      <c r="HQ747" s="2040">
        <v>26</v>
      </c>
      <c r="HR747" s="2040">
        <v>26</v>
      </c>
      <c r="HS747" s="2040">
        <v>26</v>
      </c>
      <c r="HT747" s="2040">
        <v>26</v>
      </c>
      <c r="HU747" s="2040">
        <v>26</v>
      </c>
      <c r="HV747" s="2040">
        <v>26</v>
      </c>
      <c r="HW747" s="2040">
        <v>25.99</v>
      </c>
      <c r="HX747" s="2040">
        <v>25.99</v>
      </c>
    </row>
    <row r="748" spans="2:232" s="2040" customFormat="1" ht="14" x14ac:dyDescent="0.3">
      <c r="B748" s="2504">
        <v>49</v>
      </c>
      <c r="C748" s="2505">
        <v>40.14</v>
      </c>
      <c r="D748" s="2505">
        <v>40.14</v>
      </c>
      <c r="E748" s="2505">
        <v>40.49</v>
      </c>
      <c r="F748" s="2505">
        <v>40.49</v>
      </c>
      <c r="G748" s="2505">
        <v>151.04</v>
      </c>
      <c r="H748" s="2505">
        <v>151.04</v>
      </c>
      <c r="I748" s="2505">
        <v>141.1</v>
      </c>
      <c r="J748" s="2505">
        <v>141.1</v>
      </c>
      <c r="K748" s="2505">
        <v>149.34</v>
      </c>
      <c r="L748" s="2505">
        <v>149.34</v>
      </c>
      <c r="M748" s="2505"/>
      <c r="N748" s="2505"/>
      <c r="O748" s="2505">
        <v>125.57</v>
      </c>
      <c r="P748" s="2505">
        <v>125.57</v>
      </c>
      <c r="Q748" s="2505">
        <v>125.62</v>
      </c>
      <c r="R748" s="2505">
        <v>125.58</v>
      </c>
      <c r="S748" s="2505">
        <v>219.07</v>
      </c>
      <c r="T748" s="2505">
        <v>219.07</v>
      </c>
      <c r="U748" s="2505">
        <v>211.46</v>
      </c>
      <c r="V748" s="2505">
        <v>211.46</v>
      </c>
      <c r="W748" s="2505">
        <v>219.07</v>
      </c>
      <c r="X748" s="2505">
        <v>219.07</v>
      </c>
      <c r="Y748" s="2505">
        <v>211.46</v>
      </c>
      <c r="Z748" s="2505">
        <v>219.07</v>
      </c>
      <c r="AA748" s="2505">
        <v>219.07</v>
      </c>
      <c r="AB748" s="2505">
        <v>219.07</v>
      </c>
      <c r="AC748" s="2505">
        <v>211.46</v>
      </c>
      <c r="AD748" s="2505">
        <v>211.46</v>
      </c>
      <c r="AE748" s="2505">
        <v>236</v>
      </c>
      <c r="AF748" s="2505">
        <v>229.25</v>
      </c>
      <c r="AG748" s="2505">
        <v>236</v>
      </c>
      <c r="AH748" s="2505">
        <v>236</v>
      </c>
      <c r="AI748" s="2505">
        <v>229.25</v>
      </c>
      <c r="AJ748" s="2505">
        <v>229.25</v>
      </c>
      <c r="AK748" s="2505">
        <v>230.15</v>
      </c>
      <c r="AL748" s="2505">
        <v>230.15</v>
      </c>
      <c r="AM748" s="2505">
        <v>66.430000000000007</v>
      </c>
      <c r="AN748" s="2505">
        <v>64</v>
      </c>
      <c r="AO748" s="2505">
        <v>64</v>
      </c>
      <c r="AP748" s="2505">
        <v>64</v>
      </c>
      <c r="AQ748" s="2505">
        <v>64.69</v>
      </c>
      <c r="AR748" s="2505">
        <v>64.69</v>
      </c>
      <c r="AS748" s="2505">
        <v>185.49</v>
      </c>
      <c r="AT748" s="2505">
        <v>185.49</v>
      </c>
      <c r="AU748" s="2505">
        <v>185.49</v>
      </c>
      <c r="AV748" s="2505">
        <v>190.06</v>
      </c>
      <c r="AW748" s="2505">
        <v>185.74</v>
      </c>
      <c r="AX748" s="2505">
        <v>185.74</v>
      </c>
      <c r="AY748" s="2505">
        <v>185.88</v>
      </c>
      <c r="AZ748" s="2505">
        <v>185.88</v>
      </c>
      <c r="BA748" s="2040">
        <v>80.349999999999994</v>
      </c>
      <c r="BB748" s="2040">
        <v>80.349999999999994</v>
      </c>
      <c r="BC748" s="2040">
        <v>19.68</v>
      </c>
      <c r="BD748" s="2040">
        <v>20.03</v>
      </c>
      <c r="BE748" s="2040">
        <v>23.74</v>
      </c>
      <c r="BF748" s="2040">
        <v>23.74</v>
      </c>
      <c r="BG748" s="2040">
        <v>19.739999999999998</v>
      </c>
      <c r="BH748" s="2040">
        <v>19.739999999999998</v>
      </c>
      <c r="BI748" s="2040">
        <v>19.579999999999998</v>
      </c>
      <c r="BJ748" s="2040">
        <v>19.579999999999998</v>
      </c>
      <c r="BK748" s="2040">
        <v>19.579999999999998</v>
      </c>
      <c r="BL748" s="2040">
        <v>19.579999999999998</v>
      </c>
      <c r="BM748" s="2040">
        <v>48.56</v>
      </c>
      <c r="BN748" s="2040">
        <v>48.56</v>
      </c>
      <c r="BO748" s="2040">
        <v>149.1</v>
      </c>
      <c r="BP748" s="2040">
        <v>149.1</v>
      </c>
      <c r="BQ748" s="2040">
        <v>149.1</v>
      </c>
      <c r="BR748" s="2040">
        <v>149.1</v>
      </c>
      <c r="BS748" s="2040">
        <v>186.81</v>
      </c>
      <c r="BT748" s="2040">
        <v>186.81</v>
      </c>
      <c r="BU748" s="2040">
        <v>186.81</v>
      </c>
      <c r="BV748" s="2040">
        <v>186.81</v>
      </c>
      <c r="BW748" s="2040">
        <v>186.81</v>
      </c>
      <c r="BX748" s="2040">
        <v>186.81</v>
      </c>
      <c r="BY748" s="2040">
        <v>44.11</v>
      </c>
      <c r="BZ748" s="2040">
        <v>44.11</v>
      </c>
      <c r="CA748" s="2040">
        <v>142.35</v>
      </c>
      <c r="CB748" s="2040">
        <v>142.35</v>
      </c>
      <c r="CC748" s="2040">
        <v>144.13</v>
      </c>
      <c r="CD748" s="2040">
        <v>144.13</v>
      </c>
      <c r="CE748" s="2040">
        <v>183.63</v>
      </c>
      <c r="CF748" s="2040">
        <v>183.63</v>
      </c>
      <c r="CK748" s="2040">
        <v>111.16</v>
      </c>
      <c r="CL748" s="2040">
        <v>111.16</v>
      </c>
      <c r="CM748" s="2040">
        <v>227.29</v>
      </c>
      <c r="CN748" s="2040">
        <v>227.29</v>
      </c>
      <c r="CO748" s="2040">
        <v>283.77999999999997</v>
      </c>
      <c r="CP748" s="2040">
        <v>283.77999999999997</v>
      </c>
      <c r="CQ748" s="2040">
        <v>283.77999999999997</v>
      </c>
      <c r="CR748" s="2040">
        <v>283.77999999999997</v>
      </c>
      <c r="CW748" s="2040">
        <v>102.4</v>
      </c>
      <c r="CX748" s="2040">
        <v>102.4</v>
      </c>
      <c r="CY748" s="2040">
        <v>218.11</v>
      </c>
      <c r="CZ748" s="2040">
        <v>218.11</v>
      </c>
      <c r="DA748" s="2040">
        <v>218.11</v>
      </c>
      <c r="DB748" s="2040">
        <v>218.11</v>
      </c>
      <c r="DC748" s="2040">
        <v>272.47000000000003</v>
      </c>
      <c r="DD748" s="2040">
        <v>272.47000000000003</v>
      </c>
      <c r="DE748" s="2040">
        <v>272.47000000000003</v>
      </c>
      <c r="DF748" s="2040">
        <v>272.47000000000003</v>
      </c>
      <c r="DI748" s="2040">
        <v>27.05</v>
      </c>
      <c r="DJ748" s="2040">
        <v>27.05</v>
      </c>
      <c r="DK748" s="2040">
        <v>27.05</v>
      </c>
      <c r="DL748" s="2040">
        <v>27.05</v>
      </c>
      <c r="DM748" s="2040">
        <v>27.05</v>
      </c>
      <c r="DN748" s="2040">
        <v>27.05</v>
      </c>
      <c r="DU748" s="2040">
        <v>12.08</v>
      </c>
      <c r="DV748" s="2040">
        <v>12.08</v>
      </c>
      <c r="DW748" s="2040">
        <v>11.22</v>
      </c>
      <c r="DX748" s="2040">
        <v>11.22</v>
      </c>
      <c r="DY748" s="2040">
        <v>11.22</v>
      </c>
      <c r="DZ748" s="2040">
        <v>11.22</v>
      </c>
      <c r="EG748" s="2040">
        <v>12.96</v>
      </c>
      <c r="EH748" s="2040">
        <v>13.18</v>
      </c>
      <c r="EI748" s="2040">
        <v>9.6199999999999992</v>
      </c>
      <c r="EJ748" s="2040">
        <v>9.6199999999999992</v>
      </c>
      <c r="EK748" s="2040">
        <v>9.6</v>
      </c>
      <c r="EL748" s="2040">
        <v>9.6</v>
      </c>
      <c r="EM748" s="2040">
        <v>10.33</v>
      </c>
      <c r="EN748" s="2040">
        <v>10.33</v>
      </c>
      <c r="EO748" s="2040">
        <v>9.7100000000000009</v>
      </c>
      <c r="EP748" s="2040">
        <v>9.7100000000000009</v>
      </c>
      <c r="EQ748" s="2040">
        <v>9.99</v>
      </c>
      <c r="ER748" s="2040">
        <v>9.98</v>
      </c>
      <c r="ES748" s="2040">
        <v>49.48</v>
      </c>
      <c r="ET748" s="2040">
        <v>49.48</v>
      </c>
      <c r="EU748" s="2040">
        <v>204.1</v>
      </c>
      <c r="EV748" s="2040">
        <v>204.1</v>
      </c>
      <c r="EW748" s="2040">
        <v>199.19</v>
      </c>
      <c r="EX748" s="2040">
        <v>199.19</v>
      </c>
      <c r="EY748" s="2506">
        <f t="shared" si="59"/>
        <v>201.64499999999998</v>
      </c>
      <c r="EZ748" s="2506">
        <f t="shared" si="59"/>
        <v>201.64499999999998</v>
      </c>
      <c r="FA748" s="2040">
        <v>203.79</v>
      </c>
      <c r="FB748" s="2040">
        <v>203.79</v>
      </c>
      <c r="FE748" s="2040">
        <v>42.5</v>
      </c>
      <c r="FF748" s="2040">
        <v>42.5</v>
      </c>
      <c r="FG748" s="2040">
        <v>171.34</v>
      </c>
      <c r="FH748" s="2040">
        <v>171.34</v>
      </c>
      <c r="FI748" s="2040">
        <v>171.34</v>
      </c>
      <c r="FJ748" s="2040">
        <v>174.11</v>
      </c>
      <c r="FK748" s="2040">
        <v>170.6</v>
      </c>
      <c r="FL748" s="2040">
        <v>170.6</v>
      </c>
      <c r="FM748" s="2040">
        <v>171.86</v>
      </c>
      <c r="FN748" s="2040">
        <v>171.86</v>
      </c>
      <c r="FQ748" s="2040">
        <v>95.96</v>
      </c>
      <c r="FR748" s="2040">
        <v>95.96</v>
      </c>
      <c r="FS748" s="2040">
        <v>188.47</v>
      </c>
      <c r="FT748" s="2040">
        <v>188.47</v>
      </c>
      <c r="FU748" s="2040">
        <v>188.47</v>
      </c>
      <c r="FV748" s="2040">
        <v>188.47</v>
      </c>
      <c r="FW748" s="2040">
        <v>189.26</v>
      </c>
      <c r="FX748" s="2040">
        <v>189.26</v>
      </c>
      <c r="GC748" s="2040">
        <v>67.930000000000007</v>
      </c>
      <c r="GD748" s="2040">
        <v>67.930000000000007</v>
      </c>
      <c r="GE748" s="2040">
        <v>154.49</v>
      </c>
      <c r="GF748" s="2040">
        <v>154.49</v>
      </c>
      <c r="GG748" s="2040">
        <v>154.49</v>
      </c>
      <c r="GH748" s="2040">
        <v>154.49</v>
      </c>
      <c r="GI748" s="2040">
        <v>149.06</v>
      </c>
      <c r="GJ748" s="2040">
        <v>149.06</v>
      </c>
      <c r="GK748" s="2040">
        <v>180.54</v>
      </c>
      <c r="GL748" s="2040">
        <v>180.54</v>
      </c>
      <c r="GO748" s="2040">
        <v>36.36</v>
      </c>
      <c r="GP748" s="2040">
        <v>36.36</v>
      </c>
      <c r="GQ748" s="2040">
        <v>29.74</v>
      </c>
      <c r="GR748" s="2040">
        <v>29.74</v>
      </c>
      <c r="GS748" s="2040">
        <v>29.74</v>
      </c>
      <c r="GT748" s="2040">
        <v>28.62</v>
      </c>
      <c r="GU748" s="2040">
        <v>28.62</v>
      </c>
      <c r="GV748" s="2040">
        <v>29.1</v>
      </c>
      <c r="GW748" s="2040">
        <v>170.06</v>
      </c>
      <c r="GX748" s="2040">
        <v>170.06</v>
      </c>
      <c r="HA748" s="2040">
        <v>25.34</v>
      </c>
      <c r="HB748" s="2040">
        <v>25.34</v>
      </c>
      <c r="HC748" s="2040">
        <v>17.559999999999999</v>
      </c>
      <c r="HD748" s="2040">
        <v>17.559999999999999</v>
      </c>
      <c r="HE748" s="2040">
        <v>18.47</v>
      </c>
      <c r="HF748" s="2040">
        <v>18.47</v>
      </c>
      <c r="HG748" s="2040">
        <v>18.47</v>
      </c>
      <c r="HH748" s="2040">
        <v>18.47</v>
      </c>
      <c r="HI748" s="2040">
        <v>18.47</v>
      </c>
      <c r="HJ748" s="2040">
        <v>18.47</v>
      </c>
      <c r="HK748" s="2040">
        <v>18.52</v>
      </c>
      <c r="HL748" s="2040">
        <v>18.87</v>
      </c>
      <c r="HM748" s="2040">
        <v>35.51</v>
      </c>
      <c r="HN748" s="2040">
        <v>35.51</v>
      </c>
      <c r="HO748" s="2040">
        <v>25.02</v>
      </c>
      <c r="HP748" s="2040">
        <v>25.02</v>
      </c>
      <c r="HQ748" s="2040">
        <v>26.33</v>
      </c>
      <c r="HR748" s="2040">
        <v>26.33</v>
      </c>
      <c r="HS748" s="2040">
        <v>26.33</v>
      </c>
      <c r="HT748" s="2040">
        <v>26.33</v>
      </c>
      <c r="HU748" s="2040">
        <v>26.33</v>
      </c>
      <c r="HV748" s="2040">
        <v>26.33</v>
      </c>
      <c r="HW748" s="2040">
        <v>26.32</v>
      </c>
      <c r="HX748" s="2040">
        <v>26.32</v>
      </c>
    </row>
    <row r="749" spans="2:232" s="2040" customFormat="1" ht="14" x14ac:dyDescent="0.3">
      <c r="B749" s="2504">
        <v>50</v>
      </c>
      <c r="C749" s="2505">
        <v>40.450000000000003</v>
      </c>
      <c r="D749" s="2505">
        <v>40.450000000000003</v>
      </c>
      <c r="E749" s="2505">
        <v>40.78</v>
      </c>
      <c r="F749" s="2505">
        <v>40.78</v>
      </c>
      <c r="G749" s="2505">
        <v>152.44</v>
      </c>
      <c r="H749" s="2505">
        <v>152.44</v>
      </c>
      <c r="I749" s="2505">
        <v>142.51</v>
      </c>
      <c r="J749" s="2505">
        <v>142.51</v>
      </c>
      <c r="K749" s="2505">
        <v>150.58000000000001</v>
      </c>
      <c r="L749" s="2505">
        <v>150.58000000000001</v>
      </c>
      <c r="M749" s="2505"/>
      <c r="N749" s="2505"/>
      <c r="O749" s="2505">
        <v>126.52</v>
      </c>
      <c r="P749" s="2505">
        <v>126.52</v>
      </c>
      <c r="Q749" s="2505">
        <v>126.55</v>
      </c>
      <c r="R749" s="2505">
        <v>126.53</v>
      </c>
      <c r="S749" s="2505">
        <v>221.45</v>
      </c>
      <c r="T749" s="2505">
        <v>221.45</v>
      </c>
      <c r="U749" s="2505">
        <v>213.76</v>
      </c>
      <c r="V749" s="2505">
        <v>213.76</v>
      </c>
      <c r="W749" s="2505">
        <v>221.45</v>
      </c>
      <c r="X749" s="2505">
        <v>221.45</v>
      </c>
      <c r="Y749" s="2505">
        <v>213.76</v>
      </c>
      <c r="Z749" s="2505">
        <v>221.45</v>
      </c>
      <c r="AA749" s="2505">
        <v>221.45</v>
      </c>
      <c r="AB749" s="2505">
        <v>221.45</v>
      </c>
      <c r="AC749" s="2505">
        <v>213.76</v>
      </c>
      <c r="AD749" s="2505">
        <v>213.76</v>
      </c>
      <c r="AE749" s="2505">
        <v>238.21</v>
      </c>
      <c r="AF749" s="2505">
        <v>231.4</v>
      </c>
      <c r="AG749" s="2505">
        <v>238.21</v>
      </c>
      <c r="AH749" s="2505">
        <v>238.21</v>
      </c>
      <c r="AI749" s="2505">
        <v>231.4</v>
      </c>
      <c r="AJ749" s="2505">
        <v>231.4</v>
      </c>
      <c r="AK749" s="2505">
        <v>232.27</v>
      </c>
      <c r="AL749" s="2505">
        <v>232.27</v>
      </c>
      <c r="AM749" s="2505">
        <v>66.94</v>
      </c>
      <c r="AN749" s="2505">
        <v>64.489999999999995</v>
      </c>
      <c r="AO749" s="2505">
        <v>64.489999999999995</v>
      </c>
      <c r="AP749" s="2505">
        <v>64.489999999999995</v>
      </c>
      <c r="AQ749" s="2505">
        <v>65.150000000000006</v>
      </c>
      <c r="AR749" s="2505">
        <v>65.150000000000006</v>
      </c>
      <c r="AS749" s="2505">
        <v>187.27</v>
      </c>
      <c r="AT749" s="2505">
        <v>187.27</v>
      </c>
      <c r="AU749" s="2505">
        <v>187.27</v>
      </c>
      <c r="AV749" s="2505">
        <v>191.86</v>
      </c>
      <c r="AW749" s="2505">
        <v>187.52</v>
      </c>
      <c r="AX749" s="2505">
        <v>187.52</v>
      </c>
      <c r="AY749" s="2505">
        <v>187.67</v>
      </c>
      <c r="AZ749" s="2505">
        <v>187.67</v>
      </c>
      <c r="BA749" s="2040">
        <v>81.150000000000006</v>
      </c>
      <c r="BB749" s="2040">
        <v>81.150000000000006</v>
      </c>
      <c r="BC749" s="2040">
        <v>19.920000000000002</v>
      </c>
      <c r="BD749" s="2040">
        <v>20.25</v>
      </c>
      <c r="BE749" s="2040">
        <v>23.92</v>
      </c>
      <c r="BF749" s="2040">
        <v>23.92</v>
      </c>
      <c r="BG749" s="2040">
        <v>19.97</v>
      </c>
      <c r="BH749" s="2040">
        <v>19.97</v>
      </c>
      <c r="BI749" s="2040">
        <v>19.809999999999999</v>
      </c>
      <c r="BJ749" s="2040">
        <v>19.809999999999999</v>
      </c>
      <c r="BK749" s="2040">
        <v>19.809999999999999</v>
      </c>
      <c r="BL749" s="2040">
        <v>19.809999999999999</v>
      </c>
      <c r="BM749" s="2040">
        <v>48.93</v>
      </c>
      <c r="BN749" s="2040">
        <v>48.93</v>
      </c>
      <c r="BO749" s="2040">
        <v>150.4</v>
      </c>
      <c r="BP749" s="2040">
        <v>150.4</v>
      </c>
      <c r="BQ749" s="2040">
        <v>150.4</v>
      </c>
      <c r="BR749" s="2040">
        <v>150.4</v>
      </c>
      <c r="BS749" s="2040">
        <v>188.76</v>
      </c>
      <c r="BT749" s="2040">
        <v>188.76</v>
      </c>
      <c r="BU749" s="2040">
        <v>188.76</v>
      </c>
      <c r="BV749" s="2040">
        <v>188.76</v>
      </c>
      <c r="BW749" s="2040">
        <v>188.76</v>
      </c>
      <c r="BX749" s="2040">
        <v>188.76</v>
      </c>
      <c r="BY749" s="2040">
        <v>44.44</v>
      </c>
      <c r="BZ749" s="2040">
        <v>44.44</v>
      </c>
      <c r="CA749" s="2040">
        <v>143.62</v>
      </c>
      <c r="CB749" s="2040">
        <v>143.62</v>
      </c>
      <c r="CC749" s="2040">
        <v>145.44</v>
      </c>
      <c r="CD749" s="2040">
        <v>145.44</v>
      </c>
      <c r="CE749" s="2040">
        <v>185.59</v>
      </c>
      <c r="CF749" s="2040">
        <v>185.59</v>
      </c>
      <c r="CK749" s="2040">
        <v>111.81</v>
      </c>
      <c r="CL749" s="2040">
        <v>111.81</v>
      </c>
      <c r="CM749" s="2040">
        <v>228.7</v>
      </c>
      <c r="CN749" s="2040">
        <v>228.7</v>
      </c>
      <c r="CO749" s="2040">
        <v>286.02</v>
      </c>
      <c r="CP749" s="2040">
        <v>286.02</v>
      </c>
      <c r="CQ749" s="2040">
        <v>286.02</v>
      </c>
      <c r="CR749" s="2040">
        <v>286.02</v>
      </c>
      <c r="CW749" s="2040">
        <v>103.18</v>
      </c>
      <c r="CX749" s="2040">
        <v>103.18</v>
      </c>
      <c r="CY749" s="2040">
        <v>219.53</v>
      </c>
      <c r="CZ749" s="2040">
        <v>219.53</v>
      </c>
      <c r="DA749" s="2040">
        <v>219.53</v>
      </c>
      <c r="DB749" s="2040">
        <v>219.53</v>
      </c>
      <c r="DC749" s="2040">
        <v>274.70999999999998</v>
      </c>
      <c r="DD749" s="2040">
        <v>274.70999999999998</v>
      </c>
      <c r="DE749" s="2040">
        <v>274.70999999999998</v>
      </c>
      <c r="DF749" s="2040">
        <v>274.70999999999998</v>
      </c>
      <c r="DI749" s="2040">
        <v>27.25</v>
      </c>
      <c r="DJ749" s="2040">
        <v>27.25</v>
      </c>
      <c r="DK749" s="2040">
        <v>27.25</v>
      </c>
      <c r="DL749" s="2040">
        <v>27.25</v>
      </c>
      <c r="DM749" s="2040">
        <v>27.25</v>
      </c>
      <c r="DN749" s="2040">
        <v>27.25</v>
      </c>
      <c r="DU749" s="2040">
        <v>12.17</v>
      </c>
      <c r="DV749" s="2040">
        <v>12.17</v>
      </c>
      <c r="DW749" s="2040">
        <v>11.33</v>
      </c>
      <c r="DX749" s="2040">
        <v>11.33</v>
      </c>
      <c r="DY749" s="2040">
        <v>11.33</v>
      </c>
      <c r="DZ749" s="2040">
        <v>11.33</v>
      </c>
      <c r="EG749" s="2040">
        <v>13.06</v>
      </c>
      <c r="EH749" s="2040">
        <v>13.27</v>
      </c>
      <c r="EI749" s="2040">
        <v>9.74</v>
      </c>
      <c r="EJ749" s="2040">
        <v>9.74</v>
      </c>
      <c r="EK749" s="2040">
        <v>9.7200000000000006</v>
      </c>
      <c r="EL749" s="2040">
        <v>9.7200000000000006</v>
      </c>
      <c r="EM749" s="2040">
        <v>10.44</v>
      </c>
      <c r="EN749" s="2040">
        <v>10.44</v>
      </c>
      <c r="EO749" s="2040">
        <v>9.82</v>
      </c>
      <c r="EP749" s="2040">
        <v>9.82</v>
      </c>
      <c r="EQ749" s="2040">
        <v>10.11</v>
      </c>
      <c r="ER749" s="2040">
        <v>10.09</v>
      </c>
      <c r="ES749" s="2040">
        <v>49.86</v>
      </c>
      <c r="ET749" s="2040">
        <v>49.86</v>
      </c>
      <c r="EU749" s="2040">
        <v>206.27</v>
      </c>
      <c r="EV749" s="2040">
        <v>206.27</v>
      </c>
      <c r="EW749" s="2040">
        <v>201.34</v>
      </c>
      <c r="EX749" s="2040">
        <v>201.34</v>
      </c>
      <c r="EY749" s="2506">
        <f t="shared" si="59"/>
        <v>203.80500000000001</v>
      </c>
      <c r="EZ749" s="2506">
        <f t="shared" si="59"/>
        <v>203.80500000000001</v>
      </c>
      <c r="FA749" s="2040">
        <v>205.89</v>
      </c>
      <c r="FB749" s="2040">
        <v>205.89</v>
      </c>
      <c r="FE749" s="2040">
        <v>42.83</v>
      </c>
      <c r="FF749" s="2040">
        <v>42.83</v>
      </c>
      <c r="FG749" s="2040">
        <v>173.2</v>
      </c>
      <c r="FH749" s="2040">
        <v>173.2</v>
      </c>
      <c r="FI749" s="2040">
        <v>173.2</v>
      </c>
      <c r="FJ749" s="2040">
        <v>175.89</v>
      </c>
      <c r="FK749" s="2040">
        <v>172.48</v>
      </c>
      <c r="FL749" s="2040">
        <v>172.48</v>
      </c>
      <c r="FM749" s="2040">
        <v>173.71</v>
      </c>
      <c r="FN749" s="2040">
        <v>173.71</v>
      </c>
      <c r="FQ749" s="2040">
        <v>96.69</v>
      </c>
      <c r="FR749" s="2040">
        <v>96.69</v>
      </c>
      <c r="FS749" s="2040">
        <v>190.15</v>
      </c>
      <c r="FT749" s="2040">
        <v>190.15</v>
      </c>
      <c r="FU749" s="2040">
        <v>190.15</v>
      </c>
      <c r="FV749" s="2040">
        <v>190.15</v>
      </c>
      <c r="FW749" s="2040">
        <v>190.92</v>
      </c>
      <c r="FX749" s="2040">
        <v>190.92</v>
      </c>
      <c r="GC749" s="2040">
        <v>68.45</v>
      </c>
      <c r="GD749" s="2040">
        <v>68.45</v>
      </c>
      <c r="GE749" s="2040">
        <v>155.55000000000001</v>
      </c>
      <c r="GF749" s="2040">
        <v>155.55000000000001</v>
      </c>
      <c r="GG749" s="2040">
        <v>155.55000000000001</v>
      </c>
      <c r="GH749" s="2040">
        <v>155.55000000000001</v>
      </c>
      <c r="GI749" s="2040">
        <v>151.16999999999999</v>
      </c>
      <c r="GJ749" s="2040">
        <v>151.16999999999999</v>
      </c>
      <c r="GK749" s="2040">
        <v>182.37</v>
      </c>
      <c r="GL749" s="2040">
        <v>182.37</v>
      </c>
      <c r="GO749" s="2040">
        <v>36.64</v>
      </c>
      <c r="GP749" s="2040">
        <v>36.64</v>
      </c>
      <c r="GQ749" s="2040">
        <v>30.07</v>
      </c>
      <c r="GR749" s="2040">
        <v>30.07</v>
      </c>
      <c r="GS749" s="2040">
        <v>30.07</v>
      </c>
      <c r="GT749" s="2040">
        <v>28.94</v>
      </c>
      <c r="GU749" s="2040">
        <v>28.94</v>
      </c>
      <c r="GV749" s="2040">
        <v>29.4</v>
      </c>
      <c r="GW749" s="2040">
        <v>171.88</v>
      </c>
      <c r="GX749" s="2040">
        <v>171.88</v>
      </c>
      <c r="HA749" s="2040">
        <v>25.53</v>
      </c>
      <c r="HB749" s="2040">
        <v>25.53</v>
      </c>
      <c r="HC749" s="2040">
        <v>17.8</v>
      </c>
      <c r="HD749" s="2040">
        <v>17.8</v>
      </c>
      <c r="HE749" s="2040">
        <v>18.7</v>
      </c>
      <c r="HF749" s="2040">
        <v>18.7</v>
      </c>
      <c r="HG749" s="2040">
        <v>18.7</v>
      </c>
      <c r="HH749" s="2040">
        <v>18.7</v>
      </c>
      <c r="HI749" s="2040">
        <v>18.7</v>
      </c>
      <c r="HJ749" s="2040">
        <v>18.7</v>
      </c>
      <c r="HK749" s="2040">
        <v>18.760000000000002</v>
      </c>
      <c r="HL749" s="2040">
        <v>19.100000000000001</v>
      </c>
      <c r="HM749" s="2040">
        <v>35.78</v>
      </c>
      <c r="HN749" s="2040">
        <v>35.78</v>
      </c>
      <c r="HO749" s="2040">
        <v>25.36</v>
      </c>
      <c r="HP749" s="2040">
        <v>25.36</v>
      </c>
      <c r="HQ749" s="2040">
        <v>26.66</v>
      </c>
      <c r="HR749" s="2040">
        <v>26.66</v>
      </c>
      <c r="HS749" s="2040">
        <v>26.66</v>
      </c>
      <c r="HT749" s="2040">
        <v>26.66</v>
      </c>
      <c r="HU749" s="2040">
        <v>26.66</v>
      </c>
      <c r="HV749" s="2040">
        <v>26.66</v>
      </c>
      <c r="HW749" s="2040">
        <v>26.65</v>
      </c>
      <c r="HX749" s="2040">
        <v>26.65</v>
      </c>
    </row>
    <row r="750" spans="2:232" s="2040" customFormat="1" ht="14" x14ac:dyDescent="0.3">
      <c r="B750" s="2504">
        <v>51</v>
      </c>
      <c r="C750" s="2505">
        <v>40.74</v>
      </c>
      <c r="D750" s="2505">
        <v>40.74</v>
      </c>
      <c r="E750" s="2505">
        <v>41.06</v>
      </c>
      <c r="F750" s="2505">
        <v>41.06</v>
      </c>
      <c r="G750" s="2505">
        <v>153.79</v>
      </c>
      <c r="H750" s="2505">
        <v>153.79</v>
      </c>
      <c r="I750" s="2505">
        <v>143.88999999999999</v>
      </c>
      <c r="J750" s="2505">
        <v>143.88999999999999</v>
      </c>
      <c r="K750" s="2505">
        <v>151.79</v>
      </c>
      <c r="L750" s="2505">
        <v>151.79</v>
      </c>
      <c r="M750" s="2505"/>
      <c r="N750" s="2505"/>
      <c r="O750" s="2505">
        <v>127.45</v>
      </c>
      <c r="P750" s="2505">
        <v>127.45</v>
      </c>
      <c r="Q750" s="2505">
        <v>127.45</v>
      </c>
      <c r="R750" s="2505">
        <v>127.46</v>
      </c>
      <c r="S750" s="2505">
        <v>223.76999999999998</v>
      </c>
      <c r="T750" s="2505">
        <v>223.77</v>
      </c>
      <c r="U750" s="2505">
        <v>215.99</v>
      </c>
      <c r="V750" s="2505">
        <v>215.99</v>
      </c>
      <c r="W750" s="2505">
        <v>223.77</v>
      </c>
      <c r="X750" s="2505">
        <v>223.77</v>
      </c>
      <c r="Y750" s="2505">
        <v>215.99</v>
      </c>
      <c r="Z750" s="2505">
        <v>223.77</v>
      </c>
      <c r="AA750" s="2505">
        <v>223.77</v>
      </c>
      <c r="AB750" s="2505">
        <v>223.77</v>
      </c>
      <c r="AC750" s="2505">
        <v>215.99</v>
      </c>
      <c r="AD750" s="2505">
        <v>215.99</v>
      </c>
      <c r="AE750" s="2505">
        <v>240.36</v>
      </c>
      <c r="AF750" s="2505">
        <v>233.48</v>
      </c>
      <c r="AG750" s="2505">
        <v>240.36</v>
      </c>
      <c r="AH750" s="2505">
        <v>240.36</v>
      </c>
      <c r="AI750" s="2505">
        <v>233.48</v>
      </c>
      <c r="AJ750" s="2505">
        <v>233.48</v>
      </c>
      <c r="AK750" s="2505">
        <v>234.33</v>
      </c>
      <c r="AL750" s="2505">
        <v>234.33</v>
      </c>
      <c r="AM750" s="2505">
        <v>67.42</v>
      </c>
      <c r="AN750" s="2505">
        <v>64.959999999999994</v>
      </c>
      <c r="AO750" s="2505">
        <v>64.959999999999994</v>
      </c>
      <c r="AP750" s="2505">
        <v>64.959999999999994</v>
      </c>
      <c r="AQ750" s="2505">
        <v>65.599999999999994</v>
      </c>
      <c r="AR750" s="2505">
        <v>65.599999999999994</v>
      </c>
      <c r="AS750" s="2505">
        <v>189</v>
      </c>
      <c r="AT750" s="2505">
        <v>189</v>
      </c>
      <c r="AU750" s="2505">
        <v>189</v>
      </c>
      <c r="AV750" s="2505">
        <v>193.6</v>
      </c>
      <c r="AW750" s="2505">
        <v>189.26</v>
      </c>
      <c r="AX750" s="2505">
        <v>189.26</v>
      </c>
      <c r="AY750" s="2505">
        <v>189.4</v>
      </c>
      <c r="AZ750" s="2505">
        <v>189.4</v>
      </c>
      <c r="BA750" s="2040">
        <v>81.93</v>
      </c>
      <c r="BB750" s="2040">
        <v>81.93</v>
      </c>
      <c r="BC750" s="2040">
        <v>20.14</v>
      </c>
      <c r="BD750" s="2040">
        <v>20.47</v>
      </c>
      <c r="BE750" s="2040">
        <v>24.1</v>
      </c>
      <c r="BF750" s="2040">
        <v>24.1</v>
      </c>
      <c r="BG750" s="2040">
        <v>20.190000000000001</v>
      </c>
      <c r="BH750" s="2040">
        <v>20.190000000000001</v>
      </c>
      <c r="BI750" s="2040">
        <v>20.03</v>
      </c>
      <c r="BJ750" s="2040">
        <v>20.03</v>
      </c>
      <c r="BK750" s="2040">
        <v>20.03</v>
      </c>
      <c r="BL750" s="2040">
        <v>20.03</v>
      </c>
      <c r="BM750" s="2040">
        <v>49.28</v>
      </c>
      <c r="BN750" s="2040">
        <v>49.28</v>
      </c>
      <c r="BO750" s="2040">
        <v>151.66</v>
      </c>
      <c r="BP750" s="2040">
        <v>151.66</v>
      </c>
      <c r="BQ750" s="2040">
        <v>151.66</v>
      </c>
      <c r="BR750" s="2040">
        <v>151.66</v>
      </c>
      <c r="BS750" s="2040">
        <v>190.66</v>
      </c>
      <c r="BT750" s="2040">
        <v>190.66</v>
      </c>
      <c r="BU750" s="2040">
        <v>190.66</v>
      </c>
      <c r="BV750" s="2040">
        <v>190.66</v>
      </c>
      <c r="BW750" s="2040">
        <v>190.66</v>
      </c>
      <c r="BX750" s="2040">
        <v>190.66</v>
      </c>
      <c r="BY750" s="2040">
        <v>44.77</v>
      </c>
      <c r="BZ750" s="2040">
        <v>44.77</v>
      </c>
      <c r="CA750" s="2040">
        <v>144.85</v>
      </c>
      <c r="CB750" s="2040">
        <v>144.85</v>
      </c>
      <c r="CC750" s="2040">
        <v>146.69999999999999</v>
      </c>
      <c r="CD750" s="2040">
        <v>146.69999999999999</v>
      </c>
      <c r="CE750" s="2040">
        <v>187.49</v>
      </c>
      <c r="CF750" s="2040">
        <v>187.49</v>
      </c>
      <c r="CK750" s="2040">
        <v>112.48</v>
      </c>
      <c r="CL750" s="2040">
        <v>112.48</v>
      </c>
      <c r="CM750" s="2040">
        <v>230.06</v>
      </c>
      <c r="CN750" s="2040">
        <v>230.06</v>
      </c>
      <c r="CO750" s="2040">
        <v>288.19</v>
      </c>
      <c r="CP750" s="2040">
        <v>288.19</v>
      </c>
      <c r="CQ750" s="2040">
        <v>288.19</v>
      </c>
      <c r="CR750" s="2040">
        <v>288.19</v>
      </c>
      <c r="CW750" s="2040">
        <v>103.93</v>
      </c>
      <c r="CX750" s="2040">
        <v>103.93</v>
      </c>
      <c r="CY750" s="2040">
        <v>220.91</v>
      </c>
      <c r="CZ750" s="2040">
        <v>220.91</v>
      </c>
      <c r="DA750" s="2040">
        <v>220.91</v>
      </c>
      <c r="DB750" s="2040">
        <v>220.91</v>
      </c>
      <c r="DC750" s="2040">
        <v>276.89</v>
      </c>
      <c r="DD750" s="2040">
        <v>276.89</v>
      </c>
      <c r="DE750" s="2040">
        <v>276.89</v>
      </c>
      <c r="DF750" s="2040">
        <v>276.89</v>
      </c>
      <c r="DI750" s="2040">
        <v>27.45</v>
      </c>
      <c r="DJ750" s="2040">
        <v>27.45</v>
      </c>
      <c r="DK750" s="2040">
        <v>27.45</v>
      </c>
      <c r="DL750" s="2040">
        <v>27.45</v>
      </c>
      <c r="DM750" s="2040">
        <v>27.45</v>
      </c>
      <c r="DN750" s="2040">
        <v>27.45</v>
      </c>
      <c r="DU750" s="2040">
        <v>12.26</v>
      </c>
      <c r="DV750" s="2040">
        <v>12.26</v>
      </c>
      <c r="DW750" s="2040">
        <v>11.43</v>
      </c>
      <c r="DX750" s="2040">
        <v>11.43</v>
      </c>
      <c r="DY750" s="2040">
        <v>11.43</v>
      </c>
      <c r="DZ750" s="2040">
        <v>11.43</v>
      </c>
      <c r="EG750" s="2040">
        <v>13.15</v>
      </c>
      <c r="EH750" s="2040">
        <v>13.36</v>
      </c>
      <c r="EI750" s="2040">
        <v>9.86</v>
      </c>
      <c r="EJ750" s="2040">
        <v>9.86</v>
      </c>
      <c r="EK750" s="2040">
        <v>9.84</v>
      </c>
      <c r="EL750" s="2040">
        <v>9.84</v>
      </c>
      <c r="EM750" s="2040">
        <v>10.55</v>
      </c>
      <c r="EN750" s="2040">
        <v>10.55</v>
      </c>
      <c r="EO750" s="2040">
        <v>9.94</v>
      </c>
      <c r="EP750" s="2040">
        <v>9.94</v>
      </c>
      <c r="EQ750" s="2040">
        <v>10.220000000000001</v>
      </c>
      <c r="ER750" s="2040">
        <v>10.199999999999999</v>
      </c>
      <c r="ES750" s="2040">
        <v>50.22</v>
      </c>
      <c r="ET750" s="2040">
        <v>50.22</v>
      </c>
      <c r="EU750" s="2040">
        <v>208.38</v>
      </c>
      <c r="EV750" s="2040">
        <v>208.38</v>
      </c>
      <c r="EW750" s="2040">
        <v>203.44</v>
      </c>
      <c r="EX750" s="2040">
        <v>203.44</v>
      </c>
      <c r="EY750" s="2506">
        <f t="shared" si="59"/>
        <v>205.91</v>
      </c>
      <c r="EZ750" s="2506">
        <f t="shared" si="59"/>
        <v>205.91</v>
      </c>
      <c r="FA750" s="2040">
        <v>207.92</v>
      </c>
      <c r="FB750" s="2040">
        <v>207.92</v>
      </c>
      <c r="FE750" s="2040">
        <v>43.15</v>
      </c>
      <c r="FF750" s="2040">
        <v>43.15</v>
      </c>
      <c r="FG750" s="2040">
        <v>175.01</v>
      </c>
      <c r="FH750" s="2040">
        <v>175.01</v>
      </c>
      <c r="FI750" s="2040">
        <v>175.01</v>
      </c>
      <c r="FJ750" s="2040">
        <v>177.62</v>
      </c>
      <c r="FK750" s="2040">
        <v>174.3</v>
      </c>
      <c r="FL750" s="2040">
        <v>174.3</v>
      </c>
      <c r="FM750" s="2040">
        <v>175.51</v>
      </c>
      <c r="FN750" s="2040">
        <v>175.51</v>
      </c>
      <c r="FQ750" s="2040">
        <v>97.41</v>
      </c>
      <c r="FR750" s="2040">
        <v>97.41</v>
      </c>
      <c r="FS750" s="2040">
        <v>191.77</v>
      </c>
      <c r="FT750" s="2040">
        <v>191.77</v>
      </c>
      <c r="FU750" s="2040">
        <v>191.77</v>
      </c>
      <c r="FV750" s="2040">
        <v>191.77</v>
      </c>
      <c r="FW750" s="2040">
        <v>192.53</v>
      </c>
      <c r="FX750" s="2040">
        <v>192.53</v>
      </c>
      <c r="GC750" s="2040">
        <v>68.95</v>
      </c>
      <c r="GD750" s="2040">
        <v>68.95</v>
      </c>
      <c r="GE750" s="2040">
        <v>156.59</v>
      </c>
      <c r="GF750" s="2040">
        <v>156.59</v>
      </c>
      <c r="GG750" s="2040">
        <v>156.59</v>
      </c>
      <c r="GH750" s="2040">
        <v>156.59</v>
      </c>
      <c r="GI750" s="2040">
        <v>153.22</v>
      </c>
      <c r="GJ750" s="2040">
        <v>153.22</v>
      </c>
      <c r="GK750" s="2040">
        <v>184.15</v>
      </c>
      <c r="GL750" s="2040">
        <v>184.15</v>
      </c>
      <c r="GO750" s="2040">
        <v>36.909999999999997</v>
      </c>
      <c r="GP750" s="2040">
        <v>36.909999999999997</v>
      </c>
      <c r="GQ750" s="2040">
        <v>30.39</v>
      </c>
      <c r="GR750" s="2040">
        <v>30.39</v>
      </c>
      <c r="GS750" s="2040">
        <v>30.39</v>
      </c>
      <c r="GT750" s="2040">
        <v>29.25</v>
      </c>
      <c r="GU750" s="2040">
        <v>29.25</v>
      </c>
      <c r="GV750" s="2040">
        <v>29.7</v>
      </c>
      <c r="GW750" s="2040">
        <v>173.66</v>
      </c>
      <c r="GX750" s="2040">
        <v>173.66</v>
      </c>
      <c r="HA750" s="2040">
        <v>25.71</v>
      </c>
      <c r="HB750" s="2040">
        <v>25.71</v>
      </c>
      <c r="HC750" s="2040">
        <v>18.04</v>
      </c>
      <c r="HD750" s="2040">
        <v>18.04</v>
      </c>
      <c r="HE750" s="2040">
        <v>18.93</v>
      </c>
      <c r="HF750" s="2040">
        <v>18.93</v>
      </c>
      <c r="HG750" s="2040">
        <v>18.93</v>
      </c>
      <c r="HH750" s="2040">
        <v>18.93</v>
      </c>
      <c r="HI750" s="2040">
        <v>18.93</v>
      </c>
      <c r="HJ750" s="2040">
        <v>18.93</v>
      </c>
      <c r="HK750" s="2040">
        <v>18.98</v>
      </c>
      <c r="HL750" s="2040">
        <v>19.32</v>
      </c>
      <c r="HM750" s="2040">
        <v>36.04</v>
      </c>
      <c r="HN750" s="2040">
        <v>36.04</v>
      </c>
      <c r="HO750" s="2040">
        <v>25.69</v>
      </c>
      <c r="HP750" s="2040">
        <v>25.69</v>
      </c>
      <c r="HQ750" s="2040">
        <v>26.97</v>
      </c>
      <c r="HR750" s="2040">
        <v>26.97</v>
      </c>
      <c r="HS750" s="2040">
        <v>26.97</v>
      </c>
      <c r="HT750" s="2040">
        <v>26.97</v>
      </c>
      <c r="HU750" s="2040">
        <v>26.97</v>
      </c>
      <c r="HV750" s="2040">
        <v>26.97</v>
      </c>
      <c r="HW750" s="2040">
        <v>26.97</v>
      </c>
      <c r="HX750" s="2040">
        <v>26.97</v>
      </c>
    </row>
    <row r="751" spans="2:232" s="2040" customFormat="1" ht="14" x14ac:dyDescent="0.3">
      <c r="B751" s="2504">
        <v>52</v>
      </c>
      <c r="C751" s="2505">
        <v>41.02</v>
      </c>
      <c r="D751" s="2505">
        <v>41.02</v>
      </c>
      <c r="E751" s="2505">
        <v>41.34</v>
      </c>
      <c r="F751" s="2505">
        <v>41.34</v>
      </c>
      <c r="G751" s="2505">
        <v>155.07</v>
      </c>
      <c r="H751" s="2505">
        <v>155.07</v>
      </c>
      <c r="I751" s="2505">
        <v>145.22999999999999</v>
      </c>
      <c r="J751" s="2505">
        <v>145.22999999999999</v>
      </c>
      <c r="K751" s="2505">
        <v>152.96</v>
      </c>
      <c r="L751" s="2505">
        <v>152.96</v>
      </c>
      <c r="M751" s="2505"/>
      <c r="N751" s="2505"/>
      <c r="O751" s="2505">
        <v>128.35</v>
      </c>
      <c r="P751" s="2505">
        <v>128.35</v>
      </c>
      <c r="Q751" s="2505">
        <v>128.32</v>
      </c>
      <c r="R751" s="2505">
        <v>128.35</v>
      </c>
      <c r="S751" s="2505">
        <v>226.01999999999998</v>
      </c>
      <c r="T751" s="2505">
        <v>226.02</v>
      </c>
      <c r="U751" s="2505">
        <v>218.17</v>
      </c>
      <c r="V751" s="2505">
        <v>218.17</v>
      </c>
      <c r="W751" s="2505">
        <v>226.02</v>
      </c>
      <c r="X751" s="2505">
        <v>226.02</v>
      </c>
      <c r="Y751" s="2505">
        <v>218.17</v>
      </c>
      <c r="Z751" s="2505">
        <v>226.02</v>
      </c>
      <c r="AA751" s="2505">
        <v>226.02</v>
      </c>
      <c r="AB751" s="2505">
        <v>226.02</v>
      </c>
      <c r="AC751" s="2505">
        <v>218.17</v>
      </c>
      <c r="AD751" s="2505">
        <v>218.17</v>
      </c>
      <c r="AE751" s="2505">
        <v>242.45</v>
      </c>
      <c r="AF751" s="2505">
        <v>235.51</v>
      </c>
      <c r="AG751" s="2505">
        <v>242.45</v>
      </c>
      <c r="AH751" s="2505">
        <v>242.45</v>
      </c>
      <c r="AI751" s="2505">
        <v>235.51</v>
      </c>
      <c r="AJ751" s="2505">
        <v>235.51</v>
      </c>
      <c r="AK751" s="2505">
        <v>236.32</v>
      </c>
      <c r="AL751" s="2505">
        <v>236.32</v>
      </c>
      <c r="AM751" s="2505">
        <v>67.900000000000006</v>
      </c>
      <c r="AN751" s="2505">
        <v>65.42</v>
      </c>
      <c r="AO751" s="2505">
        <v>65.42</v>
      </c>
      <c r="AP751" s="2505">
        <v>65.42</v>
      </c>
      <c r="AQ751" s="2505">
        <v>66.040000000000006</v>
      </c>
      <c r="AR751" s="2505">
        <v>66.040000000000006</v>
      </c>
      <c r="AS751" s="2505">
        <v>190.68</v>
      </c>
      <c r="AT751" s="2505">
        <v>190.68</v>
      </c>
      <c r="AU751" s="2505">
        <v>190.68</v>
      </c>
      <c r="AV751" s="2505">
        <v>195.3</v>
      </c>
      <c r="AW751" s="2505">
        <v>190.94</v>
      </c>
      <c r="AX751" s="2505">
        <v>190.94</v>
      </c>
      <c r="AY751" s="2505">
        <v>191.08</v>
      </c>
      <c r="AZ751" s="2505">
        <v>191.08</v>
      </c>
      <c r="BA751" s="2040">
        <v>82.68</v>
      </c>
      <c r="BB751" s="2040">
        <v>82.68</v>
      </c>
      <c r="BC751" s="2040">
        <v>20.36</v>
      </c>
      <c r="BD751" s="2040">
        <v>20.68</v>
      </c>
      <c r="BE751" s="2040">
        <v>24.28</v>
      </c>
      <c r="BF751" s="2040">
        <v>24.28</v>
      </c>
      <c r="BG751" s="2040">
        <v>20.41</v>
      </c>
      <c r="BH751" s="2040">
        <v>20.41</v>
      </c>
      <c r="BI751" s="2040">
        <v>20.25</v>
      </c>
      <c r="BJ751" s="2040">
        <v>20.25</v>
      </c>
      <c r="BK751" s="2040">
        <v>20.25</v>
      </c>
      <c r="BL751" s="2040">
        <v>20.25</v>
      </c>
      <c r="BM751" s="2040">
        <v>49.63</v>
      </c>
      <c r="BN751" s="2040">
        <v>49.63</v>
      </c>
      <c r="BO751" s="2040">
        <v>152.88999999999999</v>
      </c>
      <c r="BP751" s="2040">
        <v>152.88999999999999</v>
      </c>
      <c r="BQ751" s="2040">
        <v>152.88999999999999</v>
      </c>
      <c r="BR751" s="2040">
        <v>152.88999999999999</v>
      </c>
      <c r="BS751" s="2040">
        <v>192.51</v>
      </c>
      <c r="BT751" s="2040">
        <v>192.51</v>
      </c>
      <c r="BU751" s="2040">
        <v>192.51</v>
      </c>
      <c r="BV751" s="2040">
        <v>192.51</v>
      </c>
      <c r="BW751" s="2040">
        <v>192.51</v>
      </c>
      <c r="BX751" s="2040">
        <v>192.51</v>
      </c>
      <c r="BY751" s="2040">
        <v>45.08</v>
      </c>
      <c r="BZ751" s="2040">
        <v>45.08</v>
      </c>
      <c r="CA751" s="2040">
        <v>146.05000000000001</v>
      </c>
      <c r="CB751" s="2040">
        <v>146.05000000000001</v>
      </c>
      <c r="CC751" s="2040">
        <v>147.93</v>
      </c>
      <c r="CD751" s="2040">
        <v>147.93</v>
      </c>
      <c r="CE751" s="2040">
        <v>189.34</v>
      </c>
      <c r="CF751" s="2040">
        <v>189.34</v>
      </c>
      <c r="CK751" s="2040">
        <v>113.1</v>
      </c>
      <c r="CL751" s="2040">
        <v>113.1</v>
      </c>
      <c r="CM751" s="2040">
        <v>231.38</v>
      </c>
      <c r="CN751" s="2040">
        <v>231.38</v>
      </c>
      <c r="CO751" s="2040">
        <v>290.3</v>
      </c>
      <c r="CP751" s="2040">
        <v>290.3</v>
      </c>
      <c r="CQ751" s="2040">
        <v>290.3</v>
      </c>
      <c r="CR751" s="2040">
        <v>290.3</v>
      </c>
      <c r="CW751" s="2040">
        <v>104.66</v>
      </c>
      <c r="CX751" s="2040">
        <v>104.66</v>
      </c>
      <c r="CY751" s="2040">
        <v>222.24</v>
      </c>
      <c r="CZ751" s="2040">
        <v>222.24</v>
      </c>
      <c r="DA751" s="2040">
        <v>222.24</v>
      </c>
      <c r="DB751" s="2040">
        <v>222.24</v>
      </c>
      <c r="DC751" s="2040">
        <v>278.99</v>
      </c>
      <c r="DD751" s="2040">
        <v>278.99</v>
      </c>
      <c r="DE751" s="2040">
        <v>278.99</v>
      </c>
      <c r="DF751" s="2040">
        <v>278.99</v>
      </c>
      <c r="DI751" s="2040">
        <v>27.64</v>
      </c>
      <c r="DJ751" s="2040">
        <v>27.64</v>
      </c>
      <c r="DK751" s="2040">
        <v>27.64</v>
      </c>
      <c r="DL751" s="2040">
        <v>27.64</v>
      </c>
      <c r="DM751" s="2040">
        <v>27.64</v>
      </c>
      <c r="DN751" s="2040">
        <v>27.64</v>
      </c>
      <c r="DU751" s="2040">
        <v>12.34</v>
      </c>
      <c r="DV751" s="2040">
        <v>12.34</v>
      </c>
      <c r="DW751" s="2040">
        <v>11.53</v>
      </c>
      <c r="DX751" s="2040">
        <v>11.53</v>
      </c>
      <c r="DY751" s="2040">
        <v>11.53</v>
      </c>
      <c r="DZ751" s="2040">
        <v>11.53</v>
      </c>
      <c r="EG751" s="2040">
        <v>13.24</v>
      </c>
      <c r="EH751" s="2040">
        <v>13.45</v>
      </c>
      <c r="EI751" s="2040">
        <v>9.9700000000000006</v>
      </c>
      <c r="EJ751" s="2040">
        <v>9.9700000000000006</v>
      </c>
      <c r="EK751" s="2040">
        <v>9.9499999999999993</v>
      </c>
      <c r="EL751" s="2040">
        <v>9.9499999999999993</v>
      </c>
      <c r="EM751" s="2040">
        <v>10.66</v>
      </c>
      <c r="EN751" s="2040">
        <v>10.66</v>
      </c>
      <c r="EO751" s="2040">
        <v>10.039999999999999</v>
      </c>
      <c r="EP751" s="2040">
        <v>10.039999999999999</v>
      </c>
      <c r="EQ751" s="2040">
        <v>10.33</v>
      </c>
      <c r="ER751" s="2040">
        <v>10.3</v>
      </c>
      <c r="ES751" s="2040">
        <v>50.58</v>
      </c>
      <c r="ET751" s="2040">
        <v>50.58</v>
      </c>
      <c r="EU751" s="2040">
        <v>210.44</v>
      </c>
      <c r="EV751" s="2040">
        <v>210.44</v>
      </c>
      <c r="EW751" s="2040">
        <v>205.47</v>
      </c>
      <c r="EX751" s="2040">
        <v>205.47</v>
      </c>
      <c r="EY751" s="2506">
        <f t="shared" si="59"/>
        <v>207.95499999999998</v>
      </c>
      <c r="EZ751" s="2506">
        <f t="shared" si="59"/>
        <v>207.95499999999998</v>
      </c>
      <c r="FA751" s="2040">
        <v>209.9</v>
      </c>
      <c r="FB751" s="2040">
        <v>209.9</v>
      </c>
      <c r="FE751" s="2040">
        <v>43.45</v>
      </c>
      <c r="FF751" s="2040">
        <v>43.45</v>
      </c>
      <c r="FG751" s="2040">
        <v>176.77</v>
      </c>
      <c r="FH751" s="2040">
        <v>176.77</v>
      </c>
      <c r="FI751" s="2040">
        <v>176.77</v>
      </c>
      <c r="FJ751" s="2040">
        <v>179.31</v>
      </c>
      <c r="FK751" s="2040">
        <v>176.07</v>
      </c>
      <c r="FL751" s="2040">
        <v>176.07</v>
      </c>
      <c r="FM751" s="2040">
        <v>177.25</v>
      </c>
      <c r="FN751" s="2040">
        <v>177.25</v>
      </c>
      <c r="FQ751" s="2040">
        <v>98.1</v>
      </c>
      <c r="FR751" s="2040">
        <v>98.1</v>
      </c>
      <c r="FS751" s="2040">
        <v>193.35</v>
      </c>
      <c r="FT751" s="2040">
        <v>193.35</v>
      </c>
      <c r="FU751" s="2040">
        <v>193.35</v>
      </c>
      <c r="FV751" s="2040">
        <v>193.35</v>
      </c>
      <c r="FW751" s="2040">
        <v>194.09</v>
      </c>
      <c r="FX751" s="2040">
        <v>194.09</v>
      </c>
      <c r="GC751" s="2040">
        <v>69.430000000000007</v>
      </c>
      <c r="GD751" s="2040">
        <v>69.430000000000007</v>
      </c>
      <c r="GE751" s="2040">
        <v>157.59</v>
      </c>
      <c r="GF751" s="2040">
        <v>157.59</v>
      </c>
      <c r="GG751" s="2040">
        <v>157.59</v>
      </c>
      <c r="GH751" s="2040">
        <v>157.59</v>
      </c>
      <c r="GI751" s="2040">
        <v>155.21</v>
      </c>
      <c r="GJ751" s="2040">
        <v>155.21</v>
      </c>
      <c r="GK751" s="2040">
        <v>185.88</v>
      </c>
      <c r="GL751" s="2040">
        <v>185.88</v>
      </c>
      <c r="GO751" s="2040">
        <v>37.17</v>
      </c>
      <c r="GP751" s="2040">
        <v>37.17</v>
      </c>
      <c r="GQ751" s="2040">
        <v>30.7</v>
      </c>
      <c r="GR751" s="2040">
        <v>30.7</v>
      </c>
      <c r="GS751" s="2040">
        <v>30.7</v>
      </c>
      <c r="GT751" s="2040">
        <v>29.56</v>
      </c>
      <c r="GU751" s="2040">
        <v>29.56</v>
      </c>
      <c r="GV751" s="2040">
        <v>30</v>
      </c>
      <c r="GW751" s="2040">
        <v>175.38</v>
      </c>
      <c r="GX751" s="2040">
        <v>175.38</v>
      </c>
      <c r="HA751" s="2040">
        <v>25.89</v>
      </c>
      <c r="HB751" s="2040">
        <v>25.89</v>
      </c>
      <c r="HC751" s="2040">
        <v>18.27</v>
      </c>
      <c r="HD751" s="2040">
        <v>18.27</v>
      </c>
      <c r="HE751" s="2040">
        <v>19.09</v>
      </c>
      <c r="HF751" s="2040">
        <v>19.09</v>
      </c>
      <c r="HG751" s="2040">
        <v>19.09</v>
      </c>
      <c r="HH751" s="2040">
        <v>19.09</v>
      </c>
      <c r="HI751" s="2040">
        <v>19.09</v>
      </c>
      <c r="HJ751" s="2040">
        <v>19.09</v>
      </c>
      <c r="HK751" s="2040">
        <v>19.21</v>
      </c>
      <c r="HL751" s="2040">
        <v>19.53</v>
      </c>
      <c r="HM751" s="2040">
        <v>36.29</v>
      </c>
      <c r="HN751" s="2040">
        <v>36.29</v>
      </c>
      <c r="HO751" s="2040">
        <v>26.01</v>
      </c>
      <c r="HP751" s="2040">
        <v>26.01</v>
      </c>
      <c r="HQ751" s="2040">
        <v>27.25</v>
      </c>
      <c r="HR751" s="2040">
        <v>27.25</v>
      </c>
      <c r="HS751" s="2040">
        <v>27.25</v>
      </c>
      <c r="HT751" s="2040">
        <v>27.25</v>
      </c>
      <c r="HU751" s="2040">
        <v>27.25</v>
      </c>
      <c r="HV751" s="2040">
        <v>27.25</v>
      </c>
      <c r="HW751" s="2040">
        <v>27.28</v>
      </c>
      <c r="HX751" s="2040">
        <v>27.28</v>
      </c>
    </row>
    <row r="752" spans="2:232" s="2040" customFormat="1" ht="14" x14ac:dyDescent="0.3">
      <c r="B752" s="2504">
        <v>53</v>
      </c>
      <c r="C752" s="2505">
        <v>41.29</v>
      </c>
      <c r="D752" s="2505">
        <v>41.29</v>
      </c>
      <c r="E752" s="2505">
        <v>41.59</v>
      </c>
      <c r="F752" s="2505">
        <v>41.59</v>
      </c>
      <c r="G752" s="2505">
        <v>156.84</v>
      </c>
      <c r="H752" s="2505">
        <v>156.84</v>
      </c>
      <c r="I752" s="2505">
        <v>146.5</v>
      </c>
      <c r="J752" s="2505">
        <v>146.5</v>
      </c>
      <c r="K752" s="2505">
        <v>154.07</v>
      </c>
      <c r="L752" s="2505">
        <v>154.07</v>
      </c>
      <c r="M752" s="2505"/>
      <c r="N752" s="2505"/>
      <c r="O752" s="2505">
        <v>129.19999999999999</v>
      </c>
      <c r="P752" s="2505">
        <v>129.19999999999999</v>
      </c>
      <c r="Q752" s="2505">
        <v>129.15</v>
      </c>
      <c r="R752" s="2505">
        <v>129.21</v>
      </c>
      <c r="S752" s="2505">
        <v>228.17</v>
      </c>
      <c r="T752" s="2505">
        <v>228.21</v>
      </c>
      <c r="U752" s="2505">
        <v>220.28</v>
      </c>
      <c r="V752" s="2505">
        <v>220.28</v>
      </c>
      <c r="W752" s="2505">
        <v>228.21</v>
      </c>
      <c r="X752" s="2505">
        <v>228.21</v>
      </c>
      <c r="Y752" s="2505">
        <v>220.28</v>
      </c>
      <c r="Z752" s="2505">
        <v>228.21</v>
      </c>
      <c r="AA752" s="2505">
        <v>228.21</v>
      </c>
      <c r="AB752" s="2505">
        <v>228.21</v>
      </c>
      <c r="AC752" s="2505">
        <v>220.28</v>
      </c>
      <c r="AD752" s="2505">
        <v>220.28</v>
      </c>
      <c r="AE752" s="2505">
        <v>244.47</v>
      </c>
      <c r="AF752" s="2505">
        <v>237.47</v>
      </c>
      <c r="AG752" s="2505">
        <v>244.47</v>
      </c>
      <c r="AH752" s="2505">
        <v>244.47</v>
      </c>
      <c r="AI752" s="2505">
        <v>237.47</v>
      </c>
      <c r="AJ752" s="2505">
        <v>237.47</v>
      </c>
      <c r="AK752" s="2505">
        <v>238.26</v>
      </c>
      <c r="AL752" s="2505">
        <v>238.26</v>
      </c>
      <c r="AM752" s="2505">
        <v>68.349999999999994</v>
      </c>
      <c r="AN752" s="2505">
        <v>65.86</v>
      </c>
      <c r="AO752" s="2505">
        <v>65.86</v>
      </c>
      <c r="AP752" s="2505">
        <v>65.91</v>
      </c>
      <c r="AQ752" s="2505">
        <v>66.510000000000005</v>
      </c>
      <c r="AR752" s="2505">
        <v>66.510000000000005</v>
      </c>
      <c r="AS752" s="2505">
        <v>192.5</v>
      </c>
      <c r="AT752" s="2505">
        <v>192.5</v>
      </c>
      <c r="AU752" s="2505">
        <v>192.5</v>
      </c>
      <c r="AV752" s="2505">
        <v>197.14</v>
      </c>
      <c r="AW752" s="2505">
        <v>192.77</v>
      </c>
      <c r="AX752" s="2505">
        <v>192.77</v>
      </c>
      <c r="AY752" s="2505">
        <v>192.91</v>
      </c>
      <c r="AZ752" s="2505">
        <v>192.91</v>
      </c>
      <c r="BA752" s="2040">
        <v>83.58</v>
      </c>
      <c r="BB752" s="2040">
        <v>83.58</v>
      </c>
      <c r="BC752" s="2040">
        <v>20.57</v>
      </c>
      <c r="BD752" s="2040">
        <v>20.88</v>
      </c>
      <c r="BE752" s="2040">
        <v>24.49</v>
      </c>
      <c r="BF752" s="2040">
        <v>24.49</v>
      </c>
      <c r="BG752" s="2040">
        <v>20.67</v>
      </c>
      <c r="BH752" s="2040">
        <v>20.67</v>
      </c>
      <c r="BI752" s="2040">
        <v>20.51</v>
      </c>
      <c r="BJ752" s="2040">
        <v>20.51</v>
      </c>
      <c r="BK752" s="2040">
        <v>20.51</v>
      </c>
      <c r="BL752" s="2040">
        <v>20.51</v>
      </c>
      <c r="BM752" s="2040">
        <v>49.98</v>
      </c>
      <c r="BN752" s="2040">
        <v>49.98</v>
      </c>
      <c r="BO752" s="2040">
        <v>154.15</v>
      </c>
      <c r="BP752" s="2040">
        <v>154.15</v>
      </c>
      <c r="BQ752" s="2040">
        <v>154.15</v>
      </c>
      <c r="BR752" s="2040">
        <v>154.15</v>
      </c>
      <c r="BS752" s="2040">
        <v>194.41</v>
      </c>
      <c r="BT752" s="2040">
        <v>194.41</v>
      </c>
      <c r="BU752" s="2040">
        <v>194.41</v>
      </c>
      <c r="BV752" s="2040">
        <v>194.41</v>
      </c>
      <c r="BW752" s="2040">
        <v>194.41</v>
      </c>
      <c r="BX752" s="2040">
        <v>194.41</v>
      </c>
      <c r="BY752" s="2040">
        <v>45.38</v>
      </c>
      <c r="BZ752" s="2040">
        <v>45.38</v>
      </c>
      <c r="CA752" s="2040">
        <v>147.21</v>
      </c>
      <c r="CB752" s="2040">
        <v>147.21</v>
      </c>
      <c r="CC752" s="2040">
        <v>149.13</v>
      </c>
      <c r="CD752" s="2040">
        <v>149.13</v>
      </c>
      <c r="CE752" s="2040">
        <v>191.14</v>
      </c>
      <c r="CF752" s="2040">
        <v>191.14</v>
      </c>
      <c r="CK752" s="2040">
        <v>113.77</v>
      </c>
      <c r="CL752" s="2040">
        <v>113.77</v>
      </c>
      <c r="CM752" s="2040">
        <v>232.48</v>
      </c>
      <c r="CN752" s="2040">
        <v>232.48</v>
      </c>
      <c r="CO752" s="2040">
        <v>292.05</v>
      </c>
      <c r="CP752" s="2040">
        <v>292.05</v>
      </c>
      <c r="CQ752" s="2040">
        <v>292.05</v>
      </c>
      <c r="CR752" s="2040">
        <v>292.05</v>
      </c>
      <c r="CW752" s="2040">
        <v>105.33</v>
      </c>
      <c r="CX752" s="2040">
        <v>105.33</v>
      </c>
      <c r="CY752" s="2040">
        <v>223.48</v>
      </c>
      <c r="CZ752" s="2040">
        <v>223.48</v>
      </c>
      <c r="DA752" s="2040">
        <v>223.48</v>
      </c>
      <c r="DB752" s="2040">
        <v>223.48</v>
      </c>
      <c r="DC752" s="2040">
        <v>280.95</v>
      </c>
      <c r="DD752" s="2040">
        <v>280.95</v>
      </c>
      <c r="DE752" s="2040">
        <v>280.95</v>
      </c>
      <c r="DF752" s="2040">
        <v>280.95</v>
      </c>
      <c r="DI752" s="2040">
        <v>27.85</v>
      </c>
      <c r="DJ752" s="2040">
        <v>27.85</v>
      </c>
      <c r="DK752" s="2040">
        <v>27.85</v>
      </c>
      <c r="DL752" s="2040">
        <v>27.85</v>
      </c>
      <c r="DM752" s="2040">
        <v>27.85</v>
      </c>
      <c r="DN752" s="2040">
        <v>27.85</v>
      </c>
      <c r="DU752" s="2040">
        <v>12.42</v>
      </c>
      <c r="DV752" s="2040">
        <v>12.42</v>
      </c>
      <c r="DW752" s="2040">
        <v>11.62</v>
      </c>
      <c r="DX752" s="2040">
        <v>11.62</v>
      </c>
      <c r="DY752" s="2040">
        <v>11.62</v>
      </c>
      <c r="DZ752" s="2040">
        <v>11.62</v>
      </c>
      <c r="EG752" s="2040">
        <v>13.33</v>
      </c>
      <c r="EH752" s="2040">
        <v>13.54</v>
      </c>
      <c r="EI752" s="2040">
        <v>10.08</v>
      </c>
      <c r="EJ752" s="2040">
        <v>10.08</v>
      </c>
      <c r="EK752" s="2040">
        <v>10.06</v>
      </c>
      <c r="EL752" s="2040">
        <v>10.06</v>
      </c>
      <c r="EM752" s="2040">
        <v>10.77</v>
      </c>
      <c r="EN752" s="2040">
        <v>10.77</v>
      </c>
      <c r="EO752" s="2040">
        <v>10.15</v>
      </c>
      <c r="EP752" s="2040">
        <v>10.15</v>
      </c>
      <c r="EQ752" s="2040">
        <v>10.44</v>
      </c>
      <c r="ER752" s="2040">
        <v>10.4</v>
      </c>
      <c r="ES752" s="2040">
        <v>50.92</v>
      </c>
      <c r="ET752" s="2040">
        <v>50.92</v>
      </c>
      <c r="EU752" s="2040">
        <v>212.43</v>
      </c>
      <c r="EV752" s="2040">
        <v>212.43</v>
      </c>
      <c r="EW752" s="2040">
        <v>207.44</v>
      </c>
      <c r="EX752" s="2040">
        <v>207.44</v>
      </c>
      <c r="EY752" s="2506">
        <f t="shared" si="59"/>
        <v>209.935</v>
      </c>
      <c r="EZ752" s="2506">
        <f t="shared" si="59"/>
        <v>209.935</v>
      </c>
      <c r="FA752" s="2040">
        <v>211.82</v>
      </c>
      <c r="FB752" s="2040">
        <v>211.82</v>
      </c>
      <c r="FE752" s="2040">
        <v>43.75</v>
      </c>
      <c r="FF752" s="2040">
        <v>43.75</v>
      </c>
      <c r="FG752" s="2040">
        <v>178.48</v>
      </c>
      <c r="FH752" s="2040">
        <v>178.48</v>
      </c>
      <c r="FI752" s="2040">
        <v>178.48</v>
      </c>
      <c r="FJ752" s="2040">
        <v>180.95</v>
      </c>
      <c r="FK752" s="2040">
        <v>177.8</v>
      </c>
      <c r="FL752" s="2040">
        <v>177.8</v>
      </c>
      <c r="FM752" s="2040">
        <v>178.95</v>
      </c>
      <c r="FN752" s="2040">
        <v>178.95</v>
      </c>
      <c r="FQ752" s="2040">
        <v>98.78</v>
      </c>
      <c r="FR752" s="2040">
        <v>98.78</v>
      </c>
      <c r="FS752" s="2040">
        <v>194.88</v>
      </c>
      <c r="FT752" s="2040">
        <v>194.88</v>
      </c>
      <c r="FU752" s="2040">
        <v>194.88</v>
      </c>
      <c r="FV752" s="2040">
        <v>194.88</v>
      </c>
      <c r="FW752" s="2040">
        <v>195.6</v>
      </c>
      <c r="FX752" s="2040">
        <v>195.6</v>
      </c>
      <c r="GC752" s="2040">
        <v>69.900000000000006</v>
      </c>
      <c r="GD752" s="2040">
        <v>69.900000000000006</v>
      </c>
      <c r="GE752" s="2040">
        <v>158.55000000000001</v>
      </c>
      <c r="GF752" s="2040">
        <v>158.55000000000001</v>
      </c>
      <c r="GG752" s="2040">
        <v>158.55000000000001</v>
      </c>
      <c r="GH752" s="2040">
        <v>158.55000000000001</v>
      </c>
      <c r="GI752" s="2040">
        <v>157.16</v>
      </c>
      <c r="GJ752" s="2040">
        <v>157.16</v>
      </c>
      <c r="GK752" s="2040">
        <v>187.57</v>
      </c>
      <c r="GL752" s="2040">
        <v>187.57</v>
      </c>
      <c r="GO752" s="2040">
        <v>37.42</v>
      </c>
      <c r="GP752" s="2040">
        <v>37.42</v>
      </c>
      <c r="GQ752" s="2040">
        <v>31.05</v>
      </c>
      <c r="GR752" s="2040">
        <v>31.05</v>
      </c>
      <c r="GS752" s="2040">
        <v>31.05</v>
      </c>
      <c r="GT752" s="2040">
        <v>29.89</v>
      </c>
      <c r="GU752" s="2040">
        <v>29.89</v>
      </c>
      <c r="GV752" s="2040">
        <v>30.31</v>
      </c>
      <c r="GW752" s="2040">
        <v>177.26</v>
      </c>
      <c r="GX752" s="2040">
        <v>177.26</v>
      </c>
      <c r="HA752" s="2040">
        <v>26.02</v>
      </c>
      <c r="HB752" s="2040">
        <v>26.02</v>
      </c>
      <c r="HC752" s="2040">
        <v>18.43</v>
      </c>
      <c r="HD752" s="2040">
        <v>18.43</v>
      </c>
      <c r="HE752" s="2040">
        <v>19.3</v>
      </c>
      <c r="HF752" s="2040">
        <v>19.3</v>
      </c>
      <c r="HG752" s="2040">
        <v>19.3</v>
      </c>
      <c r="HH752" s="2040">
        <v>19.3</v>
      </c>
      <c r="HI752" s="2040">
        <v>19.3</v>
      </c>
      <c r="HJ752" s="2040">
        <v>19.3</v>
      </c>
      <c r="HK752" s="2040">
        <v>19.37</v>
      </c>
      <c r="HL752" s="2040">
        <v>19.68</v>
      </c>
      <c r="HM752" s="2040">
        <v>36.520000000000003</v>
      </c>
      <c r="HN752" s="2040">
        <v>36.520000000000003</v>
      </c>
      <c r="HO752" s="2040">
        <v>26.3</v>
      </c>
      <c r="HP752" s="2040">
        <v>26.3</v>
      </c>
      <c r="HQ752" s="2040">
        <v>27.61</v>
      </c>
      <c r="HR752" s="2040">
        <v>27.61</v>
      </c>
      <c r="HS752" s="2040">
        <v>27.61</v>
      </c>
      <c r="HT752" s="2040">
        <v>27.61</v>
      </c>
      <c r="HU752" s="2040">
        <v>27.61</v>
      </c>
      <c r="HV752" s="2040">
        <v>27.61</v>
      </c>
      <c r="HW752" s="2040">
        <v>27.56</v>
      </c>
      <c r="HX752" s="2040">
        <v>27.56</v>
      </c>
    </row>
    <row r="753" spans="2:232" s="2040" customFormat="1" ht="14" x14ac:dyDescent="0.3">
      <c r="B753" s="2504">
        <v>54</v>
      </c>
      <c r="C753" s="2505">
        <v>41.66</v>
      </c>
      <c r="D753" s="2505">
        <v>41.66</v>
      </c>
      <c r="E753" s="2505">
        <v>41.95</v>
      </c>
      <c r="F753" s="2505">
        <v>41.95</v>
      </c>
      <c r="G753" s="2505">
        <v>157.85</v>
      </c>
      <c r="H753" s="2505">
        <v>157.85</v>
      </c>
      <c r="I753" s="2505">
        <v>148.25</v>
      </c>
      <c r="J753" s="2505">
        <v>148.25</v>
      </c>
      <c r="K753" s="2505">
        <v>155.61000000000001</v>
      </c>
      <c r="L753" s="2505">
        <v>155.61000000000001</v>
      </c>
      <c r="M753" s="2505"/>
      <c r="N753" s="2505"/>
      <c r="O753" s="2505">
        <v>130.03</v>
      </c>
      <c r="P753" s="2505">
        <v>130.03</v>
      </c>
      <c r="Q753" s="2505">
        <v>129.94</v>
      </c>
      <c r="R753" s="2505">
        <v>130.03</v>
      </c>
      <c r="S753" s="2505">
        <v>230.25</v>
      </c>
      <c r="T753" s="2505">
        <v>230.34</v>
      </c>
      <c r="U753" s="2505">
        <v>222.34</v>
      </c>
      <c r="V753" s="2505">
        <v>222.34</v>
      </c>
      <c r="W753" s="2505">
        <v>230.34</v>
      </c>
      <c r="X753" s="2505">
        <v>230.34</v>
      </c>
      <c r="Y753" s="2505">
        <v>222.34</v>
      </c>
      <c r="Z753" s="2505">
        <v>230.34</v>
      </c>
      <c r="AA753" s="2505">
        <v>230.34</v>
      </c>
      <c r="AB753" s="2505">
        <v>230.34</v>
      </c>
      <c r="AC753" s="2505">
        <v>222.34</v>
      </c>
      <c r="AD753" s="2505">
        <v>222.34</v>
      </c>
      <c r="AE753" s="2505">
        <v>246.44</v>
      </c>
      <c r="AF753" s="2505">
        <v>239.38</v>
      </c>
      <c r="AG753" s="2505">
        <v>246.44</v>
      </c>
      <c r="AH753" s="2505">
        <v>246.44</v>
      </c>
      <c r="AI753" s="2505">
        <v>239.38</v>
      </c>
      <c r="AJ753" s="2505">
        <v>239.38</v>
      </c>
      <c r="AK753" s="2505">
        <v>240.15</v>
      </c>
      <c r="AL753" s="2505">
        <v>240.15</v>
      </c>
      <c r="AM753" s="2505">
        <v>68.8</v>
      </c>
      <c r="AN753" s="2505">
        <v>66.290000000000006</v>
      </c>
      <c r="AO753" s="2505">
        <v>66.290000000000006</v>
      </c>
      <c r="AP753" s="2505">
        <v>66.36</v>
      </c>
      <c r="AQ753" s="2505">
        <v>66.94</v>
      </c>
      <c r="AR753" s="2505">
        <v>66.94</v>
      </c>
      <c r="AS753" s="2505">
        <v>194.15</v>
      </c>
      <c r="AT753" s="2505">
        <v>194.15</v>
      </c>
      <c r="AU753" s="2505">
        <v>194.15</v>
      </c>
      <c r="AV753" s="2505">
        <v>198.81</v>
      </c>
      <c r="AW753" s="2505">
        <v>194.42</v>
      </c>
      <c r="AX753" s="2505">
        <v>194.42</v>
      </c>
      <c r="AY753" s="2505">
        <v>194.56</v>
      </c>
      <c r="AZ753" s="2505">
        <v>194.56</v>
      </c>
      <c r="BA753" s="2040">
        <v>84.24</v>
      </c>
      <c r="BB753" s="2040">
        <v>84.24</v>
      </c>
      <c r="BC753" s="2040">
        <v>20.78</v>
      </c>
      <c r="BD753" s="2040">
        <v>21.08</v>
      </c>
      <c r="BE753" s="2040">
        <v>24.64</v>
      </c>
      <c r="BF753" s="2040">
        <v>24.64</v>
      </c>
      <c r="BG753" s="2040">
        <v>20.87</v>
      </c>
      <c r="BH753" s="2040">
        <v>20.87</v>
      </c>
      <c r="BI753" s="2040">
        <v>20.7</v>
      </c>
      <c r="BJ753" s="2040">
        <v>20.7</v>
      </c>
      <c r="BK753" s="2040">
        <v>20.7</v>
      </c>
      <c r="BL753" s="2040">
        <v>20.7</v>
      </c>
      <c r="BM753" s="2040">
        <v>50.34</v>
      </c>
      <c r="BN753" s="2040">
        <v>50.34</v>
      </c>
      <c r="BO753" s="2040">
        <v>155.43</v>
      </c>
      <c r="BP753" s="2040">
        <v>155.43</v>
      </c>
      <c r="BQ753" s="2040">
        <v>155.43</v>
      </c>
      <c r="BR753" s="2040">
        <v>155.43</v>
      </c>
      <c r="BS753" s="2040">
        <v>196.34</v>
      </c>
      <c r="BT753" s="2040">
        <v>196.34</v>
      </c>
      <c r="BU753" s="2040">
        <v>196.34</v>
      </c>
      <c r="BV753" s="2040">
        <v>196.34</v>
      </c>
      <c r="BW753" s="2040">
        <v>196.34</v>
      </c>
      <c r="BX753" s="2040">
        <v>196.34</v>
      </c>
      <c r="BY753" s="2040">
        <v>45.71</v>
      </c>
      <c r="BZ753" s="2040">
        <v>45.71</v>
      </c>
      <c r="CA753" s="2040">
        <v>148.44</v>
      </c>
      <c r="CB753" s="2040">
        <v>148.44</v>
      </c>
      <c r="CC753" s="2040">
        <v>150.4</v>
      </c>
      <c r="CD753" s="2040">
        <v>150.4</v>
      </c>
      <c r="CE753" s="2040">
        <v>193.05</v>
      </c>
      <c r="CF753" s="2040">
        <v>193.05</v>
      </c>
      <c r="CK753" s="2040">
        <v>114.36</v>
      </c>
      <c r="CL753" s="2040">
        <v>114.36</v>
      </c>
      <c r="CM753" s="2040">
        <v>233.62</v>
      </c>
      <c r="CN753" s="2040">
        <v>233.62</v>
      </c>
      <c r="CO753" s="2040">
        <v>293.89</v>
      </c>
      <c r="CP753" s="2040">
        <v>293.89</v>
      </c>
      <c r="CQ753" s="2040">
        <v>293.89</v>
      </c>
      <c r="CR753" s="2040">
        <v>293.89</v>
      </c>
      <c r="CW753" s="2040">
        <v>106.13</v>
      </c>
      <c r="CX753" s="2040">
        <v>106.13</v>
      </c>
      <c r="CY753" s="2040">
        <v>224.92</v>
      </c>
      <c r="CZ753" s="2040">
        <v>224.92</v>
      </c>
      <c r="DA753" s="2040">
        <v>224.92</v>
      </c>
      <c r="DB753" s="2040">
        <v>224.92</v>
      </c>
      <c r="DC753" s="2040">
        <v>283.24</v>
      </c>
      <c r="DD753" s="2040">
        <v>283.24</v>
      </c>
      <c r="DE753" s="2040">
        <v>283.24</v>
      </c>
      <c r="DF753" s="2040">
        <v>283.24</v>
      </c>
      <c r="DI753" s="2040">
        <v>28.05</v>
      </c>
      <c r="DJ753" s="2040">
        <v>28.05</v>
      </c>
      <c r="DK753" s="2040">
        <v>28.05</v>
      </c>
      <c r="DL753" s="2040">
        <v>28.05</v>
      </c>
      <c r="DM753" s="2040">
        <v>28.05</v>
      </c>
      <c r="DN753" s="2040">
        <v>28.05</v>
      </c>
      <c r="DU753" s="2040">
        <v>12.49</v>
      </c>
      <c r="DV753" s="2040">
        <v>12.49</v>
      </c>
      <c r="DW753" s="2040">
        <v>11.72</v>
      </c>
      <c r="DX753" s="2040">
        <v>11.72</v>
      </c>
      <c r="DY753" s="2040">
        <v>11.72</v>
      </c>
      <c r="DZ753" s="2040">
        <v>11.72</v>
      </c>
      <c r="EG753" s="2040">
        <v>13.41</v>
      </c>
      <c r="EH753" s="2040">
        <v>13.62</v>
      </c>
      <c r="EI753" s="2040">
        <v>10.19</v>
      </c>
      <c r="EJ753" s="2040">
        <v>10.19</v>
      </c>
      <c r="EK753" s="2040">
        <v>10.17</v>
      </c>
      <c r="EL753" s="2040">
        <v>10.17</v>
      </c>
      <c r="EM753" s="2040">
        <v>10.87</v>
      </c>
      <c r="EN753" s="2040">
        <v>10.87</v>
      </c>
      <c r="EO753" s="2040">
        <v>10.25</v>
      </c>
      <c r="EP753" s="2040">
        <v>10.25</v>
      </c>
      <c r="EQ753" s="2040">
        <v>10.54</v>
      </c>
      <c r="ER753" s="2040">
        <v>10.5</v>
      </c>
      <c r="ES753" s="2040">
        <v>51.25</v>
      </c>
      <c r="ET753" s="2040">
        <v>51.25</v>
      </c>
      <c r="EU753" s="2040">
        <v>214.37</v>
      </c>
      <c r="EV753" s="2040">
        <v>214.37</v>
      </c>
      <c r="EW753" s="2040">
        <v>209.37</v>
      </c>
      <c r="EX753" s="2040">
        <v>209.37</v>
      </c>
      <c r="EY753" s="2506">
        <f t="shared" si="59"/>
        <v>211.87</v>
      </c>
      <c r="EZ753" s="2506">
        <f t="shared" si="59"/>
        <v>211.87</v>
      </c>
      <c r="FA753" s="2040">
        <v>213.68</v>
      </c>
      <c r="FB753" s="2040">
        <v>213.68</v>
      </c>
      <c r="FE753" s="2040">
        <v>44.04</v>
      </c>
      <c r="FF753" s="2040">
        <v>44.04</v>
      </c>
      <c r="FG753" s="2040">
        <v>180.14</v>
      </c>
      <c r="FH753" s="2040">
        <v>180.14</v>
      </c>
      <c r="FI753" s="2040">
        <v>180.14</v>
      </c>
      <c r="FJ753" s="2040">
        <v>182.55</v>
      </c>
      <c r="FK753" s="2040">
        <v>179.47</v>
      </c>
      <c r="FL753" s="2040">
        <v>179.47</v>
      </c>
      <c r="FM753" s="2040">
        <v>180.61</v>
      </c>
      <c r="FN753" s="2040">
        <v>180.61</v>
      </c>
      <c r="FQ753" s="2040">
        <v>99.43</v>
      </c>
      <c r="FR753" s="2040">
        <v>99.43</v>
      </c>
      <c r="FS753" s="2040">
        <v>196.37</v>
      </c>
      <c r="FT753" s="2040">
        <v>196.37</v>
      </c>
      <c r="FU753" s="2040">
        <v>196.37</v>
      </c>
      <c r="FV753" s="2040">
        <v>196.37</v>
      </c>
      <c r="FW753" s="2040">
        <v>197.07</v>
      </c>
      <c r="FX753" s="2040">
        <v>197.07</v>
      </c>
      <c r="GC753" s="2040">
        <v>70.349999999999994</v>
      </c>
      <c r="GD753" s="2040">
        <v>70.349999999999994</v>
      </c>
      <c r="GE753" s="2040">
        <v>159.49</v>
      </c>
      <c r="GF753" s="2040">
        <v>159.49</v>
      </c>
      <c r="GG753" s="2040">
        <v>159.49</v>
      </c>
      <c r="GH753" s="2040">
        <v>159.49</v>
      </c>
      <c r="GI753" s="2040">
        <v>159.06</v>
      </c>
      <c r="GJ753" s="2040">
        <v>159.06</v>
      </c>
      <c r="GK753" s="2040">
        <v>189.2</v>
      </c>
      <c r="GL753" s="2040">
        <v>189.2</v>
      </c>
      <c r="GO753" s="2040">
        <v>37.659999999999997</v>
      </c>
      <c r="GP753" s="2040">
        <v>37.659999999999997</v>
      </c>
      <c r="GQ753" s="2040">
        <v>31.39</v>
      </c>
      <c r="GR753" s="2040">
        <v>31.39</v>
      </c>
      <c r="GS753" s="2040">
        <v>31.39</v>
      </c>
      <c r="GT753" s="2040">
        <v>30.22</v>
      </c>
      <c r="GU753" s="2040">
        <v>30.22</v>
      </c>
      <c r="GV753" s="2040">
        <v>30.63</v>
      </c>
      <c r="GW753" s="2040">
        <v>179.14</v>
      </c>
      <c r="GX753" s="2040">
        <v>179.14</v>
      </c>
      <c r="HA753" s="2040">
        <v>26.18</v>
      </c>
      <c r="HB753" s="2040">
        <v>26.18</v>
      </c>
      <c r="HC753" s="2040">
        <v>18.64</v>
      </c>
      <c r="HD753" s="2040">
        <v>18.64</v>
      </c>
      <c r="HE753" s="2040">
        <v>19.47</v>
      </c>
      <c r="HF753" s="2040">
        <v>19.47</v>
      </c>
      <c r="HG753" s="2040">
        <v>19.47</v>
      </c>
      <c r="HH753" s="2040">
        <v>19.47</v>
      </c>
      <c r="HI753" s="2040">
        <v>19.47</v>
      </c>
      <c r="HJ753" s="2040">
        <v>19.47</v>
      </c>
      <c r="HK753" s="2040">
        <v>19.57</v>
      </c>
      <c r="HL753" s="2040">
        <v>19.88</v>
      </c>
      <c r="HM753" s="2040">
        <v>36.799999999999997</v>
      </c>
      <c r="HN753" s="2040">
        <v>36.799999999999997</v>
      </c>
      <c r="HO753" s="2040">
        <v>26.66</v>
      </c>
      <c r="HP753" s="2040">
        <v>26.66</v>
      </c>
      <c r="HQ753" s="2040">
        <v>27.92</v>
      </c>
      <c r="HR753" s="2040">
        <v>27.92</v>
      </c>
      <c r="HS753" s="2040">
        <v>27.92</v>
      </c>
      <c r="HT753" s="2040">
        <v>27.92</v>
      </c>
      <c r="HU753" s="2040">
        <v>27.92</v>
      </c>
      <c r="HV753" s="2040">
        <v>27.92</v>
      </c>
      <c r="HW753" s="2040">
        <v>27.91</v>
      </c>
      <c r="HX753" s="2040">
        <v>27.91</v>
      </c>
    </row>
    <row r="754" spans="2:232" s="2040" customFormat="1" ht="14" x14ac:dyDescent="0.3">
      <c r="B754" s="2504">
        <v>55</v>
      </c>
      <c r="C754" s="2505">
        <v>41.87</v>
      </c>
      <c r="D754" s="2505">
        <v>41.87</v>
      </c>
      <c r="E754" s="2505">
        <v>42.15</v>
      </c>
      <c r="F754" s="2505">
        <v>42.15</v>
      </c>
      <c r="G754" s="2505">
        <v>158.9</v>
      </c>
      <c r="H754" s="2505">
        <v>158.9</v>
      </c>
      <c r="I754" s="2505">
        <v>149.25</v>
      </c>
      <c r="J754" s="2505">
        <v>149.25</v>
      </c>
      <c r="K754" s="2505">
        <v>156.47999999999999</v>
      </c>
      <c r="L754" s="2505">
        <v>156.47999999999999</v>
      </c>
      <c r="M754" s="2505"/>
      <c r="N754" s="2505"/>
      <c r="O754" s="2505">
        <v>130.91</v>
      </c>
      <c r="P754" s="2505">
        <v>130.91</v>
      </c>
      <c r="Q754" s="2505">
        <v>130.80000000000001</v>
      </c>
      <c r="R754" s="2505">
        <v>130.91</v>
      </c>
      <c r="S754" s="2505">
        <v>232.48</v>
      </c>
      <c r="T754" s="2505">
        <v>232.41</v>
      </c>
      <c r="U754" s="2505">
        <v>224.33</v>
      </c>
      <c r="V754" s="2505">
        <v>224.33</v>
      </c>
      <c r="W754" s="2505">
        <v>232.41</v>
      </c>
      <c r="X754" s="2505">
        <v>232.41</v>
      </c>
      <c r="Y754" s="2505">
        <v>224.33</v>
      </c>
      <c r="Z754" s="2505">
        <v>232.41</v>
      </c>
      <c r="AA754" s="2505">
        <v>232.41</v>
      </c>
      <c r="AB754" s="2505">
        <v>232.41</v>
      </c>
      <c r="AC754" s="2505">
        <v>224.33</v>
      </c>
      <c r="AD754" s="2505">
        <v>224.33</v>
      </c>
      <c r="AE754" s="2505">
        <v>248.34</v>
      </c>
      <c r="AF754" s="2505">
        <v>241.23</v>
      </c>
      <c r="AG754" s="2505">
        <v>248.34</v>
      </c>
      <c r="AH754" s="2505">
        <v>248.34</v>
      </c>
      <c r="AI754" s="2505">
        <v>241.23</v>
      </c>
      <c r="AJ754" s="2505">
        <v>241.23</v>
      </c>
      <c r="AK754" s="2505">
        <v>241.97</v>
      </c>
      <c r="AL754" s="2505">
        <v>241.97</v>
      </c>
      <c r="AM754" s="2505">
        <v>69.23</v>
      </c>
      <c r="AN754" s="2505">
        <v>66.7</v>
      </c>
      <c r="AO754" s="2505">
        <v>66.7</v>
      </c>
      <c r="AP754" s="2505">
        <v>66.73</v>
      </c>
      <c r="AQ754" s="2505">
        <v>67.3</v>
      </c>
      <c r="AR754" s="2505">
        <v>67.3</v>
      </c>
      <c r="AS754" s="2505">
        <v>195.53</v>
      </c>
      <c r="AT754" s="2505">
        <v>195.53</v>
      </c>
      <c r="AU754" s="2505">
        <v>195.53</v>
      </c>
      <c r="AV754" s="2505">
        <v>200.21</v>
      </c>
      <c r="AW754" s="2505">
        <v>195.81</v>
      </c>
      <c r="AX754" s="2505">
        <v>195.81</v>
      </c>
      <c r="AY754" s="2505">
        <v>195.95</v>
      </c>
      <c r="AZ754" s="2505">
        <v>195.95</v>
      </c>
      <c r="BA754" s="2040">
        <v>84.74</v>
      </c>
      <c r="BB754" s="2040">
        <v>84.74</v>
      </c>
      <c r="BC754" s="2040">
        <v>20.99</v>
      </c>
      <c r="BD754" s="2040">
        <v>21.28</v>
      </c>
      <c r="BE754" s="2040">
        <v>24.75</v>
      </c>
      <c r="BF754" s="2040">
        <v>24.75</v>
      </c>
      <c r="BG754" s="2040">
        <v>21.01</v>
      </c>
      <c r="BH754" s="2040">
        <v>21.01</v>
      </c>
      <c r="BI754" s="2040">
        <v>20.85</v>
      </c>
      <c r="BJ754" s="2040">
        <v>20.85</v>
      </c>
      <c r="BK754" s="2040">
        <v>20.85</v>
      </c>
      <c r="BL754" s="2040">
        <v>20.85</v>
      </c>
      <c r="BM754" s="2040">
        <v>50.57</v>
      </c>
      <c r="BN754" s="2040">
        <v>50.57</v>
      </c>
      <c r="BO754" s="2040">
        <v>156.25</v>
      </c>
      <c r="BP754" s="2040">
        <v>156.25</v>
      </c>
      <c r="BQ754" s="2040">
        <v>156.25</v>
      </c>
      <c r="BR754" s="2040">
        <v>156.25</v>
      </c>
      <c r="BS754" s="2040">
        <v>197.58</v>
      </c>
      <c r="BT754" s="2040">
        <v>197.58</v>
      </c>
      <c r="BU754" s="2040">
        <v>197.58</v>
      </c>
      <c r="BV754" s="2040">
        <v>197.58</v>
      </c>
      <c r="BW754" s="2040">
        <v>197.58</v>
      </c>
      <c r="BX754" s="2040">
        <v>197.58</v>
      </c>
      <c r="BY754" s="2040">
        <v>45.91</v>
      </c>
      <c r="BZ754" s="2040">
        <v>45.91</v>
      </c>
      <c r="CA754" s="2040">
        <v>149.21</v>
      </c>
      <c r="CB754" s="2040">
        <v>149.21</v>
      </c>
      <c r="CC754" s="2040">
        <v>151.19</v>
      </c>
      <c r="CD754" s="2040">
        <v>151.19</v>
      </c>
      <c r="CE754" s="2040">
        <v>194.24</v>
      </c>
      <c r="CF754" s="2040">
        <v>194.24</v>
      </c>
      <c r="CK754" s="2040">
        <v>115</v>
      </c>
      <c r="CL754" s="2040">
        <v>115</v>
      </c>
      <c r="CM754" s="2040">
        <v>234.66</v>
      </c>
      <c r="CN754" s="2040">
        <v>234.66</v>
      </c>
      <c r="CO754" s="2040">
        <v>295.56</v>
      </c>
      <c r="CP754" s="2040">
        <v>295.56</v>
      </c>
      <c r="CQ754" s="2040">
        <v>295.56</v>
      </c>
      <c r="CR754" s="2040">
        <v>295.56</v>
      </c>
      <c r="CW754" s="2040">
        <v>106.68</v>
      </c>
      <c r="CX754" s="2040">
        <v>106.68</v>
      </c>
      <c r="CY754" s="2040">
        <v>225.93</v>
      </c>
      <c r="CZ754" s="2040">
        <v>225.93</v>
      </c>
      <c r="DA754" s="2040">
        <v>225.93</v>
      </c>
      <c r="DB754" s="2040">
        <v>225.93</v>
      </c>
      <c r="DC754" s="2040">
        <v>284.83999999999997</v>
      </c>
      <c r="DD754" s="2040">
        <v>284.83999999999997</v>
      </c>
      <c r="DE754" s="2040">
        <v>284.83999999999997</v>
      </c>
      <c r="DF754" s="2040">
        <v>284.83999999999997</v>
      </c>
      <c r="DI754" s="2040">
        <v>28.22</v>
      </c>
      <c r="DJ754" s="2040">
        <v>28.22</v>
      </c>
      <c r="DK754" s="2040">
        <v>28.22</v>
      </c>
      <c r="DL754" s="2040">
        <v>28.22</v>
      </c>
      <c r="DM754" s="2040">
        <v>28.22</v>
      </c>
      <c r="DN754" s="2040">
        <v>28.22</v>
      </c>
      <c r="DU754" s="2040">
        <v>12.54</v>
      </c>
      <c r="DV754" s="2040">
        <v>12.54</v>
      </c>
      <c r="DW754" s="2040">
        <v>11.81</v>
      </c>
      <c r="DX754" s="2040">
        <v>11.81</v>
      </c>
      <c r="DY754" s="2040">
        <v>11.81</v>
      </c>
      <c r="DZ754" s="2040">
        <v>11.81</v>
      </c>
      <c r="EG754" s="2040">
        <v>13.49</v>
      </c>
      <c r="EH754" s="2040">
        <v>13.7</v>
      </c>
      <c r="EI754" s="2040">
        <v>10.3</v>
      </c>
      <c r="EJ754" s="2040">
        <v>10.3</v>
      </c>
      <c r="EK754" s="2040">
        <v>10.28</v>
      </c>
      <c r="EL754" s="2040">
        <v>10.28</v>
      </c>
      <c r="EM754" s="2040">
        <v>10.97</v>
      </c>
      <c r="EN754" s="2040">
        <v>10.97</v>
      </c>
      <c r="EO754" s="2040">
        <v>10.35</v>
      </c>
      <c r="EP754" s="2040">
        <v>10.35</v>
      </c>
      <c r="EQ754" s="2040">
        <v>10.65</v>
      </c>
      <c r="ER754" s="2040">
        <v>10.6</v>
      </c>
      <c r="ES754" s="2040">
        <v>51.57</v>
      </c>
      <c r="ET754" s="2040">
        <v>51.57</v>
      </c>
      <c r="EU754" s="2040">
        <v>216.26</v>
      </c>
      <c r="EV754" s="2040">
        <v>216.26</v>
      </c>
      <c r="EW754" s="2040">
        <v>211.24</v>
      </c>
      <c r="EX754" s="2040">
        <v>211.24</v>
      </c>
      <c r="EY754" s="2506">
        <f t="shared" si="59"/>
        <v>213.75</v>
      </c>
      <c r="EZ754" s="2506">
        <f t="shared" si="59"/>
        <v>213.75</v>
      </c>
      <c r="FA754" s="2040">
        <v>215.5</v>
      </c>
      <c r="FB754" s="2040">
        <v>215.5</v>
      </c>
      <c r="FE754" s="2040">
        <v>44.31</v>
      </c>
      <c r="FF754" s="2040">
        <v>44.31</v>
      </c>
      <c r="FG754" s="2040">
        <v>181.76</v>
      </c>
      <c r="FH754" s="2040">
        <v>181.76</v>
      </c>
      <c r="FI754" s="2040">
        <v>181.76</v>
      </c>
      <c r="FJ754" s="2040">
        <v>184.1</v>
      </c>
      <c r="FK754" s="2040">
        <v>181.1</v>
      </c>
      <c r="FL754" s="2040">
        <v>181.1</v>
      </c>
      <c r="FM754" s="2040">
        <v>182.22</v>
      </c>
      <c r="FN754" s="2040">
        <v>182.22</v>
      </c>
      <c r="FQ754" s="2040">
        <v>100.06</v>
      </c>
      <c r="FR754" s="2040">
        <v>100.06</v>
      </c>
      <c r="FS754" s="2040">
        <v>197.81</v>
      </c>
      <c r="FT754" s="2040">
        <v>197.81</v>
      </c>
      <c r="FU754" s="2040">
        <v>197.81</v>
      </c>
      <c r="FV754" s="2040">
        <v>197.81</v>
      </c>
      <c r="FW754" s="2040">
        <v>198.5</v>
      </c>
      <c r="FX754" s="2040">
        <v>198.5</v>
      </c>
      <c r="GC754" s="2040">
        <v>70.8</v>
      </c>
      <c r="GD754" s="2040">
        <v>70.8</v>
      </c>
      <c r="GE754" s="2040">
        <v>160.41</v>
      </c>
      <c r="GF754" s="2040">
        <v>160.41</v>
      </c>
      <c r="GG754" s="2040">
        <v>160.41</v>
      </c>
      <c r="GH754" s="2040">
        <v>160.41</v>
      </c>
      <c r="GI754" s="2040">
        <v>160.91</v>
      </c>
      <c r="GJ754" s="2040">
        <v>160.91</v>
      </c>
      <c r="GK754" s="2040">
        <v>190.79</v>
      </c>
      <c r="GL754" s="2040">
        <v>190.79</v>
      </c>
      <c r="GO754" s="2040">
        <v>37.9</v>
      </c>
      <c r="GP754" s="2040">
        <v>37.9</v>
      </c>
      <c r="GQ754" s="2040">
        <v>31.65</v>
      </c>
      <c r="GR754" s="2040">
        <v>31.65</v>
      </c>
      <c r="GS754" s="2040">
        <v>31.65</v>
      </c>
      <c r="GT754" s="2040">
        <v>30.48</v>
      </c>
      <c r="GU754" s="2040">
        <v>30.48</v>
      </c>
      <c r="GV754" s="2040">
        <v>30.88</v>
      </c>
      <c r="GW754" s="2040">
        <v>180.58</v>
      </c>
      <c r="GX754" s="2040">
        <v>180.58</v>
      </c>
      <c r="HA754" s="2040">
        <v>26.32</v>
      </c>
      <c r="HB754" s="2040">
        <v>26.32</v>
      </c>
      <c r="HC754" s="2040">
        <v>18.82</v>
      </c>
      <c r="HD754" s="2040">
        <v>18.82</v>
      </c>
      <c r="HE754" s="2040">
        <v>19.73</v>
      </c>
      <c r="HF754" s="2040">
        <v>19.73</v>
      </c>
      <c r="HG754" s="2040">
        <v>19.73</v>
      </c>
      <c r="HH754" s="2040">
        <v>19.73</v>
      </c>
      <c r="HI754" s="2040">
        <v>19.73</v>
      </c>
      <c r="HJ754" s="2040">
        <v>19.73</v>
      </c>
      <c r="HK754" s="2040">
        <v>19.75</v>
      </c>
      <c r="HL754" s="2040">
        <v>20.05</v>
      </c>
      <c r="HM754" s="2040">
        <v>37.04</v>
      </c>
      <c r="HN754" s="2040">
        <v>37.04</v>
      </c>
      <c r="HO754" s="2040">
        <v>26.97</v>
      </c>
      <c r="HP754" s="2040">
        <v>26.97</v>
      </c>
      <c r="HQ754" s="2040">
        <v>28.24</v>
      </c>
      <c r="HR754" s="2040">
        <v>28.24</v>
      </c>
      <c r="HS754" s="2040">
        <v>28.24</v>
      </c>
      <c r="HT754" s="2040">
        <v>28.24</v>
      </c>
      <c r="HU754" s="2040">
        <v>28.24</v>
      </c>
      <c r="HV754" s="2040">
        <v>28.24</v>
      </c>
      <c r="HW754" s="2040">
        <v>28.21</v>
      </c>
      <c r="HX754" s="2040">
        <v>28.21</v>
      </c>
    </row>
    <row r="755" spans="2:232" s="2040" customFormat="1" ht="14" x14ac:dyDescent="0.3">
      <c r="B755" s="2504">
        <v>56</v>
      </c>
      <c r="C755" s="2505">
        <v>42.09</v>
      </c>
      <c r="D755" s="2505">
        <v>42.09</v>
      </c>
      <c r="E755" s="2505">
        <v>42.36</v>
      </c>
      <c r="F755" s="2505">
        <v>42.36</v>
      </c>
      <c r="G755" s="2505">
        <v>159.97</v>
      </c>
      <c r="H755" s="2505">
        <v>159.97</v>
      </c>
      <c r="I755" s="2505">
        <v>150.29</v>
      </c>
      <c r="J755" s="2505">
        <v>150.29</v>
      </c>
      <c r="K755" s="2505">
        <v>157.38999999999999</v>
      </c>
      <c r="L755" s="2505">
        <v>157.38999999999999</v>
      </c>
      <c r="M755" s="2505"/>
      <c r="N755" s="2505"/>
      <c r="O755" s="2505">
        <v>131.79</v>
      </c>
      <c r="P755" s="2505">
        <v>131.79</v>
      </c>
      <c r="Q755" s="2505">
        <v>131.66</v>
      </c>
      <c r="R755" s="2505">
        <v>131.80000000000001</v>
      </c>
      <c r="S755" s="2505">
        <v>234.72</v>
      </c>
      <c r="T755" s="2505">
        <v>234.42</v>
      </c>
      <c r="U755" s="2505">
        <v>226.28</v>
      </c>
      <c r="V755" s="2505">
        <v>226.28</v>
      </c>
      <c r="W755" s="2505">
        <v>234.42</v>
      </c>
      <c r="X755" s="2505">
        <v>234.42</v>
      </c>
      <c r="Y755" s="2505">
        <v>226.28</v>
      </c>
      <c r="Z755" s="2505">
        <v>234.42</v>
      </c>
      <c r="AA755" s="2505">
        <v>234.42</v>
      </c>
      <c r="AB755" s="2505">
        <v>234.42</v>
      </c>
      <c r="AC755" s="2505">
        <v>226.28</v>
      </c>
      <c r="AD755" s="2505">
        <v>226.28</v>
      </c>
      <c r="AE755" s="2505">
        <v>250.2</v>
      </c>
      <c r="AF755" s="2505">
        <v>243.03</v>
      </c>
      <c r="AG755" s="2505">
        <v>250.2</v>
      </c>
      <c r="AH755" s="2505">
        <v>250.2</v>
      </c>
      <c r="AI755" s="2505">
        <v>243.03</v>
      </c>
      <c r="AJ755" s="2505">
        <v>243.03</v>
      </c>
      <c r="AK755" s="2505">
        <v>243.75</v>
      </c>
      <c r="AL755" s="2505">
        <v>243.75</v>
      </c>
      <c r="AM755" s="2505">
        <v>69.650000000000006</v>
      </c>
      <c r="AN755" s="2505">
        <v>67.11</v>
      </c>
      <c r="AO755" s="2505">
        <v>67.11</v>
      </c>
      <c r="AP755" s="2505">
        <v>67.17</v>
      </c>
      <c r="AQ755" s="2505">
        <v>67.709999999999994</v>
      </c>
      <c r="AR755" s="2505">
        <v>67.709999999999994</v>
      </c>
      <c r="AS755" s="2505">
        <v>197.14</v>
      </c>
      <c r="AT755" s="2505">
        <v>197.14</v>
      </c>
      <c r="AU755" s="2505">
        <v>197.14</v>
      </c>
      <c r="AV755" s="2505">
        <v>201.83</v>
      </c>
      <c r="AW755" s="2505">
        <v>197.42</v>
      </c>
      <c r="AX755" s="2505">
        <v>197.42</v>
      </c>
      <c r="AY755" s="2505">
        <v>197.55</v>
      </c>
      <c r="AZ755" s="2505">
        <v>197.55</v>
      </c>
      <c r="BA755" s="2040">
        <v>85.67</v>
      </c>
      <c r="BB755" s="2040">
        <v>85.67</v>
      </c>
      <c r="BC755" s="2040">
        <v>21.18</v>
      </c>
      <c r="BD755" s="2040">
        <v>21.47</v>
      </c>
      <c r="BE755" s="2040">
        <v>24.97</v>
      </c>
      <c r="BF755" s="2040">
        <v>24.97</v>
      </c>
      <c r="BG755" s="2040">
        <v>21.29</v>
      </c>
      <c r="BH755" s="2040">
        <v>21.29</v>
      </c>
      <c r="BI755" s="2040">
        <v>21.12</v>
      </c>
      <c r="BJ755" s="2040">
        <v>21.12</v>
      </c>
      <c r="BK755" s="2040">
        <v>21.12</v>
      </c>
      <c r="BL755" s="2040">
        <v>21.12</v>
      </c>
      <c r="BM755" s="2040">
        <v>50.9</v>
      </c>
      <c r="BN755" s="2040">
        <v>50.9</v>
      </c>
      <c r="BO755" s="2040">
        <v>157.44</v>
      </c>
      <c r="BP755" s="2040">
        <v>157.44</v>
      </c>
      <c r="BQ755" s="2040">
        <v>157.44</v>
      </c>
      <c r="BR755" s="2040">
        <v>157.44</v>
      </c>
      <c r="BS755" s="2040">
        <v>199.37</v>
      </c>
      <c r="BT755" s="2040">
        <v>199.37</v>
      </c>
      <c r="BU755" s="2040">
        <v>199.37</v>
      </c>
      <c r="BV755" s="2040">
        <v>199.37</v>
      </c>
      <c r="BW755" s="2040">
        <v>199.37</v>
      </c>
      <c r="BX755" s="2040">
        <v>199.37</v>
      </c>
      <c r="BY755" s="2040">
        <v>46.21</v>
      </c>
      <c r="BZ755" s="2040">
        <v>46.21</v>
      </c>
      <c r="CA755" s="2040">
        <v>150.35</v>
      </c>
      <c r="CB755" s="2040">
        <v>150.35</v>
      </c>
      <c r="CC755" s="2040">
        <v>152.37</v>
      </c>
      <c r="CD755" s="2040">
        <v>152.37</v>
      </c>
      <c r="CE755" s="2040">
        <v>196.02</v>
      </c>
      <c r="CF755" s="2040">
        <v>196.02</v>
      </c>
      <c r="CK755" s="2040">
        <v>115.52</v>
      </c>
      <c r="CL755" s="2040">
        <v>115.52</v>
      </c>
      <c r="CM755" s="2040">
        <v>235.79</v>
      </c>
      <c r="CN755" s="2040">
        <v>235.79</v>
      </c>
      <c r="CO755" s="2040">
        <v>297.38</v>
      </c>
      <c r="CP755" s="2040">
        <v>297.38</v>
      </c>
      <c r="CQ755" s="2040">
        <v>297.38</v>
      </c>
      <c r="CR755" s="2040">
        <v>297.38</v>
      </c>
      <c r="CW755" s="2040">
        <v>107.48</v>
      </c>
      <c r="CX755" s="2040">
        <v>107.48</v>
      </c>
      <c r="CY755" s="2040">
        <v>227.39</v>
      </c>
      <c r="CZ755" s="2040">
        <v>227.39</v>
      </c>
      <c r="DA755" s="2040">
        <v>227.39</v>
      </c>
      <c r="DB755" s="2040">
        <v>227.39</v>
      </c>
      <c r="DC755" s="2040">
        <v>287.16000000000003</v>
      </c>
      <c r="DD755" s="2040">
        <v>287.16000000000003</v>
      </c>
      <c r="DE755" s="2040">
        <v>287.16000000000003</v>
      </c>
      <c r="DF755" s="2040">
        <v>287.16000000000003</v>
      </c>
      <c r="DI755" s="2040">
        <v>28.4</v>
      </c>
      <c r="DJ755" s="2040">
        <v>28.4</v>
      </c>
      <c r="DK755" s="2040">
        <v>28.4</v>
      </c>
      <c r="DL755" s="2040">
        <v>28.4</v>
      </c>
      <c r="DM755" s="2040">
        <v>28.4</v>
      </c>
      <c r="DN755" s="2040">
        <v>28.4</v>
      </c>
      <c r="DU755" s="2040">
        <v>12.66</v>
      </c>
      <c r="DV755" s="2040">
        <v>12.66</v>
      </c>
      <c r="DW755" s="2040">
        <v>11.9</v>
      </c>
      <c r="DX755" s="2040">
        <v>11.9</v>
      </c>
      <c r="DY755" s="2040">
        <v>11.9</v>
      </c>
      <c r="DZ755" s="2040">
        <v>11.9</v>
      </c>
      <c r="EG755" s="2040">
        <v>13.57</v>
      </c>
      <c r="EH755" s="2040">
        <v>13.77</v>
      </c>
      <c r="EI755" s="2040">
        <v>10.4</v>
      </c>
      <c r="EJ755" s="2040">
        <v>10.4</v>
      </c>
      <c r="EK755" s="2040">
        <v>10.38</v>
      </c>
      <c r="EL755" s="2040">
        <v>10.38</v>
      </c>
      <c r="EM755" s="2040">
        <v>11.07</v>
      </c>
      <c r="EN755" s="2040">
        <v>11.07</v>
      </c>
      <c r="EO755" s="2040">
        <v>10.45</v>
      </c>
      <c r="EP755" s="2040">
        <v>10.45</v>
      </c>
      <c r="EQ755" s="2040">
        <v>10.75</v>
      </c>
      <c r="ER755" s="2040">
        <v>10.69</v>
      </c>
      <c r="ES755" s="2040">
        <v>51.89</v>
      </c>
      <c r="ET755" s="2040">
        <v>51.89</v>
      </c>
      <c r="EU755" s="2040">
        <v>218.1</v>
      </c>
      <c r="EV755" s="2040">
        <v>218.1</v>
      </c>
      <c r="EW755" s="2040">
        <v>213.06</v>
      </c>
      <c r="EX755" s="2040">
        <v>213.06</v>
      </c>
      <c r="EY755" s="2506">
        <f t="shared" si="59"/>
        <v>215.57999999999998</v>
      </c>
      <c r="EZ755" s="2506">
        <f t="shared" si="59"/>
        <v>215.57999999999998</v>
      </c>
      <c r="FA755" s="2040">
        <v>217.27</v>
      </c>
      <c r="FB755" s="2040">
        <v>217.27</v>
      </c>
      <c r="FE755" s="2040">
        <v>44.59</v>
      </c>
      <c r="FF755" s="2040">
        <v>44.59</v>
      </c>
      <c r="FG755" s="2040">
        <v>183.33</v>
      </c>
      <c r="FH755" s="2040">
        <v>183.33</v>
      </c>
      <c r="FI755" s="2040">
        <v>183.33</v>
      </c>
      <c r="FJ755" s="2040">
        <v>185.61</v>
      </c>
      <c r="FK755" s="2040">
        <v>182.69</v>
      </c>
      <c r="FL755" s="2040">
        <v>182.69</v>
      </c>
      <c r="FM755" s="2040">
        <v>183.78</v>
      </c>
      <c r="FN755" s="2040">
        <v>183.78</v>
      </c>
      <c r="FQ755" s="2040">
        <v>100.68</v>
      </c>
      <c r="FR755" s="2040">
        <v>100.68</v>
      </c>
      <c r="FS755" s="2040">
        <v>199.22</v>
      </c>
      <c r="FT755" s="2040">
        <v>199.22</v>
      </c>
      <c r="FU755" s="2040">
        <v>199.22</v>
      </c>
      <c r="FV755" s="2040">
        <v>199.22</v>
      </c>
      <c r="FW755" s="2040">
        <v>199.89</v>
      </c>
      <c r="FX755" s="2040">
        <v>199.89</v>
      </c>
      <c r="GC755" s="2040">
        <v>71.22</v>
      </c>
      <c r="GD755" s="2040">
        <v>71.22</v>
      </c>
      <c r="GE755" s="2040">
        <v>161.29</v>
      </c>
      <c r="GF755" s="2040">
        <v>161.29</v>
      </c>
      <c r="GG755" s="2040">
        <v>161.29</v>
      </c>
      <c r="GH755" s="2040">
        <v>161.29</v>
      </c>
      <c r="GI755" s="2040">
        <v>162.72</v>
      </c>
      <c r="GJ755" s="2040">
        <v>162.72</v>
      </c>
      <c r="GK755" s="2040">
        <v>192.34</v>
      </c>
      <c r="GL755" s="2040">
        <v>192.34</v>
      </c>
      <c r="GO755" s="2040">
        <v>38.130000000000003</v>
      </c>
      <c r="GP755" s="2040">
        <v>38.130000000000003</v>
      </c>
      <c r="GQ755" s="2040">
        <v>31.99</v>
      </c>
      <c r="GR755" s="2040">
        <v>31.99</v>
      </c>
      <c r="GS755" s="2040">
        <v>31.99</v>
      </c>
      <c r="GT755" s="2040">
        <v>30.8</v>
      </c>
      <c r="GU755" s="2040">
        <v>30.8</v>
      </c>
      <c r="GV755" s="2040">
        <v>31.19</v>
      </c>
      <c r="GW755" s="2040">
        <v>182.44</v>
      </c>
      <c r="GX755" s="2040">
        <v>182.44</v>
      </c>
      <c r="HA755" s="2040">
        <v>26.53</v>
      </c>
      <c r="HB755" s="2040">
        <v>26.53</v>
      </c>
      <c r="HC755" s="2040">
        <v>19.09</v>
      </c>
      <c r="HD755" s="2040">
        <v>19.09</v>
      </c>
      <c r="HE755" s="2040">
        <v>20</v>
      </c>
      <c r="HF755" s="2040">
        <v>20</v>
      </c>
      <c r="HG755" s="2040">
        <v>20</v>
      </c>
      <c r="HH755" s="2040">
        <v>20</v>
      </c>
      <c r="HI755" s="2040">
        <v>20</v>
      </c>
      <c r="HJ755" s="2040">
        <v>20</v>
      </c>
      <c r="HK755" s="2040">
        <v>20</v>
      </c>
      <c r="HL755" s="2040">
        <v>20.29</v>
      </c>
      <c r="HM755" s="2040">
        <v>37.299999999999997</v>
      </c>
      <c r="HN755" s="2040">
        <v>37.299999999999997</v>
      </c>
      <c r="HO755" s="2040">
        <v>27.3</v>
      </c>
      <c r="HP755" s="2040">
        <v>27.3</v>
      </c>
      <c r="HQ755" s="2040">
        <v>28.54</v>
      </c>
      <c r="HR755" s="2040">
        <v>28.54</v>
      </c>
      <c r="HS755" s="2040">
        <v>28.54</v>
      </c>
      <c r="HT755" s="2040">
        <v>28.54</v>
      </c>
      <c r="HU755" s="2040">
        <v>28.54</v>
      </c>
      <c r="HV755" s="2040">
        <v>28.54</v>
      </c>
      <c r="HW755" s="2040">
        <v>28.53</v>
      </c>
      <c r="HX755" s="2040">
        <v>28.53</v>
      </c>
    </row>
    <row r="756" spans="2:232" s="2040" customFormat="1" ht="14" x14ac:dyDescent="0.3">
      <c r="B756" s="2504">
        <v>57</v>
      </c>
      <c r="C756" s="2505">
        <v>42.32</v>
      </c>
      <c r="D756" s="2505">
        <v>42.32</v>
      </c>
      <c r="E756" s="2505">
        <v>42.57</v>
      </c>
      <c r="F756" s="2505">
        <v>42.57</v>
      </c>
      <c r="G756" s="2505">
        <v>161.05000000000001</v>
      </c>
      <c r="H756" s="2505">
        <v>161.05000000000001</v>
      </c>
      <c r="I756" s="2505">
        <v>151.36000000000001</v>
      </c>
      <c r="J756" s="2505">
        <v>151.36000000000001</v>
      </c>
      <c r="K756" s="2505">
        <v>158.33000000000001</v>
      </c>
      <c r="L756" s="2505">
        <v>158.33000000000001</v>
      </c>
      <c r="M756" s="2505"/>
      <c r="N756" s="2505"/>
      <c r="O756" s="2505">
        <v>132.62</v>
      </c>
      <c r="P756" s="2505">
        <v>132.62</v>
      </c>
      <c r="Q756" s="2505">
        <v>132.46</v>
      </c>
      <c r="R756" s="2505">
        <v>132.63</v>
      </c>
      <c r="S756" s="2505">
        <v>236.83</v>
      </c>
      <c r="T756" s="2505">
        <v>236.38</v>
      </c>
      <c r="U756" s="2505">
        <v>228.17</v>
      </c>
      <c r="V756" s="2505">
        <v>228.17</v>
      </c>
      <c r="W756" s="2505">
        <v>236.38</v>
      </c>
      <c r="X756" s="2505">
        <v>236.38</v>
      </c>
      <c r="Y756" s="2505">
        <v>228.17</v>
      </c>
      <c r="Z756" s="2505">
        <v>236.38</v>
      </c>
      <c r="AA756" s="2505">
        <v>236.38</v>
      </c>
      <c r="AB756" s="2505">
        <v>236.38</v>
      </c>
      <c r="AC756" s="2505">
        <v>228.17</v>
      </c>
      <c r="AD756" s="2505">
        <v>228.17</v>
      </c>
      <c r="AE756" s="2505">
        <v>252</v>
      </c>
      <c r="AF756" s="2505">
        <v>244.78</v>
      </c>
      <c r="AG756" s="2505">
        <v>252</v>
      </c>
      <c r="AH756" s="2505">
        <v>252</v>
      </c>
      <c r="AI756" s="2505">
        <v>244.78</v>
      </c>
      <c r="AJ756" s="2505">
        <v>244.78</v>
      </c>
      <c r="AK756" s="2505">
        <v>245.48</v>
      </c>
      <c r="AL756" s="2505">
        <v>245.48</v>
      </c>
      <c r="AM756" s="2505">
        <v>70.06</v>
      </c>
      <c r="AN756" s="2505">
        <v>67.5</v>
      </c>
      <c r="AO756" s="2505">
        <v>67.5</v>
      </c>
      <c r="AP756" s="2505">
        <v>67.599999999999994</v>
      </c>
      <c r="AQ756" s="2505">
        <v>68.12</v>
      </c>
      <c r="AR756" s="2505">
        <v>68.12</v>
      </c>
      <c r="AS756" s="2505">
        <v>198.74</v>
      </c>
      <c r="AT756" s="2505">
        <v>198.74</v>
      </c>
      <c r="AU756" s="2505">
        <v>198.74</v>
      </c>
      <c r="AV756" s="2505">
        <v>203.44</v>
      </c>
      <c r="AW756" s="2505">
        <v>199.01</v>
      </c>
      <c r="AX756" s="2505">
        <v>199.01</v>
      </c>
      <c r="AY756" s="2505">
        <v>199.15</v>
      </c>
      <c r="AZ756" s="2505">
        <v>199.15</v>
      </c>
      <c r="BA756" s="2040">
        <v>86.54</v>
      </c>
      <c r="BB756" s="2040">
        <v>86.54</v>
      </c>
      <c r="BC756" s="2040">
        <v>21.37</v>
      </c>
      <c r="BD756" s="2040">
        <v>21.65</v>
      </c>
      <c r="BE756" s="2040">
        <v>25.17</v>
      </c>
      <c r="BF756" s="2040">
        <v>25.17</v>
      </c>
      <c r="BG756" s="2040">
        <v>21.54</v>
      </c>
      <c r="BH756" s="2040">
        <v>21.54</v>
      </c>
      <c r="BI756" s="2040">
        <v>21.37</v>
      </c>
      <c r="BJ756" s="2040">
        <v>21.37</v>
      </c>
      <c r="BK756" s="2040">
        <v>21.37</v>
      </c>
      <c r="BL756" s="2040">
        <v>21.37</v>
      </c>
      <c r="BM756" s="2040">
        <v>51.19</v>
      </c>
      <c r="BN756" s="2040">
        <v>51.19</v>
      </c>
      <c r="BO756" s="2040">
        <v>158.46</v>
      </c>
      <c r="BP756" s="2040">
        <v>158.46</v>
      </c>
      <c r="BQ756" s="2040">
        <v>158.46</v>
      </c>
      <c r="BR756" s="2040">
        <v>158.46</v>
      </c>
      <c r="BS756" s="2040">
        <v>200.92</v>
      </c>
      <c r="BT756" s="2040">
        <v>200.92</v>
      </c>
      <c r="BU756" s="2040">
        <v>200.92</v>
      </c>
      <c r="BV756" s="2040">
        <v>200.92</v>
      </c>
      <c r="BW756" s="2040">
        <v>200.92</v>
      </c>
      <c r="BX756" s="2040">
        <v>200.92</v>
      </c>
      <c r="BY756" s="2040">
        <v>46.47</v>
      </c>
      <c r="BZ756" s="2040">
        <v>46.47</v>
      </c>
      <c r="CA756" s="2040">
        <v>151.38</v>
      </c>
      <c r="CB756" s="2040">
        <v>151.38</v>
      </c>
      <c r="CC756" s="2040">
        <v>153.41999999999999</v>
      </c>
      <c r="CD756" s="2040">
        <v>153.41999999999999</v>
      </c>
      <c r="CE756" s="2040">
        <v>197.61</v>
      </c>
      <c r="CF756" s="2040">
        <v>197.61</v>
      </c>
      <c r="CK756" s="2040">
        <v>116.08</v>
      </c>
      <c r="CL756" s="2040">
        <v>116.08</v>
      </c>
      <c r="CM756" s="2040">
        <v>236.79</v>
      </c>
      <c r="CN756" s="2040">
        <v>236.79</v>
      </c>
      <c r="CO756" s="2040">
        <v>298.98</v>
      </c>
      <c r="CP756" s="2040">
        <v>298.98</v>
      </c>
      <c r="CQ756" s="2040">
        <v>298.98</v>
      </c>
      <c r="CR756" s="2040">
        <v>298.98</v>
      </c>
      <c r="CW756" s="2040">
        <v>108.13</v>
      </c>
      <c r="CX756" s="2040">
        <v>108.13</v>
      </c>
      <c r="CY756" s="2040">
        <v>228.57</v>
      </c>
      <c r="CZ756" s="2040">
        <v>228.57</v>
      </c>
      <c r="DA756" s="2040">
        <v>228.57</v>
      </c>
      <c r="DB756" s="2040">
        <v>228.57</v>
      </c>
      <c r="DC756" s="2040">
        <v>289.04000000000002</v>
      </c>
      <c r="DD756" s="2040">
        <v>289.04000000000002</v>
      </c>
      <c r="DE756" s="2040">
        <v>289.04000000000002</v>
      </c>
      <c r="DF756" s="2040">
        <v>289.04000000000002</v>
      </c>
      <c r="DI756" s="2040">
        <v>28.6</v>
      </c>
      <c r="DJ756" s="2040">
        <v>28.6</v>
      </c>
      <c r="DK756" s="2040">
        <v>28.6</v>
      </c>
      <c r="DL756" s="2040">
        <v>28.6</v>
      </c>
      <c r="DM756" s="2040">
        <v>28.6</v>
      </c>
      <c r="DN756" s="2040">
        <v>28.6</v>
      </c>
      <c r="DU756" s="2040">
        <v>12.78</v>
      </c>
      <c r="DV756" s="2040">
        <v>12.78</v>
      </c>
      <c r="DW756" s="2040">
        <v>11.98</v>
      </c>
      <c r="DX756" s="2040">
        <v>11.98</v>
      </c>
      <c r="DY756" s="2040">
        <v>11.98</v>
      </c>
      <c r="DZ756" s="2040">
        <v>11.98</v>
      </c>
      <c r="EG756" s="2040">
        <v>13.65</v>
      </c>
      <c r="EH756" s="2040">
        <v>13.85</v>
      </c>
      <c r="EI756" s="2040">
        <v>10.5</v>
      </c>
      <c r="EJ756" s="2040">
        <v>10.5</v>
      </c>
      <c r="EK756" s="2040">
        <v>10.48</v>
      </c>
      <c r="EL756" s="2040">
        <v>10.48</v>
      </c>
      <c r="EM756" s="2040">
        <v>11.16</v>
      </c>
      <c r="EN756" s="2040">
        <v>11.16</v>
      </c>
      <c r="EO756" s="2040">
        <v>10.54</v>
      </c>
      <c r="EP756" s="2040">
        <v>10.54</v>
      </c>
      <c r="EQ756" s="2040">
        <v>10.84</v>
      </c>
      <c r="ER756" s="2040">
        <v>10.79</v>
      </c>
      <c r="ES756" s="2040">
        <v>52.19</v>
      </c>
      <c r="ET756" s="2040">
        <v>52.19</v>
      </c>
      <c r="EU756" s="2040">
        <v>219.89</v>
      </c>
      <c r="EV756" s="2040">
        <v>219.89</v>
      </c>
      <c r="EW756" s="2040">
        <v>214.83</v>
      </c>
      <c r="EX756" s="2040">
        <v>214.83</v>
      </c>
      <c r="EY756" s="2506">
        <f t="shared" si="59"/>
        <v>217.36</v>
      </c>
      <c r="EZ756" s="2506">
        <f t="shared" si="59"/>
        <v>217.36</v>
      </c>
      <c r="FA756" s="2040">
        <v>218.99</v>
      </c>
      <c r="FB756" s="2040">
        <v>218.99</v>
      </c>
      <c r="FE756" s="2040">
        <v>44.85</v>
      </c>
      <c r="FF756" s="2040">
        <v>44.85</v>
      </c>
      <c r="FG756" s="2040">
        <v>184.86</v>
      </c>
      <c r="FH756" s="2040">
        <v>184.86</v>
      </c>
      <c r="FI756" s="2040">
        <v>184.86</v>
      </c>
      <c r="FJ756" s="2040">
        <v>187.09</v>
      </c>
      <c r="FK756" s="2040">
        <v>184.24</v>
      </c>
      <c r="FL756" s="2040">
        <v>184.24</v>
      </c>
      <c r="FM756" s="2040">
        <v>185.31</v>
      </c>
      <c r="FN756" s="2040">
        <v>185.31</v>
      </c>
      <c r="FQ756" s="2040">
        <v>101.27</v>
      </c>
      <c r="FR756" s="2040">
        <v>101.27</v>
      </c>
      <c r="FS756" s="2040">
        <v>200.58</v>
      </c>
      <c r="FT756" s="2040">
        <v>200.58</v>
      </c>
      <c r="FU756" s="2040">
        <v>200.58</v>
      </c>
      <c r="FV756" s="2040">
        <v>200.58</v>
      </c>
      <c r="FW756" s="2040">
        <v>201.24</v>
      </c>
      <c r="FX756" s="2040">
        <v>201.24</v>
      </c>
      <c r="GC756" s="2040">
        <v>71.64</v>
      </c>
      <c r="GD756" s="2040">
        <v>71.64</v>
      </c>
      <c r="GE756" s="2040">
        <v>162.15</v>
      </c>
      <c r="GF756" s="2040">
        <v>162.15</v>
      </c>
      <c r="GG756" s="2040">
        <v>162.15</v>
      </c>
      <c r="GH756" s="2040">
        <v>162.15</v>
      </c>
      <c r="GI756" s="2040">
        <v>164.48</v>
      </c>
      <c r="GJ756" s="2040">
        <v>164.48</v>
      </c>
      <c r="GK756" s="2040">
        <v>193.85</v>
      </c>
      <c r="GL756" s="2040">
        <v>193.85</v>
      </c>
      <c r="GO756" s="2040">
        <v>38.35</v>
      </c>
      <c r="GP756" s="2040">
        <v>38.35</v>
      </c>
      <c r="GQ756" s="2040">
        <v>32.25</v>
      </c>
      <c r="GR756" s="2040">
        <v>32.25</v>
      </c>
      <c r="GS756" s="2040">
        <v>32.25</v>
      </c>
      <c r="GT756" s="2040">
        <v>31.06</v>
      </c>
      <c r="GU756" s="2040">
        <v>31.06</v>
      </c>
      <c r="GV756" s="2040">
        <v>31.44</v>
      </c>
      <c r="GW756" s="2040">
        <v>183.88</v>
      </c>
      <c r="GX756" s="2040">
        <v>183.88</v>
      </c>
      <c r="HA756" s="2040">
        <v>26.73</v>
      </c>
      <c r="HB756" s="2040">
        <v>26.73</v>
      </c>
      <c r="HC756" s="2040">
        <v>19.36</v>
      </c>
      <c r="HD756" s="2040">
        <v>19.36</v>
      </c>
      <c r="HE756" s="2040">
        <v>20.239999999999998</v>
      </c>
      <c r="HF756" s="2040">
        <v>20.239999999999998</v>
      </c>
      <c r="HG756" s="2040">
        <v>20.239999999999998</v>
      </c>
      <c r="HH756" s="2040">
        <v>20.239999999999998</v>
      </c>
      <c r="HI756" s="2040">
        <v>20.239999999999998</v>
      </c>
      <c r="HJ756" s="2040">
        <v>20.239999999999998</v>
      </c>
      <c r="HK756" s="2040">
        <v>20.260000000000002</v>
      </c>
      <c r="HL756" s="2040">
        <v>20.54</v>
      </c>
      <c r="HM756" s="2040">
        <v>37.53</v>
      </c>
      <c r="HN756" s="2040">
        <v>37.53</v>
      </c>
      <c r="HO756" s="2040">
        <v>27.61</v>
      </c>
      <c r="HP756" s="2040">
        <v>27.61</v>
      </c>
      <c r="HQ756" s="2040">
        <v>28.83</v>
      </c>
      <c r="HR756" s="2040">
        <v>28.83</v>
      </c>
      <c r="HS756" s="2040">
        <v>28.83</v>
      </c>
      <c r="HT756" s="2040">
        <v>28.83</v>
      </c>
      <c r="HU756" s="2040">
        <v>28.83</v>
      </c>
      <c r="HV756" s="2040">
        <v>28.83</v>
      </c>
      <c r="HW756" s="2040">
        <v>28.82</v>
      </c>
      <c r="HX756" s="2040">
        <v>28.82</v>
      </c>
    </row>
    <row r="757" spans="2:232" s="2040" customFormat="1" ht="14" x14ac:dyDescent="0.3">
      <c r="B757" s="2504">
        <v>58</v>
      </c>
      <c r="C757" s="2505">
        <v>42.54</v>
      </c>
      <c r="D757" s="2505">
        <v>42.54</v>
      </c>
      <c r="E757" s="2505">
        <v>42.79</v>
      </c>
      <c r="F757" s="2505">
        <v>42.79</v>
      </c>
      <c r="G757" s="2505">
        <v>162.41</v>
      </c>
      <c r="H757" s="2505">
        <v>162.41</v>
      </c>
      <c r="I757" s="2505">
        <v>152.44</v>
      </c>
      <c r="J757" s="2505">
        <v>152.44</v>
      </c>
      <c r="K757" s="2505">
        <v>159.27000000000001</v>
      </c>
      <c r="L757" s="2505">
        <v>159.27000000000001</v>
      </c>
      <c r="M757" s="2505"/>
      <c r="N757" s="2505"/>
      <c r="O757" s="2505">
        <v>133.44999999999999</v>
      </c>
      <c r="P757" s="2505">
        <v>133.44999999999999</v>
      </c>
      <c r="Q757" s="2505">
        <v>133.27000000000001</v>
      </c>
      <c r="R757" s="2505">
        <v>133.46</v>
      </c>
      <c r="S757" s="2505">
        <v>238.95000000000002</v>
      </c>
      <c r="T757" s="2505">
        <v>238.3</v>
      </c>
      <c r="U757" s="2505">
        <v>230.02</v>
      </c>
      <c r="V757" s="2505">
        <v>230.02</v>
      </c>
      <c r="W757" s="2505">
        <v>238.3</v>
      </c>
      <c r="X757" s="2505">
        <v>238.3</v>
      </c>
      <c r="Y757" s="2505">
        <v>230.02</v>
      </c>
      <c r="Z757" s="2505">
        <v>238.3</v>
      </c>
      <c r="AA757" s="2505">
        <v>238.3</v>
      </c>
      <c r="AB757" s="2505">
        <v>238.3</v>
      </c>
      <c r="AC757" s="2505">
        <v>230.02</v>
      </c>
      <c r="AD757" s="2505">
        <v>230.02</v>
      </c>
      <c r="AE757" s="2505">
        <v>253.76</v>
      </c>
      <c r="AF757" s="2505">
        <v>246.48</v>
      </c>
      <c r="AG757" s="2505">
        <v>253.76</v>
      </c>
      <c r="AH757" s="2505">
        <v>253.76</v>
      </c>
      <c r="AI757" s="2505">
        <v>246.48</v>
      </c>
      <c r="AJ757" s="2505">
        <v>246.48</v>
      </c>
      <c r="AK757" s="2505">
        <v>247.16</v>
      </c>
      <c r="AL757" s="2505">
        <v>247.16</v>
      </c>
      <c r="AM757" s="2505">
        <v>70.45</v>
      </c>
      <c r="AN757" s="2505">
        <v>67.88</v>
      </c>
      <c r="AO757" s="2505">
        <v>67.88</v>
      </c>
      <c r="AP757" s="2505">
        <v>67.98</v>
      </c>
      <c r="AQ757" s="2505">
        <v>68.5</v>
      </c>
      <c r="AR757" s="2505">
        <v>68.5</v>
      </c>
      <c r="AS757" s="2505">
        <v>200.18</v>
      </c>
      <c r="AT757" s="2505">
        <v>200.18</v>
      </c>
      <c r="AU757" s="2505">
        <v>200.18</v>
      </c>
      <c r="AV757" s="2505">
        <v>204.9</v>
      </c>
      <c r="AW757" s="2505">
        <v>200.45</v>
      </c>
      <c r="AX757" s="2505">
        <v>200.45</v>
      </c>
      <c r="AY757" s="2505">
        <v>200.59</v>
      </c>
      <c r="AZ757" s="2505">
        <v>200.59</v>
      </c>
      <c r="BA757" s="2040">
        <v>87.31</v>
      </c>
      <c r="BB757" s="2040">
        <v>87.31</v>
      </c>
      <c r="BC757" s="2040">
        <v>21.56</v>
      </c>
      <c r="BD757" s="2040">
        <v>21.83</v>
      </c>
      <c r="BE757" s="2040">
        <v>25.34</v>
      </c>
      <c r="BF757" s="2040">
        <v>25.34</v>
      </c>
      <c r="BG757" s="2040">
        <v>21.77</v>
      </c>
      <c r="BH757" s="2040">
        <v>21.77</v>
      </c>
      <c r="BI757" s="2040">
        <v>21.6</v>
      </c>
      <c r="BJ757" s="2040">
        <v>21.6</v>
      </c>
      <c r="BK757" s="2040">
        <v>21.6</v>
      </c>
      <c r="BL757" s="2040">
        <v>21.6</v>
      </c>
      <c r="BM757" s="2040">
        <v>51.5</v>
      </c>
      <c r="BN757" s="2040">
        <v>51.5</v>
      </c>
      <c r="BO757" s="2040">
        <v>159.57</v>
      </c>
      <c r="BP757" s="2040">
        <v>159.57</v>
      </c>
      <c r="BQ757" s="2040">
        <v>159.57</v>
      </c>
      <c r="BR757" s="2040">
        <v>159.57</v>
      </c>
      <c r="BS757" s="2040">
        <v>202.61</v>
      </c>
      <c r="BT757" s="2040">
        <v>202.61</v>
      </c>
      <c r="BU757" s="2040">
        <v>202.61</v>
      </c>
      <c r="BV757" s="2040">
        <v>202.61</v>
      </c>
      <c r="BW757" s="2040">
        <v>202.61</v>
      </c>
      <c r="BX757" s="2040">
        <v>202.61</v>
      </c>
      <c r="BY757" s="2040">
        <v>46.7</v>
      </c>
      <c r="BZ757" s="2040">
        <v>46.7</v>
      </c>
      <c r="CA757" s="2040">
        <v>152.27000000000001</v>
      </c>
      <c r="CB757" s="2040">
        <v>152.27000000000001</v>
      </c>
      <c r="CC757" s="2040">
        <v>154.34</v>
      </c>
      <c r="CD757" s="2040">
        <v>154.34</v>
      </c>
      <c r="CE757" s="2040">
        <v>199</v>
      </c>
      <c r="CF757" s="2040">
        <v>199</v>
      </c>
      <c r="CK757" s="2040">
        <v>116.63</v>
      </c>
      <c r="CL757" s="2040">
        <v>116.63</v>
      </c>
      <c r="CM757" s="2040">
        <v>237.88</v>
      </c>
      <c r="CN757" s="2040">
        <v>237.88</v>
      </c>
      <c r="CO757" s="2040">
        <v>300.73</v>
      </c>
      <c r="CP757" s="2040">
        <v>300.73</v>
      </c>
      <c r="CQ757" s="2040">
        <v>300.73</v>
      </c>
      <c r="CR757" s="2040">
        <v>300.73</v>
      </c>
      <c r="CW757" s="2040">
        <v>108.76</v>
      </c>
      <c r="CX757" s="2040">
        <v>108.76</v>
      </c>
      <c r="CY757" s="2040">
        <v>229.71</v>
      </c>
      <c r="CZ757" s="2040">
        <v>229.71</v>
      </c>
      <c r="DA757" s="2040">
        <v>229.71</v>
      </c>
      <c r="DB757" s="2040">
        <v>229.71</v>
      </c>
      <c r="DC757" s="2040">
        <v>290.86</v>
      </c>
      <c r="DD757" s="2040">
        <v>290.86</v>
      </c>
      <c r="DE757" s="2040">
        <v>290.86</v>
      </c>
      <c r="DF757" s="2040">
        <v>290.86</v>
      </c>
      <c r="DI757" s="2040">
        <v>28.78</v>
      </c>
      <c r="DJ757" s="2040">
        <v>28.78</v>
      </c>
      <c r="DK757" s="2040">
        <v>28.78</v>
      </c>
      <c r="DL757" s="2040">
        <v>28.78</v>
      </c>
      <c r="DM757" s="2040">
        <v>28.78</v>
      </c>
      <c r="DN757" s="2040">
        <v>28.78</v>
      </c>
      <c r="DU757" s="2040">
        <v>12.85</v>
      </c>
      <c r="DV757" s="2040">
        <v>12.85</v>
      </c>
      <c r="DW757" s="2040">
        <v>12.06</v>
      </c>
      <c r="DX757" s="2040">
        <v>12.06</v>
      </c>
      <c r="DY757" s="2040">
        <v>12.06</v>
      </c>
      <c r="DZ757" s="2040">
        <v>12.06</v>
      </c>
      <c r="EG757" s="2040">
        <v>13.72</v>
      </c>
      <c r="EH757" s="2040">
        <v>13.92</v>
      </c>
      <c r="EI757" s="2040">
        <v>10.6</v>
      </c>
      <c r="EJ757" s="2040">
        <v>10.6</v>
      </c>
      <c r="EK757" s="2040">
        <v>10.58</v>
      </c>
      <c r="EL757" s="2040">
        <v>10.58</v>
      </c>
      <c r="EM757" s="2040">
        <v>11.26</v>
      </c>
      <c r="EN757" s="2040">
        <v>11.26</v>
      </c>
      <c r="EO757" s="2040">
        <v>10.63</v>
      </c>
      <c r="EP757" s="2040">
        <v>10.63</v>
      </c>
      <c r="EQ757" s="2040">
        <v>10.94</v>
      </c>
      <c r="ER757" s="2040">
        <v>10.88</v>
      </c>
      <c r="ES757" s="2040">
        <v>52.48</v>
      </c>
      <c r="ET757" s="2040">
        <v>52.48</v>
      </c>
      <c r="EU757" s="2040">
        <v>221.63</v>
      </c>
      <c r="EV757" s="2040">
        <v>221.63</v>
      </c>
      <c r="EW757" s="2040">
        <v>216.55</v>
      </c>
      <c r="EX757" s="2040">
        <v>216.55</v>
      </c>
      <c r="EY757" s="2506">
        <f t="shared" si="59"/>
        <v>219.09</v>
      </c>
      <c r="EZ757" s="2506">
        <f t="shared" si="59"/>
        <v>219.09</v>
      </c>
      <c r="FA757" s="2040">
        <v>220.66</v>
      </c>
      <c r="FB757" s="2040">
        <v>220.66</v>
      </c>
      <c r="FE757" s="2040">
        <v>45.1</v>
      </c>
      <c r="FF757" s="2040">
        <v>45.1</v>
      </c>
      <c r="FG757" s="2040">
        <v>186.36</v>
      </c>
      <c r="FH757" s="2040">
        <v>186.36</v>
      </c>
      <c r="FI757" s="2040">
        <v>186.36</v>
      </c>
      <c r="FJ757" s="2040">
        <v>188.53</v>
      </c>
      <c r="FK757" s="2040">
        <v>185.74</v>
      </c>
      <c r="FL757" s="2040">
        <v>185.74</v>
      </c>
      <c r="FM757" s="2040">
        <v>186.79</v>
      </c>
      <c r="FN757" s="2040">
        <v>186.79</v>
      </c>
      <c r="FQ757" s="2040">
        <v>101.85</v>
      </c>
      <c r="FR757" s="2040">
        <v>101.85</v>
      </c>
      <c r="FS757" s="2040">
        <v>201.91</v>
      </c>
      <c r="FT757" s="2040">
        <v>201.91</v>
      </c>
      <c r="FU757" s="2040">
        <v>201.91</v>
      </c>
      <c r="FV757" s="2040">
        <v>201.91</v>
      </c>
      <c r="FW757" s="2040">
        <v>202.55</v>
      </c>
      <c r="FX757" s="2040">
        <v>202.55</v>
      </c>
      <c r="GC757" s="2040">
        <v>72.040000000000006</v>
      </c>
      <c r="GD757" s="2040">
        <v>72.040000000000006</v>
      </c>
      <c r="GE757" s="2040">
        <v>162.97999999999999</v>
      </c>
      <c r="GF757" s="2040">
        <v>162.97999999999999</v>
      </c>
      <c r="GG757" s="2040">
        <v>162.97999999999999</v>
      </c>
      <c r="GH757" s="2040">
        <v>162.97999999999999</v>
      </c>
      <c r="GI757" s="2040">
        <v>166.21</v>
      </c>
      <c r="GJ757" s="2040">
        <v>166.21</v>
      </c>
      <c r="GK757" s="2040">
        <v>195.31</v>
      </c>
      <c r="GL757" s="2040">
        <v>195.31</v>
      </c>
      <c r="GO757" s="2040">
        <v>38.57</v>
      </c>
      <c r="GP757" s="2040">
        <v>38.57</v>
      </c>
      <c r="GQ757" s="2040">
        <v>32.590000000000003</v>
      </c>
      <c r="GR757" s="2040">
        <v>32.590000000000003</v>
      </c>
      <c r="GS757" s="2040">
        <v>32.590000000000003</v>
      </c>
      <c r="GT757" s="2040">
        <v>31.39</v>
      </c>
      <c r="GU757" s="2040">
        <v>31.39</v>
      </c>
      <c r="GV757" s="2040">
        <v>31.76</v>
      </c>
      <c r="GW757" s="2040">
        <v>185.74</v>
      </c>
      <c r="GX757" s="2040">
        <v>185.74</v>
      </c>
      <c r="HA757" s="2040">
        <v>26.92</v>
      </c>
      <c r="HB757" s="2040">
        <v>26.92</v>
      </c>
      <c r="HC757" s="2040">
        <v>19.61</v>
      </c>
      <c r="HD757" s="2040">
        <v>19.61</v>
      </c>
      <c r="HE757" s="2040">
        <v>20.45</v>
      </c>
      <c r="HF757" s="2040">
        <v>20.45</v>
      </c>
      <c r="HG757" s="2040">
        <v>20.45</v>
      </c>
      <c r="HH757" s="2040">
        <v>20.45</v>
      </c>
      <c r="HI757" s="2040">
        <v>20.45</v>
      </c>
      <c r="HJ757" s="2040">
        <v>20.45</v>
      </c>
      <c r="HK757" s="2040">
        <v>20.5</v>
      </c>
      <c r="HL757" s="2040">
        <v>20.78</v>
      </c>
      <c r="HM757" s="2040">
        <v>37.76</v>
      </c>
      <c r="HN757" s="2040">
        <v>37.76</v>
      </c>
      <c r="HO757" s="2040">
        <v>27.91</v>
      </c>
      <c r="HP757" s="2040">
        <v>27.91</v>
      </c>
      <c r="HQ757" s="2040">
        <v>29.09</v>
      </c>
      <c r="HR757" s="2040">
        <v>29.09</v>
      </c>
      <c r="HS757" s="2040">
        <v>29.09</v>
      </c>
      <c r="HT757" s="2040">
        <v>29.09</v>
      </c>
      <c r="HU757" s="2040">
        <v>29.09</v>
      </c>
      <c r="HV757" s="2040">
        <v>29.09</v>
      </c>
      <c r="HW757" s="2040">
        <v>29.11</v>
      </c>
      <c r="HX757" s="2040">
        <v>29.11</v>
      </c>
    </row>
    <row r="758" spans="2:232" s="2040" customFormat="1" ht="14" x14ac:dyDescent="0.3">
      <c r="B758" s="2504">
        <v>59</v>
      </c>
      <c r="C758" s="2505">
        <v>42.83</v>
      </c>
      <c r="D758" s="2505">
        <v>42.83</v>
      </c>
      <c r="E758" s="2505">
        <v>43.06</v>
      </c>
      <c r="F758" s="2505">
        <v>43.06</v>
      </c>
      <c r="G758" s="2505">
        <v>163.33000000000001</v>
      </c>
      <c r="H758" s="2505">
        <v>163.33000000000001</v>
      </c>
      <c r="I758" s="2505">
        <v>153.79</v>
      </c>
      <c r="J758" s="2505">
        <v>153.79</v>
      </c>
      <c r="K758" s="2505">
        <v>160.44999999999999</v>
      </c>
      <c r="L758" s="2505">
        <v>160.44999999999999</v>
      </c>
      <c r="M758" s="2505"/>
      <c r="N758" s="2505"/>
      <c r="O758" s="2505">
        <v>134.24</v>
      </c>
      <c r="P758" s="2505">
        <v>134.24</v>
      </c>
      <c r="Q758" s="2505">
        <v>134.03</v>
      </c>
      <c r="R758" s="2505">
        <v>134.24</v>
      </c>
      <c r="S758" s="2505">
        <v>240.95000000000002</v>
      </c>
      <c r="T758" s="2505">
        <v>240.16</v>
      </c>
      <c r="U758" s="2505">
        <v>231.82</v>
      </c>
      <c r="V758" s="2505">
        <v>231.82</v>
      </c>
      <c r="W758" s="2505">
        <v>240.16</v>
      </c>
      <c r="X758" s="2505">
        <v>240.16</v>
      </c>
      <c r="Y758" s="2505">
        <v>231.82</v>
      </c>
      <c r="Z758" s="2505">
        <v>240.16</v>
      </c>
      <c r="AA758" s="2505">
        <v>240.16</v>
      </c>
      <c r="AB758" s="2505">
        <v>240.16</v>
      </c>
      <c r="AC758" s="2505">
        <v>231.82</v>
      </c>
      <c r="AD758" s="2505">
        <v>231.82</v>
      </c>
      <c r="AE758" s="2505">
        <v>255.46</v>
      </c>
      <c r="AF758" s="2505">
        <v>248.14</v>
      </c>
      <c r="AG758" s="2505">
        <v>255.46</v>
      </c>
      <c r="AH758" s="2505">
        <v>255.46</v>
      </c>
      <c r="AI758" s="2505">
        <v>248.14</v>
      </c>
      <c r="AJ758" s="2505">
        <v>248.14</v>
      </c>
      <c r="AK758" s="2505">
        <v>248.8</v>
      </c>
      <c r="AL758" s="2505">
        <v>248.8</v>
      </c>
      <c r="AM758" s="2505">
        <v>70.83</v>
      </c>
      <c r="AN758" s="2505">
        <v>68.25</v>
      </c>
      <c r="AO758" s="2505">
        <v>68.25</v>
      </c>
      <c r="AP758" s="2505">
        <v>68.41</v>
      </c>
      <c r="AQ758" s="2505">
        <v>68.900000000000006</v>
      </c>
      <c r="AR758" s="2505">
        <v>68.900000000000006</v>
      </c>
      <c r="AS758" s="2505">
        <v>201.75</v>
      </c>
      <c r="AT758" s="2505">
        <v>201.75</v>
      </c>
      <c r="AU758" s="2505">
        <v>201.75</v>
      </c>
      <c r="AV758" s="2505">
        <v>206.49</v>
      </c>
      <c r="AW758" s="2505">
        <v>202.03</v>
      </c>
      <c r="AX758" s="2505">
        <v>202.03</v>
      </c>
      <c r="AY758" s="2505">
        <v>202.16</v>
      </c>
      <c r="AZ758" s="2505">
        <v>202.16</v>
      </c>
      <c r="BA758" s="2040">
        <v>87.81</v>
      </c>
      <c r="BB758" s="2040">
        <v>87.81</v>
      </c>
      <c r="BC758" s="2040">
        <v>21.74</v>
      </c>
      <c r="BD758" s="2040">
        <v>22.01</v>
      </c>
      <c r="BE758" s="2040">
        <v>25.46</v>
      </c>
      <c r="BF758" s="2040">
        <v>25.46</v>
      </c>
      <c r="BG758" s="2040">
        <v>21.91</v>
      </c>
      <c r="BH758" s="2040">
        <v>21.91</v>
      </c>
      <c r="BI758" s="2040">
        <v>21.74</v>
      </c>
      <c r="BJ758" s="2040">
        <v>21.74</v>
      </c>
      <c r="BK758" s="2040">
        <v>21.74</v>
      </c>
      <c r="BL758" s="2040">
        <v>21.74</v>
      </c>
      <c r="BM758" s="2040">
        <v>51.81</v>
      </c>
      <c r="BN758" s="2040">
        <v>51.81</v>
      </c>
      <c r="BO758" s="2040">
        <v>160.69999999999999</v>
      </c>
      <c r="BP758" s="2040">
        <v>160.69999999999999</v>
      </c>
      <c r="BQ758" s="2040">
        <v>160.69999999999999</v>
      </c>
      <c r="BR758" s="2040">
        <v>160.69999999999999</v>
      </c>
      <c r="BS758" s="2040">
        <v>204.32</v>
      </c>
      <c r="BT758" s="2040">
        <v>204.32</v>
      </c>
      <c r="BU758" s="2040">
        <v>204.32</v>
      </c>
      <c r="BV758" s="2040">
        <v>204.32</v>
      </c>
      <c r="BW758" s="2040">
        <v>204.32</v>
      </c>
      <c r="BX758" s="2040">
        <v>204.32</v>
      </c>
      <c r="BY758" s="2040">
        <v>46.97</v>
      </c>
      <c r="BZ758" s="2040">
        <v>46.97</v>
      </c>
      <c r="CA758" s="2040">
        <v>153.28</v>
      </c>
      <c r="CB758" s="2040">
        <v>153.28</v>
      </c>
      <c r="CC758" s="2040">
        <v>155.38999999999999</v>
      </c>
      <c r="CD758" s="2040">
        <v>155.38999999999999</v>
      </c>
      <c r="CE758" s="2040">
        <v>200.59</v>
      </c>
      <c r="CF758" s="2040">
        <v>200.59</v>
      </c>
      <c r="CK758" s="2040">
        <v>117.2</v>
      </c>
      <c r="CL758" s="2040">
        <v>117.2</v>
      </c>
      <c r="CM758" s="2040">
        <v>238.76</v>
      </c>
      <c r="CN758" s="2040">
        <v>238.76</v>
      </c>
      <c r="CO758" s="2040">
        <v>302.14999999999998</v>
      </c>
      <c r="CP758" s="2040">
        <v>302.14999999999998</v>
      </c>
      <c r="CQ758" s="2040">
        <v>302.14999999999998</v>
      </c>
      <c r="CR758" s="2040">
        <v>302.14999999999998</v>
      </c>
      <c r="CW758" s="2040">
        <v>109.38</v>
      </c>
      <c r="CX758" s="2040">
        <v>109.38</v>
      </c>
      <c r="CY758" s="2040">
        <v>230.84</v>
      </c>
      <c r="CZ758" s="2040">
        <v>230.84</v>
      </c>
      <c r="DA758" s="2040">
        <v>230.84</v>
      </c>
      <c r="DB758" s="2040">
        <v>230.84</v>
      </c>
      <c r="DC758" s="2040">
        <v>292.66000000000003</v>
      </c>
      <c r="DD758" s="2040">
        <v>292.66000000000003</v>
      </c>
      <c r="DE758" s="2040">
        <v>292.66000000000003</v>
      </c>
      <c r="DF758" s="2040">
        <v>292.66000000000003</v>
      </c>
      <c r="DI758" s="2040">
        <v>28.94</v>
      </c>
      <c r="DJ758" s="2040">
        <v>28.94</v>
      </c>
      <c r="DK758" s="2040">
        <v>28.94</v>
      </c>
      <c r="DL758" s="2040">
        <v>28.94</v>
      </c>
      <c r="DM758" s="2040">
        <v>28.94</v>
      </c>
      <c r="DN758" s="2040">
        <v>28.94</v>
      </c>
      <c r="DU758" s="2040">
        <v>12.9</v>
      </c>
      <c r="DV758" s="2040">
        <v>12.9</v>
      </c>
      <c r="DW758" s="2040">
        <v>12.14</v>
      </c>
      <c r="DX758" s="2040">
        <v>12.14</v>
      </c>
      <c r="DY758" s="2040">
        <v>12.14</v>
      </c>
      <c r="DZ758" s="2040">
        <v>12.14</v>
      </c>
      <c r="EG758" s="2040">
        <v>13.8</v>
      </c>
      <c r="EH758" s="2040">
        <v>13.99</v>
      </c>
      <c r="EI758" s="2040">
        <v>10.69</v>
      </c>
      <c r="EJ758" s="2040">
        <v>10.69</v>
      </c>
      <c r="EK758" s="2040">
        <v>10.68</v>
      </c>
      <c r="EL758" s="2040">
        <v>10.68</v>
      </c>
      <c r="EM758" s="2040">
        <v>11.35</v>
      </c>
      <c r="EN758" s="2040">
        <v>11.35</v>
      </c>
      <c r="EO758" s="2040">
        <v>10.72</v>
      </c>
      <c r="EP758" s="2040">
        <v>10.72</v>
      </c>
      <c r="EQ758" s="2040">
        <v>11.03</v>
      </c>
      <c r="ER758" s="2040">
        <v>10.96</v>
      </c>
      <c r="ES758" s="2040">
        <v>52.77</v>
      </c>
      <c r="ET758" s="2040">
        <v>52.77</v>
      </c>
      <c r="EU758" s="2040">
        <v>223.33</v>
      </c>
      <c r="EV758" s="2040">
        <v>223.33</v>
      </c>
      <c r="EW758" s="2040">
        <v>218.23</v>
      </c>
      <c r="EX758" s="2040">
        <v>218.23</v>
      </c>
      <c r="EY758" s="2506">
        <f t="shared" si="59"/>
        <v>220.78</v>
      </c>
      <c r="EZ758" s="2506">
        <f t="shared" si="59"/>
        <v>220.78</v>
      </c>
      <c r="FA758" s="2040">
        <v>222.29</v>
      </c>
      <c r="FB758" s="2040">
        <v>222.29</v>
      </c>
      <c r="FE758" s="2040">
        <v>45.35</v>
      </c>
      <c r="FF758" s="2040">
        <v>45.35</v>
      </c>
      <c r="FG758" s="2040">
        <v>187.81</v>
      </c>
      <c r="FH758" s="2040">
        <v>187.81</v>
      </c>
      <c r="FI758" s="2040">
        <v>187.81</v>
      </c>
      <c r="FJ758" s="2040">
        <v>189.93</v>
      </c>
      <c r="FK758" s="2040">
        <v>187.21</v>
      </c>
      <c r="FL758" s="2040">
        <v>187.21</v>
      </c>
      <c r="FM758" s="2040">
        <v>188.24</v>
      </c>
      <c r="FN758" s="2040">
        <v>188.24</v>
      </c>
      <c r="FQ758" s="2040">
        <v>102.42</v>
      </c>
      <c r="FR758" s="2040">
        <v>102.42</v>
      </c>
      <c r="FS758" s="2040">
        <v>203.2</v>
      </c>
      <c r="FT758" s="2040">
        <v>203.2</v>
      </c>
      <c r="FU758" s="2040">
        <v>203.2</v>
      </c>
      <c r="FV758" s="2040">
        <v>203.2</v>
      </c>
      <c r="FW758" s="2040">
        <v>203.83</v>
      </c>
      <c r="FX758" s="2040">
        <v>203.83</v>
      </c>
      <c r="GC758" s="2040">
        <v>72.44</v>
      </c>
      <c r="GD758" s="2040">
        <v>72.44</v>
      </c>
      <c r="GE758" s="2040">
        <v>163.79</v>
      </c>
      <c r="GF758" s="2040">
        <v>163.79</v>
      </c>
      <c r="GG758" s="2040">
        <v>163.79</v>
      </c>
      <c r="GH758" s="2040">
        <v>163.79</v>
      </c>
      <c r="GI758" s="2040">
        <v>167.89</v>
      </c>
      <c r="GJ758" s="2040">
        <v>167.89</v>
      </c>
      <c r="GK758" s="2040">
        <v>196.74</v>
      </c>
      <c r="GL758" s="2040">
        <v>196.74</v>
      </c>
      <c r="GO758" s="2040">
        <v>38.78</v>
      </c>
      <c r="GP758" s="2040">
        <v>38.78</v>
      </c>
      <c r="GQ758" s="2040">
        <v>32.85</v>
      </c>
      <c r="GR758" s="2040">
        <v>32.85</v>
      </c>
      <c r="GS758" s="2040">
        <v>32.85</v>
      </c>
      <c r="GT758" s="2040">
        <v>31.65</v>
      </c>
      <c r="GU758" s="2040">
        <v>31.65</v>
      </c>
      <c r="GV758" s="2040">
        <v>32.01</v>
      </c>
      <c r="GW758" s="2040">
        <v>187.21</v>
      </c>
      <c r="GX758" s="2040">
        <v>187.21</v>
      </c>
      <c r="HA758" s="2040">
        <v>27.08</v>
      </c>
      <c r="HB758" s="2040">
        <v>27.08</v>
      </c>
      <c r="HC758" s="2040">
        <v>19.82</v>
      </c>
      <c r="HD758" s="2040">
        <v>19.82</v>
      </c>
      <c r="HE758" s="2040">
        <v>20.64</v>
      </c>
      <c r="HF758" s="2040">
        <v>20.64</v>
      </c>
      <c r="HG758" s="2040">
        <v>20.64</v>
      </c>
      <c r="HH758" s="2040">
        <v>20.64</v>
      </c>
      <c r="HI758" s="2040">
        <v>20.64</v>
      </c>
      <c r="HJ758" s="2040">
        <v>20.64</v>
      </c>
      <c r="HK758" s="2040">
        <v>20.71</v>
      </c>
      <c r="HL758" s="2040">
        <v>20.97</v>
      </c>
      <c r="HM758" s="2040">
        <v>37.96</v>
      </c>
      <c r="HN758" s="2040">
        <v>37.96</v>
      </c>
      <c r="HO758" s="2040">
        <v>28.17</v>
      </c>
      <c r="HP758" s="2040">
        <v>28.17</v>
      </c>
      <c r="HQ758" s="2040">
        <v>29.3</v>
      </c>
      <c r="HR758" s="2040">
        <v>29.3</v>
      </c>
      <c r="HS758" s="2040">
        <v>29.3</v>
      </c>
      <c r="HT758" s="2040">
        <v>29.3</v>
      </c>
      <c r="HU758" s="2040">
        <v>29.3</v>
      </c>
      <c r="HV758" s="2040">
        <v>29.3</v>
      </c>
      <c r="HW758" s="2040">
        <v>29.36</v>
      </c>
      <c r="HX758" s="2040">
        <v>29.36</v>
      </c>
    </row>
    <row r="759" spans="2:232" s="2040" customFormat="1" ht="14" x14ac:dyDescent="0.3">
      <c r="B759" s="2504">
        <v>60</v>
      </c>
      <c r="C759" s="2505">
        <v>43.02</v>
      </c>
      <c r="D759" s="2505">
        <v>43.02</v>
      </c>
      <c r="E759" s="2505">
        <v>43.24</v>
      </c>
      <c r="F759" s="2505">
        <v>43.24</v>
      </c>
      <c r="G759" s="2505">
        <v>164.27</v>
      </c>
      <c r="H759" s="2505">
        <v>164.27</v>
      </c>
      <c r="I759" s="2505">
        <v>154.71</v>
      </c>
      <c r="J759" s="2505">
        <v>154.71</v>
      </c>
      <c r="K759" s="2505">
        <v>161.26</v>
      </c>
      <c r="L759" s="2505">
        <v>161.26</v>
      </c>
      <c r="M759" s="2505"/>
      <c r="N759" s="2505"/>
      <c r="O759" s="2505">
        <v>134.93</v>
      </c>
      <c r="P759" s="2505">
        <v>134.93</v>
      </c>
      <c r="Q759" s="2505">
        <v>134.69999999999999</v>
      </c>
      <c r="R759" s="2505">
        <v>134.93</v>
      </c>
      <c r="S759" s="2505">
        <v>242.72000000000003</v>
      </c>
      <c r="T759" s="2505">
        <v>241.97</v>
      </c>
      <c r="U759" s="2505">
        <v>233.57</v>
      </c>
      <c r="V759" s="2505">
        <v>233.57</v>
      </c>
      <c r="W759" s="2505">
        <v>241.97</v>
      </c>
      <c r="X759" s="2505">
        <v>241.97</v>
      </c>
      <c r="Y759" s="2505">
        <v>233.57</v>
      </c>
      <c r="Z759" s="2505">
        <v>241.97</v>
      </c>
      <c r="AA759" s="2505">
        <v>241.97</v>
      </c>
      <c r="AB759" s="2505">
        <v>241.97</v>
      </c>
      <c r="AC759" s="2505">
        <v>233.57</v>
      </c>
      <c r="AD759" s="2505">
        <v>233.57</v>
      </c>
      <c r="AE759" s="2505">
        <v>257.13</v>
      </c>
      <c r="AF759" s="2505">
        <v>249.75</v>
      </c>
      <c r="AG759" s="2505">
        <v>257.13</v>
      </c>
      <c r="AH759" s="2505">
        <v>257.13</v>
      </c>
      <c r="AI759" s="2505">
        <v>249.75</v>
      </c>
      <c r="AJ759" s="2505">
        <v>249.75</v>
      </c>
      <c r="AK759" s="2505">
        <v>250.39</v>
      </c>
      <c r="AL759" s="2505">
        <v>250.39</v>
      </c>
      <c r="AM759" s="2505">
        <v>71.209999999999994</v>
      </c>
      <c r="AN759" s="2505">
        <v>68.61</v>
      </c>
      <c r="AO759" s="2505">
        <v>68.61</v>
      </c>
      <c r="AP759" s="2505">
        <v>68.650000000000006</v>
      </c>
      <c r="AQ759" s="2505">
        <v>69.13</v>
      </c>
      <c r="AR759" s="2505">
        <v>69.13</v>
      </c>
      <c r="AS759" s="2505">
        <v>202.66</v>
      </c>
      <c r="AT759" s="2505">
        <v>202.66</v>
      </c>
      <c r="AU759" s="2505">
        <v>202.66</v>
      </c>
      <c r="AV759" s="2505">
        <v>207.4</v>
      </c>
      <c r="AW759" s="2505">
        <v>202.93</v>
      </c>
      <c r="AX759" s="2505">
        <v>202.93</v>
      </c>
      <c r="AY759" s="2505">
        <v>203.06</v>
      </c>
      <c r="AZ759" s="2505">
        <v>203.06</v>
      </c>
      <c r="BA759" s="2040">
        <v>88.21</v>
      </c>
      <c r="BB759" s="2040">
        <v>88.21</v>
      </c>
      <c r="BC759" s="2040">
        <v>21.92</v>
      </c>
      <c r="BD759" s="2040">
        <v>22.18</v>
      </c>
      <c r="BE759" s="2040">
        <v>25.55</v>
      </c>
      <c r="BF759" s="2040">
        <v>25.55</v>
      </c>
      <c r="BG759" s="2040">
        <v>22.03</v>
      </c>
      <c r="BH759" s="2040">
        <v>22.03</v>
      </c>
      <c r="BI759" s="2040">
        <v>21.86</v>
      </c>
      <c r="BJ759" s="2040">
        <v>21.86</v>
      </c>
      <c r="BK759" s="2040">
        <v>21.86</v>
      </c>
      <c r="BL759" s="2040">
        <v>21.86</v>
      </c>
      <c r="BM759" s="2040">
        <v>52.06</v>
      </c>
      <c r="BN759" s="2040">
        <v>52.06</v>
      </c>
      <c r="BO759" s="2040">
        <v>161.59</v>
      </c>
      <c r="BP759" s="2040">
        <v>161.59</v>
      </c>
      <c r="BQ759" s="2040">
        <v>161.59</v>
      </c>
      <c r="BR759" s="2040">
        <v>161.59</v>
      </c>
      <c r="BS759" s="2040">
        <v>205.68</v>
      </c>
      <c r="BT759" s="2040">
        <v>205.68</v>
      </c>
      <c r="BU759" s="2040">
        <v>205.68</v>
      </c>
      <c r="BV759" s="2040">
        <v>205.68</v>
      </c>
      <c r="BW759" s="2040">
        <v>205.68</v>
      </c>
      <c r="BX759" s="2040">
        <v>205.68</v>
      </c>
      <c r="BY759" s="2040">
        <v>47.18</v>
      </c>
      <c r="BZ759" s="2040">
        <v>47.18</v>
      </c>
      <c r="CA759" s="2040">
        <v>154.11000000000001</v>
      </c>
      <c r="CB759" s="2040">
        <v>154.11000000000001</v>
      </c>
      <c r="CC759" s="2040">
        <v>156.24</v>
      </c>
      <c r="CD759" s="2040">
        <v>156.24</v>
      </c>
      <c r="CE759" s="2040">
        <v>201.88</v>
      </c>
      <c r="CF759" s="2040">
        <v>201.88</v>
      </c>
      <c r="CK759" s="2040">
        <v>117.77</v>
      </c>
      <c r="CL759" s="2040">
        <v>117.77</v>
      </c>
      <c r="CM759" s="2040">
        <v>239.7</v>
      </c>
      <c r="CN759" s="2040">
        <v>239.7</v>
      </c>
      <c r="CO759" s="2040">
        <v>303.67</v>
      </c>
      <c r="CP759" s="2040">
        <v>303.67</v>
      </c>
      <c r="CQ759" s="2040">
        <v>303.67</v>
      </c>
      <c r="CR759" s="2040">
        <v>303.67</v>
      </c>
      <c r="CW759" s="2040">
        <v>109.89</v>
      </c>
      <c r="CX759" s="2040">
        <v>109.89</v>
      </c>
      <c r="CY759" s="2040">
        <v>231.77</v>
      </c>
      <c r="CZ759" s="2040">
        <v>231.77</v>
      </c>
      <c r="DA759" s="2040">
        <v>231.77</v>
      </c>
      <c r="DB759" s="2040">
        <v>231.77</v>
      </c>
      <c r="DC759" s="2040">
        <v>294.14999999999998</v>
      </c>
      <c r="DD759" s="2040">
        <v>294.14999999999998</v>
      </c>
      <c r="DE759" s="2040">
        <v>294.14999999999998</v>
      </c>
      <c r="DF759" s="2040">
        <v>294.14999999999998</v>
      </c>
      <c r="DI759" s="2040">
        <v>29.07</v>
      </c>
      <c r="DJ759" s="2040">
        <v>29.07</v>
      </c>
      <c r="DK759" s="2040">
        <v>29.07</v>
      </c>
      <c r="DL759" s="2040">
        <v>29.07</v>
      </c>
      <c r="DM759" s="2040">
        <v>29.07</v>
      </c>
      <c r="DN759" s="2040">
        <v>29.07</v>
      </c>
      <c r="DU759" s="2040">
        <v>12.96</v>
      </c>
      <c r="DV759" s="2040">
        <v>12.96</v>
      </c>
      <c r="DW759" s="2040">
        <v>12.22</v>
      </c>
      <c r="DX759" s="2040">
        <v>12.22</v>
      </c>
      <c r="DY759" s="2040">
        <v>12.22</v>
      </c>
      <c r="DZ759" s="2040">
        <v>12.22</v>
      </c>
      <c r="EG759" s="2040">
        <v>13.87</v>
      </c>
      <c r="EH759" s="2040">
        <v>14.06</v>
      </c>
      <c r="EI759" s="2040">
        <v>10.78</v>
      </c>
      <c r="EJ759" s="2040">
        <v>10.78</v>
      </c>
      <c r="EK759" s="2040">
        <v>10.77</v>
      </c>
      <c r="EL759" s="2040">
        <v>10.77</v>
      </c>
      <c r="EM759" s="2040">
        <v>11.43</v>
      </c>
      <c r="EN759" s="2040">
        <v>11.43</v>
      </c>
      <c r="EO759" s="2040">
        <v>10.81</v>
      </c>
      <c r="EP759" s="2040">
        <v>10.81</v>
      </c>
      <c r="EQ759" s="2040">
        <v>11.12</v>
      </c>
      <c r="ER759" s="2040">
        <v>11.05</v>
      </c>
      <c r="ES759" s="2040">
        <v>53.05</v>
      </c>
      <c r="ET759" s="2040">
        <v>53.05</v>
      </c>
      <c r="EU759" s="2040">
        <v>224.99</v>
      </c>
      <c r="EV759" s="2040">
        <v>224.99</v>
      </c>
      <c r="EW759" s="2040">
        <v>219.87</v>
      </c>
      <c r="EX759" s="2040">
        <v>219.87</v>
      </c>
      <c r="EY759" s="2506">
        <f t="shared" si="59"/>
        <v>222.43</v>
      </c>
      <c r="EZ759" s="2506">
        <f t="shared" si="59"/>
        <v>222.43</v>
      </c>
      <c r="FA759" s="2040">
        <v>223.88</v>
      </c>
      <c r="FB759" s="2040">
        <v>223.88</v>
      </c>
      <c r="FE759" s="2040">
        <v>45.59</v>
      </c>
      <c r="FF759" s="2040">
        <v>45.59</v>
      </c>
      <c r="FG759" s="2040">
        <v>189.23</v>
      </c>
      <c r="FH759" s="2040">
        <v>189.23</v>
      </c>
      <c r="FI759" s="2040">
        <v>189.23</v>
      </c>
      <c r="FJ759" s="2040">
        <v>191.29</v>
      </c>
      <c r="FK759" s="2040">
        <v>188.64</v>
      </c>
      <c r="FL759" s="2040">
        <v>188.64</v>
      </c>
      <c r="FM759" s="2040">
        <v>189.64</v>
      </c>
      <c r="FN759" s="2040">
        <v>189.64</v>
      </c>
      <c r="FQ759" s="2040">
        <v>102.97</v>
      </c>
      <c r="FR759" s="2040">
        <v>102.97</v>
      </c>
      <c r="FS759" s="2040">
        <v>204.46</v>
      </c>
      <c r="FT759" s="2040">
        <v>204.46</v>
      </c>
      <c r="FU759" s="2040">
        <v>204.46</v>
      </c>
      <c r="FV759" s="2040">
        <v>204.46</v>
      </c>
      <c r="FW759" s="2040">
        <v>205.07</v>
      </c>
      <c r="FX759" s="2040">
        <v>205.07</v>
      </c>
      <c r="GC759" s="2040">
        <v>72.819999999999993</v>
      </c>
      <c r="GD759" s="2040">
        <v>72.819999999999993</v>
      </c>
      <c r="GE759" s="2040">
        <v>164.58</v>
      </c>
      <c r="GF759" s="2040">
        <v>164.58</v>
      </c>
      <c r="GG759" s="2040">
        <v>164.58</v>
      </c>
      <c r="GH759" s="2040">
        <v>164.58</v>
      </c>
      <c r="GI759" s="2040">
        <v>169.53</v>
      </c>
      <c r="GJ759" s="2040">
        <v>169.53</v>
      </c>
      <c r="GK759" s="2040">
        <v>198.13</v>
      </c>
      <c r="GL759" s="2040">
        <v>198.13</v>
      </c>
      <c r="GO759" s="2040">
        <v>38.979999999999997</v>
      </c>
      <c r="GP759" s="2040">
        <v>38.979999999999997</v>
      </c>
      <c r="GQ759" s="2040">
        <v>33.08</v>
      </c>
      <c r="GR759" s="2040">
        <v>33.08</v>
      </c>
      <c r="GS759" s="2040">
        <v>33.08</v>
      </c>
      <c r="GT759" s="2040">
        <v>31.86</v>
      </c>
      <c r="GU759" s="2040">
        <v>31.86</v>
      </c>
      <c r="GV759" s="2040">
        <v>32.22</v>
      </c>
      <c r="GW759" s="2040">
        <v>188.43</v>
      </c>
      <c r="GX759" s="2040">
        <v>188.43</v>
      </c>
      <c r="HA759" s="2040">
        <v>27.22</v>
      </c>
      <c r="HB759" s="2040">
        <v>27.22</v>
      </c>
      <c r="HC759" s="2040">
        <v>20.010000000000002</v>
      </c>
      <c r="HD759" s="2040">
        <v>20.010000000000002</v>
      </c>
      <c r="HE759" s="2040">
        <v>20.88</v>
      </c>
      <c r="HF759" s="2040">
        <v>20.88</v>
      </c>
      <c r="HG759" s="2040">
        <v>20.88</v>
      </c>
      <c r="HH759" s="2040">
        <v>20.88</v>
      </c>
      <c r="HI759" s="2040">
        <v>20.88</v>
      </c>
      <c r="HJ759" s="2040">
        <v>20.88</v>
      </c>
      <c r="HK759" s="2040">
        <v>20.89</v>
      </c>
      <c r="HL759" s="2040">
        <v>21.15</v>
      </c>
      <c r="HM759" s="2040">
        <v>38.130000000000003</v>
      </c>
      <c r="HN759" s="2040">
        <v>38.130000000000003</v>
      </c>
      <c r="HO759" s="2040">
        <v>28.39</v>
      </c>
      <c r="HP759" s="2040">
        <v>28.39</v>
      </c>
      <c r="HQ759" s="2040">
        <v>29.6</v>
      </c>
      <c r="HR759" s="2040">
        <v>29.6</v>
      </c>
      <c r="HS759" s="2040">
        <v>29.6</v>
      </c>
      <c r="HT759" s="2040">
        <v>29.6</v>
      </c>
      <c r="HU759" s="2040">
        <v>29.6</v>
      </c>
      <c r="HV759" s="2040">
        <v>29.6</v>
      </c>
      <c r="HW759" s="2040">
        <v>29.58</v>
      </c>
      <c r="HX759" s="2040">
        <v>29.58</v>
      </c>
    </row>
    <row r="760" spans="2:232" s="2040" customFormat="1" ht="14" x14ac:dyDescent="0.3">
      <c r="B760" s="2504">
        <v>61</v>
      </c>
      <c r="C760" s="2505">
        <v>43.21</v>
      </c>
      <c r="D760" s="2505">
        <v>43.21</v>
      </c>
      <c r="E760" s="2505">
        <v>43.43</v>
      </c>
      <c r="F760" s="2505">
        <v>43.43</v>
      </c>
      <c r="G760" s="2505">
        <v>165.48</v>
      </c>
      <c r="H760" s="2505">
        <v>165.48</v>
      </c>
      <c r="I760" s="2505">
        <v>155.65</v>
      </c>
      <c r="J760" s="2505">
        <v>155.65</v>
      </c>
      <c r="K760" s="2505">
        <v>162.08000000000001</v>
      </c>
      <c r="L760" s="2505">
        <v>162.08000000000001</v>
      </c>
      <c r="M760" s="2505"/>
      <c r="N760" s="2505"/>
      <c r="O760" s="2505">
        <v>135.6</v>
      </c>
      <c r="P760" s="2505">
        <v>135.6</v>
      </c>
      <c r="Q760" s="2505">
        <v>135.36000000000001</v>
      </c>
      <c r="R760" s="2505">
        <v>135.6</v>
      </c>
      <c r="S760" s="2505">
        <v>244.44000000000003</v>
      </c>
      <c r="T760" s="2505">
        <v>243.74</v>
      </c>
      <c r="U760" s="2505">
        <v>235.27</v>
      </c>
      <c r="V760" s="2505">
        <v>235.27</v>
      </c>
      <c r="W760" s="2505">
        <v>243.74</v>
      </c>
      <c r="X760" s="2505">
        <v>243.74</v>
      </c>
      <c r="Y760" s="2505">
        <v>235.27</v>
      </c>
      <c r="Z760" s="2505">
        <v>243.74</v>
      </c>
      <c r="AA760" s="2505">
        <v>243.74</v>
      </c>
      <c r="AB760" s="2505">
        <v>243.74</v>
      </c>
      <c r="AC760" s="2505">
        <v>235.27</v>
      </c>
      <c r="AD760" s="2505">
        <v>235.27</v>
      </c>
      <c r="AE760" s="2505">
        <v>258.74</v>
      </c>
      <c r="AF760" s="2505">
        <v>251.32</v>
      </c>
      <c r="AG760" s="2505">
        <v>258.74</v>
      </c>
      <c r="AH760" s="2505">
        <v>258.74</v>
      </c>
      <c r="AI760" s="2505">
        <v>251.32</v>
      </c>
      <c r="AJ760" s="2505">
        <v>251.32</v>
      </c>
      <c r="AK760" s="2505">
        <v>251.95</v>
      </c>
      <c r="AL760" s="2505">
        <v>251.95</v>
      </c>
      <c r="AM760" s="2505">
        <v>71.569999999999993</v>
      </c>
      <c r="AN760" s="2505">
        <v>68.959999999999994</v>
      </c>
      <c r="AO760" s="2505">
        <v>68.959999999999994</v>
      </c>
      <c r="AP760" s="2505">
        <v>69</v>
      </c>
      <c r="AQ760" s="2505">
        <v>69.47</v>
      </c>
      <c r="AR760" s="2505">
        <v>69.47</v>
      </c>
      <c r="AS760" s="2505">
        <v>203.97</v>
      </c>
      <c r="AT760" s="2505">
        <v>203.97</v>
      </c>
      <c r="AU760" s="2505">
        <v>203.97</v>
      </c>
      <c r="AV760" s="2505">
        <v>208.72</v>
      </c>
      <c r="AW760" s="2505">
        <v>204.24</v>
      </c>
      <c r="AX760" s="2505">
        <v>204.24</v>
      </c>
      <c r="AY760" s="2505">
        <v>204.37</v>
      </c>
      <c r="AZ760" s="2505">
        <v>204.37</v>
      </c>
      <c r="BA760" s="2040">
        <v>88.94</v>
      </c>
      <c r="BB760" s="2040">
        <v>88.94</v>
      </c>
      <c r="BC760" s="2040">
        <v>22.1</v>
      </c>
      <c r="BD760" s="2040">
        <v>22.35</v>
      </c>
      <c r="BE760" s="2040">
        <v>25.71</v>
      </c>
      <c r="BF760" s="2040">
        <v>25.71</v>
      </c>
      <c r="BG760" s="2040">
        <v>22.25</v>
      </c>
      <c r="BH760" s="2040">
        <v>22.25</v>
      </c>
      <c r="BI760" s="2040">
        <v>22.07</v>
      </c>
      <c r="BJ760" s="2040">
        <v>22.07</v>
      </c>
      <c r="BK760" s="2040">
        <v>22.07</v>
      </c>
      <c r="BL760" s="2040">
        <v>22.07</v>
      </c>
      <c r="BM760" s="2040">
        <v>52.35</v>
      </c>
      <c r="BN760" s="2040">
        <v>52.35</v>
      </c>
      <c r="BO760" s="2040">
        <v>162.61000000000001</v>
      </c>
      <c r="BP760" s="2040">
        <v>162.61000000000001</v>
      </c>
      <c r="BQ760" s="2040">
        <v>162.61000000000001</v>
      </c>
      <c r="BR760" s="2040">
        <v>162.61000000000001</v>
      </c>
      <c r="BS760" s="2040">
        <v>207.22</v>
      </c>
      <c r="BT760" s="2040">
        <v>207.22</v>
      </c>
      <c r="BU760" s="2040">
        <v>207.22</v>
      </c>
      <c r="BV760" s="2040">
        <v>207.22</v>
      </c>
      <c r="BW760" s="2040">
        <v>207.22</v>
      </c>
      <c r="BX760" s="2040">
        <v>207.22</v>
      </c>
      <c r="BY760" s="2040">
        <v>47.46</v>
      </c>
      <c r="BZ760" s="2040">
        <v>47.46</v>
      </c>
      <c r="CA760" s="2040">
        <v>155.18</v>
      </c>
      <c r="CB760" s="2040">
        <v>155.18</v>
      </c>
      <c r="CC760" s="2040">
        <v>157.33000000000001</v>
      </c>
      <c r="CD760" s="2040">
        <v>157.33000000000001</v>
      </c>
      <c r="CE760" s="2040">
        <v>203.55</v>
      </c>
      <c r="CF760" s="2040">
        <v>203.55</v>
      </c>
      <c r="CK760" s="2040">
        <v>118.28</v>
      </c>
      <c r="CL760" s="2040">
        <v>118.28</v>
      </c>
      <c r="CM760" s="2040">
        <v>240.64</v>
      </c>
      <c r="CN760" s="2040">
        <v>240.64</v>
      </c>
      <c r="CO760" s="2040">
        <v>305.18</v>
      </c>
      <c r="CP760" s="2040">
        <v>305.18</v>
      </c>
      <c r="CQ760" s="2040">
        <v>305.18</v>
      </c>
      <c r="CR760" s="2040">
        <v>305.18</v>
      </c>
      <c r="CW760" s="2040">
        <v>110.48</v>
      </c>
      <c r="CX760" s="2040">
        <v>110.48</v>
      </c>
      <c r="CY760" s="2040">
        <v>232.85</v>
      </c>
      <c r="CZ760" s="2040">
        <v>232.85</v>
      </c>
      <c r="DA760" s="2040">
        <v>232.85</v>
      </c>
      <c r="DB760" s="2040">
        <v>232.85</v>
      </c>
      <c r="DC760" s="2040">
        <v>295.87</v>
      </c>
      <c r="DD760" s="2040">
        <v>295.87</v>
      </c>
      <c r="DE760" s="2040">
        <v>295.87</v>
      </c>
      <c r="DF760" s="2040">
        <v>295.87</v>
      </c>
      <c r="DI760" s="2040">
        <v>29.2</v>
      </c>
      <c r="DJ760" s="2040">
        <v>29.2</v>
      </c>
      <c r="DK760" s="2040">
        <v>29.2</v>
      </c>
      <c r="DL760" s="2040">
        <v>29.2</v>
      </c>
      <c r="DM760" s="2040">
        <v>29.2</v>
      </c>
      <c r="DN760" s="2040">
        <v>29.2</v>
      </c>
      <c r="DU760" s="2040">
        <v>13.01</v>
      </c>
      <c r="DV760" s="2040">
        <v>13.01</v>
      </c>
      <c r="DW760" s="2040">
        <v>12.29</v>
      </c>
      <c r="DX760" s="2040">
        <v>12.29</v>
      </c>
      <c r="DY760" s="2040">
        <v>12.29</v>
      </c>
      <c r="DZ760" s="2040">
        <v>12.29</v>
      </c>
      <c r="EG760" s="2040">
        <v>13.94</v>
      </c>
      <c r="EH760" s="2040">
        <v>14.13</v>
      </c>
      <c r="EI760" s="2040">
        <v>10.87</v>
      </c>
      <c r="EJ760" s="2040">
        <v>10.87</v>
      </c>
      <c r="EK760" s="2040">
        <v>10.86</v>
      </c>
      <c r="EL760" s="2040">
        <v>10.86</v>
      </c>
      <c r="EM760" s="2040">
        <v>11.52</v>
      </c>
      <c r="EN760" s="2040">
        <v>11.52</v>
      </c>
      <c r="EO760" s="2040">
        <v>10.89</v>
      </c>
      <c r="EP760" s="2040">
        <v>10.89</v>
      </c>
      <c r="EQ760" s="2040">
        <v>11.21</v>
      </c>
      <c r="ER760" s="2040">
        <v>11.13</v>
      </c>
      <c r="ES760" s="2040">
        <v>53.32</v>
      </c>
      <c r="ET760" s="2040">
        <v>53.32</v>
      </c>
      <c r="EU760" s="2040">
        <v>226.6</v>
      </c>
      <c r="EV760" s="2040">
        <v>226.6</v>
      </c>
      <c r="EW760" s="2040">
        <v>221.47</v>
      </c>
      <c r="EX760" s="2040">
        <v>221.47</v>
      </c>
      <c r="EY760" s="2506">
        <f t="shared" si="59"/>
        <v>224.035</v>
      </c>
      <c r="EZ760" s="2506">
        <f t="shared" si="59"/>
        <v>224.035</v>
      </c>
      <c r="FA760" s="2040">
        <v>225.43</v>
      </c>
      <c r="FB760" s="2040">
        <v>225.43</v>
      </c>
      <c r="FE760" s="2040">
        <v>45.83</v>
      </c>
      <c r="FF760" s="2040">
        <v>45.83</v>
      </c>
      <c r="FG760" s="2040">
        <v>190.62</v>
      </c>
      <c r="FH760" s="2040">
        <v>190.62</v>
      </c>
      <c r="FI760" s="2040">
        <v>190.62</v>
      </c>
      <c r="FJ760" s="2040">
        <v>192.62</v>
      </c>
      <c r="FK760" s="2040">
        <v>190.04</v>
      </c>
      <c r="FL760" s="2040">
        <v>190.04</v>
      </c>
      <c r="FM760" s="2040">
        <v>191.02</v>
      </c>
      <c r="FN760" s="2040">
        <v>191.02</v>
      </c>
      <c r="FQ760" s="2040">
        <v>103.5</v>
      </c>
      <c r="FR760" s="2040">
        <v>103.5</v>
      </c>
      <c r="FS760" s="2040">
        <v>205.69</v>
      </c>
      <c r="FT760" s="2040">
        <v>205.69</v>
      </c>
      <c r="FU760" s="2040">
        <v>205.69</v>
      </c>
      <c r="FV760" s="2040">
        <v>205.69</v>
      </c>
      <c r="FW760" s="2040">
        <v>206.28</v>
      </c>
      <c r="FX760" s="2040">
        <v>206.28</v>
      </c>
      <c r="GC760" s="2040">
        <v>73.19</v>
      </c>
      <c r="GD760" s="2040">
        <v>73.19</v>
      </c>
      <c r="GE760" s="2040">
        <v>165.35</v>
      </c>
      <c r="GF760" s="2040">
        <v>165.35</v>
      </c>
      <c r="GG760" s="2040">
        <v>165.35</v>
      </c>
      <c r="GH760" s="2040">
        <v>165.35</v>
      </c>
      <c r="GI760" s="2040">
        <v>171.13</v>
      </c>
      <c r="GJ760" s="2040">
        <v>171.13</v>
      </c>
      <c r="GK760" s="2040">
        <v>199.49</v>
      </c>
      <c r="GL760" s="2040">
        <v>199.49</v>
      </c>
      <c r="GO760" s="2040">
        <v>39.18</v>
      </c>
      <c r="GP760" s="2040">
        <v>39.18</v>
      </c>
      <c r="GQ760" s="2040">
        <v>33.33</v>
      </c>
      <c r="GR760" s="2040">
        <v>33.33</v>
      </c>
      <c r="GS760" s="2040">
        <v>33.33</v>
      </c>
      <c r="GT760" s="2040">
        <v>32.11</v>
      </c>
      <c r="GU760" s="2040">
        <v>32.11</v>
      </c>
      <c r="GV760" s="2040">
        <v>32.450000000000003</v>
      </c>
      <c r="GW760" s="2040">
        <v>189.81</v>
      </c>
      <c r="GX760" s="2040">
        <v>189.81</v>
      </c>
      <c r="HA760" s="2040">
        <v>27.41</v>
      </c>
      <c r="HB760" s="2040">
        <v>27.41</v>
      </c>
      <c r="HC760" s="2040">
        <v>20.260000000000002</v>
      </c>
      <c r="HD760" s="2040">
        <v>20.260000000000002</v>
      </c>
      <c r="HE760" s="2040">
        <v>21.01</v>
      </c>
      <c r="HF760" s="2040">
        <v>21.01</v>
      </c>
      <c r="HG760" s="2040">
        <v>21.01</v>
      </c>
      <c r="HH760" s="2040">
        <v>21.01</v>
      </c>
      <c r="HI760" s="2040">
        <v>21.01</v>
      </c>
      <c r="HJ760" s="2040">
        <v>21.01</v>
      </c>
      <c r="HK760" s="2040">
        <v>21.13</v>
      </c>
      <c r="HL760" s="2040">
        <v>21.38</v>
      </c>
      <c r="HM760" s="2040">
        <v>38.36</v>
      </c>
      <c r="HN760" s="2040">
        <v>38.36</v>
      </c>
      <c r="HO760" s="2040">
        <v>28.69</v>
      </c>
      <c r="HP760" s="2040">
        <v>28.69</v>
      </c>
      <c r="HQ760" s="2040">
        <v>29.83</v>
      </c>
      <c r="HR760" s="2040">
        <v>29.83</v>
      </c>
      <c r="HS760" s="2040">
        <v>29.83</v>
      </c>
      <c r="HT760" s="2040">
        <v>29.83</v>
      </c>
      <c r="HU760" s="2040">
        <v>29.83</v>
      </c>
      <c r="HV760" s="2040">
        <v>29.83</v>
      </c>
      <c r="HW760" s="2040">
        <v>29.87</v>
      </c>
      <c r="HX760" s="2040">
        <v>29.87</v>
      </c>
    </row>
    <row r="761" spans="2:232" s="2040" customFormat="1" ht="14" x14ac:dyDescent="0.3">
      <c r="B761" s="2504">
        <v>62</v>
      </c>
      <c r="C761" s="2505">
        <v>43.46</v>
      </c>
      <c r="D761" s="2505">
        <v>43.46</v>
      </c>
      <c r="E761" s="2505">
        <v>43.67</v>
      </c>
      <c r="F761" s="2505">
        <v>43.67</v>
      </c>
      <c r="G761" s="2505">
        <v>166.44</v>
      </c>
      <c r="H761" s="2505">
        <v>166.44</v>
      </c>
      <c r="I761" s="2505">
        <v>156.86000000000001</v>
      </c>
      <c r="J761" s="2505">
        <v>156.86000000000001</v>
      </c>
      <c r="K761" s="2505">
        <v>163.13999999999999</v>
      </c>
      <c r="L761" s="2505">
        <v>163.13999999999999</v>
      </c>
      <c r="M761" s="2505"/>
      <c r="N761" s="2505"/>
      <c r="O761" s="2505">
        <v>136.26</v>
      </c>
      <c r="P761" s="2505">
        <v>136.26</v>
      </c>
      <c r="Q761" s="2505">
        <v>136</v>
      </c>
      <c r="R761" s="2505">
        <v>136.26</v>
      </c>
      <c r="S761" s="2505">
        <v>246.14000000000001</v>
      </c>
      <c r="T761" s="2505">
        <v>245.46</v>
      </c>
      <c r="U761" s="2505">
        <v>236.94</v>
      </c>
      <c r="V761" s="2505">
        <v>236.94</v>
      </c>
      <c r="W761" s="2505">
        <v>245.46</v>
      </c>
      <c r="X761" s="2505">
        <v>245.46</v>
      </c>
      <c r="Y761" s="2505">
        <v>236.94</v>
      </c>
      <c r="Z761" s="2505">
        <v>245.46</v>
      </c>
      <c r="AA761" s="2505">
        <v>245.46</v>
      </c>
      <c r="AB761" s="2505">
        <v>245.46</v>
      </c>
      <c r="AC761" s="2505">
        <v>236.94</v>
      </c>
      <c r="AD761" s="2505">
        <v>236.94</v>
      </c>
      <c r="AE761" s="2505">
        <v>260.32</v>
      </c>
      <c r="AF761" s="2505">
        <v>252.85</v>
      </c>
      <c r="AG761" s="2505">
        <v>260.32</v>
      </c>
      <c r="AH761" s="2505">
        <v>260.32</v>
      </c>
      <c r="AI761" s="2505">
        <v>252.85</v>
      </c>
      <c r="AJ761" s="2505">
        <v>252.85</v>
      </c>
      <c r="AK761" s="2505">
        <v>253.46</v>
      </c>
      <c r="AL761" s="2505">
        <v>253.46</v>
      </c>
      <c r="AM761" s="2505">
        <v>71.92</v>
      </c>
      <c r="AN761" s="2505">
        <v>69.3</v>
      </c>
      <c r="AO761" s="2505">
        <v>69.3</v>
      </c>
      <c r="AP761" s="2505">
        <v>69.180000000000007</v>
      </c>
      <c r="AQ761" s="2505">
        <v>69.650000000000006</v>
      </c>
      <c r="AR761" s="2505">
        <v>69.650000000000006</v>
      </c>
      <c r="AS761" s="2505">
        <v>204.66</v>
      </c>
      <c r="AT761" s="2505">
        <v>204.66</v>
      </c>
      <c r="AU761" s="2505">
        <v>204.66</v>
      </c>
      <c r="AV761" s="2505">
        <v>209.42</v>
      </c>
      <c r="AW761" s="2505">
        <v>204.93</v>
      </c>
      <c r="AX761" s="2505">
        <v>204.93</v>
      </c>
      <c r="AY761" s="2505">
        <v>205.06</v>
      </c>
      <c r="AZ761" s="2505">
        <v>205.06</v>
      </c>
      <c r="BA761" s="2040">
        <v>89.37</v>
      </c>
      <c r="BB761" s="2040">
        <v>89.37</v>
      </c>
      <c r="BC761" s="2040">
        <v>22.27</v>
      </c>
      <c r="BD761" s="2040">
        <v>22.51</v>
      </c>
      <c r="BE761" s="2040">
        <v>25.81</v>
      </c>
      <c r="BF761" s="2040">
        <v>25.81</v>
      </c>
      <c r="BG761" s="2040">
        <v>22.37</v>
      </c>
      <c r="BH761" s="2040">
        <v>22.37</v>
      </c>
      <c r="BI761" s="2040">
        <v>22.2</v>
      </c>
      <c r="BJ761" s="2040">
        <v>22.2</v>
      </c>
      <c r="BK761" s="2040">
        <v>22.2</v>
      </c>
      <c r="BL761" s="2040">
        <v>22.2</v>
      </c>
      <c r="BM761" s="2040">
        <v>52.61</v>
      </c>
      <c r="BN761" s="2040">
        <v>52.61</v>
      </c>
      <c r="BO761" s="2040">
        <v>163.57</v>
      </c>
      <c r="BP761" s="2040">
        <v>163.57</v>
      </c>
      <c r="BQ761" s="2040">
        <v>163.57</v>
      </c>
      <c r="BR761" s="2040">
        <v>163.57</v>
      </c>
      <c r="BS761" s="2040">
        <v>208.69</v>
      </c>
      <c r="BT761" s="2040">
        <v>208.69</v>
      </c>
      <c r="BU761" s="2040">
        <v>208.69</v>
      </c>
      <c r="BV761" s="2040">
        <v>208.69</v>
      </c>
      <c r="BW761" s="2040">
        <v>208.69</v>
      </c>
      <c r="BX761" s="2040">
        <v>208.69</v>
      </c>
      <c r="BY761" s="2040">
        <v>47.66</v>
      </c>
      <c r="BZ761" s="2040">
        <v>47.66</v>
      </c>
      <c r="CA761" s="2040">
        <v>155.96</v>
      </c>
      <c r="CB761" s="2040">
        <v>155.96</v>
      </c>
      <c r="CC761" s="2040">
        <v>158.13999999999999</v>
      </c>
      <c r="CD761" s="2040">
        <v>158.13999999999999</v>
      </c>
      <c r="CE761" s="2040">
        <v>204.77</v>
      </c>
      <c r="CF761" s="2040">
        <v>204.77</v>
      </c>
      <c r="CK761" s="2040">
        <v>118.75</v>
      </c>
      <c r="CL761" s="2040">
        <v>118.75</v>
      </c>
      <c r="CM761" s="2040">
        <v>241.59</v>
      </c>
      <c r="CN761" s="2040">
        <v>241.59</v>
      </c>
      <c r="CO761" s="2040">
        <v>306.73</v>
      </c>
      <c r="CP761" s="2040">
        <v>306.73</v>
      </c>
      <c r="CQ761" s="2040">
        <v>306.73</v>
      </c>
      <c r="CR761" s="2040">
        <v>306.73</v>
      </c>
      <c r="CW761" s="2040">
        <v>111.1</v>
      </c>
      <c r="CX761" s="2040">
        <v>111.1</v>
      </c>
      <c r="CY761" s="2040">
        <v>233.98</v>
      </c>
      <c r="CZ761" s="2040">
        <v>233.98</v>
      </c>
      <c r="DA761" s="2040">
        <v>233.98</v>
      </c>
      <c r="DB761" s="2040">
        <v>233.98</v>
      </c>
      <c r="DC761" s="2040">
        <v>297.69</v>
      </c>
      <c r="DD761" s="2040">
        <v>297.69</v>
      </c>
      <c r="DE761" s="2040">
        <v>297.69</v>
      </c>
      <c r="DF761" s="2040">
        <v>297.69</v>
      </c>
      <c r="DI761" s="2040">
        <v>29.36</v>
      </c>
      <c r="DJ761" s="2040">
        <v>29.36</v>
      </c>
      <c r="DK761" s="2040">
        <v>29.36</v>
      </c>
      <c r="DL761" s="2040">
        <v>29.36</v>
      </c>
      <c r="DM761" s="2040">
        <v>29.36</v>
      </c>
      <c r="DN761" s="2040">
        <v>29.36</v>
      </c>
      <c r="DU761" s="2040">
        <v>13.09</v>
      </c>
      <c r="DV761" s="2040">
        <v>13.09</v>
      </c>
      <c r="DW761" s="2040">
        <v>12.36</v>
      </c>
      <c r="DX761" s="2040">
        <v>12.36</v>
      </c>
      <c r="DY761" s="2040">
        <v>12.36</v>
      </c>
      <c r="DZ761" s="2040">
        <v>12.36</v>
      </c>
      <c r="EG761" s="2040">
        <v>14</v>
      </c>
      <c r="EH761" s="2040">
        <v>14.19</v>
      </c>
      <c r="EI761" s="2040">
        <v>10.96</v>
      </c>
      <c r="EJ761" s="2040">
        <v>10.96</v>
      </c>
      <c r="EK761" s="2040">
        <v>10.95</v>
      </c>
      <c r="EL761" s="2040">
        <v>10.95</v>
      </c>
      <c r="EM761" s="2040">
        <v>11.6</v>
      </c>
      <c r="EN761" s="2040">
        <v>11.6</v>
      </c>
      <c r="EO761" s="2040">
        <v>10.98</v>
      </c>
      <c r="EP761" s="2040">
        <v>10.98</v>
      </c>
      <c r="EQ761" s="2040">
        <v>11.29</v>
      </c>
      <c r="ER761" s="2040">
        <v>11.21</v>
      </c>
      <c r="ES761" s="2040">
        <v>53.58</v>
      </c>
      <c r="ET761" s="2040">
        <v>53.58</v>
      </c>
      <c r="EU761" s="2040">
        <v>228.17</v>
      </c>
      <c r="EV761" s="2040">
        <v>228.17</v>
      </c>
      <c r="EW761" s="2040">
        <v>223.03</v>
      </c>
      <c r="EX761" s="2040">
        <v>223.03</v>
      </c>
      <c r="EY761" s="2506">
        <f t="shared" si="59"/>
        <v>225.6</v>
      </c>
      <c r="EZ761" s="2506">
        <f t="shared" si="59"/>
        <v>225.6</v>
      </c>
      <c r="FA761" s="2040">
        <v>226.94</v>
      </c>
      <c r="FB761" s="2040">
        <v>226.94</v>
      </c>
      <c r="FE761" s="2040">
        <v>46.06</v>
      </c>
      <c r="FF761" s="2040">
        <v>46.06</v>
      </c>
      <c r="FG761" s="2040">
        <v>191.96</v>
      </c>
      <c r="FH761" s="2040">
        <v>191.96</v>
      </c>
      <c r="FI761" s="2040">
        <v>191.96</v>
      </c>
      <c r="FJ761" s="2040">
        <v>193.92</v>
      </c>
      <c r="FK761" s="2040">
        <v>191.4</v>
      </c>
      <c r="FL761" s="2040">
        <v>191.4</v>
      </c>
      <c r="FM761" s="2040">
        <v>192.36</v>
      </c>
      <c r="FN761" s="2040">
        <v>192.36</v>
      </c>
      <c r="FQ761" s="2040">
        <v>104.02</v>
      </c>
      <c r="FR761" s="2040">
        <v>104.02</v>
      </c>
      <c r="FS761" s="2040">
        <v>206.88</v>
      </c>
      <c r="FT761" s="2040">
        <v>206.88</v>
      </c>
      <c r="FU761" s="2040">
        <v>206.88</v>
      </c>
      <c r="FV761" s="2040">
        <v>206.88</v>
      </c>
      <c r="FW761" s="2040">
        <v>207.46</v>
      </c>
      <c r="FX761" s="2040">
        <v>207.46</v>
      </c>
      <c r="GC761" s="2040">
        <v>73.55</v>
      </c>
      <c r="GD761" s="2040">
        <v>73.55</v>
      </c>
      <c r="GE761" s="2040">
        <v>166.1</v>
      </c>
      <c r="GF761" s="2040">
        <v>166.1</v>
      </c>
      <c r="GG761" s="2040">
        <v>166.1</v>
      </c>
      <c r="GH761" s="2040">
        <v>166.1</v>
      </c>
      <c r="GI761" s="2040">
        <v>172.7</v>
      </c>
      <c r="GJ761" s="2040">
        <v>172.7</v>
      </c>
      <c r="GK761" s="2040">
        <v>200.81</v>
      </c>
      <c r="GL761" s="2040">
        <v>200.81</v>
      </c>
      <c r="GO761" s="2040">
        <v>39.380000000000003</v>
      </c>
      <c r="GP761" s="2040">
        <v>39.380000000000003</v>
      </c>
      <c r="GQ761" s="2040">
        <v>33.58</v>
      </c>
      <c r="GR761" s="2040">
        <v>33.58</v>
      </c>
      <c r="GS761" s="2040">
        <v>33.58</v>
      </c>
      <c r="GT761" s="2040">
        <v>32.35</v>
      </c>
      <c r="GU761" s="2040">
        <v>32.35</v>
      </c>
      <c r="GV761" s="2040">
        <v>32.69</v>
      </c>
      <c r="GW761" s="2040">
        <v>191.17</v>
      </c>
      <c r="GX761" s="2040">
        <v>191.17</v>
      </c>
      <c r="HA761" s="2040">
        <v>27.51</v>
      </c>
      <c r="HB761" s="2040">
        <v>27.51</v>
      </c>
      <c r="HC761" s="2040">
        <v>20.399999999999999</v>
      </c>
      <c r="HD761" s="2040">
        <v>20.399999999999999</v>
      </c>
      <c r="HE761" s="2040">
        <v>21.17</v>
      </c>
      <c r="HF761" s="2040">
        <v>21.17</v>
      </c>
      <c r="HG761" s="2040">
        <v>21.17</v>
      </c>
      <c r="HH761" s="2040">
        <v>21.17</v>
      </c>
      <c r="HI761" s="2040">
        <v>21.17</v>
      </c>
      <c r="HJ761" s="2040">
        <v>21.17</v>
      </c>
      <c r="HK761" s="2040">
        <v>21.26</v>
      </c>
      <c r="HL761" s="2040">
        <v>21.51</v>
      </c>
      <c r="HM761" s="2040">
        <v>38.53</v>
      </c>
      <c r="HN761" s="2040">
        <v>38.53</v>
      </c>
      <c r="HO761" s="2040">
        <v>28.93</v>
      </c>
      <c r="HP761" s="2040">
        <v>28.93</v>
      </c>
      <c r="HQ761" s="2040">
        <v>30.02</v>
      </c>
      <c r="HR761" s="2040">
        <v>30.02</v>
      </c>
      <c r="HS761" s="2040">
        <v>30.02</v>
      </c>
      <c r="HT761" s="2040">
        <v>30.02</v>
      </c>
      <c r="HU761" s="2040">
        <v>30.02</v>
      </c>
      <c r="HV761" s="2040">
        <v>30.02</v>
      </c>
      <c r="HW761" s="2040">
        <v>30.09</v>
      </c>
      <c r="HX761" s="2040">
        <v>30.09</v>
      </c>
    </row>
    <row r="762" spans="2:232" s="2040" customFormat="1" ht="14" x14ac:dyDescent="0.3">
      <c r="B762" s="2504">
        <v>63</v>
      </c>
      <c r="C762" s="2505">
        <v>43.66</v>
      </c>
      <c r="D762" s="2505">
        <v>43.66</v>
      </c>
      <c r="E762" s="2505">
        <v>43.86</v>
      </c>
      <c r="F762" s="2505">
        <v>43.86</v>
      </c>
      <c r="G762" s="2505">
        <v>167.38</v>
      </c>
      <c r="H762" s="2505">
        <v>167.38</v>
      </c>
      <c r="I762" s="2505">
        <v>157.82</v>
      </c>
      <c r="J762" s="2505">
        <v>157.82</v>
      </c>
      <c r="K762" s="2505">
        <v>163.98</v>
      </c>
      <c r="L762" s="2505">
        <v>163.98</v>
      </c>
      <c r="M762" s="2505"/>
      <c r="N762" s="2505"/>
      <c r="O762" s="2505">
        <v>136.84</v>
      </c>
      <c r="P762" s="2505">
        <v>136.84</v>
      </c>
      <c r="Q762" s="2505">
        <v>136.57</v>
      </c>
      <c r="R762" s="2505">
        <v>136.85</v>
      </c>
      <c r="S762" s="2505">
        <v>247.66000000000003</v>
      </c>
      <c r="T762" s="2505">
        <v>247.15</v>
      </c>
      <c r="U762" s="2505">
        <v>238.56</v>
      </c>
      <c r="V762" s="2505">
        <v>238.56</v>
      </c>
      <c r="W762" s="2505">
        <v>247.15</v>
      </c>
      <c r="X762" s="2505">
        <v>247.15</v>
      </c>
      <c r="Y762" s="2505">
        <v>238.56</v>
      </c>
      <c r="Z762" s="2505">
        <v>247.15</v>
      </c>
      <c r="AA762" s="2505">
        <v>247.15</v>
      </c>
      <c r="AB762" s="2505">
        <v>247.15</v>
      </c>
      <c r="AC762" s="2505">
        <v>238.56</v>
      </c>
      <c r="AD762" s="2505">
        <v>238.56</v>
      </c>
      <c r="AE762" s="2505">
        <v>261.85000000000002</v>
      </c>
      <c r="AF762" s="2505">
        <v>254.34</v>
      </c>
      <c r="AG762" s="2505">
        <v>261.85000000000002</v>
      </c>
      <c r="AH762" s="2505">
        <v>261.85000000000002</v>
      </c>
      <c r="AI762" s="2505">
        <v>254.34</v>
      </c>
      <c r="AJ762" s="2505">
        <v>254.34</v>
      </c>
      <c r="AK762" s="2505">
        <v>254.93</v>
      </c>
      <c r="AL762" s="2505">
        <v>254.93</v>
      </c>
      <c r="AM762" s="2505">
        <v>72.27</v>
      </c>
      <c r="AN762" s="2505">
        <v>69.64</v>
      </c>
      <c r="AO762" s="2505">
        <v>69.64</v>
      </c>
      <c r="AP762" s="2505">
        <v>69.459999999999994</v>
      </c>
      <c r="AQ762" s="2505">
        <v>69.91</v>
      </c>
      <c r="AR762" s="2505">
        <v>69.91</v>
      </c>
      <c r="AS762" s="2505">
        <v>205.69</v>
      </c>
      <c r="AT762" s="2505">
        <v>205.69</v>
      </c>
      <c r="AU762" s="2505">
        <v>205.69</v>
      </c>
      <c r="AV762" s="2505">
        <v>210.46</v>
      </c>
      <c r="AW762" s="2505">
        <v>205.96</v>
      </c>
      <c r="AX762" s="2505">
        <v>205.96</v>
      </c>
      <c r="AY762" s="2505">
        <v>206.09</v>
      </c>
      <c r="AZ762" s="2505">
        <v>206.09</v>
      </c>
      <c r="BA762" s="2040">
        <v>89.84</v>
      </c>
      <c r="BB762" s="2040">
        <v>89.84</v>
      </c>
      <c r="BC762" s="2040">
        <v>22.43</v>
      </c>
      <c r="BD762" s="2040">
        <v>22.67</v>
      </c>
      <c r="BE762" s="2040">
        <v>25.92</v>
      </c>
      <c r="BF762" s="2040">
        <v>25.92</v>
      </c>
      <c r="BG762" s="2040">
        <v>22.51</v>
      </c>
      <c r="BH762" s="2040">
        <v>22.51</v>
      </c>
      <c r="BI762" s="2040">
        <v>22.34</v>
      </c>
      <c r="BJ762" s="2040">
        <v>22.34</v>
      </c>
      <c r="BK762" s="2040">
        <v>22.34</v>
      </c>
      <c r="BL762" s="2040">
        <v>22.34</v>
      </c>
      <c r="BM762" s="2040">
        <v>52.87</v>
      </c>
      <c r="BN762" s="2040">
        <v>52.87</v>
      </c>
      <c r="BO762" s="2040">
        <v>164.49</v>
      </c>
      <c r="BP762" s="2040">
        <v>164.49</v>
      </c>
      <c r="BQ762" s="2040">
        <v>164.49</v>
      </c>
      <c r="BR762" s="2040">
        <v>164.49</v>
      </c>
      <c r="BS762" s="2040">
        <v>210.09</v>
      </c>
      <c r="BT762" s="2040">
        <v>210.09</v>
      </c>
      <c r="BU762" s="2040">
        <v>210.09</v>
      </c>
      <c r="BV762" s="2040">
        <v>210.09</v>
      </c>
      <c r="BW762" s="2040">
        <v>210.09</v>
      </c>
      <c r="BX762" s="2040">
        <v>210.09</v>
      </c>
      <c r="BY762" s="2040">
        <v>47.9</v>
      </c>
      <c r="BZ762" s="2040">
        <v>47.9</v>
      </c>
      <c r="CA762" s="2040">
        <v>156.9</v>
      </c>
      <c r="CB762" s="2040">
        <v>156.9</v>
      </c>
      <c r="CC762" s="2040">
        <v>159.1</v>
      </c>
      <c r="CD762" s="2040">
        <v>159.1</v>
      </c>
      <c r="CE762" s="2040">
        <v>206.24</v>
      </c>
      <c r="CF762" s="2040">
        <v>206.24</v>
      </c>
      <c r="CK762" s="2040">
        <v>119.24</v>
      </c>
      <c r="CL762" s="2040">
        <v>119.24</v>
      </c>
      <c r="CM762" s="2040">
        <v>242.55</v>
      </c>
      <c r="CN762" s="2040">
        <v>242.55</v>
      </c>
      <c r="CO762" s="2040">
        <v>308.27999999999997</v>
      </c>
      <c r="CP762" s="2040">
        <v>308.27999999999997</v>
      </c>
      <c r="CQ762" s="2040">
        <v>308.27999999999997</v>
      </c>
      <c r="CR762" s="2040">
        <v>308.27999999999997</v>
      </c>
      <c r="CW762" s="2040">
        <v>111.55</v>
      </c>
      <c r="CX762" s="2040">
        <v>111.55</v>
      </c>
      <c r="CY762" s="2040">
        <v>234.8</v>
      </c>
      <c r="CZ762" s="2040">
        <v>234.8</v>
      </c>
      <c r="DA762" s="2040">
        <v>234.8</v>
      </c>
      <c r="DB762" s="2040">
        <v>234.8</v>
      </c>
      <c r="DC762" s="2040">
        <v>298.99</v>
      </c>
      <c r="DD762" s="2040">
        <v>298.99</v>
      </c>
      <c r="DE762" s="2040">
        <v>298.99</v>
      </c>
      <c r="DF762" s="2040">
        <v>298.99</v>
      </c>
      <c r="DI762" s="2040">
        <v>29.49</v>
      </c>
      <c r="DJ762" s="2040">
        <v>29.49</v>
      </c>
      <c r="DK762" s="2040">
        <v>29.49</v>
      </c>
      <c r="DL762" s="2040">
        <v>29.49</v>
      </c>
      <c r="DM762" s="2040">
        <v>29.49</v>
      </c>
      <c r="DN762" s="2040">
        <v>29.49</v>
      </c>
      <c r="DU762" s="2040">
        <v>13.15</v>
      </c>
      <c r="DV762" s="2040">
        <v>13.15</v>
      </c>
      <c r="DW762" s="2040">
        <v>12.41</v>
      </c>
      <c r="DX762" s="2040">
        <v>12.41</v>
      </c>
      <c r="DY762" s="2040">
        <v>12.41</v>
      </c>
      <c r="DZ762" s="2040">
        <v>12.41</v>
      </c>
      <c r="EG762" s="2040">
        <v>14.07</v>
      </c>
      <c r="EH762" s="2040">
        <v>14.26</v>
      </c>
      <c r="EI762" s="2040">
        <v>11.05</v>
      </c>
      <c r="EJ762" s="2040">
        <v>11.05</v>
      </c>
      <c r="EK762" s="2040">
        <v>11.03</v>
      </c>
      <c r="EL762" s="2040">
        <v>11.03</v>
      </c>
      <c r="EM762" s="2040">
        <v>11.69</v>
      </c>
      <c r="EN762" s="2040">
        <v>11.69</v>
      </c>
      <c r="EO762" s="2040">
        <v>11.06</v>
      </c>
      <c r="EP762" s="2040">
        <v>11.06</v>
      </c>
      <c r="EQ762" s="2040">
        <v>11.38</v>
      </c>
      <c r="ER762" s="2040">
        <v>11.29</v>
      </c>
      <c r="ES762" s="2040">
        <v>53.84</v>
      </c>
      <c r="ET762" s="2040">
        <v>53.84</v>
      </c>
      <c r="EU762" s="2040">
        <v>229.71</v>
      </c>
      <c r="EV762" s="2040">
        <v>229.71</v>
      </c>
      <c r="EW762" s="2040">
        <v>224.55</v>
      </c>
      <c r="EX762" s="2040">
        <v>224.55</v>
      </c>
      <c r="EY762" s="2506">
        <f t="shared" si="59"/>
        <v>227.13</v>
      </c>
      <c r="EZ762" s="2506">
        <f t="shared" si="59"/>
        <v>227.13</v>
      </c>
      <c r="FA762" s="2040">
        <v>228.41</v>
      </c>
      <c r="FB762" s="2040">
        <v>228.41</v>
      </c>
      <c r="FE762" s="2040">
        <v>46.28</v>
      </c>
      <c r="FF762" s="2040">
        <v>46.28</v>
      </c>
      <c r="FG762" s="2040">
        <v>193.28</v>
      </c>
      <c r="FH762" s="2040">
        <v>193.28</v>
      </c>
      <c r="FI762" s="2040">
        <v>193.28</v>
      </c>
      <c r="FJ762" s="2040">
        <v>195.19</v>
      </c>
      <c r="FK762" s="2040">
        <v>192.72</v>
      </c>
      <c r="FL762" s="2040">
        <v>192.72</v>
      </c>
      <c r="FM762" s="2040">
        <v>193.66</v>
      </c>
      <c r="FN762" s="2040">
        <v>193.66</v>
      </c>
      <c r="FQ762" s="2040">
        <v>104.52</v>
      </c>
      <c r="FR762" s="2040">
        <v>104.52</v>
      </c>
      <c r="FS762" s="2040">
        <v>208.04</v>
      </c>
      <c r="FT762" s="2040">
        <v>208.04</v>
      </c>
      <c r="FU762" s="2040">
        <v>208.04</v>
      </c>
      <c r="FV762" s="2040">
        <v>208.04</v>
      </c>
      <c r="FW762" s="2040">
        <v>208.61</v>
      </c>
      <c r="FX762" s="2040">
        <v>208.61</v>
      </c>
      <c r="GC762" s="2040">
        <v>73.900000000000006</v>
      </c>
      <c r="GD762" s="2040">
        <v>73.900000000000006</v>
      </c>
      <c r="GE762" s="2040">
        <v>166.82</v>
      </c>
      <c r="GF762" s="2040">
        <v>166.82</v>
      </c>
      <c r="GG762" s="2040">
        <v>166.82</v>
      </c>
      <c r="GH762" s="2040">
        <v>166.82</v>
      </c>
      <c r="GI762" s="2040">
        <v>174.23</v>
      </c>
      <c r="GJ762" s="2040">
        <v>174.23</v>
      </c>
      <c r="GK762" s="2040">
        <v>202.1</v>
      </c>
      <c r="GL762" s="2040">
        <v>202.1</v>
      </c>
      <c r="GO762" s="2040">
        <v>39.57</v>
      </c>
      <c r="GP762" s="2040">
        <v>39.57</v>
      </c>
      <c r="GQ762" s="2040">
        <v>33.79</v>
      </c>
      <c r="GR762" s="2040">
        <v>33.79</v>
      </c>
      <c r="GS762" s="2040">
        <v>33.79</v>
      </c>
      <c r="GT762" s="2040">
        <v>32.56</v>
      </c>
      <c r="GU762" s="2040">
        <v>32.56</v>
      </c>
      <c r="GV762" s="2040">
        <v>32.89</v>
      </c>
      <c r="GW762" s="2040">
        <v>192.36</v>
      </c>
      <c r="GX762" s="2040">
        <v>192.36</v>
      </c>
      <c r="HA762" s="2040">
        <v>27.62</v>
      </c>
      <c r="HB762" s="2040">
        <v>27.62</v>
      </c>
      <c r="HC762" s="2040">
        <v>20.55</v>
      </c>
      <c r="HD762" s="2040">
        <v>20.55</v>
      </c>
      <c r="HE762" s="2040">
        <v>21.37</v>
      </c>
      <c r="HF762" s="2040">
        <v>21.37</v>
      </c>
      <c r="HG762" s="2040">
        <v>21.37</v>
      </c>
      <c r="HH762" s="2040">
        <v>21.37</v>
      </c>
      <c r="HI762" s="2040">
        <v>21.37</v>
      </c>
      <c r="HJ762" s="2040">
        <v>21.37</v>
      </c>
      <c r="HK762" s="2040">
        <v>21.41</v>
      </c>
      <c r="HL762" s="2040">
        <v>21.65</v>
      </c>
      <c r="HM762" s="2040">
        <v>38.68</v>
      </c>
      <c r="HN762" s="2040">
        <v>38.68</v>
      </c>
      <c r="HO762" s="2040">
        <v>29.13</v>
      </c>
      <c r="HP762" s="2040">
        <v>29.13</v>
      </c>
      <c r="HQ762" s="2040">
        <v>30.25</v>
      </c>
      <c r="HR762" s="2040">
        <v>30.25</v>
      </c>
      <c r="HS762" s="2040">
        <v>30.25</v>
      </c>
      <c r="HT762" s="2040">
        <v>30.25</v>
      </c>
      <c r="HU762" s="2040">
        <v>30.25</v>
      </c>
      <c r="HV762" s="2040">
        <v>30.25</v>
      </c>
      <c r="HW762" s="2040">
        <v>30.28</v>
      </c>
      <c r="HX762" s="2040">
        <v>30.28</v>
      </c>
    </row>
    <row r="763" spans="2:232" s="2040" customFormat="1" ht="14" x14ac:dyDescent="0.3">
      <c r="B763" s="2504">
        <v>64</v>
      </c>
      <c r="C763" s="2505">
        <v>43.86</v>
      </c>
      <c r="D763" s="2505">
        <v>43.86</v>
      </c>
      <c r="E763" s="2505">
        <v>44.05</v>
      </c>
      <c r="F763" s="2505">
        <v>44.05</v>
      </c>
      <c r="G763" s="2505">
        <v>168.27</v>
      </c>
      <c r="H763" s="2505">
        <v>168.27</v>
      </c>
      <c r="I763" s="2505">
        <v>158.77000000000001</v>
      </c>
      <c r="J763" s="2505">
        <v>158.77000000000001</v>
      </c>
      <c r="K763" s="2505">
        <v>164.81</v>
      </c>
      <c r="L763" s="2505">
        <v>164.81</v>
      </c>
      <c r="M763" s="2505"/>
      <c r="N763" s="2505"/>
      <c r="O763" s="2505">
        <v>137.46</v>
      </c>
      <c r="P763" s="2505">
        <v>137.46</v>
      </c>
      <c r="Q763" s="2505">
        <v>137.18</v>
      </c>
      <c r="R763" s="2505">
        <v>137.47</v>
      </c>
      <c r="S763" s="2505">
        <v>249.26000000000002</v>
      </c>
      <c r="T763" s="2505">
        <v>248.79</v>
      </c>
      <c r="U763" s="2505">
        <v>240.15</v>
      </c>
      <c r="V763" s="2505">
        <v>240.15</v>
      </c>
      <c r="W763" s="2505">
        <v>248.79</v>
      </c>
      <c r="X763" s="2505">
        <v>248.79</v>
      </c>
      <c r="Y763" s="2505">
        <v>240.15</v>
      </c>
      <c r="Z763" s="2505">
        <v>248.79</v>
      </c>
      <c r="AA763" s="2505">
        <v>248.79</v>
      </c>
      <c r="AB763" s="2505">
        <v>248.79</v>
      </c>
      <c r="AC763" s="2505">
        <v>240.15</v>
      </c>
      <c r="AD763" s="2505">
        <v>240.15</v>
      </c>
      <c r="AE763" s="2505">
        <v>263.35000000000002</v>
      </c>
      <c r="AF763" s="2505">
        <v>255.79</v>
      </c>
      <c r="AG763" s="2505">
        <v>263.35000000000002</v>
      </c>
      <c r="AH763" s="2505">
        <v>263.35000000000002</v>
      </c>
      <c r="AI763" s="2505">
        <v>255.79</v>
      </c>
      <c r="AJ763" s="2505">
        <v>255.79</v>
      </c>
      <c r="AK763" s="2505">
        <v>256.36</v>
      </c>
      <c r="AL763" s="2505">
        <v>256.36</v>
      </c>
      <c r="AM763" s="2505">
        <v>72.599999999999994</v>
      </c>
      <c r="AN763" s="2505">
        <v>69.959999999999994</v>
      </c>
      <c r="AO763" s="2505">
        <v>69.959999999999994</v>
      </c>
      <c r="AP763" s="2505">
        <v>69.790000000000006</v>
      </c>
      <c r="AQ763" s="2505">
        <v>70.23</v>
      </c>
      <c r="AR763" s="2505">
        <v>70.23</v>
      </c>
      <c r="AS763" s="2505">
        <v>206.93</v>
      </c>
      <c r="AT763" s="2505">
        <v>206.93</v>
      </c>
      <c r="AU763" s="2505">
        <v>206.93</v>
      </c>
      <c r="AV763" s="2505">
        <v>211.72</v>
      </c>
      <c r="AW763" s="2505">
        <v>207.2</v>
      </c>
      <c r="AX763" s="2505">
        <v>207.2</v>
      </c>
      <c r="AY763" s="2505">
        <v>207.33</v>
      </c>
      <c r="AZ763" s="2505">
        <v>207.33</v>
      </c>
      <c r="BA763" s="2040">
        <v>90.22</v>
      </c>
      <c r="BB763" s="2040">
        <v>90.22</v>
      </c>
      <c r="BC763" s="2040">
        <v>22.59</v>
      </c>
      <c r="BD763" s="2040">
        <v>22.83</v>
      </c>
      <c r="BE763" s="2040">
        <v>26</v>
      </c>
      <c r="BF763" s="2040">
        <v>26</v>
      </c>
      <c r="BG763" s="2040">
        <v>22.62</v>
      </c>
      <c r="BH763" s="2040">
        <v>22.62</v>
      </c>
      <c r="BI763" s="2040">
        <v>22.45</v>
      </c>
      <c r="BJ763" s="2040">
        <v>22.45</v>
      </c>
      <c r="BK763" s="2040">
        <v>22.45</v>
      </c>
      <c r="BL763" s="2040">
        <v>22.45</v>
      </c>
      <c r="BM763" s="2040">
        <v>53.09</v>
      </c>
      <c r="BN763" s="2040">
        <v>53.09</v>
      </c>
      <c r="BO763" s="2040">
        <v>165.3</v>
      </c>
      <c r="BP763" s="2040">
        <v>165.3</v>
      </c>
      <c r="BQ763" s="2040">
        <v>165.3</v>
      </c>
      <c r="BR763" s="2040">
        <v>165.3</v>
      </c>
      <c r="BS763" s="2040">
        <v>211.33</v>
      </c>
      <c r="BT763" s="2040">
        <v>211.33</v>
      </c>
      <c r="BU763" s="2040">
        <v>211.33</v>
      </c>
      <c r="BV763" s="2040">
        <v>211.33</v>
      </c>
      <c r="BW763" s="2040">
        <v>211.33</v>
      </c>
      <c r="BX763" s="2040">
        <v>211.33</v>
      </c>
      <c r="BY763" s="2040">
        <v>48.12</v>
      </c>
      <c r="BZ763" s="2040">
        <v>48.12</v>
      </c>
      <c r="CA763" s="2040">
        <v>157.72999999999999</v>
      </c>
      <c r="CB763" s="2040">
        <v>157.72999999999999</v>
      </c>
      <c r="CC763" s="2040">
        <v>159.96</v>
      </c>
      <c r="CD763" s="2040">
        <v>159.96</v>
      </c>
      <c r="CE763" s="2040">
        <v>207.55</v>
      </c>
      <c r="CF763" s="2040">
        <v>207.55</v>
      </c>
      <c r="CK763" s="2040">
        <v>119.71</v>
      </c>
      <c r="CL763" s="2040">
        <v>119.71</v>
      </c>
      <c r="CM763" s="2040">
        <v>243.42</v>
      </c>
      <c r="CN763" s="2040">
        <v>243.42</v>
      </c>
      <c r="CO763" s="2040">
        <v>309.69</v>
      </c>
      <c r="CP763" s="2040">
        <v>309.69</v>
      </c>
      <c r="CQ763" s="2040">
        <v>309.69</v>
      </c>
      <c r="CR763" s="2040">
        <v>309.69</v>
      </c>
      <c r="CW763" s="2040">
        <v>111.99</v>
      </c>
      <c r="CX763" s="2040">
        <v>111.99</v>
      </c>
      <c r="CY763" s="2040">
        <v>235.6</v>
      </c>
      <c r="CZ763" s="2040">
        <v>235.6</v>
      </c>
      <c r="DA763" s="2040">
        <v>235.6</v>
      </c>
      <c r="DB763" s="2040">
        <v>235.6</v>
      </c>
      <c r="DC763" s="2040">
        <v>300.27</v>
      </c>
      <c r="DD763" s="2040">
        <v>300.27</v>
      </c>
      <c r="DE763" s="2040">
        <v>300.27</v>
      </c>
      <c r="DF763" s="2040">
        <v>300.27</v>
      </c>
      <c r="DI763" s="2040">
        <v>29.64</v>
      </c>
      <c r="DJ763" s="2040">
        <v>29.64</v>
      </c>
      <c r="DK763" s="2040">
        <v>29.64</v>
      </c>
      <c r="DL763" s="2040">
        <v>29.64</v>
      </c>
      <c r="DM763" s="2040">
        <v>29.64</v>
      </c>
      <c r="DN763" s="2040">
        <v>29.64</v>
      </c>
      <c r="DU763" s="2040">
        <v>13.2</v>
      </c>
      <c r="DV763" s="2040">
        <v>13.2</v>
      </c>
      <c r="DW763" s="2040">
        <v>12.52</v>
      </c>
      <c r="DX763" s="2040">
        <v>12.52</v>
      </c>
      <c r="DY763" s="2040">
        <v>12.52</v>
      </c>
      <c r="DZ763" s="2040">
        <v>12.52</v>
      </c>
      <c r="EG763" s="2040">
        <v>14.13</v>
      </c>
      <c r="EH763" s="2040">
        <v>14.32</v>
      </c>
      <c r="EI763" s="2040">
        <v>11.13</v>
      </c>
      <c r="EJ763" s="2040">
        <v>11.13</v>
      </c>
      <c r="EK763" s="2040">
        <v>11.12</v>
      </c>
      <c r="EL763" s="2040">
        <v>11.12</v>
      </c>
      <c r="EM763" s="2040">
        <v>11.77</v>
      </c>
      <c r="EN763" s="2040">
        <v>11.77</v>
      </c>
      <c r="EO763" s="2040">
        <v>11.14</v>
      </c>
      <c r="EP763" s="2040">
        <v>11.14</v>
      </c>
      <c r="EQ763" s="2040">
        <v>11.46</v>
      </c>
      <c r="ER763" s="2040">
        <v>11.37</v>
      </c>
      <c r="ES763" s="2040">
        <v>54.09</v>
      </c>
      <c r="ET763" s="2040">
        <v>54.09</v>
      </c>
      <c r="EU763" s="2040">
        <v>231.21</v>
      </c>
      <c r="EV763" s="2040">
        <v>231.21</v>
      </c>
      <c r="EW763" s="2040">
        <v>226.03</v>
      </c>
      <c r="EX763" s="2040">
        <v>226.03</v>
      </c>
      <c r="EY763" s="2506">
        <f t="shared" si="59"/>
        <v>228.62</v>
      </c>
      <c r="EZ763" s="2506">
        <f t="shared" si="59"/>
        <v>228.62</v>
      </c>
      <c r="FA763" s="2040">
        <v>229.84</v>
      </c>
      <c r="FB763" s="2040">
        <v>229.84</v>
      </c>
      <c r="FE763" s="2040">
        <v>46.5</v>
      </c>
      <c r="FF763" s="2040">
        <v>46.5</v>
      </c>
      <c r="FG763" s="2040">
        <v>194.56</v>
      </c>
      <c r="FH763" s="2040">
        <v>194.56</v>
      </c>
      <c r="FI763" s="2040">
        <v>194.56</v>
      </c>
      <c r="FJ763" s="2040">
        <v>196.43</v>
      </c>
      <c r="FK763" s="2040">
        <v>194.02</v>
      </c>
      <c r="FL763" s="2040">
        <v>194.02</v>
      </c>
      <c r="FM763" s="2040">
        <v>194.94</v>
      </c>
      <c r="FN763" s="2040">
        <v>194.94</v>
      </c>
      <c r="FQ763" s="2040">
        <v>105.01</v>
      </c>
      <c r="FR763" s="2040">
        <v>105.01</v>
      </c>
      <c r="FS763" s="2040">
        <v>209.17</v>
      </c>
      <c r="FT763" s="2040">
        <v>209.17</v>
      </c>
      <c r="FU763" s="2040">
        <v>209.17</v>
      </c>
      <c r="FV763" s="2040">
        <v>209.17</v>
      </c>
      <c r="FW763" s="2040">
        <v>209.73</v>
      </c>
      <c r="FX763" s="2040">
        <v>209.73</v>
      </c>
      <c r="GC763" s="2040">
        <v>74.239999999999995</v>
      </c>
      <c r="GD763" s="2040">
        <v>74.239999999999995</v>
      </c>
      <c r="GE763" s="2040">
        <v>167.53</v>
      </c>
      <c r="GF763" s="2040">
        <v>167.53</v>
      </c>
      <c r="GG763" s="2040">
        <v>167.53</v>
      </c>
      <c r="GH763" s="2040">
        <v>167.53</v>
      </c>
      <c r="GI763" s="2040">
        <v>175.73</v>
      </c>
      <c r="GJ763" s="2040">
        <v>175.73</v>
      </c>
      <c r="GK763" s="2040">
        <v>203.36</v>
      </c>
      <c r="GL763" s="2040">
        <v>203.36</v>
      </c>
      <c r="GO763" s="2040">
        <v>39.75</v>
      </c>
      <c r="GP763" s="2040">
        <v>39.75</v>
      </c>
      <c r="GQ763" s="2040">
        <v>33.99</v>
      </c>
      <c r="GR763" s="2040">
        <v>33.99</v>
      </c>
      <c r="GS763" s="2040">
        <v>33.99</v>
      </c>
      <c r="GT763" s="2040">
        <v>32.75</v>
      </c>
      <c r="GU763" s="2040">
        <v>32.75</v>
      </c>
      <c r="GV763" s="2040">
        <v>33.07</v>
      </c>
      <c r="GW763" s="2040">
        <v>193.43</v>
      </c>
      <c r="GX763" s="2040">
        <v>193.43</v>
      </c>
      <c r="HA763" s="2040">
        <v>27.78</v>
      </c>
      <c r="HB763" s="2040">
        <v>27.78</v>
      </c>
      <c r="HC763" s="2040">
        <v>20.77</v>
      </c>
      <c r="HD763" s="2040">
        <v>20.77</v>
      </c>
      <c r="HE763" s="2040">
        <v>21.47</v>
      </c>
      <c r="HF763" s="2040">
        <v>21.47</v>
      </c>
      <c r="HG763" s="2040">
        <v>21.47</v>
      </c>
      <c r="HH763" s="2040">
        <v>21.47</v>
      </c>
      <c r="HI763" s="2040">
        <v>21.47</v>
      </c>
      <c r="HJ763" s="2040">
        <v>21.47</v>
      </c>
      <c r="HK763" s="2040">
        <v>21.61</v>
      </c>
      <c r="HL763" s="2040">
        <v>21.85</v>
      </c>
      <c r="HM763" s="2040">
        <v>38.86</v>
      </c>
      <c r="HN763" s="2040">
        <v>38.86</v>
      </c>
      <c r="HO763" s="2040">
        <v>29.36</v>
      </c>
      <c r="HP763" s="2040">
        <v>29.36</v>
      </c>
      <c r="HQ763" s="2040">
        <v>30.45</v>
      </c>
      <c r="HR763" s="2040">
        <v>30.45</v>
      </c>
      <c r="HS763" s="2040">
        <v>30.45</v>
      </c>
      <c r="HT763" s="2040">
        <v>30.45</v>
      </c>
      <c r="HU763" s="2040">
        <v>30.45</v>
      </c>
      <c r="HV763" s="2040">
        <v>30.45</v>
      </c>
      <c r="HW763" s="2040">
        <v>30.51</v>
      </c>
      <c r="HX763" s="2040">
        <v>30.51</v>
      </c>
    </row>
    <row r="764" spans="2:232" s="2040" customFormat="1" ht="14" x14ac:dyDescent="0.3">
      <c r="B764" s="2504">
        <v>65</v>
      </c>
      <c r="C764" s="2505">
        <v>44.04</v>
      </c>
      <c r="D764" s="2505">
        <v>44.04</v>
      </c>
      <c r="E764" s="2505">
        <v>44.23</v>
      </c>
      <c r="F764" s="2505">
        <v>44.23</v>
      </c>
      <c r="G764" s="2505">
        <v>169.18</v>
      </c>
      <c r="H764" s="2505">
        <v>169.18</v>
      </c>
      <c r="I764" s="2505">
        <v>159.66</v>
      </c>
      <c r="J764" s="2505">
        <v>159.66</v>
      </c>
      <c r="K764" s="2505">
        <v>165.59</v>
      </c>
      <c r="L764" s="2505">
        <v>165.59</v>
      </c>
      <c r="M764" s="2505"/>
      <c r="N764" s="2505"/>
      <c r="O764" s="2505">
        <v>138.06</v>
      </c>
      <c r="P764" s="2505">
        <v>138.06</v>
      </c>
      <c r="Q764" s="2505">
        <v>137.76</v>
      </c>
      <c r="R764" s="2505">
        <v>138.07</v>
      </c>
      <c r="S764" s="2505">
        <v>250.81000000000003</v>
      </c>
      <c r="T764" s="2505">
        <v>250.39</v>
      </c>
      <c r="U764" s="2505">
        <v>241.69</v>
      </c>
      <c r="V764" s="2505">
        <v>241.69</v>
      </c>
      <c r="W764" s="2505">
        <v>250.39</v>
      </c>
      <c r="X764" s="2505">
        <v>250.39</v>
      </c>
      <c r="Y764" s="2505">
        <v>241.69</v>
      </c>
      <c r="Z764" s="2505">
        <v>250.39</v>
      </c>
      <c r="AA764" s="2505">
        <v>250.39</v>
      </c>
      <c r="AB764" s="2505">
        <v>250.39</v>
      </c>
      <c r="AC764" s="2505">
        <v>241.69</v>
      </c>
      <c r="AD764" s="2505">
        <v>241.69</v>
      </c>
      <c r="AE764" s="2505">
        <v>264.81</v>
      </c>
      <c r="AF764" s="2505">
        <v>257.2</v>
      </c>
      <c r="AG764" s="2505">
        <v>264.81</v>
      </c>
      <c r="AH764" s="2505">
        <v>264.81</v>
      </c>
      <c r="AI764" s="2505">
        <v>257.2</v>
      </c>
      <c r="AJ764" s="2505">
        <v>257.2</v>
      </c>
      <c r="AK764" s="2505">
        <v>257.76</v>
      </c>
      <c r="AL764" s="2505">
        <v>257.76</v>
      </c>
      <c r="AM764" s="2505">
        <v>72.930000000000007</v>
      </c>
      <c r="AN764" s="2505">
        <v>70.27</v>
      </c>
      <c r="AO764" s="2505">
        <v>70.27</v>
      </c>
      <c r="AP764" s="2505">
        <v>69.97</v>
      </c>
      <c r="AQ764" s="2505">
        <v>70.400000000000006</v>
      </c>
      <c r="AR764" s="2505">
        <v>70.400000000000006</v>
      </c>
      <c r="AS764" s="2505">
        <v>207.6</v>
      </c>
      <c r="AT764" s="2505">
        <v>207.6</v>
      </c>
      <c r="AU764" s="2505">
        <v>207.6</v>
      </c>
      <c r="AV764" s="2505">
        <v>212.39</v>
      </c>
      <c r="AW764" s="2505">
        <v>207.87</v>
      </c>
      <c r="AX764" s="2505">
        <v>207.87</v>
      </c>
      <c r="AY764" s="2505">
        <v>208</v>
      </c>
      <c r="AZ764" s="2505">
        <v>208</v>
      </c>
      <c r="BA764" s="2040">
        <v>90.53</v>
      </c>
      <c r="BB764" s="2040">
        <v>90.53</v>
      </c>
      <c r="BC764" s="2040">
        <v>22.75</v>
      </c>
      <c r="BD764" s="2040">
        <v>22.98</v>
      </c>
      <c r="BE764" s="2040">
        <v>26.08</v>
      </c>
      <c r="BF764" s="2040">
        <v>26.08</v>
      </c>
      <c r="BG764" s="2040">
        <v>22.71</v>
      </c>
      <c r="BH764" s="2040">
        <v>22.71</v>
      </c>
      <c r="BI764" s="2040">
        <v>22.54</v>
      </c>
      <c r="BJ764" s="2040">
        <v>22.54</v>
      </c>
      <c r="BK764" s="2040">
        <v>22.54</v>
      </c>
      <c r="BL764" s="2040">
        <v>22.54</v>
      </c>
      <c r="BM764" s="2040">
        <v>53.3</v>
      </c>
      <c r="BN764" s="2040">
        <v>53.3</v>
      </c>
      <c r="BO764" s="2040">
        <v>166.03</v>
      </c>
      <c r="BP764" s="2040">
        <v>166.03</v>
      </c>
      <c r="BQ764" s="2040">
        <v>166.03</v>
      </c>
      <c r="BR764" s="2040">
        <v>166.03</v>
      </c>
      <c r="BS764" s="2040">
        <v>212.46</v>
      </c>
      <c r="BT764" s="2040">
        <v>212.46</v>
      </c>
      <c r="BU764" s="2040">
        <v>212.46</v>
      </c>
      <c r="BV764" s="2040">
        <v>212.46</v>
      </c>
      <c r="BW764" s="2040">
        <v>212.46</v>
      </c>
      <c r="BX764" s="2040">
        <v>212.46</v>
      </c>
      <c r="BY764" s="2040">
        <v>48.29</v>
      </c>
      <c r="BZ764" s="2040">
        <v>48.29</v>
      </c>
      <c r="CA764" s="2040">
        <v>158.38</v>
      </c>
      <c r="CB764" s="2040">
        <v>158.38</v>
      </c>
      <c r="CC764" s="2040">
        <v>160.63</v>
      </c>
      <c r="CD764" s="2040">
        <v>160.63</v>
      </c>
      <c r="CE764" s="2040">
        <v>208.57</v>
      </c>
      <c r="CF764" s="2040">
        <v>208.57</v>
      </c>
      <c r="CK764" s="2040">
        <v>120.22</v>
      </c>
      <c r="CL764" s="2040">
        <v>120.22</v>
      </c>
      <c r="CM764" s="2040">
        <v>244.2</v>
      </c>
      <c r="CN764" s="2040">
        <v>244.2</v>
      </c>
      <c r="CO764" s="2040">
        <v>310.95999999999998</v>
      </c>
      <c r="CP764" s="2040">
        <v>310.95999999999998</v>
      </c>
      <c r="CQ764" s="2040">
        <v>310.95999999999998</v>
      </c>
      <c r="CR764" s="2040">
        <v>310.95999999999998</v>
      </c>
      <c r="CW764" s="2040">
        <v>112.42</v>
      </c>
      <c r="CX764" s="2040">
        <v>112.42</v>
      </c>
      <c r="CY764" s="2040">
        <v>236.38</v>
      </c>
      <c r="CZ764" s="2040">
        <v>236.38</v>
      </c>
      <c r="DA764" s="2040">
        <v>236.38</v>
      </c>
      <c r="DB764" s="2040">
        <v>236.38</v>
      </c>
      <c r="DC764" s="2040">
        <v>301.52999999999997</v>
      </c>
      <c r="DD764" s="2040">
        <v>301.52999999999997</v>
      </c>
      <c r="DE764" s="2040">
        <v>301.52999999999997</v>
      </c>
      <c r="DF764" s="2040">
        <v>301.52999999999997</v>
      </c>
      <c r="DI764" s="2040">
        <v>29.73</v>
      </c>
      <c r="DJ764" s="2040">
        <v>29.73</v>
      </c>
      <c r="DK764" s="2040">
        <v>29.73</v>
      </c>
      <c r="DL764" s="2040">
        <v>29.73</v>
      </c>
      <c r="DM764" s="2040">
        <v>29.73</v>
      </c>
      <c r="DN764" s="2040">
        <v>29.73</v>
      </c>
      <c r="DU764" s="2040">
        <v>13.23</v>
      </c>
      <c r="DV764" s="2040">
        <v>13.23</v>
      </c>
      <c r="DW764" s="2040">
        <v>12.64</v>
      </c>
      <c r="DX764" s="2040">
        <v>12.64</v>
      </c>
      <c r="DY764" s="2040">
        <v>12.64</v>
      </c>
      <c r="DZ764" s="2040">
        <v>12.64</v>
      </c>
      <c r="EG764" s="2040">
        <v>14.2</v>
      </c>
      <c r="EH764" s="2040">
        <v>14.38</v>
      </c>
      <c r="EI764" s="2040">
        <v>11.21</v>
      </c>
      <c r="EJ764" s="2040">
        <v>11.21</v>
      </c>
      <c r="EK764" s="2040">
        <v>11.2</v>
      </c>
      <c r="EL764" s="2040">
        <v>11.2</v>
      </c>
      <c r="EM764" s="2040">
        <v>11.84</v>
      </c>
      <c r="EN764" s="2040">
        <v>11.84</v>
      </c>
      <c r="EO764" s="2040">
        <v>11.21</v>
      </c>
      <c r="EP764" s="2040">
        <v>11.21</v>
      </c>
      <c r="EQ764" s="2040">
        <v>11.54</v>
      </c>
      <c r="ER764" s="2040">
        <v>11.44</v>
      </c>
      <c r="ES764" s="2040">
        <v>54.33</v>
      </c>
      <c r="ET764" s="2040">
        <v>54.33</v>
      </c>
      <c r="EU764" s="2040">
        <v>232.67</v>
      </c>
      <c r="EV764" s="2040">
        <v>232.67</v>
      </c>
      <c r="EW764" s="2040">
        <v>227.48</v>
      </c>
      <c r="EX764" s="2040">
        <v>227.48</v>
      </c>
      <c r="EY764" s="2506">
        <f t="shared" si="59"/>
        <v>230.07499999999999</v>
      </c>
      <c r="EZ764" s="2506">
        <f t="shared" si="59"/>
        <v>230.07499999999999</v>
      </c>
      <c r="FA764" s="2040">
        <v>231.24</v>
      </c>
      <c r="FB764" s="2040">
        <v>231.24</v>
      </c>
      <c r="FE764" s="2040">
        <v>46.71</v>
      </c>
      <c r="FF764" s="2040">
        <v>46.71</v>
      </c>
      <c r="FG764" s="2040">
        <v>195.82</v>
      </c>
      <c r="FH764" s="2040">
        <v>195.82</v>
      </c>
      <c r="FI764" s="2040">
        <v>195.82</v>
      </c>
      <c r="FJ764" s="2040">
        <v>197.64</v>
      </c>
      <c r="FK764" s="2040">
        <v>195.28</v>
      </c>
      <c r="FL764" s="2040">
        <v>195.28</v>
      </c>
      <c r="FM764" s="2040">
        <v>196.18</v>
      </c>
      <c r="FN764" s="2040">
        <v>196.18</v>
      </c>
      <c r="FQ764" s="2040">
        <v>105.49</v>
      </c>
      <c r="FR764" s="2040">
        <v>105.49</v>
      </c>
      <c r="FS764" s="2040">
        <v>210.28</v>
      </c>
      <c r="FT764" s="2040">
        <v>210.28</v>
      </c>
      <c r="FU764" s="2040">
        <v>210.28</v>
      </c>
      <c r="FV764" s="2040">
        <v>210.28</v>
      </c>
      <c r="FW764" s="2040">
        <v>210.82</v>
      </c>
      <c r="FX764" s="2040">
        <v>210.82</v>
      </c>
      <c r="GC764" s="2040">
        <v>74.58</v>
      </c>
      <c r="GD764" s="2040">
        <v>74.58</v>
      </c>
      <c r="GE764" s="2040">
        <v>168.22</v>
      </c>
      <c r="GF764" s="2040">
        <v>168.22</v>
      </c>
      <c r="GG764" s="2040">
        <v>168.22</v>
      </c>
      <c r="GH764" s="2040">
        <v>168.22</v>
      </c>
      <c r="GI764" s="2040">
        <v>177.19</v>
      </c>
      <c r="GJ764" s="2040">
        <v>177.19</v>
      </c>
      <c r="GK764" s="2040">
        <v>204.58</v>
      </c>
      <c r="GL764" s="2040">
        <v>204.58</v>
      </c>
      <c r="GO764" s="2040">
        <v>39.93</v>
      </c>
      <c r="GP764" s="2040">
        <v>39.93</v>
      </c>
      <c r="GQ764" s="2040">
        <v>34.130000000000003</v>
      </c>
      <c r="GR764" s="2040">
        <v>34.130000000000003</v>
      </c>
      <c r="GS764" s="2040">
        <v>34.130000000000003</v>
      </c>
      <c r="GT764" s="2040">
        <v>32.89</v>
      </c>
      <c r="GU764" s="2040">
        <v>32.89</v>
      </c>
      <c r="GV764" s="2040">
        <v>33.200000000000003</v>
      </c>
      <c r="GW764" s="2040">
        <v>194.19</v>
      </c>
      <c r="GX764" s="2040">
        <v>194.19</v>
      </c>
      <c r="HA764" s="2040">
        <v>27.85</v>
      </c>
      <c r="HB764" s="2040">
        <v>27.85</v>
      </c>
      <c r="HC764" s="2040">
        <v>20.86</v>
      </c>
      <c r="HD764" s="2040">
        <v>20.86</v>
      </c>
      <c r="HE764" s="2040">
        <v>21.67</v>
      </c>
      <c r="HF764" s="2040">
        <v>21.67</v>
      </c>
      <c r="HG764" s="2040">
        <v>21.67</v>
      </c>
      <c r="HH764" s="2040">
        <v>21.67</v>
      </c>
      <c r="HI764" s="2040">
        <v>21.67</v>
      </c>
      <c r="HJ764" s="2040">
        <v>21.67</v>
      </c>
      <c r="HK764" s="2040">
        <v>21.71</v>
      </c>
      <c r="HL764" s="2040">
        <v>21.94</v>
      </c>
      <c r="HM764" s="2040">
        <v>39.01</v>
      </c>
      <c r="HN764" s="2040">
        <v>39.01</v>
      </c>
      <c r="HO764" s="2040">
        <v>29.57</v>
      </c>
      <c r="HP764" s="2040">
        <v>29.57</v>
      </c>
      <c r="HQ764" s="2040">
        <v>30.74</v>
      </c>
      <c r="HR764" s="2040">
        <v>30.74</v>
      </c>
      <c r="HS764" s="2040">
        <v>30.74</v>
      </c>
      <c r="HT764" s="2040">
        <v>30.74</v>
      </c>
      <c r="HU764" s="2040">
        <v>30.74</v>
      </c>
      <c r="HV764" s="2040">
        <v>30.74</v>
      </c>
      <c r="HW764" s="2040">
        <v>30.71</v>
      </c>
      <c r="HX764" s="2040">
        <v>30.71</v>
      </c>
    </row>
    <row r="765" spans="2:232" s="2040" customFormat="1" ht="14" x14ac:dyDescent="0.3">
      <c r="B765" s="2504">
        <v>66</v>
      </c>
      <c r="C765" s="2505">
        <v>44.23</v>
      </c>
      <c r="D765" s="2505">
        <v>44.23</v>
      </c>
      <c r="E765" s="2505">
        <v>44.41</v>
      </c>
      <c r="F765" s="2505">
        <v>44.41</v>
      </c>
      <c r="G765" s="2505">
        <v>170.19</v>
      </c>
      <c r="H765" s="2505">
        <v>170.19</v>
      </c>
      <c r="I765" s="2505">
        <v>160.58000000000001</v>
      </c>
      <c r="J765" s="2505">
        <v>160.58000000000001</v>
      </c>
      <c r="K765" s="2505">
        <v>166.39</v>
      </c>
      <c r="L765" s="2505">
        <v>166.39</v>
      </c>
      <c r="M765" s="2505"/>
      <c r="N765" s="2505"/>
      <c r="O765" s="2505">
        <v>138.72</v>
      </c>
      <c r="P765" s="2505">
        <v>138.72</v>
      </c>
      <c r="Q765" s="2505">
        <v>138.4</v>
      </c>
      <c r="R765" s="2505">
        <v>138.72999999999999</v>
      </c>
      <c r="S765" s="2505">
        <v>252.51000000000002</v>
      </c>
      <c r="T765" s="2505">
        <v>251.95</v>
      </c>
      <c r="U765" s="2505">
        <v>243.2</v>
      </c>
      <c r="V765" s="2505">
        <v>243.2</v>
      </c>
      <c r="W765" s="2505">
        <v>251.95</v>
      </c>
      <c r="X765" s="2505">
        <v>251.95</v>
      </c>
      <c r="Y765" s="2505">
        <v>243.2</v>
      </c>
      <c r="Z765" s="2505">
        <v>251.95</v>
      </c>
      <c r="AA765" s="2505">
        <v>251.95</v>
      </c>
      <c r="AB765" s="2505">
        <v>251.95</v>
      </c>
      <c r="AC765" s="2505">
        <v>243.2</v>
      </c>
      <c r="AD765" s="2505">
        <v>243.2</v>
      </c>
      <c r="AE765" s="2505">
        <v>266.23</v>
      </c>
      <c r="AF765" s="2505">
        <v>258.58</v>
      </c>
      <c r="AG765" s="2505">
        <v>266.23</v>
      </c>
      <c r="AH765" s="2505">
        <v>266.23</v>
      </c>
      <c r="AI765" s="2505">
        <v>258.58</v>
      </c>
      <c r="AJ765" s="2505">
        <v>258.58</v>
      </c>
      <c r="AK765" s="2505">
        <v>259.13</v>
      </c>
      <c r="AL765" s="2505">
        <v>259.13</v>
      </c>
      <c r="AM765" s="2505">
        <v>73.239999999999995</v>
      </c>
      <c r="AN765" s="2505">
        <v>70.58</v>
      </c>
      <c r="AO765" s="2505">
        <v>70.58</v>
      </c>
      <c r="AP765" s="2505">
        <v>70.27</v>
      </c>
      <c r="AQ765" s="2505">
        <v>70.69</v>
      </c>
      <c r="AR765" s="2505">
        <v>70.69</v>
      </c>
      <c r="AS765" s="2505">
        <v>208.73</v>
      </c>
      <c r="AT765" s="2505">
        <v>208.73</v>
      </c>
      <c r="AU765" s="2505">
        <v>208.73</v>
      </c>
      <c r="AV765" s="2505">
        <v>213.54</v>
      </c>
      <c r="AW765" s="2505">
        <v>209</v>
      </c>
      <c r="AX765" s="2505">
        <v>209</v>
      </c>
      <c r="AY765" s="2505">
        <v>209.13</v>
      </c>
      <c r="AZ765" s="2505">
        <v>209.13</v>
      </c>
      <c r="BA765" s="2040">
        <v>91.16</v>
      </c>
      <c r="BB765" s="2040">
        <v>91.16</v>
      </c>
      <c r="BC765" s="2040">
        <v>22.9</v>
      </c>
      <c r="BD765" s="2040">
        <v>23.13</v>
      </c>
      <c r="BE765" s="2040">
        <v>26.22</v>
      </c>
      <c r="BF765" s="2040">
        <v>26.22</v>
      </c>
      <c r="BG765" s="2040">
        <v>22.9</v>
      </c>
      <c r="BH765" s="2040">
        <v>22.9</v>
      </c>
      <c r="BI765" s="2040">
        <v>22.72</v>
      </c>
      <c r="BJ765" s="2040">
        <v>22.72</v>
      </c>
      <c r="BK765" s="2040">
        <v>22.72</v>
      </c>
      <c r="BL765" s="2040">
        <v>22.72</v>
      </c>
      <c r="BM765" s="2040">
        <v>53.45</v>
      </c>
      <c r="BN765" s="2040">
        <v>53.45</v>
      </c>
      <c r="BO765" s="2040">
        <v>166.6</v>
      </c>
      <c r="BP765" s="2040">
        <v>166.6</v>
      </c>
      <c r="BQ765" s="2040">
        <v>166.6</v>
      </c>
      <c r="BR765" s="2040">
        <v>166.6</v>
      </c>
      <c r="BS765" s="2040">
        <v>213.31</v>
      </c>
      <c r="BT765" s="2040">
        <v>213.31</v>
      </c>
      <c r="BU765" s="2040">
        <v>213.31</v>
      </c>
      <c r="BV765" s="2040">
        <v>213.31</v>
      </c>
      <c r="BW765" s="2040">
        <v>213.31</v>
      </c>
      <c r="BX765" s="2040">
        <v>213.31</v>
      </c>
      <c r="BY765" s="2040">
        <v>48.48</v>
      </c>
      <c r="BZ765" s="2040">
        <v>48.48</v>
      </c>
      <c r="CA765" s="2040">
        <v>159.12</v>
      </c>
      <c r="CB765" s="2040">
        <v>159.12</v>
      </c>
      <c r="CC765" s="2040">
        <v>161.38999999999999</v>
      </c>
      <c r="CD765" s="2040">
        <v>161.38999999999999</v>
      </c>
      <c r="CE765" s="2040">
        <v>209.74</v>
      </c>
      <c r="CF765" s="2040">
        <v>209.74</v>
      </c>
      <c r="CK765" s="2040">
        <v>120.77</v>
      </c>
      <c r="CL765" s="2040">
        <v>120.77</v>
      </c>
      <c r="CM765" s="2040">
        <v>245.03</v>
      </c>
      <c r="CN765" s="2040">
        <v>245.03</v>
      </c>
      <c r="CO765" s="2040">
        <v>312.3</v>
      </c>
      <c r="CP765" s="2040">
        <v>312.3</v>
      </c>
      <c r="CQ765" s="2040">
        <v>312.3</v>
      </c>
      <c r="CR765" s="2040">
        <v>312.3</v>
      </c>
      <c r="CW765" s="2040">
        <v>112.79</v>
      </c>
      <c r="CX765" s="2040">
        <v>112.79</v>
      </c>
      <c r="CY765" s="2040">
        <v>237.05</v>
      </c>
      <c r="CZ765" s="2040">
        <v>237.05</v>
      </c>
      <c r="DA765" s="2040">
        <v>237.05</v>
      </c>
      <c r="DB765" s="2040">
        <v>237.05</v>
      </c>
      <c r="DC765" s="2040">
        <v>302.60000000000002</v>
      </c>
      <c r="DD765" s="2040">
        <v>302.60000000000002</v>
      </c>
      <c r="DE765" s="2040">
        <v>302.60000000000002</v>
      </c>
      <c r="DF765" s="2040">
        <v>302.60000000000002</v>
      </c>
      <c r="DI765" s="2040">
        <v>29.87</v>
      </c>
      <c r="DJ765" s="2040">
        <v>29.87</v>
      </c>
      <c r="DK765" s="2040">
        <v>29.87</v>
      </c>
      <c r="DL765" s="2040">
        <v>29.87</v>
      </c>
      <c r="DM765" s="2040">
        <v>29.87</v>
      </c>
      <c r="DN765" s="2040">
        <v>29.87</v>
      </c>
      <c r="DU765" s="2040">
        <v>13.3</v>
      </c>
      <c r="DV765" s="2040">
        <v>13.3</v>
      </c>
      <c r="DW765" s="2040">
        <v>12.71</v>
      </c>
      <c r="DX765" s="2040">
        <v>12.71</v>
      </c>
      <c r="DY765" s="2040">
        <v>12.71</v>
      </c>
      <c r="DZ765" s="2040">
        <v>12.71</v>
      </c>
      <c r="EG765" s="2040">
        <v>14.26</v>
      </c>
      <c r="EH765" s="2040">
        <v>14.44</v>
      </c>
      <c r="EI765" s="2040">
        <v>11.29</v>
      </c>
      <c r="EJ765" s="2040">
        <v>11.29</v>
      </c>
      <c r="EK765" s="2040">
        <v>11.28</v>
      </c>
      <c r="EL765" s="2040">
        <v>11.28</v>
      </c>
      <c r="EM765" s="2040">
        <v>11.92</v>
      </c>
      <c r="EN765" s="2040">
        <v>11.92</v>
      </c>
      <c r="EO765" s="2040">
        <v>11.29</v>
      </c>
      <c r="EP765" s="2040">
        <v>11.29</v>
      </c>
      <c r="EQ765" s="2040">
        <v>11.62</v>
      </c>
      <c r="ER765" s="2040">
        <v>11.51</v>
      </c>
      <c r="ES765" s="2040">
        <v>54.57</v>
      </c>
      <c r="ET765" s="2040">
        <v>54.57</v>
      </c>
      <c r="EU765" s="2040">
        <v>234.1</v>
      </c>
      <c r="EV765" s="2040">
        <v>234.1</v>
      </c>
      <c r="EW765" s="2040">
        <v>228.89</v>
      </c>
      <c r="EX765" s="2040">
        <v>228.89</v>
      </c>
      <c r="EY765" s="2506">
        <f t="shared" ref="EY765:EZ799" si="60">AVERAGE(EU765,EW765)</f>
        <v>231.495</v>
      </c>
      <c r="EZ765" s="2506">
        <f t="shared" si="60"/>
        <v>231.495</v>
      </c>
      <c r="FA765" s="2040">
        <v>232.61</v>
      </c>
      <c r="FB765" s="2040">
        <v>232.61</v>
      </c>
      <c r="FE765" s="2040">
        <v>46.91</v>
      </c>
      <c r="FF765" s="2040">
        <v>46.91</v>
      </c>
      <c r="FG765" s="2040">
        <v>197.04</v>
      </c>
      <c r="FH765" s="2040">
        <v>197.04</v>
      </c>
      <c r="FI765" s="2040">
        <v>197.04</v>
      </c>
      <c r="FJ765" s="2040">
        <v>198.82</v>
      </c>
      <c r="FK765" s="2040">
        <v>196.52</v>
      </c>
      <c r="FL765" s="2040">
        <v>196.52</v>
      </c>
      <c r="FM765" s="2040">
        <v>197.4</v>
      </c>
      <c r="FN765" s="2040">
        <v>197.4</v>
      </c>
      <c r="FQ765" s="2040">
        <v>105.96</v>
      </c>
      <c r="FR765" s="2040">
        <v>105.96</v>
      </c>
      <c r="FS765" s="2040">
        <v>211.36</v>
      </c>
      <c r="FT765" s="2040">
        <v>211.36</v>
      </c>
      <c r="FU765" s="2040">
        <v>211.36</v>
      </c>
      <c r="FV765" s="2040">
        <v>211.36</v>
      </c>
      <c r="FW765" s="2040">
        <v>211.89</v>
      </c>
      <c r="FX765" s="2040">
        <v>211.89</v>
      </c>
      <c r="GC765" s="2040">
        <v>74.900000000000006</v>
      </c>
      <c r="GD765" s="2040">
        <v>74.900000000000006</v>
      </c>
      <c r="GE765" s="2040">
        <v>168.89</v>
      </c>
      <c r="GF765" s="2040">
        <v>168.89</v>
      </c>
      <c r="GG765" s="2040">
        <v>168.89</v>
      </c>
      <c r="GH765" s="2040">
        <v>168.89</v>
      </c>
      <c r="GI765" s="2040">
        <v>178.63</v>
      </c>
      <c r="GJ765" s="2040">
        <v>178.63</v>
      </c>
      <c r="GK765" s="2040">
        <v>205.78</v>
      </c>
      <c r="GL765" s="2040">
        <v>205.78</v>
      </c>
      <c r="GO765" s="2040">
        <v>40.1</v>
      </c>
      <c r="GP765" s="2040">
        <v>40.1</v>
      </c>
      <c r="GQ765" s="2040">
        <v>34.369999999999997</v>
      </c>
      <c r="GR765" s="2040">
        <v>34.369999999999997</v>
      </c>
      <c r="GS765" s="2040">
        <v>34.369999999999997</v>
      </c>
      <c r="GT765" s="2040">
        <v>33.119999999999997</v>
      </c>
      <c r="GU765" s="2040">
        <v>33.119999999999997</v>
      </c>
      <c r="GV765" s="2040">
        <v>33.43</v>
      </c>
      <c r="GW765" s="2040">
        <v>195.52</v>
      </c>
      <c r="GX765" s="2040">
        <v>195.52</v>
      </c>
      <c r="HA765" s="2040">
        <v>28</v>
      </c>
      <c r="HB765" s="2040">
        <v>28</v>
      </c>
      <c r="HC765" s="2040">
        <v>21.07</v>
      </c>
      <c r="HD765" s="2040">
        <v>21.07</v>
      </c>
      <c r="HE765" s="2040">
        <v>21.84</v>
      </c>
      <c r="HF765" s="2040">
        <v>21.84</v>
      </c>
      <c r="HG765" s="2040">
        <v>21.84</v>
      </c>
      <c r="HH765" s="2040">
        <v>21.84</v>
      </c>
      <c r="HI765" s="2040">
        <v>21.84</v>
      </c>
      <c r="HJ765" s="2040">
        <v>21.84</v>
      </c>
      <c r="HK765" s="2040">
        <v>21.9</v>
      </c>
      <c r="HL765" s="2040">
        <v>22.13</v>
      </c>
      <c r="HM765" s="2040">
        <v>39.229999999999997</v>
      </c>
      <c r="HN765" s="2040">
        <v>39.229999999999997</v>
      </c>
      <c r="HO765" s="2040">
        <v>29.86</v>
      </c>
      <c r="HP765" s="2040">
        <v>29.86</v>
      </c>
      <c r="HQ765" s="2040">
        <v>31.01</v>
      </c>
      <c r="HR765" s="2040">
        <v>31.01</v>
      </c>
      <c r="HS765" s="2040">
        <v>31.01</v>
      </c>
      <c r="HT765" s="2040">
        <v>31.01</v>
      </c>
      <c r="HU765" s="2040">
        <v>31.01</v>
      </c>
      <c r="HV765" s="2040">
        <v>31.01</v>
      </c>
      <c r="HW765" s="2040">
        <v>30.99</v>
      </c>
      <c r="HX765" s="2040">
        <v>30.99</v>
      </c>
    </row>
    <row r="766" spans="2:232" s="2040" customFormat="1" ht="14" x14ac:dyDescent="0.3">
      <c r="B766" s="2504">
        <v>67</v>
      </c>
      <c r="C766" s="2505">
        <v>44.44</v>
      </c>
      <c r="D766" s="2505">
        <v>44.44</v>
      </c>
      <c r="E766" s="2505">
        <v>44.61</v>
      </c>
      <c r="F766" s="2505">
        <v>44.61</v>
      </c>
      <c r="G766" s="2505">
        <v>171.03</v>
      </c>
      <c r="H766" s="2505">
        <v>171.03</v>
      </c>
      <c r="I766" s="2505">
        <v>161.59</v>
      </c>
      <c r="J766" s="2505">
        <v>161.59</v>
      </c>
      <c r="K766" s="2505">
        <v>167.27</v>
      </c>
      <c r="L766" s="2505">
        <v>167.27</v>
      </c>
      <c r="M766" s="2505"/>
      <c r="N766" s="2505"/>
      <c r="O766" s="2505">
        <v>139.35</v>
      </c>
      <c r="P766" s="2505">
        <v>139.35</v>
      </c>
      <c r="Q766" s="2505">
        <v>139.01</v>
      </c>
      <c r="R766" s="2505">
        <v>139.35</v>
      </c>
      <c r="S766" s="2505">
        <v>254.14000000000001</v>
      </c>
      <c r="T766" s="2505">
        <v>253.48</v>
      </c>
      <c r="U766" s="2505">
        <v>244.68</v>
      </c>
      <c r="V766" s="2505">
        <v>244.68</v>
      </c>
      <c r="W766" s="2505">
        <v>253.48</v>
      </c>
      <c r="X766" s="2505">
        <v>253.48</v>
      </c>
      <c r="Y766" s="2505">
        <v>244.68</v>
      </c>
      <c r="Z766" s="2505">
        <v>253.48</v>
      </c>
      <c r="AA766" s="2505">
        <v>253.48</v>
      </c>
      <c r="AB766" s="2505">
        <v>253.48</v>
      </c>
      <c r="AC766" s="2505">
        <v>244.68</v>
      </c>
      <c r="AD766" s="2505">
        <v>244.68</v>
      </c>
      <c r="AE766" s="2505">
        <v>267.62</v>
      </c>
      <c r="AF766" s="2505">
        <v>259.93</v>
      </c>
      <c r="AG766" s="2505">
        <v>267.62</v>
      </c>
      <c r="AH766" s="2505">
        <v>267.62</v>
      </c>
      <c r="AI766" s="2505">
        <v>259.93</v>
      </c>
      <c r="AJ766" s="2505">
        <v>259.93</v>
      </c>
      <c r="AK766" s="2505">
        <v>260.45999999999998</v>
      </c>
      <c r="AL766" s="2505">
        <v>260.45999999999998</v>
      </c>
      <c r="AM766" s="2505">
        <v>73.55</v>
      </c>
      <c r="AN766" s="2505">
        <v>70.88</v>
      </c>
      <c r="AO766" s="2505">
        <v>70.88</v>
      </c>
      <c r="AP766" s="2505">
        <v>70.58</v>
      </c>
      <c r="AQ766" s="2505">
        <v>70.989999999999995</v>
      </c>
      <c r="AR766" s="2505">
        <v>70.989999999999995</v>
      </c>
      <c r="AS766" s="2505">
        <v>209.91</v>
      </c>
      <c r="AT766" s="2505">
        <v>209.91</v>
      </c>
      <c r="AU766" s="2505">
        <v>209.91</v>
      </c>
      <c r="AV766" s="2505">
        <v>214.73</v>
      </c>
      <c r="AW766" s="2505">
        <v>210.17</v>
      </c>
      <c r="AX766" s="2505">
        <v>210.17</v>
      </c>
      <c r="AY766" s="2505">
        <v>210.3</v>
      </c>
      <c r="AZ766" s="2505">
        <v>210.3</v>
      </c>
      <c r="BA766" s="2040">
        <v>91.66</v>
      </c>
      <c r="BB766" s="2040">
        <v>91.66</v>
      </c>
      <c r="BC766" s="2040">
        <v>23.05</v>
      </c>
      <c r="BD766" s="2040">
        <v>23.27</v>
      </c>
      <c r="BE766" s="2040">
        <v>26.33</v>
      </c>
      <c r="BF766" s="2040">
        <v>26.33</v>
      </c>
      <c r="BG766" s="2040">
        <v>23.05</v>
      </c>
      <c r="BH766" s="2040">
        <v>23.05</v>
      </c>
      <c r="BI766" s="2040">
        <v>22.87</v>
      </c>
      <c r="BJ766" s="2040">
        <v>22.87</v>
      </c>
      <c r="BK766" s="2040">
        <v>22.87</v>
      </c>
      <c r="BL766" s="2040">
        <v>22.87</v>
      </c>
      <c r="BM766" s="2040">
        <v>53.68</v>
      </c>
      <c r="BN766" s="2040">
        <v>53.68</v>
      </c>
      <c r="BO766" s="2040">
        <v>167.4</v>
      </c>
      <c r="BP766" s="2040">
        <v>167.4</v>
      </c>
      <c r="BQ766" s="2040">
        <v>167.4</v>
      </c>
      <c r="BR766" s="2040">
        <v>167.4</v>
      </c>
      <c r="BS766" s="2040">
        <v>214.55</v>
      </c>
      <c r="BT766" s="2040">
        <v>214.55</v>
      </c>
      <c r="BU766" s="2040">
        <v>214.55</v>
      </c>
      <c r="BV766" s="2040">
        <v>214.55</v>
      </c>
      <c r="BW766" s="2040">
        <v>214.55</v>
      </c>
      <c r="BX766" s="2040">
        <v>214.55</v>
      </c>
      <c r="BY766" s="2040">
        <v>48.67</v>
      </c>
      <c r="BZ766" s="2040">
        <v>48.67</v>
      </c>
      <c r="CA766" s="2040">
        <v>159.85</v>
      </c>
      <c r="CB766" s="2040">
        <v>159.85</v>
      </c>
      <c r="CC766" s="2040">
        <v>162.13999999999999</v>
      </c>
      <c r="CD766" s="2040">
        <v>162.13999999999999</v>
      </c>
      <c r="CE766" s="2040">
        <v>210.88</v>
      </c>
      <c r="CF766" s="2040">
        <v>210.88</v>
      </c>
      <c r="CK766" s="2040">
        <v>121.26</v>
      </c>
      <c r="CL766" s="2040">
        <v>121.26</v>
      </c>
      <c r="CM766" s="2040">
        <v>245.82</v>
      </c>
      <c r="CN766" s="2040">
        <v>245.82</v>
      </c>
      <c r="CO766" s="2040">
        <v>313.58</v>
      </c>
      <c r="CP766" s="2040">
        <v>313.58</v>
      </c>
      <c r="CQ766" s="2040">
        <v>313.58</v>
      </c>
      <c r="CR766" s="2040">
        <v>313.58</v>
      </c>
      <c r="CW766" s="2040">
        <v>113.27</v>
      </c>
      <c r="CX766" s="2040">
        <v>113.27</v>
      </c>
      <c r="CY766" s="2040">
        <v>237.92</v>
      </c>
      <c r="CZ766" s="2040">
        <v>237.92</v>
      </c>
      <c r="DA766" s="2040">
        <v>237.92</v>
      </c>
      <c r="DB766" s="2040">
        <v>237.92</v>
      </c>
      <c r="DC766" s="2040">
        <v>304.01</v>
      </c>
      <c r="DD766" s="2040">
        <v>304.01</v>
      </c>
      <c r="DE766" s="2040">
        <v>304.01</v>
      </c>
      <c r="DF766" s="2040">
        <v>304.01</v>
      </c>
      <c r="DI766" s="2040">
        <v>30</v>
      </c>
      <c r="DJ766" s="2040">
        <v>30</v>
      </c>
      <c r="DK766" s="2040">
        <v>30</v>
      </c>
      <c r="DL766" s="2040">
        <v>30</v>
      </c>
      <c r="DM766" s="2040">
        <v>30</v>
      </c>
      <c r="DN766" s="2040">
        <v>30</v>
      </c>
      <c r="DU766" s="2040">
        <v>13.33</v>
      </c>
      <c r="DV766" s="2040">
        <v>13.33</v>
      </c>
      <c r="DW766" s="2040">
        <v>12.75</v>
      </c>
      <c r="DX766" s="2040">
        <v>12.75</v>
      </c>
      <c r="DY766" s="2040">
        <v>12.75</v>
      </c>
      <c r="DZ766" s="2040">
        <v>12.75</v>
      </c>
      <c r="EG766" s="2040">
        <v>14.31</v>
      </c>
      <c r="EH766" s="2040">
        <v>14.5</v>
      </c>
      <c r="EI766" s="2040">
        <v>11.37</v>
      </c>
      <c r="EJ766" s="2040">
        <v>11.37</v>
      </c>
      <c r="EK766" s="2040">
        <v>11.36</v>
      </c>
      <c r="EL766" s="2040">
        <v>11.36</v>
      </c>
      <c r="EM766" s="2040">
        <v>11.99</v>
      </c>
      <c r="EN766" s="2040">
        <v>11.99</v>
      </c>
      <c r="EO766" s="2040">
        <v>11.36</v>
      </c>
      <c r="EP766" s="2040">
        <v>11.36</v>
      </c>
      <c r="EQ766" s="2040">
        <v>11.69</v>
      </c>
      <c r="ER766" s="2040">
        <v>11.59</v>
      </c>
      <c r="ES766" s="2040">
        <v>54.8</v>
      </c>
      <c r="ET766" s="2040">
        <v>54.8</v>
      </c>
      <c r="EU766" s="2040">
        <v>235.49</v>
      </c>
      <c r="EV766" s="2040">
        <v>235.49</v>
      </c>
      <c r="EW766" s="2040">
        <v>230.27</v>
      </c>
      <c r="EX766" s="2040">
        <v>230.27</v>
      </c>
      <c r="EY766" s="2506">
        <f t="shared" si="60"/>
        <v>232.88</v>
      </c>
      <c r="EZ766" s="2506">
        <f t="shared" si="60"/>
        <v>232.88</v>
      </c>
      <c r="FA766" s="2040">
        <v>233.94</v>
      </c>
      <c r="FB766" s="2040">
        <v>233.94</v>
      </c>
      <c r="FE766" s="2040">
        <v>47.11</v>
      </c>
      <c r="FF766" s="2040">
        <v>47.11</v>
      </c>
      <c r="FG766" s="2040">
        <v>198.24</v>
      </c>
      <c r="FH766" s="2040">
        <v>198.24</v>
      </c>
      <c r="FI766" s="2040">
        <v>198.24</v>
      </c>
      <c r="FJ766" s="2040">
        <v>199.98</v>
      </c>
      <c r="FK766" s="2040">
        <v>197.72</v>
      </c>
      <c r="FL766" s="2040">
        <v>197.72</v>
      </c>
      <c r="FM766" s="2040">
        <v>198.58</v>
      </c>
      <c r="FN766" s="2040">
        <v>198.58</v>
      </c>
      <c r="FQ766" s="2040">
        <v>106.41</v>
      </c>
      <c r="FR766" s="2040">
        <v>106.41</v>
      </c>
      <c r="FS766" s="2040">
        <v>212.41</v>
      </c>
      <c r="FT766" s="2040">
        <v>212.41</v>
      </c>
      <c r="FU766" s="2040">
        <v>212.41</v>
      </c>
      <c r="FV766" s="2040">
        <v>212.41</v>
      </c>
      <c r="FW766" s="2040">
        <v>212.92</v>
      </c>
      <c r="FX766" s="2040">
        <v>212.92</v>
      </c>
      <c r="GC766" s="2040">
        <v>75.22</v>
      </c>
      <c r="GD766" s="2040">
        <v>75.22</v>
      </c>
      <c r="GE766" s="2040">
        <v>169.54</v>
      </c>
      <c r="GF766" s="2040">
        <v>169.54</v>
      </c>
      <c r="GG766" s="2040">
        <v>169.54</v>
      </c>
      <c r="GH766" s="2040">
        <v>169.54</v>
      </c>
      <c r="GI766" s="2040">
        <v>180.03</v>
      </c>
      <c r="GJ766" s="2040">
        <v>180.03</v>
      </c>
      <c r="GK766" s="2040">
        <v>206.95</v>
      </c>
      <c r="GL766" s="2040">
        <v>206.95</v>
      </c>
      <c r="GO766" s="2040">
        <v>40.270000000000003</v>
      </c>
      <c r="GP766" s="2040">
        <v>40.270000000000003</v>
      </c>
      <c r="GQ766" s="2040">
        <v>34.6</v>
      </c>
      <c r="GR766" s="2040">
        <v>34.6</v>
      </c>
      <c r="GS766" s="2040">
        <v>34.6</v>
      </c>
      <c r="GT766" s="2040">
        <v>33.35</v>
      </c>
      <c r="GU766" s="2040">
        <v>33.35</v>
      </c>
      <c r="GV766" s="2040">
        <v>33.65</v>
      </c>
      <c r="GW766" s="2040">
        <v>196.78</v>
      </c>
      <c r="GX766" s="2040">
        <v>196.78</v>
      </c>
      <c r="HA766" s="2040">
        <v>28.13</v>
      </c>
      <c r="HB766" s="2040">
        <v>28.13</v>
      </c>
      <c r="HC766" s="2040">
        <v>21.25</v>
      </c>
      <c r="HD766" s="2040">
        <v>21.25</v>
      </c>
      <c r="HE766" s="2040">
        <v>22</v>
      </c>
      <c r="HF766" s="2040">
        <v>22</v>
      </c>
      <c r="HG766" s="2040">
        <v>22</v>
      </c>
      <c r="HH766" s="2040">
        <v>22</v>
      </c>
      <c r="HI766" s="2040">
        <v>22</v>
      </c>
      <c r="HJ766" s="2040">
        <v>22</v>
      </c>
      <c r="HK766" s="2040">
        <v>22.07</v>
      </c>
      <c r="HL766" s="2040">
        <v>22.29</v>
      </c>
      <c r="HM766" s="2040">
        <v>39.44</v>
      </c>
      <c r="HN766" s="2040">
        <v>39.44</v>
      </c>
      <c r="HO766" s="2040">
        <v>30.15</v>
      </c>
      <c r="HP766" s="2040">
        <v>30.15</v>
      </c>
      <c r="HQ766" s="2040">
        <v>31.19</v>
      </c>
      <c r="HR766" s="2040">
        <v>31.19</v>
      </c>
      <c r="HS766" s="2040">
        <v>31.19</v>
      </c>
      <c r="HT766" s="2040">
        <v>31.19</v>
      </c>
      <c r="HU766" s="2040">
        <v>31.19</v>
      </c>
      <c r="HV766" s="2040">
        <v>31.19</v>
      </c>
      <c r="HW766" s="2040">
        <v>31.26</v>
      </c>
      <c r="HX766" s="2040">
        <v>31.26</v>
      </c>
    </row>
    <row r="767" spans="2:232" s="2040" customFormat="1" ht="14" x14ac:dyDescent="0.3">
      <c r="B767" s="2504">
        <v>68</v>
      </c>
      <c r="C767" s="2505">
        <v>44.61</v>
      </c>
      <c r="D767" s="2505">
        <v>44.61</v>
      </c>
      <c r="E767" s="2505">
        <v>44.78</v>
      </c>
      <c r="F767" s="2505">
        <v>44.78</v>
      </c>
      <c r="G767" s="2505">
        <v>171.91</v>
      </c>
      <c r="H767" s="2505">
        <v>171.91</v>
      </c>
      <c r="I767" s="2505">
        <v>162.44</v>
      </c>
      <c r="J767" s="2505">
        <v>162.44</v>
      </c>
      <c r="K767" s="2505">
        <v>168.02</v>
      </c>
      <c r="L767" s="2505">
        <v>168.02</v>
      </c>
      <c r="M767" s="2505"/>
      <c r="N767" s="2505"/>
      <c r="O767" s="2505">
        <v>139.93</v>
      </c>
      <c r="P767" s="2505">
        <v>139.93</v>
      </c>
      <c r="Q767" s="2505">
        <v>139.58000000000001</v>
      </c>
      <c r="R767" s="2505">
        <v>139.94</v>
      </c>
      <c r="S767" s="2505">
        <v>255.66000000000003</v>
      </c>
      <c r="T767" s="2505">
        <v>254.97</v>
      </c>
      <c r="U767" s="2505">
        <v>246.12</v>
      </c>
      <c r="V767" s="2505">
        <v>246.12</v>
      </c>
      <c r="W767" s="2505">
        <v>254.97</v>
      </c>
      <c r="X767" s="2505">
        <v>254.97</v>
      </c>
      <c r="Y767" s="2505">
        <v>246.12</v>
      </c>
      <c r="Z767" s="2505">
        <v>254.97</v>
      </c>
      <c r="AA767" s="2505">
        <v>254.97</v>
      </c>
      <c r="AB767" s="2505">
        <v>254.97</v>
      </c>
      <c r="AC767" s="2505">
        <v>246.12</v>
      </c>
      <c r="AD767" s="2505">
        <v>246.12</v>
      </c>
      <c r="AE767" s="2505">
        <v>268.97000000000003</v>
      </c>
      <c r="AF767" s="2505">
        <v>261.24</v>
      </c>
      <c r="AG767" s="2505">
        <v>268.97000000000003</v>
      </c>
      <c r="AH767" s="2505">
        <v>268.97000000000003</v>
      </c>
      <c r="AI767" s="2505">
        <v>261.24</v>
      </c>
      <c r="AJ767" s="2505">
        <v>261.24</v>
      </c>
      <c r="AK767" s="2505">
        <v>261.76</v>
      </c>
      <c r="AL767" s="2505">
        <v>261.76</v>
      </c>
      <c r="AM767" s="2505">
        <v>73.86</v>
      </c>
      <c r="AN767" s="2505">
        <v>71.17</v>
      </c>
      <c r="AO767" s="2505">
        <v>71.17</v>
      </c>
      <c r="AP767" s="2505">
        <v>70.87</v>
      </c>
      <c r="AQ767" s="2505">
        <v>71.27</v>
      </c>
      <c r="AR767" s="2505">
        <v>71.27</v>
      </c>
      <c r="AS767" s="2505">
        <v>211.01</v>
      </c>
      <c r="AT767" s="2505">
        <v>211.01</v>
      </c>
      <c r="AU767" s="2505">
        <v>211.01</v>
      </c>
      <c r="AV767" s="2505">
        <v>215.83</v>
      </c>
      <c r="AW767" s="2505">
        <v>211.27</v>
      </c>
      <c r="AX767" s="2505">
        <v>211.27</v>
      </c>
      <c r="AY767" s="2505">
        <v>211.39</v>
      </c>
      <c r="AZ767" s="2505">
        <v>211.39</v>
      </c>
      <c r="BA767" s="2040">
        <v>92.24</v>
      </c>
      <c r="BB767" s="2040">
        <v>92.24</v>
      </c>
      <c r="BC767" s="2040">
        <v>23.2</v>
      </c>
      <c r="BD767" s="2040">
        <v>23.42</v>
      </c>
      <c r="BE767" s="2040">
        <v>26.46</v>
      </c>
      <c r="BF767" s="2040">
        <v>26.46</v>
      </c>
      <c r="BG767" s="2040">
        <v>23.22</v>
      </c>
      <c r="BH767" s="2040">
        <v>23.22</v>
      </c>
      <c r="BI767" s="2040">
        <v>23.04</v>
      </c>
      <c r="BJ767" s="2040">
        <v>23.04</v>
      </c>
      <c r="BK767" s="2040">
        <v>23.04</v>
      </c>
      <c r="BL767" s="2040">
        <v>23.04</v>
      </c>
      <c r="BM767" s="2040">
        <v>53.94</v>
      </c>
      <c r="BN767" s="2040">
        <v>53.94</v>
      </c>
      <c r="BO767" s="2040">
        <v>168.34</v>
      </c>
      <c r="BP767" s="2040">
        <v>168.34</v>
      </c>
      <c r="BQ767" s="2040">
        <v>168.34</v>
      </c>
      <c r="BR767" s="2040">
        <v>168.34</v>
      </c>
      <c r="BS767" s="2040">
        <v>215.99</v>
      </c>
      <c r="BT767" s="2040">
        <v>215.99</v>
      </c>
      <c r="BU767" s="2040">
        <v>215.99</v>
      </c>
      <c r="BV767" s="2040">
        <v>215.99</v>
      </c>
      <c r="BW767" s="2040">
        <v>215.99</v>
      </c>
      <c r="BX767" s="2040">
        <v>215.99</v>
      </c>
      <c r="BY767" s="2040">
        <v>48.89</v>
      </c>
      <c r="BZ767" s="2040">
        <v>48.89</v>
      </c>
      <c r="CA767" s="2040">
        <v>160.71</v>
      </c>
      <c r="CB767" s="2040">
        <v>160.71</v>
      </c>
      <c r="CC767" s="2040">
        <v>163.03</v>
      </c>
      <c r="CD767" s="2040">
        <v>163.03</v>
      </c>
      <c r="CE767" s="2040">
        <v>212.24</v>
      </c>
      <c r="CF767" s="2040">
        <v>212.24</v>
      </c>
      <c r="CK767" s="2040">
        <v>121.77</v>
      </c>
      <c r="CL767" s="2040">
        <v>121.77</v>
      </c>
      <c r="CM767" s="2040">
        <v>246.68</v>
      </c>
      <c r="CN767" s="2040">
        <v>246.68</v>
      </c>
      <c r="CO767" s="2040">
        <v>314.98</v>
      </c>
      <c r="CP767" s="2040">
        <v>314.98</v>
      </c>
      <c r="CQ767" s="2040">
        <v>314.98</v>
      </c>
      <c r="CR767" s="2040">
        <v>314.98</v>
      </c>
      <c r="CW767" s="2040">
        <v>113.71</v>
      </c>
      <c r="CX767" s="2040">
        <v>113.71</v>
      </c>
      <c r="CY767" s="2040">
        <v>238.71</v>
      </c>
      <c r="CZ767" s="2040">
        <v>238.71</v>
      </c>
      <c r="DA767" s="2040">
        <v>238.71</v>
      </c>
      <c r="DB767" s="2040">
        <v>238.71</v>
      </c>
      <c r="DC767" s="2040">
        <v>305.27999999999997</v>
      </c>
      <c r="DD767" s="2040">
        <v>305.27999999999997</v>
      </c>
      <c r="DE767" s="2040">
        <v>305.27999999999997</v>
      </c>
      <c r="DF767" s="2040">
        <v>305.27999999999997</v>
      </c>
      <c r="DI767" s="2040">
        <v>30.13</v>
      </c>
      <c r="DJ767" s="2040">
        <v>30.13</v>
      </c>
      <c r="DK767" s="2040">
        <v>30.13</v>
      </c>
      <c r="DL767" s="2040">
        <v>30.13</v>
      </c>
      <c r="DM767" s="2040">
        <v>30.13</v>
      </c>
      <c r="DN767" s="2040">
        <v>30.13</v>
      </c>
      <c r="DU767" s="2040">
        <v>13.38</v>
      </c>
      <c r="DV767" s="2040">
        <v>13.38</v>
      </c>
      <c r="DW767" s="2040">
        <v>12.8</v>
      </c>
      <c r="DX767" s="2040">
        <v>12.8</v>
      </c>
      <c r="DY767" s="2040">
        <v>12.8</v>
      </c>
      <c r="DZ767" s="2040">
        <v>12.8</v>
      </c>
      <c r="EG767" s="2040">
        <v>14.37</v>
      </c>
      <c r="EH767" s="2040">
        <v>14.55</v>
      </c>
      <c r="EI767" s="2040">
        <v>11.45</v>
      </c>
      <c r="EJ767" s="2040">
        <v>11.45</v>
      </c>
      <c r="EK767" s="2040">
        <v>11.44</v>
      </c>
      <c r="EL767" s="2040">
        <v>11.44</v>
      </c>
      <c r="EM767" s="2040">
        <v>12.07</v>
      </c>
      <c r="EN767" s="2040">
        <v>12.07</v>
      </c>
      <c r="EO767" s="2040">
        <v>11.44</v>
      </c>
      <c r="EP767" s="2040">
        <v>11.44</v>
      </c>
      <c r="EQ767" s="2040">
        <v>11.77</v>
      </c>
      <c r="ER767" s="2040">
        <v>11.66</v>
      </c>
      <c r="ES767" s="2040">
        <v>55.03</v>
      </c>
      <c r="ET767" s="2040">
        <v>55.03</v>
      </c>
      <c r="EU767" s="2040">
        <v>236.85</v>
      </c>
      <c r="EV767" s="2040">
        <v>236.85</v>
      </c>
      <c r="EW767" s="2040">
        <v>231.61</v>
      </c>
      <c r="EX767" s="2040">
        <v>231.61</v>
      </c>
      <c r="EY767" s="2506">
        <f t="shared" si="60"/>
        <v>234.23000000000002</v>
      </c>
      <c r="EZ767" s="2506">
        <f t="shared" si="60"/>
        <v>234.23000000000002</v>
      </c>
      <c r="FA767" s="2040">
        <v>235.24</v>
      </c>
      <c r="FB767" s="2040">
        <v>235.24</v>
      </c>
      <c r="FE767" s="2040">
        <v>47.31</v>
      </c>
      <c r="FF767" s="2040">
        <v>47.31</v>
      </c>
      <c r="FG767" s="2040">
        <v>199.4</v>
      </c>
      <c r="FH767" s="2040">
        <v>199.4</v>
      </c>
      <c r="FI767" s="2040">
        <v>199.4</v>
      </c>
      <c r="FJ767" s="2040">
        <v>201.1</v>
      </c>
      <c r="FK767" s="2040">
        <v>198.9</v>
      </c>
      <c r="FL767" s="2040">
        <v>198.9</v>
      </c>
      <c r="FM767" s="2040">
        <v>199.74</v>
      </c>
      <c r="FN767" s="2040">
        <v>199.74</v>
      </c>
      <c r="FQ767" s="2040">
        <v>106.85</v>
      </c>
      <c r="FR767" s="2040">
        <v>106.85</v>
      </c>
      <c r="FS767" s="2040">
        <v>213.43</v>
      </c>
      <c r="FT767" s="2040">
        <v>213.43</v>
      </c>
      <c r="FU767" s="2040">
        <v>213.43</v>
      </c>
      <c r="FV767" s="2040">
        <v>213.43</v>
      </c>
      <c r="FW767" s="2040">
        <v>213.94</v>
      </c>
      <c r="FX767" s="2040">
        <v>213.94</v>
      </c>
      <c r="GC767" s="2040">
        <v>75.53</v>
      </c>
      <c r="GD767" s="2040">
        <v>75.53</v>
      </c>
      <c r="GE767" s="2040">
        <v>170.18</v>
      </c>
      <c r="GF767" s="2040">
        <v>170.18</v>
      </c>
      <c r="GG767" s="2040">
        <v>170.18</v>
      </c>
      <c r="GH767" s="2040">
        <v>170.18</v>
      </c>
      <c r="GI767" s="2040">
        <v>181.4</v>
      </c>
      <c r="GJ767" s="2040">
        <v>181.4</v>
      </c>
      <c r="GK767" s="2040">
        <v>208.09</v>
      </c>
      <c r="GL767" s="2040">
        <v>208.09</v>
      </c>
      <c r="GO767" s="2040">
        <v>40.44</v>
      </c>
      <c r="GP767" s="2040">
        <v>40.44</v>
      </c>
      <c r="GQ767" s="2040">
        <v>34.82</v>
      </c>
      <c r="GR767" s="2040">
        <v>34.82</v>
      </c>
      <c r="GS767" s="2040">
        <v>34.82</v>
      </c>
      <c r="GT767" s="2040">
        <v>33.56</v>
      </c>
      <c r="GU767" s="2040">
        <v>33.56</v>
      </c>
      <c r="GV767" s="2040">
        <v>33.85</v>
      </c>
      <c r="GW767" s="2040">
        <v>197.97</v>
      </c>
      <c r="GX767" s="2040">
        <v>197.97</v>
      </c>
      <c r="HA767" s="2040">
        <v>28.25</v>
      </c>
      <c r="HB767" s="2040">
        <v>28.25</v>
      </c>
      <c r="HC767" s="2040">
        <v>21.41</v>
      </c>
      <c r="HD767" s="2040">
        <v>21.41</v>
      </c>
      <c r="HE767" s="2040">
        <v>22.14</v>
      </c>
      <c r="HF767" s="2040">
        <v>22.14</v>
      </c>
      <c r="HG767" s="2040">
        <v>22.14</v>
      </c>
      <c r="HH767" s="2040">
        <v>22.14</v>
      </c>
      <c r="HI767" s="2040">
        <v>22.14</v>
      </c>
      <c r="HJ767" s="2040">
        <v>22.14</v>
      </c>
      <c r="HK767" s="2040">
        <v>22.23</v>
      </c>
      <c r="HL767" s="2040">
        <v>22.44</v>
      </c>
      <c r="HM767" s="2040">
        <v>39.57</v>
      </c>
      <c r="HN767" s="2040">
        <v>39.57</v>
      </c>
      <c r="HO767" s="2040">
        <v>30.33</v>
      </c>
      <c r="HP767" s="2040">
        <v>30.33</v>
      </c>
      <c r="HQ767" s="2040">
        <v>31.34</v>
      </c>
      <c r="HR767" s="2040">
        <v>31.34</v>
      </c>
      <c r="HS767" s="2040">
        <v>31.34</v>
      </c>
      <c r="HT767" s="2040">
        <v>31.34</v>
      </c>
      <c r="HU767" s="2040">
        <v>31.34</v>
      </c>
      <c r="HV767" s="2040">
        <v>31.34</v>
      </c>
      <c r="HW767" s="2040">
        <v>31.43</v>
      </c>
      <c r="HX767" s="2040">
        <v>31.43</v>
      </c>
    </row>
    <row r="768" spans="2:232" s="2040" customFormat="1" ht="14" x14ac:dyDescent="0.3">
      <c r="B768" s="2504">
        <v>69</v>
      </c>
      <c r="C768" s="2505">
        <v>44.79</v>
      </c>
      <c r="D768" s="2505">
        <v>44.79</v>
      </c>
      <c r="E768" s="2505">
        <v>44.95</v>
      </c>
      <c r="F768" s="2505">
        <v>44.95</v>
      </c>
      <c r="G768" s="2505">
        <v>172.72</v>
      </c>
      <c r="H768" s="2505">
        <v>172.72</v>
      </c>
      <c r="I768" s="2505">
        <v>163.33000000000001</v>
      </c>
      <c r="J768" s="2505">
        <v>163.33000000000001</v>
      </c>
      <c r="K768" s="2505">
        <v>168.8</v>
      </c>
      <c r="L768" s="2505">
        <v>168.8</v>
      </c>
      <c r="M768" s="2505"/>
      <c r="N768" s="2505"/>
      <c r="O768" s="2505">
        <v>140.41</v>
      </c>
      <c r="P768" s="2505">
        <v>140.41</v>
      </c>
      <c r="Q768" s="2505">
        <v>140.05000000000001</v>
      </c>
      <c r="R768" s="2505">
        <v>140.41999999999999</v>
      </c>
      <c r="S768" s="2505">
        <v>256.92</v>
      </c>
      <c r="T768" s="2505">
        <v>256.43</v>
      </c>
      <c r="U768" s="2505">
        <v>247.52</v>
      </c>
      <c r="V768" s="2505">
        <v>247.52</v>
      </c>
      <c r="W768" s="2505">
        <v>256.43</v>
      </c>
      <c r="X768" s="2505">
        <v>256.43</v>
      </c>
      <c r="Y768" s="2505">
        <v>247.52</v>
      </c>
      <c r="Z768" s="2505">
        <v>256.43</v>
      </c>
      <c r="AA768" s="2505">
        <v>256.43</v>
      </c>
      <c r="AB768" s="2505">
        <v>256.43</v>
      </c>
      <c r="AC768" s="2505">
        <v>247.52</v>
      </c>
      <c r="AD768" s="2505">
        <v>247.52</v>
      </c>
      <c r="AE768" s="2505">
        <v>270.29000000000002</v>
      </c>
      <c r="AF768" s="2505">
        <v>262.52</v>
      </c>
      <c r="AG768" s="2505">
        <v>270.29000000000002</v>
      </c>
      <c r="AH768" s="2505">
        <v>270.29000000000002</v>
      </c>
      <c r="AI768" s="2505">
        <v>262.52</v>
      </c>
      <c r="AJ768" s="2505">
        <v>262.52</v>
      </c>
      <c r="AK768" s="2505">
        <v>263.02999999999997</v>
      </c>
      <c r="AL768" s="2505">
        <v>263.02999999999997</v>
      </c>
      <c r="AM768" s="2505">
        <v>74.150000000000006</v>
      </c>
      <c r="AN768" s="2505">
        <v>71.45</v>
      </c>
      <c r="AO768" s="2505">
        <v>71.45</v>
      </c>
      <c r="AP768" s="2505">
        <v>71.099999999999994</v>
      </c>
      <c r="AQ768" s="2505">
        <v>71.5</v>
      </c>
      <c r="AR768" s="2505">
        <v>71.5</v>
      </c>
      <c r="AS768" s="2505">
        <v>211.88</v>
      </c>
      <c r="AT768" s="2505">
        <v>211.88</v>
      </c>
      <c r="AU768" s="2505">
        <v>211.88</v>
      </c>
      <c r="AV768" s="2505">
        <v>216.71</v>
      </c>
      <c r="AW768" s="2505">
        <v>212.13</v>
      </c>
      <c r="AX768" s="2505">
        <v>212.13</v>
      </c>
      <c r="AY768" s="2505">
        <v>212.26</v>
      </c>
      <c r="AZ768" s="2505">
        <v>212.26</v>
      </c>
      <c r="BA768" s="2040">
        <v>92.69</v>
      </c>
      <c r="BB768" s="2040">
        <v>92.69</v>
      </c>
      <c r="BC768" s="2040">
        <v>23.34</v>
      </c>
      <c r="BD768" s="2040">
        <v>23.55</v>
      </c>
      <c r="BE768" s="2040">
        <v>26.56</v>
      </c>
      <c r="BF768" s="2040">
        <v>26.56</v>
      </c>
      <c r="BG768" s="2040">
        <v>23.35</v>
      </c>
      <c r="BH768" s="2040">
        <v>23.35</v>
      </c>
      <c r="BI768" s="2040">
        <v>23.17</v>
      </c>
      <c r="BJ768" s="2040">
        <v>23.17</v>
      </c>
      <c r="BK768" s="2040">
        <v>23.17</v>
      </c>
      <c r="BL768" s="2040">
        <v>23.17</v>
      </c>
      <c r="BM768" s="2040">
        <v>54.14</v>
      </c>
      <c r="BN768" s="2040">
        <v>54.14</v>
      </c>
      <c r="BO768" s="2040">
        <v>169.08</v>
      </c>
      <c r="BP768" s="2040">
        <v>169.08</v>
      </c>
      <c r="BQ768" s="2040">
        <v>169.08</v>
      </c>
      <c r="BR768" s="2040">
        <v>169.08</v>
      </c>
      <c r="BS768" s="2040">
        <v>217.11</v>
      </c>
      <c r="BT768" s="2040">
        <v>217.11</v>
      </c>
      <c r="BU768" s="2040">
        <v>217.11</v>
      </c>
      <c r="BV768" s="2040">
        <v>217.11</v>
      </c>
      <c r="BW768" s="2040">
        <v>217.11</v>
      </c>
      <c r="BX768" s="2040">
        <v>217.11</v>
      </c>
      <c r="BY768" s="2040">
        <v>49.08</v>
      </c>
      <c r="BZ768" s="2040">
        <v>49.08</v>
      </c>
      <c r="CA768" s="2040">
        <v>161.44999999999999</v>
      </c>
      <c r="CB768" s="2040">
        <v>161.44999999999999</v>
      </c>
      <c r="CC768" s="2040">
        <v>163.79</v>
      </c>
      <c r="CD768" s="2040">
        <v>163.79</v>
      </c>
      <c r="CE768" s="2040">
        <v>213.4</v>
      </c>
      <c r="CF768" s="2040">
        <v>213.4</v>
      </c>
      <c r="CK768" s="2040">
        <v>122.29</v>
      </c>
      <c r="CL768" s="2040">
        <v>122.29</v>
      </c>
      <c r="CM768" s="2040">
        <v>247.61</v>
      </c>
      <c r="CN768" s="2040">
        <v>247.61</v>
      </c>
      <c r="CO768" s="2040">
        <v>316.49</v>
      </c>
      <c r="CP768" s="2040">
        <v>316.49</v>
      </c>
      <c r="CQ768" s="2040">
        <v>316.49</v>
      </c>
      <c r="CR768" s="2040">
        <v>316.49</v>
      </c>
      <c r="CW768" s="2040">
        <v>114.19</v>
      </c>
      <c r="CX768" s="2040">
        <v>114.19</v>
      </c>
      <c r="CY768" s="2040">
        <v>239.6</v>
      </c>
      <c r="CZ768" s="2040">
        <v>239.6</v>
      </c>
      <c r="DA768" s="2040">
        <v>239.6</v>
      </c>
      <c r="DB768" s="2040">
        <v>239.6</v>
      </c>
      <c r="DC768" s="2040">
        <v>306.7</v>
      </c>
      <c r="DD768" s="2040">
        <v>306.7</v>
      </c>
      <c r="DE768" s="2040">
        <v>306.7</v>
      </c>
      <c r="DF768" s="2040">
        <v>306.7</v>
      </c>
      <c r="DI768" s="2040">
        <v>30.25</v>
      </c>
      <c r="DJ768" s="2040">
        <v>30.25</v>
      </c>
      <c r="DK768" s="2040">
        <v>30.25</v>
      </c>
      <c r="DL768" s="2040">
        <v>30.25</v>
      </c>
      <c r="DM768" s="2040">
        <v>30.25</v>
      </c>
      <c r="DN768" s="2040">
        <v>30.25</v>
      </c>
      <c r="DU768" s="2040">
        <v>13.44</v>
      </c>
      <c r="DV768" s="2040">
        <v>13.44</v>
      </c>
      <c r="DW768" s="2040">
        <v>12.86</v>
      </c>
      <c r="DX768" s="2040">
        <v>12.86</v>
      </c>
      <c r="DY768" s="2040">
        <v>12.86</v>
      </c>
      <c r="DZ768" s="2040">
        <v>12.86</v>
      </c>
      <c r="EG768" s="2040">
        <v>14.43</v>
      </c>
      <c r="EH768" s="2040">
        <v>14.61</v>
      </c>
      <c r="EI768" s="2040">
        <v>11.52</v>
      </c>
      <c r="EJ768" s="2040">
        <v>11.52</v>
      </c>
      <c r="EK768" s="2040">
        <v>11.51</v>
      </c>
      <c r="EL768" s="2040">
        <v>11.51</v>
      </c>
      <c r="EM768" s="2040">
        <v>12.14</v>
      </c>
      <c r="EN768" s="2040">
        <v>12.14</v>
      </c>
      <c r="EO768" s="2040">
        <v>11.51</v>
      </c>
      <c r="EP768" s="2040">
        <v>11.51</v>
      </c>
      <c r="EQ768" s="2040">
        <v>11.84</v>
      </c>
      <c r="ER768" s="2040">
        <v>11.73</v>
      </c>
      <c r="ES768" s="2040">
        <v>55.24</v>
      </c>
      <c r="ET768" s="2040">
        <v>55.24</v>
      </c>
      <c r="EU768" s="2040">
        <v>238.18</v>
      </c>
      <c r="EV768" s="2040">
        <v>238.18</v>
      </c>
      <c r="EW768" s="2040">
        <v>232.93</v>
      </c>
      <c r="EX768" s="2040">
        <v>232.93</v>
      </c>
      <c r="EY768" s="2506">
        <f t="shared" si="60"/>
        <v>235.55500000000001</v>
      </c>
      <c r="EZ768" s="2506">
        <f t="shared" si="60"/>
        <v>235.55500000000001</v>
      </c>
      <c r="FA768" s="2040">
        <v>236.52</v>
      </c>
      <c r="FB768" s="2040">
        <v>236.52</v>
      </c>
      <c r="FE768" s="2040">
        <v>47.5</v>
      </c>
      <c r="FF768" s="2040">
        <v>47.5</v>
      </c>
      <c r="FG768" s="2040">
        <v>200.54</v>
      </c>
      <c r="FH768" s="2040">
        <v>200.54</v>
      </c>
      <c r="FI768" s="2040">
        <v>200.54</v>
      </c>
      <c r="FJ768" s="2040">
        <v>202.2</v>
      </c>
      <c r="FK768" s="2040">
        <v>200.05</v>
      </c>
      <c r="FL768" s="2040">
        <v>200.05</v>
      </c>
      <c r="FM768" s="2040">
        <v>200.87</v>
      </c>
      <c r="FN768" s="2040">
        <v>200.87</v>
      </c>
      <c r="FQ768" s="2040">
        <v>107.29</v>
      </c>
      <c r="FR768" s="2040">
        <v>107.29</v>
      </c>
      <c r="FS768" s="2040">
        <v>214.43</v>
      </c>
      <c r="FT768" s="2040">
        <v>214.43</v>
      </c>
      <c r="FU768" s="2040">
        <v>214.43</v>
      </c>
      <c r="FV768" s="2040">
        <v>214.43</v>
      </c>
      <c r="FW768" s="2040">
        <v>214.93</v>
      </c>
      <c r="FX768" s="2040">
        <v>214.93</v>
      </c>
      <c r="GC768" s="2040">
        <v>75.83</v>
      </c>
      <c r="GD768" s="2040">
        <v>75.83</v>
      </c>
      <c r="GE768" s="2040">
        <v>170.8</v>
      </c>
      <c r="GF768" s="2040">
        <v>170.8</v>
      </c>
      <c r="GG768" s="2040">
        <v>170.8</v>
      </c>
      <c r="GH768" s="2040">
        <v>170.8</v>
      </c>
      <c r="GI768" s="2040">
        <v>182.74</v>
      </c>
      <c r="GJ768" s="2040">
        <v>182.74</v>
      </c>
      <c r="GK768" s="2040">
        <v>209.2</v>
      </c>
      <c r="GL768" s="2040">
        <v>209.2</v>
      </c>
      <c r="GO768" s="2040">
        <v>40.6</v>
      </c>
      <c r="GP768" s="2040">
        <v>40.6</v>
      </c>
      <c r="GQ768" s="2040">
        <v>35.020000000000003</v>
      </c>
      <c r="GR768" s="2040">
        <v>35.020000000000003</v>
      </c>
      <c r="GS768" s="2040">
        <v>35.020000000000003</v>
      </c>
      <c r="GT768" s="2040">
        <v>33.75</v>
      </c>
      <c r="GU768" s="2040">
        <v>33.75</v>
      </c>
      <c r="GV768" s="2040">
        <v>34.04</v>
      </c>
      <c r="GW768" s="2040">
        <v>199.07</v>
      </c>
      <c r="GX768" s="2040">
        <v>199.07</v>
      </c>
      <c r="HA768" s="2040">
        <v>28.36</v>
      </c>
      <c r="HB768" s="2040">
        <v>28.36</v>
      </c>
      <c r="HC768" s="2040">
        <v>21.56</v>
      </c>
      <c r="HD768" s="2040">
        <v>21.56</v>
      </c>
      <c r="HE768" s="2040">
        <v>22.29</v>
      </c>
      <c r="HF768" s="2040">
        <v>22.29</v>
      </c>
      <c r="HG768" s="2040">
        <v>22.29</v>
      </c>
      <c r="HH768" s="2040">
        <v>22.29</v>
      </c>
      <c r="HI768" s="2040">
        <v>22.29</v>
      </c>
      <c r="HJ768" s="2040">
        <v>22.29</v>
      </c>
      <c r="HK768" s="2040">
        <v>22.37</v>
      </c>
      <c r="HL768" s="2040">
        <v>22.58</v>
      </c>
      <c r="HM768" s="2040">
        <v>39.69</v>
      </c>
      <c r="HN768" s="2040">
        <v>39.69</v>
      </c>
      <c r="HO768" s="2040">
        <v>30.49</v>
      </c>
      <c r="HP768" s="2040">
        <v>30.49</v>
      </c>
      <c r="HQ768" s="2040">
        <v>31.51</v>
      </c>
      <c r="HR768" s="2040">
        <v>31.51</v>
      </c>
      <c r="HS768" s="2040">
        <v>31.51</v>
      </c>
      <c r="HT768" s="2040">
        <v>31.51</v>
      </c>
      <c r="HU768" s="2040">
        <v>31.51</v>
      </c>
      <c r="HV768" s="2040">
        <v>31.51</v>
      </c>
      <c r="HW768" s="2040">
        <v>31.59</v>
      </c>
      <c r="HX768" s="2040">
        <v>31.59</v>
      </c>
    </row>
    <row r="769" spans="2:232" s="2040" customFormat="1" ht="14" x14ac:dyDescent="0.3">
      <c r="B769" s="2504">
        <v>70</v>
      </c>
      <c r="C769" s="2505">
        <v>44.96</v>
      </c>
      <c r="D769" s="2505">
        <v>44.96</v>
      </c>
      <c r="E769" s="2505">
        <v>45.11</v>
      </c>
      <c r="F769" s="2505">
        <v>45.11</v>
      </c>
      <c r="G769" s="2505">
        <v>173.53</v>
      </c>
      <c r="H769" s="2505">
        <v>173.53</v>
      </c>
      <c r="I769" s="2505">
        <v>164.14</v>
      </c>
      <c r="J769" s="2505">
        <v>164.14</v>
      </c>
      <c r="K769" s="2505">
        <v>169.51</v>
      </c>
      <c r="L769" s="2505">
        <v>169.51</v>
      </c>
      <c r="M769" s="2505"/>
      <c r="N769" s="2505"/>
      <c r="O769" s="2505">
        <v>140.94</v>
      </c>
      <c r="P769" s="2505">
        <v>140.94</v>
      </c>
      <c r="Q769" s="2505">
        <v>140.57</v>
      </c>
      <c r="R769" s="2505">
        <v>140.94999999999999</v>
      </c>
      <c r="S769" s="2505">
        <v>258.3</v>
      </c>
      <c r="T769" s="2505">
        <v>257.85000000000002</v>
      </c>
      <c r="U769" s="2505">
        <v>248.9</v>
      </c>
      <c r="V769" s="2505">
        <v>248.9</v>
      </c>
      <c r="W769" s="2505">
        <v>257.85000000000002</v>
      </c>
      <c r="X769" s="2505">
        <v>257.85000000000002</v>
      </c>
      <c r="Y769" s="2505">
        <v>248.9</v>
      </c>
      <c r="Z769" s="2505">
        <v>257.85000000000002</v>
      </c>
      <c r="AA769" s="2505">
        <v>257.85000000000002</v>
      </c>
      <c r="AB769" s="2505">
        <v>257.85000000000002</v>
      </c>
      <c r="AC769" s="2505">
        <v>248.9</v>
      </c>
      <c r="AD769" s="2505">
        <v>248.9</v>
      </c>
      <c r="AE769" s="2505">
        <v>271.58</v>
      </c>
      <c r="AF769" s="2505">
        <v>263.77</v>
      </c>
      <c r="AG769" s="2505">
        <v>271.58</v>
      </c>
      <c r="AH769" s="2505">
        <v>271.58</v>
      </c>
      <c r="AI769" s="2505">
        <v>263.77</v>
      </c>
      <c r="AJ769" s="2505">
        <v>263.77</v>
      </c>
      <c r="AK769" s="2505">
        <v>264.27</v>
      </c>
      <c r="AL769" s="2505">
        <v>264.27</v>
      </c>
      <c r="AM769" s="2505">
        <v>74.44</v>
      </c>
      <c r="AN769" s="2505">
        <v>71.73</v>
      </c>
      <c r="AO769" s="2505">
        <v>71.73</v>
      </c>
      <c r="AP769" s="2505">
        <v>71.36</v>
      </c>
      <c r="AQ769" s="2505">
        <v>71.739999999999995</v>
      </c>
      <c r="AR769" s="2505">
        <v>71.739999999999995</v>
      </c>
      <c r="AS769" s="2505">
        <v>212.84</v>
      </c>
      <c r="AT769" s="2505">
        <v>212.84</v>
      </c>
      <c r="AU769" s="2505">
        <v>212.84</v>
      </c>
      <c r="AV769" s="2505">
        <v>217.69</v>
      </c>
      <c r="AW769" s="2505">
        <v>213.1</v>
      </c>
      <c r="AX769" s="2505">
        <v>213.1</v>
      </c>
      <c r="AY769" s="2505">
        <v>213.23</v>
      </c>
      <c r="AZ769" s="2505">
        <v>213.23</v>
      </c>
      <c r="BA769" s="2040">
        <v>93.07</v>
      </c>
      <c r="BB769" s="2040">
        <v>93.07</v>
      </c>
      <c r="BC769" s="2040">
        <v>23.49</v>
      </c>
      <c r="BD769" s="2040">
        <v>23.69</v>
      </c>
      <c r="BE769" s="2040">
        <v>26.65</v>
      </c>
      <c r="BF769" s="2040">
        <v>26.65</v>
      </c>
      <c r="BG769" s="2040">
        <v>23.47</v>
      </c>
      <c r="BH769" s="2040">
        <v>23.47</v>
      </c>
      <c r="BI769" s="2040">
        <v>23.28</v>
      </c>
      <c r="BJ769" s="2040">
        <v>23.28</v>
      </c>
      <c r="BK769" s="2040">
        <v>23.28</v>
      </c>
      <c r="BL769" s="2040">
        <v>23.28</v>
      </c>
      <c r="BM769" s="2040">
        <v>54.3</v>
      </c>
      <c r="BN769" s="2040">
        <v>54.3</v>
      </c>
      <c r="BO769" s="2040">
        <v>169.67</v>
      </c>
      <c r="BP769" s="2040">
        <v>169.67</v>
      </c>
      <c r="BQ769" s="2040">
        <v>169.67</v>
      </c>
      <c r="BR769" s="2040">
        <v>169.67</v>
      </c>
      <c r="BS769" s="2040">
        <v>218.03</v>
      </c>
      <c r="BT769" s="2040">
        <v>218.03</v>
      </c>
      <c r="BU769" s="2040">
        <v>218.03</v>
      </c>
      <c r="BV769" s="2040">
        <v>218.03</v>
      </c>
      <c r="BW769" s="2040">
        <v>218.03</v>
      </c>
      <c r="BX769" s="2040">
        <v>218.03</v>
      </c>
      <c r="BY769" s="2040">
        <v>49.24</v>
      </c>
      <c r="BZ769" s="2040">
        <v>49.24</v>
      </c>
      <c r="CA769" s="2040">
        <v>162.08000000000001</v>
      </c>
      <c r="CB769" s="2040">
        <v>162.08000000000001</v>
      </c>
      <c r="CC769" s="2040">
        <v>164.43</v>
      </c>
      <c r="CD769" s="2040">
        <v>164.43</v>
      </c>
      <c r="CE769" s="2040">
        <v>214.39</v>
      </c>
      <c r="CF769" s="2040">
        <v>214.39</v>
      </c>
      <c r="CK769" s="2040">
        <v>122.76</v>
      </c>
      <c r="CL769" s="2040">
        <v>122.76</v>
      </c>
      <c r="CM769" s="2040">
        <v>248.43</v>
      </c>
      <c r="CN769" s="2040">
        <v>248.43</v>
      </c>
      <c r="CO769" s="2040">
        <v>317.82</v>
      </c>
      <c r="CP769" s="2040">
        <v>317.82</v>
      </c>
      <c r="CQ769" s="2040">
        <v>317.82</v>
      </c>
      <c r="CR769" s="2040">
        <v>317.82</v>
      </c>
      <c r="CW769" s="2040">
        <v>114.62</v>
      </c>
      <c r="CX769" s="2040">
        <v>114.62</v>
      </c>
      <c r="CY769" s="2040">
        <v>240.36</v>
      </c>
      <c r="CZ769" s="2040">
        <v>240.36</v>
      </c>
      <c r="DA769" s="2040">
        <v>240.36</v>
      </c>
      <c r="DB769" s="2040">
        <v>240.36</v>
      </c>
      <c r="DC769" s="2040">
        <v>307.94</v>
      </c>
      <c r="DD769" s="2040">
        <v>307.94</v>
      </c>
      <c r="DE769" s="2040">
        <v>307.94</v>
      </c>
      <c r="DF769" s="2040">
        <v>307.94</v>
      </c>
      <c r="DI769" s="2040">
        <v>30.36</v>
      </c>
      <c r="DJ769" s="2040">
        <v>30.36</v>
      </c>
      <c r="DK769" s="2040">
        <v>30.36</v>
      </c>
      <c r="DL769" s="2040">
        <v>30.36</v>
      </c>
      <c r="DM769" s="2040">
        <v>30.36</v>
      </c>
      <c r="DN769" s="2040">
        <v>30.36</v>
      </c>
      <c r="DU769" s="2040">
        <v>13.5</v>
      </c>
      <c r="DV769" s="2040">
        <v>13.5</v>
      </c>
      <c r="DW769" s="2040">
        <v>12.93</v>
      </c>
      <c r="DX769" s="2040">
        <v>12.93</v>
      </c>
      <c r="DY769" s="2040">
        <v>12.93</v>
      </c>
      <c r="DZ769" s="2040">
        <v>12.93</v>
      </c>
      <c r="EG769" s="2040">
        <v>14.48</v>
      </c>
      <c r="EH769" s="2040">
        <v>14.66</v>
      </c>
      <c r="EI769" s="2040">
        <v>11.6</v>
      </c>
      <c r="EJ769" s="2040">
        <v>11.6</v>
      </c>
      <c r="EK769" s="2040">
        <v>11.59</v>
      </c>
      <c r="EL769" s="2040">
        <v>11.59</v>
      </c>
      <c r="EM769" s="2040">
        <v>12.21</v>
      </c>
      <c r="EN769" s="2040">
        <v>12.21</v>
      </c>
      <c r="EO769" s="2040">
        <v>11.58</v>
      </c>
      <c r="EP769" s="2040">
        <v>11.58</v>
      </c>
      <c r="EQ769" s="2040">
        <v>11.91</v>
      </c>
      <c r="ER769" s="2040">
        <v>11.79</v>
      </c>
      <c r="ES769" s="2040">
        <v>55.46</v>
      </c>
      <c r="ET769" s="2040">
        <v>55.46</v>
      </c>
      <c r="EU769" s="2040">
        <v>239.48</v>
      </c>
      <c r="EV769" s="2040">
        <v>239.48</v>
      </c>
      <c r="EW769" s="2040">
        <v>234.22</v>
      </c>
      <c r="EX769" s="2040">
        <v>234.22</v>
      </c>
      <c r="EY769" s="2506">
        <f t="shared" si="60"/>
        <v>236.85</v>
      </c>
      <c r="EZ769" s="2506">
        <f t="shared" si="60"/>
        <v>236.85</v>
      </c>
      <c r="FA769" s="2040">
        <v>237.76</v>
      </c>
      <c r="FB769" s="2040">
        <v>237.76</v>
      </c>
      <c r="FE769" s="2040">
        <v>47.69</v>
      </c>
      <c r="FF769" s="2040">
        <v>47.69</v>
      </c>
      <c r="FG769" s="2040">
        <v>201.66</v>
      </c>
      <c r="FH769" s="2040">
        <v>201.66</v>
      </c>
      <c r="FI769" s="2040">
        <v>201.66</v>
      </c>
      <c r="FJ769" s="2040">
        <v>203.28</v>
      </c>
      <c r="FK769" s="2040">
        <v>201.17</v>
      </c>
      <c r="FL769" s="2040">
        <v>201.17</v>
      </c>
      <c r="FM769" s="2040">
        <v>201.98</v>
      </c>
      <c r="FN769" s="2040">
        <v>201.98</v>
      </c>
      <c r="FQ769" s="2040">
        <v>107.71</v>
      </c>
      <c r="FR769" s="2040">
        <v>107.71</v>
      </c>
      <c r="FS769" s="2040">
        <v>215.41</v>
      </c>
      <c r="FT769" s="2040">
        <v>215.41</v>
      </c>
      <c r="FU769" s="2040">
        <v>215.41</v>
      </c>
      <c r="FV769" s="2040">
        <v>215.41</v>
      </c>
      <c r="FW769" s="2040">
        <v>215.89</v>
      </c>
      <c r="FX769" s="2040">
        <v>215.89</v>
      </c>
      <c r="GC769" s="2040">
        <v>76.12</v>
      </c>
      <c r="GD769" s="2040">
        <v>76.12</v>
      </c>
      <c r="GE769" s="2040">
        <v>171.41</v>
      </c>
      <c r="GF769" s="2040">
        <v>171.41</v>
      </c>
      <c r="GG769" s="2040">
        <v>171.41</v>
      </c>
      <c r="GH769" s="2040">
        <v>171.41</v>
      </c>
      <c r="GI769" s="2040">
        <v>184.05</v>
      </c>
      <c r="GJ769" s="2040">
        <v>184.05</v>
      </c>
      <c r="GK769" s="2040">
        <v>210.29</v>
      </c>
      <c r="GL769" s="2040">
        <v>210.29</v>
      </c>
      <c r="GO769" s="2040">
        <v>40.76</v>
      </c>
      <c r="GP769" s="2040">
        <v>40.76</v>
      </c>
      <c r="GQ769" s="2040">
        <v>35.200000000000003</v>
      </c>
      <c r="GR769" s="2040">
        <v>35.200000000000003</v>
      </c>
      <c r="GS769" s="2040">
        <v>35.200000000000003</v>
      </c>
      <c r="GT769" s="2040">
        <v>33.93</v>
      </c>
      <c r="GU769" s="2040">
        <v>33.93</v>
      </c>
      <c r="GV769" s="2040">
        <v>34.21</v>
      </c>
      <c r="GW769" s="2040">
        <v>200.08</v>
      </c>
      <c r="GX769" s="2040">
        <v>200.08</v>
      </c>
      <c r="HA769" s="2040">
        <v>28.47</v>
      </c>
      <c r="HB769" s="2040">
        <v>28.47</v>
      </c>
      <c r="HC769" s="2040">
        <v>21.71</v>
      </c>
      <c r="HD769" s="2040">
        <v>21.71</v>
      </c>
      <c r="HE769" s="2040">
        <v>22.47</v>
      </c>
      <c r="HF769" s="2040">
        <v>22.47</v>
      </c>
      <c r="HG769" s="2040">
        <v>22.47</v>
      </c>
      <c r="HH769" s="2040">
        <v>22.47</v>
      </c>
      <c r="HI769" s="2040">
        <v>22.47</v>
      </c>
      <c r="HJ769" s="2040">
        <v>22.47</v>
      </c>
      <c r="HK769" s="2040">
        <v>22.51</v>
      </c>
      <c r="HL769" s="2040">
        <v>22.72</v>
      </c>
      <c r="HM769" s="2040">
        <v>39.81</v>
      </c>
      <c r="HN769" s="2040">
        <v>39.81</v>
      </c>
      <c r="HO769" s="2040">
        <v>30.66</v>
      </c>
      <c r="HP769" s="2040">
        <v>30.66</v>
      </c>
      <c r="HQ769" s="2040">
        <v>31.77</v>
      </c>
      <c r="HR769" s="2040">
        <v>31.77</v>
      </c>
      <c r="HS769" s="2040">
        <v>31.77</v>
      </c>
      <c r="HT769" s="2040">
        <v>31.77</v>
      </c>
      <c r="HU769" s="2040">
        <v>31.77</v>
      </c>
      <c r="HV769" s="2040">
        <v>31.77</v>
      </c>
      <c r="HW769" s="2040">
        <v>31.75</v>
      </c>
      <c r="HX769" s="2040">
        <v>31.75</v>
      </c>
    </row>
    <row r="770" spans="2:232" s="2040" customFormat="1" ht="14" x14ac:dyDescent="0.3">
      <c r="B770" s="2504">
        <v>71</v>
      </c>
      <c r="C770" s="2505">
        <v>45.13</v>
      </c>
      <c r="D770" s="2505">
        <v>45.13</v>
      </c>
      <c r="E770" s="2505">
        <v>45.28</v>
      </c>
      <c r="F770" s="2505">
        <v>45.28</v>
      </c>
      <c r="G770" s="2505">
        <v>174.41</v>
      </c>
      <c r="H770" s="2505">
        <v>174.41</v>
      </c>
      <c r="I770" s="2505">
        <v>164.96</v>
      </c>
      <c r="J770" s="2505">
        <v>164.96</v>
      </c>
      <c r="K770" s="2505">
        <v>170.23</v>
      </c>
      <c r="L770" s="2505">
        <v>170.23</v>
      </c>
      <c r="M770" s="2505"/>
      <c r="N770" s="2505"/>
      <c r="O770" s="2505">
        <v>141.52000000000001</v>
      </c>
      <c r="P770" s="2505">
        <v>141.52000000000001</v>
      </c>
      <c r="Q770" s="2505">
        <v>141.13</v>
      </c>
      <c r="R770" s="2505">
        <v>141.53</v>
      </c>
      <c r="S770" s="2505">
        <v>259.81</v>
      </c>
      <c r="T770" s="2505">
        <v>259.24</v>
      </c>
      <c r="U770" s="2505">
        <v>250.24</v>
      </c>
      <c r="V770" s="2505">
        <v>250.24</v>
      </c>
      <c r="W770" s="2505">
        <v>259.24</v>
      </c>
      <c r="X770" s="2505">
        <v>259.24</v>
      </c>
      <c r="Y770" s="2505">
        <v>250.24</v>
      </c>
      <c r="Z770" s="2505">
        <v>259.24</v>
      </c>
      <c r="AA770" s="2505">
        <v>259.24</v>
      </c>
      <c r="AB770" s="2505">
        <v>259.24</v>
      </c>
      <c r="AC770" s="2505">
        <v>250.24</v>
      </c>
      <c r="AD770" s="2505">
        <v>250.24</v>
      </c>
      <c r="AE770" s="2505">
        <v>272.83999999999997</v>
      </c>
      <c r="AF770" s="2505">
        <v>265</v>
      </c>
      <c r="AG770" s="2505">
        <v>272.83999999999997</v>
      </c>
      <c r="AH770" s="2505">
        <v>272.83999999999997</v>
      </c>
      <c r="AI770" s="2505">
        <v>265</v>
      </c>
      <c r="AJ770" s="2505">
        <v>265</v>
      </c>
      <c r="AK770" s="2505">
        <v>265.48</v>
      </c>
      <c r="AL770" s="2505">
        <v>265.48</v>
      </c>
      <c r="AM770" s="2505">
        <v>74.72</v>
      </c>
      <c r="AN770" s="2505">
        <v>72</v>
      </c>
      <c r="AO770" s="2505">
        <v>72</v>
      </c>
      <c r="AP770" s="2505">
        <v>71.650000000000006</v>
      </c>
      <c r="AQ770" s="2505">
        <v>72.02</v>
      </c>
      <c r="AR770" s="2505">
        <v>72.02</v>
      </c>
      <c r="AS770" s="2505">
        <v>213.94</v>
      </c>
      <c r="AT770" s="2505">
        <v>213.94</v>
      </c>
      <c r="AU770" s="2505">
        <v>213.94</v>
      </c>
      <c r="AV770" s="2505">
        <v>218.8</v>
      </c>
      <c r="AW770" s="2505">
        <v>214.19</v>
      </c>
      <c r="AX770" s="2505">
        <v>214.19</v>
      </c>
      <c r="AY770" s="2505">
        <v>214.32</v>
      </c>
      <c r="AZ770" s="2505">
        <v>214.32</v>
      </c>
      <c r="BA770" s="2040">
        <v>93.48</v>
      </c>
      <c r="BB770" s="2040">
        <v>93.48</v>
      </c>
      <c r="BC770" s="2040">
        <v>23.62</v>
      </c>
      <c r="BD770" s="2040">
        <v>23.82</v>
      </c>
      <c r="BE770" s="2040">
        <v>26.74</v>
      </c>
      <c r="BF770" s="2040">
        <v>26.74</v>
      </c>
      <c r="BG770" s="2040">
        <v>23.59</v>
      </c>
      <c r="BH770" s="2040">
        <v>23.59</v>
      </c>
      <c r="BI770" s="2040">
        <v>23.4</v>
      </c>
      <c r="BJ770" s="2040">
        <v>23.4</v>
      </c>
      <c r="BK770" s="2040">
        <v>23.4</v>
      </c>
      <c r="BL770" s="2040">
        <v>23.4</v>
      </c>
      <c r="BM770" s="2040">
        <v>54.53</v>
      </c>
      <c r="BN770" s="2040">
        <v>54.53</v>
      </c>
      <c r="BO770" s="2040">
        <v>170.48</v>
      </c>
      <c r="BP770" s="2040">
        <v>170.48</v>
      </c>
      <c r="BQ770" s="2040">
        <v>170.48</v>
      </c>
      <c r="BR770" s="2040">
        <v>170.48</v>
      </c>
      <c r="BS770" s="2040">
        <v>219.27</v>
      </c>
      <c r="BT770" s="2040">
        <v>219.27</v>
      </c>
      <c r="BU770" s="2040">
        <v>219.27</v>
      </c>
      <c r="BV770" s="2040">
        <v>219.27</v>
      </c>
      <c r="BW770" s="2040">
        <v>219.27</v>
      </c>
      <c r="BX770" s="2040">
        <v>219.27</v>
      </c>
      <c r="BY770" s="2040">
        <v>49.48</v>
      </c>
      <c r="BZ770" s="2040">
        <v>49.48</v>
      </c>
      <c r="CA770" s="2040">
        <v>163.01</v>
      </c>
      <c r="CB770" s="2040">
        <v>163.01</v>
      </c>
      <c r="CC770" s="2040">
        <v>165.38</v>
      </c>
      <c r="CD770" s="2040">
        <v>165.38</v>
      </c>
      <c r="CE770" s="2040">
        <v>215.85</v>
      </c>
      <c r="CF770" s="2040">
        <v>215.85</v>
      </c>
      <c r="CK770" s="2040">
        <v>123.31</v>
      </c>
      <c r="CL770" s="2040">
        <v>123.31</v>
      </c>
      <c r="CM770" s="2040">
        <v>249.28</v>
      </c>
      <c r="CN770" s="2040">
        <v>249.28</v>
      </c>
      <c r="CO770" s="2040">
        <v>319.20999999999998</v>
      </c>
      <c r="CP770" s="2040">
        <v>319.20999999999998</v>
      </c>
      <c r="CQ770" s="2040">
        <v>319.20999999999998</v>
      </c>
      <c r="CR770" s="2040">
        <v>319.20999999999998</v>
      </c>
      <c r="CW770" s="2040">
        <v>115.06</v>
      </c>
      <c r="CX770" s="2040">
        <v>115.06</v>
      </c>
      <c r="CY770" s="2040">
        <v>241.17</v>
      </c>
      <c r="CZ770" s="2040">
        <v>241.17</v>
      </c>
      <c r="DA770" s="2040">
        <v>241.17</v>
      </c>
      <c r="DB770" s="2040">
        <v>241.17</v>
      </c>
      <c r="DC770" s="2040">
        <v>309.24</v>
      </c>
      <c r="DD770" s="2040">
        <v>309.24</v>
      </c>
      <c r="DE770" s="2040">
        <v>309.24</v>
      </c>
      <c r="DF770" s="2040">
        <v>309.24</v>
      </c>
      <c r="DI770" s="2040">
        <v>30.47</v>
      </c>
      <c r="DJ770" s="2040">
        <v>30.47</v>
      </c>
      <c r="DK770" s="2040">
        <v>30.47</v>
      </c>
      <c r="DL770" s="2040">
        <v>30.47</v>
      </c>
      <c r="DM770" s="2040">
        <v>30.47</v>
      </c>
      <c r="DN770" s="2040">
        <v>30.47</v>
      </c>
      <c r="DU770" s="2040">
        <v>13.56</v>
      </c>
      <c r="DV770" s="2040">
        <v>13.56</v>
      </c>
      <c r="DW770" s="2040">
        <v>12.99</v>
      </c>
      <c r="DX770" s="2040">
        <v>12.99</v>
      </c>
      <c r="DY770" s="2040">
        <v>12.99</v>
      </c>
      <c r="DZ770" s="2040">
        <v>12.99</v>
      </c>
      <c r="EG770" s="2040">
        <v>14.54</v>
      </c>
      <c r="EH770" s="2040">
        <v>14.71</v>
      </c>
      <c r="EI770" s="2040">
        <v>11.67</v>
      </c>
      <c r="EJ770" s="2040">
        <v>11.67</v>
      </c>
      <c r="EK770" s="2040">
        <v>11.66</v>
      </c>
      <c r="EL770" s="2040">
        <v>11.66</v>
      </c>
      <c r="EM770" s="2040">
        <v>12.27</v>
      </c>
      <c r="EN770" s="2040">
        <v>12.27</v>
      </c>
      <c r="EO770" s="2040">
        <v>11.64</v>
      </c>
      <c r="EP770" s="2040">
        <v>11.64</v>
      </c>
      <c r="EQ770" s="2040">
        <v>11.98</v>
      </c>
      <c r="ER770" s="2040">
        <v>11.86</v>
      </c>
      <c r="ES770" s="2040">
        <v>55.67</v>
      </c>
      <c r="ET770" s="2040">
        <v>55.67</v>
      </c>
      <c r="EU770" s="2040">
        <v>240.75</v>
      </c>
      <c r="EV770" s="2040">
        <v>240.75</v>
      </c>
      <c r="EW770" s="2040">
        <v>235.47</v>
      </c>
      <c r="EX770" s="2040">
        <v>235.47</v>
      </c>
      <c r="EY770" s="2506">
        <f t="shared" si="60"/>
        <v>238.11</v>
      </c>
      <c r="EZ770" s="2506">
        <f t="shared" si="60"/>
        <v>238.11</v>
      </c>
      <c r="FA770" s="2040">
        <v>238.97</v>
      </c>
      <c r="FB770" s="2040">
        <v>238.97</v>
      </c>
      <c r="FE770" s="2040">
        <v>47.87</v>
      </c>
      <c r="FF770" s="2040">
        <v>47.87</v>
      </c>
      <c r="FG770" s="2040">
        <v>202.75</v>
      </c>
      <c r="FH770" s="2040">
        <v>202.75</v>
      </c>
      <c r="FI770" s="2040">
        <v>202.75</v>
      </c>
      <c r="FJ770" s="2040">
        <v>204.34</v>
      </c>
      <c r="FK770" s="2040">
        <v>202.27</v>
      </c>
      <c r="FL770" s="2040">
        <v>202.27</v>
      </c>
      <c r="FM770" s="2040">
        <v>203.06</v>
      </c>
      <c r="FN770" s="2040">
        <v>203.06</v>
      </c>
      <c r="FQ770" s="2040">
        <v>108.12</v>
      </c>
      <c r="FR770" s="2040">
        <v>108.12</v>
      </c>
      <c r="FS770" s="2040">
        <v>216.37</v>
      </c>
      <c r="FT770" s="2040">
        <v>216.37</v>
      </c>
      <c r="FU770" s="2040">
        <v>216.37</v>
      </c>
      <c r="FV770" s="2040">
        <v>216.37</v>
      </c>
      <c r="FW770" s="2040">
        <v>216.83</v>
      </c>
      <c r="FX770" s="2040">
        <v>216.83</v>
      </c>
      <c r="GC770" s="2040">
        <v>76.41</v>
      </c>
      <c r="GD770" s="2040">
        <v>76.41</v>
      </c>
      <c r="GE770" s="2040">
        <v>172</v>
      </c>
      <c r="GF770" s="2040">
        <v>172</v>
      </c>
      <c r="GG770" s="2040">
        <v>172</v>
      </c>
      <c r="GH770" s="2040">
        <v>172</v>
      </c>
      <c r="GI770" s="2040">
        <v>185.34</v>
      </c>
      <c r="GJ770" s="2040">
        <v>185.34</v>
      </c>
      <c r="GK770" s="2040">
        <v>211.36</v>
      </c>
      <c r="GL770" s="2040">
        <v>211.36</v>
      </c>
      <c r="GO770" s="2040">
        <v>40.909999999999997</v>
      </c>
      <c r="GP770" s="2040">
        <v>40.909999999999997</v>
      </c>
      <c r="GQ770" s="2040">
        <v>35.39</v>
      </c>
      <c r="GR770" s="2040">
        <v>35.39</v>
      </c>
      <c r="GS770" s="2040">
        <v>35.39</v>
      </c>
      <c r="GT770" s="2040">
        <v>34.11</v>
      </c>
      <c r="GU770" s="2040">
        <v>34.11</v>
      </c>
      <c r="GV770" s="2040">
        <v>34.39</v>
      </c>
      <c r="GW770" s="2040">
        <v>201.08</v>
      </c>
      <c r="GX770" s="2040">
        <v>201.08</v>
      </c>
      <c r="HA770" s="2040">
        <v>28.6</v>
      </c>
      <c r="HB770" s="2040">
        <v>28.6</v>
      </c>
      <c r="HC770" s="2040">
        <v>21.89</v>
      </c>
      <c r="HD770" s="2040">
        <v>21.89</v>
      </c>
      <c r="HE770" s="2040">
        <v>22.66</v>
      </c>
      <c r="HF770" s="2040">
        <v>22.66</v>
      </c>
      <c r="HG770" s="2040">
        <v>22.66</v>
      </c>
      <c r="HH770" s="2040">
        <v>22.66</v>
      </c>
      <c r="HI770" s="2040">
        <v>22.66</v>
      </c>
      <c r="HJ770" s="2040">
        <v>22.66</v>
      </c>
      <c r="HK770" s="2040">
        <v>22.69</v>
      </c>
      <c r="HL770" s="2040">
        <v>22.89</v>
      </c>
      <c r="HM770" s="2040">
        <v>40.01</v>
      </c>
      <c r="HN770" s="2040">
        <v>40.01</v>
      </c>
      <c r="HO770" s="2040">
        <v>30.92</v>
      </c>
      <c r="HP770" s="2040">
        <v>30.92</v>
      </c>
      <c r="HQ770" s="2040">
        <v>32</v>
      </c>
      <c r="HR770" s="2040">
        <v>32</v>
      </c>
      <c r="HS770" s="2040">
        <v>32</v>
      </c>
      <c r="HT770" s="2040">
        <v>32</v>
      </c>
      <c r="HU770" s="2040">
        <v>32</v>
      </c>
      <c r="HV770" s="2040">
        <v>32</v>
      </c>
      <c r="HW770" s="2040">
        <v>32</v>
      </c>
      <c r="HX770" s="2040">
        <v>32</v>
      </c>
    </row>
    <row r="771" spans="2:232" s="2040" customFormat="1" ht="14" x14ac:dyDescent="0.3">
      <c r="B771" s="2504">
        <v>72</v>
      </c>
      <c r="C771" s="2505">
        <v>45.31</v>
      </c>
      <c r="D771" s="2505">
        <v>45.31</v>
      </c>
      <c r="E771" s="2505">
        <v>45.45</v>
      </c>
      <c r="F771" s="2505">
        <v>45.45</v>
      </c>
      <c r="G771" s="2505">
        <v>175.34</v>
      </c>
      <c r="H771" s="2505">
        <v>175.34</v>
      </c>
      <c r="I771" s="2505">
        <v>165.84</v>
      </c>
      <c r="J771" s="2505">
        <v>165.84</v>
      </c>
      <c r="K771" s="2505">
        <v>171</v>
      </c>
      <c r="L771" s="2505">
        <v>171</v>
      </c>
      <c r="M771" s="2505"/>
      <c r="N771" s="2505"/>
      <c r="O771" s="2505">
        <v>142.04</v>
      </c>
      <c r="P771" s="2505">
        <v>142.04</v>
      </c>
      <c r="Q771" s="2505">
        <v>141.63999999999999</v>
      </c>
      <c r="R771" s="2505">
        <v>142.05000000000001</v>
      </c>
      <c r="S771" s="2505">
        <v>261.18</v>
      </c>
      <c r="T771" s="2505">
        <v>260.60000000000002</v>
      </c>
      <c r="U771" s="2505">
        <v>251.55</v>
      </c>
      <c r="V771" s="2505">
        <v>251.55</v>
      </c>
      <c r="W771" s="2505">
        <v>260.60000000000002</v>
      </c>
      <c r="X771" s="2505">
        <v>260.60000000000002</v>
      </c>
      <c r="Y771" s="2505">
        <v>251.55</v>
      </c>
      <c r="Z771" s="2505">
        <v>260.60000000000002</v>
      </c>
      <c r="AA771" s="2505">
        <v>260.60000000000002</v>
      </c>
      <c r="AB771" s="2505">
        <v>260.60000000000002</v>
      </c>
      <c r="AC771" s="2505">
        <v>251.55</v>
      </c>
      <c r="AD771" s="2505">
        <v>251.55</v>
      </c>
      <c r="AE771" s="2505">
        <v>274.07</v>
      </c>
      <c r="AF771" s="2505">
        <v>266.19</v>
      </c>
      <c r="AG771" s="2505">
        <v>274.07</v>
      </c>
      <c r="AH771" s="2505">
        <v>274.07</v>
      </c>
      <c r="AI771" s="2505">
        <v>266.19</v>
      </c>
      <c r="AJ771" s="2505">
        <v>266.19</v>
      </c>
      <c r="AK771" s="2505">
        <v>266.66000000000003</v>
      </c>
      <c r="AL771" s="2505">
        <v>266.66000000000003</v>
      </c>
      <c r="AM771" s="2505">
        <v>74.989999999999995</v>
      </c>
      <c r="AN771" s="2505">
        <v>72.260000000000005</v>
      </c>
      <c r="AO771" s="2505">
        <v>72.260000000000005</v>
      </c>
      <c r="AP771" s="2505">
        <v>71.97</v>
      </c>
      <c r="AQ771" s="2505">
        <v>72.33</v>
      </c>
      <c r="AR771" s="2505">
        <v>72.33</v>
      </c>
      <c r="AS771" s="2505">
        <v>215.14</v>
      </c>
      <c r="AT771" s="2505">
        <v>215.14</v>
      </c>
      <c r="AU771" s="2505">
        <v>215.14</v>
      </c>
      <c r="AV771" s="2505">
        <v>220.01</v>
      </c>
      <c r="AW771" s="2505">
        <v>215.39</v>
      </c>
      <c r="AX771" s="2505">
        <v>215.39</v>
      </c>
      <c r="AY771" s="2505">
        <v>215.52</v>
      </c>
      <c r="AZ771" s="2505">
        <v>215.52</v>
      </c>
      <c r="BA771" s="2040">
        <v>93.95</v>
      </c>
      <c r="BB771" s="2040">
        <v>93.95</v>
      </c>
      <c r="BC771" s="2040">
        <v>23.76</v>
      </c>
      <c r="BD771" s="2040">
        <v>23.95</v>
      </c>
      <c r="BE771" s="2040">
        <v>26.85</v>
      </c>
      <c r="BF771" s="2040">
        <v>26.85</v>
      </c>
      <c r="BG771" s="2040">
        <v>23.73</v>
      </c>
      <c r="BH771" s="2040">
        <v>23.73</v>
      </c>
      <c r="BI771" s="2040">
        <v>23.54</v>
      </c>
      <c r="BJ771" s="2040">
        <v>23.54</v>
      </c>
      <c r="BK771" s="2040">
        <v>23.54</v>
      </c>
      <c r="BL771" s="2040">
        <v>23.54</v>
      </c>
      <c r="BM771" s="2040">
        <v>54.75</v>
      </c>
      <c r="BN771" s="2040">
        <v>54.75</v>
      </c>
      <c r="BO771" s="2040">
        <v>171.28</v>
      </c>
      <c r="BP771" s="2040">
        <v>171.28</v>
      </c>
      <c r="BQ771" s="2040">
        <v>171.28</v>
      </c>
      <c r="BR771" s="2040">
        <v>171.28</v>
      </c>
      <c r="BS771" s="2040">
        <v>220.5</v>
      </c>
      <c r="BT771" s="2040">
        <v>220.5</v>
      </c>
      <c r="BU771" s="2040">
        <v>220.5</v>
      </c>
      <c r="BV771" s="2040">
        <v>220.5</v>
      </c>
      <c r="BW771" s="2040">
        <v>220.5</v>
      </c>
      <c r="BX771" s="2040">
        <v>220.5</v>
      </c>
      <c r="BY771" s="2040">
        <v>49.7</v>
      </c>
      <c r="BZ771" s="2040">
        <v>49.7</v>
      </c>
      <c r="CA771" s="2040">
        <v>163.88</v>
      </c>
      <c r="CB771" s="2040">
        <v>163.88</v>
      </c>
      <c r="CC771" s="2040">
        <v>166.28</v>
      </c>
      <c r="CD771" s="2040">
        <v>166.28</v>
      </c>
      <c r="CE771" s="2040">
        <v>217.24</v>
      </c>
      <c r="CF771" s="2040">
        <v>217.24</v>
      </c>
      <c r="CK771" s="2040">
        <v>123.85</v>
      </c>
      <c r="CL771" s="2040">
        <v>123.85</v>
      </c>
      <c r="CM771" s="2040">
        <v>250.16</v>
      </c>
      <c r="CN771" s="2040">
        <v>250.16</v>
      </c>
      <c r="CO771" s="2040">
        <v>320.64</v>
      </c>
      <c r="CP771" s="2040">
        <v>320.64</v>
      </c>
      <c r="CQ771" s="2040">
        <v>320.64</v>
      </c>
      <c r="CR771" s="2040">
        <v>320.64</v>
      </c>
      <c r="CW771" s="2040">
        <v>115.5</v>
      </c>
      <c r="CX771" s="2040">
        <v>115.5</v>
      </c>
      <c r="CY771" s="2040">
        <v>241.96</v>
      </c>
      <c r="CZ771" s="2040">
        <v>241.96</v>
      </c>
      <c r="DA771" s="2040">
        <v>241.96</v>
      </c>
      <c r="DB771" s="2040">
        <v>241.96</v>
      </c>
      <c r="DC771" s="2040">
        <v>310.52999999999997</v>
      </c>
      <c r="DD771" s="2040">
        <v>310.52999999999997</v>
      </c>
      <c r="DE771" s="2040">
        <v>310.52999999999997</v>
      </c>
      <c r="DF771" s="2040">
        <v>310.52999999999997</v>
      </c>
      <c r="DI771" s="2040">
        <v>30.56</v>
      </c>
      <c r="DJ771" s="2040">
        <v>30.56</v>
      </c>
      <c r="DK771" s="2040">
        <v>30.56</v>
      </c>
      <c r="DL771" s="2040">
        <v>30.56</v>
      </c>
      <c r="DM771" s="2040">
        <v>30.56</v>
      </c>
      <c r="DN771" s="2040">
        <v>30.56</v>
      </c>
      <c r="DU771" s="2040">
        <v>13.6</v>
      </c>
      <c r="DV771" s="2040">
        <v>13.6</v>
      </c>
      <c r="DW771" s="2040">
        <v>13.05</v>
      </c>
      <c r="DX771" s="2040">
        <v>13.05</v>
      </c>
      <c r="DY771" s="2040">
        <v>13.05</v>
      </c>
      <c r="DZ771" s="2040">
        <v>13.05</v>
      </c>
      <c r="EG771" s="2040">
        <v>14.59</v>
      </c>
      <c r="EH771" s="2040">
        <v>14.76</v>
      </c>
      <c r="EI771" s="2040">
        <v>11.74</v>
      </c>
      <c r="EJ771" s="2040">
        <v>11.74</v>
      </c>
      <c r="EK771" s="2040">
        <v>11.73</v>
      </c>
      <c r="EL771" s="2040">
        <v>11.73</v>
      </c>
      <c r="EM771" s="2040">
        <v>12.34</v>
      </c>
      <c r="EN771" s="2040">
        <v>12.34</v>
      </c>
      <c r="EO771" s="2040">
        <v>11.71</v>
      </c>
      <c r="EP771" s="2040">
        <v>11.71</v>
      </c>
      <c r="EQ771" s="2040">
        <v>12.05</v>
      </c>
      <c r="ER771" s="2040">
        <v>11.92</v>
      </c>
      <c r="ES771" s="2040">
        <v>55.87</v>
      </c>
      <c r="ET771" s="2040">
        <v>55.87</v>
      </c>
      <c r="EU771" s="2040">
        <v>241.99</v>
      </c>
      <c r="EV771" s="2040">
        <v>241.99</v>
      </c>
      <c r="EW771" s="2040">
        <v>236.7</v>
      </c>
      <c r="EX771" s="2040">
        <v>236.7</v>
      </c>
      <c r="EY771" s="2506">
        <f t="shared" si="60"/>
        <v>239.345</v>
      </c>
      <c r="EZ771" s="2506">
        <f t="shared" si="60"/>
        <v>239.345</v>
      </c>
      <c r="FA771" s="2040">
        <v>240.16</v>
      </c>
      <c r="FB771" s="2040">
        <v>240.16</v>
      </c>
      <c r="FE771" s="2040">
        <v>48.04</v>
      </c>
      <c r="FF771" s="2040">
        <v>48.04</v>
      </c>
      <c r="FG771" s="2040">
        <v>203.81</v>
      </c>
      <c r="FH771" s="2040">
        <v>203.81</v>
      </c>
      <c r="FI771" s="2040">
        <v>203.81</v>
      </c>
      <c r="FJ771" s="2040">
        <v>205.37</v>
      </c>
      <c r="FK771" s="2040">
        <v>203.35</v>
      </c>
      <c r="FL771" s="2040">
        <v>203.35</v>
      </c>
      <c r="FM771" s="2040">
        <v>204.11</v>
      </c>
      <c r="FN771" s="2040">
        <v>204.11</v>
      </c>
      <c r="FQ771" s="2040">
        <v>108.52</v>
      </c>
      <c r="FR771" s="2040">
        <v>108.52</v>
      </c>
      <c r="FS771" s="2040">
        <v>217.3</v>
      </c>
      <c r="FT771" s="2040">
        <v>217.3</v>
      </c>
      <c r="FU771" s="2040">
        <v>217.3</v>
      </c>
      <c r="FV771" s="2040">
        <v>217.3</v>
      </c>
      <c r="FW771" s="2040">
        <v>217.75</v>
      </c>
      <c r="FX771" s="2040">
        <v>217.75</v>
      </c>
      <c r="GC771" s="2040">
        <v>76.69</v>
      </c>
      <c r="GD771" s="2040">
        <v>76.69</v>
      </c>
      <c r="GE771" s="2040">
        <v>172.58</v>
      </c>
      <c r="GF771" s="2040">
        <v>172.58</v>
      </c>
      <c r="GG771" s="2040">
        <v>172.58</v>
      </c>
      <c r="GH771" s="2040">
        <v>172.58</v>
      </c>
      <c r="GI771" s="2040">
        <v>186.59</v>
      </c>
      <c r="GJ771" s="2040">
        <v>186.59</v>
      </c>
      <c r="GK771" s="2040">
        <v>212.4</v>
      </c>
      <c r="GL771" s="2040">
        <v>212.4</v>
      </c>
      <c r="GO771" s="2040">
        <v>41.06</v>
      </c>
      <c r="GP771" s="2040">
        <v>41.06</v>
      </c>
      <c r="GQ771" s="2040">
        <v>35.549999999999997</v>
      </c>
      <c r="GR771" s="2040">
        <v>35.549999999999997</v>
      </c>
      <c r="GS771" s="2040">
        <v>35.549999999999997</v>
      </c>
      <c r="GT771" s="2040">
        <v>34.270000000000003</v>
      </c>
      <c r="GU771" s="2040">
        <v>34.270000000000003</v>
      </c>
      <c r="GV771" s="2040">
        <v>34.54</v>
      </c>
      <c r="GW771" s="2040">
        <v>201.98</v>
      </c>
      <c r="GX771" s="2040">
        <v>201.98</v>
      </c>
      <c r="HA771" s="2040">
        <v>28.74</v>
      </c>
      <c r="HB771" s="2040">
        <v>28.74</v>
      </c>
      <c r="HC771" s="2040">
        <v>22.09</v>
      </c>
      <c r="HD771" s="2040">
        <v>22.09</v>
      </c>
      <c r="HE771" s="2040">
        <v>22.81</v>
      </c>
      <c r="HF771" s="2040">
        <v>22.81</v>
      </c>
      <c r="HG771" s="2040">
        <v>22.81</v>
      </c>
      <c r="HH771" s="2040">
        <v>22.81</v>
      </c>
      <c r="HI771" s="2040">
        <v>22.81</v>
      </c>
      <c r="HJ771" s="2040">
        <v>22.81</v>
      </c>
      <c r="HK771" s="2040">
        <v>22.88</v>
      </c>
      <c r="HL771" s="2040">
        <v>23.08</v>
      </c>
      <c r="HM771" s="2040">
        <v>40.19</v>
      </c>
      <c r="HN771" s="2040">
        <v>40.19</v>
      </c>
      <c r="HO771" s="2040">
        <v>31.17</v>
      </c>
      <c r="HP771" s="2040">
        <v>31.17</v>
      </c>
      <c r="HQ771" s="2040">
        <v>32.200000000000003</v>
      </c>
      <c r="HR771" s="2040">
        <v>32.200000000000003</v>
      </c>
      <c r="HS771" s="2040">
        <v>32.200000000000003</v>
      </c>
      <c r="HT771" s="2040">
        <v>32.200000000000003</v>
      </c>
      <c r="HU771" s="2040">
        <v>32.200000000000003</v>
      </c>
      <c r="HV771" s="2040">
        <v>32.200000000000003</v>
      </c>
      <c r="HW771" s="2040">
        <v>32.24</v>
      </c>
      <c r="HX771" s="2040">
        <v>32.24</v>
      </c>
    </row>
    <row r="772" spans="2:232" s="2040" customFormat="1" ht="14" x14ac:dyDescent="0.3">
      <c r="B772" s="2504">
        <v>73</v>
      </c>
      <c r="C772" s="2505">
        <v>45.5</v>
      </c>
      <c r="D772" s="2505">
        <v>45.5</v>
      </c>
      <c r="E772" s="2505">
        <v>45.63</v>
      </c>
      <c r="F772" s="2505">
        <v>45.63</v>
      </c>
      <c r="G772" s="2505">
        <v>176.12</v>
      </c>
      <c r="H772" s="2505">
        <v>176.12</v>
      </c>
      <c r="I772" s="2505">
        <v>166.79</v>
      </c>
      <c r="J772" s="2505">
        <v>166.79</v>
      </c>
      <c r="K772" s="2505">
        <v>171.82</v>
      </c>
      <c r="L772" s="2505">
        <v>171.82</v>
      </c>
      <c r="M772" s="2505"/>
      <c r="N772" s="2505"/>
      <c r="O772" s="2505">
        <v>142.53</v>
      </c>
      <c r="P772" s="2505">
        <v>142.53</v>
      </c>
      <c r="Q772" s="2505">
        <v>142.11000000000001</v>
      </c>
      <c r="R772" s="2505">
        <v>142.53</v>
      </c>
      <c r="S772" s="2505">
        <v>262.45999999999998</v>
      </c>
      <c r="T772" s="2505">
        <v>261.93</v>
      </c>
      <c r="U772" s="2505">
        <v>252.84</v>
      </c>
      <c r="V772" s="2505">
        <v>252.84</v>
      </c>
      <c r="W772" s="2505">
        <v>261.93</v>
      </c>
      <c r="X772" s="2505">
        <v>261.93</v>
      </c>
      <c r="Y772" s="2505">
        <v>252.84</v>
      </c>
      <c r="Z772" s="2505">
        <v>261.93</v>
      </c>
      <c r="AA772" s="2505">
        <v>261.93</v>
      </c>
      <c r="AB772" s="2505">
        <v>261.93</v>
      </c>
      <c r="AC772" s="2505">
        <v>252.84</v>
      </c>
      <c r="AD772" s="2505">
        <v>252.84</v>
      </c>
      <c r="AE772" s="2505">
        <v>275.27</v>
      </c>
      <c r="AF772" s="2505">
        <v>267.36</v>
      </c>
      <c r="AG772" s="2505">
        <v>275.27</v>
      </c>
      <c r="AH772" s="2505">
        <v>275.27</v>
      </c>
      <c r="AI772" s="2505">
        <v>267.36</v>
      </c>
      <c r="AJ772" s="2505">
        <v>267.36</v>
      </c>
      <c r="AK772" s="2505">
        <v>267.81</v>
      </c>
      <c r="AL772" s="2505">
        <v>267.81</v>
      </c>
      <c r="AM772" s="2505">
        <v>75.260000000000005</v>
      </c>
      <c r="AN772" s="2505">
        <v>72.52</v>
      </c>
      <c r="AO772" s="2505">
        <v>72.52</v>
      </c>
      <c r="AP772" s="2505">
        <v>72.260000000000005</v>
      </c>
      <c r="AQ772" s="2505">
        <v>72.61</v>
      </c>
      <c r="AR772" s="2505">
        <v>72.61</v>
      </c>
      <c r="AS772" s="2505">
        <v>216.25</v>
      </c>
      <c r="AT772" s="2505">
        <v>216.25</v>
      </c>
      <c r="AU772" s="2505">
        <v>216.25</v>
      </c>
      <c r="AV772" s="2505">
        <v>221.13</v>
      </c>
      <c r="AW772" s="2505">
        <v>216.49</v>
      </c>
      <c r="AX772" s="2505">
        <v>216.49</v>
      </c>
      <c r="AY772" s="2505">
        <v>216.62</v>
      </c>
      <c r="AZ772" s="2505">
        <v>216.62</v>
      </c>
      <c r="BA772" s="2040">
        <v>94.4</v>
      </c>
      <c r="BB772" s="2040">
        <v>94.4</v>
      </c>
      <c r="BC772" s="2040">
        <v>23.89</v>
      </c>
      <c r="BD772" s="2040">
        <v>24.08</v>
      </c>
      <c r="BE772" s="2040">
        <v>26.95</v>
      </c>
      <c r="BF772" s="2040">
        <v>26.95</v>
      </c>
      <c r="BG772" s="2040">
        <v>23.86</v>
      </c>
      <c r="BH772" s="2040">
        <v>23.86</v>
      </c>
      <c r="BI772" s="2040">
        <v>23.68</v>
      </c>
      <c r="BJ772" s="2040">
        <v>23.68</v>
      </c>
      <c r="BK772" s="2040">
        <v>23.68</v>
      </c>
      <c r="BL772" s="2040">
        <v>23.68</v>
      </c>
      <c r="BM772" s="2040">
        <v>54.93</v>
      </c>
      <c r="BN772" s="2040">
        <v>54.93</v>
      </c>
      <c r="BO772" s="2040">
        <v>171.94</v>
      </c>
      <c r="BP772" s="2040">
        <v>171.94</v>
      </c>
      <c r="BQ772" s="2040">
        <v>171.94</v>
      </c>
      <c r="BR772" s="2040">
        <v>171.94</v>
      </c>
      <c r="BS772" s="2040">
        <v>221.52</v>
      </c>
      <c r="BT772" s="2040">
        <v>221.52</v>
      </c>
      <c r="BU772" s="2040">
        <v>221.52</v>
      </c>
      <c r="BV772" s="2040">
        <v>221.52</v>
      </c>
      <c r="BW772" s="2040">
        <v>221.52</v>
      </c>
      <c r="BX772" s="2040">
        <v>221.52</v>
      </c>
      <c r="BY772" s="2040">
        <v>49.88</v>
      </c>
      <c r="BZ772" s="2040">
        <v>49.88</v>
      </c>
      <c r="CA772" s="2040">
        <v>164.59</v>
      </c>
      <c r="CB772" s="2040">
        <v>164.59</v>
      </c>
      <c r="CC772" s="2040">
        <v>167.01</v>
      </c>
      <c r="CD772" s="2040">
        <v>167.01</v>
      </c>
      <c r="CE772" s="2040">
        <v>218.35</v>
      </c>
      <c r="CF772" s="2040">
        <v>218.35</v>
      </c>
      <c r="CK772" s="2040">
        <v>124.27</v>
      </c>
      <c r="CL772" s="2040">
        <v>124.27</v>
      </c>
      <c r="CM772" s="2040">
        <v>250.95</v>
      </c>
      <c r="CN772" s="2040">
        <v>250.95</v>
      </c>
      <c r="CO772" s="2040">
        <v>321.95</v>
      </c>
      <c r="CP772" s="2040">
        <v>321.95</v>
      </c>
      <c r="CQ772" s="2040">
        <v>321.95</v>
      </c>
      <c r="CR772" s="2040">
        <v>321.95</v>
      </c>
      <c r="CW772" s="2040">
        <v>115.93</v>
      </c>
      <c r="CX772" s="2040">
        <v>115.93</v>
      </c>
      <c r="CY772" s="2040">
        <v>242.74</v>
      </c>
      <c r="CZ772" s="2040">
        <v>242.74</v>
      </c>
      <c r="DA772" s="2040">
        <v>242.74</v>
      </c>
      <c r="DB772" s="2040">
        <v>242.74</v>
      </c>
      <c r="DC772" s="2040">
        <v>311.77999999999997</v>
      </c>
      <c r="DD772" s="2040">
        <v>311.77999999999997</v>
      </c>
      <c r="DE772" s="2040">
        <v>311.77999999999997</v>
      </c>
      <c r="DF772" s="2040">
        <v>311.77999999999997</v>
      </c>
      <c r="DI772" s="2040">
        <v>30.64</v>
      </c>
      <c r="DJ772" s="2040">
        <v>30.64</v>
      </c>
      <c r="DK772" s="2040">
        <v>30.64</v>
      </c>
      <c r="DL772" s="2040">
        <v>30.64</v>
      </c>
      <c r="DM772" s="2040">
        <v>30.64</v>
      </c>
      <c r="DN772" s="2040">
        <v>30.64</v>
      </c>
      <c r="DU772" s="2040">
        <v>13.64</v>
      </c>
      <c r="DV772" s="2040">
        <v>13.64</v>
      </c>
      <c r="DW772" s="2040">
        <v>13.07</v>
      </c>
      <c r="DX772" s="2040">
        <v>13.07</v>
      </c>
      <c r="DY772" s="2040">
        <v>13.07</v>
      </c>
      <c r="DZ772" s="2040">
        <v>13.07</v>
      </c>
      <c r="EG772" s="2040">
        <v>14.64</v>
      </c>
      <c r="EH772" s="2040">
        <v>14.81</v>
      </c>
      <c r="EI772" s="2040">
        <v>11.81</v>
      </c>
      <c r="EJ772" s="2040">
        <v>11.81</v>
      </c>
      <c r="EK772" s="2040">
        <v>11.8</v>
      </c>
      <c r="EL772" s="2040">
        <v>11.8</v>
      </c>
      <c r="EM772" s="2040">
        <v>12.4</v>
      </c>
      <c r="EN772" s="2040">
        <v>12.4</v>
      </c>
      <c r="EO772" s="2040">
        <v>11.77</v>
      </c>
      <c r="EP772" s="2040">
        <v>11.77</v>
      </c>
      <c r="EQ772" s="2040">
        <v>12.11</v>
      </c>
      <c r="ER772" s="2040">
        <v>11.98</v>
      </c>
      <c r="ES772" s="2040">
        <v>56.07</v>
      </c>
      <c r="ET772" s="2040">
        <v>56.07</v>
      </c>
      <c r="EU772" s="2040">
        <v>243.2</v>
      </c>
      <c r="EV772" s="2040">
        <v>243.2</v>
      </c>
      <c r="EW772" s="2040">
        <v>237.91</v>
      </c>
      <c r="EX772" s="2040">
        <v>237.91</v>
      </c>
      <c r="EY772" s="2506">
        <f t="shared" si="60"/>
        <v>240.55500000000001</v>
      </c>
      <c r="EZ772" s="2506">
        <f t="shared" si="60"/>
        <v>240.55500000000001</v>
      </c>
      <c r="FA772" s="2040">
        <v>241.32</v>
      </c>
      <c r="FB772" s="2040">
        <v>241.32</v>
      </c>
      <c r="FE772" s="2040">
        <v>48.22</v>
      </c>
      <c r="FF772" s="2040">
        <v>48.22</v>
      </c>
      <c r="FG772" s="2040">
        <v>204.86</v>
      </c>
      <c r="FH772" s="2040">
        <v>204.86</v>
      </c>
      <c r="FI772" s="2040">
        <v>204.86</v>
      </c>
      <c r="FJ772" s="2040">
        <v>206.38</v>
      </c>
      <c r="FK772" s="2040">
        <v>204.4</v>
      </c>
      <c r="FL772" s="2040">
        <v>204.4</v>
      </c>
      <c r="FM772" s="2040">
        <v>205.15</v>
      </c>
      <c r="FN772" s="2040">
        <v>205.15</v>
      </c>
      <c r="FQ772" s="2040">
        <v>108.91</v>
      </c>
      <c r="FR772" s="2040">
        <v>108.91</v>
      </c>
      <c r="FS772" s="2040">
        <v>218.21</v>
      </c>
      <c r="FT772" s="2040">
        <v>218.21</v>
      </c>
      <c r="FU772" s="2040">
        <v>218.21</v>
      </c>
      <c r="FV772" s="2040">
        <v>218.21</v>
      </c>
      <c r="FW772" s="2040">
        <v>218.65</v>
      </c>
      <c r="FX772" s="2040">
        <v>218.65</v>
      </c>
      <c r="GC772" s="2040">
        <v>76.959999999999994</v>
      </c>
      <c r="GD772" s="2040">
        <v>76.959999999999994</v>
      </c>
      <c r="GE772" s="2040">
        <v>173.14</v>
      </c>
      <c r="GF772" s="2040">
        <v>173.14</v>
      </c>
      <c r="GG772" s="2040">
        <v>173.14</v>
      </c>
      <c r="GH772" s="2040">
        <v>173.14</v>
      </c>
      <c r="GI772" s="2040">
        <v>187.83</v>
      </c>
      <c r="GJ772" s="2040">
        <v>187.83</v>
      </c>
      <c r="GK772" s="2040">
        <v>213.41</v>
      </c>
      <c r="GL772" s="2040">
        <v>213.41</v>
      </c>
      <c r="GO772" s="2040">
        <v>41.21</v>
      </c>
      <c r="GP772" s="2040">
        <v>41.21</v>
      </c>
      <c r="GQ772" s="2040">
        <v>35.74</v>
      </c>
      <c r="GR772" s="2040">
        <v>35.74</v>
      </c>
      <c r="GS772" s="2040">
        <v>35.74</v>
      </c>
      <c r="GT772" s="2040">
        <v>34.46</v>
      </c>
      <c r="GU772" s="2040">
        <v>34.46</v>
      </c>
      <c r="GV772" s="2040">
        <v>34.72</v>
      </c>
      <c r="GW772" s="2040">
        <v>203.03</v>
      </c>
      <c r="GX772" s="2040">
        <v>203.03</v>
      </c>
      <c r="HA772" s="2040">
        <v>28.85</v>
      </c>
      <c r="HB772" s="2040">
        <v>28.85</v>
      </c>
      <c r="HC772" s="2040">
        <v>22.24</v>
      </c>
      <c r="HD772" s="2040">
        <v>22.24</v>
      </c>
      <c r="HE772" s="2040">
        <v>22.95</v>
      </c>
      <c r="HF772" s="2040">
        <v>22.95</v>
      </c>
      <c r="HG772" s="2040">
        <v>22.95</v>
      </c>
      <c r="HH772" s="2040">
        <v>22.95</v>
      </c>
      <c r="HI772" s="2040">
        <v>22.95</v>
      </c>
      <c r="HJ772" s="2040">
        <v>22.95</v>
      </c>
      <c r="HK772" s="2040">
        <v>23.02</v>
      </c>
      <c r="HL772" s="2040">
        <v>23.21</v>
      </c>
      <c r="HM772" s="2040">
        <v>40.33</v>
      </c>
      <c r="HN772" s="2040">
        <v>40.33</v>
      </c>
      <c r="HO772" s="2040">
        <v>31.37</v>
      </c>
      <c r="HP772" s="2040">
        <v>31.37</v>
      </c>
      <c r="HQ772" s="2040">
        <v>32.35</v>
      </c>
      <c r="HR772" s="2040">
        <v>32.35</v>
      </c>
      <c r="HS772" s="2040">
        <v>32.35</v>
      </c>
      <c r="HT772" s="2040">
        <v>32.35</v>
      </c>
      <c r="HU772" s="2040">
        <v>32.35</v>
      </c>
      <c r="HV772" s="2040">
        <v>32.35</v>
      </c>
      <c r="HW772" s="2040">
        <v>32.43</v>
      </c>
      <c r="HX772" s="2040">
        <v>32.43</v>
      </c>
    </row>
    <row r="773" spans="2:232" s="2040" customFormat="1" ht="14" x14ac:dyDescent="0.3">
      <c r="B773" s="2504">
        <v>74</v>
      </c>
      <c r="C773" s="2505">
        <v>45.66</v>
      </c>
      <c r="D773" s="2505">
        <v>45.66</v>
      </c>
      <c r="E773" s="2505">
        <v>45.79</v>
      </c>
      <c r="F773" s="2505">
        <v>45.79</v>
      </c>
      <c r="G773" s="2505">
        <v>176.98</v>
      </c>
      <c r="H773" s="2505">
        <v>176.98</v>
      </c>
      <c r="I773" s="2505">
        <v>167.58</v>
      </c>
      <c r="J773" s="2505">
        <v>167.58</v>
      </c>
      <c r="K773" s="2505">
        <v>172.52</v>
      </c>
      <c r="L773" s="2505">
        <v>172.52</v>
      </c>
      <c r="M773" s="2505"/>
      <c r="N773" s="2505"/>
      <c r="O773" s="2505">
        <v>142.99</v>
      </c>
      <c r="P773" s="2505">
        <v>142.99</v>
      </c>
      <c r="Q773" s="2505">
        <v>142.56</v>
      </c>
      <c r="R773" s="2505">
        <v>142.99</v>
      </c>
      <c r="S773" s="2505">
        <v>263.66999999999996</v>
      </c>
      <c r="T773" s="2505">
        <v>263.23</v>
      </c>
      <c r="U773" s="2505">
        <v>254.09</v>
      </c>
      <c r="V773" s="2505">
        <v>254.09</v>
      </c>
      <c r="W773" s="2505">
        <v>263.23</v>
      </c>
      <c r="X773" s="2505">
        <v>263.23</v>
      </c>
      <c r="Y773" s="2505">
        <v>254.09</v>
      </c>
      <c r="Z773" s="2505">
        <v>263.23</v>
      </c>
      <c r="AA773" s="2505">
        <v>263.23</v>
      </c>
      <c r="AB773" s="2505">
        <v>263.23</v>
      </c>
      <c r="AC773" s="2505">
        <v>254.09</v>
      </c>
      <c r="AD773" s="2505">
        <v>254.09</v>
      </c>
      <c r="AE773" s="2505">
        <v>276.45</v>
      </c>
      <c r="AF773" s="2505">
        <v>268.5</v>
      </c>
      <c r="AG773" s="2505">
        <v>276.45</v>
      </c>
      <c r="AH773" s="2505">
        <v>276.45</v>
      </c>
      <c r="AI773" s="2505">
        <v>268.5</v>
      </c>
      <c r="AJ773" s="2505">
        <v>268.5</v>
      </c>
      <c r="AK773" s="2505">
        <v>268.94</v>
      </c>
      <c r="AL773" s="2505">
        <v>268.94</v>
      </c>
      <c r="AM773" s="2505">
        <v>75.52</v>
      </c>
      <c r="AN773" s="2505">
        <v>72.77</v>
      </c>
      <c r="AO773" s="2505">
        <v>72.77</v>
      </c>
      <c r="AP773" s="2505">
        <v>72.52</v>
      </c>
      <c r="AQ773" s="2505">
        <v>72.86</v>
      </c>
      <c r="AR773" s="2505">
        <v>72.86</v>
      </c>
      <c r="AS773" s="2505">
        <v>217.22</v>
      </c>
      <c r="AT773" s="2505">
        <v>217.22</v>
      </c>
      <c r="AU773" s="2505">
        <v>217.22</v>
      </c>
      <c r="AV773" s="2505">
        <v>222.11</v>
      </c>
      <c r="AW773" s="2505">
        <v>217.46</v>
      </c>
      <c r="AX773" s="2505">
        <v>217.46</v>
      </c>
      <c r="AY773" s="2505">
        <v>217.59</v>
      </c>
      <c r="AZ773" s="2505">
        <v>217.59</v>
      </c>
      <c r="BA773" s="2040">
        <v>94.71</v>
      </c>
      <c r="BB773" s="2040">
        <v>94.71</v>
      </c>
      <c r="BC773" s="2040">
        <v>24.02</v>
      </c>
      <c r="BD773" s="2040">
        <v>24.21</v>
      </c>
      <c r="BE773" s="2040">
        <v>27.02</v>
      </c>
      <c r="BF773" s="2040">
        <v>27.02</v>
      </c>
      <c r="BG773" s="2040">
        <v>23.96</v>
      </c>
      <c r="BH773" s="2040">
        <v>23.96</v>
      </c>
      <c r="BI773" s="2040">
        <v>23.76</v>
      </c>
      <c r="BJ773" s="2040">
        <v>23.76</v>
      </c>
      <c r="BK773" s="2040">
        <v>23.76</v>
      </c>
      <c r="BL773" s="2040">
        <v>23.76</v>
      </c>
      <c r="BM773" s="2040">
        <v>55.17</v>
      </c>
      <c r="BN773" s="2040">
        <v>55.17</v>
      </c>
      <c r="BO773" s="2040">
        <v>172.8</v>
      </c>
      <c r="BP773" s="2040">
        <v>172.8</v>
      </c>
      <c r="BQ773" s="2040">
        <v>172.8</v>
      </c>
      <c r="BR773" s="2040">
        <v>172.8</v>
      </c>
      <c r="BS773" s="2040">
        <v>222.84</v>
      </c>
      <c r="BT773" s="2040">
        <v>222.84</v>
      </c>
      <c r="BU773" s="2040">
        <v>222.84</v>
      </c>
      <c r="BV773" s="2040">
        <v>222.84</v>
      </c>
      <c r="BW773" s="2040">
        <v>222.84</v>
      </c>
      <c r="BX773" s="2040">
        <v>222.84</v>
      </c>
      <c r="BY773" s="2040">
        <v>50.04</v>
      </c>
      <c r="BZ773" s="2040">
        <v>50.04</v>
      </c>
      <c r="CA773" s="2040">
        <v>165.21</v>
      </c>
      <c r="CB773" s="2040">
        <v>165.21</v>
      </c>
      <c r="CC773" s="2040">
        <v>167.65</v>
      </c>
      <c r="CD773" s="2040">
        <v>167.65</v>
      </c>
      <c r="CE773" s="2040">
        <v>219.34</v>
      </c>
      <c r="CF773" s="2040">
        <v>219.34</v>
      </c>
      <c r="CK773" s="2040">
        <v>124.66</v>
      </c>
      <c r="CL773" s="2040">
        <v>124.66</v>
      </c>
      <c r="CM773" s="2040">
        <v>251.87</v>
      </c>
      <c r="CN773" s="2040">
        <v>251.87</v>
      </c>
      <c r="CO773" s="2040">
        <v>323.44</v>
      </c>
      <c r="CP773" s="2040">
        <v>323.44</v>
      </c>
      <c r="CQ773" s="2040">
        <v>323.44</v>
      </c>
      <c r="CR773" s="2040">
        <v>323.44</v>
      </c>
      <c r="CW773" s="2040">
        <v>116.36</v>
      </c>
      <c r="CX773" s="2040">
        <v>116.36</v>
      </c>
      <c r="CY773" s="2040">
        <v>243.53</v>
      </c>
      <c r="CZ773" s="2040">
        <v>243.53</v>
      </c>
      <c r="DA773" s="2040">
        <v>243.53</v>
      </c>
      <c r="DB773" s="2040">
        <v>243.53</v>
      </c>
      <c r="DC773" s="2040">
        <v>313.06</v>
      </c>
      <c r="DD773" s="2040">
        <v>313.06</v>
      </c>
      <c r="DE773" s="2040">
        <v>313.06</v>
      </c>
      <c r="DF773" s="2040">
        <v>313.06</v>
      </c>
      <c r="DI773" s="2040">
        <v>30.76</v>
      </c>
      <c r="DJ773" s="2040">
        <v>30.76</v>
      </c>
      <c r="DK773" s="2040">
        <v>30.76</v>
      </c>
      <c r="DL773" s="2040">
        <v>30.76</v>
      </c>
      <c r="DM773" s="2040">
        <v>30.76</v>
      </c>
      <c r="DN773" s="2040">
        <v>30.76</v>
      </c>
      <c r="DU773" s="2040">
        <v>13.68</v>
      </c>
      <c r="DV773" s="2040">
        <v>13.68</v>
      </c>
      <c r="DW773" s="2040">
        <v>13.14</v>
      </c>
      <c r="DX773" s="2040">
        <v>13.14</v>
      </c>
      <c r="DY773" s="2040">
        <v>13.14</v>
      </c>
      <c r="DZ773" s="2040">
        <v>13.14</v>
      </c>
      <c r="EG773" s="2040">
        <v>14.69</v>
      </c>
      <c r="EH773" s="2040">
        <v>14.86</v>
      </c>
      <c r="EI773" s="2040">
        <v>11.87</v>
      </c>
      <c r="EJ773" s="2040">
        <v>11.87</v>
      </c>
      <c r="EK773" s="2040">
        <v>11.87</v>
      </c>
      <c r="EL773" s="2040">
        <v>11.87</v>
      </c>
      <c r="EM773" s="2040">
        <v>12.47</v>
      </c>
      <c r="EN773" s="2040">
        <v>12.47</v>
      </c>
      <c r="EO773" s="2040">
        <v>11.84</v>
      </c>
      <c r="EP773" s="2040">
        <v>11.84</v>
      </c>
      <c r="EQ773" s="2040">
        <v>12.18</v>
      </c>
      <c r="ER773" s="2040">
        <v>12.05</v>
      </c>
      <c r="ES773" s="2040">
        <v>56.27</v>
      </c>
      <c r="ET773" s="2040">
        <v>56.27</v>
      </c>
      <c r="EU773" s="2040">
        <v>244.39</v>
      </c>
      <c r="EV773" s="2040">
        <v>244.39</v>
      </c>
      <c r="EW773" s="2040">
        <v>239.08</v>
      </c>
      <c r="EX773" s="2040">
        <v>239.08</v>
      </c>
      <c r="EY773" s="2506">
        <f t="shared" si="60"/>
        <v>241.73500000000001</v>
      </c>
      <c r="EZ773" s="2506">
        <f t="shared" si="60"/>
        <v>241.73500000000001</v>
      </c>
      <c r="FA773" s="2040">
        <v>242.46</v>
      </c>
      <c r="FB773" s="2040">
        <v>242.46</v>
      </c>
      <c r="FE773" s="2040">
        <v>48.38</v>
      </c>
      <c r="FF773" s="2040">
        <v>48.38</v>
      </c>
      <c r="FG773" s="2040">
        <v>205.88</v>
      </c>
      <c r="FH773" s="2040">
        <v>205.88</v>
      </c>
      <c r="FI773" s="2040">
        <v>205.88</v>
      </c>
      <c r="FJ773" s="2040">
        <v>207.36</v>
      </c>
      <c r="FK773" s="2040">
        <v>205.42</v>
      </c>
      <c r="FL773" s="2040">
        <v>205.42</v>
      </c>
      <c r="FM773" s="2040">
        <v>206.16</v>
      </c>
      <c r="FN773" s="2040">
        <v>206.16</v>
      </c>
      <c r="FQ773" s="2040">
        <v>109.3</v>
      </c>
      <c r="FR773" s="2040">
        <v>109.3</v>
      </c>
      <c r="FS773" s="2040">
        <v>219.1</v>
      </c>
      <c r="FT773" s="2040">
        <v>219.1</v>
      </c>
      <c r="FU773" s="2040">
        <v>219.1</v>
      </c>
      <c r="FV773" s="2040">
        <v>219.1</v>
      </c>
      <c r="FW773" s="2040">
        <v>219.53</v>
      </c>
      <c r="FX773" s="2040">
        <v>219.53</v>
      </c>
      <c r="GC773" s="2040">
        <v>77.23</v>
      </c>
      <c r="GD773" s="2040">
        <v>77.23</v>
      </c>
      <c r="GE773" s="2040">
        <v>173.69</v>
      </c>
      <c r="GF773" s="2040">
        <v>173.69</v>
      </c>
      <c r="GG773" s="2040">
        <v>173.69</v>
      </c>
      <c r="GH773" s="2040">
        <v>173.69</v>
      </c>
      <c r="GI773" s="2040">
        <v>189.03</v>
      </c>
      <c r="GJ773" s="2040">
        <v>189.03</v>
      </c>
      <c r="GK773" s="2040">
        <v>214.41</v>
      </c>
      <c r="GL773" s="2040">
        <v>214.41</v>
      </c>
      <c r="GO773" s="2040">
        <v>41.35</v>
      </c>
      <c r="GP773" s="2040">
        <v>41.35</v>
      </c>
      <c r="GQ773" s="2040">
        <v>35.93</v>
      </c>
      <c r="GR773" s="2040">
        <v>35.93</v>
      </c>
      <c r="GS773" s="2040">
        <v>35.93</v>
      </c>
      <c r="GT773" s="2040">
        <v>34.64</v>
      </c>
      <c r="GU773" s="2040">
        <v>34.64</v>
      </c>
      <c r="GV773" s="2040">
        <v>34.9</v>
      </c>
      <c r="GW773" s="2040">
        <v>204.04</v>
      </c>
      <c r="GX773" s="2040">
        <v>204.04</v>
      </c>
      <c r="HA773" s="2040">
        <v>28.95</v>
      </c>
      <c r="HB773" s="2040">
        <v>28.95</v>
      </c>
      <c r="HC773" s="2040">
        <v>22.39</v>
      </c>
      <c r="HD773" s="2040">
        <v>22.39</v>
      </c>
      <c r="HE773" s="2040">
        <v>23.04</v>
      </c>
      <c r="HF773" s="2040">
        <v>23.04</v>
      </c>
      <c r="HG773" s="2040">
        <v>23.04</v>
      </c>
      <c r="HH773" s="2040">
        <v>23.04</v>
      </c>
      <c r="HI773" s="2040">
        <v>23.04</v>
      </c>
      <c r="HJ773" s="2040">
        <v>23.04</v>
      </c>
      <c r="HK773" s="2040">
        <v>23.17</v>
      </c>
      <c r="HL773" s="2040">
        <v>23.35</v>
      </c>
      <c r="HM773" s="2040">
        <v>40.44</v>
      </c>
      <c r="HN773" s="2040">
        <v>40.44</v>
      </c>
      <c r="HO773" s="2040">
        <v>31.52</v>
      </c>
      <c r="HP773" s="2040">
        <v>31.52</v>
      </c>
      <c r="HQ773" s="2040">
        <v>32.49</v>
      </c>
      <c r="HR773" s="2040">
        <v>32.49</v>
      </c>
      <c r="HS773" s="2040">
        <v>32.49</v>
      </c>
      <c r="HT773" s="2040">
        <v>32.49</v>
      </c>
      <c r="HU773" s="2040">
        <v>32.49</v>
      </c>
      <c r="HV773" s="2040">
        <v>32.49</v>
      </c>
      <c r="HW773" s="2040">
        <v>32.58</v>
      </c>
      <c r="HX773" s="2040">
        <v>32.58</v>
      </c>
    </row>
    <row r="774" spans="2:232" s="2040" customFormat="1" ht="14" x14ac:dyDescent="0.3">
      <c r="B774" s="2504">
        <v>75</v>
      </c>
      <c r="C774" s="2505">
        <v>45.83</v>
      </c>
      <c r="D774" s="2505">
        <v>45.83</v>
      </c>
      <c r="E774" s="2505">
        <v>45.96</v>
      </c>
      <c r="F774" s="2505">
        <v>45.96</v>
      </c>
      <c r="G774" s="2505">
        <v>177.73</v>
      </c>
      <c r="H774" s="2505">
        <v>177.73</v>
      </c>
      <c r="I774" s="2505">
        <v>168.44</v>
      </c>
      <c r="J774" s="2505">
        <v>168.44</v>
      </c>
      <c r="K774" s="2505">
        <v>173.27</v>
      </c>
      <c r="L774" s="2505">
        <v>173.27</v>
      </c>
      <c r="M774" s="2505"/>
      <c r="N774" s="2505"/>
      <c r="O774" s="2505">
        <v>143.47</v>
      </c>
      <c r="P774" s="2505">
        <v>143.47</v>
      </c>
      <c r="Q774" s="2505">
        <v>143.03</v>
      </c>
      <c r="R774" s="2505">
        <v>143.47</v>
      </c>
      <c r="S774" s="2505">
        <v>264.92999999999995</v>
      </c>
      <c r="T774" s="2505">
        <v>264.5</v>
      </c>
      <c r="U774" s="2505">
        <v>255.32</v>
      </c>
      <c r="V774" s="2505">
        <v>255.32</v>
      </c>
      <c r="W774" s="2505">
        <v>264.5</v>
      </c>
      <c r="X774" s="2505">
        <v>264.5</v>
      </c>
      <c r="Y774" s="2505">
        <v>255.32</v>
      </c>
      <c r="Z774" s="2505">
        <v>264.5</v>
      </c>
      <c r="AA774" s="2505">
        <v>264.5</v>
      </c>
      <c r="AB774" s="2505">
        <v>264.5</v>
      </c>
      <c r="AC774" s="2505">
        <v>255.32</v>
      </c>
      <c r="AD774" s="2505">
        <v>255.32</v>
      </c>
      <c r="AE774" s="2505">
        <v>277.58999999999997</v>
      </c>
      <c r="AF774" s="2505">
        <v>269.61</v>
      </c>
      <c r="AG774" s="2505">
        <v>277.58999999999997</v>
      </c>
      <c r="AH774" s="2505">
        <v>277.58999999999997</v>
      </c>
      <c r="AI774" s="2505">
        <v>269.61</v>
      </c>
      <c r="AJ774" s="2505">
        <v>269.61</v>
      </c>
      <c r="AK774" s="2505">
        <v>270.05</v>
      </c>
      <c r="AL774" s="2505">
        <v>270.05</v>
      </c>
      <c r="AM774" s="2505">
        <v>75.77</v>
      </c>
      <c r="AN774" s="2505">
        <v>73.02</v>
      </c>
      <c r="AO774" s="2505">
        <v>73.02</v>
      </c>
      <c r="AP774" s="2505">
        <v>72.84</v>
      </c>
      <c r="AQ774" s="2505">
        <v>73.17</v>
      </c>
      <c r="AR774" s="2505">
        <v>73.17</v>
      </c>
      <c r="AS774" s="2505">
        <v>218.45</v>
      </c>
      <c r="AT774" s="2505">
        <v>218.45</v>
      </c>
      <c r="AU774" s="2505">
        <v>218.45</v>
      </c>
      <c r="AV774" s="2505">
        <v>223.35</v>
      </c>
      <c r="AW774" s="2505">
        <v>218.68</v>
      </c>
      <c r="AX774" s="2505">
        <v>218.68</v>
      </c>
      <c r="AY774" s="2505">
        <v>218.8</v>
      </c>
      <c r="AZ774" s="2505">
        <v>218.8</v>
      </c>
      <c r="BA774" s="2040">
        <v>95.36</v>
      </c>
      <c r="BB774" s="2040">
        <v>95.36</v>
      </c>
      <c r="BC774" s="2040">
        <v>24.14</v>
      </c>
      <c r="BD774" s="2040">
        <v>24.33</v>
      </c>
      <c r="BE774" s="2040">
        <v>27.17</v>
      </c>
      <c r="BF774" s="2040">
        <v>27.17</v>
      </c>
      <c r="BG774" s="2040">
        <v>24.15</v>
      </c>
      <c r="BH774" s="2040">
        <v>24.15</v>
      </c>
      <c r="BI774" s="2040">
        <v>23.96</v>
      </c>
      <c r="BJ774" s="2040">
        <v>23.96</v>
      </c>
      <c r="BK774" s="2040">
        <v>23.96</v>
      </c>
      <c r="BL774" s="2040">
        <v>23.96</v>
      </c>
      <c r="BM774" s="2040">
        <v>55.39</v>
      </c>
      <c r="BN774" s="2040">
        <v>55.39</v>
      </c>
      <c r="BO774" s="2040">
        <v>173.62</v>
      </c>
      <c r="BP774" s="2040">
        <v>173.62</v>
      </c>
      <c r="BQ774" s="2040">
        <v>173.62</v>
      </c>
      <c r="BR774" s="2040">
        <v>173.62</v>
      </c>
      <c r="BS774" s="2040">
        <v>224.1</v>
      </c>
      <c r="BT774" s="2040">
        <v>224.1</v>
      </c>
      <c r="BU774" s="2040">
        <v>224.1</v>
      </c>
      <c r="BV774" s="2040">
        <v>224.1</v>
      </c>
      <c r="BW774" s="2040">
        <v>224.1</v>
      </c>
      <c r="BX774" s="2040">
        <v>224.1</v>
      </c>
      <c r="BY774" s="2040">
        <v>50.25</v>
      </c>
      <c r="BZ774" s="2040">
        <v>50.25</v>
      </c>
      <c r="CA774" s="2040">
        <v>166.04</v>
      </c>
      <c r="CB774" s="2040">
        <v>166.04</v>
      </c>
      <c r="CC774" s="2040">
        <v>168.5</v>
      </c>
      <c r="CD774" s="2040">
        <v>168.5</v>
      </c>
      <c r="CE774" s="2040">
        <v>220.65</v>
      </c>
      <c r="CF774" s="2040">
        <v>220.65</v>
      </c>
      <c r="CK774" s="2040">
        <v>125.04</v>
      </c>
      <c r="CL774" s="2040">
        <v>125.04</v>
      </c>
      <c r="CM774" s="2040">
        <v>252.78</v>
      </c>
      <c r="CN774" s="2040">
        <v>252.78</v>
      </c>
      <c r="CO774" s="2040">
        <v>324.92</v>
      </c>
      <c r="CP774" s="2040">
        <v>324.92</v>
      </c>
      <c r="CQ774" s="2040">
        <v>324.92</v>
      </c>
      <c r="CR774" s="2040">
        <v>324.92</v>
      </c>
      <c r="CW774" s="2040">
        <v>116.82</v>
      </c>
      <c r="CX774" s="2040">
        <v>116.82</v>
      </c>
      <c r="CY774" s="2040">
        <v>244.36</v>
      </c>
      <c r="CZ774" s="2040">
        <v>244.36</v>
      </c>
      <c r="DA774" s="2040">
        <v>244.36</v>
      </c>
      <c r="DB774" s="2040">
        <v>244.36</v>
      </c>
      <c r="DC774" s="2040">
        <v>314.39</v>
      </c>
      <c r="DD774" s="2040">
        <v>314.39</v>
      </c>
      <c r="DE774" s="2040">
        <v>314.39</v>
      </c>
      <c r="DF774" s="2040">
        <v>314.39</v>
      </c>
      <c r="DI774" s="2040">
        <v>30.89</v>
      </c>
      <c r="DJ774" s="2040">
        <v>30.89</v>
      </c>
      <c r="DK774" s="2040">
        <v>30.89</v>
      </c>
      <c r="DL774" s="2040">
        <v>30.89</v>
      </c>
      <c r="DM774" s="2040">
        <v>30.89</v>
      </c>
      <c r="DN774" s="2040">
        <v>30.89</v>
      </c>
      <c r="DU774" s="2040">
        <v>13.75</v>
      </c>
      <c r="DV774" s="2040">
        <v>13.75</v>
      </c>
      <c r="DW774" s="2040">
        <v>13.17</v>
      </c>
      <c r="DX774" s="2040">
        <v>13.17</v>
      </c>
      <c r="DY774" s="2040">
        <v>13.17</v>
      </c>
      <c r="DZ774" s="2040">
        <v>13.17</v>
      </c>
      <c r="EG774" s="2040">
        <v>14.74</v>
      </c>
      <c r="EH774" s="2040">
        <v>14.91</v>
      </c>
      <c r="EI774" s="2040">
        <v>11.94</v>
      </c>
      <c r="EJ774" s="2040">
        <v>11.94</v>
      </c>
      <c r="EK774" s="2040">
        <v>11.94</v>
      </c>
      <c r="EL774" s="2040">
        <v>11.94</v>
      </c>
      <c r="EM774" s="2040">
        <v>12.53</v>
      </c>
      <c r="EN774" s="2040">
        <v>12.53</v>
      </c>
      <c r="EO774" s="2040">
        <v>11.9</v>
      </c>
      <c r="EP774" s="2040">
        <v>11.9</v>
      </c>
      <c r="EQ774" s="2040">
        <v>12.24</v>
      </c>
      <c r="ER774" s="2040">
        <v>12.1</v>
      </c>
      <c r="ES774" s="2040">
        <v>56.46</v>
      </c>
      <c r="ET774" s="2040">
        <v>56.46</v>
      </c>
      <c r="EU774" s="2040">
        <v>245.55</v>
      </c>
      <c r="EV774" s="2040">
        <v>245.55</v>
      </c>
      <c r="EW774" s="2040">
        <v>240.23</v>
      </c>
      <c r="EX774" s="2040">
        <v>240.23</v>
      </c>
      <c r="EY774" s="2506">
        <f t="shared" si="60"/>
        <v>242.89</v>
      </c>
      <c r="EZ774" s="2506">
        <f t="shared" si="60"/>
        <v>242.89</v>
      </c>
      <c r="FA774" s="2040">
        <v>243.57</v>
      </c>
      <c r="FB774" s="2040">
        <v>243.57</v>
      </c>
      <c r="FE774" s="2040">
        <v>48.55</v>
      </c>
      <c r="FF774" s="2040">
        <v>48.55</v>
      </c>
      <c r="FG774" s="2040">
        <v>206.87</v>
      </c>
      <c r="FH774" s="2040">
        <v>206.87</v>
      </c>
      <c r="FI774" s="2040">
        <v>206.87</v>
      </c>
      <c r="FJ774" s="2040">
        <v>208.33</v>
      </c>
      <c r="FK774" s="2040">
        <v>206.43</v>
      </c>
      <c r="FL774" s="2040">
        <v>206.43</v>
      </c>
      <c r="FM774" s="2040">
        <v>207.14</v>
      </c>
      <c r="FN774" s="2040">
        <v>207.14</v>
      </c>
      <c r="FQ774" s="2040">
        <v>109.67</v>
      </c>
      <c r="FR774" s="2040">
        <v>109.67</v>
      </c>
      <c r="FS774" s="2040">
        <v>219.97</v>
      </c>
      <c r="FT774" s="2040">
        <v>219.97</v>
      </c>
      <c r="FU774" s="2040">
        <v>219.97</v>
      </c>
      <c r="FV774" s="2040">
        <v>219.97</v>
      </c>
      <c r="FW774" s="2040">
        <v>220.39</v>
      </c>
      <c r="FX774" s="2040">
        <v>220.39</v>
      </c>
      <c r="GC774" s="2040">
        <v>77.489999999999995</v>
      </c>
      <c r="GD774" s="2040">
        <v>77.489999999999995</v>
      </c>
      <c r="GE774" s="2040">
        <v>174.23</v>
      </c>
      <c r="GF774" s="2040">
        <v>174.23</v>
      </c>
      <c r="GG774" s="2040">
        <v>174.23</v>
      </c>
      <c r="GH774" s="2040">
        <v>174.23</v>
      </c>
      <c r="GI774" s="2040">
        <v>190.22</v>
      </c>
      <c r="GJ774" s="2040">
        <v>190.22</v>
      </c>
      <c r="GK774" s="2040">
        <v>215.38</v>
      </c>
      <c r="GL774" s="2040">
        <v>215.38</v>
      </c>
      <c r="GO774" s="2040">
        <v>41.49</v>
      </c>
      <c r="GP774" s="2040">
        <v>41.49</v>
      </c>
      <c r="GQ774" s="2040">
        <v>36.15</v>
      </c>
      <c r="GR774" s="2040">
        <v>36.15</v>
      </c>
      <c r="GS774" s="2040">
        <v>36.15</v>
      </c>
      <c r="GT774" s="2040">
        <v>34.86</v>
      </c>
      <c r="GU774" s="2040">
        <v>34.86</v>
      </c>
      <c r="GV774" s="2040">
        <v>35.11</v>
      </c>
      <c r="GW774" s="2040">
        <v>205.27</v>
      </c>
      <c r="GX774" s="2040">
        <v>205.27</v>
      </c>
      <c r="HA774" s="2040">
        <v>29.02</v>
      </c>
      <c r="HB774" s="2040">
        <v>29.02</v>
      </c>
      <c r="HC774" s="2040">
        <v>22.48</v>
      </c>
      <c r="HD774" s="2040">
        <v>22.48</v>
      </c>
      <c r="HE774" s="2040">
        <v>23.13</v>
      </c>
      <c r="HF774" s="2040">
        <v>23.13</v>
      </c>
      <c r="HG774" s="2040">
        <v>23.13</v>
      </c>
      <c r="HH774" s="2040">
        <v>23.13</v>
      </c>
      <c r="HI774" s="2040">
        <v>23.13</v>
      </c>
      <c r="HJ774" s="2040">
        <v>23.13</v>
      </c>
      <c r="HK774" s="2040">
        <v>23.26</v>
      </c>
      <c r="HL774" s="2040">
        <v>23.44</v>
      </c>
      <c r="HM774" s="2040">
        <v>40.549999999999997</v>
      </c>
      <c r="HN774" s="2040">
        <v>40.549999999999997</v>
      </c>
      <c r="HO774" s="2040">
        <v>31.67</v>
      </c>
      <c r="HP774" s="2040">
        <v>31.67</v>
      </c>
      <c r="HQ774" s="2040">
        <v>32.659999999999997</v>
      </c>
      <c r="HR774" s="2040">
        <v>32.659999999999997</v>
      </c>
      <c r="HS774" s="2040">
        <v>32.659999999999997</v>
      </c>
      <c r="HT774" s="2040">
        <v>32.659999999999997</v>
      </c>
      <c r="HU774" s="2040">
        <v>32.659999999999997</v>
      </c>
      <c r="HV774" s="2040">
        <v>32.659999999999997</v>
      </c>
      <c r="HW774" s="2040">
        <v>32.72</v>
      </c>
      <c r="HX774" s="2040">
        <v>32.72</v>
      </c>
    </row>
    <row r="775" spans="2:232" s="2040" customFormat="1" ht="14" x14ac:dyDescent="0.3">
      <c r="B775" s="2504">
        <v>76</v>
      </c>
      <c r="C775" s="2505">
        <v>45.99</v>
      </c>
      <c r="D775" s="2505">
        <v>45.99</v>
      </c>
      <c r="E775" s="2505">
        <v>46.11</v>
      </c>
      <c r="F775" s="2505">
        <v>46.11</v>
      </c>
      <c r="G775" s="2505">
        <v>178.25</v>
      </c>
      <c r="H775" s="2505">
        <v>178.25</v>
      </c>
      <c r="I775" s="2505">
        <v>169.2</v>
      </c>
      <c r="J775" s="2505">
        <v>169.2</v>
      </c>
      <c r="K775" s="2505">
        <v>173.94</v>
      </c>
      <c r="L775" s="2505">
        <v>173.94</v>
      </c>
      <c r="M775" s="2505"/>
      <c r="N775" s="2505"/>
      <c r="O775" s="2505">
        <v>143.9</v>
      </c>
      <c r="P775" s="2505">
        <v>143.9</v>
      </c>
      <c r="Q775" s="2505">
        <v>143.44999999999999</v>
      </c>
      <c r="R775" s="2505">
        <v>143.91</v>
      </c>
      <c r="S775" s="2505">
        <v>266.06999999999994</v>
      </c>
      <c r="T775" s="2505">
        <v>265.75</v>
      </c>
      <c r="U775" s="2505">
        <v>256.52</v>
      </c>
      <c r="V775" s="2505">
        <v>256.52</v>
      </c>
      <c r="W775" s="2505">
        <v>265.75</v>
      </c>
      <c r="X775" s="2505">
        <v>265.75</v>
      </c>
      <c r="Y775" s="2505">
        <v>256.52</v>
      </c>
      <c r="Z775" s="2505">
        <v>265.75</v>
      </c>
      <c r="AA775" s="2505">
        <v>265.75</v>
      </c>
      <c r="AB775" s="2505">
        <v>265.75</v>
      </c>
      <c r="AC775" s="2505">
        <v>256.52</v>
      </c>
      <c r="AD775" s="2505">
        <v>256.52</v>
      </c>
      <c r="AE775" s="2505">
        <v>278.72000000000003</v>
      </c>
      <c r="AF775" s="2505">
        <v>270.7</v>
      </c>
      <c r="AG775" s="2505">
        <v>278.72000000000003</v>
      </c>
      <c r="AH775" s="2505">
        <v>278.72000000000003</v>
      </c>
      <c r="AI775" s="2505">
        <v>270.7</v>
      </c>
      <c r="AJ775" s="2505">
        <v>270.7</v>
      </c>
      <c r="AK775" s="2505">
        <v>271.12</v>
      </c>
      <c r="AL775" s="2505">
        <v>271.12</v>
      </c>
      <c r="AM775" s="2505">
        <v>76.02</v>
      </c>
      <c r="AN775" s="2505">
        <v>73.260000000000005</v>
      </c>
      <c r="AO775" s="2505">
        <v>73.260000000000005</v>
      </c>
      <c r="AP775" s="2505">
        <v>73.099999999999994</v>
      </c>
      <c r="AQ775" s="2505">
        <v>73.42</v>
      </c>
      <c r="AR775" s="2505">
        <v>73.42</v>
      </c>
      <c r="AS775" s="2505">
        <v>219.45</v>
      </c>
      <c r="AT775" s="2505">
        <v>219.45</v>
      </c>
      <c r="AU775" s="2505">
        <v>219.45</v>
      </c>
      <c r="AV775" s="2505">
        <v>224.36</v>
      </c>
      <c r="AW775" s="2505">
        <v>219.68</v>
      </c>
      <c r="AX775" s="2505">
        <v>219.68</v>
      </c>
      <c r="AY775" s="2505">
        <v>219.8</v>
      </c>
      <c r="AZ775" s="2505">
        <v>219.8</v>
      </c>
      <c r="BA775" s="2040">
        <v>95.9</v>
      </c>
      <c r="BB775" s="2040">
        <v>95.9</v>
      </c>
      <c r="BC775" s="2040">
        <v>24.27</v>
      </c>
      <c r="BD775" s="2040">
        <v>24.45</v>
      </c>
      <c r="BE775" s="2040">
        <v>27.29</v>
      </c>
      <c r="BF775" s="2040">
        <v>27.29</v>
      </c>
      <c r="BG775" s="2040">
        <v>24.31</v>
      </c>
      <c r="BH775" s="2040">
        <v>24.31</v>
      </c>
      <c r="BI775" s="2040">
        <v>24.12</v>
      </c>
      <c r="BJ775" s="2040">
        <v>24.12</v>
      </c>
      <c r="BK775" s="2040">
        <v>24.12</v>
      </c>
      <c r="BL775" s="2040">
        <v>24.12</v>
      </c>
      <c r="BM775" s="2040">
        <v>55.61</v>
      </c>
      <c r="BN775" s="2040">
        <v>55.61</v>
      </c>
      <c r="BO775" s="2040">
        <v>174.41</v>
      </c>
      <c r="BP775" s="2040">
        <v>174.41</v>
      </c>
      <c r="BQ775" s="2040">
        <v>174.41</v>
      </c>
      <c r="BR775" s="2040">
        <v>174.41</v>
      </c>
      <c r="BS775" s="2040">
        <v>225.32</v>
      </c>
      <c r="BT775" s="2040">
        <v>225.32</v>
      </c>
      <c r="BU775" s="2040">
        <v>225.32</v>
      </c>
      <c r="BV775" s="2040">
        <v>225.32</v>
      </c>
      <c r="BW775" s="2040">
        <v>225.32</v>
      </c>
      <c r="BX775" s="2040">
        <v>225.32</v>
      </c>
      <c r="BY775" s="2040">
        <v>50.45</v>
      </c>
      <c r="BZ775" s="2040">
        <v>50.45</v>
      </c>
      <c r="CA775" s="2040">
        <v>166.8</v>
      </c>
      <c r="CB775" s="2040">
        <v>166.8</v>
      </c>
      <c r="CC775" s="2040">
        <v>169.28</v>
      </c>
      <c r="CD775" s="2040">
        <v>169.28</v>
      </c>
      <c r="CE775" s="2040">
        <v>221.86</v>
      </c>
      <c r="CF775" s="2040">
        <v>221.86</v>
      </c>
      <c r="CK775" s="2040">
        <v>125.45</v>
      </c>
      <c r="CL775" s="2040">
        <v>125.45</v>
      </c>
      <c r="CM775" s="2040">
        <v>253.47</v>
      </c>
      <c r="CN775" s="2040">
        <v>253.47</v>
      </c>
      <c r="CO775" s="2040">
        <v>326.07</v>
      </c>
      <c r="CP775" s="2040">
        <v>326.07</v>
      </c>
      <c r="CQ775" s="2040">
        <v>326.07</v>
      </c>
      <c r="CR775" s="2040">
        <v>326.07</v>
      </c>
      <c r="CW775" s="2040">
        <v>117.27</v>
      </c>
      <c r="CX775" s="2040">
        <v>117.27</v>
      </c>
      <c r="CY775" s="2040">
        <v>245.17</v>
      </c>
      <c r="CZ775" s="2040">
        <v>245.17</v>
      </c>
      <c r="DA775" s="2040">
        <v>245.17</v>
      </c>
      <c r="DB775" s="2040">
        <v>245.17</v>
      </c>
      <c r="DC775" s="2040">
        <v>315.72000000000003</v>
      </c>
      <c r="DD775" s="2040">
        <v>315.72000000000003</v>
      </c>
      <c r="DE775" s="2040">
        <v>315.72000000000003</v>
      </c>
      <c r="DF775" s="2040">
        <v>315.72000000000003</v>
      </c>
      <c r="DI775" s="2040">
        <v>31.01</v>
      </c>
      <c r="DJ775" s="2040">
        <v>31.01</v>
      </c>
      <c r="DK775" s="2040">
        <v>31.01</v>
      </c>
      <c r="DL775" s="2040">
        <v>31.01</v>
      </c>
      <c r="DM775" s="2040">
        <v>31.01</v>
      </c>
      <c r="DN775" s="2040">
        <v>31.01</v>
      </c>
      <c r="DU775" s="2040">
        <v>13.8</v>
      </c>
      <c r="DV775" s="2040">
        <v>13.8</v>
      </c>
      <c r="DW775" s="2040">
        <v>13.22</v>
      </c>
      <c r="DX775" s="2040">
        <v>13.22</v>
      </c>
      <c r="DY775" s="2040">
        <v>13.22</v>
      </c>
      <c r="DZ775" s="2040">
        <v>13.22</v>
      </c>
      <c r="EG775" s="2040">
        <v>14.78</v>
      </c>
      <c r="EH775" s="2040">
        <v>14.95</v>
      </c>
      <c r="EI775" s="2040">
        <v>12</v>
      </c>
      <c r="EJ775" s="2040">
        <v>12</v>
      </c>
      <c r="EK775" s="2040">
        <v>12</v>
      </c>
      <c r="EL775" s="2040">
        <v>12</v>
      </c>
      <c r="EM775" s="2040">
        <v>12.59</v>
      </c>
      <c r="EN775" s="2040">
        <v>12.59</v>
      </c>
      <c r="EO775" s="2040">
        <v>11.96</v>
      </c>
      <c r="EP775" s="2040">
        <v>11.96</v>
      </c>
      <c r="EQ775" s="2040">
        <v>12.31</v>
      </c>
      <c r="ER775" s="2040">
        <v>12.16</v>
      </c>
      <c r="ES775" s="2040">
        <v>56.64</v>
      </c>
      <c r="ET775" s="2040">
        <v>56.64</v>
      </c>
      <c r="EU775" s="2040">
        <v>246.69</v>
      </c>
      <c r="EV775" s="2040">
        <v>246.69</v>
      </c>
      <c r="EW775" s="2040">
        <v>241.36</v>
      </c>
      <c r="EX775" s="2040">
        <v>241.36</v>
      </c>
      <c r="EY775" s="2506">
        <f t="shared" si="60"/>
        <v>244.02500000000001</v>
      </c>
      <c r="EZ775" s="2506">
        <f t="shared" si="60"/>
        <v>244.02500000000001</v>
      </c>
      <c r="FA775" s="2040">
        <v>244.65</v>
      </c>
      <c r="FB775" s="2040">
        <v>244.65</v>
      </c>
      <c r="FE775" s="2040">
        <v>48.71</v>
      </c>
      <c r="FF775" s="2040">
        <v>48.71</v>
      </c>
      <c r="FG775" s="2040">
        <v>207.85</v>
      </c>
      <c r="FH775" s="2040">
        <v>207.85</v>
      </c>
      <c r="FI775" s="2040">
        <v>207.85</v>
      </c>
      <c r="FJ775" s="2040">
        <v>209.27</v>
      </c>
      <c r="FK775" s="2040">
        <v>207.41</v>
      </c>
      <c r="FL775" s="2040">
        <v>207.41</v>
      </c>
      <c r="FM775" s="2040">
        <v>208.11</v>
      </c>
      <c r="FN775" s="2040">
        <v>208.11</v>
      </c>
      <c r="FQ775" s="2040">
        <v>110.03</v>
      </c>
      <c r="FR775" s="2040">
        <v>110.03</v>
      </c>
      <c r="FS775" s="2040">
        <v>220.82</v>
      </c>
      <c r="FT775" s="2040">
        <v>220.82</v>
      </c>
      <c r="FU775" s="2040">
        <v>220.82</v>
      </c>
      <c r="FV775" s="2040">
        <v>220.82</v>
      </c>
      <c r="FW775" s="2040">
        <v>221.23</v>
      </c>
      <c r="FX775" s="2040">
        <v>221.23</v>
      </c>
      <c r="GC775" s="2040">
        <v>77.739999999999995</v>
      </c>
      <c r="GD775" s="2040">
        <v>77.739999999999995</v>
      </c>
      <c r="GE775" s="2040">
        <v>174.76</v>
      </c>
      <c r="GF775" s="2040">
        <v>174.76</v>
      </c>
      <c r="GG775" s="2040">
        <v>174.76</v>
      </c>
      <c r="GH775" s="2040">
        <v>174.76</v>
      </c>
      <c r="GI775" s="2040">
        <v>191.38</v>
      </c>
      <c r="GJ775" s="2040">
        <v>191.38</v>
      </c>
      <c r="GK775" s="2040">
        <v>216.33</v>
      </c>
      <c r="GL775" s="2040">
        <v>216.33</v>
      </c>
      <c r="GO775" s="2040">
        <v>41.63</v>
      </c>
      <c r="GP775" s="2040">
        <v>41.63</v>
      </c>
      <c r="GQ775" s="2040">
        <v>36.340000000000003</v>
      </c>
      <c r="GR775" s="2040">
        <v>36.340000000000003</v>
      </c>
      <c r="GS775" s="2040">
        <v>36.340000000000003</v>
      </c>
      <c r="GT775" s="2040">
        <v>35.04</v>
      </c>
      <c r="GU775" s="2040">
        <v>35.04</v>
      </c>
      <c r="GV775" s="2040">
        <v>35.28</v>
      </c>
      <c r="GW775" s="2040">
        <v>206.28</v>
      </c>
      <c r="GX775" s="2040">
        <v>206.28</v>
      </c>
      <c r="HA775" s="2040">
        <v>29.08</v>
      </c>
      <c r="HB775" s="2040">
        <v>29.08</v>
      </c>
      <c r="HC775" s="2040">
        <v>22.57</v>
      </c>
      <c r="HD775" s="2040">
        <v>22.57</v>
      </c>
      <c r="HE775" s="2040">
        <v>23.22</v>
      </c>
      <c r="HF775" s="2040">
        <v>23.22</v>
      </c>
      <c r="HG775" s="2040">
        <v>23.22</v>
      </c>
      <c r="HH775" s="2040">
        <v>23.22</v>
      </c>
      <c r="HI775" s="2040">
        <v>23.22</v>
      </c>
      <c r="HJ775" s="2040">
        <v>23.22</v>
      </c>
      <c r="HK775" s="2040">
        <v>23.34</v>
      </c>
      <c r="HL775" s="2040">
        <v>23.52</v>
      </c>
      <c r="HM775" s="2040">
        <v>40.67</v>
      </c>
      <c r="HN775" s="2040">
        <v>40.67</v>
      </c>
      <c r="HO775" s="2040">
        <v>31.84</v>
      </c>
      <c r="HP775" s="2040">
        <v>31.84</v>
      </c>
      <c r="HQ775" s="2040">
        <v>32.799999999999997</v>
      </c>
      <c r="HR775" s="2040">
        <v>32.799999999999997</v>
      </c>
      <c r="HS775" s="2040">
        <v>32.799999999999997</v>
      </c>
      <c r="HT775" s="2040">
        <v>32.799999999999997</v>
      </c>
      <c r="HU775" s="2040">
        <v>32.799999999999997</v>
      </c>
      <c r="HV775" s="2040">
        <v>32.799999999999997</v>
      </c>
      <c r="HW775" s="2040">
        <v>32.880000000000003</v>
      </c>
      <c r="HX775" s="2040">
        <v>32.880000000000003</v>
      </c>
    </row>
    <row r="776" spans="2:232" s="2040" customFormat="1" ht="14" x14ac:dyDescent="0.3">
      <c r="B776" s="2504">
        <v>77</v>
      </c>
      <c r="C776" s="2505">
        <v>46.1</v>
      </c>
      <c r="D776" s="2505">
        <v>46.1</v>
      </c>
      <c r="E776" s="2505">
        <v>46.21</v>
      </c>
      <c r="F776" s="2505">
        <v>46.21</v>
      </c>
      <c r="G776" s="2505">
        <v>178.98</v>
      </c>
      <c r="H776" s="2505">
        <v>178.98</v>
      </c>
      <c r="I776" s="2505">
        <v>169.73</v>
      </c>
      <c r="J776" s="2505">
        <v>169.73</v>
      </c>
      <c r="K776" s="2505">
        <v>174.4</v>
      </c>
      <c r="L776" s="2505">
        <v>174.4</v>
      </c>
      <c r="M776" s="2505"/>
      <c r="N776" s="2505"/>
      <c r="O776" s="2505">
        <v>144.28</v>
      </c>
      <c r="P776" s="2505">
        <v>144.28</v>
      </c>
      <c r="Q776" s="2505">
        <v>143.82</v>
      </c>
      <c r="R776" s="2505">
        <v>144.28</v>
      </c>
      <c r="S776" s="2505">
        <v>267.05999999999995</v>
      </c>
      <c r="T776" s="2505">
        <v>266.97000000000003</v>
      </c>
      <c r="U776" s="2505">
        <v>257.7</v>
      </c>
      <c r="V776" s="2505">
        <v>257.7</v>
      </c>
      <c r="W776" s="2505">
        <v>266.97000000000003</v>
      </c>
      <c r="X776" s="2505">
        <v>266.97000000000003</v>
      </c>
      <c r="Y776" s="2505">
        <v>257.7</v>
      </c>
      <c r="Z776" s="2505">
        <v>266.97000000000003</v>
      </c>
      <c r="AA776" s="2505">
        <v>266.97000000000003</v>
      </c>
      <c r="AB776" s="2505">
        <v>266.97000000000003</v>
      </c>
      <c r="AC776" s="2505">
        <v>257.7</v>
      </c>
      <c r="AD776" s="2505">
        <v>257.7</v>
      </c>
      <c r="AE776" s="2505">
        <v>279.82</v>
      </c>
      <c r="AF776" s="2505">
        <v>271.77</v>
      </c>
      <c r="AG776" s="2505">
        <v>279.82</v>
      </c>
      <c r="AH776" s="2505">
        <v>279.82</v>
      </c>
      <c r="AI776" s="2505">
        <v>271.77</v>
      </c>
      <c r="AJ776" s="2505">
        <v>271.77</v>
      </c>
      <c r="AK776" s="2505">
        <v>272.18</v>
      </c>
      <c r="AL776" s="2505">
        <v>272.18</v>
      </c>
      <c r="AM776" s="2505">
        <v>76.27</v>
      </c>
      <c r="AN776" s="2505">
        <v>73.5</v>
      </c>
      <c r="AO776" s="2505">
        <v>73.5</v>
      </c>
      <c r="AP776" s="2505">
        <v>73.31</v>
      </c>
      <c r="AQ776" s="2505">
        <v>73.63</v>
      </c>
      <c r="AR776" s="2505">
        <v>73.63</v>
      </c>
      <c r="AS776" s="2505">
        <v>220.24</v>
      </c>
      <c r="AT776" s="2505">
        <v>220.24</v>
      </c>
      <c r="AU776" s="2505">
        <v>220.24</v>
      </c>
      <c r="AV776" s="2505">
        <v>225.17</v>
      </c>
      <c r="AW776" s="2505">
        <v>220.47</v>
      </c>
      <c r="AX776" s="2505">
        <v>220.47</v>
      </c>
      <c r="AY776" s="2505">
        <v>220.59</v>
      </c>
      <c r="AZ776" s="2505">
        <v>220.59</v>
      </c>
      <c r="BA776" s="2040">
        <v>96.23</v>
      </c>
      <c r="BB776" s="2040">
        <v>96.23</v>
      </c>
      <c r="BC776" s="2040">
        <v>24.39</v>
      </c>
      <c r="BD776" s="2040">
        <v>24.56</v>
      </c>
      <c r="BE776" s="2040">
        <v>27.36</v>
      </c>
      <c r="BF776" s="2040">
        <v>27.36</v>
      </c>
      <c r="BG776" s="2040">
        <v>24.41</v>
      </c>
      <c r="BH776" s="2040">
        <v>24.41</v>
      </c>
      <c r="BI776" s="2040">
        <v>24.21</v>
      </c>
      <c r="BJ776" s="2040">
        <v>24.21</v>
      </c>
      <c r="BK776" s="2040">
        <v>24.21</v>
      </c>
      <c r="BL776" s="2040">
        <v>24.21</v>
      </c>
      <c r="BM776" s="2040">
        <v>55.75</v>
      </c>
      <c r="BN776" s="2040">
        <v>55.75</v>
      </c>
      <c r="BO776" s="2040">
        <v>174.91</v>
      </c>
      <c r="BP776" s="2040">
        <v>174.91</v>
      </c>
      <c r="BQ776" s="2040">
        <v>174.91</v>
      </c>
      <c r="BR776" s="2040">
        <v>174.91</v>
      </c>
      <c r="BS776" s="2040">
        <v>226.09</v>
      </c>
      <c r="BT776" s="2040">
        <v>226.09</v>
      </c>
      <c r="BU776" s="2040">
        <v>226.09</v>
      </c>
      <c r="BV776" s="2040">
        <v>226.09</v>
      </c>
      <c r="BW776" s="2040">
        <v>226.09</v>
      </c>
      <c r="BX776" s="2040">
        <v>226.09</v>
      </c>
      <c r="BY776" s="2040">
        <v>50.59</v>
      </c>
      <c r="BZ776" s="2040">
        <v>50.59</v>
      </c>
      <c r="CA776" s="2040">
        <v>167.35</v>
      </c>
      <c r="CB776" s="2040">
        <v>167.35</v>
      </c>
      <c r="CC776" s="2040">
        <v>169.84</v>
      </c>
      <c r="CD776" s="2040">
        <v>169.84</v>
      </c>
      <c r="CE776" s="2040">
        <v>222.72</v>
      </c>
      <c r="CF776" s="2040">
        <v>222.72</v>
      </c>
      <c r="CK776" s="2040">
        <v>125.83</v>
      </c>
      <c r="CL776" s="2040">
        <v>125.83</v>
      </c>
      <c r="CM776" s="2040">
        <v>254.14</v>
      </c>
      <c r="CN776" s="2040">
        <v>254.14</v>
      </c>
      <c r="CO776" s="2040">
        <v>327.14999999999998</v>
      </c>
      <c r="CP776" s="2040">
        <v>327.14999999999998</v>
      </c>
      <c r="CQ776" s="2040">
        <v>327.14999999999998</v>
      </c>
      <c r="CR776" s="2040">
        <v>327.14999999999998</v>
      </c>
      <c r="CW776" s="2040">
        <v>117.66</v>
      </c>
      <c r="CX776" s="2040">
        <v>117.66</v>
      </c>
      <c r="CY776" s="2040">
        <v>245.87</v>
      </c>
      <c r="CZ776" s="2040">
        <v>245.87</v>
      </c>
      <c r="DA776" s="2040">
        <v>245.87</v>
      </c>
      <c r="DB776" s="2040">
        <v>245.87</v>
      </c>
      <c r="DC776" s="2040">
        <v>316.85000000000002</v>
      </c>
      <c r="DD776" s="2040">
        <v>316.85000000000002</v>
      </c>
      <c r="DE776" s="2040">
        <v>316.85000000000002</v>
      </c>
      <c r="DF776" s="2040">
        <v>316.85000000000002</v>
      </c>
      <c r="DI776" s="2040">
        <v>31.08</v>
      </c>
      <c r="DJ776" s="2040">
        <v>31.08</v>
      </c>
      <c r="DK776" s="2040">
        <v>31.08</v>
      </c>
      <c r="DL776" s="2040">
        <v>31.08</v>
      </c>
      <c r="DM776" s="2040">
        <v>31.08</v>
      </c>
      <c r="DN776" s="2040">
        <v>31.08</v>
      </c>
      <c r="DU776" s="2040">
        <v>13.82</v>
      </c>
      <c r="DV776" s="2040">
        <v>13.82</v>
      </c>
      <c r="DW776" s="2040">
        <v>13.28</v>
      </c>
      <c r="DX776" s="2040">
        <v>13.28</v>
      </c>
      <c r="DY776" s="2040">
        <v>13.28</v>
      </c>
      <c r="DZ776" s="2040">
        <v>13.28</v>
      </c>
      <c r="EG776" s="2040">
        <v>14.83</v>
      </c>
      <c r="EH776" s="2040">
        <v>15</v>
      </c>
      <c r="EI776" s="2040">
        <v>12.07</v>
      </c>
      <c r="EJ776" s="2040">
        <v>12.07</v>
      </c>
      <c r="EK776" s="2040">
        <v>12.06</v>
      </c>
      <c r="EL776" s="2040">
        <v>12.06</v>
      </c>
      <c r="EM776" s="2040">
        <v>12.65</v>
      </c>
      <c r="EN776" s="2040">
        <v>12.65</v>
      </c>
      <c r="EO776" s="2040">
        <v>12.02</v>
      </c>
      <c r="EP776" s="2040">
        <v>12.02</v>
      </c>
      <c r="EQ776" s="2040">
        <v>12.37</v>
      </c>
      <c r="ER776" s="2040">
        <v>12.22</v>
      </c>
      <c r="ES776" s="2040">
        <v>56.82</v>
      </c>
      <c r="ET776" s="2040">
        <v>56.82</v>
      </c>
      <c r="EU776" s="2040">
        <v>247.81</v>
      </c>
      <c r="EV776" s="2040">
        <v>247.81</v>
      </c>
      <c r="EW776" s="2040">
        <v>242.46</v>
      </c>
      <c r="EX776" s="2040">
        <v>242.46</v>
      </c>
      <c r="EY776" s="2506">
        <f t="shared" si="60"/>
        <v>245.13499999999999</v>
      </c>
      <c r="EZ776" s="2506">
        <f t="shared" si="60"/>
        <v>245.13499999999999</v>
      </c>
      <c r="FA776" s="2040">
        <v>245.72</v>
      </c>
      <c r="FB776" s="2040">
        <v>245.72</v>
      </c>
      <c r="FE776" s="2040">
        <v>48.87</v>
      </c>
      <c r="FF776" s="2040">
        <v>48.87</v>
      </c>
      <c r="FG776" s="2040">
        <v>208.81</v>
      </c>
      <c r="FH776" s="2040">
        <v>208.81</v>
      </c>
      <c r="FI776" s="2040">
        <v>208.81</v>
      </c>
      <c r="FJ776" s="2040">
        <v>210.2</v>
      </c>
      <c r="FK776" s="2040">
        <v>208.38</v>
      </c>
      <c r="FL776" s="2040">
        <v>208.38</v>
      </c>
      <c r="FM776" s="2040">
        <v>209.06</v>
      </c>
      <c r="FN776" s="2040">
        <v>209.06</v>
      </c>
      <c r="FQ776" s="2040">
        <v>110.39</v>
      </c>
      <c r="FR776" s="2040">
        <v>110.39</v>
      </c>
      <c r="FS776" s="2040">
        <v>221.66</v>
      </c>
      <c r="FT776" s="2040">
        <v>221.66</v>
      </c>
      <c r="FU776" s="2040">
        <v>221.66</v>
      </c>
      <c r="FV776" s="2040">
        <v>221.66</v>
      </c>
      <c r="FW776" s="2040">
        <v>222.05</v>
      </c>
      <c r="FX776" s="2040">
        <v>222.05</v>
      </c>
      <c r="GC776" s="2040">
        <v>77.989999999999995</v>
      </c>
      <c r="GD776" s="2040">
        <v>77.989999999999995</v>
      </c>
      <c r="GE776" s="2040">
        <v>175.27</v>
      </c>
      <c r="GF776" s="2040">
        <v>175.27</v>
      </c>
      <c r="GG776" s="2040">
        <v>175.27</v>
      </c>
      <c r="GH776" s="2040">
        <v>175.27</v>
      </c>
      <c r="GI776" s="2040">
        <v>192.51</v>
      </c>
      <c r="GJ776" s="2040">
        <v>192.51</v>
      </c>
      <c r="GK776" s="2040">
        <v>217.26</v>
      </c>
      <c r="GL776" s="2040">
        <v>217.26</v>
      </c>
      <c r="GO776" s="2040">
        <v>41.76</v>
      </c>
      <c r="GP776" s="2040">
        <v>41.76</v>
      </c>
      <c r="GQ776" s="2040">
        <v>36.47</v>
      </c>
      <c r="GR776" s="2040">
        <v>36.47</v>
      </c>
      <c r="GS776" s="2040">
        <v>36.47</v>
      </c>
      <c r="GT776" s="2040">
        <v>35.17</v>
      </c>
      <c r="GU776" s="2040">
        <v>35.17</v>
      </c>
      <c r="GV776" s="2040">
        <v>35.409999999999997</v>
      </c>
      <c r="GW776" s="2040">
        <v>207.01</v>
      </c>
      <c r="GX776" s="2040">
        <v>207.01</v>
      </c>
      <c r="HA776" s="2040">
        <v>29.15</v>
      </c>
      <c r="HB776" s="2040">
        <v>29.15</v>
      </c>
      <c r="HC776" s="2040">
        <v>22.67</v>
      </c>
      <c r="HD776" s="2040">
        <v>22.67</v>
      </c>
      <c r="HE776" s="2040">
        <v>23.32</v>
      </c>
      <c r="HF776" s="2040">
        <v>23.32</v>
      </c>
      <c r="HG776" s="2040">
        <v>23.32</v>
      </c>
      <c r="HH776" s="2040">
        <v>23.32</v>
      </c>
      <c r="HI776" s="2040">
        <v>23.32</v>
      </c>
      <c r="HJ776" s="2040">
        <v>23.32</v>
      </c>
      <c r="HK776" s="2040">
        <v>23.43</v>
      </c>
      <c r="HL776" s="2040">
        <v>23.61</v>
      </c>
      <c r="HM776" s="2040">
        <v>40.78</v>
      </c>
      <c r="HN776" s="2040">
        <v>40.78</v>
      </c>
      <c r="HO776" s="2040">
        <v>31.99</v>
      </c>
      <c r="HP776" s="2040">
        <v>31.99</v>
      </c>
      <c r="HQ776" s="2040">
        <v>32.99</v>
      </c>
      <c r="HR776" s="2040">
        <v>32.99</v>
      </c>
      <c r="HS776" s="2040">
        <v>32.99</v>
      </c>
      <c r="HT776" s="2040">
        <v>32.99</v>
      </c>
      <c r="HU776" s="2040">
        <v>32.99</v>
      </c>
      <c r="HV776" s="2040">
        <v>32.99</v>
      </c>
      <c r="HW776" s="2040">
        <v>33.03</v>
      </c>
      <c r="HX776" s="2040">
        <v>33.03</v>
      </c>
    </row>
    <row r="777" spans="2:232" s="2040" customFormat="1" ht="14" x14ac:dyDescent="0.3">
      <c r="B777" s="2504">
        <v>78</v>
      </c>
      <c r="C777" s="2505">
        <v>46.24</v>
      </c>
      <c r="D777" s="2505">
        <v>46.24</v>
      </c>
      <c r="E777" s="2505">
        <v>46.35</v>
      </c>
      <c r="F777" s="2505">
        <v>46.35</v>
      </c>
      <c r="G777" s="2505">
        <v>179.67</v>
      </c>
      <c r="H777" s="2505">
        <v>179.67</v>
      </c>
      <c r="I777" s="2505">
        <v>170.47</v>
      </c>
      <c r="J777" s="2505">
        <v>170.47</v>
      </c>
      <c r="K777" s="2505">
        <v>175.05</v>
      </c>
      <c r="L777" s="2505">
        <v>175.05</v>
      </c>
      <c r="M777" s="2505"/>
      <c r="N777" s="2505"/>
      <c r="O777" s="2505">
        <v>144.71</v>
      </c>
      <c r="P777" s="2505">
        <v>144.71</v>
      </c>
      <c r="Q777" s="2505">
        <v>144.25</v>
      </c>
      <c r="R777" s="2505">
        <v>144.72</v>
      </c>
      <c r="S777" s="2505">
        <v>268.21999999999997</v>
      </c>
      <c r="T777" s="2505">
        <v>268.16000000000003</v>
      </c>
      <c r="U777" s="2505">
        <v>258.85000000000002</v>
      </c>
      <c r="V777" s="2505">
        <v>258.85000000000002</v>
      </c>
      <c r="W777" s="2505">
        <v>268.16000000000003</v>
      </c>
      <c r="X777" s="2505">
        <v>268.16000000000003</v>
      </c>
      <c r="Y777" s="2505">
        <v>258.85000000000002</v>
      </c>
      <c r="Z777" s="2505">
        <v>268.16000000000003</v>
      </c>
      <c r="AA777" s="2505">
        <v>268.16000000000003</v>
      </c>
      <c r="AB777" s="2505">
        <v>268.16000000000003</v>
      </c>
      <c r="AC777" s="2505">
        <v>258.85000000000002</v>
      </c>
      <c r="AD777" s="2505">
        <v>258.85000000000002</v>
      </c>
      <c r="AE777" s="2505">
        <v>280.89</v>
      </c>
      <c r="AF777" s="2505">
        <v>272.81</v>
      </c>
      <c r="AG777" s="2505">
        <v>280.89</v>
      </c>
      <c r="AH777" s="2505">
        <v>280.89</v>
      </c>
      <c r="AI777" s="2505">
        <v>272.81</v>
      </c>
      <c r="AJ777" s="2505">
        <v>272.81</v>
      </c>
      <c r="AK777" s="2505">
        <v>273.20999999999998</v>
      </c>
      <c r="AL777" s="2505">
        <v>273.20999999999998</v>
      </c>
      <c r="AM777" s="2505">
        <v>76.5</v>
      </c>
      <c r="AN777" s="2505">
        <v>73.72</v>
      </c>
      <c r="AO777" s="2505">
        <v>73.72</v>
      </c>
      <c r="AP777" s="2505">
        <v>73.59</v>
      </c>
      <c r="AQ777" s="2505">
        <v>73.900000000000006</v>
      </c>
      <c r="AR777" s="2505">
        <v>73.900000000000006</v>
      </c>
      <c r="AS777" s="2505">
        <v>221.32</v>
      </c>
      <c r="AT777" s="2505">
        <v>221.32</v>
      </c>
      <c r="AU777" s="2505">
        <v>221.32</v>
      </c>
      <c r="AV777" s="2505">
        <v>226.25</v>
      </c>
      <c r="AW777" s="2505">
        <v>221.54</v>
      </c>
      <c r="AX777" s="2505">
        <v>221.54</v>
      </c>
      <c r="AY777" s="2505">
        <v>221.66</v>
      </c>
      <c r="AZ777" s="2505">
        <v>221.66</v>
      </c>
      <c r="BA777" s="2040">
        <v>96.66</v>
      </c>
      <c r="BB777" s="2040">
        <v>96.66</v>
      </c>
      <c r="BC777" s="2040">
        <v>24.51</v>
      </c>
      <c r="BD777" s="2040">
        <v>24.68</v>
      </c>
      <c r="BE777" s="2040">
        <v>27.46</v>
      </c>
      <c r="BF777" s="2040">
        <v>27.46</v>
      </c>
      <c r="BG777" s="2040">
        <v>24.54</v>
      </c>
      <c r="BH777" s="2040">
        <v>24.54</v>
      </c>
      <c r="BI777" s="2040">
        <v>24.34</v>
      </c>
      <c r="BJ777" s="2040">
        <v>24.34</v>
      </c>
      <c r="BK777" s="2040">
        <v>24.34</v>
      </c>
      <c r="BL777" s="2040">
        <v>24.34</v>
      </c>
      <c r="BM777" s="2040">
        <v>55.94</v>
      </c>
      <c r="BN777" s="2040">
        <v>55.94</v>
      </c>
      <c r="BO777" s="2040">
        <v>175.62</v>
      </c>
      <c r="BP777" s="2040">
        <v>175.62</v>
      </c>
      <c r="BQ777" s="2040">
        <v>175.62</v>
      </c>
      <c r="BR777" s="2040">
        <v>175.62</v>
      </c>
      <c r="BS777" s="2040">
        <v>227.18</v>
      </c>
      <c r="BT777" s="2040">
        <v>227.18</v>
      </c>
      <c r="BU777" s="2040">
        <v>227.18</v>
      </c>
      <c r="BV777" s="2040">
        <v>227.18</v>
      </c>
      <c r="BW777" s="2040">
        <v>227.18</v>
      </c>
      <c r="BX777" s="2040">
        <v>227.18</v>
      </c>
      <c r="BY777" s="2040">
        <v>50.74</v>
      </c>
      <c r="BZ777" s="2040">
        <v>50.74</v>
      </c>
      <c r="CA777" s="2040">
        <v>167.93</v>
      </c>
      <c r="CB777" s="2040">
        <v>167.93</v>
      </c>
      <c r="CC777" s="2040">
        <v>170.44</v>
      </c>
      <c r="CD777" s="2040">
        <v>170.44</v>
      </c>
      <c r="CE777" s="2040">
        <v>223.65</v>
      </c>
      <c r="CF777" s="2040">
        <v>223.65</v>
      </c>
      <c r="CK777" s="2040">
        <v>126.2</v>
      </c>
      <c r="CL777" s="2040">
        <v>126.2</v>
      </c>
      <c r="CM777" s="2040">
        <v>254.77</v>
      </c>
      <c r="CN777" s="2040">
        <v>254.77</v>
      </c>
      <c r="CO777" s="2040">
        <v>328.19</v>
      </c>
      <c r="CP777" s="2040">
        <v>328.19</v>
      </c>
      <c r="CQ777" s="2040">
        <v>328.19</v>
      </c>
      <c r="CR777" s="2040">
        <v>328.19</v>
      </c>
      <c r="CW777" s="2040">
        <v>118.02</v>
      </c>
      <c r="CX777" s="2040">
        <v>118.02</v>
      </c>
      <c r="CY777" s="2040">
        <v>246.54</v>
      </c>
      <c r="CZ777" s="2040">
        <v>246.54</v>
      </c>
      <c r="DA777" s="2040">
        <v>246.54</v>
      </c>
      <c r="DB777" s="2040">
        <v>246.54</v>
      </c>
      <c r="DC777" s="2040">
        <v>317.92</v>
      </c>
      <c r="DD777" s="2040">
        <v>317.92</v>
      </c>
      <c r="DE777" s="2040">
        <v>317.92</v>
      </c>
      <c r="DF777" s="2040">
        <v>317.92</v>
      </c>
      <c r="DI777" s="2040">
        <v>31.17</v>
      </c>
      <c r="DJ777" s="2040">
        <v>31.17</v>
      </c>
      <c r="DK777" s="2040">
        <v>31.17</v>
      </c>
      <c r="DL777" s="2040">
        <v>31.17</v>
      </c>
      <c r="DM777" s="2040">
        <v>31.17</v>
      </c>
      <c r="DN777" s="2040">
        <v>31.17</v>
      </c>
      <c r="DU777" s="2040">
        <v>13.87</v>
      </c>
      <c r="DV777" s="2040">
        <v>13.87</v>
      </c>
      <c r="DW777" s="2040">
        <v>13.33</v>
      </c>
      <c r="DX777" s="2040">
        <v>13.33</v>
      </c>
      <c r="DY777" s="2040">
        <v>13.33</v>
      </c>
      <c r="DZ777" s="2040">
        <v>13.33</v>
      </c>
      <c r="EG777" s="2040">
        <v>14.87</v>
      </c>
      <c r="EH777" s="2040">
        <v>15.04</v>
      </c>
      <c r="EI777" s="2040">
        <v>12.13</v>
      </c>
      <c r="EJ777" s="2040">
        <v>12.13</v>
      </c>
      <c r="EK777" s="2040">
        <v>12.13</v>
      </c>
      <c r="EL777" s="2040">
        <v>12.13</v>
      </c>
      <c r="EM777" s="2040">
        <v>12.71</v>
      </c>
      <c r="EN777" s="2040">
        <v>12.71</v>
      </c>
      <c r="EO777" s="2040">
        <v>12.08</v>
      </c>
      <c r="EP777" s="2040">
        <v>12.08</v>
      </c>
      <c r="EQ777" s="2040">
        <v>12.43</v>
      </c>
      <c r="ER777" s="2040">
        <v>12.28</v>
      </c>
      <c r="ES777" s="2040">
        <v>57</v>
      </c>
      <c r="ET777" s="2040">
        <v>57</v>
      </c>
      <c r="EU777" s="2040">
        <v>248.9</v>
      </c>
      <c r="EV777" s="2040">
        <v>248.9</v>
      </c>
      <c r="EW777" s="2040">
        <v>243.54</v>
      </c>
      <c r="EX777" s="2040">
        <v>243.54</v>
      </c>
      <c r="EY777" s="2506">
        <f t="shared" si="60"/>
        <v>246.22</v>
      </c>
      <c r="EZ777" s="2506">
        <f t="shared" si="60"/>
        <v>246.22</v>
      </c>
      <c r="FA777" s="2040">
        <v>246.76</v>
      </c>
      <c r="FB777" s="2040">
        <v>246.76</v>
      </c>
      <c r="FE777" s="2040">
        <v>49.02</v>
      </c>
      <c r="FF777" s="2040">
        <v>49.02</v>
      </c>
      <c r="FG777" s="2040">
        <v>209.74</v>
      </c>
      <c r="FH777" s="2040">
        <v>209.74</v>
      </c>
      <c r="FI777" s="2040">
        <v>209.74</v>
      </c>
      <c r="FJ777" s="2040">
        <v>211.11</v>
      </c>
      <c r="FK777" s="2040">
        <v>209.32</v>
      </c>
      <c r="FL777" s="2040">
        <v>209.32</v>
      </c>
      <c r="FM777" s="2040">
        <v>209.99</v>
      </c>
      <c r="FN777" s="2040">
        <v>209.99</v>
      </c>
      <c r="FQ777" s="2040">
        <v>110.74</v>
      </c>
      <c r="FR777" s="2040">
        <v>110.74</v>
      </c>
      <c r="FS777" s="2040">
        <v>222.47</v>
      </c>
      <c r="FT777" s="2040">
        <v>222.47</v>
      </c>
      <c r="FU777" s="2040">
        <v>222.47</v>
      </c>
      <c r="FV777" s="2040">
        <v>222.47</v>
      </c>
      <c r="FW777" s="2040">
        <v>222.86</v>
      </c>
      <c r="FX777" s="2040">
        <v>222.86</v>
      </c>
      <c r="GC777" s="2040">
        <v>78.239999999999995</v>
      </c>
      <c r="GD777" s="2040">
        <v>78.239999999999995</v>
      </c>
      <c r="GE777" s="2040">
        <v>175.77</v>
      </c>
      <c r="GF777" s="2040">
        <v>175.77</v>
      </c>
      <c r="GG777" s="2040">
        <v>175.77</v>
      </c>
      <c r="GH777" s="2040">
        <v>175.77</v>
      </c>
      <c r="GI777" s="2040">
        <v>193.63</v>
      </c>
      <c r="GJ777" s="2040">
        <v>193.63</v>
      </c>
      <c r="GK777" s="2040">
        <v>218.18</v>
      </c>
      <c r="GL777" s="2040">
        <v>218.18</v>
      </c>
      <c r="GO777" s="2040">
        <v>41.89</v>
      </c>
      <c r="GP777" s="2040">
        <v>41.89</v>
      </c>
      <c r="GQ777" s="2040">
        <v>36.630000000000003</v>
      </c>
      <c r="GR777" s="2040">
        <v>36.630000000000003</v>
      </c>
      <c r="GS777" s="2040">
        <v>36.630000000000003</v>
      </c>
      <c r="GT777" s="2040">
        <v>35.32</v>
      </c>
      <c r="GU777" s="2040">
        <v>35.32</v>
      </c>
      <c r="GV777" s="2040">
        <v>35.56</v>
      </c>
      <c r="GW777" s="2040">
        <v>207.87</v>
      </c>
      <c r="GX777" s="2040">
        <v>207.87</v>
      </c>
      <c r="HA777" s="2040">
        <v>29.23</v>
      </c>
      <c r="HB777" s="2040">
        <v>29.23</v>
      </c>
      <c r="HC777" s="2040">
        <v>22.77</v>
      </c>
      <c r="HD777" s="2040">
        <v>22.77</v>
      </c>
      <c r="HE777" s="2040">
        <v>23.45</v>
      </c>
      <c r="HF777" s="2040">
        <v>23.45</v>
      </c>
      <c r="HG777" s="2040">
        <v>23.45</v>
      </c>
      <c r="HH777" s="2040">
        <v>23.45</v>
      </c>
      <c r="HI777" s="2040">
        <v>23.45</v>
      </c>
      <c r="HJ777" s="2040">
        <v>23.45</v>
      </c>
      <c r="HK777" s="2040">
        <v>23.53</v>
      </c>
      <c r="HL777" s="2040">
        <v>23.71</v>
      </c>
      <c r="HM777" s="2040">
        <v>40.92</v>
      </c>
      <c r="HN777" s="2040">
        <v>40.92</v>
      </c>
      <c r="HO777" s="2040">
        <v>32.18</v>
      </c>
      <c r="HP777" s="2040">
        <v>32.18</v>
      </c>
      <c r="HQ777" s="2040">
        <v>33.18</v>
      </c>
      <c r="HR777" s="2040">
        <v>33.18</v>
      </c>
      <c r="HS777" s="2040">
        <v>33.18</v>
      </c>
      <c r="HT777" s="2040">
        <v>33.18</v>
      </c>
      <c r="HU777" s="2040">
        <v>33.18</v>
      </c>
      <c r="HV777" s="2040">
        <v>33.18</v>
      </c>
      <c r="HW777" s="2040">
        <v>33.21</v>
      </c>
      <c r="HX777" s="2040">
        <v>33.21</v>
      </c>
    </row>
    <row r="778" spans="2:232" s="2040" customFormat="1" ht="14" x14ac:dyDescent="0.3">
      <c r="B778" s="2504">
        <v>79</v>
      </c>
      <c r="C778" s="2505">
        <v>46.38</v>
      </c>
      <c r="D778" s="2505">
        <v>46.38</v>
      </c>
      <c r="E778" s="2505">
        <v>46.49</v>
      </c>
      <c r="F778" s="2505">
        <v>46.49</v>
      </c>
      <c r="G778" s="2505">
        <v>180.26</v>
      </c>
      <c r="H778" s="2505">
        <v>180.26</v>
      </c>
      <c r="I778" s="2505">
        <v>171.16</v>
      </c>
      <c r="J778" s="2505">
        <v>171.16</v>
      </c>
      <c r="K778" s="2505">
        <v>175.66</v>
      </c>
      <c r="L778" s="2505">
        <v>175.66</v>
      </c>
      <c r="M778" s="2505"/>
      <c r="N778" s="2505"/>
      <c r="O778" s="2505">
        <v>145.16999999999999</v>
      </c>
      <c r="P778" s="2505">
        <v>145.16999999999999</v>
      </c>
      <c r="Q778" s="2505">
        <v>144.69999999999999</v>
      </c>
      <c r="R778" s="2505">
        <v>145.16999999999999</v>
      </c>
      <c r="S778" s="2505">
        <v>269.41999999999996</v>
      </c>
      <c r="T778" s="2505">
        <v>269.33</v>
      </c>
      <c r="U778" s="2505">
        <v>259.98</v>
      </c>
      <c r="V778" s="2505">
        <v>259.98</v>
      </c>
      <c r="W778" s="2505">
        <v>269.33</v>
      </c>
      <c r="X778" s="2505">
        <v>269.33</v>
      </c>
      <c r="Y778" s="2505">
        <v>259.98</v>
      </c>
      <c r="Z778" s="2505">
        <v>269.33</v>
      </c>
      <c r="AA778" s="2505">
        <v>269.33</v>
      </c>
      <c r="AB778" s="2505">
        <v>269.33</v>
      </c>
      <c r="AC778" s="2505">
        <v>259.98</v>
      </c>
      <c r="AD778" s="2505">
        <v>259.98</v>
      </c>
      <c r="AE778" s="2505">
        <v>281.94</v>
      </c>
      <c r="AF778" s="2505">
        <v>273.83</v>
      </c>
      <c r="AG778" s="2505">
        <v>281.94</v>
      </c>
      <c r="AH778" s="2505">
        <v>281.94</v>
      </c>
      <c r="AI778" s="2505">
        <v>273.83</v>
      </c>
      <c r="AJ778" s="2505">
        <v>273.83</v>
      </c>
      <c r="AK778" s="2505">
        <v>274.22000000000003</v>
      </c>
      <c r="AL778" s="2505">
        <v>274.22000000000003</v>
      </c>
      <c r="AM778" s="2505">
        <v>76.739999999999995</v>
      </c>
      <c r="AN778" s="2505">
        <v>73.95</v>
      </c>
      <c r="AO778" s="2505">
        <v>73.95</v>
      </c>
      <c r="AP778" s="2505">
        <v>73.849999999999994</v>
      </c>
      <c r="AQ778" s="2505">
        <v>74.150000000000006</v>
      </c>
      <c r="AR778" s="2505">
        <v>74.150000000000006</v>
      </c>
      <c r="AS778" s="2505">
        <v>222.29</v>
      </c>
      <c r="AT778" s="2505">
        <v>222.29</v>
      </c>
      <c r="AU778" s="2505">
        <v>222.29</v>
      </c>
      <c r="AV778" s="2505">
        <v>227.23</v>
      </c>
      <c r="AW778" s="2505">
        <v>222.51</v>
      </c>
      <c r="AX778" s="2505">
        <v>222.51</v>
      </c>
      <c r="AY778" s="2505">
        <v>222.63</v>
      </c>
      <c r="AZ778" s="2505">
        <v>222.63</v>
      </c>
      <c r="BA778" s="2040">
        <v>97.12</v>
      </c>
      <c r="BB778" s="2040">
        <v>97.12</v>
      </c>
      <c r="BC778" s="2040">
        <v>24.62</v>
      </c>
      <c r="BD778" s="2040">
        <v>24.79</v>
      </c>
      <c r="BE778" s="2040">
        <v>27.56</v>
      </c>
      <c r="BF778" s="2040">
        <v>27.56</v>
      </c>
      <c r="BG778" s="2040">
        <v>24.68</v>
      </c>
      <c r="BH778" s="2040">
        <v>24.68</v>
      </c>
      <c r="BI778" s="2040">
        <v>24.48</v>
      </c>
      <c r="BJ778" s="2040">
        <v>24.48</v>
      </c>
      <c r="BK778" s="2040">
        <v>24.48</v>
      </c>
      <c r="BL778" s="2040">
        <v>24.48</v>
      </c>
      <c r="BM778" s="2040">
        <v>56.12</v>
      </c>
      <c r="BN778" s="2040">
        <v>56.12</v>
      </c>
      <c r="BO778" s="2040">
        <v>176.29</v>
      </c>
      <c r="BP778" s="2040">
        <v>176.29</v>
      </c>
      <c r="BQ778" s="2040">
        <v>176.29</v>
      </c>
      <c r="BR778" s="2040">
        <v>176.29</v>
      </c>
      <c r="BS778" s="2040">
        <v>228.22</v>
      </c>
      <c r="BT778" s="2040">
        <v>228.22</v>
      </c>
      <c r="BU778" s="2040">
        <v>228.22</v>
      </c>
      <c r="BV778" s="2040">
        <v>228.22</v>
      </c>
      <c r="BW778" s="2040">
        <v>228.22</v>
      </c>
      <c r="BX778" s="2040">
        <v>228.22</v>
      </c>
      <c r="BY778" s="2040">
        <v>50.94</v>
      </c>
      <c r="BZ778" s="2040">
        <v>50.94</v>
      </c>
      <c r="CA778" s="2040">
        <v>168.75</v>
      </c>
      <c r="CB778" s="2040">
        <v>168.75</v>
      </c>
      <c r="CC778" s="2040">
        <v>171.28</v>
      </c>
      <c r="CD778" s="2040">
        <v>171.28</v>
      </c>
      <c r="CE778" s="2040">
        <v>224.95</v>
      </c>
      <c r="CF778" s="2040">
        <v>224.95</v>
      </c>
      <c r="CK778" s="2040">
        <v>126.56</v>
      </c>
      <c r="CL778" s="2040">
        <v>126.56</v>
      </c>
      <c r="CM778" s="2040">
        <v>255.46</v>
      </c>
      <c r="CN778" s="2040">
        <v>255.46</v>
      </c>
      <c r="CO778" s="2040">
        <v>329.31</v>
      </c>
      <c r="CP778" s="2040">
        <v>329.31</v>
      </c>
      <c r="CQ778" s="2040">
        <v>329.31</v>
      </c>
      <c r="CR778" s="2040">
        <v>329.31</v>
      </c>
      <c r="CW778" s="2040">
        <v>118.45</v>
      </c>
      <c r="CX778" s="2040">
        <v>118.45</v>
      </c>
      <c r="CY778" s="2040">
        <v>247.31</v>
      </c>
      <c r="CZ778" s="2040">
        <v>247.31</v>
      </c>
      <c r="DA778" s="2040">
        <v>247.31</v>
      </c>
      <c r="DB778" s="2040">
        <v>247.31</v>
      </c>
      <c r="DC778" s="2040">
        <v>319.17</v>
      </c>
      <c r="DD778" s="2040">
        <v>319.17</v>
      </c>
      <c r="DE778" s="2040">
        <v>319.17</v>
      </c>
      <c r="DF778" s="2040">
        <v>319.17</v>
      </c>
      <c r="DI778" s="2040">
        <v>31.26</v>
      </c>
      <c r="DJ778" s="2040">
        <v>31.26</v>
      </c>
      <c r="DK778" s="2040">
        <v>31.26</v>
      </c>
      <c r="DL778" s="2040">
        <v>31.26</v>
      </c>
      <c r="DM778" s="2040">
        <v>31.26</v>
      </c>
      <c r="DN778" s="2040">
        <v>31.26</v>
      </c>
      <c r="DU778" s="2040">
        <v>13.92</v>
      </c>
      <c r="DV778" s="2040">
        <v>13.92</v>
      </c>
      <c r="DW778" s="2040">
        <v>13.39</v>
      </c>
      <c r="DX778" s="2040">
        <v>13.39</v>
      </c>
      <c r="DY778" s="2040">
        <v>13.39</v>
      </c>
      <c r="DZ778" s="2040">
        <v>13.39</v>
      </c>
      <c r="EG778" s="2040">
        <v>14.92</v>
      </c>
      <c r="EH778" s="2040">
        <v>15.09</v>
      </c>
      <c r="EI778" s="2040">
        <v>12.19</v>
      </c>
      <c r="EJ778" s="2040">
        <v>12.19</v>
      </c>
      <c r="EK778" s="2040">
        <v>12.19</v>
      </c>
      <c r="EL778" s="2040">
        <v>12.19</v>
      </c>
      <c r="EM778" s="2040">
        <v>12.77</v>
      </c>
      <c r="EN778" s="2040">
        <v>12.77</v>
      </c>
      <c r="EO778" s="2040">
        <v>12.13</v>
      </c>
      <c r="EP778" s="2040">
        <v>12.13</v>
      </c>
      <c r="EQ778" s="2040">
        <v>12.49</v>
      </c>
      <c r="ER778" s="2040">
        <v>12.33</v>
      </c>
      <c r="ES778" s="2040">
        <v>57.17</v>
      </c>
      <c r="ET778" s="2040">
        <v>57.17</v>
      </c>
      <c r="EU778" s="2040">
        <v>249.96</v>
      </c>
      <c r="EV778" s="2040">
        <v>249.96</v>
      </c>
      <c r="EW778" s="2040">
        <v>244.6</v>
      </c>
      <c r="EX778" s="2040">
        <v>244.6</v>
      </c>
      <c r="EY778" s="2506">
        <f t="shared" si="60"/>
        <v>247.28</v>
      </c>
      <c r="EZ778" s="2506">
        <f t="shared" si="60"/>
        <v>247.28</v>
      </c>
      <c r="FA778" s="2040">
        <v>247.78</v>
      </c>
      <c r="FB778" s="2040">
        <v>247.78</v>
      </c>
      <c r="FE778" s="2040">
        <v>49.17</v>
      </c>
      <c r="FF778" s="2040">
        <v>49.17</v>
      </c>
      <c r="FG778" s="2040">
        <v>210.66</v>
      </c>
      <c r="FH778" s="2040">
        <v>210.66</v>
      </c>
      <c r="FI778" s="2040">
        <v>210.66</v>
      </c>
      <c r="FJ778" s="2040">
        <v>212</v>
      </c>
      <c r="FK778" s="2040">
        <v>210.25</v>
      </c>
      <c r="FL778" s="2040">
        <v>210.25</v>
      </c>
      <c r="FM778" s="2040">
        <v>210.89</v>
      </c>
      <c r="FN778" s="2040">
        <v>210.89</v>
      </c>
      <c r="FQ778" s="2040">
        <v>111.08</v>
      </c>
      <c r="FR778" s="2040">
        <v>111.08</v>
      </c>
      <c r="FS778" s="2040">
        <v>223.27</v>
      </c>
      <c r="FT778" s="2040">
        <v>223.27</v>
      </c>
      <c r="FU778" s="2040">
        <v>223.27</v>
      </c>
      <c r="FV778" s="2040">
        <v>223.27</v>
      </c>
      <c r="FW778" s="2040">
        <v>223.64</v>
      </c>
      <c r="FX778" s="2040">
        <v>223.64</v>
      </c>
      <c r="GC778" s="2040">
        <v>78.48</v>
      </c>
      <c r="GD778" s="2040">
        <v>78.48</v>
      </c>
      <c r="GE778" s="2040">
        <v>176.26</v>
      </c>
      <c r="GF778" s="2040">
        <v>176.26</v>
      </c>
      <c r="GG778" s="2040">
        <v>176.26</v>
      </c>
      <c r="GH778" s="2040">
        <v>176.26</v>
      </c>
      <c r="GI778" s="2040">
        <v>194.72</v>
      </c>
      <c r="GJ778" s="2040">
        <v>194.72</v>
      </c>
      <c r="GK778" s="2040">
        <v>219.07</v>
      </c>
      <c r="GL778" s="2040">
        <v>219.07</v>
      </c>
      <c r="GO778" s="2040">
        <v>42.02</v>
      </c>
      <c r="GP778" s="2040">
        <v>42.02</v>
      </c>
      <c r="GQ778" s="2040">
        <v>36.799999999999997</v>
      </c>
      <c r="GR778" s="2040">
        <v>36.799999999999997</v>
      </c>
      <c r="GS778" s="2040">
        <v>36.799999999999997</v>
      </c>
      <c r="GT778" s="2040">
        <v>35.49</v>
      </c>
      <c r="GU778" s="2040">
        <v>35.49</v>
      </c>
      <c r="GV778" s="2040">
        <v>35.72</v>
      </c>
      <c r="GW778" s="2040">
        <v>208.81</v>
      </c>
      <c r="GX778" s="2040">
        <v>208.81</v>
      </c>
      <c r="HA778" s="2040">
        <v>29.32</v>
      </c>
      <c r="HB778" s="2040">
        <v>29.32</v>
      </c>
      <c r="HC778" s="2040">
        <v>22.9</v>
      </c>
      <c r="HD778" s="2040">
        <v>22.9</v>
      </c>
      <c r="HE778" s="2040">
        <v>23.55</v>
      </c>
      <c r="HF778" s="2040">
        <v>23.55</v>
      </c>
      <c r="HG778" s="2040">
        <v>23.55</v>
      </c>
      <c r="HH778" s="2040">
        <v>23.55</v>
      </c>
      <c r="HI778" s="2040">
        <v>23.55</v>
      </c>
      <c r="HJ778" s="2040">
        <v>23.55</v>
      </c>
      <c r="HK778" s="2040">
        <v>23.65</v>
      </c>
      <c r="HL778" s="2040">
        <v>23.82</v>
      </c>
      <c r="HM778" s="2040">
        <v>41.06</v>
      </c>
      <c r="HN778" s="2040">
        <v>41.06</v>
      </c>
      <c r="HO778" s="2040">
        <v>32.380000000000003</v>
      </c>
      <c r="HP778" s="2040">
        <v>32.380000000000003</v>
      </c>
      <c r="HQ778" s="2040">
        <v>33.32</v>
      </c>
      <c r="HR778" s="2040">
        <v>33.32</v>
      </c>
      <c r="HS778" s="2040">
        <v>33.32</v>
      </c>
      <c r="HT778" s="2040">
        <v>33.32</v>
      </c>
      <c r="HU778" s="2040">
        <v>33.32</v>
      </c>
      <c r="HV778" s="2040">
        <v>33.32</v>
      </c>
      <c r="HW778" s="2040">
        <v>33.4</v>
      </c>
      <c r="HX778" s="2040">
        <v>33.4</v>
      </c>
    </row>
    <row r="779" spans="2:232" s="2040" customFormat="1" ht="14" x14ac:dyDescent="0.3">
      <c r="B779" s="2504">
        <v>80</v>
      </c>
      <c r="C779" s="2505">
        <v>46.51</v>
      </c>
      <c r="D779" s="2505">
        <v>46.51</v>
      </c>
      <c r="E779" s="2505">
        <v>46.61</v>
      </c>
      <c r="F779" s="2505">
        <v>46.61</v>
      </c>
      <c r="G779" s="2505">
        <v>180.91</v>
      </c>
      <c r="H779" s="2505">
        <v>180.91</v>
      </c>
      <c r="I779" s="2505">
        <v>171.77</v>
      </c>
      <c r="J779" s="2505">
        <v>171.77</v>
      </c>
      <c r="K779" s="2505">
        <v>176.18</v>
      </c>
      <c r="L779" s="2505">
        <v>176.18</v>
      </c>
      <c r="M779" s="2505"/>
      <c r="N779" s="2505"/>
      <c r="O779" s="2505">
        <v>145.61000000000001</v>
      </c>
      <c r="P779" s="2505">
        <v>145.61000000000001</v>
      </c>
      <c r="Q779" s="2505">
        <v>145.13</v>
      </c>
      <c r="R779" s="2505">
        <v>145.62</v>
      </c>
      <c r="S779" s="2505">
        <v>270.60999999999996</v>
      </c>
      <c r="T779" s="2505">
        <v>270.48</v>
      </c>
      <c r="U779" s="2505">
        <v>261.08999999999997</v>
      </c>
      <c r="V779" s="2505">
        <v>261.08999999999997</v>
      </c>
      <c r="W779" s="2505">
        <v>270.48</v>
      </c>
      <c r="X779" s="2505">
        <v>270.48</v>
      </c>
      <c r="Y779" s="2505">
        <v>261.08999999999997</v>
      </c>
      <c r="Z779" s="2505">
        <v>270.48</v>
      </c>
      <c r="AA779" s="2505">
        <v>270.48</v>
      </c>
      <c r="AB779" s="2505">
        <v>270.48</v>
      </c>
      <c r="AC779" s="2505">
        <v>261.08999999999997</v>
      </c>
      <c r="AD779" s="2505">
        <v>261.08999999999997</v>
      </c>
      <c r="AE779" s="2505">
        <v>282.97000000000003</v>
      </c>
      <c r="AF779" s="2505">
        <v>274.83</v>
      </c>
      <c r="AG779" s="2505">
        <v>282.97000000000003</v>
      </c>
      <c r="AH779" s="2505">
        <v>282.97000000000003</v>
      </c>
      <c r="AI779" s="2505">
        <v>274.83</v>
      </c>
      <c r="AJ779" s="2505">
        <v>274.83</v>
      </c>
      <c r="AK779" s="2505">
        <v>275.20999999999998</v>
      </c>
      <c r="AL779" s="2505">
        <v>275.20999999999998</v>
      </c>
      <c r="AM779" s="2505">
        <v>76.959999999999994</v>
      </c>
      <c r="AN779" s="2505">
        <v>74.17</v>
      </c>
      <c r="AO779" s="2505">
        <v>74.17</v>
      </c>
      <c r="AP779" s="2505">
        <v>74.040000000000006</v>
      </c>
      <c r="AQ779" s="2505">
        <v>74.33</v>
      </c>
      <c r="AR779" s="2505">
        <v>74.33</v>
      </c>
      <c r="AS779" s="2505">
        <v>223.02</v>
      </c>
      <c r="AT779" s="2505">
        <v>223.02</v>
      </c>
      <c r="AU779" s="2505">
        <v>223.02</v>
      </c>
      <c r="AV779" s="2505">
        <v>227.97</v>
      </c>
      <c r="AW779" s="2505">
        <v>223.23</v>
      </c>
      <c r="AX779" s="2505">
        <v>223.23</v>
      </c>
      <c r="AY779" s="2505">
        <v>223.35</v>
      </c>
      <c r="AZ779" s="2505">
        <v>223.35</v>
      </c>
      <c r="BA779" s="2040">
        <v>97.43</v>
      </c>
      <c r="BB779" s="2040">
        <v>97.43</v>
      </c>
      <c r="BC779" s="2040">
        <v>24.74</v>
      </c>
      <c r="BD779" s="2040">
        <v>24.9</v>
      </c>
      <c r="BE779" s="2040">
        <v>27.63</v>
      </c>
      <c r="BF779" s="2040">
        <v>27.63</v>
      </c>
      <c r="BG779" s="2040">
        <v>24.77</v>
      </c>
      <c r="BH779" s="2040">
        <v>24.77</v>
      </c>
      <c r="BI779" s="2040">
        <v>24.57</v>
      </c>
      <c r="BJ779" s="2040">
        <v>24.57</v>
      </c>
      <c r="BK779" s="2040">
        <v>24.57</v>
      </c>
      <c r="BL779" s="2040">
        <v>24.57</v>
      </c>
      <c r="BM779" s="2040">
        <v>56.25</v>
      </c>
      <c r="BN779" s="2040">
        <v>56.25</v>
      </c>
      <c r="BO779" s="2040">
        <v>176.74</v>
      </c>
      <c r="BP779" s="2040">
        <v>176.74</v>
      </c>
      <c r="BQ779" s="2040">
        <v>176.74</v>
      </c>
      <c r="BR779" s="2040">
        <v>176.74</v>
      </c>
      <c r="BS779" s="2040">
        <v>228.91</v>
      </c>
      <c r="BT779" s="2040">
        <v>228.91</v>
      </c>
      <c r="BU779" s="2040">
        <v>228.91</v>
      </c>
      <c r="BV779" s="2040">
        <v>228.91</v>
      </c>
      <c r="BW779" s="2040">
        <v>228.91</v>
      </c>
      <c r="BX779" s="2040">
        <v>228.91</v>
      </c>
      <c r="BY779" s="2040">
        <v>51.06</v>
      </c>
      <c r="BZ779" s="2040">
        <v>51.06</v>
      </c>
      <c r="CA779" s="2040">
        <v>169.2</v>
      </c>
      <c r="CB779" s="2040">
        <v>169.2</v>
      </c>
      <c r="CC779" s="2040">
        <v>171.75</v>
      </c>
      <c r="CD779" s="2040">
        <v>171.75</v>
      </c>
      <c r="CE779" s="2040">
        <v>225.67</v>
      </c>
      <c r="CF779" s="2040">
        <v>225.67</v>
      </c>
      <c r="CK779" s="2040">
        <v>126.91</v>
      </c>
      <c r="CL779" s="2040">
        <v>126.91</v>
      </c>
      <c r="CM779" s="2040">
        <v>256.08999999999997</v>
      </c>
      <c r="CN779" s="2040">
        <v>256.08999999999997</v>
      </c>
      <c r="CO779" s="2040">
        <v>330.36</v>
      </c>
      <c r="CP779" s="2040">
        <v>330.36</v>
      </c>
      <c r="CQ779" s="2040">
        <v>330.36</v>
      </c>
      <c r="CR779" s="2040">
        <v>330.36</v>
      </c>
      <c r="CW779" s="2040">
        <v>118.77</v>
      </c>
      <c r="CX779" s="2040">
        <v>118.77</v>
      </c>
      <c r="CY779" s="2040">
        <v>247.89</v>
      </c>
      <c r="CZ779" s="2040">
        <v>247.89</v>
      </c>
      <c r="DA779" s="2040">
        <v>247.89</v>
      </c>
      <c r="DB779" s="2040">
        <v>247.89</v>
      </c>
      <c r="DC779" s="2040">
        <v>320.12</v>
      </c>
      <c r="DD779" s="2040">
        <v>320.12</v>
      </c>
      <c r="DE779" s="2040">
        <v>320.12</v>
      </c>
      <c r="DF779" s="2040">
        <v>320.12</v>
      </c>
      <c r="DI779" s="2040">
        <v>31.34</v>
      </c>
      <c r="DJ779" s="2040">
        <v>31.34</v>
      </c>
      <c r="DK779" s="2040">
        <v>31.34</v>
      </c>
      <c r="DL779" s="2040">
        <v>31.34</v>
      </c>
      <c r="DM779" s="2040">
        <v>31.34</v>
      </c>
      <c r="DN779" s="2040">
        <v>31.34</v>
      </c>
      <c r="DU779" s="2040">
        <v>13.96</v>
      </c>
      <c r="DV779" s="2040">
        <v>13.96</v>
      </c>
      <c r="DW779" s="2040">
        <v>13.43</v>
      </c>
      <c r="DX779" s="2040">
        <v>13.43</v>
      </c>
      <c r="DY779" s="2040">
        <v>13.43</v>
      </c>
      <c r="DZ779" s="2040">
        <v>13.43</v>
      </c>
      <c r="EG779" s="2040">
        <v>14.96</v>
      </c>
      <c r="EH779" s="2040">
        <v>15.13</v>
      </c>
      <c r="EI779" s="2040">
        <v>12.25</v>
      </c>
      <c r="EJ779" s="2040">
        <v>12.25</v>
      </c>
      <c r="EK779" s="2040">
        <v>12.25</v>
      </c>
      <c r="EL779" s="2040">
        <v>12.25</v>
      </c>
      <c r="EM779" s="2040">
        <v>12.82</v>
      </c>
      <c r="EN779" s="2040">
        <v>12.82</v>
      </c>
      <c r="EO779" s="2040">
        <v>12.19</v>
      </c>
      <c r="EP779" s="2040">
        <v>12.19</v>
      </c>
      <c r="EQ779" s="2040">
        <v>12.54</v>
      </c>
      <c r="ER779" s="2040">
        <v>12.39</v>
      </c>
      <c r="ES779" s="2040">
        <v>57.34</v>
      </c>
      <c r="ET779" s="2040">
        <v>57.34</v>
      </c>
      <c r="EU779" s="2040">
        <v>251.01</v>
      </c>
      <c r="EV779" s="2040">
        <v>251.01</v>
      </c>
      <c r="EW779" s="2040">
        <v>245.63</v>
      </c>
      <c r="EX779" s="2040">
        <v>245.63</v>
      </c>
      <c r="EY779" s="2506">
        <f t="shared" si="60"/>
        <v>248.32</v>
      </c>
      <c r="EZ779" s="2506">
        <f t="shared" si="60"/>
        <v>248.32</v>
      </c>
      <c r="FA779" s="2040">
        <v>248.78</v>
      </c>
      <c r="FB779" s="2040">
        <v>248.78</v>
      </c>
      <c r="FE779" s="2040">
        <v>49.32</v>
      </c>
      <c r="FF779" s="2040">
        <v>49.32</v>
      </c>
      <c r="FG779" s="2040">
        <v>211.56</v>
      </c>
      <c r="FH779" s="2040">
        <v>211.56</v>
      </c>
      <c r="FI779" s="2040">
        <v>211.56</v>
      </c>
      <c r="FJ779" s="2040">
        <v>212.87</v>
      </c>
      <c r="FK779" s="2040">
        <v>211.15</v>
      </c>
      <c r="FL779" s="2040">
        <v>211.15</v>
      </c>
      <c r="FM779" s="2040">
        <v>211.78</v>
      </c>
      <c r="FN779" s="2040">
        <v>211.78</v>
      </c>
      <c r="FQ779" s="2040">
        <v>111.42</v>
      </c>
      <c r="FR779" s="2040">
        <v>111.42</v>
      </c>
      <c r="FS779" s="2040">
        <v>224.05</v>
      </c>
      <c r="FT779" s="2040">
        <v>224.05</v>
      </c>
      <c r="FU779" s="2040">
        <v>224.05</v>
      </c>
      <c r="FV779" s="2040">
        <v>224.05</v>
      </c>
      <c r="FW779" s="2040">
        <v>224.42</v>
      </c>
      <c r="FX779" s="2040">
        <v>224.42</v>
      </c>
      <c r="GC779" s="2040">
        <v>78.709999999999994</v>
      </c>
      <c r="GD779" s="2040">
        <v>78.709999999999994</v>
      </c>
      <c r="GE779" s="2040">
        <v>176.74</v>
      </c>
      <c r="GF779" s="2040">
        <v>176.74</v>
      </c>
      <c r="GG779" s="2040">
        <v>176.74</v>
      </c>
      <c r="GH779" s="2040">
        <v>176.74</v>
      </c>
      <c r="GI779" s="2040">
        <v>195.79</v>
      </c>
      <c r="GJ779" s="2040">
        <v>195.79</v>
      </c>
      <c r="GK779" s="2040">
        <v>219.94</v>
      </c>
      <c r="GL779" s="2040">
        <v>219.94</v>
      </c>
      <c r="GO779" s="2040">
        <v>42.14</v>
      </c>
      <c r="GP779" s="2040">
        <v>42.14</v>
      </c>
      <c r="GQ779" s="2040">
        <v>36.93</v>
      </c>
      <c r="GR779" s="2040">
        <v>36.93</v>
      </c>
      <c r="GS779" s="2040">
        <v>36.93</v>
      </c>
      <c r="GT779" s="2040">
        <v>35.61</v>
      </c>
      <c r="GU779" s="2040">
        <v>35.61</v>
      </c>
      <c r="GV779" s="2040">
        <v>35.840000000000003</v>
      </c>
      <c r="GW779" s="2040">
        <v>209.5</v>
      </c>
      <c r="GX779" s="2040">
        <v>209.5</v>
      </c>
      <c r="HA779" s="2040">
        <v>29.4</v>
      </c>
      <c r="HB779" s="2040">
        <v>29.4</v>
      </c>
      <c r="HC779" s="2040">
        <v>23.01</v>
      </c>
      <c r="HD779" s="2040">
        <v>23.01</v>
      </c>
      <c r="HE779" s="2040">
        <v>23.71</v>
      </c>
      <c r="HF779" s="2040">
        <v>23.71</v>
      </c>
      <c r="HG779" s="2040">
        <v>23.71</v>
      </c>
      <c r="HH779" s="2040">
        <v>23.71</v>
      </c>
      <c r="HI779" s="2040">
        <v>23.71</v>
      </c>
      <c r="HJ779" s="2040">
        <v>23.71</v>
      </c>
      <c r="HK779" s="2040">
        <v>23.76</v>
      </c>
      <c r="HL779" s="2040">
        <v>23.93</v>
      </c>
      <c r="HM779" s="2040">
        <v>41.16</v>
      </c>
      <c r="HN779" s="2040">
        <v>41.16</v>
      </c>
      <c r="HO779" s="2040">
        <v>32.520000000000003</v>
      </c>
      <c r="HP779" s="2040">
        <v>32.520000000000003</v>
      </c>
      <c r="HQ779" s="2040">
        <v>33.520000000000003</v>
      </c>
      <c r="HR779" s="2040">
        <v>33.520000000000003</v>
      </c>
      <c r="HS779" s="2040">
        <v>33.520000000000003</v>
      </c>
      <c r="HT779" s="2040">
        <v>33.520000000000003</v>
      </c>
      <c r="HU779" s="2040">
        <v>33.520000000000003</v>
      </c>
      <c r="HV779" s="2040">
        <v>33.520000000000003</v>
      </c>
      <c r="HW779" s="2040">
        <v>33.53</v>
      </c>
      <c r="HX779" s="2040">
        <v>33.53</v>
      </c>
    </row>
    <row r="780" spans="2:232" s="2040" customFormat="1" ht="14" x14ac:dyDescent="0.3">
      <c r="B780" s="2504">
        <v>81</v>
      </c>
      <c r="C780" s="2505">
        <v>46.64</v>
      </c>
      <c r="D780" s="2505">
        <v>46.64</v>
      </c>
      <c r="E780" s="2505">
        <v>46.73</v>
      </c>
      <c r="F780" s="2505">
        <v>46.73</v>
      </c>
      <c r="G780" s="2505">
        <v>181.47</v>
      </c>
      <c r="H780" s="2505">
        <v>181.47</v>
      </c>
      <c r="I780" s="2505">
        <v>172.42</v>
      </c>
      <c r="J780" s="2505">
        <v>172.42</v>
      </c>
      <c r="K780" s="2505">
        <v>176.76</v>
      </c>
      <c r="L780" s="2505">
        <v>176.76</v>
      </c>
      <c r="M780" s="2505"/>
      <c r="N780" s="2505"/>
      <c r="O780" s="2505">
        <v>146.06</v>
      </c>
      <c r="P780" s="2505">
        <v>146.06</v>
      </c>
      <c r="Q780" s="2505">
        <v>145.57</v>
      </c>
      <c r="R780" s="2505">
        <v>146.06</v>
      </c>
      <c r="S780" s="2505">
        <v>271.77999999999997</v>
      </c>
      <c r="T780" s="2505">
        <v>271.60000000000002</v>
      </c>
      <c r="U780" s="2505">
        <v>262.17</v>
      </c>
      <c r="V780" s="2505">
        <v>262.17</v>
      </c>
      <c r="W780" s="2505">
        <v>271.60000000000002</v>
      </c>
      <c r="X780" s="2505">
        <v>271.60000000000002</v>
      </c>
      <c r="Y780" s="2505">
        <v>262.17</v>
      </c>
      <c r="Z780" s="2505">
        <v>271.60000000000002</v>
      </c>
      <c r="AA780" s="2505">
        <v>271.60000000000002</v>
      </c>
      <c r="AB780" s="2505">
        <v>271.60000000000002</v>
      </c>
      <c r="AC780" s="2505">
        <v>262.17</v>
      </c>
      <c r="AD780" s="2505">
        <v>262.17</v>
      </c>
      <c r="AE780" s="2505">
        <v>283.98</v>
      </c>
      <c r="AF780" s="2505">
        <v>275.81</v>
      </c>
      <c r="AG780" s="2505">
        <v>283.98</v>
      </c>
      <c r="AH780" s="2505">
        <v>283.98</v>
      </c>
      <c r="AI780" s="2505">
        <v>275.81</v>
      </c>
      <c r="AJ780" s="2505">
        <v>275.81</v>
      </c>
      <c r="AK780" s="2505">
        <v>276.18</v>
      </c>
      <c r="AL780" s="2505">
        <v>276.18</v>
      </c>
      <c r="AM780" s="2505">
        <v>77.19</v>
      </c>
      <c r="AN780" s="2505">
        <v>74.38</v>
      </c>
      <c r="AO780" s="2505">
        <v>74.38</v>
      </c>
      <c r="AP780" s="2505">
        <v>74.23</v>
      </c>
      <c r="AQ780" s="2505">
        <v>74.510000000000005</v>
      </c>
      <c r="AR780" s="2505">
        <v>74.510000000000005</v>
      </c>
      <c r="AS780" s="2505">
        <v>223.72</v>
      </c>
      <c r="AT780" s="2505">
        <v>223.72</v>
      </c>
      <c r="AU780" s="2505">
        <v>223.72</v>
      </c>
      <c r="AV780" s="2505">
        <v>228.68</v>
      </c>
      <c r="AW780" s="2505">
        <v>223.93</v>
      </c>
      <c r="AX780" s="2505">
        <v>223.93</v>
      </c>
      <c r="AY780" s="2505">
        <v>224.05</v>
      </c>
      <c r="AZ780" s="2505">
        <v>224.05</v>
      </c>
      <c r="BA780" s="2040">
        <v>97.84</v>
      </c>
      <c r="BB780" s="2040">
        <v>97.84</v>
      </c>
      <c r="BC780" s="2040">
        <v>24.85</v>
      </c>
      <c r="BD780" s="2040">
        <v>25.01</v>
      </c>
      <c r="BE780" s="2040">
        <v>27.72</v>
      </c>
      <c r="BF780" s="2040">
        <v>27.72</v>
      </c>
      <c r="BG780" s="2040">
        <v>24.89</v>
      </c>
      <c r="BH780" s="2040">
        <v>24.89</v>
      </c>
      <c r="BI780" s="2040">
        <v>24.69</v>
      </c>
      <c r="BJ780" s="2040">
        <v>24.69</v>
      </c>
      <c r="BK780" s="2040">
        <v>24.69</v>
      </c>
      <c r="BL780" s="2040">
        <v>24.69</v>
      </c>
      <c r="BM780" s="2040">
        <v>56.4</v>
      </c>
      <c r="BN780" s="2040">
        <v>56.4</v>
      </c>
      <c r="BO780" s="2040">
        <v>177.31</v>
      </c>
      <c r="BP780" s="2040">
        <v>177.31</v>
      </c>
      <c r="BQ780" s="2040">
        <v>177.31</v>
      </c>
      <c r="BR780" s="2040">
        <v>177.31</v>
      </c>
      <c r="BS780" s="2040">
        <v>229.8</v>
      </c>
      <c r="BT780" s="2040">
        <v>229.8</v>
      </c>
      <c r="BU780" s="2040">
        <v>229.8</v>
      </c>
      <c r="BV780" s="2040">
        <v>229.8</v>
      </c>
      <c r="BW780" s="2040">
        <v>229.8</v>
      </c>
      <c r="BX780" s="2040">
        <v>229.8</v>
      </c>
      <c r="BY780" s="2040">
        <v>51.2</v>
      </c>
      <c r="BZ780" s="2040">
        <v>51.2</v>
      </c>
      <c r="CA780" s="2040">
        <v>169.74</v>
      </c>
      <c r="CB780" s="2040">
        <v>169.74</v>
      </c>
      <c r="CC780" s="2040">
        <v>172.29</v>
      </c>
      <c r="CD780" s="2040">
        <v>172.29</v>
      </c>
      <c r="CE780" s="2040">
        <v>226.51</v>
      </c>
      <c r="CF780" s="2040">
        <v>226.51</v>
      </c>
      <c r="CK780" s="2040">
        <v>127.27</v>
      </c>
      <c r="CL780" s="2040">
        <v>127.27</v>
      </c>
      <c r="CM780" s="2040">
        <v>256.70999999999998</v>
      </c>
      <c r="CN780" s="2040">
        <v>256.70999999999998</v>
      </c>
      <c r="CO780" s="2040">
        <v>331.37</v>
      </c>
      <c r="CP780" s="2040">
        <v>331.37</v>
      </c>
      <c r="CQ780" s="2040">
        <v>331.37</v>
      </c>
      <c r="CR780" s="2040">
        <v>331.37</v>
      </c>
      <c r="CW780" s="2040">
        <v>119.1</v>
      </c>
      <c r="CX780" s="2040">
        <v>119.1</v>
      </c>
      <c r="CY780" s="2040">
        <v>248.5</v>
      </c>
      <c r="CZ780" s="2040">
        <v>248.5</v>
      </c>
      <c r="DA780" s="2040">
        <v>248.5</v>
      </c>
      <c r="DB780" s="2040">
        <v>248.5</v>
      </c>
      <c r="DC780" s="2040">
        <v>321.11</v>
      </c>
      <c r="DD780" s="2040">
        <v>321.11</v>
      </c>
      <c r="DE780" s="2040">
        <v>321.11</v>
      </c>
      <c r="DF780" s="2040">
        <v>321.11</v>
      </c>
      <c r="DI780" s="2040">
        <v>31.42</v>
      </c>
      <c r="DJ780" s="2040">
        <v>31.42</v>
      </c>
      <c r="DK780" s="2040">
        <v>31.42</v>
      </c>
      <c r="DL780" s="2040">
        <v>31.42</v>
      </c>
      <c r="DM780" s="2040">
        <v>31.42</v>
      </c>
      <c r="DN780" s="2040">
        <v>31.42</v>
      </c>
      <c r="DU780" s="2040">
        <v>14.01</v>
      </c>
      <c r="DV780" s="2040">
        <v>14.01</v>
      </c>
      <c r="DW780" s="2040">
        <v>13.48</v>
      </c>
      <c r="DX780" s="2040">
        <v>13.48</v>
      </c>
      <c r="DY780" s="2040">
        <v>13.48</v>
      </c>
      <c r="DZ780" s="2040">
        <v>13.48</v>
      </c>
      <c r="EG780" s="2040">
        <v>15</v>
      </c>
      <c r="EH780" s="2040">
        <v>15.17</v>
      </c>
      <c r="EI780" s="2040">
        <v>12.31</v>
      </c>
      <c r="EJ780" s="2040">
        <v>12.31</v>
      </c>
      <c r="EK780" s="2040">
        <v>12.31</v>
      </c>
      <c r="EL780" s="2040">
        <v>12.31</v>
      </c>
      <c r="EM780" s="2040">
        <v>12.88</v>
      </c>
      <c r="EN780" s="2040">
        <v>12.88</v>
      </c>
      <c r="EO780" s="2040">
        <v>12.24</v>
      </c>
      <c r="EP780" s="2040">
        <v>12.24</v>
      </c>
      <c r="EQ780" s="2040">
        <v>12.6</v>
      </c>
      <c r="ER780" s="2040">
        <v>12.44</v>
      </c>
      <c r="ES780" s="2040">
        <v>57.51</v>
      </c>
      <c r="ET780" s="2040">
        <v>57.51</v>
      </c>
      <c r="EU780" s="2040">
        <v>252.03</v>
      </c>
      <c r="EV780" s="2040">
        <v>252.03</v>
      </c>
      <c r="EW780" s="2040">
        <v>246.65</v>
      </c>
      <c r="EX780" s="2040">
        <v>246.65</v>
      </c>
      <c r="EY780" s="2506">
        <f t="shared" si="60"/>
        <v>249.34</v>
      </c>
      <c r="EZ780" s="2506">
        <f t="shared" si="60"/>
        <v>249.34</v>
      </c>
      <c r="FA780" s="2040">
        <v>249.75</v>
      </c>
      <c r="FB780" s="2040">
        <v>249.75</v>
      </c>
      <c r="FE780" s="2040">
        <v>49.46</v>
      </c>
      <c r="FF780" s="2040">
        <v>49.46</v>
      </c>
      <c r="FG780" s="2040">
        <v>212.44</v>
      </c>
      <c r="FH780" s="2040">
        <v>212.44</v>
      </c>
      <c r="FI780" s="2040">
        <v>212.44</v>
      </c>
      <c r="FJ780" s="2040">
        <v>213.72</v>
      </c>
      <c r="FK780" s="2040">
        <v>212.04</v>
      </c>
      <c r="FL780" s="2040">
        <v>212.04</v>
      </c>
      <c r="FM780" s="2040">
        <v>212.66</v>
      </c>
      <c r="FN780" s="2040">
        <v>212.66</v>
      </c>
      <c r="FQ780" s="2040">
        <v>111.74</v>
      </c>
      <c r="FR780" s="2040">
        <v>111.74</v>
      </c>
      <c r="FS780" s="2040">
        <v>224.81</v>
      </c>
      <c r="FT780" s="2040">
        <v>224.81</v>
      </c>
      <c r="FU780" s="2040">
        <v>224.81</v>
      </c>
      <c r="FV780" s="2040">
        <v>224.81</v>
      </c>
      <c r="FW780" s="2040">
        <v>225.17</v>
      </c>
      <c r="FX780" s="2040">
        <v>225.17</v>
      </c>
      <c r="GC780" s="2040">
        <v>78.94</v>
      </c>
      <c r="GD780" s="2040">
        <v>78.94</v>
      </c>
      <c r="GE780" s="2040">
        <v>177.21</v>
      </c>
      <c r="GF780" s="2040">
        <v>177.21</v>
      </c>
      <c r="GG780" s="2040">
        <v>177.21</v>
      </c>
      <c r="GH780" s="2040">
        <v>177.21</v>
      </c>
      <c r="GI780" s="2040">
        <v>196.84</v>
      </c>
      <c r="GJ780" s="2040">
        <v>196.84</v>
      </c>
      <c r="GK780" s="2040">
        <v>220.8</v>
      </c>
      <c r="GL780" s="2040">
        <v>220.8</v>
      </c>
      <c r="GO780" s="2040">
        <v>42.27</v>
      </c>
      <c r="GP780" s="2040">
        <v>42.27</v>
      </c>
      <c r="GQ780" s="2040">
        <v>37.06</v>
      </c>
      <c r="GR780" s="2040">
        <v>37.06</v>
      </c>
      <c r="GS780" s="2040">
        <v>37.06</v>
      </c>
      <c r="GT780" s="2040">
        <v>35.75</v>
      </c>
      <c r="GU780" s="2040">
        <v>35.75</v>
      </c>
      <c r="GV780" s="2040">
        <v>35.97</v>
      </c>
      <c r="GW780" s="2040">
        <v>210.25</v>
      </c>
      <c r="GX780" s="2040">
        <v>210.25</v>
      </c>
      <c r="HA780" s="2040">
        <v>29.51</v>
      </c>
      <c r="HB780" s="2040">
        <v>29.51</v>
      </c>
      <c r="HC780" s="2040">
        <v>23.17</v>
      </c>
      <c r="HD780" s="2040">
        <v>23.17</v>
      </c>
      <c r="HE780" s="2040">
        <v>23.8</v>
      </c>
      <c r="HF780" s="2040">
        <v>23.8</v>
      </c>
      <c r="HG780" s="2040">
        <v>23.8</v>
      </c>
      <c r="HH780" s="2040">
        <v>23.8</v>
      </c>
      <c r="HI780" s="2040">
        <v>23.8</v>
      </c>
      <c r="HJ780" s="2040">
        <v>23.8</v>
      </c>
      <c r="HK780" s="2040">
        <v>23.91</v>
      </c>
      <c r="HL780" s="2040">
        <v>24.08</v>
      </c>
      <c r="HM780" s="2040">
        <v>41.31</v>
      </c>
      <c r="HN780" s="2040">
        <v>41.31</v>
      </c>
      <c r="HO780" s="2040">
        <v>32.729999999999997</v>
      </c>
      <c r="HP780" s="2040">
        <v>32.729999999999997</v>
      </c>
      <c r="HQ780" s="2040">
        <v>33.700000000000003</v>
      </c>
      <c r="HR780" s="2040">
        <v>33.700000000000003</v>
      </c>
      <c r="HS780" s="2040">
        <v>33.700000000000003</v>
      </c>
      <c r="HT780" s="2040">
        <v>33.700000000000003</v>
      </c>
      <c r="HU780" s="2040">
        <v>33.700000000000003</v>
      </c>
      <c r="HV780" s="2040">
        <v>33.700000000000003</v>
      </c>
      <c r="HW780" s="2040">
        <v>33.729999999999997</v>
      </c>
      <c r="HX780" s="2040">
        <v>33.729999999999997</v>
      </c>
    </row>
    <row r="781" spans="2:232" s="2040" customFormat="1" ht="14" x14ac:dyDescent="0.3">
      <c r="B781" s="2504">
        <v>82</v>
      </c>
      <c r="C781" s="2505">
        <v>46.75</v>
      </c>
      <c r="D781" s="2505">
        <v>46.75</v>
      </c>
      <c r="E781" s="2505">
        <v>46.84</v>
      </c>
      <c r="F781" s="2505">
        <v>46.84</v>
      </c>
      <c r="G781" s="2505">
        <v>182.16</v>
      </c>
      <c r="H781" s="2505">
        <v>182.16</v>
      </c>
      <c r="I781" s="2505">
        <v>172.99</v>
      </c>
      <c r="J781" s="2505">
        <v>172.99</v>
      </c>
      <c r="K781" s="2505">
        <v>177.26</v>
      </c>
      <c r="L781" s="2505">
        <v>177.26</v>
      </c>
      <c r="M781" s="2505"/>
      <c r="N781" s="2505"/>
      <c r="O781" s="2505">
        <v>146.54</v>
      </c>
      <c r="P781" s="2505">
        <v>146.54</v>
      </c>
      <c r="Q781" s="2505">
        <v>146.04</v>
      </c>
      <c r="R781" s="2505">
        <v>146.55000000000001</v>
      </c>
      <c r="S781" s="2505">
        <v>273.08</v>
      </c>
      <c r="T781" s="2505">
        <v>272.7</v>
      </c>
      <c r="U781" s="2505">
        <v>263.23</v>
      </c>
      <c r="V781" s="2505">
        <v>263.23</v>
      </c>
      <c r="W781" s="2505">
        <v>272.7</v>
      </c>
      <c r="X781" s="2505">
        <v>272.7</v>
      </c>
      <c r="Y781" s="2505">
        <v>263.23</v>
      </c>
      <c r="Z781" s="2505">
        <v>272.7</v>
      </c>
      <c r="AA781" s="2505">
        <v>272.7</v>
      </c>
      <c r="AB781" s="2505">
        <v>272.7</v>
      </c>
      <c r="AC781" s="2505">
        <v>263.23</v>
      </c>
      <c r="AD781" s="2505">
        <v>263.23</v>
      </c>
      <c r="AE781" s="2505">
        <v>284.97000000000003</v>
      </c>
      <c r="AF781" s="2505">
        <v>276.76</v>
      </c>
      <c r="AG781" s="2505">
        <v>284.97000000000003</v>
      </c>
      <c r="AH781" s="2505">
        <v>284.97000000000003</v>
      </c>
      <c r="AI781" s="2505">
        <v>276.76</v>
      </c>
      <c r="AJ781" s="2505">
        <v>276.76</v>
      </c>
      <c r="AK781" s="2505">
        <v>277.13</v>
      </c>
      <c r="AL781" s="2505">
        <v>277.13</v>
      </c>
      <c r="AM781" s="2505">
        <v>77.400000000000006</v>
      </c>
      <c r="AN781" s="2505">
        <v>74.59</v>
      </c>
      <c r="AO781" s="2505">
        <v>74.59</v>
      </c>
      <c r="AP781" s="2505">
        <v>74.48</v>
      </c>
      <c r="AQ781" s="2505">
        <v>74.760000000000005</v>
      </c>
      <c r="AR781" s="2505">
        <v>74.760000000000005</v>
      </c>
      <c r="AS781" s="2505">
        <v>224.71</v>
      </c>
      <c r="AT781" s="2505">
        <v>224.71</v>
      </c>
      <c r="AU781" s="2505">
        <v>224.71</v>
      </c>
      <c r="AV781" s="2505">
        <v>229.68</v>
      </c>
      <c r="AW781" s="2505">
        <v>224.92</v>
      </c>
      <c r="AX781" s="2505">
        <v>224.92</v>
      </c>
      <c r="AY781" s="2505">
        <v>225.04</v>
      </c>
      <c r="AZ781" s="2505">
        <v>225.04</v>
      </c>
      <c r="BA781" s="2040">
        <v>98.32</v>
      </c>
      <c r="BB781" s="2040">
        <v>98.32</v>
      </c>
      <c r="BC781" s="2040">
        <v>24.96</v>
      </c>
      <c r="BD781" s="2040">
        <v>25.12</v>
      </c>
      <c r="BE781" s="2040">
        <v>27.83</v>
      </c>
      <c r="BF781" s="2040">
        <v>27.83</v>
      </c>
      <c r="BG781" s="2040">
        <v>25.04</v>
      </c>
      <c r="BH781" s="2040">
        <v>25.04</v>
      </c>
      <c r="BI781" s="2040">
        <v>24.83</v>
      </c>
      <c r="BJ781" s="2040">
        <v>24.83</v>
      </c>
      <c r="BK781" s="2040">
        <v>24.83</v>
      </c>
      <c r="BL781" s="2040">
        <v>24.83</v>
      </c>
      <c r="BM781" s="2040">
        <v>56.58</v>
      </c>
      <c r="BN781" s="2040">
        <v>56.58</v>
      </c>
      <c r="BO781" s="2040">
        <v>177.97</v>
      </c>
      <c r="BP781" s="2040">
        <v>177.97</v>
      </c>
      <c r="BQ781" s="2040">
        <v>177.97</v>
      </c>
      <c r="BR781" s="2040">
        <v>177.97</v>
      </c>
      <c r="BS781" s="2040">
        <v>230.82</v>
      </c>
      <c r="BT781" s="2040">
        <v>230.82</v>
      </c>
      <c r="BU781" s="2040">
        <v>230.82</v>
      </c>
      <c r="BV781" s="2040">
        <v>230.82</v>
      </c>
      <c r="BW781" s="2040">
        <v>230.82</v>
      </c>
      <c r="BX781" s="2040">
        <v>230.82</v>
      </c>
      <c r="BY781" s="2040">
        <v>51.38</v>
      </c>
      <c r="BZ781" s="2040">
        <v>51.38</v>
      </c>
      <c r="CA781" s="2040">
        <v>170.46</v>
      </c>
      <c r="CB781" s="2040">
        <v>170.46</v>
      </c>
      <c r="CC781" s="2040">
        <v>173.03</v>
      </c>
      <c r="CD781" s="2040">
        <v>173.03</v>
      </c>
      <c r="CE781" s="2040">
        <v>227.66</v>
      </c>
      <c r="CF781" s="2040">
        <v>227.66</v>
      </c>
      <c r="CK781" s="2040">
        <v>127.63</v>
      </c>
      <c r="CL781" s="2040">
        <v>127.63</v>
      </c>
      <c r="CM781" s="2040">
        <v>257.32</v>
      </c>
      <c r="CN781" s="2040">
        <v>257.32</v>
      </c>
      <c r="CO781" s="2040">
        <v>332.36</v>
      </c>
      <c r="CP781" s="2040">
        <v>332.36</v>
      </c>
      <c r="CQ781" s="2040">
        <v>332.36</v>
      </c>
      <c r="CR781" s="2040">
        <v>332.36</v>
      </c>
      <c r="CW781" s="2040">
        <v>119.44</v>
      </c>
      <c r="CX781" s="2040">
        <v>119.44</v>
      </c>
      <c r="CY781" s="2040">
        <v>249.1</v>
      </c>
      <c r="CZ781" s="2040">
        <v>249.1</v>
      </c>
      <c r="DA781" s="2040">
        <v>249.1</v>
      </c>
      <c r="DB781" s="2040">
        <v>249.1</v>
      </c>
      <c r="DC781" s="2040">
        <v>322.08999999999997</v>
      </c>
      <c r="DD781" s="2040">
        <v>322.08999999999997</v>
      </c>
      <c r="DE781" s="2040">
        <v>322.08999999999997</v>
      </c>
      <c r="DF781" s="2040">
        <v>322.08999999999997</v>
      </c>
      <c r="DI781" s="2040">
        <v>31.51</v>
      </c>
      <c r="DJ781" s="2040">
        <v>31.51</v>
      </c>
      <c r="DK781" s="2040">
        <v>31.51</v>
      </c>
      <c r="DL781" s="2040">
        <v>31.51</v>
      </c>
      <c r="DM781" s="2040">
        <v>31.51</v>
      </c>
      <c r="DN781" s="2040">
        <v>31.51</v>
      </c>
      <c r="DU781" s="2040">
        <v>14.05</v>
      </c>
      <c r="DV781" s="2040">
        <v>14.05</v>
      </c>
      <c r="DW781" s="2040">
        <v>13.52</v>
      </c>
      <c r="DX781" s="2040">
        <v>13.52</v>
      </c>
      <c r="DY781" s="2040">
        <v>13.52</v>
      </c>
      <c r="DZ781" s="2040">
        <v>13.52</v>
      </c>
      <c r="EG781" s="2040">
        <v>15.05</v>
      </c>
      <c r="EH781" s="2040">
        <v>15.21</v>
      </c>
      <c r="EI781" s="2040">
        <v>12.36</v>
      </c>
      <c r="EJ781" s="2040">
        <v>12.36</v>
      </c>
      <c r="EK781" s="2040">
        <v>12.36</v>
      </c>
      <c r="EL781" s="2040">
        <v>12.36</v>
      </c>
      <c r="EM781" s="2040">
        <v>12.93</v>
      </c>
      <c r="EN781" s="2040">
        <v>12.93</v>
      </c>
      <c r="EO781" s="2040">
        <v>12.3</v>
      </c>
      <c r="EP781" s="2040">
        <v>12.3</v>
      </c>
      <c r="EQ781" s="2040">
        <v>12.65</v>
      </c>
      <c r="ER781" s="2040">
        <v>12.49</v>
      </c>
      <c r="ES781" s="2040">
        <v>57.67</v>
      </c>
      <c r="ET781" s="2040">
        <v>57.67</v>
      </c>
      <c r="EU781" s="2040">
        <v>253.04</v>
      </c>
      <c r="EV781" s="2040">
        <v>253.04</v>
      </c>
      <c r="EW781" s="2040">
        <v>247.64</v>
      </c>
      <c r="EX781" s="2040">
        <v>247.64</v>
      </c>
      <c r="EY781" s="2506">
        <f t="shared" si="60"/>
        <v>250.33999999999997</v>
      </c>
      <c r="EZ781" s="2506">
        <f t="shared" si="60"/>
        <v>250.33999999999997</v>
      </c>
      <c r="FA781" s="2040">
        <v>250.71</v>
      </c>
      <c r="FB781" s="2040">
        <v>250.71</v>
      </c>
      <c r="FE781" s="2040">
        <v>49.61</v>
      </c>
      <c r="FF781" s="2040">
        <v>49.61</v>
      </c>
      <c r="FG781" s="2040">
        <v>213.3</v>
      </c>
      <c r="FH781" s="2040">
        <v>213.3</v>
      </c>
      <c r="FI781" s="2040">
        <v>213.3</v>
      </c>
      <c r="FJ781" s="2040">
        <v>214.56</v>
      </c>
      <c r="FK781" s="2040">
        <v>212.91</v>
      </c>
      <c r="FL781" s="2040">
        <v>212.91</v>
      </c>
      <c r="FM781" s="2040">
        <v>213.51</v>
      </c>
      <c r="FN781" s="2040">
        <v>213.51</v>
      </c>
      <c r="FQ781" s="2040">
        <v>112.06</v>
      </c>
      <c r="FR781" s="2040">
        <v>112.06</v>
      </c>
      <c r="FS781" s="2040">
        <v>225.56</v>
      </c>
      <c r="FT781" s="2040">
        <v>225.56</v>
      </c>
      <c r="FU781" s="2040">
        <v>225.56</v>
      </c>
      <c r="FV781" s="2040">
        <v>225.56</v>
      </c>
      <c r="FW781" s="2040">
        <v>225.91</v>
      </c>
      <c r="FX781" s="2040">
        <v>225.91</v>
      </c>
      <c r="GC781" s="2040">
        <v>79.16</v>
      </c>
      <c r="GD781" s="2040">
        <v>79.16</v>
      </c>
      <c r="GE781" s="2040">
        <v>177.67</v>
      </c>
      <c r="GF781" s="2040">
        <v>177.67</v>
      </c>
      <c r="GG781" s="2040">
        <v>177.67</v>
      </c>
      <c r="GH781" s="2040">
        <v>177.67</v>
      </c>
      <c r="GI781" s="2040">
        <v>197.87</v>
      </c>
      <c r="GJ781" s="2040">
        <v>197.87</v>
      </c>
      <c r="GK781" s="2040">
        <v>221.64</v>
      </c>
      <c r="GL781" s="2040">
        <v>221.64</v>
      </c>
      <c r="GO781" s="2040">
        <v>42.39</v>
      </c>
      <c r="GP781" s="2040">
        <v>42.39</v>
      </c>
      <c r="GQ781" s="2040">
        <v>37.24</v>
      </c>
      <c r="GR781" s="2040">
        <v>37.24</v>
      </c>
      <c r="GS781" s="2040">
        <v>37.24</v>
      </c>
      <c r="GT781" s="2040">
        <v>35.909999999999997</v>
      </c>
      <c r="GU781" s="2040">
        <v>35.909999999999997</v>
      </c>
      <c r="GV781" s="2040">
        <v>36.130000000000003</v>
      </c>
      <c r="GW781" s="2040">
        <v>211.2</v>
      </c>
      <c r="GX781" s="2040">
        <v>211.2</v>
      </c>
      <c r="HA781" s="2040">
        <v>29.57</v>
      </c>
      <c r="HB781" s="2040">
        <v>29.57</v>
      </c>
      <c r="HC781" s="2040">
        <v>23.26</v>
      </c>
      <c r="HD781" s="2040">
        <v>23.26</v>
      </c>
      <c r="HE781" s="2040">
        <v>23.96</v>
      </c>
      <c r="HF781" s="2040">
        <v>23.96</v>
      </c>
      <c r="HG781" s="2040">
        <v>23.96</v>
      </c>
      <c r="HH781" s="2040">
        <v>23.96</v>
      </c>
      <c r="HI781" s="2040">
        <v>23.96</v>
      </c>
      <c r="HJ781" s="2040">
        <v>23.96</v>
      </c>
      <c r="HK781" s="2040">
        <v>24</v>
      </c>
      <c r="HL781" s="2040">
        <v>24.16</v>
      </c>
      <c r="HM781" s="2040">
        <v>41.45</v>
      </c>
      <c r="HN781" s="2040">
        <v>41.45</v>
      </c>
      <c r="HO781" s="2040">
        <v>32.92</v>
      </c>
      <c r="HP781" s="2040">
        <v>32.92</v>
      </c>
      <c r="HQ781" s="2040">
        <v>33.83</v>
      </c>
      <c r="HR781" s="2040">
        <v>33.83</v>
      </c>
      <c r="HS781" s="2040">
        <v>33.83</v>
      </c>
      <c r="HT781" s="2040">
        <v>33.83</v>
      </c>
      <c r="HU781" s="2040">
        <v>33.83</v>
      </c>
      <c r="HV781" s="2040">
        <v>33.83</v>
      </c>
      <c r="HW781" s="2040">
        <v>33.909999999999997</v>
      </c>
      <c r="HX781" s="2040">
        <v>33.909999999999997</v>
      </c>
    </row>
    <row r="782" spans="2:232" s="2040" customFormat="1" ht="14" x14ac:dyDescent="0.3">
      <c r="B782" s="2504">
        <v>83</v>
      </c>
      <c r="C782" s="2505">
        <v>46.89</v>
      </c>
      <c r="D782" s="2505">
        <v>46.89</v>
      </c>
      <c r="E782" s="2505">
        <v>46.98</v>
      </c>
      <c r="F782" s="2505">
        <v>46.98</v>
      </c>
      <c r="G782" s="2505">
        <v>182.79</v>
      </c>
      <c r="H782" s="2505">
        <v>182.79</v>
      </c>
      <c r="I782" s="2505">
        <v>173.71</v>
      </c>
      <c r="J782" s="2505">
        <v>173.71</v>
      </c>
      <c r="K782" s="2505">
        <v>177.88</v>
      </c>
      <c r="L782" s="2505">
        <v>177.88</v>
      </c>
      <c r="M782" s="2505"/>
      <c r="N782" s="2505"/>
      <c r="O782" s="2505">
        <v>146.97</v>
      </c>
      <c r="P782" s="2505">
        <v>146.97</v>
      </c>
      <c r="Q782" s="2505">
        <v>146.46</v>
      </c>
      <c r="R782" s="2505">
        <v>146.97999999999999</v>
      </c>
      <c r="S782" s="2505">
        <v>274.21999999999997</v>
      </c>
      <c r="T782" s="2505">
        <v>273.77999999999997</v>
      </c>
      <c r="U782" s="2505">
        <v>264.27</v>
      </c>
      <c r="V782" s="2505">
        <v>264.27</v>
      </c>
      <c r="W782" s="2505">
        <v>273.77999999999997</v>
      </c>
      <c r="X782" s="2505">
        <v>273.77999999999997</v>
      </c>
      <c r="Y782" s="2505">
        <v>264.27</v>
      </c>
      <c r="Z782" s="2505">
        <v>273.77999999999997</v>
      </c>
      <c r="AA782" s="2505">
        <v>273.77999999999997</v>
      </c>
      <c r="AB782" s="2505">
        <v>273.77999999999997</v>
      </c>
      <c r="AC782" s="2505">
        <v>264.27</v>
      </c>
      <c r="AD782" s="2505">
        <v>264.27</v>
      </c>
      <c r="AE782" s="2505">
        <v>285.93</v>
      </c>
      <c r="AF782" s="2505">
        <v>277.7</v>
      </c>
      <c r="AG782" s="2505">
        <v>285.93</v>
      </c>
      <c r="AH782" s="2505">
        <v>285.93</v>
      </c>
      <c r="AI782" s="2505">
        <v>277.7</v>
      </c>
      <c r="AJ782" s="2505">
        <v>277.7</v>
      </c>
      <c r="AK782" s="2505">
        <v>278.06</v>
      </c>
      <c r="AL782" s="2505">
        <v>278.06</v>
      </c>
      <c r="AM782" s="2505">
        <v>77.62</v>
      </c>
      <c r="AN782" s="2505">
        <v>74.8</v>
      </c>
      <c r="AO782" s="2505">
        <v>74.8</v>
      </c>
      <c r="AP782" s="2505">
        <v>74.709999999999994</v>
      </c>
      <c r="AQ782" s="2505">
        <v>74.98</v>
      </c>
      <c r="AR782" s="2505">
        <v>74.98</v>
      </c>
      <c r="AS782" s="2505">
        <v>225.56</v>
      </c>
      <c r="AT782" s="2505">
        <v>225.56</v>
      </c>
      <c r="AU782" s="2505">
        <v>225.56</v>
      </c>
      <c r="AV782" s="2505">
        <v>230.53</v>
      </c>
      <c r="AW782" s="2505">
        <v>225.76</v>
      </c>
      <c r="AX782" s="2505">
        <v>225.76</v>
      </c>
      <c r="AY782" s="2505">
        <v>225.88</v>
      </c>
      <c r="AZ782" s="2505">
        <v>225.88</v>
      </c>
      <c r="BA782" s="2040">
        <v>98.71</v>
      </c>
      <c r="BB782" s="2040">
        <v>98.71</v>
      </c>
      <c r="BC782" s="2040">
        <v>25.06</v>
      </c>
      <c r="BD782" s="2040">
        <v>25.22</v>
      </c>
      <c r="BE782" s="2040">
        <v>27.91</v>
      </c>
      <c r="BF782" s="2040">
        <v>27.91</v>
      </c>
      <c r="BG782" s="2040">
        <v>25.15</v>
      </c>
      <c r="BH782" s="2040">
        <v>25.15</v>
      </c>
      <c r="BI782" s="2040">
        <v>24.95</v>
      </c>
      <c r="BJ782" s="2040">
        <v>24.95</v>
      </c>
      <c r="BK782" s="2040">
        <v>24.95</v>
      </c>
      <c r="BL782" s="2040">
        <v>24.95</v>
      </c>
      <c r="BM782" s="2040">
        <v>56.73</v>
      </c>
      <c r="BN782" s="2040">
        <v>56.73</v>
      </c>
      <c r="BO782" s="2040">
        <v>178.49</v>
      </c>
      <c r="BP782" s="2040">
        <v>178.49</v>
      </c>
      <c r="BQ782" s="2040">
        <v>178.49</v>
      </c>
      <c r="BR782" s="2040">
        <v>178.49</v>
      </c>
      <c r="BS782" s="2040">
        <v>231.61</v>
      </c>
      <c r="BT782" s="2040">
        <v>231.61</v>
      </c>
      <c r="BU782" s="2040">
        <v>231.61</v>
      </c>
      <c r="BV782" s="2040">
        <v>231.61</v>
      </c>
      <c r="BW782" s="2040">
        <v>231.61</v>
      </c>
      <c r="BX782" s="2040">
        <v>231.61</v>
      </c>
      <c r="BY782" s="2040">
        <v>51.51</v>
      </c>
      <c r="BZ782" s="2040">
        <v>51.51</v>
      </c>
      <c r="CA782" s="2040">
        <v>170.96</v>
      </c>
      <c r="CB782" s="2040">
        <v>170.96</v>
      </c>
      <c r="CC782" s="2040">
        <v>173.55</v>
      </c>
      <c r="CD782" s="2040">
        <v>173.55</v>
      </c>
      <c r="CE782" s="2040">
        <v>228.45</v>
      </c>
      <c r="CF782" s="2040">
        <v>228.45</v>
      </c>
      <c r="CK782" s="2040">
        <v>127.91</v>
      </c>
      <c r="CL782" s="2040">
        <v>127.91</v>
      </c>
      <c r="CM782" s="2040">
        <v>257.91000000000003</v>
      </c>
      <c r="CN782" s="2040">
        <v>257.91000000000003</v>
      </c>
      <c r="CO782" s="2040">
        <v>333.34</v>
      </c>
      <c r="CP782" s="2040">
        <v>333.34</v>
      </c>
      <c r="CQ782" s="2040">
        <v>333.34</v>
      </c>
      <c r="CR782" s="2040">
        <v>333.34</v>
      </c>
      <c r="CW782" s="2040">
        <v>119.74</v>
      </c>
      <c r="CX782" s="2040">
        <v>119.74</v>
      </c>
      <c r="CY782" s="2040">
        <v>249.66</v>
      </c>
      <c r="CZ782" s="2040">
        <v>249.66</v>
      </c>
      <c r="DA782" s="2040">
        <v>249.66</v>
      </c>
      <c r="DB782" s="2040">
        <v>249.66</v>
      </c>
      <c r="DC782" s="2040">
        <v>323</v>
      </c>
      <c r="DD782" s="2040">
        <v>323</v>
      </c>
      <c r="DE782" s="2040">
        <v>323</v>
      </c>
      <c r="DF782" s="2040">
        <v>323</v>
      </c>
      <c r="DI782" s="2040">
        <v>31.59</v>
      </c>
      <c r="DJ782" s="2040">
        <v>31.59</v>
      </c>
      <c r="DK782" s="2040">
        <v>31.59</v>
      </c>
      <c r="DL782" s="2040">
        <v>31.59</v>
      </c>
      <c r="DM782" s="2040">
        <v>31.59</v>
      </c>
      <c r="DN782" s="2040">
        <v>31.59</v>
      </c>
      <c r="DU782" s="2040">
        <v>14.09</v>
      </c>
      <c r="DV782" s="2040">
        <v>14.09</v>
      </c>
      <c r="DW782" s="2040">
        <v>13.58</v>
      </c>
      <c r="DX782" s="2040">
        <v>13.58</v>
      </c>
      <c r="DY782" s="2040">
        <v>13.58</v>
      </c>
      <c r="DZ782" s="2040">
        <v>13.58</v>
      </c>
      <c r="EG782" s="2040">
        <v>15.09</v>
      </c>
      <c r="EH782" s="2040">
        <v>15.25</v>
      </c>
      <c r="EI782" s="2040">
        <v>12.42</v>
      </c>
      <c r="EJ782" s="2040">
        <v>12.42</v>
      </c>
      <c r="EK782" s="2040">
        <v>12.42</v>
      </c>
      <c r="EL782" s="2040">
        <v>12.42</v>
      </c>
      <c r="EM782" s="2040">
        <v>12.98</v>
      </c>
      <c r="EN782" s="2040">
        <v>12.98</v>
      </c>
      <c r="EO782" s="2040">
        <v>12.35</v>
      </c>
      <c r="EP782" s="2040">
        <v>12.35</v>
      </c>
      <c r="EQ782" s="2040">
        <v>12.71</v>
      </c>
      <c r="ER782" s="2040">
        <v>12.54</v>
      </c>
      <c r="ES782" s="2040">
        <v>57.83</v>
      </c>
      <c r="ET782" s="2040">
        <v>57.83</v>
      </c>
      <c r="EU782" s="2040">
        <v>254.02</v>
      </c>
      <c r="EV782" s="2040">
        <v>254.02</v>
      </c>
      <c r="EW782" s="2040">
        <v>248.61</v>
      </c>
      <c r="EX782" s="2040">
        <v>248.61</v>
      </c>
      <c r="EY782" s="2506">
        <f t="shared" si="60"/>
        <v>251.315</v>
      </c>
      <c r="EZ782" s="2506">
        <f t="shared" si="60"/>
        <v>251.315</v>
      </c>
      <c r="FA782" s="2040">
        <v>251.65</v>
      </c>
      <c r="FB782" s="2040">
        <v>251.65</v>
      </c>
      <c r="FE782" s="2040">
        <v>49.74</v>
      </c>
      <c r="FF782" s="2040">
        <v>49.74</v>
      </c>
      <c r="FG782" s="2040">
        <v>214.14</v>
      </c>
      <c r="FH782" s="2040">
        <v>214.14</v>
      </c>
      <c r="FI782" s="2040">
        <v>214.14</v>
      </c>
      <c r="FJ782" s="2040">
        <v>215.38</v>
      </c>
      <c r="FK782" s="2040">
        <v>213.76</v>
      </c>
      <c r="FL782" s="2040">
        <v>213.76</v>
      </c>
      <c r="FM782" s="2040">
        <v>214.35</v>
      </c>
      <c r="FN782" s="2040">
        <v>214.35</v>
      </c>
      <c r="FQ782" s="2040">
        <v>112.38</v>
      </c>
      <c r="FR782" s="2040">
        <v>112.38</v>
      </c>
      <c r="FS782" s="2040">
        <v>226.29</v>
      </c>
      <c r="FT782" s="2040">
        <v>226.29</v>
      </c>
      <c r="FU782" s="2040">
        <v>226.29</v>
      </c>
      <c r="FV782" s="2040">
        <v>226.29</v>
      </c>
      <c r="FW782" s="2040">
        <v>226.63</v>
      </c>
      <c r="FX782" s="2040">
        <v>226.63</v>
      </c>
      <c r="GC782" s="2040">
        <v>79.38</v>
      </c>
      <c r="GD782" s="2040">
        <v>79.38</v>
      </c>
      <c r="GE782" s="2040">
        <v>178.12</v>
      </c>
      <c r="GF782" s="2040">
        <v>178.12</v>
      </c>
      <c r="GG782" s="2040">
        <v>178.12</v>
      </c>
      <c r="GH782" s="2040">
        <v>178.12</v>
      </c>
      <c r="GI782" s="2040">
        <v>198.88</v>
      </c>
      <c r="GJ782" s="2040">
        <v>198.88</v>
      </c>
      <c r="GK782" s="2040">
        <v>222.46</v>
      </c>
      <c r="GL782" s="2040">
        <v>222.46</v>
      </c>
      <c r="GO782" s="2040">
        <v>42.5</v>
      </c>
      <c r="GP782" s="2040">
        <v>42.5</v>
      </c>
      <c r="GQ782" s="2040">
        <v>37.380000000000003</v>
      </c>
      <c r="GR782" s="2040">
        <v>37.380000000000003</v>
      </c>
      <c r="GS782" s="2040">
        <v>37.380000000000003</v>
      </c>
      <c r="GT782" s="2040">
        <v>36.049999999999997</v>
      </c>
      <c r="GU782" s="2040">
        <v>36.049999999999997</v>
      </c>
      <c r="GV782" s="2040">
        <v>36.26</v>
      </c>
      <c r="GW782" s="2040">
        <v>211.95</v>
      </c>
      <c r="GX782" s="2040">
        <v>211.95</v>
      </c>
      <c r="HA782" s="2040">
        <v>29.69</v>
      </c>
      <c r="HB782" s="2040">
        <v>29.69</v>
      </c>
      <c r="HC782" s="2040">
        <v>23.43</v>
      </c>
      <c r="HD782" s="2040">
        <v>23.43</v>
      </c>
      <c r="HE782" s="2040">
        <v>24.04</v>
      </c>
      <c r="HF782" s="2040">
        <v>24.04</v>
      </c>
      <c r="HG782" s="2040">
        <v>24.04</v>
      </c>
      <c r="HH782" s="2040">
        <v>24.04</v>
      </c>
      <c r="HI782" s="2040">
        <v>24.04</v>
      </c>
      <c r="HJ782" s="2040">
        <v>24.04</v>
      </c>
      <c r="HK782" s="2040">
        <v>24.16</v>
      </c>
      <c r="HL782" s="2040">
        <v>24.32</v>
      </c>
      <c r="HM782" s="2040">
        <v>41.55</v>
      </c>
      <c r="HN782" s="2040">
        <v>41.55</v>
      </c>
      <c r="HO782" s="2040">
        <v>33.06</v>
      </c>
      <c r="HP782" s="2040">
        <v>33.06</v>
      </c>
      <c r="HQ782" s="2040">
        <v>33.97</v>
      </c>
      <c r="HR782" s="2040">
        <v>33.97</v>
      </c>
      <c r="HS782" s="2040">
        <v>33.97</v>
      </c>
      <c r="HT782" s="2040">
        <v>33.97</v>
      </c>
      <c r="HU782" s="2040">
        <v>33.97</v>
      </c>
      <c r="HV782" s="2040">
        <v>33.97</v>
      </c>
      <c r="HW782" s="2040">
        <v>34.049999999999997</v>
      </c>
      <c r="HX782" s="2040">
        <v>34.049999999999997</v>
      </c>
    </row>
    <row r="783" spans="2:232" s="2040" customFormat="1" ht="14" x14ac:dyDescent="0.3">
      <c r="B783" s="2504">
        <v>84</v>
      </c>
      <c r="C783" s="2505">
        <v>47.02</v>
      </c>
      <c r="D783" s="2505">
        <v>47.02</v>
      </c>
      <c r="E783" s="2505">
        <v>47.11</v>
      </c>
      <c r="F783" s="2505">
        <v>47.11</v>
      </c>
      <c r="G783" s="2505">
        <v>183.33</v>
      </c>
      <c r="H783" s="2505">
        <v>183.33</v>
      </c>
      <c r="I783" s="2505">
        <v>174.35</v>
      </c>
      <c r="J783" s="2505">
        <v>174.35</v>
      </c>
      <c r="K783" s="2505">
        <v>178.44</v>
      </c>
      <c r="L783" s="2505">
        <v>178.44</v>
      </c>
      <c r="M783" s="2505"/>
      <c r="N783" s="2505"/>
      <c r="O783" s="2505">
        <v>147.36000000000001</v>
      </c>
      <c r="P783" s="2505">
        <v>147.36000000000001</v>
      </c>
      <c r="Q783" s="2505">
        <v>146.85</v>
      </c>
      <c r="R783" s="2505">
        <v>147.37</v>
      </c>
      <c r="S783" s="2505">
        <v>275.26</v>
      </c>
      <c r="T783" s="2505">
        <v>274.83</v>
      </c>
      <c r="U783" s="2505">
        <v>265.29000000000002</v>
      </c>
      <c r="V783" s="2505">
        <v>265.29000000000002</v>
      </c>
      <c r="W783" s="2505">
        <v>274.83</v>
      </c>
      <c r="X783" s="2505">
        <v>274.83</v>
      </c>
      <c r="Y783" s="2505">
        <v>265.29000000000002</v>
      </c>
      <c r="Z783" s="2505">
        <v>274.83</v>
      </c>
      <c r="AA783" s="2505">
        <v>274.83</v>
      </c>
      <c r="AB783" s="2505">
        <v>274.83</v>
      </c>
      <c r="AC783" s="2505">
        <v>265.29000000000002</v>
      </c>
      <c r="AD783" s="2505">
        <v>265.29000000000002</v>
      </c>
      <c r="AE783" s="2505">
        <v>286.88</v>
      </c>
      <c r="AF783" s="2505">
        <v>278.62</v>
      </c>
      <c r="AG783" s="2505">
        <v>286.88</v>
      </c>
      <c r="AH783" s="2505">
        <v>286.88</v>
      </c>
      <c r="AI783" s="2505">
        <v>278.62</v>
      </c>
      <c r="AJ783" s="2505">
        <v>278.62</v>
      </c>
      <c r="AK783" s="2505">
        <v>278.97000000000003</v>
      </c>
      <c r="AL783" s="2505">
        <v>278.97000000000003</v>
      </c>
      <c r="AM783" s="2505">
        <v>77.83</v>
      </c>
      <c r="AN783" s="2505">
        <v>75</v>
      </c>
      <c r="AO783" s="2505">
        <v>75</v>
      </c>
      <c r="AP783" s="2505">
        <v>74.92</v>
      </c>
      <c r="AQ783" s="2505">
        <v>75.180000000000007</v>
      </c>
      <c r="AR783" s="2505">
        <v>75.180000000000007</v>
      </c>
      <c r="AS783" s="2505">
        <v>226.37</v>
      </c>
      <c r="AT783" s="2505">
        <v>226.37</v>
      </c>
      <c r="AU783" s="2505">
        <v>226.37</v>
      </c>
      <c r="AV783" s="2505">
        <v>231.35</v>
      </c>
      <c r="AW783" s="2505">
        <v>226.56</v>
      </c>
      <c r="AX783" s="2505">
        <v>226.56</v>
      </c>
      <c r="AY783" s="2505">
        <v>226.68</v>
      </c>
      <c r="AZ783" s="2505">
        <v>226.68</v>
      </c>
      <c r="BA783" s="2040">
        <v>99.05</v>
      </c>
      <c r="BB783" s="2040">
        <v>99.05</v>
      </c>
      <c r="BC783" s="2040">
        <v>25.17</v>
      </c>
      <c r="BD783" s="2040">
        <v>25.32</v>
      </c>
      <c r="BE783" s="2040">
        <v>27.99</v>
      </c>
      <c r="BF783" s="2040">
        <v>27.99</v>
      </c>
      <c r="BG783" s="2040">
        <v>25.26</v>
      </c>
      <c r="BH783" s="2040">
        <v>25.26</v>
      </c>
      <c r="BI783" s="2040">
        <v>25.05</v>
      </c>
      <c r="BJ783" s="2040">
        <v>25.05</v>
      </c>
      <c r="BK783" s="2040">
        <v>25.05</v>
      </c>
      <c r="BL783" s="2040">
        <v>25.05</v>
      </c>
      <c r="BM783" s="2040">
        <v>56.89</v>
      </c>
      <c r="BN783" s="2040">
        <v>56.89</v>
      </c>
      <c r="BO783" s="2040">
        <v>179.07</v>
      </c>
      <c r="BP783" s="2040">
        <v>179.07</v>
      </c>
      <c r="BQ783" s="2040">
        <v>179.07</v>
      </c>
      <c r="BR783" s="2040">
        <v>179.07</v>
      </c>
      <c r="BS783" s="2040">
        <v>232.52</v>
      </c>
      <c r="BT783" s="2040">
        <v>232.52</v>
      </c>
      <c r="BU783" s="2040">
        <v>232.52</v>
      </c>
      <c r="BV783" s="2040">
        <v>232.52</v>
      </c>
      <c r="BW783" s="2040">
        <v>232.52</v>
      </c>
      <c r="BX783" s="2040">
        <v>232.52</v>
      </c>
      <c r="BY783" s="2040">
        <v>51.65</v>
      </c>
      <c r="BZ783" s="2040">
        <v>51.65</v>
      </c>
      <c r="CA783" s="2040">
        <v>171.52</v>
      </c>
      <c r="CB783" s="2040">
        <v>171.52</v>
      </c>
      <c r="CC783" s="2040">
        <v>174.12</v>
      </c>
      <c r="CD783" s="2040">
        <v>174.12</v>
      </c>
      <c r="CE783" s="2040">
        <v>229.34</v>
      </c>
      <c r="CF783" s="2040">
        <v>229.34</v>
      </c>
      <c r="CK783" s="2040">
        <v>128.24</v>
      </c>
      <c r="CL783" s="2040">
        <v>128.24</v>
      </c>
      <c r="CM783" s="2040">
        <v>258.51</v>
      </c>
      <c r="CN783" s="2040">
        <v>258.51</v>
      </c>
      <c r="CO783" s="2040">
        <v>334.33</v>
      </c>
      <c r="CP783" s="2040">
        <v>334.33</v>
      </c>
      <c r="CQ783" s="2040">
        <v>334.33</v>
      </c>
      <c r="CR783" s="2040">
        <v>334.33</v>
      </c>
      <c r="CW783" s="2040">
        <v>120.09</v>
      </c>
      <c r="CX783" s="2040">
        <v>120.09</v>
      </c>
      <c r="CY783" s="2040">
        <v>250.29</v>
      </c>
      <c r="CZ783" s="2040">
        <v>250.29</v>
      </c>
      <c r="DA783" s="2040">
        <v>250.29</v>
      </c>
      <c r="DB783" s="2040">
        <v>250.29</v>
      </c>
      <c r="DC783" s="2040">
        <v>324.02999999999997</v>
      </c>
      <c r="DD783" s="2040">
        <v>324.02999999999997</v>
      </c>
      <c r="DE783" s="2040">
        <v>324.02999999999997</v>
      </c>
      <c r="DF783" s="2040">
        <v>324.02999999999997</v>
      </c>
      <c r="DI783" s="2040">
        <v>31.69</v>
      </c>
      <c r="DJ783" s="2040">
        <v>31.69</v>
      </c>
      <c r="DK783" s="2040">
        <v>31.69</v>
      </c>
      <c r="DL783" s="2040">
        <v>31.69</v>
      </c>
      <c r="DM783" s="2040">
        <v>31.69</v>
      </c>
      <c r="DN783" s="2040">
        <v>31.69</v>
      </c>
      <c r="DU783" s="2040">
        <v>14.13</v>
      </c>
      <c r="DV783" s="2040">
        <v>14.13</v>
      </c>
      <c r="DW783" s="2040">
        <v>13.64</v>
      </c>
      <c r="DX783" s="2040">
        <v>13.64</v>
      </c>
      <c r="DY783" s="2040">
        <v>13.64</v>
      </c>
      <c r="DZ783" s="2040">
        <v>13.64</v>
      </c>
      <c r="EG783" s="2040">
        <v>15.13</v>
      </c>
      <c r="EH783" s="2040">
        <v>15.29</v>
      </c>
      <c r="EI783" s="2040">
        <v>12.48</v>
      </c>
      <c r="EJ783" s="2040">
        <v>12.48</v>
      </c>
      <c r="EK783" s="2040">
        <v>12.48</v>
      </c>
      <c r="EL783" s="2040">
        <v>12.48</v>
      </c>
      <c r="EM783" s="2040">
        <v>13.03</v>
      </c>
      <c r="EN783" s="2040">
        <v>13.03</v>
      </c>
      <c r="EO783" s="2040">
        <v>12.4</v>
      </c>
      <c r="EP783" s="2040">
        <v>12.4</v>
      </c>
      <c r="EQ783" s="2040">
        <v>12.76</v>
      </c>
      <c r="ER783" s="2040">
        <v>12.59</v>
      </c>
      <c r="ES783" s="2040">
        <v>57.99</v>
      </c>
      <c r="ET783" s="2040">
        <v>57.99</v>
      </c>
      <c r="EU783" s="2040">
        <v>254.99</v>
      </c>
      <c r="EV783" s="2040">
        <v>254.99</v>
      </c>
      <c r="EW783" s="2040">
        <v>249.57</v>
      </c>
      <c r="EX783" s="2040">
        <v>249.57</v>
      </c>
      <c r="EY783" s="2506">
        <f t="shared" si="60"/>
        <v>252.28</v>
      </c>
      <c r="EZ783" s="2506">
        <f t="shared" si="60"/>
        <v>252.28</v>
      </c>
      <c r="FA783" s="2040">
        <v>252.57</v>
      </c>
      <c r="FB783" s="2040">
        <v>252.57</v>
      </c>
      <c r="FE783" s="2040">
        <v>49.88</v>
      </c>
      <c r="FF783" s="2040">
        <v>49.88</v>
      </c>
      <c r="FG783" s="2040">
        <v>214.97</v>
      </c>
      <c r="FH783" s="2040">
        <v>214.97</v>
      </c>
      <c r="FI783" s="2040">
        <v>214.97</v>
      </c>
      <c r="FJ783" s="2040">
        <v>216.18</v>
      </c>
      <c r="FK783" s="2040">
        <v>214.59</v>
      </c>
      <c r="FL783" s="2040">
        <v>214.59</v>
      </c>
      <c r="FM783" s="2040">
        <v>215.17</v>
      </c>
      <c r="FN783" s="2040">
        <v>215.17</v>
      </c>
      <c r="FQ783" s="2040">
        <v>112.68</v>
      </c>
      <c r="FR783" s="2040">
        <v>112.68</v>
      </c>
      <c r="FS783" s="2040">
        <v>227.01</v>
      </c>
      <c r="FT783" s="2040">
        <v>227.01</v>
      </c>
      <c r="FU783" s="2040">
        <v>227.01</v>
      </c>
      <c r="FV783" s="2040">
        <v>227.01</v>
      </c>
      <c r="FW783" s="2040">
        <v>227.34</v>
      </c>
      <c r="FX783" s="2040">
        <v>227.34</v>
      </c>
      <c r="GC783" s="2040">
        <v>79.59</v>
      </c>
      <c r="GD783" s="2040">
        <v>79.59</v>
      </c>
      <c r="GE783" s="2040">
        <v>178.56</v>
      </c>
      <c r="GF783" s="2040">
        <v>178.56</v>
      </c>
      <c r="GG783" s="2040">
        <v>178.56</v>
      </c>
      <c r="GH783" s="2040">
        <v>178.56</v>
      </c>
      <c r="GI783" s="2040">
        <v>199.87</v>
      </c>
      <c r="GJ783" s="2040">
        <v>199.87</v>
      </c>
      <c r="GK783" s="2040">
        <v>223.27</v>
      </c>
      <c r="GL783" s="2040">
        <v>223.27</v>
      </c>
      <c r="GO783" s="2040">
        <v>42.62</v>
      </c>
      <c r="GP783" s="2040">
        <v>42.62</v>
      </c>
      <c r="GQ783" s="2040">
        <v>37.56</v>
      </c>
      <c r="GR783" s="2040">
        <v>37.56</v>
      </c>
      <c r="GS783" s="2040">
        <v>37.56</v>
      </c>
      <c r="GT783" s="2040">
        <v>36.229999999999997</v>
      </c>
      <c r="GU783" s="2040">
        <v>36.229999999999997</v>
      </c>
      <c r="GV783" s="2040">
        <v>36.44</v>
      </c>
      <c r="GW783" s="2040">
        <v>212.97</v>
      </c>
      <c r="GX783" s="2040">
        <v>212.97</v>
      </c>
      <c r="HA783" s="2040">
        <v>29.75</v>
      </c>
      <c r="HB783" s="2040">
        <v>29.75</v>
      </c>
      <c r="HC783" s="2040">
        <v>23.51</v>
      </c>
      <c r="HD783" s="2040">
        <v>23.51</v>
      </c>
      <c r="HE783" s="2040">
        <v>24.11</v>
      </c>
      <c r="HF783" s="2040">
        <v>24.11</v>
      </c>
      <c r="HG783" s="2040">
        <v>24.11</v>
      </c>
      <c r="HH783" s="2040">
        <v>24.11</v>
      </c>
      <c r="HI783" s="2040">
        <v>24.11</v>
      </c>
      <c r="HJ783" s="2040">
        <v>24.11</v>
      </c>
      <c r="HK783" s="2040">
        <v>24.24</v>
      </c>
      <c r="HL783" s="2040">
        <v>24.39</v>
      </c>
      <c r="HM783" s="2040">
        <v>41.65</v>
      </c>
      <c r="HN783" s="2040">
        <v>41.65</v>
      </c>
      <c r="HO783" s="2040">
        <v>33.200000000000003</v>
      </c>
      <c r="HP783" s="2040">
        <v>33.200000000000003</v>
      </c>
      <c r="HQ783" s="2040">
        <v>34.090000000000003</v>
      </c>
      <c r="HR783" s="2040">
        <v>34.090000000000003</v>
      </c>
      <c r="HS783" s="2040">
        <v>34.090000000000003</v>
      </c>
      <c r="HT783" s="2040">
        <v>34.090000000000003</v>
      </c>
      <c r="HU783" s="2040">
        <v>34.090000000000003</v>
      </c>
      <c r="HV783" s="2040">
        <v>34.090000000000003</v>
      </c>
      <c r="HW783" s="2040">
        <v>34.18</v>
      </c>
      <c r="HX783" s="2040">
        <v>34.18</v>
      </c>
    </row>
    <row r="784" spans="2:232" s="2040" customFormat="1" ht="14" x14ac:dyDescent="0.3">
      <c r="B784" s="2504">
        <v>85</v>
      </c>
      <c r="C784" s="2505">
        <v>47.13</v>
      </c>
      <c r="D784" s="2505">
        <v>47.13</v>
      </c>
      <c r="E784" s="2505">
        <v>47.21</v>
      </c>
      <c r="F784" s="2505">
        <v>47.21</v>
      </c>
      <c r="G784" s="2505">
        <v>183.96</v>
      </c>
      <c r="H784" s="2505">
        <v>183.96</v>
      </c>
      <c r="I784" s="2505">
        <v>174.89</v>
      </c>
      <c r="J784" s="2505">
        <v>174.89</v>
      </c>
      <c r="K784" s="2505">
        <v>178.92</v>
      </c>
      <c r="L784" s="2505">
        <v>178.92</v>
      </c>
      <c r="M784" s="2505"/>
      <c r="N784" s="2505"/>
      <c r="O784" s="2505">
        <v>147.68</v>
      </c>
      <c r="P784" s="2505">
        <v>147.68</v>
      </c>
      <c r="Q784" s="2505">
        <v>147.15</v>
      </c>
      <c r="R784" s="2505">
        <v>147.68</v>
      </c>
      <c r="S784" s="2505">
        <v>276.09999999999997</v>
      </c>
      <c r="T784" s="2505">
        <v>275.87</v>
      </c>
      <c r="U784" s="2505">
        <v>266.29000000000002</v>
      </c>
      <c r="V784" s="2505">
        <v>266.29000000000002</v>
      </c>
      <c r="W784" s="2505">
        <v>275.87</v>
      </c>
      <c r="X784" s="2505">
        <v>275.87</v>
      </c>
      <c r="Y784" s="2505">
        <v>266.29000000000002</v>
      </c>
      <c r="Z784" s="2505">
        <v>275.87</v>
      </c>
      <c r="AA784" s="2505">
        <v>275.87</v>
      </c>
      <c r="AB784" s="2505">
        <v>275.87</v>
      </c>
      <c r="AC784" s="2505">
        <v>266.29000000000002</v>
      </c>
      <c r="AD784" s="2505">
        <v>266.29000000000002</v>
      </c>
      <c r="AE784" s="2505">
        <v>287.81</v>
      </c>
      <c r="AF784" s="2505">
        <v>279.52</v>
      </c>
      <c r="AG784" s="2505">
        <v>287.81</v>
      </c>
      <c r="AH784" s="2505">
        <v>287.81</v>
      </c>
      <c r="AI784" s="2505">
        <v>279.52</v>
      </c>
      <c r="AJ784" s="2505">
        <v>279.52</v>
      </c>
      <c r="AK784" s="2505">
        <v>279.86</v>
      </c>
      <c r="AL784" s="2505">
        <v>279.86</v>
      </c>
      <c r="AM784" s="2505">
        <v>78.03</v>
      </c>
      <c r="AN784" s="2505">
        <v>75.2</v>
      </c>
      <c r="AO784" s="2505">
        <v>75.2</v>
      </c>
      <c r="AP784" s="2505">
        <v>75.11</v>
      </c>
      <c r="AQ784" s="2505">
        <v>75.37</v>
      </c>
      <c r="AR784" s="2505">
        <v>75.37</v>
      </c>
      <c r="AS784" s="2505">
        <v>227.1</v>
      </c>
      <c r="AT784" s="2505">
        <v>227.1</v>
      </c>
      <c r="AU784" s="2505">
        <v>227.1</v>
      </c>
      <c r="AV784" s="2505">
        <v>232.09</v>
      </c>
      <c r="AW784" s="2505">
        <v>227.29</v>
      </c>
      <c r="AX784" s="2505">
        <v>227.29</v>
      </c>
      <c r="AY784" s="2505">
        <v>227.41</v>
      </c>
      <c r="AZ784" s="2505">
        <v>227.41</v>
      </c>
      <c r="BA784" s="2040">
        <v>99.32</v>
      </c>
      <c r="BB784" s="2040">
        <v>99.32</v>
      </c>
      <c r="BC784" s="2040">
        <v>25.27</v>
      </c>
      <c r="BD784" s="2040">
        <v>25.42</v>
      </c>
      <c r="BE784" s="2040">
        <v>28.05</v>
      </c>
      <c r="BF784" s="2040">
        <v>28.05</v>
      </c>
      <c r="BG784" s="2040">
        <v>25.34</v>
      </c>
      <c r="BH784" s="2040">
        <v>25.34</v>
      </c>
      <c r="BI784" s="2040">
        <v>25.13</v>
      </c>
      <c r="BJ784" s="2040">
        <v>25.13</v>
      </c>
      <c r="BK784" s="2040">
        <v>25.13</v>
      </c>
      <c r="BL784" s="2040">
        <v>25.13</v>
      </c>
      <c r="BM784" s="2040">
        <v>57.03</v>
      </c>
      <c r="BN784" s="2040">
        <v>57.03</v>
      </c>
      <c r="BO784" s="2040">
        <v>179.61</v>
      </c>
      <c r="BP784" s="2040">
        <v>179.61</v>
      </c>
      <c r="BQ784" s="2040">
        <v>179.61</v>
      </c>
      <c r="BR784" s="2040">
        <v>179.61</v>
      </c>
      <c r="BS784" s="2040">
        <v>233.36</v>
      </c>
      <c r="BT784" s="2040">
        <v>233.36</v>
      </c>
      <c r="BU784" s="2040">
        <v>233.36</v>
      </c>
      <c r="BV784" s="2040">
        <v>233.36</v>
      </c>
      <c r="BW784" s="2040">
        <v>233.36</v>
      </c>
      <c r="BX784" s="2040">
        <v>233.36</v>
      </c>
      <c r="BY784" s="2040">
        <v>51.79</v>
      </c>
      <c r="BZ784" s="2040">
        <v>51.79</v>
      </c>
      <c r="CA784" s="2040">
        <v>172.07</v>
      </c>
      <c r="CB784" s="2040">
        <v>172.07</v>
      </c>
      <c r="CC784" s="2040">
        <v>174.69</v>
      </c>
      <c r="CD784" s="2040">
        <v>174.69</v>
      </c>
      <c r="CE784" s="2040">
        <v>230.23</v>
      </c>
      <c r="CF784" s="2040">
        <v>230.23</v>
      </c>
      <c r="CK784" s="2040">
        <v>128.55000000000001</v>
      </c>
      <c r="CL784" s="2040">
        <v>128.55000000000001</v>
      </c>
      <c r="CM784" s="2040">
        <v>259.11</v>
      </c>
      <c r="CN784" s="2040">
        <v>259.11</v>
      </c>
      <c r="CO784" s="2040">
        <v>335.3</v>
      </c>
      <c r="CP784" s="2040">
        <v>335.3</v>
      </c>
      <c r="CQ784" s="2040">
        <v>335.3</v>
      </c>
      <c r="CR784" s="2040">
        <v>335.3</v>
      </c>
      <c r="CW784" s="2040">
        <v>120.35</v>
      </c>
      <c r="CX784" s="2040">
        <v>120.35</v>
      </c>
      <c r="CY784" s="2040">
        <v>250.76</v>
      </c>
      <c r="CZ784" s="2040">
        <v>250.76</v>
      </c>
      <c r="DA784" s="2040">
        <v>250.76</v>
      </c>
      <c r="DB784" s="2040">
        <v>250.76</v>
      </c>
      <c r="DC784" s="2040">
        <v>324.8</v>
      </c>
      <c r="DD784" s="2040">
        <v>324.8</v>
      </c>
      <c r="DE784" s="2040">
        <v>324.8</v>
      </c>
      <c r="DF784" s="2040">
        <v>324.8</v>
      </c>
      <c r="DI784" s="2040">
        <v>31.77</v>
      </c>
      <c r="DJ784" s="2040">
        <v>31.77</v>
      </c>
      <c r="DK784" s="2040">
        <v>31.77</v>
      </c>
      <c r="DL784" s="2040">
        <v>31.77</v>
      </c>
      <c r="DM784" s="2040">
        <v>31.77</v>
      </c>
      <c r="DN784" s="2040">
        <v>31.77</v>
      </c>
      <c r="DU784" s="2040">
        <v>14.15</v>
      </c>
      <c r="DV784" s="2040">
        <v>14.15</v>
      </c>
      <c r="DW784" s="2040">
        <v>13.66</v>
      </c>
      <c r="DX784" s="2040">
        <v>13.66</v>
      </c>
      <c r="DY784" s="2040">
        <v>13.66</v>
      </c>
      <c r="DZ784" s="2040">
        <v>13.66</v>
      </c>
      <c r="EG784" s="2040">
        <v>15.16</v>
      </c>
      <c r="EH784" s="2040">
        <v>15.33</v>
      </c>
      <c r="EI784" s="2040">
        <v>12.53</v>
      </c>
      <c r="EJ784" s="2040">
        <v>12.53</v>
      </c>
      <c r="EK784" s="2040">
        <v>12.53</v>
      </c>
      <c r="EL784" s="2040">
        <v>12.53</v>
      </c>
      <c r="EM784" s="2040">
        <v>13.09</v>
      </c>
      <c r="EN784" s="2040">
        <v>13.09</v>
      </c>
      <c r="EO784" s="2040">
        <v>12.45</v>
      </c>
      <c r="EP784" s="2040">
        <v>12.45</v>
      </c>
      <c r="EQ784" s="2040">
        <v>12.81</v>
      </c>
      <c r="ER784" s="2040">
        <v>12.64</v>
      </c>
      <c r="ES784" s="2040">
        <v>58.14</v>
      </c>
      <c r="ET784" s="2040">
        <v>58.14</v>
      </c>
      <c r="EU784" s="2040">
        <v>255.93</v>
      </c>
      <c r="EV784" s="2040">
        <v>255.93</v>
      </c>
      <c r="EW784" s="2040">
        <v>250.5</v>
      </c>
      <c r="EX784" s="2040">
        <v>250.5</v>
      </c>
      <c r="EY784" s="2506">
        <f t="shared" si="60"/>
        <v>253.215</v>
      </c>
      <c r="EZ784" s="2506">
        <f t="shared" si="60"/>
        <v>253.215</v>
      </c>
      <c r="FA784" s="2040">
        <v>253.47</v>
      </c>
      <c r="FB784" s="2040">
        <v>253.47</v>
      </c>
      <c r="FE784" s="2040">
        <v>50.01</v>
      </c>
      <c r="FF784" s="2040">
        <v>50.01</v>
      </c>
      <c r="FG784" s="2040">
        <v>215.78</v>
      </c>
      <c r="FH784" s="2040">
        <v>215.78</v>
      </c>
      <c r="FI784" s="2040">
        <v>215.78</v>
      </c>
      <c r="FJ784" s="2040">
        <v>216.97</v>
      </c>
      <c r="FK784" s="2040">
        <v>215.41</v>
      </c>
      <c r="FL784" s="2040">
        <v>215.41</v>
      </c>
      <c r="FM784" s="2040">
        <v>215.97</v>
      </c>
      <c r="FN784" s="2040">
        <v>215.97</v>
      </c>
      <c r="FQ784" s="2040">
        <v>112.98</v>
      </c>
      <c r="FR784" s="2040">
        <v>112.98</v>
      </c>
      <c r="FS784" s="2040">
        <v>227.72</v>
      </c>
      <c r="FT784" s="2040">
        <v>227.72</v>
      </c>
      <c r="FU784" s="2040">
        <v>227.72</v>
      </c>
      <c r="FV784" s="2040">
        <v>227.72</v>
      </c>
      <c r="FW784" s="2040">
        <v>228.03</v>
      </c>
      <c r="FX784" s="2040">
        <v>228.03</v>
      </c>
      <c r="GC784" s="2040">
        <v>79.8</v>
      </c>
      <c r="GD784" s="2040">
        <v>79.8</v>
      </c>
      <c r="GE784" s="2040">
        <v>179</v>
      </c>
      <c r="GF784" s="2040">
        <v>179</v>
      </c>
      <c r="GG784" s="2040">
        <v>179</v>
      </c>
      <c r="GH784" s="2040">
        <v>179</v>
      </c>
      <c r="GI784" s="2040">
        <v>200.85</v>
      </c>
      <c r="GJ784" s="2040">
        <v>200.85</v>
      </c>
      <c r="GK784" s="2040">
        <v>224.06</v>
      </c>
      <c r="GL784" s="2040">
        <v>224.06</v>
      </c>
      <c r="GO784" s="2040">
        <v>42.73</v>
      </c>
      <c r="GP784" s="2040">
        <v>42.73</v>
      </c>
      <c r="GQ784" s="2040">
        <v>37.71</v>
      </c>
      <c r="GR784" s="2040">
        <v>37.71</v>
      </c>
      <c r="GS784" s="2040">
        <v>37.71</v>
      </c>
      <c r="GT784" s="2040">
        <v>36.369999999999997</v>
      </c>
      <c r="GU784" s="2040">
        <v>36.369999999999997</v>
      </c>
      <c r="GV784" s="2040">
        <v>36.58</v>
      </c>
      <c r="GW784" s="2040">
        <v>213.75</v>
      </c>
      <c r="GX784" s="2040">
        <v>213.75</v>
      </c>
      <c r="HA784" s="2040">
        <v>29.79</v>
      </c>
      <c r="HB784" s="2040">
        <v>29.79</v>
      </c>
      <c r="HC784" s="2040">
        <v>23.58</v>
      </c>
      <c r="HD784" s="2040">
        <v>23.58</v>
      </c>
      <c r="HE784" s="2040">
        <v>24.19</v>
      </c>
      <c r="HF784" s="2040">
        <v>24.19</v>
      </c>
      <c r="HG784" s="2040">
        <v>24.19</v>
      </c>
      <c r="HH784" s="2040">
        <v>24.19</v>
      </c>
      <c r="HI784" s="2040">
        <v>24.19</v>
      </c>
      <c r="HJ784" s="2040">
        <v>24.19</v>
      </c>
      <c r="HK784" s="2040">
        <v>24.3</v>
      </c>
      <c r="HL784" s="2040">
        <v>24.45</v>
      </c>
      <c r="HM784" s="2040">
        <v>41.73</v>
      </c>
      <c r="HN784" s="2040">
        <v>41.73</v>
      </c>
      <c r="HO784" s="2040">
        <v>33.32</v>
      </c>
      <c r="HP784" s="2040">
        <v>33.32</v>
      </c>
      <c r="HQ784" s="2040">
        <v>34.229999999999997</v>
      </c>
      <c r="HR784" s="2040">
        <v>34.229999999999997</v>
      </c>
      <c r="HS784" s="2040">
        <v>34.229999999999997</v>
      </c>
      <c r="HT784" s="2040">
        <v>34.229999999999997</v>
      </c>
      <c r="HU784" s="2040">
        <v>34.229999999999997</v>
      </c>
      <c r="HV784" s="2040">
        <v>34.229999999999997</v>
      </c>
      <c r="HW784" s="2040">
        <v>34.299999999999997</v>
      </c>
      <c r="HX784" s="2040">
        <v>34.299999999999997</v>
      </c>
    </row>
    <row r="785" spans="1:232" s="2040" customFormat="1" ht="14" x14ac:dyDescent="0.3">
      <c r="B785" s="2504">
        <v>86</v>
      </c>
      <c r="C785" s="2505">
        <v>47.26</v>
      </c>
      <c r="D785" s="2505">
        <v>47.26</v>
      </c>
      <c r="E785" s="2505">
        <v>47.34</v>
      </c>
      <c r="F785" s="2505">
        <v>47.34</v>
      </c>
      <c r="G785" s="2505">
        <v>184.54</v>
      </c>
      <c r="H785" s="2505">
        <v>184.54</v>
      </c>
      <c r="I785" s="2505">
        <v>175.53</v>
      </c>
      <c r="J785" s="2505">
        <v>175.53</v>
      </c>
      <c r="K785" s="2505">
        <v>179.48</v>
      </c>
      <c r="L785" s="2505">
        <v>179.48</v>
      </c>
      <c r="M785" s="2505"/>
      <c r="N785" s="2505"/>
      <c r="O785" s="2505">
        <v>148.05000000000001</v>
      </c>
      <c r="P785" s="2505">
        <v>148.05000000000001</v>
      </c>
      <c r="Q785" s="2505">
        <v>147.52000000000001</v>
      </c>
      <c r="R785" s="2505">
        <v>148.06</v>
      </c>
      <c r="S785" s="2505">
        <v>277.09999999999997</v>
      </c>
      <c r="T785" s="2505">
        <v>276.88</v>
      </c>
      <c r="U785" s="2505">
        <v>267.27</v>
      </c>
      <c r="V785" s="2505">
        <v>267.27</v>
      </c>
      <c r="W785" s="2505">
        <v>276.88</v>
      </c>
      <c r="X785" s="2505">
        <v>276.88</v>
      </c>
      <c r="Y785" s="2505">
        <v>267.27</v>
      </c>
      <c r="Z785" s="2505">
        <v>276.88</v>
      </c>
      <c r="AA785" s="2505">
        <v>276.88</v>
      </c>
      <c r="AB785" s="2505">
        <v>276.88</v>
      </c>
      <c r="AC785" s="2505">
        <v>267.27</v>
      </c>
      <c r="AD785" s="2505">
        <v>267.27</v>
      </c>
      <c r="AE785" s="2505">
        <v>288.70999999999998</v>
      </c>
      <c r="AF785" s="2505">
        <v>280.39999999999998</v>
      </c>
      <c r="AG785" s="2505">
        <v>288.70999999999998</v>
      </c>
      <c r="AH785" s="2505">
        <v>288.70999999999998</v>
      </c>
      <c r="AI785" s="2505">
        <v>280.39999999999998</v>
      </c>
      <c r="AJ785" s="2505">
        <v>280.39999999999998</v>
      </c>
      <c r="AK785" s="2505">
        <v>280.74</v>
      </c>
      <c r="AL785" s="2505">
        <v>280.74</v>
      </c>
      <c r="AM785" s="2505">
        <v>78.23</v>
      </c>
      <c r="AN785" s="2505">
        <v>75.39</v>
      </c>
      <c r="AO785" s="2505">
        <v>75.39</v>
      </c>
      <c r="AP785" s="2505">
        <v>75.31</v>
      </c>
      <c r="AQ785" s="2505">
        <v>75.56</v>
      </c>
      <c r="AR785" s="2505">
        <v>75.56</v>
      </c>
      <c r="AS785" s="2505">
        <v>227.89</v>
      </c>
      <c r="AT785" s="2505">
        <v>227.89</v>
      </c>
      <c r="AU785" s="2505">
        <v>227.89</v>
      </c>
      <c r="AV785" s="2505">
        <v>232.89</v>
      </c>
      <c r="AW785" s="2505">
        <v>228.07</v>
      </c>
      <c r="AX785" s="2505">
        <v>228.07</v>
      </c>
      <c r="AY785" s="2505">
        <v>228.19</v>
      </c>
      <c r="AZ785" s="2505">
        <v>228.19</v>
      </c>
      <c r="BA785" s="2040">
        <v>99.6</v>
      </c>
      <c r="BB785" s="2040">
        <v>99.6</v>
      </c>
      <c r="BC785" s="2040">
        <v>25.37</v>
      </c>
      <c r="BD785" s="2040">
        <v>25.52</v>
      </c>
      <c r="BE785" s="2040">
        <v>28.11</v>
      </c>
      <c r="BF785" s="2040">
        <v>28.11</v>
      </c>
      <c r="BG785" s="2040">
        <v>25.42</v>
      </c>
      <c r="BH785" s="2040">
        <v>25.42</v>
      </c>
      <c r="BI785" s="2040">
        <v>25.21</v>
      </c>
      <c r="BJ785" s="2040">
        <v>25.21</v>
      </c>
      <c r="BK785" s="2040">
        <v>25.21</v>
      </c>
      <c r="BL785" s="2040">
        <v>25.21</v>
      </c>
      <c r="BM785" s="2040">
        <v>57.17</v>
      </c>
      <c r="BN785" s="2040">
        <v>57.17</v>
      </c>
      <c r="BO785" s="2040">
        <v>180.1</v>
      </c>
      <c r="BP785" s="2040">
        <v>180.1</v>
      </c>
      <c r="BQ785" s="2040">
        <v>180.1</v>
      </c>
      <c r="BR785" s="2040">
        <v>180.1</v>
      </c>
      <c r="BS785" s="2040">
        <v>234.12</v>
      </c>
      <c r="BT785" s="2040">
        <v>234.12</v>
      </c>
      <c r="BU785" s="2040">
        <v>234.12</v>
      </c>
      <c r="BV785" s="2040">
        <v>234.12</v>
      </c>
      <c r="BW785" s="2040">
        <v>234.12</v>
      </c>
      <c r="BX785" s="2040">
        <v>234.12</v>
      </c>
      <c r="BY785" s="2040">
        <v>51.89</v>
      </c>
      <c r="BZ785" s="2040">
        <v>51.89</v>
      </c>
      <c r="CA785" s="2040">
        <v>172.48</v>
      </c>
      <c r="CB785" s="2040">
        <v>172.48</v>
      </c>
      <c r="CC785" s="2040">
        <v>175.11</v>
      </c>
      <c r="CD785" s="2040">
        <v>175.11</v>
      </c>
      <c r="CE785" s="2040">
        <v>230.88</v>
      </c>
      <c r="CF785" s="2040">
        <v>230.88</v>
      </c>
      <c r="CK785" s="2040">
        <v>128.86000000000001</v>
      </c>
      <c r="CL785" s="2040">
        <v>128.86000000000001</v>
      </c>
      <c r="CM785" s="2040">
        <v>259.58</v>
      </c>
      <c r="CN785" s="2040">
        <v>259.58</v>
      </c>
      <c r="CO785" s="2040">
        <v>336.09</v>
      </c>
      <c r="CP785" s="2040">
        <v>336.09</v>
      </c>
      <c r="CQ785" s="2040">
        <v>336.09</v>
      </c>
      <c r="CR785" s="2040">
        <v>336.09</v>
      </c>
      <c r="CW785" s="2040">
        <v>120.64</v>
      </c>
      <c r="CX785" s="2040">
        <v>120.64</v>
      </c>
      <c r="CY785" s="2040">
        <v>251.29</v>
      </c>
      <c r="CZ785" s="2040">
        <v>251.29</v>
      </c>
      <c r="DA785" s="2040">
        <v>251.29</v>
      </c>
      <c r="DB785" s="2040">
        <v>251.29</v>
      </c>
      <c r="DC785" s="2040">
        <v>325.64</v>
      </c>
      <c r="DD785" s="2040">
        <v>325.64</v>
      </c>
      <c r="DE785" s="2040">
        <v>325.64</v>
      </c>
      <c r="DF785" s="2040">
        <v>325.64</v>
      </c>
      <c r="DI785" s="2040">
        <v>31.86</v>
      </c>
      <c r="DJ785" s="2040">
        <v>31.86</v>
      </c>
      <c r="DK785" s="2040">
        <v>31.86</v>
      </c>
      <c r="DL785" s="2040">
        <v>31.86</v>
      </c>
      <c r="DM785" s="2040">
        <v>31.86</v>
      </c>
      <c r="DN785" s="2040">
        <v>31.86</v>
      </c>
      <c r="DU785" s="2040">
        <v>14.19</v>
      </c>
      <c r="DV785" s="2040">
        <v>14.19</v>
      </c>
      <c r="DW785" s="2040">
        <v>13.71</v>
      </c>
      <c r="DX785" s="2040">
        <v>13.71</v>
      </c>
      <c r="DY785" s="2040">
        <v>13.71</v>
      </c>
      <c r="DZ785" s="2040">
        <v>13.71</v>
      </c>
      <c r="EG785" s="2040">
        <v>15.2</v>
      </c>
      <c r="EH785" s="2040">
        <v>15.37</v>
      </c>
      <c r="EI785" s="2040">
        <v>12.58</v>
      </c>
      <c r="EJ785" s="2040">
        <v>12.58</v>
      </c>
      <c r="EK785" s="2040">
        <v>12.58</v>
      </c>
      <c r="EL785" s="2040">
        <v>12.58</v>
      </c>
      <c r="EM785" s="2040">
        <v>13.13</v>
      </c>
      <c r="EN785" s="2040">
        <v>13.13</v>
      </c>
      <c r="EO785" s="2040">
        <v>12.5</v>
      </c>
      <c r="EP785" s="2040">
        <v>12.5</v>
      </c>
      <c r="EQ785" s="2040">
        <v>12.86</v>
      </c>
      <c r="ER785" s="2040">
        <v>12.69</v>
      </c>
      <c r="ES785" s="2040">
        <v>58.29</v>
      </c>
      <c r="ET785" s="2040">
        <v>58.29</v>
      </c>
      <c r="EU785" s="2040">
        <v>256.86</v>
      </c>
      <c r="EV785" s="2040">
        <v>256.86</v>
      </c>
      <c r="EW785" s="2040">
        <v>251.42</v>
      </c>
      <c r="EX785" s="2040">
        <v>251.42</v>
      </c>
      <c r="EY785" s="2506">
        <f t="shared" si="60"/>
        <v>254.14</v>
      </c>
      <c r="EZ785" s="2506">
        <f t="shared" si="60"/>
        <v>254.14</v>
      </c>
      <c r="FA785" s="2040">
        <v>254.36</v>
      </c>
      <c r="FB785" s="2040">
        <v>254.36</v>
      </c>
      <c r="FE785" s="2040">
        <v>50.14</v>
      </c>
      <c r="FF785" s="2040">
        <v>50.14</v>
      </c>
      <c r="FG785" s="2040">
        <v>216.58</v>
      </c>
      <c r="FH785" s="2040">
        <v>216.58</v>
      </c>
      <c r="FI785" s="2040">
        <v>216.58</v>
      </c>
      <c r="FJ785" s="2040">
        <v>217.74</v>
      </c>
      <c r="FK785" s="2040">
        <v>216.22</v>
      </c>
      <c r="FL785" s="2040">
        <v>216.22</v>
      </c>
      <c r="FM785" s="2040">
        <v>216.76</v>
      </c>
      <c r="FN785" s="2040">
        <v>216.76</v>
      </c>
      <c r="FQ785" s="2040">
        <v>113.28</v>
      </c>
      <c r="FR785" s="2040">
        <v>113.28</v>
      </c>
      <c r="FS785" s="2040">
        <v>228.4</v>
      </c>
      <c r="FT785" s="2040">
        <v>228.4</v>
      </c>
      <c r="FU785" s="2040">
        <v>228.4</v>
      </c>
      <c r="FV785" s="2040">
        <v>228.4</v>
      </c>
      <c r="FW785" s="2040">
        <v>228.71</v>
      </c>
      <c r="FX785" s="2040">
        <v>228.71</v>
      </c>
      <c r="GC785" s="2040">
        <v>80</v>
      </c>
      <c r="GD785" s="2040">
        <v>80</v>
      </c>
      <c r="GE785" s="2040">
        <v>179.42</v>
      </c>
      <c r="GF785" s="2040">
        <v>179.42</v>
      </c>
      <c r="GG785" s="2040">
        <v>179.42</v>
      </c>
      <c r="GH785" s="2040">
        <v>179.42</v>
      </c>
      <c r="GI785" s="2040">
        <v>201.8</v>
      </c>
      <c r="GJ785" s="2040">
        <v>201.8</v>
      </c>
      <c r="GK785" s="2040">
        <v>224.83</v>
      </c>
      <c r="GL785" s="2040">
        <v>224.83</v>
      </c>
      <c r="GO785" s="2040">
        <v>42.84</v>
      </c>
      <c r="GP785" s="2040">
        <v>42.84</v>
      </c>
      <c r="GQ785" s="2040">
        <v>37.85</v>
      </c>
      <c r="GR785" s="2040">
        <v>37.85</v>
      </c>
      <c r="GS785" s="2040">
        <v>37.85</v>
      </c>
      <c r="GT785" s="2040">
        <v>36.51</v>
      </c>
      <c r="GU785" s="2040">
        <v>36.51</v>
      </c>
      <c r="GV785" s="2040">
        <v>36.72</v>
      </c>
      <c r="GW785" s="2040">
        <v>214.56</v>
      </c>
      <c r="GX785" s="2040">
        <v>214.56</v>
      </c>
      <c r="HA785" s="2040">
        <v>29.85</v>
      </c>
      <c r="HB785" s="2040">
        <v>29.85</v>
      </c>
      <c r="HC785" s="2040">
        <v>23.67</v>
      </c>
      <c r="HD785" s="2040">
        <v>23.67</v>
      </c>
      <c r="HE785" s="2040">
        <v>24.29</v>
      </c>
      <c r="HF785" s="2040">
        <v>24.29</v>
      </c>
      <c r="HG785" s="2040">
        <v>24.29</v>
      </c>
      <c r="HH785" s="2040">
        <v>24.29</v>
      </c>
      <c r="HI785" s="2040">
        <v>24.29</v>
      </c>
      <c r="HJ785" s="2040">
        <v>24.29</v>
      </c>
      <c r="HK785" s="2040">
        <v>24.38</v>
      </c>
      <c r="HL785" s="2040">
        <v>24.53</v>
      </c>
      <c r="HM785" s="2040">
        <v>41.84</v>
      </c>
      <c r="HN785" s="2040">
        <v>41.84</v>
      </c>
      <c r="HO785" s="2040">
        <v>33.47</v>
      </c>
      <c r="HP785" s="2040">
        <v>33.47</v>
      </c>
      <c r="HQ785" s="2040">
        <v>34.369999999999997</v>
      </c>
      <c r="HR785" s="2040">
        <v>34.369999999999997</v>
      </c>
      <c r="HS785" s="2040">
        <v>34.369999999999997</v>
      </c>
      <c r="HT785" s="2040">
        <v>34.369999999999997</v>
      </c>
      <c r="HU785" s="2040">
        <v>34.369999999999997</v>
      </c>
      <c r="HV785" s="2040">
        <v>34.369999999999997</v>
      </c>
      <c r="HW785" s="2040">
        <v>34.44</v>
      </c>
      <c r="HX785" s="2040">
        <v>34.44</v>
      </c>
    </row>
    <row r="786" spans="1:232" s="2040" customFormat="1" ht="14" x14ac:dyDescent="0.3">
      <c r="B786" s="2504">
        <v>87</v>
      </c>
      <c r="C786" s="2505">
        <v>47.38</v>
      </c>
      <c r="D786" s="2505">
        <v>47.38</v>
      </c>
      <c r="E786" s="2505">
        <v>47.45</v>
      </c>
      <c r="F786" s="2505">
        <v>47.45</v>
      </c>
      <c r="G786" s="2505">
        <v>185.11</v>
      </c>
      <c r="H786" s="2505">
        <v>185.11</v>
      </c>
      <c r="I786" s="2505">
        <v>176.12</v>
      </c>
      <c r="J786" s="2505">
        <v>176.12</v>
      </c>
      <c r="K786" s="2505">
        <v>180</v>
      </c>
      <c r="L786" s="2505">
        <v>180</v>
      </c>
      <c r="M786" s="2505"/>
      <c r="N786" s="2505"/>
      <c r="O786" s="2505">
        <v>148.41999999999999</v>
      </c>
      <c r="P786" s="2505">
        <v>148.41999999999999</v>
      </c>
      <c r="Q786" s="2505">
        <v>147.88</v>
      </c>
      <c r="R786" s="2505">
        <v>148.43</v>
      </c>
      <c r="S786" s="2505">
        <v>278.08999999999997</v>
      </c>
      <c r="T786" s="2505">
        <v>277.88</v>
      </c>
      <c r="U786" s="2505">
        <v>268.23</v>
      </c>
      <c r="V786" s="2505">
        <v>268.23</v>
      </c>
      <c r="W786" s="2505">
        <v>277.88</v>
      </c>
      <c r="X786" s="2505">
        <v>277.88</v>
      </c>
      <c r="Y786" s="2505">
        <v>268.23</v>
      </c>
      <c r="Z786" s="2505">
        <v>277.88</v>
      </c>
      <c r="AA786" s="2505">
        <v>277.88</v>
      </c>
      <c r="AB786" s="2505">
        <v>277.88</v>
      </c>
      <c r="AC786" s="2505">
        <v>268.23</v>
      </c>
      <c r="AD786" s="2505">
        <v>268.23</v>
      </c>
      <c r="AE786" s="2505">
        <v>289.61</v>
      </c>
      <c r="AF786" s="2505">
        <v>281.26</v>
      </c>
      <c r="AG786" s="2505">
        <v>289.61</v>
      </c>
      <c r="AH786" s="2505">
        <v>289.61</v>
      </c>
      <c r="AI786" s="2505">
        <v>281.26</v>
      </c>
      <c r="AJ786" s="2505">
        <v>281.26</v>
      </c>
      <c r="AK786" s="2505">
        <v>281.58999999999997</v>
      </c>
      <c r="AL786" s="2505">
        <v>281.58999999999997</v>
      </c>
      <c r="AM786" s="2505">
        <v>78.430000000000007</v>
      </c>
      <c r="AN786" s="2505">
        <v>75.58</v>
      </c>
      <c r="AO786" s="2505">
        <v>75.58</v>
      </c>
      <c r="AP786" s="2505">
        <v>75.5</v>
      </c>
      <c r="AQ786" s="2505">
        <v>75.75</v>
      </c>
      <c r="AR786" s="2505">
        <v>75.75</v>
      </c>
      <c r="AS786" s="2505">
        <v>228.62</v>
      </c>
      <c r="AT786" s="2505">
        <v>228.62</v>
      </c>
      <c r="AU786" s="2505">
        <v>228.62</v>
      </c>
      <c r="AV786" s="2505">
        <v>233.62</v>
      </c>
      <c r="AW786" s="2505">
        <v>228.8</v>
      </c>
      <c r="AX786" s="2505">
        <v>228.8</v>
      </c>
      <c r="AY786" s="2505">
        <v>228.91</v>
      </c>
      <c r="AZ786" s="2505">
        <v>228.91</v>
      </c>
      <c r="BA786" s="2040">
        <v>99.93</v>
      </c>
      <c r="BB786" s="2040">
        <v>99.93</v>
      </c>
      <c r="BC786" s="2040">
        <v>25.47</v>
      </c>
      <c r="BD786" s="2040">
        <v>25.62</v>
      </c>
      <c r="BE786" s="2040">
        <v>28.19</v>
      </c>
      <c r="BF786" s="2040">
        <v>28.19</v>
      </c>
      <c r="BG786" s="2040">
        <v>25.52</v>
      </c>
      <c r="BH786" s="2040">
        <v>25.52</v>
      </c>
      <c r="BI786" s="2040">
        <v>25.31</v>
      </c>
      <c r="BJ786" s="2040">
        <v>25.31</v>
      </c>
      <c r="BK786" s="2040">
        <v>25.31</v>
      </c>
      <c r="BL786" s="2040">
        <v>25.31</v>
      </c>
      <c r="BM786" s="2040">
        <v>57.31</v>
      </c>
      <c r="BN786" s="2040">
        <v>57.31</v>
      </c>
      <c r="BO786" s="2040">
        <v>180.63</v>
      </c>
      <c r="BP786" s="2040">
        <v>180.63</v>
      </c>
      <c r="BQ786" s="2040">
        <v>180.63</v>
      </c>
      <c r="BR786" s="2040">
        <v>180.63</v>
      </c>
      <c r="BS786" s="2040">
        <v>234.94</v>
      </c>
      <c r="BT786" s="2040">
        <v>234.94</v>
      </c>
      <c r="BU786" s="2040">
        <v>234.94</v>
      </c>
      <c r="BV786" s="2040">
        <v>234.94</v>
      </c>
      <c r="BW786" s="2040">
        <v>234.94</v>
      </c>
      <c r="BX786" s="2040">
        <v>234.94</v>
      </c>
      <c r="BY786" s="2040">
        <v>52.02</v>
      </c>
      <c r="BZ786" s="2040">
        <v>52.02</v>
      </c>
      <c r="CA786" s="2040">
        <v>172.99</v>
      </c>
      <c r="CB786" s="2040">
        <v>172.99</v>
      </c>
      <c r="CC786" s="2040">
        <v>175.63</v>
      </c>
      <c r="CD786" s="2040">
        <v>175.63</v>
      </c>
      <c r="CE786" s="2040">
        <v>231.69</v>
      </c>
      <c r="CF786" s="2040">
        <v>231.69</v>
      </c>
      <c r="CK786" s="2040">
        <v>129.16999999999999</v>
      </c>
      <c r="CL786" s="2040">
        <v>129.16999999999999</v>
      </c>
      <c r="CM786" s="2040">
        <v>260.12</v>
      </c>
      <c r="CN786" s="2040">
        <v>260.12</v>
      </c>
      <c r="CO786" s="2040">
        <v>336.98</v>
      </c>
      <c r="CP786" s="2040">
        <v>336.98</v>
      </c>
      <c r="CQ786" s="2040">
        <v>336.98</v>
      </c>
      <c r="CR786" s="2040">
        <v>336.98</v>
      </c>
      <c r="CW786" s="2040">
        <v>120.95</v>
      </c>
      <c r="CX786" s="2040">
        <v>120.95</v>
      </c>
      <c r="CY786" s="2040">
        <v>251.83</v>
      </c>
      <c r="CZ786" s="2040">
        <v>251.83</v>
      </c>
      <c r="DA786" s="2040">
        <v>251.83</v>
      </c>
      <c r="DB786" s="2040">
        <v>251.83</v>
      </c>
      <c r="DC786" s="2040">
        <v>326.54000000000002</v>
      </c>
      <c r="DD786" s="2040">
        <v>326.54000000000002</v>
      </c>
      <c r="DE786" s="2040">
        <v>326.54000000000002</v>
      </c>
      <c r="DF786" s="2040">
        <v>326.54000000000002</v>
      </c>
      <c r="DI786" s="2040">
        <v>31.94</v>
      </c>
      <c r="DJ786" s="2040">
        <v>31.94</v>
      </c>
      <c r="DK786" s="2040">
        <v>31.94</v>
      </c>
      <c r="DL786" s="2040">
        <v>31.94</v>
      </c>
      <c r="DM786" s="2040">
        <v>31.94</v>
      </c>
      <c r="DN786" s="2040">
        <v>31.94</v>
      </c>
      <c r="DU786" s="2040">
        <v>14.22</v>
      </c>
      <c r="DV786" s="2040">
        <v>14.22</v>
      </c>
      <c r="DW786" s="2040">
        <v>13.75</v>
      </c>
      <c r="DX786" s="2040">
        <v>13.75</v>
      </c>
      <c r="DY786" s="2040">
        <v>13.75</v>
      </c>
      <c r="DZ786" s="2040">
        <v>13.75</v>
      </c>
      <c r="EG786" s="2040">
        <v>15.24</v>
      </c>
      <c r="EH786" s="2040">
        <v>15.4</v>
      </c>
      <c r="EI786" s="2040">
        <v>12.63</v>
      </c>
      <c r="EJ786" s="2040">
        <v>12.63</v>
      </c>
      <c r="EK786" s="2040">
        <v>12.64</v>
      </c>
      <c r="EL786" s="2040">
        <v>12.64</v>
      </c>
      <c r="EM786" s="2040">
        <v>13.18</v>
      </c>
      <c r="EN786" s="2040">
        <v>13.18</v>
      </c>
      <c r="EO786" s="2040">
        <v>12.55</v>
      </c>
      <c r="EP786" s="2040">
        <v>12.55</v>
      </c>
      <c r="EQ786" s="2040">
        <v>12.91</v>
      </c>
      <c r="ER786" s="2040">
        <v>12.74</v>
      </c>
      <c r="ES786" s="2040">
        <v>58.44</v>
      </c>
      <c r="ET786" s="2040">
        <v>58.44</v>
      </c>
      <c r="EU786" s="2040">
        <v>257.77</v>
      </c>
      <c r="EV786" s="2040">
        <v>257.77</v>
      </c>
      <c r="EW786" s="2040">
        <v>252.32</v>
      </c>
      <c r="EX786" s="2040">
        <v>252.32</v>
      </c>
      <c r="EY786" s="2506">
        <f t="shared" si="60"/>
        <v>255.04499999999999</v>
      </c>
      <c r="EZ786" s="2506">
        <f t="shared" si="60"/>
        <v>255.04499999999999</v>
      </c>
      <c r="FA786" s="2040">
        <v>255.22</v>
      </c>
      <c r="FB786" s="2040">
        <v>255.22</v>
      </c>
      <c r="FE786" s="2040">
        <v>50.27</v>
      </c>
      <c r="FF786" s="2040">
        <v>50.27</v>
      </c>
      <c r="FG786" s="2040">
        <v>217.36</v>
      </c>
      <c r="FH786" s="2040">
        <v>217.36</v>
      </c>
      <c r="FI786" s="2040">
        <v>217.36</v>
      </c>
      <c r="FJ786" s="2040">
        <v>218.5</v>
      </c>
      <c r="FK786" s="2040">
        <v>217</v>
      </c>
      <c r="FL786" s="2040">
        <v>217</v>
      </c>
      <c r="FM786" s="2040">
        <v>217.53</v>
      </c>
      <c r="FN786" s="2040">
        <v>217.53</v>
      </c>
      <c r="FQ786" s="2040">
        <v>113.57</v>
      </c>
      <c r="FR786" s="2040">
        <v>113.57</v>
      </c>
      <c r="FS786" s="2040">
        <v>229.08</v>
      </c>
      <c r="FT786" s="2040">
        <v>229.08</v>
      </c>
      <c r="FU786" s="2040">
        <v>229.08</v>
      </c>
      <c r="FV786" s="2040">
        <v>229.08</v>
      </c>
      <c r="FW786" s="2040">
        <v>229.38</v>
      </c>
      <c r="FX786" s="2040">
        <v>229.38</v>
      </c>
      <c r="GC786" s="2040">
        <v>80.209999999999994</v>
      </c>
      <c r="GD786" s="2040">
        <v>80.209999999999994</v>
      </c>
      <c r="GE786" s="2040">
        <v>179.83</v>
      </c>
      <c r="GF786" s="2040">
        <v>179.83</v>
      </c>
      <c r="GG786" s="2040">
        <v>179.83</v>
      </c>
      <c r="GH786" s="2040">
        <v>179.83</v>
      </c>
      <c r="GI786" s="2040">
        <v>202.74</v>
      </c>
      <c r="GJ786" s="2040">
        <v>202.74</v>
      </c>
      <c r="GK786" s="2040">
        <v>225.59</v>
      </c>
      <c r="GL786" s="2040">
        <v>225.59</v>
      </c>
      <c r="GO786" s="2040">
        <v>42.95</v>
      </c>
      <c r="GP786" s="2040">
        <v>42.95</v>
      </c>
      <c r="GQ786" s="2040">
        <v>37.99</v>
      </c>
      <c r="GR786" s="2040">
        <v>37.99</v>
      </c>
      <c r="GS786" s="2040">
        <v>37.99</v>
      </c>
      <c r="GT786" s="2040">
        <v>36.65</v>
      </c>
      <c r="GU786" s="2040">
        <v>36.65</v>
      </c>
      <c r="GV786" s="2040">
        <v>36.85</v>
      </c>
      <c r="GW786" s="2040">
        <v>215.32</v>
      </c>
      <c r="GX786" s="2040">
        <v>215.32</v>
      </c>
      <c r="HA786" s="2040">
        <v>29.93</v>
      </c>
      <c r="HB786" s="2040">
        <v>29.93</v>
      </c>
      <c r="HC786" s="2040">
        <v>23.77</v>
      </c>
      <c r="HD786" s="2040">
        <v>23.77</v>
      </c>
      <c r="HE786" s="2040">
        <v>24.39</v>
      </c>
      <c r="HF786" s="2040">
        <v>24.39</v>
      </c>
      <c r="HG786" s="2040">
        <v>24.39</v>
      </c>
      <c r="HH786" s="2040">
        <v>24.39</v>
      </c>
      <c r="HI786" s="2040">
        <v>24.39</v>
      </c>
      <c r="HJ786" s="2040">
        <v>24.39</v>
      </c>
      <c r="HK786" s="2040">
        <v>24.49</v>
      </c>
      <c r="HL786" s="2040">
        <v>24.63</v>
      </c>
      <c r="HM786" s="2040">
        <v>41.94</v>
      </c>
      <c r="HN786" s="2040">
        <v>41.94</v>
      </c>
      <c r="HO786" s="2040">
        <v>33.619999999999997</v>
      </c>
      <c r="HP786" s="2040">
        <v>33.619999999999997</v>
      </c>
      <c r="HQ786" s="2040">
        <v>34.51</v>
      </c>
      <c r="HR786" s="2040">
        <v>34.51</v>
      </c>
      <c r="HS786" s="2040">
        <v>34.51</v>
      </c>
      <c r="HT786" s="2040">
        <v>34.51</v>
      </c>
      <c r="HU786" s="2040">
        <v>34.51</v>
      </c>
      <c r="HV786" s="2040">
        <v>34.51</v>
      </c>
      <c r="HW786" s="2040">
        <v>34.58</v>
      </c>
      <c r="HX786" s="2040">
        <v>34.58</v>
      </c>
    </row>
    <row r="787" spans="1:232" s="2040" customFormat="1" ht="14" x14ac:dyDescent="0.3">
      <c r="B787" s="2504">
        <v>88</v>
      </c>
      <c r="C787" s="2505">
        <v>47.49</v>
      </c>
      <c r="D787" s="2505">
        <v>47.49</v>
      </c>
      <c r="E787" s="2505">
        <v>47.56</v>
      </c>
      <c r="F787" s="2505">
        <v>47.56</v>
      </c>
      <c r="G787" s="2505">
        <v>185.67</v>
      </c>
      <c r="H787" s="2505">
        <v>185.67</v>
      </c>
      <c r="I787" s="2505">
        <v>176.71</v>
      </c>
      <c r="J787" s="2505">
        <v>176.71</v>
      </c>
      <c r="K787" s="2505">
        <v>180.51</v>
      </c>
      <c r="L787" s="2505">
        <v>180.51</v>
      </c>
      <c r="M787" s="2505"/>
      <c r="N787" s="2505"/>
      <c r="O787" s="2505">
        <v>148.79</v>
      </c>
      <c r="P787" s="2505">
        <v>148.79</v>
      </c>
      <c r="Q787" s="2505">
        <v>148.24</v>
      </c>
      <c r="R787" s="2505">
        <v>148.80000000000001</v>
      </c>
      <c r="S787" s="2505">
        <v>279.07</v>
      </c>
      <c r="T787" s="2505">
        <v>278.86</v>
      </c>
      <c r="U787" s="2505">
        <v>269.18</v>
      </c>
      <c r="V787" s="2505">
        <v>269.18</v>
      </c>
      <c r="W787" s="2505">
        <v>278.86</v>
      </c>
      <c r="X787" s="2505">
        <v>278.86</v>
      </c>
      <c r="Y787" s="2505">
        <v>269.18</v>
      </c>
      <c r="Z787" s="2505">
        <v>278.86</v>
      </c>
      <c r="AA787" s="2505">
        <v>278.86</v>
      </c>
      <c r="AB787" s="2505">
        <v>278.86</v>
      </c>
      <c r="AC787" s="2505">
        <v>269.18</v>
      </c>
      <c r="AD787" s="2505">
        <v>269.18</v>
      </c>
      <c r="AE787" s="2505">
        <v>290.48</v>
      </c>
      <c r="AF787" s="2505">
        <v>282.11</v>
      </c>
      <c r="AG787" s="2505">
        <v>290.48</v>
      </c>
      <c r="AH787" s="2505">
        <v>290.48</v>
      </c>
      <c r="AI787" s="2505">
        <v>282.11</v>
      </c>
      <c r="AJ787" s="2505">
        <v>282.11</v>
      </c>
      <c r="AK787" s="2505">
        <v>282.43</v>
      </c>
      <c r="AL787" s="2505">
        <v>282.43</v>
      </c>
      <c r="AM787" s="2505">
        <v>78.62</v>
      </c>
      <c r="AN787" s="2505">
        <v>75.77</v>
      </c>
      <c r="AO787" s="2505">
        <v>75.77</v>
      </c>
      <c r="AP787" s="2505">
        <v>75.69</v>
      </c>
      <c r="AQ787" s="2505">
        <v>75.930000000000007</v>
      </c>
      <c r="AR787" s="2505">
        <v>75.930000000000007</v>
      </c>
      <c r="AS787" s="2505">
        <v>229.33</v>
      </c>
      <c r="AT787" s="2505">
        <v>229.33</v>
      </c>
      <c r="AU787" s="2505">
        <v>229.33</v>
      </c>
      <c r="AV787" s="2505">
        <v>234.34</v>
      </c>
      <c r="AW787" s="2505">
        <v>229.5</v>
      </c>
      <c r="AX787" s="2505">
        <v>229.5</v>
      </c>
      <c r="AY787" s="2505">
        <v>229.62</v>
      </c>
      <c r="AZ787" s="2505">
        <v>229.62</v>
      </c>
      <c r="BA787" s="2040">
        <v>100.25</v>
      </c>
      <c r="BB787" s="2040">
        <v>100.25</v>
      </c>
      <c r="BC787" s="2040">
        <v>25.57</v>
      </c>
      <c r="BD787" s="2040">
        <v>25.71</v>
      </c>
      <c r="BE787" s="2040">
        <v>28.26</v>
      </c>
      <c r="BF787" s="2040">
        <v>28.26</v>
      </c>
      <c r="BG787" s="2040">
        <v>25.62</v>
      </c>
      <c r="BH787" s="2040">
        <v>25.62</v>
      </c>
      <c r="BI787" s="2040">
        <v>25.4</v>
      </c>
      <c r="BJ787" s="2040">
        <v>25.4</v>
      </c>
      <c r="BK787" s="2040">
        <v>25.4</v>
      </c>
      <c r="BL787" s="2040">
        <v>25.4</v>
      </c>
      <c r="BM787" s="2040">
        <v>57.45</v>
      </c>
      <c r="BN787" s="2040">
        <v>57.45</v>
      </c>
      <c r="BO787" s="2040">
        <v>181.14</v>
      </c>
      <c r="BP787" s="2040">
        <v>181.14</v>
      </c>
      <c r="BQ787" s="2040">
        <v>181.14</v>
      </c>
      <c r="BR787" s="2040">
        <v>181.14</v>
      </c>
      <c r="BS787" s="2040">
        <v>235.74</v>
      </c>
      <c r="BT787" s="2040">
        <v>235.74</v>
      </c>
      <c r="BU787" s="2040">
        <v>235.74</v>
      </c>
      <c r="BV787" s="2040">
        <v>235.74</v>
      </c>
      <c r="BW787" s="2040">
        <v>235.74</v>
      </c>
      <c r="BX787" s="2040">
        <v>235.74</v>
      </c>
      <c r="BY787" s="2040">
        <v>52.15</v>
      </c>
      <c r="BZ787" s="2040">
        <v>52.15</v>
      </c>
      <c r="CA787" s="2040">
        <v>173.49</v>
      </c>
      <c r="CB787" s="2040">
        <v>173.49</v>
      </c>
      <c r="CC787" s="2040">
        <v>176.15</v>
      </c>
      <c r="CD787" s="2040">
        <v>176.15</v>
      </c>
      <c r="CE787" s="2040">
        <v>232.5</v>
      </c>
      <c r="CF787" s="2040">
        <v>232.5</v>
      </c>
      <c r="CK787" s="2040">
        <v>129.46</v>
      </c>
      <c r="CL787" s="2040">
        <v>129.46</v>
      </c>
      <c r="CM787" s="2040">
        <v>260.64999999999998</v>
      </c>
      <c r="CN787" s="2040">
        <v>260.64999999999998</v>
      </c>
      <c r="CO787" s="2040">
        <v>337.85</v>
      </c>
      <c r="CP787" s="2040">
        <v>337.85</v>
      </c>
      <c r="CQ787" s="2040">
        <v>337.85</v>
      </c>
      <c r="CR787" s="2040">
        <v>337.85</v>
      </c>
      <c r="CW787" s="2040">
        <v>121.24</v>
      </c>
      <c r="CX787" s="2040">
        <v>121.24</v>
      </c>
      <c r="CY787" s="2040">
        <v>252.37</v>
      </c>
      <c r="CZ787" s="2040">
        <v>252.37</v>
      </c>
      <c r="DA787" s="2040">
        <v>252.37</v>
      </c>
      <c r="DB787" s="2040">
        <v>252.37</v>
      </c>
      <c r="DC787" s="2040">
        <v>327.41000000000003</v>
      </c>
      <c r="DD787" s="2040">
        <v>327.41000000000003</v>
      </c>
      <c r="DE787" s="2040">
        <v>327.41000000000003</v>
      </c>
      <c r="DF787" s="2040">
        <v>327.41000000000003</v>
      </c>
      <c r="DI787" s="2040">
        <v>32.020000000000003</v>
      </c>
      <c r="DJ787" s="2040">
        <v>32.020000000000003</v>
      </c>
      <c r="DK787" s="2040">
        <v>32.020000000000003</v>
      </c>
      <c r="DL787" s="2040">
        <v>32.020000000000003</v>
      </c>
      <c r="DM787" s="2040">
        <v>32.020000000000003</v>
      </c>
      <c r="DN787" s="2040">
        <v>32.020000000000003</v>
      </c>
      <c r="DU787" s="2040">
        <v>14.26</v>
      </c>
      <c r="DV787" s="2040">
        <v>14.26</v>
      </c>
      <c r="DW787" s="2040">
        <v>13.8</v>
      </c>
      <c r="DX787" s="2040">
        <v>13.8</v>
      </c>
      <c r="DY787" s="2040">
        <v>13.8</v>
      </c>
      <c r="DZ787" s="2040">
        <v>13.8</v>
      </c>
      <c r="EG787" s="2040">
        <v>15.28</v>
      </c>
      <c r="EH787" s="2040">
        <v>15.44</v>
      </c>
      <c r="EI787" s="2040">
        <v>12.69</v>
      </c>
      <c r="EJ787" s="2040">
        <v>12.69</v>
      </c>
      <c r="EK787" s="2040">
        <v>12.69</v>
      </c>
      <c r="EL787" s="2040">
        <v>12.69</v>
      </c>
      <c r="EM787" s="2040">
        <v>13.23</v>
      </c>
      <c r="EN787" s="2040">
        <v>13.23</v>
      </c>
      <c r="EO787" s="2040">
        <v>12.6</v>
      </c>
      <c r="EP787" s="2040">
        <v>12.6</v>
      </c>
      <c r="EQ787" s="2040">
        <v>12.96</v>
      </c>
      <c r="ER787" s="2040">
        <v>12.78</v>
      </c>
      <c r="ES787" s="2040">
        <v>58.58</v>
      </c>
      <c r="ET787" s="2040">
        <v>58.58</v>
      </c>
      <c r="EU787" s="2040">
        <v>258.66000000000003</v>
      </c>
      <c r="EV787" s="2040">
        <v>258.66000000000003</v>
      </c>
      <c r="EW787" s="2040">
        <v>253.21</v>
      </c>
      <c r="EX787" s="2040">
        <v>253.21</v>
      </c>
      <c r="EY787" s="2506">
        <f t="shared" si="60"/>
        <v>255.935</v>
      </c>
      <c r="EZ787" s="2506">
        <f t="shared" si="60"/>
        <v>255.935</v>
      </c>
      <c r="FA787" s="2040">
        <v>256.07</v>
      </c>
      <c r="FB787" s="2040">
        <v>256.07</v>
      </c>
      <c r="FE787" s="2040">
        <v>50.39</v>
      </c>
      <c r="FF787" s="2040">
        <v>50.39</v>
      </c>
      <c r="FG787" s="2040">
        <v>218.13</v>
      </c>
      <c r="FH787" s="2040">
        <v>218.13</v>
      </c>
      <c r="FI787" s="2040">
        <v>218.13</v>
      </c>
      <c r="FJ787" s="2040">
        <v>219.25</v>
      </c>
      <c r="FK787" s="2040">
        <v>217.78</v>
      </c>
      <c r="FL787" s="2040">
        <v>217.78</v>
      </c>
      <c r="FM787" s="2040">
        <v>218.29</v>
      </c>
      <c r="FN787" s="2040">
        <v>218.29</v>
      </c>
      <c r="FQ787" s="2040">
        <v>113.85</v>
      </c>
      <c r="FR787" s="2040">
        <v>113.85</v>
      </c>
      <c r="FS787" s="2040">
        <v>229.74</v>
      </c>
      <c r="FT787" s="2040">
        <v>229.74</v>
      </c>
      <c r="FU787" s="2040">
        <v>229.74</v>
      </c>
      <c r="FV787" s="2040">
        <v>229.74</v>
      </c>
      <c r="FW787" s="2040">
        <v>230.03</v>
      </c>
      <c r="FX787" s="2040">
        <v>230.03</v>
      </c>
      <c r="GC787" s="2040">
        <v>80.400000000000006</v>
      </c>
      <c r="GD787" s="2040">
        <v>80.400000000000006</v>
      </c>
      <c r="GE787" s="2040">
        <v>180.24</v>
      </c>
      <c r="GF787" s="2040">
        <v>180.24</v>
      </c>
      <c r="GG787" s="2040">
        <v>180.24</v>
      </c>
      <c r="GH787" s="2040">
        <v>180.24</v>
      </c>
      <c r="GI787" s="2040">
        <v>203.67</v>
      </c>
      <c r="GJ787" s="2040">
        <v>203.67</v>
      </c>
      <c r="GK787" s="2040">
        <v>226.34</v>
      </c>
      <c r="GL787" s="2040">
        <v>226.34</v>
      </c>
      <c r="GO787" s="2040">
        <v>43.05</v>
      </c>
      <c r="GP787" s="2040">
        <v>43.05</v>
      </c>
      <c r="GQ787" s="2040">
        <v>38.130000000000003</v>
      </c>
      <c r="GR787" s="2040">
        <v>38.130000000000003</v>
      </c>
      <c r="GS787" s="2040">
        <v>38.130000000000003</v>
      </c>
      <c r="GT787" s="2040">
        <v>36.79</v>
      </c>
      <c r="GU787" s="2040">
        <v>36.79</v>
      </c>
      <c r="GV787" s="2040">
        <v>36.979999999999997</v>
      </c>
      <c r="GW787" s="2040">
        <v>216.07</v>
      </c>
      <c r="GX787" s="2040">
        <v>216.07</v>
      </c>
      <c r="HA787" s="2040">
        <v>30</v>
      </c>
      <c r="HB787" s="2040">
        <v>30</v>
      </c>
      <c r="HC787" s="2040">
        <v>23.88</v>
      </c>
      <c r="HD787" s="2040">
        <v>23.88</v>
      </c>
      <c r="HE787" s="2040">
        <v>24.49</v>
      </c>
      <c r="HF787" s="2040">
        <v>24.49</v>
      </c>
      <c r="HG787" s="2040">
        <v>24.49</v>
      </c>
      <c r="HH787" s="2040">
        <v>24.49</v>
      </c>
      <c r="HI787" s="2040">
        <v>24.49</v>
      </c>
      <c r="HJ787" s="2040">
        <v>24.49</v>
      </c>
      <c r="HK787" s="2040">
        <v>24.59</v>
      </c>
      <c r="HL787" s="2040">
        <v>24.73</v>
      </c>
      <c r="HM787" s="2040">
        <v>42.04</v>
      </c>
      <c r="HN787" s="2040">
        <v>42.04</v>
      </c>
      <c r="HO787" s="2040">
        <v>33.770000000000003</v>
      </c>
      <c r="HP787" s="2040">
        <v>33.770000000000003</v>
      </c>
      <c r="HQ787" s="2040">
        <v>34.65</v>
      </c>
      <c r="HR787" s="2040">
        <v>34.65</v>
      </c>
      <c r="HS787" s="2040">
        <v>34.65</v>
      </c>
      <c r="HT787" s="2040">
        <v>34.65</v>
      </c>
      <c r="HU787" s="2040">
        <v>34.65</v>
      </c>
      <c r="HV787" s="2040">
        <v>34.65</v>
      </c>
      <c r="HW787" s="2040">
        <v>34.72</v>
      </c>
      <c r="HX787" s="2040">
        <v>34.72</v>
      </c>
    </row>
    <row r="788" spans="1:232" s="2040" customFormat="1" ht="14" x14ac:dyDescent="0.3">
      <c r="B788" s="2504">
        <v>89</v>
      </c>
      <c r="C788" s="2505">
        <v>47.61</v>
      </c>
      <c r="D788" s="2505">
        <v>47.61</v>
      </c>
      <c r="E788" s="2505">
        <v>47.67</v>
      </c>
      <c r="F788" s="2505">
        <v>47.67</v>
      </c>
      <c r="G788" s="2505">
        <v>186.22</v>
      </c>
      <c r="H788" s="2505">
        <v>186.22</v>
      </c>
      <c r="I788" s="2505">
        <v>177.28</v>
      </c>
      <c r="J788" s="2505">
        <v>177.28</v>
      </c>
      <c r="K788" s="2505">
        <v>181.01</v>
      </c>
      <c r="L788" s="2505">
        <v>181.01</v>
      </c>
      <c r="M788" s="2505"/>
      <c r="N788" s="2505"/>
      <c r="O788" s="2505">
        <v>149.15</v>
      </c>
      <c r="P788" s="2505">
        <v>149.15</v>
      </c>
      <c r="Q788" s="2505">
        <v>148.59</v>
      </c>
      <c r="R788" s="2505">
        <v>149.15</v>
      </c>
      <c r="S788" s="2505">
        <v>280.02999999999997</v>
      </c>
      <c r="T788" s="2505">
        <v>279.81</v>
      </c>
      <c r="U788" s="2505">
        <v>270.10000000000002</v>
      </c>
      <c r="V788" s="2505">
        <v>270.10000000000002</v>
      </c>
      <c r="W788" s="2505">
        <v>279.81</v>
      </c>
      <c r="X788" s="2505">
        <v>279.81</v>
      </c>
      <c r="Y788" s="2505">
        <v>270.10000000000002</v>
      </c>
      <c r="Z788" s="2505">
        <v>279.81</v>
      </c>
      <c r="AA788" s="2505">
        <v>279.81</v>
      </c>
      <c r="AB788" s="2505">
        <v>279.81</v>
      </c>
      <c r="AC788" s="2505">
        <v>270.10000000000002</v>
      </c>
      <c r="AD788" s="2505">
        <v>270.10000000000002</v>
      </c>
      <c r="AE788" s="2505">
        <v>291.33999999999997</v>
      </c>
      <c r="AF788" s="2505">
        <v>282.94</v>
      </c>
      <c r="AG788" s="2505">
        <v>291.33999999999997</v>
      </c>
      <c r="AH788" s="2505">
        <v>291.33999999999997</v>
      </c>
      <c r="AI788" s="2505">
        <v>282.94</v>
      </c>
      <c r="AJ788" s="2505">
        <v>282.94</v>
      </c>
      <c r="AK788" s="2505">
        <v>283.26</v>
      </c>
      <c r="AL788" s="2505">
        <v>283.26</v>
      </c>
      <c r="AM788" s="2505">
        <v>78.81</v>
      </c>
      <c r="AN788" s="2505">
        <v>75.95</v>
      </c>
      <c r="AO788" s="2505">
        <v>75.95</v>
      </c>
      <c r="AP788" s="2505">
        <v>75.87</v>
      </c>
      <c r="AQ788" s="2505">
        <v>76.11</v>
      </c>
      <c r="AR788" s="2505">
        <v>76.11</v>
      </c>
      <c r="AS788" s="2505">
        <v>230.03</v>
      </c>
      <c r="AT788" s="2505">
        <v>230.03</v>
      </c>
      <c r="AU788" s="2505">
        <v>230.03</v>
      </c>
      <c r="AV788" s="2505">
        <v>235.04</v>
      </c>
      <c r="AW788" s="2505">
        <v>230.2</v>
      </c>
      <c r="AX788" s="2505">
        <v>230.2</v>
      </c>
      <c r="AY788" s="2505">
        <v>230.31</v>
      </c>
      <c r="AZ788" s="2505">
        <v>230.31</v>
      </c>
      <c r="BA788" s="2040">
        <v>100.56</v>
      </c>
      <c r="BB788" s="2040">
        <v>100.56</v>
      </c>
      <c r="BC788" s="2040">
        <v>25.66</v>
      </c>
      <c r="BD788" s="2040">
        <v>25.8</v>
      </c>
      <c r="BE788" s="2040">
        <v>28.33</v>
      </c>
      <c r="BF788" s="2040">
        <v>28.33</v>
      </c>
      <c r="BG788" s="2040">
        <v>25.71</v>
      </c>
      <c r="BH788" s="2040">
        <v>25.71</v>
      </c>
      <c r="BI788" s="2040">
        <v>25.5</v>
      </c>
      <c r="BJ788" s="2040">
        <v>25.5</v>
      </c>
      <c r="BK788" s="2040">
        <v>25.5</v>
      </c>
      <c r="BL788" s="2040">
        <v>25.5</v>
      </c>
      <c r="BM788" s="2040">
        <v>57.59</v>
      </c>
      <c r="BN788" s="2040">
        <v>57.59</v>
      </c>
      <c r="BO788" s="2040">
        <v>181.65</v>
      </c>
      <c r="BP788" s="2040">
        <v>181.65</v>
      </c>
      <c r="BQ788" s="2040">
        <v>181.65</v>
      </c>
      <c r="BR788" s="2040">
        <v>181.65</v>
      </c>
      <c r="BS788" s="2040">
        <v>236.52</v>
      </c>
      <c r="BT788" s="2040">
        <v>236.52</v>
      </c>
      <c r="BU788" s="2040">
        <v>236.52</v>
      </c>
      <c r="BV788" s="2040">
        <v>236.52</v>
      </c>
      <c r="BW788" s="2040">
        <v>236.52</v>
      </c>
      <c r="BX788" s="2040">
        <v>236.52</v>
      </c>
      <c r="BY788" s="2040">
        <v>52.27</v>
      </c>
      <c r="BZ788" s="2040">
        <v>52.27</v>
      </c>
      <c r="CA788" s="2040">
        <v>173.99</v>
      </c>
      <c r="CB788" s="2040">
        <v>173.99</v>
      </c>
      <c r="CC788" s="2040">
        <v>176.65</v>
      </c>
      <c r="CD788" s="2040">
        <v>176.65</v>
      </c>
      <c r="CE788" s="2040">
        <v>233.28</v>
      </c>
      <c r="CF788" s="2040">
        <v>233.28</v>
      </c>
      <c r="CK788" s="2040">
        <v>129.75</v>
      </c>
      <c r="CL788" s="2040">
        <v>129.75</v>
      </c>
      <c r="CM788" s="2040">
        <v>261.17</v>
      </c>
      <c r="CN788" s="2040">
        <v>261.17</v>
      </c>
      <c r="CO788" s="2040">
        <v>338.7</v>
      </c>
      <c r="CP788" s="2040">
        <v>338.7</v>
      </c>
      <c r="CQ788" s="2040">
        <v>338.7</v>
      </c>
      <c r="CR788" s="2040">
        <v>338.7</v>
      </c>
      <c r="CW788" s="2040">
        <v>121.53</v>
      </c>
      <c r="CX788" s="2040">
        <v>121.53</v>
      </c>
      <c r="CY788" s="2040">
        <v>252.9</v>
      </c>
      <c r="CZ788" s="2040">
        <v>252.9</v>
      </c>
      <c r="DA788" s="2040">
        <v>252.9</v>
      </c>
      <c r="DB788" s="2040">
        <v>252.9</v>
      </c>
      <c r="DC788" s="2040">
        <v>328.27</v>
      </c>
      <c r="DD788" s="2040">
        <v>328.27</v>
      </c>
      <c r="DE788" s="2040">
        <v>328.27</v>
      </c>
      <c r="DF788" s="2040">
        <v>328.27</v>
      </c>
      <c r="DI788" s="2040">
        <v>32.090000000000003</v>
      </c>
      <c r="DJ788" s="2040">
        <v>32.090000000000003</v>
      </c>
      <c r="DK788" s="2040">
        <v>32.090000000000003</v>
      </c>
      <c r="DL788" s="2040">
        <v>32.090000000000003</v>
      </c>
      <c r="DM788" s="2040">
        <v>32.090000000000003</v>
      </c>
      <c r="DN788" s="2040">
        <v>32.090000000000003</v>
      </c>
      <c r="DU788" s="2040">
        <v>14.29</v>
      </c>
      <c r="DV788" s="2040">
        <v>14.29</v>
      </c>
      <c r="DW788" s="2040">
        <v>13.84</v>
      </c>
      <c r="DX788" s="2040">
        <v>13.84</v>
      </c>
      <c r="DY788" s="2040">
        <v>13.84</v>
      </c>
      <c r="DZ788" s="2040">
        <v>13.84</v>
      </c>
      <c r="EG788" s="2040">
        <v>15.31</v>
      </c>
      <c r="EH788" s="2040">
        <v>15.47</v>
      </c>
      <c r="EI788" s="2040">
        <v>12.74</v>
      </c>
      <c r="EJ788" s="2040">
        <v>12.74</v>
      </c>
      <c r="EK788" s="2040">
        <v>12.74</v>
      </c>
      <c r="EL788" s="2040">
        <v>12.74</v>
      </c>
      <c r="EM788" s="2040">
        <v>13.28</v>
      </c>
      <c r="EN788" s="2040">
        <v>13.28</v>
      </c>
      <c r="EO788" s="2040">
        <v>12.64</v>
      </c>
      <c r="EP788" s="2040">
        <v>12.64</v>
      </c>
      <c r="EQ788" s="2040">
        <v>13.01</v>
      </c>
      <c r="ER788" s="2040">
        <v>12.83</v>
      </c>
      <c r="ES788" s="2040">
        <v>58.72</v>
      </c>
      <c r="ET788" s="2040">
        <v>58.72</v>
      </c>
      <c r="EU788" s="2040">
        <v>259.54000000000002</v>
      </c>
      <c r="EV788" s="2040">
        <v>259.54000000000002</v>
      </c>
      <c r="EW788" s="2040">
        <v>254.07</v>
      </c>
      <c r="EX788" s="2040">
        <v>254.07</v>
      </c>
      <c r="EY788" s="2506">
        <f t="shared" si="60"/>
        <v>256.80500000000001</v>
      </c>
      <c r="EZ788" s="2506">
        <f t="shared" si="60"/>
        <v>256.80500000000001</v>
      </c>
      <c r="FA788" s="2040">
        <v>256.91000000000003</v>
      </c>
      <c r="FB788" s="2040">
        <v>256.91000000000003</v>
      </c>
      <c r="FE788" s="2040">
        <v>50.51</v>
      </c>
      <c r="FF788" s="2040">
        <v>50.51</v>
      </c>
      <c r="FG788" s="2040">
        <v>218.88</v>
      </c>
      <c r="FH788" s="2040">
        <v>218.88</v>
      </c>
      <c r="FI788" s="2040">
        <v>218.88</v>
      </c>
      <c r="FJ788" s="2040">
        <v>219.98</v>
      </c>
      <c r="FK788" s="2040">
        <v>218.53</v>
      </c>
      <c r="FL788" s="2040">
        <v>218.53</v>
      </c>
      <c r="FM788" s="2040">
        <v>219.03</v>
      </c>
      <c r="FN788" s="2040">
        <v>219.03</v>
      </c>
      <c r="FQ788" s="2040">
        <v>114.12</v>
      </c>
      <c r="FR788" s="2040">
        <v>114.12</v>
      </c>
      <c r="FS788" s="2040">
        <v>230.39</v>
      </c>
      <c r="FT788" s="2040">
        <v>230.39</v>
      </c>
      <c r="FU788" s="2040">
        <v>230.39</v>
      </c>
      <c r="FV788" s="2040">
        <v>230.39</v>
      </c>
      <c r="FW788" s="2040">
        <v>230.67</v>
      </c>
      <c r="FX788" s="2040">
        <v>230.67</v>
      </c>
      <c r="GC788" s="2040">
        <v>80.59</v>
      </c>
      <c r="GD788" s="2040">
        <v>80.59</v>
      </c>
      <c r="GE788" s="2040">
        <v>180.64</v>
      </c>
      <c r="GF788" s="2040">
        <v>180.64</v>
      </c>
      <c r="GG788" s="2040">
        <v>180.64</v>
      </c>
      <c r="GH788" s="2040">
        <v>180.64</v>
      </c>
      <c r="GI788" s="2040">
        <v>204.57</v>
      </c>
      <c r="GJ788" s="2040">
        <v>204.57</v>
      </c>
      <c r="GK788" s="2040">
        <v>227.07</v>
      </c>
      <c r="GL788" s="2040">
        <v>227.07</v>
      </c>
      <c r="GO788" s="2040">
        <v>43.16</v>
      </c>
      <c r="GP788" s="2040">
        <v>43.16</v>
      </c>
      <c r="GQ788" s="2040">
        <v>38.270000000000003</v>
      </c>
      <c r="GR788" s="2040">
        <v>38.270000000000003</v>
      </c>
      <c r="GS788" s="2040">
        <v>38.270000000000003</v>
      </c>
      <c r="GT788" s="2040">
        <v>36.92</v>
      </c>
      <c r="GU788" s="2040">
        <v>36.92</v>
      </c>
      <c r="GV788" s="2040">
        <v>37.11</v>
      </c>
      <c r="GW788" s="2040">
        <v>216.81</v>
      </c>
      <c r="GX788" s="2040">
        <v>216.81</v>
      </c>
      <c r="HA788" s="2040">
        <v>30.07</v>
      </c>
      <c r="HB788" s="2040">
        <v>30.07</v>
      </c>
      <c r="HC788" s="2040">
        <v>23.98</v>
      </c>
      <c r="HD788" s="2040">
        <v>23.98</v>
      </c>
      <c r="HE788" s="2040">
        <v>24.59</v>
      </c>
      <c r="HF788" s="2040">
        <v>24.59</v>
      </c>
      <c r="HG788" s="2040">
        <v>24.59</v>
      </c>
      <c r="HH788" s="2040">
        <v>24.59</v>
      </c>
      <c r="HI788" s="2040">
        <v>24.59</v>
      </c>
      <c r="HJ788" s="2040">
        <v>24.59</v>
      </c>
      <c r="HK788" s="2040">
        <v>24.68</v>
      </c>
      <c r="HL788" s="2040">
        <v>24.83</v>
      </c>
      <c r="HM788" s="2040">
        <v>42.14</v>
      </c>
      <c r="HN788" s="2040">
        <v>42.14</v>
      </c>
      <c r="HO788" s="2040">
        <v>33.909999999999997</v>
      </c>
      <c r="HP788" s="2040">
        <v>33.909999999999997</v>
      </c>
      <c r="HQ788" s="2040">
        <v>34.79</v>
      </c>
      <c r="HR788" s="2040">
        <v>34.79</v>
      </c>
      <c r="HS788" s="2040">
        <v>34.79</v>
      </c>
      <c r="HT788" s="2040">
        <v>34.79</v>
      </c>
      <c r="HU788" s="2040">
        <v>34.79</v>
      </c>
      <c r="HV788" s="2040">
        <v>34.79</v>
      </c>
      <c r="HW788" s="2040">
        <v>34.85</v>
      </c>
      <c r="HX788" s="2040">
        <v>34.85</v>
      </c>
    </row>
    <row r="789" spans="1:232" s="2040" customFormat="1" ht="14" x14ac:dyDescent="0.3">
      <c r="B789" s="2504">
        <v>90</v>
      </c>
      <c r="C789" s="2505">
        <v>47.72</v>
      </c>
      <c r="D789" s="2505">
        <v>47.72</v>
      </c>
      <c r="E789" s="2505">
        <v>47.78</v>
      </c>
      <c r="F789" s="2505">
        <v>47.78</v>
      </c>
      <c r="G789" s="2505">
        <v>186.75</v>
      </c>
      <c r="H789" s="2505">
        <v>186.75</v>
      </c>
      <c r="I789" s="2505">
        <v>177.84</v>
      </c>
      <c r="J789" s="2505">
        <v>177.84</v>
      </c>
      <c r="K789" s="2505">
        <v>181.5</v>
      </c>
      <c r="L789" s="2505">
        <v>181.5</v>
      </c>
      <c r="M789" s="2505"/>
      <c r="N789" s="2505"/>
      <c r="O789" s="2505">
        <v>149.5</v>
      </c>
      <c r="P789" s="2505">
        <v>149.5</v>
      </c>
      <c r="Q789" s="2505">
        <v>148.94</v>
      </c>
      <c r="R789" s="2505">
        <v>149.5</v>
      </c>
      <c r="S789" s="2505">
        <v>280.96999999999997</v>
      </c>
      <c r="T789" s="2505">
        <v>280.75</v>
      </c>
      <c r="U789" s="2505">
        <v>271.01</v>
      </c>
      <c r="V789" s="2505">
        <v>271.01</v>
      </c>
      <c r="W789" s="2505">
        <v>280.75</v>
      </c>
      <c r="X789" s="2505">
        <v>280.75</v>
      </c>
      <c r="Y789" s="2505">
        <v>271.01</v>
      </c>
      <c r="Z789" s="2505">
        <v>280.75</v>
      </c>
      <c r="AA789" s="2505">
        <v>280.75</v>
      </c>
      <c r="AB789" s="2505">
        <v>280.75</v>
      </c>
      <c r="AC789" s="2505">
        <v>271.01</v>
      </c>
      <c r="AD789" s="2505">
        <v>271.01</v>
      </c>
      <c r="AE789" s="2505">
        <v>292.17</v>
      </c>
      <c r="AF789" s="2505">
        <v>283.76</v>
      </c>
      <c r="AG789" s="2505">
        <v>292.17</v>
      </c>
      <c r="AH789" s="2505">
        <v>292.17</v>
      </c>
      <c r="AI789" s="2505">
        <v>283.76</v>
      </c>
      <c r="AJ789" s="2505">
        <v>283.76</v>
      </c>
      <c r="AK789" s="2505">
        <v>284.07</v>
      </c>
      <c r="AL789" s="2505">
        <v>284.07</v>
      </c>
      <c r="AM789" s="2505">
        <v>78.989999999999995</v>
      </c>
      <c r="AN789" s="2505">
        <v>76.13</v>
      </c>
      <c r="AO789" s="2505">
        <v>76.13</v>
      </c>
      <c r="AP789" s="2505">
        <v>76.05</v>
      </c>
      <c r="AQ789" s="2505">
        <v>76.28</v>
      </c>
      <c r="AR789" s="2505">
        <v>76.28</v>
      </c>
      <c r="AS789" s="2505">
        <v>230.71</v>
      </c>
      <c r="AT789" s="2505">
        <v>230.71</v>
      </c>
      <c r="AU789" s="2505">
        <v>230.71</v>
      </c>
      <c r="AV789" s="2505">
        <v>235.74</v>
      </c>
      <c r="AW789" s="2505">
        <v>230.88</v>
      </c>
      <c r="AX789" s="2505">
        <v>230.88</v>
      </c>
      <c r="AY789" s="2505">
        <v>230.99</v>
      </c>
      <c r="AZ789" s="2505">
        <v>230.99</v>
      </c>
      <c r="BA789" s="2040">
        <v>100.87</v>
      </c>
      <c r="BB789" s="2040">
        <v>100.87</v>
      </c>
      <c r="BC789" s="2040">
        <v>25.76</v>
      </c>
      <c r="BD789" s="2040">
        <v>25.89</v>
      </c>
      <c r="BE789" s="2040">
        <v>28.4</v>
      </c>
      <c r="BF789" s="2040">
        <v>28.4</v>
      </c>
      <c r="BG789" s="2040">
        <v>25.81</v>
      </c>
      <c r="BH789" s="2040">
        <v>25.81</v>
      </c>
      <c r="BI789" s="2040">
        <v>25.59</v>
      </c>
      <c r="BJ789" s="2040">
        <v>25.59</v>
      </c>
      <c r="BK789" s="2040">
        <v>25.59</v>
      </c>
      <c r="BL789" s="2040">
        <v>25.59</v>
      </c>
      <c r="BM789" s="2040">
        <v>57.72</v>
      </c>
      <c r="BN789" s="2040">
        <v>57.72</v>
      </c>
      <c r="BO789" s="2040">
        <v>182.14</v>
      </c>
      <c r="BP789" s="2040">
        <v>182.14</v>
      </c>
      <c r="BQ789" s="2040">
        <v>182.14</v>
      </c>
      <c r="BR789" s="2040">
        <v>182.14</v>
      </c>
      <c r="BS789" s="2040">
        <v>237.29</v>
      </c>
      <c r="BT789" s="2040">
        <v>237.29</v>
      </c>
      <c r="BU789" s="2040">
        <v>237.29</v>
      </c>
      <c r="BV789" s="2040">
        <v>237.29</v>
      </c>
      <c r="BW789" s="2040">
        <v>237.29</v>
      </c>
      <c r="BX789" s="2040">
        <v>237.29</v>
      </c>
      <c r="BY789" s="2040">
        <v>52.4</v>
      </c>
      <c r="BZ789" s="2040">
        <v>52.4</v>
      </c>
      <c r="CA789" s="2040">
        <v>174.47</v>
      </c>
      <c r="CB789" s="2040">
        <v>174.47</v>
      </c>
      <c r="CC789" s="2040">
        <v>177.15</v>
      </c>
      <c r="CD789" s="2040">
        <v>177.15</v>
      </c>
      <c r="CE789" s="2040">
        <v>234.05</v>
      </c>
      <c r="CF789" s="2040">
        <v>234.05</v>
      </c>
      <c r="CK789" s="2040">
        <v>130.04</v>
      </c>
      <c r="CL789" s="2040">
        <v>130.04</v>
      </c>
      <c r="CM789" s="2040">
        <v>261.68</v>
      </c>
      <c r="CN789" s="2040">
        <v>261.68</v>
      </c>
      <c r="CO789" s="2040">
        <v>339.54</v>
      </c>
      <c r="CP789" s="2040">
        <v>339.54</v>
      </c>
      <c r="CQ789" s="2040">
        <v>339.54</v>
      </c>
      <c r="CR789" s="2040">
        <v>339.54</v>
      </c>
      <c r="CW789" s="2040">
        <v>121.82</v>
      </c>
      <c r="CX789" s="2040">
        <v>121.82</v>
      </c>
      <c r="CY789" s="2040">
        <v>253.41</v>
      </c>
      <c r="CZ789" s="2040">
        <v>253.41</v>
      </c>
      <c r="DA789" s="2040">
        <v>253.41</v>
      </c>
      <c r="DB789" s="2040">
        <v>253.41</v>
      </c>
      <c r="DC789" s="2040">
        <v>329.12</v>
      </c>
      <c r="DD789" s="2040">
        <v>329.12</v>
      </c>
      <c r="DE789" s="2040">
        <v>329.12</v>
      </c>
      <c r="DF789" s="2040">
        <v>329.12</v>
      </c>
      <c r="DI789" s="2040">
        <v>32.17</v>
      </c>
      <c r="DJ789" s="2040">
        <v>32.17</v>
      </c>
      <c r="DK789" s="2040">
        <v>32.17</v>
      </c>
      <c r="DL789" s="2040">
        <v>32.17</v>
      </c>
      <c r="DM789" s="2040">
        <v>32.17</v>
      </c>
      <c r="DN789" s="2040">
        <v>32.17</v>
      </c>
      <c r="DU789" s="2040">
        <v>14.32</v>
      </c>
      <c r="DV789" s="2040">
        <v>14.32</v>
      </c>
      <c r="DW789" s="2040">
        <v>13.89</v>
      </c>
      <c r="DX789" s="2040">
        <v>13.89</v>
      </c>
      <c r="DY789" s="2040">
        <v>13.89</v>
      </c>
      <c r="DZ789" s="2040">
        <v>13.89</v>
      </c>
      <c r="EG789" s="2040">
        <v>15.35</v>
      </c>
      <c r="EH789" s="2040">
        <v>15.51</v>
      </c>
      <c r="EI789" s="2040">
        <v>12.78</v>
      </c>
      <c r="EJ789" s="2040">
        <v>12.78</v>
      </c>
      <c r="EK789" s="2040">
        <v>12.79</v>
      </c>
      <c r="EL789" s="2040">
        <v>12.79</v>
      </c>
      <c r="EM789" s="2040">
        <v>13.32</v>
      </c>
      <c r="EN789" s="2040">
        <v>13.32</v>
      </c>
      <c r="EO789" s="2040">
        <v>12.69</v>
      </c>
      <c r="EP789" s="2040">
        <v>12.69</v>
      </c>
      <c r="EQ789" s="2040">
        <v>13.06</v>
      </c>
      <c r="ER789" s="2040">
        <v>12.87</v>
      </c>
      <c r="ES789" s="2040">
        <v>58.86</v>
      </c>
      <c r="ET789" s="2040">
        <v>58.86</v>
      </c>
      <c r="EU789" s="2040">
        <v>260.39</v>
      </c>
      <c r="EV789" s="2040">
        <v>260.39</v>
      </c>
      <c r="EW789" s="2040">
        <v>254.92</v>
      </c>
      <c r="EX789" s="2040">
        <v>254.92</v>
      </c>
      <c r="EY789" s="2506">
        <f t="shared" si="60"/>
        <v>257.65499999999997</v>
      </c>
      <c r="EZ789" s="2506">
        <f t="shared" si="60"/>
        <v>257.65499999999997</v>
      </c>
      <c r="FA789" s="2040">
        <v>257.72000000000003</v>
      </c>
      <c r="FB789" s="2040">
        <v>257.72000000000003</v>
      </c>
      <c r="FE789" s="2040">
        <v>50.63</v>
      </c>
      <c r="FF789" s="2040">
        <v>50.63</v>
      </c>
      <c r="FG789" s="2040">
        <v>219.62</v>
      </c>
      <c r="FH789" s="2040">
        <v>219.62</v>
      </c>
      <c r="FI789" s="2040">
        <v>219.62</v>
      </c>
      <c r="FJ789" s="2040">
        <v>220.7</v>
      </c>
      <c r="FK789" s="2040">
        <v>219.28</v>
      </c>
      <c r="FL789" s="2040">
        <v>219.28</v>
      </c>
      <c r="FM789" s="2040">
        <v>219.76</v>
      </c>
      <c r="FN789" s="2040">
        <v>219.76</v>
      </c>
      <c r="FQ789" s="2040">
        <v>114.4</v>
      </c>
      <c r="FR789" s="2040">
        <v>114.4</v>
      </c>
      <c r="FS789" s="2040">
        <v>231.03</v>
      </c>
      <c r="FT789" s="2040">
        <v>231.03</v>
      </c>
      <c r="FU789" s="2040">
        <v>231.03</v>
      </c>
      <c r="FV789" s="2040">
        <v>231.03</v>
      </c>
      <c r="FW789" s="2040">
        <v>231.3</v>
      </c>
      <c r="FX789" s="2040">
        <v>231.3</v>
      </c>
      <c r="GC789" s="2040">
        <v>80.78</v>
      </c>
      <c r="GD789" s="2040">
        <v>80.78</v>
      </c>
      <c r="GE789" s="2040">
        <v>181.03</v>
      </c>
      <c r="GF789" s="2040">
        <v>181.03</v>
      </c>
      <c r="GG789" s="2040">
        <v>181.03</v>
      </c>
      <c r="GH789" s="2040">
        <v>181.03</v>
      </c>
      <c r="GI789" s="2040">
        <v>205.46</v>
      </c>
      <c r="GJ789" s="2040">
        <v>205.46</v>
      </c>
      <c r="GK789" s="2040">
        <v>227.78</v>
      </c>
      <c r="GL789" s="2040">
        <v>227.78</v>
      </c>
      <c r="GO789" s="2040">
        <v>43.26</v>
      </c>
      <c r="GP789" s="2040">
        <v>43.26</v>
      </c>
      <c r="GQ789" s="2040">
        <v>38.4</v>
      </c>
      <c r="GR789" s="2040">
        <v>38.4</v>
      </c>
      <c r="GS789" s="2040">
        <v>38.4</v>
      </c>
      <c r="GT789" s="2040">
        <v>37.049999999999997</v>
      </c>
      <c r="GU789" s="2040">
        <v>37.049999999999997</v>
      </c>
      <c r="GV789" s="2040">
        <v>37.229999999999997</v>
      </c>
      <c r="GW789" s="2040">
        <v>217.53</v>
      </c>
      <c r="GX789" s="2040">
        <v>217.53</v>
      </c>
      <c r="HA789" s="2040">
        <v>30.14</v>
      </c>
      <c r="HB789" s="2040">
        <v>30.14</v>
      </c>
      <c r="HC789" s="2040">
        <v>24.09</v>
      </c>
      <c r="HD789" s="2040">
        <v>24.09</v>
      </c>
      <c r="HE789" s="2040">
        <v>24.69</v>
      </c>
      <c r="HF789" s="2040">
        <v>24.69</v>
      </c>
      <c r="HG789" s="2040">
        <v>24.69</v>
      </c>
      <c r="HH789" s="2040">
        <v>24.69</v>
      </c>
      <c r="HI789" s="2040">
        <v>24.69</v>
      </c>
      <c r="HJ789" s="2040">
        <v>24.69</v>
      </c>
      <c r="HK789" s="2040">
        <v>24.78</v>
      </c>
      <c r="HL789" s="2040">
        <v>24.92</v>
      </c>
      <c r="HM789" s="2040">
        <v>42.24</v>
      </c>
      <c r="HN789" s="2040">
        <v>42.24</v>
      </c>
      <c r="HO789" s="2040">
        <v>34.049999999999997</v>
      </c>
      <c r="HP789" s="2040">
        <v>34.049999999999997</v>
      </c>
      <c r="HQ789" s="2040">
        <v>34.92</v>
      </c>
      <c r="HR789" s="2040">
        <v>34.92</v>
      </c>
      <c r="HS789" s="2040">
        <v>34.92</v>
      </c>
      <c r="HT789" s="2040">
        <v>34.92</v>
      </c>
      <c r="HU789" s="2040">
        <v>34.92</v>
      </c>
      <c r="HV789" s="2040">
        <v>34.92</v>
      </c>
      <c r="HW789" s="2040">
        <v>34.99</v>
      </c>
      <c r="HX789" s="2040">
        <v>34.99</v>
      </c>
    </row>
    <row r="790" spans="1:232" s="2040" customFormat="1" ht="14" x14ac:dyDescent="0.3">
      <c r="B790" s="2504">
        <v>91</v>
      </c>
      <c r="C790" s="2505">
        <v>47.83</v>
      </c>
      <c r="D790" s="2505">
        <v>47.83</v>
      </c>
      <c r="E790" s="2505">
        <v>47.89</v>
      </c>
      <c r="F790" s="2505">
        <v>47.89</v>
      </c>
      <c r="G790" s="2505">
        <v>187.28</v>
      </c>
      <c r="H790" s="2505">
        <v>187.28</v>
      </c>
      <c r="I790" s="2505">
        <v>178.39</v>
      </c>
      <c r="J790" s="2505">
        <v>178.39</v>
      </c>
      <c r="K790" s="2505">
        <v>181.98</v>
      </c>
      <c r="L790" s="2505">
        <v>181.98</v>
      </c>
      <c r="M790" s="2505"/>
      <c r="N790" s="2505"/>
      <c r="O790" s="2505">
        <v>149.84</v>
      </c>
      <c r="P790" s="2505">
        <v>149.84</v>
      </c>
      <c r="Q790" s="2505">
        <v>149.27000000000001</v>
      </c>
      <c r="R790" s="2505">
        <v>149.85</v>
      </c>
      <c r="S790" s="2505">
        <v>281.89</v>
      </c>
      <c r="T790" s="2505">
        <v>281.68</v>
      </c>
      <c r="U790" s="2505">
        <v>271.89999999999998</v>
      </c>
      <c r="V790" s="2505">
        <v>271.89999999999998</v>
      </c>
      <c r="W790" s="2505">
        <v>281.68</v>
      </c>
      <c r="X790" s="2505">
        <v>281.68</v>
      </c>
      <c r="Y790" s="2505">
        <v>271.89999999999998</v>
      </c>
      <c r="Z790" s="2505">
        <v>281.68</v>
      </c>
      <c r="AA790" s="2505">
        <v>281.68</v>
      </c>
      <c r="AB790" s="2505">
        <v>281.68</v>
      </c>
      <c r="AC790" s="2505">
        <v>271.89999999999998</v>
      </c>
      <c r="AD790" s="2505">
        <v>271.89999999999998</v>
      </c>
      <c r="AE790" s="2505">
        <v>293</v>
      </c>
      <c r="AF790" s="2505">
        <v>284.56</v>
      </c>
      <c r="AG790" s="2505">
        <v>293</v>
      </c>
      <c r="AH790" s="2505">
        <v>293</v>
      </c>
      <c r="AI790" s="2505">
        <v>284.56</v>
      </c>
      <c r="AJ790" s="2505">
        <v>284.56</v>
      </c>
      <c r="AK790" s="2505">
        <v>284.86</v>
      </c>
      <c r="AL790" s="2505">
        <v>284.86</v>
      </c>
      <c r="AM790" s="2505">
        <v>79.17</v>
      </c>
      <c r="AN790" s="2505">
        <v>76.3</v>
      </c>
      <c r="AO790" s="2505">
        <v>76.3</v>
      </c>
      <c r="AP790" s="2505">
        <v>76.22</v>
      </c>
      <c r="AQ790" s="2505">
        <v>76.45</v>
      </c>
      <c r="AR790" s="2505">
        <v>76.45</v>
      </c>
      <c r="AS790" s="2505">
        <v>231.38</v>
      </c>
      <c r="AT790" s="2505">
        <v>231.38</v>
      </c>
      <c r="AU790" s="2505">
        <v>231.38</v>
      </c>
      <c r="AV790" s="2505">
        <v>236.42</v>
      </c>
      <c r="AW790" s="2505">
        <v>231.54</v>
      </c>
      <c r="AX790" s="2505">
        <v>231.54</v>
      </c>
      <c r="AY790" s="2505">
        <v>231.66</v>
      </c>
      <c r="AZ790" s="2505">
        <v>231.66</v>
      </c>
      <c r="BA790" s="2040">
        <v>101.18</v>
      </c>
      <c r="BB790" s="2040">
        <v>101.18</v>
      </c>
      <c r="BC790" s="2040">
        <v>25.85</v>
      </c>
      <c r="BD790" s="2040">
        <v>25.98</v>
      </c>
      <c r="BE790" s="2040">
        <v>28.46</v>
      </c>
      <c r="BF790" s="2040">
        <v>28.46</v>
      </c>
      <c r="BG790" s="2040">
        <v>25.9</v>
      </c>
      <c r="BH790" s="2040">
        <v>25.9</v>
      </c>
      <c r="BI790" s="2040">
        <v>25.68</v>
      </c>
      <c r="BJ790" s="2040">
        <v>25.68</v>
      </c>
      <c r="BK790" s="2040">
        <v>25.68</v>
      </c>
      <c r="BL790" s="2040">
        <v>25.68</v>
      </c>
      <c r="BM790" s="2040">
        <v>57.86</v>
      </c>
      <c r="BN790" s="2040">
        <v>57.86</v>
      </c>
      <c r="BO790" s="2040">
        <v>182.63</v>
      </c>
      <c r="BP790" s="2040">
        <v>182.63</v>
      </c>
      <c r="BQ790" s="2040">
        <v>182.63</v>
      </c>
      <c r="BR790" s="2040">
        <v>182.63</v>
      </c>
      <c r="BS790" s="2040">
        <v>238.04</v>
      </c>
      <c r="BT790" s="2040">
        <v>238.04</v>
      </c>
      <c r="BU790" s="2040">
        <v>238.04</v>
      </c>
      <c r="BV790" s="2040">
        <v>238.04</v>
      </c>
      <c r="BW790" s="2040">
        <v>238.04</v>
      </c>
      <c r="BX790" s="2040">
        <v>238.04</v>
      </c>
      <c r="BY790" s="2040">
        <v>52.52</v>
      </c>
      <c r="BZ790" s="2040">
        <v>52.52</v>
      </c>
      <c r="CA790" s="2040">
        <v>174.95</v>
      </c>
      <c r="CB790" s="2040">
        <v>174.95</v>
      </c>
      <c r="CC790" s="2040">
        <v>177.64</v>
      </c>
      <c r="CD790" s="2040">
        <v>177.64</v>
      </c>
      <c r="CE790" s="2040">
        <v>234.81</v>
      </c>
      <c r="CF790" s="2040">
        <v>234.81</v>
      </c>
      <c r="CK790" s="2040">
        <v>130.32</v>
      </c>
      <c r="CL790" s="2040">
        <v>130.32</v>
      </c>
      <c r="CM790" s="2040">
        <v>262.17</v>
      </c>
      <c r="CN790" s="2040">
        <v>262.17</v>
      </c>
      <c r="CO790" s="2040">
        <v>340.36</v>
      </c>
      <c r="CP790" s="2040">
        <v>340.36</v>
      </c>
      <c r="CQ790" s="2040">
        <v>340.36</v>
      </c>
      <c r="CR790" s="2040">
        <v>340.36</v>
      </c>
      <c r="CW790" s="2040">
        <v>122.1</v>
      </c>
      <c r="CX790" s="2040">
        <v>122.1</v>
      </c>
      <c r="CY790" s="2040">
        <v>253.92</v>
      </c>
      <c r="CZ790" s="2040">
        <v>253.92</v>
      </c>
      <c r="DA790" s="2040">
        <v>253.92</v>
      </c>
      <c r="DB790" s="2040">
        <v>253.92</v>
      </c>
      <c r="DC790" s="2040">
        <v>329.94</v>
      </c>
      <c r="DD790" s="2040">
        <v>329.94</v>
      </c>
      <c r="DE790" s="2040">
        <v>329.94</v>
      </c>
      <c r="DF790" s="2040">
        <v>329.94</v>
      </c>
      <c r="DI790" s="2040">
        <v>32.24</v>
      </c>
      <c r="DJ790" s="2040">
        <v>32.24</v>
      </c>
      <c r="DK790" s="2040">
        <v>32.24</v>
      </c>
      <c r="DL790" s="2040">
        <v>32.24</v>
      </c>
      <c r="DM790" s="2040">
        <v>32.24</v>
      </c>
      <c r="DN790" s="2040">
        <v>32.24</v>
      </c>
      <c r="DU790" s="2040">
        <v>14.36</v>
      </c>
      <c r="DV790" s="2040">
        <v>14.36</v>
      </c>
      <c r="DW790" s="2040">
        <v>13.94</v>
      </c>
      <c r="DX790" s="2040">
        <v>13.94</v>
      </c>
      <c r="DY790" s="2040">
        <v>13.94</v>
      </c>
      <c r="DZ790" s="2040">
        <v>13.94</v>
      </c>
      <c r="EG790" s="2040">
        <v>15.38</v>
      </c>
      <c r="EH790" s="2040">
        <v>15.54</v>
      </c>
      <c r="EI790" s="2040">
        <v>12.83</v>
      </c>
      <c r="EJ790" s="2040">
        <v>12.83</v>
      </c>
      <c r="EK790" s="2040">
        <v>12.84</v>
      </c>
      <c r="EL790" s="2040">
        <v>12.84</v>
      </c>
      <c r="EM790" s="2040">
        <v>13.37</v>
      </c>
      <c r="EN790" s="2040">
        <v>13.37</v>
      </c>
      <c r="EO790" s="2040">
        <v>12.73</v>
      </c>
      <c r="EP790" s="2040">
        <v>12.73</v>
      </c>
      <c r="EQ790" s="2040">
        <v>13.11</v>
      </c>
      <c r="ER790" s="2040">
        <v>12.91</v>
      </c>
      <c r="ES790" s="2040">
        <v>58.99</v>
      </c>
      <c r="ET790" s="2040">
        <v>58.99</v>
      </c>
      <c r="EU790" s="2040">
        <v>261.24</v>
      </c>
      <c r="EV790" s="2040">
        <v>261.24</v>
      </c>
      <c r="EW790" s="2040">
        <v>255.76</v>
      </c>
      <c r="EX790" s="2040">
        <v>255.76</v>
      </c>
      <c r="EY790" s="2506">
        <f t="shared" si="60"/>
        <v>258.5</v>
      </c>
      <c r="EZ790" s="2506">
        <f t="shared" si="60"/>
        <v>258.5</v>
      </c>
      <c r="FA790" s="2040">
        <v>258.52999999999997</v>
      </c>
      <c r="FB790" s="2040">
        <v>258.52999999999997</v>
      </c>
      <c r="FE790" s="2040">
        <v>50.75</v>
      </c>
      <c r="FF790" s="2040">
        <v>50.75</v>
      </c>
      <c r="FG790" s="2040">
        <v>220.34</v>
      </c>
      <c r="FH790" s="2040">
        <v>220.34</v>
      </c>
      <c r="FI790" s="2040">
        <v>220.34</v>
      </c>
      <c r="FJ790" s="2040">
        <v>221.4</v>
      </c>
      <c r="FK790" s="2040">
        <v>220.01</v>
      </c>
      <c r="FL790" s="2040">
        <v>220.01</v>
      </c>
      <c r="FM790" s="2040">
        <v>220.48</v>
      </c>
      <c r="FN790" s="2040">
        <v>220.48</v>
      </c>
      <c r="FQ790" s="2040">
        <v>114.66</v>
      </c>
      <c r="FR790" s="2040">
        <v>114.66</v>
      </c>
      <c r="FS790" s="2040">
        <v>231.66</v>
      </c>
      <c r="FT790" s="2040">
        <v>231.66</v>
      </c>
      <c r="FU790" s="2040">
        <v>231.66</v>
      </c>
      <c r="FV790" s="2040">
        <v>231.66</v>
      </c>
      <c r="FW790" s="2040">
        <v>231.92</v>
      </c>
      <c r="FX790" s="2040">
        <v>231.92</v>
      </c>
      <c r="GC790" s="2040">
        <v>80.97</v>
      </c>
      <c r="GD790" s="2040">
        <v>80.97</v>
      </c>
      <c r="GE790" s="2040">
        <v>181.41</v>
      </c>
      <c r="GF790" s="2040">
        <v>181.41</v>
      </c>
      <c r="GG790" s="2040">
        <v>181.41</v>
      </c>
      <c r="GH790" s="2040">
        <v>181.41</v>
      </c>
      <c r="GI790" s="2040">
        <v>206.33</v>
      </c>
      <c r="GJ790" s="2040">
        <v>206.33</v>
      </c>
      <c r="GK790" s="2040">
        <v>228.49</v>
      </c>
      <c r="GL790" s="2040">
        <v>228.49</v>
      </c>
      <c r="GO790" s="2040">
        <v>43.36</v>
      </c>
      <c r="GP790" s="2040">
        <v>43.36</v>
      </c>
      <c r="GQ790" s="2040">
        <v>38.53</v>
      </c>
      <c r="GR790" s="2040">
        <v>38.53</v>
      </c>
      <c r="GS790" s="2040">
        <v>38.53</v>
      </c>
      <c r="GT790" s="2040">
        <v>37.17</v>
      </c>
      <c r="GU790" s="2040">
        <v>37.17</v>
      </c>
      <c r="GV790" s="2040">
        <v>37.36</v>
      </c>
      <c r="GW790" s="2040">
        <v>218.24</v>
      </c>
      <c r="GX790" s="2040">
        <v>218.24</v>
      </c>
      <c r="HA790" s="2040">
        <v>30.21</v>
      </c>
      <c r="HB790" s="2040">
        <v>30.21</v>
      </c>
      <c r="HC790" s="2040">
        <v>24.19</v>
      </c>
      <c r="HD790" s="2040">
        <v>24.19</v>
      </c>
      <c r="HE790" s="2040">
        <v>24.78</v>
      </c>
      <c r="HF790" s="2040">
        <v>24.78</v>
      </c>
      <c r="HG790" s="2040">
        <v>24.78</v>
      </c>
      <c r="HH790" s="2040">
        <v>24.78</v>
      </c>
      <c r="HI790" s="2040">
        <v>24.78</v>
      </c>
      <c r="HJ790" s="2040">
        <v>24.78</v>
      </c>
      <c r="HK790" s="2040">
        <v>24.88</v>
      </c>
      <c r="HL790" s="2040">
        <v>25.01</v>
      </c>
      <c r="HM790" s="2040">
        <v>42.34</v>
      </c>
      <c r="HN790" s="2040">
        <v>42.34</v>
      </c>
      <c r="HO790" s="2040">
        <v>34.19</v>
      </c>
      <c r="HP790" s="2040">
        <v>34.19</v>
      </c>
      <c r="HQ790" s="2040">
        <v>35.049999999999997</v>
      </c>
      <c r="HR790" s="2040">
        <v>35.049999999999997</v>
      </c>
      <c r="HS790" s="2040">
        <v>35.049999999999997</v>
      </c>
      <c r="HT790" s="2040">
        <v>35.049999999999997</v>
      </c>
      <c r="HU790" s="2040">
        <v>35.049999999999997</v>
      </c>
      <c r="HV790" s="2040">
        <v>35.049999999999997</v>
      </c>
      <c r="HW790" s="2040">
        <v>35.119999999999997</v>
      </c>
      <c r="HX790" s="2040">
        <v>35.119999999999997</v>
      </c>
    </row>
    <row r="791" spans="1:232" s="2040" customFormat="1" ht="14" x14ac:dyDescent="0.3">
      <c r="B791" s="2504">
        <v>92</v>
      </c>
      <c r="C791" s="2505">
        <v>47.93</v>
      </c>
      <c r="D791" s="2505">
        <v>47.93</v>
      </c>
      <c r="E791" s="2505">
        <v>47.99</v>
      </c>
      <c r="F791" s="2505">
        <v>47.99</v>
      </c>
      <c r="G791" s="2505">
        <v>187.8</v>
      </c>
      <c r="H791" s="2505">
        <v>187.8</v>
      </c>
      <c r="I791" s="2505">
        <v>178.93</v>
      </c>
      <c r="J791" s="2505">
        <v>178.93</v>
      </c>
      <c r="K791" s="2505">
        <v>182.46</v>
      </c>
      <c r="L791" s="2505">
        <v>182.46</v>
      </c>
      <c r="M791" s="2505"/>
      <c r="N791" s="2505"/>
      <c r="O791" s="2505">
        <v>150.18</v>
      </c>
      <c r="P791" s="2505">
        <v>150.18</v>
      </c>
      <c r="Q791" s="2505">
        <v>149.6</v>
      </c>
      <c r="R791" s="2505">
        <v>150.19</v>
      </c>
      <c r="S791" s="2505">
        <v>282.8</v>
      </c>
      <c r="T791" s="2505">
        <v>282.58</v>
      </c>
      <c r="U791" s="2505">
        <v>272.77</v>
      </c>
      <c r="V791" s="2505">
        <v>272.77</v>
      </c>
      <c r="W791" s="2505">
        <v>282.58</v>
      </c>
      <c r="X791" s="2505">
        <v>282.58</v>
      </c>
      <c r="Y791" s="2505">
        <v>272.77</v>
      </c>
      <c r="Z791" s="2505">
        <v>282.58</v>
      </c>
      <c r="AA791" s="2505">
        <v>282.58</v>
      </c>
      <c r="AB791" s="2505">
        <v>282.58</v>
      </c>
      <c r="AC791" s="2505">
        <v>272.77</v>
      </c>
      <c r="AD791" s="2505">
        <v>272.77</v>
      </c>
      <c r="AE791" s="2505">
        <v>293.81</v>
      </c>
      <c r="AF791" s="2505">
        <v>285.33999999999997</v>
      </c>
      <c r="AG791" s="2505">
        <v>293.81</v>
      </c>
      <c r="AH791" s="2505">
        <v>293.81</v>
      </c>
      <c r="AI791" s="2505">
        <v>285.33999999999997</v>
      </c>
      <c r="AJ791" s="2505">
        <v>285.33999999999997</v>
      </c>
      <c r="AK791" s="2505">
        <v>285.64</v>
      </c>
      <c r="AL791" s="2505">
        <v>285.64</v>
      </c>
      <c r="AM791" s="2505">
        <v>79.349999999999994</v>
      </c>
      <c r="AN791" s="2505">
        <v>76.47</v>
      </c>
      <c r="AO791" s="2505">
        <v>76.47</v>
      </c>
      <c r="AP791" s="2505">
        <v>76.400000000000006</v>
      </c>
      <c r="AQ791" s="2505">
        <v>76.61</v>
      </c>
      <c r="AR791" s="2505">
        <v>76.61</v>
      </c>
      <c r="AS791" s="2505">
        <v>232.04</v>
      </c>
      <c r="AT791" s="2505">
        <v>232.04</v>
      </c>
      <c r="AU791" s="2505">
        <v>232.04</v>
      </c>
      <c r="AV791" s="2505">
        <v>237.08</v>
      </c>
      <c r="AW791" s="2505">
        <v>232.2</v>
      </c>
      <c r="AX791" s="2505">
        <v>232.2</v>
      </c>
      <c r="AY791" s="2505">
        <v>232.32</v>
      </c>
      <c r="AZ791" s="2505">
        <v>232.32</v>
      </c>
      <c r="BA791" s="2040">
        <v>101.48</v>
      </c>
      <c r="BB791" s="2040">
        <v>101.48</v>
      </c>
      <c r="BC791" s="2040">
        <v>25.94</v>
      </c>
      <c r="BD791" s="2040">
        <v>26.07</v>
      </c>
      <c r="BE791" s="2040">
        <v>28.53</v>
      </c>
      <c r="BF791" s="2040">
        <v>28.53</v>
      </c>
      <c r="BG791" s="2040">
        <v>25.99</v>
      </c>
      <c r="BH791" s="2040">
        <v>25.99</v>
      </c>
      <c r="BI791" s="2040">
        <v>25.77</v>
      </c>
      <c r="BJ791" s="2040">
        <v>25.77</v>
      </c>
      <c r="BK791" s="2040">
        <v>25.77</v>
      </c>
      <c r="BL791" s="2040">
        <v>25.77</v>
      </c>
      <c r="BM791" s="2040">
        <v>57.99</v>
      </c>
      <c r="BN791" s="2040">
        <v>57.99</v>
      </c>
      <c r="BO791" s="2040">
        <v>183.1</v>
      </c>
      <c r="BP791" s="2040">
        <v>183.1</v>
      </c>
      <c r="BQ791" s="2040">
        <v>183.1</v>
      </c>
      <c r="BR791" s="2040">
        <v>183.1</v>
      </c>
      <c r="BS791" s="2040">
        <v>238.78</v>
      </c>
      <c r="BT791" s="2040">
        <v>238.78</v>
      </c>
      <c r="BU791" s="2040">
        <v>238.78</v>
      </c>
      <c r="BV791" s="2040">
        <v>238.78</v>
      </c>
      <c r="BW791" s="2040">
        <v>238.78</v>
      </c>
      <c r="BX791" s="2040">
        <v>238.78</v>
      </c>
      <c r="BY791" s="2040">
        <v>52.63</v>
      </c>
      <c r="BZ791" s="2040">
        <v>52.63</v>
      </c>
      <c r="CA791" s="2040">
        <v>175.41</v>
      </c>
      <c r="CB791" s="2040">
        <v>175.41</v>
      </c>
      <c r="CC791" s="2040">
        <v>178.12</v>
      </c>
      <c r="CD791" s="2040">
        <v>178.12</v>
      </c>
      <c r="CE791" s="2040">
        <v>235.56</v>
      </c>
      <c r="CF791" s="2040">
        <v>235.56</v>
      </c>
      <c r="CK791" s="2040">
        <v>130.6</v>
      </c>
      <c r="CL791" s="2040">
        <v>130.6</v>
      </c>
      <c r="CM791" s="2040">
        <v>262.66000000000003</v>
      </c>
      <c r="CN791" s="2040">
        <v>262.66000000000003</v>
      </c>
      <c r="CO791" s="2040">
        <v>341.16</v>
      </c>
      <c r="CP791" s="2040">
        <v>341.16</v>
      </c>
      <c r="CQ791" s="2040">
        <v>341.16</v>
      </c>
      <c r="CR791" s="2040">
        <v>341.16</v>
      </c>
      <c r="CW791" s="2040">
        <v>122.37</v>
      </c>
      <c r="CX791" s="2040">
        <v>122.37</v>
      </c>
      <c r="CY791" s="2040">
        <v>254.42</v>
      </c>
      <c r="CZ791" s="2040">
        <v>254.42</v>
      </c>
      <c r="DA791" s="2040">
        <v>254.42</v>
      </c>
      <c r="DB791" s="2040">
        <v>254.42</v>
      </c>
      <c r="DC791" s="2040">
        <v>330.75</v>
      </c>
      <c r="DD791" s="2040">
        <v>330.75</v>
      </c>
      <c r="DE791" s="2040">
        <v>330.75</v>
      </c>
      <c r="DF791" s="2040">
        <v>330.75</v>
      </c>
      <c r="DI791" s="2040">
        <v>32.31</v>
      </c>
      <c r="DJ791" s="2040">
        <v>32.31</v>
      </c>
      <c r="DK791" s="2040">
        <v>32.31</v>
      </c>
      <c r="DL791" s="2040">
        <v>32.31</v>
      </c>
      <c r="DM791" s="2040">
        <v>32.31</v>
      </c>
      <c r="DN791" s="2040">
        <v>32.31</v>
      </c>
      <c r="DU791" s="2040">
        <v>14.39</v>
      </c>
      <c r="DV791" s="2040">
        <v>14.39</v>
      </c>
      <c r="DW791" s="2040">
        <v>13.97</v>
      </c>
      <c r="DX791" s="2040">
        <v>13.97</v>
      </c>
      <c r="DY791" s="2040">
        <v>13.97</v>
      </c>
      <c r="DZ791" s="2040">
        <v>13.97</v>
      </c>
      <c r="EG791" s="2040">
        <v>15.42</v>
      </c>
      <c r="EH791" s="2040">
        <v>15.57</v>
      </c>
      <c r="EI791" s="2040">
        <v>12.88</v>
      </c>
      <c r="EJ791" s="2040">
        <v>12.88</v>
      </c>
      <c r="EK791" s="2040">
        <v>12.88</v>
      </c>
      <c r="EL791" s="2040">
        <v>12.88</v>
      </c>
      <c r="EM791" s="2040">
        <v>13.41</v>
      </c>
      <c r="EN791" s="2040">
        <v>13.41</v>
      </c>
      <c r="EO791" s="2040">
        <v>12.78</v>
      </c>
      <c r="EP791" s="2040">
        <v>12.78</v>
      </c>
      <c r="EQ791" s="2040">
        <v>13.15</v>
      </c>
      <c r="ER791" s="2040">
        <v>12.96</v>
      </c>
      <c r="ES791" s="2040">
        <v>59.13</v>
      </c>
      <c r="ET791" s="2040">
        <v>59.13</v>
      </c>
      <c r="EU791" s="2040">
        <v>262.07</v>
      </c>
      <c r="EV791" s="2040">
        <v>262.07</v>
      </c>
      <c r="EW791" s="2040">
        <v>256.58</v>
      </c>
      <c r="EX791" s="2040">
        <v>256.58</v>
      </c>
      <c r="EY791" s="2506">
        <f t="shared" si="60"/>
        <v>259.32499999999999</v>
      </c>
      <c r="EZ791" s="2506">
        <f t="shared" si="60"/>
        <v>259.32499999999999</v>
      </c>
      <c r="FA791" s="2040">
        <v>259.32</v>
      </c>
      <c r="FB791" s="2040">
        <v>259.32</v>
      </c>
      <c r="FE791" s="2040">
        <v>50.87</v>
      </c>
      <c r="FF791" s="2040">
        <v>50.87</v>
      </c>
      <c r="FG791" s="2040">
        <v>221.05</v>
      </c>
      <c r="FH791" s="2040">
        <v>221.05</v>
      </c>
      <c r="FI791" s="2040">
        <v>221.05</v>
      </c>
      <c r="FJ791" s="2040">
        <v>222.09</v>
      </c>
      <c r="FK791" s="2040">
        <v>220.73</v>
      </c>
      <c r="FL791" s="2040">
        <v>220.73</v>
      </c>
      <c r="FM791" s="2040">
        <v>221.19</v>
      </c>
      <c r="FN791" s="2040">
        <v>221.19</v>
      </c>
      <c r="FQ791" s="2040">
        <v>114.92</v>
      </c>
      <c r="FR791" s="2040">
        <v>114.92</v>
      </c>
      <c r="FS791" s="2040">
        <v>232.27</v>
      </c>
      <c r="FT791" s="2040">
        <v>232.27</v>
      </c>
      <c r="FU791" s="2040">
        <v>232.27</v>
      </c>
      <c r="FV791" s="2040">
        <v>232.27</v>
      </c>
      <c r="FW791" s="2040">
        <v>232.52</v>
      </c>
      <c r="FX791" s="2040">
        <v>232.52</v>
      </c>
      <c r="GC791" s="2040">
        <v>81.150000000000006</v>
      </c>
      <c r="GD791" s="2040">
        <v>81.150000000000006</v>
      </c>
      <c r="GE791" s="2040">
        <v>181.78</v>
      </c>
      <c r="GF791" s="2040">
        <v>181.78</v>
      </c>
      <c r="GG791" s="2040">
        <v>181.78</v>
      </c>
      <c r="GH791" s="2040">
        <v>181.78</v>
      </c>
      <c r="GI791" s="2040">
        <v>207.19</v>
      </c>
      <c r="GJ791" s="2040">
        <v>207.19</v>
      </c>
      <c r="GK791" s="2040">
        <v>229.18</v>
      </c>
      <c r="GL791" s="2040">
        <v>229.18</v>
      </c>
      <c r="GO791" s="2040">
        <v>43.45</v>
      </c>
      <c r="GP791" s="2040">
        <v>43.45</v>
      </c>
      <c r="GQ791" s="2040">
        <v>38.659999999999997</v>
      </c>
      <c r="GR791" s="2040">
        <v>38.659999999999997</v>
      </c>
      <c r="GS791" s="2040">
        <v>38.659999999999997</v>
      </c>
      <c r="GT791" s="2040">
        <v>37.299999999999997</v>
      </c>
      <c r="GU791" s="2040">
        <v>37.299999999999997</v>
      </c>
      <c r="GV791" s="2040">
        <v>37.479999999999997</v>
      </c>
      <c r="GW791" s="2040">
        <v>218.94</v>
      </c>
      <c r="GX791" s="2040">
        <v>218.94</v>
      </c>
      <c r="HA791" s="2040">
        <v>30.28</v>
      </c>
      <c r="HB791" s="2040">
        <v>30.28</v>
      </c>
      <c r="HC791" s="2040">
        <v>24.28</v>
      </c>
      <c r="HD791" s="2040">
        <v>24.28</v>
      </c>
      <c r="HE791" s="2040">
        <v>24.87</v>
      </c>
      <c r="HF791" s="2040">
        <v>24.87</v>
      </c>
      <c r="HG791" s="2040">
        <v>24.87</v>
      </c>
      <c r="HH791" s="2040">
        <v>24.87</v>
      </c>
      <c r="HI791" s="2040">
        <v>24.87</v>
      </c>
      <c r="HJ791" s="2040">
        <v>24.87</v>
      </c>
      <c r="HK791" s="2040">
        <v>24.97</v>
      </c>
      <c r="HL791" s="2040">
        <v>25.1</v>
      </c>
      <c r="HM791" s="2040">
        <v>42.43</v>
      </c>
      <c r="HN791" s="2040">
        <v>42.43</v>
      </c>
      <c r="HO791" s="2040">
        <v>34.32</v>
      </c>
      <c r="HP791" s="2040">
        <v>34.32</v>
      </c>
      <c r="HQ791" s="2040">
        <v>35.18</v>
      </c>
      <c r="HR791" s="2040">
        <v>35.18</v>
      </c>
      <c r="HS791" s="2040">
        <v>35.18</v>
      </c>
      <c r="HT791" s="2040">
        <v>35.18</v>
      </c>
      <c r="HU791" s="2040">
        <v>35.18</v>
      </c>
      <c r="HV791" s="2040">
        <v>35.18</v>
      </c>
      <c r="HW791" s="2040">
        <v>35.25</v>
      </c>
      <c r="HX791" s="2040">
        <v>35.25</v>
      </c>
    </row>
    <row r="792" spans="1:232" s="2040" customFormat="1" ht="14" x14ac:dyDescent="0.3">
      <c r="B792" s="2504">
        <v>93</v>
      </c>
      <c r="C792" s="2505">
        <v>48.04</v>
      </c>
      <c r="D792" s="2505">
        <v>48.04</v>
      </c>
      <c r="E792" s="2505">
        <v>48.09</v>
      </c>
      <c r="F792" s="2505">
        <v>48.09</v>
      </c>
      <c r="G792" s="2505">
        <v>188.31</v>
      </c>
      <c r="H792" s="2505">
        <v>188.31</v>
      </c>
      <c r="I792" s="2505">
        <v>179.46</v>
      </c>
      <c r="J792" s="2505">
        <v>179.46</v>
      </c>
      <c r="K792" s="2505">
        <v>182.92</v>
      </c>
      <c r="L792" s="2505">
        <v>182.92</v>
      </c>
      <c r="M792" s="2505"/>
      <c r="N792" s="2505"/>
      <c r="O792" s="2505">
        <v>150.51</v>
      </c>
      <c r="P792" s="2505">
        <v>150.51</v>
      </c>
      <c r="Q792" s="2505">
        <v>149.93</v>
      </c>
      <c r="R792" s="2505">
        <v>150.52000000000001</v>
      </c>
      <c r="S792" s="2505">
        <v>283.69</v>
      </c>
      <c r="T792" s="2505">
        <v>283.47000000000003</v>
      </c>
      <c r="U792" s="2505">
        <v>273.63</v>
      </c>
      <c r="V792" s="2505">
        <v>273.63</v>
      </c>
      <c r="W792" s="2505">
        <v>283.47000000000003</v>
      </c>
      <c r="X792" s="2505">
        <v>283.47000000000003</v>
      </c>
      <c r="Y792" s="2505">
        <v>273.63</v>
      </c>
      <c r="Z792" s="2505">
        <v>283.47000000000003</v>
      </c>
      <c r="AA792" s="2505">
        <v>283.47000000000003</v>
      </c>
      <c r="AB792" s="2505">
        <v>283.47000000000003</v>
      </c>
      <c r="AC792" s="2505">
        <v>273.63</v>
      </c>
      <c r="AD792" s="2505">
        <v>273.63</v>
      </c>
      <c r="AE792" s="2505">
        <v>294.60000000000002</v>
      </c>
      <c r="AF792" s="2505">
        <v>286.11</v>
      </c>
      <c r="AG792" s="2505">
        <v>294.60000000000002</v>
      </c>
      <c r="AH792" s="2505">
        <v>294.60000000000002</v>
      </c>
      <c r="AI792" s="2505">
        <v>286.11</v>
      </c>
      <c r="AJ792" s="2505">
        <v>286.11</v>
      </c>
      <c r="AK792" s="2505">
        <v>286.39999999999998</v>
      </c>
      <c r="AL792" s="2505">
        <v>286.39999999999998</v>
      </c>
      <c r="AM792" s="2505">
        <v>79.53</v>
      </c>
      <c r="AN792" s="2505">
        <v>76.64</v>
      </c>
      <c r="AO792" s="2505">
        <v>76.64</v>
      </c>
      <c r="AP792" s="2505">
        <v>76.56</v>
      </c>
      <c r="AQ792" s="2505">
        <v>76.78</v>
      </c>
      <c r="AR792" s="2505">
        <v>76.78</v>
      </c>
      <c r="AS792" s="2505">
        <v>232.69</v>
      </c>
      <c r="AT792" s="2505">
        <v>232.69</v>
      </c>
      <c r="AU792" s="2505">
        <v>232.69</v>
      </c>
      <c r="AV792" s="2505">
        <v>237.74</v>
      </c>
      <c r="AW792" s="2505">
        <v>232.84</v>
      </c>
      <c r="AX792" s="2505">
        <v>232.84</v>
      </c>
      <c r="AY792" s="2505">
        <v>232.96</v>
      </c>
      <c r="AZ792" s="2505">
        <v>232.96</v>
      </c>
      <c r="BA792" s="2040">
        <v>101.77</v>
      </c>
      <c r="BB792" s="2040">
        <v>101.77</v>
      </c>
      <c r="BC792" s="2040">
        <v>26.03</v>
      </c>
      <c r="BD792" s="2040">
        <v>26.16</v>
      </c>
      <c r="BE792" s="2040">
        <v>28.6</v>
      </c>
      <c r="BF792" s="2040">
        <v>28.6</v>
      </c>
      <c r="BG792" s="2040">
        <v>26.08</v>
      </c>
      <c r="BH792" s="2040">
        <v>26.08</v>
      </c>
      <c r="BI792" s="2040">
        <v>25.86</v>
      </c>
      <c r="BJ792" s="2040">
        <v>25.86</v>
      </c>
      <c r="BK792" s="2040">
        <v>25.86</v>
      </c>
      <c r="BL792" s="2040">
        <v>25.86</v>
      </c>
      <c r="BM792" s="2040">
        <v>58.11</v>
      </c>
      <c r="BN792" s="2040">
        <v>58.11</v>
      </c>
      <c r="BO792" s="2040">
        <v>183.57</v>
      </c>
      <c r="BP792" s="2040">
        <v>183.57</v>
      </c>
      <c r="BQ792" s="2040">
        <v>183.57</v>
      </c>
      <c r="BR792" s="2040">
        <v>183.57</v>
      </c>
      <c r="BS792" s="2040">
        <v>239.51</v>
      </c>
      <c r="BT792" s="2040">
        <v>239.51</v>
      </c>
      <c r="BU792" s="2040">
        <v>239.51</v>
      </c>
      <c r="BV792" s="2040">
        <v>239.51</v>
      </c>
      <c r="BW792" s="2040">
        <v>239.51</v>
      </c>
      <c r="BX792" s="2040">
        <v>239.51</v>
      </c>
      <c r="BY792" s="2040">
        <v>52.75</v>
      </c>
      <c r="BZ792" s="2040">
        <v>52.75</v>
      </c>
      <c r="CA792" s="2040">
        <v>175.87</v>
      </c>
      <c r="CB792" s="2040">
        <v>175.87</v>
      </c>
      <c r="CC792" s="2040">
        <v>178.58</v>
      </c>
      <c r="CD792" s="2040">
        <v>178.58</v>
      </c>
      <c r="CE792" s="2040">
        <v>236.29</v>
      </c>
      <c r="CF792" s="2040">
        <v>236.29</v>
      </c>
      <c r="CK792" s="2040">
        <v>130.87</v>
      </c>
      <c r="CL792" s="2040">
        <v>130.87</v>
      </c>
      <c r="CM792" s="2040">
        <v>263.14</v>
      </c>
      <c r="CN792" s="2040">
        <v>263.14</v>
      </c>
      <c r="CO792" s="2040">
        <v>341.95</v>
      </c>
      <c r="CP792" s="2040">
        <v>341.95</v>
      </c>
      <c r="CQ792" s="2040">
        <v>341.95</v>
      </c>
      <c r="CR792" s="2040">
        <v>341.95</v>
      </c>
      <c r="CW792" s="2040">
        <v>122.64</v>
      </c>
      <c r="CX792" s="2040">
        <v>122.64</v>
      </c>
      <c r="CY792" s="2040">
        <v>254.9</v>
      </c>
      <c r="CZ792" s="2040">
        <v>254.9</v>
      </c>
      <c r="DA792" s="2040">
        <v>254.9</v>
      </c>
      <c r="DB792" s="2040">
        <v>254.9</v>
      </c>
      <c r="DC792" s="2040">
        <v>331.55</v>
      </c>
      <c r="DD792" s="2040">
        <v>331.55</v>
      </c>
      <c r="DE792" s="2040">
        <v>331.55</v>
      </c>
      <c r="DF792" s="2040">
        <v>331.55</v>
      </c>
      <c r="DI792" s="2040">
        <v>32.380000000000003</v>
      </c>
      <c r="DJ792" s="2040">
        <v>32.380000000000003</v>
      </c>
      <c r="DK792" s="2040">
        <v>32.380000000000003</v>
      </c>
      <c r="DL792" s="2040">
        <v>32.380000000000003</v>
      </c>
      <c r="DM792" s="2040">
        <v>32.380000000000003</v>
      </c>
      <c r="DN792" s="2040">
        <v>32.380000000000003</v>
      </c>
      <c r="DU792" s="2040">
        <v>14.42</v>
      </c>
      <c r="DV792" s="2040">
        <v>14.42</v>
      </c>
      <c r="DW792" s="2040">
        <v>13.99</v>
      </c>
      <c r="DX792" s="2040">
        <v>13.99</v>
      </c>
      <c r="DY792" s="2040">
        <v>13.99</v>
      </c>
      <c r="DZ792" s="2040">
        <v>13.99</v>
      </c>
      <c r="EG792" s="2040">
        <v>15.45</v>
      </c>
      <c r="EH792" s="2040">
        <v>15.61</v>
      </c>
      <c r="EI792" s="2040">
        <v>12.93</v>
      </c>
      <c r="EJ792" s="2040">
        <v>12.93</v>
      </c>
      <c r="EK792" s="2040">
        <v>12.93</v>
      </c>
      <c r="EL792" s="2040">
        <v>12.93</v>
      </c>
      <c r="EM792" s="2040">
        <v>13.46</v>
      </c>
      <c r="EN792" s="2040">
        <v>13.46</v>
      </c>
      <c r="EO792" s="2040">
        <v>12.82</v>
      </c>
      <c r="EP792" s="2040">
        <v>12.82</v>
      </c>
      <c r="EQ792" s="2040">
        <v>13.2</v>
      </c>
      <c r="ER792" s="2040">
        <v>13</v>
      </c>
      <c r="ES792" s="2040">
        <v>59.26</v>
      </c>
      <c r="ET792" s="2040">
        <v>59.26</v>
      </c>
      <c r="EU792" s="2040">
        <v>262.88</v>
      </c>
      <c r="EV792" s="2040">
        <v>262.88</v>
      </c>
      <c r="EW792" s="2040">
        <v>257.38</v>
      </c>
      <c r="EX792" s="2040">
        <v>257.38</v>
      </c>
      <c r="EY792" s="2506">
        <f t="shared" si="60"/>
        <v>260.13</v>
      </c>
      <c r="EZ792" s="2506">
        <f t="shared" si="60"/>
        <v>260.13</v>
      </c>
      <c r="FA792" s="2040">
        <v>260.08999999999997</v>
      </c>
      <c r="FB792" s="2040">
        <v>260.08999999999997</v>
      </c>
      <c r="FE792" s="2040">
        <v>50.98</v>
      </c>
      <c r="FF792" s="2040">
        <v>50.98</v>
      </c>
      <c r="FG792" s="2040">
        <v>221.75</v>
      </c>
      <c r="FH792" s="2040">
        <v>221.75</v>
      </c>
      <c r="FI792" s="2040">
        <v>221.75</v>
      </c>
      <c r="FJ792" s="2040">
        <v>222.77</v>
      </c>
      <c r="FK792" s="2040">
        <v>221.43</v>
      </c>
      <c r="FL792" s="2040">
        <v>221.43</v>
      </c>
      <c r="FM792" s="2040">
        <v>221.88</v>
      </c>
      <c r="FN792" s="2040">
        <v>221.88</v>
      </c>
      <c r="FQ792" s="2040">
        <v>115.18</v>
      </c>
      <c r="FR792" s="2040">
        <v>115.18</v>
      </c>
      <c r="FS792" s="2040">
        <v>232.87</v>
      </c>
      <c r="FT792" s="2040">
        <v>232.87</v>
      </c>
      <c r="FU792" s="2040">
        <v>232.87</v>
      </c>
      <c r="FV792" s="2040">
        <v>232.87</v>
      </c>
      <c r="FW792" s="2040">
        <v>233.12</v>
      </c>
      <c r="FX792" s="2040">
        <v>233.12</v>
      </c>
      <c r="GC792" s="2040">
        <v>81.33</v>
      </c>
      <c r="GD792" s="2040">
        <v>81.33</v>
      </c>
      <c r="GE792" s="2040">
        <v>182.15</v>
      </c>
      <c r="GF792" s="2040">
        <v>182.15</v>
      </c>
      <c r="GG792" s="2040">
        <v>182.15</v>
      </c>
      <c r="GH792" s="2040">
        <v>182.15</v>
      </c>
      <c r="GI792" s="2040">
        <v>208.04</v>
      </c>
      <c r="GJ792" s="2040">
        <v>208.04</v>
      </c>
      <c r="GK792" s="2040">
        <v>229.86</v>
      </c>
      <c r="GL792" s="2040">
        <v>229.86</v>
      </c>
      <c r="GO792" s="2040">
        <v>43.55</v>
      </c>
      <c r="GP792" s="2040">
        <v>43.55</v>
      </c>
      <c r="GQ792" s="2040">
        <v>38.78</v>
      </c>
      <c r="GR792" s="2040">
        <v>38.78</v>
      </c>
      <c r="GS792" s="2040">
        <v>38.78</v>
      </c>
      <c r="GT792" s="2040">
        <v>37.42</v>
      </c>
      <c r="GU792" s="2040">
        <v>37.42</v>
      </c>
      <c r="GV792" s="2040">
        <v>37.6</v>
      </c>
      <c r="GW792" s="2040">
        <v>219.62</v>
      </c>
      <c r="GX792" s="2040">
        <v>219.62</v>
      </c>
      <c r="HA792" s="2040">
        <v>30.34</v>
      </c>
      <c r="HB792" s="2040">
        <v>30.34</v>
      </c>
      <c r="HC792" s="2040">
        <v>24.38</v>
      </c>
      <c r="HD792" s="2040">
        <v>24.38</v>
      </c>
      <c r="HE792" s="2040">
        <v>24.96</v>
      </c>
      <c r="HF792" s="2040">
        <v>24.96</v>
      </c>
      <c r="HG792" s="2040">
        <v>24.96</v>
      </c>
      <c r="HH792" s="2040">
        <v>24.96</v>
      </c>
      <c r="HI792" s="2040">
        <v>24.96</v>
      </c>
      <c r="HJ792" s="2040">
        <v>24.96</v>
      </c>
      <c r="HK792" s="2040">
        <v>25.06</v>
      </c>
      <c r="HL792" s="2040">
        <v>25.19</v>
      </c>
      <c r="HM792" s="2040">
        <v>42.52</v>
      </c>
      <c r="HN792" s="2040">
        <v>42.52</v>
      </c>
      <c r="HO792" s="2040">
        <v>34.46</v>
      </c>
      <c r="HP792" s="2040">
        <v>34.46</v>
      </c>
      <c r="HQ792" s="2040">
        <v>35.299999999999997</v>
      </c>
      <c r="HR792" s="2040">
        <v>35.299999999999997</v>
      </c>
      <c r="HS792" s="2040">
        <v>35.299999999999997</v>
      </c>
      <c r="HT792" s="2040">
        <v>35.299999999999997</v>
      </c>
      <c r="HU792" s="2040">
        <v>35.299999999999997</v>
      </c>
      <c r="HV792" s="2040">
        <v>35.299999999999997</v>
      </c>
      <c r="HW792" s="2040">
        <v>35.369999999999997</v>
      </c>
      <c r="HX792" s="2040">
        <v>35.369999999999997</v>
      </c>
    </row>
    <row r="793" spans="1:232" s="2040" customFormat="1" ht="14" x14ac:dyDescent="0.3">
      <c r="B793" s="2504">
        <v>94</v>
      </c>
      <c r="C793" s="2505">
        <v>48.14</v>
      </c>
      <c r="D793" s="2505">
        <v>48.14</v>
      </c>
      <c r="E793" s="2505">
        <v>48.19</v>
      </c>
      <c r="F793" s="2505">
        <v>48.19</v>
      </c>
      <c r="G793" s="2505">
        <v>188.81</v>
      </c>
      <c r="H793" s="2505">
        <v>188.81</v>
      </c>
      <c r="I793" s="2505">
        <v>179.98</v>
      </c>
      <c r="J793" s="2505">
        <v>179.98</v>
      </c>
      <c r="K793" s="2505">
        <v>183.38</v>
      </c>
      <c r="L793" s="2505">
        <v>183.38</v>
      </c>
      <c r="M793" s="2505"/>
      <c r="N793" s="2505"/>
      <c r="O793" s="2505">
        <v>150.83000000000001</v>
      </c>
      <c r="P793" s="2505">
        <v>150.83000000000001</v>
      </c>
      <c r="Q793" s="2505">
        <v>150.25</v>
      </c>
      <c r="R793" s="2505">
        <v>150.84</v>
      </c>
      <c r="S793" s="2505">
        <v>284.56</v>
      </c>
      <c r="T793" s="2505">
        <v>284.35000000000002</v>
      </c>
      <c r="U793" s="2505">
        <v>274.48</v>
      </c>
      <c r="V793" s="2505">
        <v>274.48</v>
      </c>
      <c r="W793" s="2505">
        <v>284.35000000000002</v>
      </c>
      <c r="X793" s="2505">
        <v>284.35000000000002</v>
      </c>
      <c r="Y793" s="2505">
        <v>274.48</v>
      </c>
      <c r="Z793" s="2505">
        <v>284.35000000000002</v>
      </c>
      <c r="AA793" s="2505">
        <v>284.35000000000002</v>
      </c>
      <c r="AB793" s="2505">
        <v>284.35000000000002</v>
      </c>
      <c r="AC793" s="2505">
        <v>274.48</v>
      </c>
      <c r="AD793" s="2505">
        <v>274.48</v>
      </c>
      <c r="AE793" s="2505">
        <v>295.38</v>
      </c>
      <c r="AF793" s="2505">
        <v>286.87</v>
      </c>
      <c r="AG793" s="2505">
        <v>295.38</v>
      </c>
      <c r="AH793" s="2505">
        <v>295.38</v>
      </c>
      <c r="AI793" s="2505">
        <v>286.87</v>
      </c>
      <c r="AJ793" s="2505">
        <v>286.87</v>
      </c>
      <c r="AK793" s="2505">
        <v>287.14999999999998</v>
      </c>
      <c r="AL793" s="2505">
        <v>287.14999999999998</v>
      </c>
      <c r="AM793" s="2505">
        <v>79.7</v>
      </c>
      <c r="AN793" s="2505">
        <v>76.81</v>
      </c>
      <c r="AO793" s="2505">
        <v>76.81</v>
      </c>
      <c r="AP793" s="2505">
        <v>76.73</v>
      </c>
      <c r="AQ793" s="2505">
        <v>76.94</v>
      </c>
      <c r="AR793" s="2505">
        <v>76.94</v>
      </c>
      <c r="AS793" s="2505">
        <v>233.33</v>
      </c>
      <c r="AT793" s="2505">
        <v>233.33</v>
      </c>
      <c r="AU793" s="2505">
        <v>233.33</v>
      </c>
      <c r="AV793" s="2505">
        <v>238.38</v>
      </c>
      <c r="AW793" s="2505">
        <v>233.47</v>
      </c>
      <c r="AX793" s="2505">
        <v>233.47</v>
      </c>
      <c r="AY793" s="2505">
        <v>233.59</v>
      </c>
      <c r="AZ793" s="2505">
        <v>233.59</v>
      </c>
      <c r="BA793" s="2040">
        <v>102.06</v>
      </c>
      <c r="BB793" s="2040">
        <v>102.06</v>
      </c>
      <c r="BC793" s="2040">
        <v>26.11</v>
      </c>
      <c r="BD793" s="2040">
        <v>26.24</v>
      </c>
      <c r="BE793" s="2040">
        <v>28.66</v>
      </c>
      <c r="BF793" s="2040">
        <v>28.66</v>
      </c>
      <c r="BG793" s="2040">
        <v>26.16</v>
      </c>
      <c r="BH793" s="2040">
        <v>26.16</v>
      </c>
      <c r="BI793" s="2040">
        <v>25.94</v>
      </c>
      <c r="BJ793" s="2040">
        <v>25.94</v>
      </c>
      <c r="BK793" s="2040">
        <v>25.94</v>
      </c>
      <c r="BL793" s="2040">
        <v>25.94</v>
      </c>
      <c r="BM793" s="2040">
        <v>58.24</v>
      </c>
      <c r="BN793" s="2040">
        <v>58.24</v>
      </c>
      <c r="BO793" s="2040">
        <v>184.03</v>
      </c>
      <c r="BP793" s="2040">
        <v>184.03</v>
      </c>
      <c r="BQ793" s="2040">
        <v>184.03</v>
      </c>
      <c r="BR793" s="2040">
        <v>184.03</v>
      </c>
      <c r="BS793" s="2040">
        <v>240.22</v>
      </c>
      <c r="BT793" s="2040">
        <v>240.22</v>
      </c>
      <c r="BU793" s="2040">
        <v>240.22</v>
      </c>
      <c r="BV793" s="2040">
        <v>240.22</v>
      </c>
      <c r="BW793" s="2040">
        <v>240.22</v>
      </c>
      <c r="BX793" s="2040">
        <v>240.22</v>
      </c>
      <c r="BY793" s="2040">
        <v>52.86</v>
      </c>
      <c r="BZ793" s="2040">
        <v>52.86</v>
      </c>
      <c r="CA793" s="2040">
        <v>176.32</v>
      </c>
      <c r="CB793" s="2040">
        <v>176.32</v>
      </c>
      <c r="CC793" s="2040">
        <v>179.04</v>
      </c>
      <c r="CD793" s="2040">
        <v>179.04</v>
      </c>
      <c r="CE793" s="2040">
        <v>237</v>
      </c>
      <c r="CF793" s="2040">
        <v>237</v>
      </c>
      <c r="CK793" s="2040">
        <v>131.13</v>
      </c>
      <c r="CL793" s="2040">
        <v>131.13</v>
      </c>
      <c r="CM793" s="2040">
        <v>263.61</v>
      </c>
      <c r="CN793" s="2040">
        <v>263.61</v>
      </c>
      <c r="CO793" s="2040">
        <v>342.73</v>
      </c>
      <c r="CP793" s="2040">
        <v>342.73</v>
      </c>
      <c r="CQ793" s="2040">
        <v>342.73</v>
      </c>
      <c r="CR793" s="2040">
        <v>342.73</v>
      </c>
      <c r="CW793" s="2040">
        <v>122.91</v>
      </c>
      <c r="CX793" s="2040">
        <v>122.91</v>
      </c>
      <c r="CY793" s="2040">
        <v>255.38</v>
      </c>
      <c r="CZ793" s="2040">
        <v>255.38</v>
      </c>
      <c r="DA793" s="2040">
        <v>255.38</v>
      </c>
      <c r="DB793" s="2040">
        <v>255.38</v>
      </c>
      <c r="DC793" s="2040">
        <v>332.33</v>
      </c>
      <c r="DD793" s="2040">
        <v>332.33</v>
      </c>
      <c r="DE793" s="2040">
        <v>332.33</v>
      </c>
      <c r="DF793" s="2040">
        <v>332.33</v>
      </c>
      <c r="DI793" s="2040">
        <v>32.450000000000003</v>
      </c>
      <c r="DJ793" s="2040">
        <v>32.450000000000003</v>
      </c>
      <c r="DK793" s="2040">
        <v>32.450000000000003</v>
      </c>
      <c r="DL793" s="2040">
        <v>32.450000000000003</v>
      </c>
      <c r="DM793" s="2040">
        <v>32.450000000000003</v>
      </c>
      <c r="DN793" s="2040">
        <v>32.450000000000003</v>
      </c>
      <c r="DU793" s="2040">
        <v>14.45</v>
      </c>
      <c r="DV793" s="2040">
        <v>14.45</v>
      </c>
      <c r="DW793" s="2040">
        <v>14.03</v>
      </c>
      <c r="DX793" s="2040">
        <v>14.03</v>
      </c>
      <c r="DY793" s="2040">
        <v>14.03</v>
      </c>
      <c r="DZ793" s="2040">
        <v>14.03</v>
      </c>
      <c r="EG793" s="2040">
        <v>15.48</v>
      </c>
      <c r="EH793" s="2040">
        <v>15.64</v>
      </c>
      <c r="EI793" s="2040">
        <v>12.97</v>
      </c>
      <c r="EJ793" s="2040">
        <v>12.97</v>
      </c>
      <c r="EK793" s="2040">
        <v>12.98</v>
      </c>
      <c r="EL793" s="2040">
        <v>12.98</v>
      </c>
      <c r="EM793" s="2040">
        <v>13.5</v>
      </c>
      <c r="EN793" s="2040">
        <v>13.5</v>
      </c>
      <c r="EO793" s="2040">
        <v>12.87</v>
      </c>
      <c r="EP793" s="2040">
        <v>12.87</v>
      </c>
      <c r="EQ793" s="2040">
        <v>13.24</v>
      </c>
      <c r="ER793" s="2040">
        <v>13.04</v>
      </c>
      <c r="ES793" s="2040">
        <v>59.38</v>
      </c>
      <c r="ET793" s="2040">
        <v>59.38</v>
      </c>
      <c r="EU793" s="2040">
        <v>263.68</v>
      </c>
      <c r="EV793" s="2040">
        <v>263.68</v>
      </c>
      <c r="EW793" s="2040">
        <v>258.17</v>
      </c>
      <c r="EX793" s="2040">
        <v>258.17</v>
      </c>
      <c r="EY793" s="2506">
        <f t="shared" si="60"/>
        <v>260.92500000000001</v>
      </c>
      <c r="EZ793" s="2506">
        <f t="shared" si="60"/>
        <v>260.92500000000001</v>
      </c>
      <c r="FA793" s="2040">
        <v>260.85000000000002</v>
      </c>
      <c r="FB793" s="2040">
        <v>260.85000000000002</v>
      </c>
      <c r="FE793" s="2040">
        <v>51.09</v>
      </c>
      <c r="FF793" s="2040">
        <v>51.09</v>
      </c>
      <c r="FG793" s="2040">
        <v>222.44</v>
      </c>
      <c r="FH793" s="2040">
        <v>222.44</v>
      </c>
      <c r="FI793" s="2040">
        <v>222.44</v>
      </c>
      <c r="FJ793" s="2040">
        <v>223.44</v>
      </c>
      <c r="FK793" s="2040">
        <v>222.12</v>
      </c>
      <c r="FL793" s="2040">
        <v>222.12</v>
      </c>
      <c r="FM793" s="2040">
        <v>222.55</v>
      </c>
      <c r="FN793" s="2040">
        <v>222.55</v>
      </c>
      <c r="FQ793" s="2040">
        <v>115.43</v>
      </c>
      <c r="FR793" s="2040">
        <v>115.43</v>
      </c>
      <c r="FS793" s="2040">
        <v>233.46</v>
      </c>
      <c r="FT793" s="2040">
        <v>233.46</v>
      </c>
      <c r="FU793" s="2040">
        <v>233.46</v>
      </c>
      <c r="FV793" s="2040">
        <v>233.46</v>
      </c>
      <c r="FW793" s="2040">
        <v>233.7</v>
      </c>
      <c r="FX793" s="2040">
        <v>233.7</v>
      </c>
      <c r="GC793" s="2040">
        <v>81.5</v>
      </c>
      <c r="GD793" s="2040">
        <v>81.5</v>
      </c>
      <c r="GE793" s="2040">
        <v>182.51</v>
      </c>
      <c r="GF793" s="2040">
        <v>182.51</v>
      </c>
      <c r="GG793" s="2040">
        <v>182.51</v>
      </c>
      <c r="GH793" s="2040">
        <v>182.51</v>
      </c>
      <c r="GI793" s="2040">
        <v>208.87</v>
      </c>
      <c r="GJ793" s="2040">
        <v>208.87</v>
      </c>
      <c r="GK793" s="2040">
        <v>230.52</v>
      </c>
      <c r="GL793" s="2040">
        <v>230.52</v>
      </c>
      <c r="GO793" s="2040">
        <v>43.64</v>
      </c>
      <c r="GP793" s="2040">
        <v>43.64</v>
      </c>
      <c r="GQ793" s="2040">
        <v>38.909999999999997</v>
      </c>
      <c r="GR793" s="2040">
        <v>38.909999999999997</v>
      </c>
      <c r="GS793" s="2040">
        <v>38.909999999999997</v>
      </c>
      <c r="GT793" s="2040">
        <v>37.54</v>
      </c>
      <c r="GU793" s="2040">
        <v>37.54</v>
      </c>
      <c r="GV793" s="2040">
        <v>37.71</v>
      </c>
      <c r="GW793" s="2040">
        <v>220.29</v>
      </c>
      <c r="GX793" s="2040">
        <v>220.29</v>
      </c>
      <c r="HA793" s="2040">
        <v>30.41</v>
      </c>
      <c r="HB793" s="2040">
        <v>30.41</v>
      </c>
      <c r="HC793" s="2040">
        <v>24.47</v>
      </c>
      <c r="HD793" s="2040">
        <v>24.47</v>
      </c>
      <c r="HE793" s="2040">
        <v>25.05</v>
      </c>
      <c r="HF793" s="2040">
        <v>25.05</v>
      </c>
      <c r="HG793" s="2040">
        <v>25.05</v>
      </c>
      <c r="HH793" s="2040">
        <v>25.05</v>
      </c>
      <c r="HI793" s="2040">
        <v>25.05</v>
      </c>
      <c r="HJ793" s="2040">
        <v>25.05</v>
      </c>
      <c r="HK793" s="2040">
        <v>25.15</v>
      </c>
      <c r="HL793" s="2040">
        <v>25.28</v>
      </c>
      <c r="HM793" s="2040">
        <v>42.62</v>
      </c>
      <c r="HN793" s="2040">
        <v>42.62</v>
      </c>
      <c r="HO793" s="2040">
        <v>34.590000000000003</v>
      </c>
      <c r="HP793" s="2040">
        <v>34.590000000000003</v>
      </c>
      <c r="HQ793" s="2040">
        <v>35.43</v>
      </c>
      <c r="HR793" s="2040">
        <v>35.43</v>
      </c>
      <c r="HS793" s="2040">
        <v>35.43</v>
      </c>
      <c r="HT793" s="2040">
        <v>35.43</v>
      </c>
      <c r="HU793" s="2040">
        <v>35.43</v>
      </c>
      <c r="HV793" s="2040">
        <v>35.43</v>
      </c>
      <c r="HW793" s="2040">
        <v>35.5</v>
      </c>
      <c r="HX793" s="2040">
        <v>35.5</v>
      </c>
    </row>
    <row r="794" spans="1:232" s="2040" customFormat="1" ht="14" x14ac:dyDescent="0.3">
      <c r="B794" s="2504">
        <v>95</v>
      </c>
      <c r="C794" s="2505">
        <v>48.24</v>
      </c>
      <c r="D794" s="2505">
        <v>48.24</v>
      </c>
      <c r="E794" s="2505">
        <v>48.29</v>
      </c>
      <c r="F794" s="2505">
        <v>48.29</v>
      </c>
      <c r="G794" s="2505">
        <v>189.3</v>
      </c>
      <c r="H794" s="2505">
        <v>189.3</v>
      </c>
      <c r="I794" s="2505">
        <v>180.49</v>
      </c>
      <c r="J794" s="2505">
        <v>180.49</v>
      </c>
      <c r="K794" s="2505">
        <v>183.83</v>
      </c>
      <c r="L794" s="2505">
        <v>183.83</v>
      </c>
      <c r="M794" s="2505"/>
      <c r="N794" s="2505"/>
      <c r="O794" s="2505">
        <v>151.15</v>
      </c>
      <c r="P794" s="2505">
        <v>151.15</v>
      </c>
      <c r="Q794" s="2505">
        <v>150.56</v>
      </c>
      <c r="R794" s="2505">
        <v>151.16</v>
      </c>
      <c r="S794" s="2505">
        <v>285.42</v>
      </c>
      <c r="T794" s="2505">
        <v>285.2</v>
      </c>
      <c r="U794" s="2505">
        <v>275.31</v>
      </c>
      <c r="V794" s="2505">
        <v>275.31</v>
      </c>
      <c r="W794" s="2505">
        <v>285.2</v>
      </c>
      <c r="X794" s="2505">
        <v>285.2</v>
      </c>
      <c r="Y794" s="2505">
        <v>275.31</v>
      </c>
      <c r="Z794" s="2505">
        <v>285.2</v>
      </c>
      <c r="AA794" s="2505">
        <v>285.2</v>
      </c>
      <c r="AB794" s="2505">
        <v>285.2</v>
      </c>
      <c r="AC794" s="2505">
        <v>275.31</v>
      </c>
      <c r="AD794" s="2505">
        <v>275.31</v>
      </c>
      <c r="AE794" s="2505">
        <v>296.14</v>
      </c>
      <c r="AF794" s="2505">
        <v>287.61</v>
      </c>
      <c r="AG794" s="2505">
        <v>296.14</v>
      </c>
      <c r="AH794" s="2505">
        <v>296.14</v>
      </c>
      <c r="AI794" s="2505">
        <v>287.61</v>
      </c>
      <c r="AJ794" s="2505">
        <v>287.61</v>
      </c>
      <c r="AK794" s="2505">
        <v>287.88</v>
      </c>
      <c r="AL794" s="2505">
        <v>287.88</v>
      </c>
      <c r="AM794" s="2505">
        <v>79.86</v>
      </c>
      <c r="AN794" s="2505">
        <v>76.97</v>
      </c>
      <c r="AO794" s="2505">
        <v>76.97</v>
      </c>
      <c r="AP794" s="2505">
        <v>76.89</v>
      </c>
      <c r="AQ794" s="2505">
        <v>77.099999999999994</v>
      </c>
      <c r="AR794" s="2505">
        <v>77.099999999999994</v>
      </c>
      <c r="AS794" s="2505">
        <v>233.95</v>
      </c>
      <c r="AT794" s="2505">
        <v>233.95</v>
      </c>
      <c r="AU794" s="2505">
        <v>233.95</v>
      </c>
      <c r="AV794" s="2505">
        <v>239.01</v>
      </c>
      <c r="AW794" s="2505">
        <v>234.09</v>
      </c>
      <c r="AX794" s="2505">
        <v>234.09</v>
      </c>
      <c r="AY794" s="2505">
        <v>234.21</v>
      </c>
      <c r="AZ794" s="2505">
        <v>234.21</v>
      </c>
      <c r="BA794" s="2040">
        <v>102.34</v>
      </c>
      <c r="BB794" s="2040">
        <v>102.34</v>
      </c>
      <c r="BC794" s="2040">
        <v>26.2</v>
      </c>
      <c r="BD794" s="2040">
        <v>26.33</v>
      </c>
      <c r="BE794" s="2040">
        <v>28.72</v>
      </c>
      <c r="BF794" s="2040">
        <v>28.72</v>
      </c>
      <c r="BG794" s="2040">
        <v>26.25</v>
      </c>
      <c r="BH794" s="2040">
        <v>26.25</v>
      </c>
      <c r="BI794" s="2040">
        <v>26.03</v>
      </c>
      <c r="BJ794" s="2040">
        <v>26.03</v>
      </c>
      <c r="BK794" s="2040">
        <v>26.03</v>
      </c>
      <c r="BL794" s="2040">
        <v>26.03</v>
      </c>
      <c r="BM794" s="2040">
        <v>58.36</v>
      </c>
      <c r="BN794" s="2040">
        <v>58.36</v>
      </c>
      <c r="BO794" s="2040">
        <v>184.48</v>
      </c>
      <c r="BP794" s="2040">
        <v>184.48</v>
      </c>
      <c r="BQ794" s="2040">
        <v>184.48</v>
      </c>
      <c r="BR794" s="2040">
        <v>184.48</v>
      </c>
      <c r="BS794" s="2040">
        <v>240.92</v>
      </c>
      <c r="BT794" s="2040">
        <v>240.92</v>
      </c>
      <c r="BU794" s="2040">
        <v>240.92</v>
      </c>
      <c r="BV794" s="2040">
        <v>240.92</v>
      </c>
      <c r="BW794" s="2040">
        <v>240.92</v>
      </c>
      <c r="BX794" s="2040">
        <v>240.92</v>
      </c>
      <c r="BY794" s="2040">
        <v>52.97</v>
      </c>
      <c r="BZ794" s="2040">
        <v>52.97</v>
      </c>
      <c r="CA794" s="2040">
        <v>176.76</v>
      </c>
      <c r="CB794" s="2040">
        <v>176.76</v>
      </c>
      <c r="CC794" s="2040">
        <v>179.49</v>
      </c>
      <c r="CD794" s="2040">
        <v>179.49</v>
      </c>
      <c r="CE794" s="2040">
        <v>237.71</v>
      </c>
      <c r="CF794" s="2040">
        <v>237.71</v>
      </c>
      <c r="CK794" s="2040">
        <v>131.38999999999999</v>
      </c>
      <c r="CL794" s="2040">
        <v>131.38999999999999</v>
      </c>
      <c r="CM794" s="2040">
        <v>264.07</v>
      </c>
      <c r="CN794" s="2040">
        <v>264.07</v>
      </c>
      <c r="CO794" s="2040">
        <v>343.49</v>
      </c>
      <c r="CP794" s="2040">
        <v>343.49</v>
      </c>
      <c r="CQ794" s="2040">
        <v>343.49</v>
      </c>
      <c r="CR794" s="2040">
        <v>343.49</v>
      </c>
      <c r="CW794" s="2040">
        <v>123.17</v>
      </c>
      <c r="CX794" s="2040">
        <v>123.17</v>
      </c>
      <c r="CY794" s="2040">
        <v>255.85</v>
      </c>
      <c r="CZ794" s="2040">
        <v>255.85</v>
      </c>
      <c r="DA794" s="2040">
        <v>255.85</v>
      </c>
      <c r="DB794" s="2040">
        <v>255.85</v>
      </c>
      <c r="DC794" s="2040">
        <v>333.1</v>
      </c>
      <c r="DD794" s="2040">
        <v>333.1</v>
      </c>
      <c r="DE794" s="2040">
        <v>333.1</v>
      </c>
      <c r="DF794" s="2040">
        <v>333.1</v>
      </c>
      <c r="DI794" s="2040">
        <v>32.520000000000003</v>
      </c>
      <c r="DJ794" s="2040">
        <v>32.520000000000003</v>
      </c>
      <c r="DK794" s="2040">
        <v>32.520000000000003</v>
      </c>
      <c r="DL794" s="2040">
        <v>32.520000000000003</v>
      </c>
      <c r="DM794" s="2040">
        <v>32.520000000000003</v>
      </c>
      <c r="DN794" s="2040">
        <v>32.520000000000003</v>
      </c>
      <c r="DU794" s="2040">
        <v>14.48</v>
      </c>
      <c r="DV794" s="2040">
        <v>14.48</v>
      </c>
      <c r="DW794" s="2040">
        <v>14.07</v>
      </c>
      <c r="DX794" s="2040">
        <v>14.07</v>
      </c>
      <c r="DY794" s="2040">
        <v>14.07</v>
      </c>
      <c r="DZ794" s="2040">
        <v>14.07</v>
      </c>
      <c r="EG794" s="2040">
        <v>15.51</v>
      </c>
      <c r="EH794" s="2040">
        <v>15.67</v>
      </c>
      <c r="EI794" s="2040">
        <v>13.02</v>
      </c>
      <c r="EJ794" s="2040">
        <v>13.02</v>
      </c>
      <c r="EK794" s="2040">
        <v>13.02</v>
      </c>
      <c r="EL794" s="2040">
        <v>13.02</v>
      </c>
      <c r="EM794" s="2040">
        <v>13.54</v>
      </c>
      <c r="EN794" s="2040">
        <v>13.54</v>
      </c>
      <c r="EO794" s="2040">
        <v>12.91</v>
      </c>
      <c r="EP794" s="2040">
        <v>12.91</v>
      </c>
      <c r="EQ794" s="2040">
        <v>13.28</v>
      </c>
      <c r="ER794" s="2040">
        <v>13.08</v>
      </c>
      <c r="ES794" s="2040">
        <v>59.51</v>
      </c>
      <c r="ET794" s="2040">
        <v>59.51</v>
      </c>
      <c r="EU794" s="2040">
        <v>264.45999999999998</v>
      </c>
      <c r="EV794" s="2040">
        <v>264.45999999999998</v>
      </c>
      <c r="EW794" s="2040">
        <v>258.95</v>
      </c>
      <c r="EX794" s="2040">
        <v>258.95</v>
      </c>
      <c r="EY794" s="2506">
        <f t="shared" si="60"/>
        <v>261.70499999999998</v>
      </c>
      <c r="EZ794" s="2506">
        <f t="shared" si="60"/>
        <v>261.70499999999998</v>
      </c>
      <c r="FA794" s="2040">
        <v>261.60000000000002</v>
      </c>
      <c r="FB794" s="2040">
        <v>261.60000000000002</v>
      </c>
      <c r="FE794" s="2040">
        <v>51.2</v>
      </c>
      <c r="FF794" s="2040">
        <v>51.2</v>
      </c>
      <c r="FG794" s="2040">
        <v>223.11</v>
      </c>
      <c r="FH794" s="2040">
        <v>223.11</v>
      </c>
      <c r="FI794" s="2040">
        <v>223.11</v>
      </c>
      <c r="FJ794" s="2040">
        <v>224.1</v>
      </c>
      <c r="FK794" s="2040">
        <v>222.8</v>
      </c>
      <c r="FL794" s="2040">
        <v>222.8</v>
      </c>
      <c r="FM794" s="2040">
        <v>223.22</v>
      </c>
      <c r="FN794" s="2040">
        <v>223.22</v>
      </c>
      <c r="FQ794" s="2040">
        <v>115.67</v>
      </c>
      <c r="FR794" s="2040">
        <v>115.67</v>
      </c>
      <c r="FS794" s="2040">
        <v>234.04</v>
      </c>
      <c r="FT794" s="2040">
        <v>234.04</v>
      </c>
      <c r="FU794" s="2040">
        <v>234.04</v>
      </c>
      <c r="FV794" s="2040">
        <v>234.04</v>
      </c>
      <c r="FW794" s="2040">
        <v>234.27</v>
      </c>
      <c r="FX794" s="2040">
        <v>234.27</v>
      </c>
      <c r="GC794" s="2040">
        <v>81.680000000000007</v>
      </c>
      <c r="GD794" s="2040">
        <v>81.680000000000007</v>
      </c>
      <c r="GE794" s="2040">
        <v>182.87</v>
      </c>
      <c r="GF794" s="2040">
        <v>182.87</v>
      </c>
      <c r="GG794" s="2040">
        <v>182.87</v>
      </c>
      <c r="GH794" s="2040">
        <v>182.87</v>
      </c>
      <c r="GI794" s="2040">
        <v>209.68</v>
      </c>
      <c r="GJ794" s="2040">
        <v>209.68</v>
      </c>
      <c r="GK794" s="2040">
        <v>231.17</v>
      </c>
      <c r="GL794" s="2040">
        <v>231.17</v>
      </c>
      <c r="GO794" s="2040">
        <v>43.74</v>
      </c>
      <c r="GP794" s="2040">
        <v>43.74</v>
      </c>
      <c r="GQ794" s="2040">
        <v>39.03</v>
      </c>
      <c r="GR794" s="2040">
        <v>39.03</v>
      </c>
      <c r="GS794" s="2040">
        <v>39.03</v>
      </c>
      <c r="GT794" s="2040">
        <v>37.659999999999997</v>
      </c>
      <c r="GU794" s="2040">
        <v>37.659999999999997</v>
      </c>
      <c r="GV794" s="2040">
        <v>37.83</v>
      </c>
      <c r="GW794" s="2040">
        <v>220.95</v>
      </c>
      <c r="GX794" s="2040">
        <v>220.95</v>
      </c>
      <c r="HA794" s="2040">
        <v>30.47</v>
      </c>
      <c r="HB794" s="2040">
        <v>30.47</v>
      </c>
      <c r="HC794" s="2040">
        <v>24.57</v>
      </c>
      <c r="HD794" s="2040">
        <v>24.57</v>
      </c>
      <c r="HE794" s="2040">
        <v>25.14</v>
      </c>
      <c r="HF794" s="2040">
        <v>25.14</v>
      </c>
      <c r="HG794" s="2040">
        <v>25.14</v>
      </c>
      <c r="HH794" s="2040">
        <v>25.14</v>
      </c>
      <c r="HI794" s="2040">
        <v>25.14</v>
      </c>
      <c r="HJ794" s="2040">
        <v>25.14</v>
      </c>
      <c r="HK794" s="2040">
        <v>25.24</v>
      </c>
      <c r="HL794" s="2040">
        <v>25.37</v>
      </c>
      <c r="HM794" s="2040">
        <v>42.71</v>
      </c>
      <c r="HN794" s="2040">
        <v>42.71</v>
      </c>
      <c r="HO794" s="2040">
        <v>34.72</v>
      </c>
      <c r="HP794" s="2040">
        <v>34.72</v>
      </c>
      <c r="HQ794" s="2040">
        <v>35.549999999999997</v>
      </c>
      <c r="HR794" s="2040">
        <v>35.549999999999997</v>
      </c>
      <c r="HS794" s="2040">
        <v>35.549999999999997</v>
      </c>
      <c r="HT794" s="2040">
        <v>35.549999999999997</v>
      </c>
      <c r="HU794" s="2040">
        <v>35.549999999999997</v>
      </c>
      <c r="HV794" s="2040">
        <v>35.549999999999997</v>
      </c>
      <c r="HW794" s="2040">
        <v>35.619999999999997</v>
      </c>
      <c r="HX794" s="2040">
        <v>35.619999999999997</v>
      </c>
    </row>
    <row r="795" spans="1:232" s="2040" customFormat="1" ht="14" x14ac:dyDescent="0.3">
      <c r="B795" s="2504">
        <v>96</v>
      </c>
      <c r="C795" s="2505">
        <v>48.34</v>
      </c>
      <c r="D795" s="2505">
        <v>48.34</v>
      </c>
      <c r="E795" s="2505">
        <v>48.39</v>
      </c>
      <c r="F795" s="2505">
        <v>48.39</v>
      </c>
      <c r="G795" s="2505">
        <v>189.78</v>
      </c>
      <c r="H795" s="2505">
        <v>189.78</v>
      </c>
      <c r="I795" s="2505">
        <v>180.99</v>
      </c>
      <c r="J795" s="2505">
        <v>180.99</v>
      </c>
      <c r="K795" s="2505">
        <v>184.27</v>
      </c>
      <c r="L795" s="2505">
        <v>184.27</v>
      </c>
      <c r="M795" s="2505"/>
      <c r="N795" s="2505"/>
      <c r="O795" s="2505">
        <v>151.46</v>
      </c>
      <c r="P795" s="2505">
        <v>151.46</v>
      </c>
      <c r="Q795" s="2505">
        <v>150.87</v>
      </c>
      <c r="R795" s="2505">
        <v>151.47</v>
      </c>
      <c r="S795" s="2505">
        <v>286.26</v>
      </c>
      <c r="T795" s="2505">
        <v>286.05</v>
      </c>
      <c r="U795" s="2505">
        <v>276.12</v>
      </c>
      <c r="V795" s="2505">
        <v>276.12</v>
      </c>
      <c r="W795" s="2505">
        <v>286.05</v>
      </c>
      <c r="X795" s="2505">
        <v>286.05</v>
      </c>
      <c r="Y795" s="2505">
        <v>276.12</v>
      </c>
      <c r="Z795" s="2505">
        <v>286.05</v>
      </c>
      <c r="AA795" s="2505">
        <v>286.05</v>
      </c>
      <c r="AB795" s="2505">
        <v>286.05</v>
      </c>
      <c r="AC795" s="2505">
        <v>276.12</v>
      </c>
      <c r="AD795" s="2505">
        <v>276.12</v>
      </c>
      <c r="AE795" s="2505">
        <v>296.89</v>
      </c>
      <c r="AF795" s="2505">
        <v>288.33999999999997</v>
      </c>
      <c r="AG795" s="2505">
        <v>296.89</v>
      </c>
      <c r="AH795" s="2505">
        <v>296.89</v>
      </c>
      <c r="AI795" s="2505">
        <v>288.33999999999997</v>
      </c>
      <c r="AJ795" s="2505">
        <v>288.33999999999997</v>
      </c>
      <c r="AK795" s="2505">
        <v>288.61</v>
      </c>
      <c r="AL795" s="2505">
        <v>288.61</v>
      </c>
      <c r="AM795" s="2505">
        <v>80.03</v>
      </c>
      <c r="AN795" s="2505">
        <v>77.13</v>
      </c>
      <c r="AO795" s="2505">
        <v>77.13</v>
      </c>
      <c r="AP795" s="2505">
        <v>77.05</v>
      </c>
      <c r="AQ795" s="2505">
        <v>77.25</v>
      </c>
      <c r="AR795" s="2505">
        <v>77.25</v>
      </c>
      <c r="AS795" s="2505">
        <v>234.56</v>
      </c>
      <c r="AT795" s="2505">
        <v>234.56</v>
      </c>
      <c r="AU795" s="2505">
        <v>234.56</v>
      </c>
      <c r="AV795" s="2505">
        <v>239.63</v>
      </c>
      <c r="AW795" s="2505">
        <v>234.7</v>
      </c>
      <c r="AX795" s="2505">
        <v>234.7</v>
      </c>
      <c r="AY795" s="2505">
        <v>234.82</v>
      </c>
      <c r="AZ795" s="2505">
        <v>234.82</v>
      </c>
      <c r="BA795" s="2040">
        <v>102.62</v>
      </c>
      <c r="BB795" s="2040">
        <v>102.62</v>
      </c>
      <c r="BC795" s="2040">
        <v>26.28</v>
      </c>
      <c r="BD795" s="2040">
        <v>26.41</v>
      </c>
      <c r="BE795" s="2040">
        <v>28.78</v>
      </c>
      <c r="BF795" s="2040">
        <v>28.78</v>
      </c>
      <c r="BG795" s="2040">
        <v>26.33</v>
      </c>
      <c r="BH795" s="2040">
        <v>26.33</v>
      </c>
      <c r="BI795" s="2040">
        <v>26.11</v>
      </c>
      <c r="BJ795" s="2040">
        <v>26.11</v>
      </c>
      <c r="BK795" s="2040">
        <v>26.11</v>
      </c>
      <c r="BL795" s="2040">
        <v>26.11</v>
      </c>
      <c r="BM795" s="2040">
        <v>58.48</v>
      </c>
      <c r="BN795" s="2040">
        <v>58.48</v>
      </c>
      <c r="BO795" s="2040">
        <v>184.92</v>
      </c>
      <c r="BP795" s="2040">
        <v>184.92</v>
      </c>
      <c r="BQ795" s="2040">
        <v>184.92</v>
      </c>
      <c r="BR795" s="2040">
        <v>184.92</v>
      </c>
      <c r="BS795" s="2040">
        <v>241.61</v>
      </c>
      <c r="BT795" s="2040">
        <v>241.61</v>
      </c>
      <c r="BU795" s="2040">
        <v>241.61</v>
      </c>
      <c r="BV795" s="2040">
        <v>241.61</v>
      </c>
      <c r="BW795" s="2040">
        <v>241.61</v>
      </c>
      <c r="BX795" s="2040">
        <v>241.61</v>
      </c>
      <c r="BY795" s="2040">
        <v>53.08</v>
      </c>
      <c r="BZ795" s="2040">
        <v>53.08</v>
      </c>
      <c r="CA795" s="2040">
        <v>177.19</v>
      </c>
      <c r="CB795" s="2040">
        <v>177.19</v>
      </c>
      <c r="CC795" s="2040">
        <v>179.94</v>
      </c>
      <c r="CD795" s="2040">
        <v>179.94</v>
      </c>
      <c r="CE795" s="2040">
        <v>238.4</v>
      </c>
      <c r="CF795" s="2040">
        <v>238.4</v>
      </c>
      <c r="CK795" s="2040">
        <v>131.65</v>
      </c>
      <c r="CL795" s="2040">
        <v>131.65</v>
      </c>
      <c r="CM795" s="2040">
        <v>264.52</v>
      </c>
      <c r="CN795" s="2040">
        <v>264.52</v>
      </c>
      <c r="CO795" s="2040">
        <v>344.24</v>
      </c>
      <c r="CP795" s="2040">
        <v>344.24</v>
      </c>
      <c r="CQ795" s="2040">
        <v>344.24</v>
      </c>
      <c r="CR795" s="2040">
        <v>344.24</v>
      </c>
      <c r="CW795" s="2040">
        <v>123.42</v>
      </c>
      <c r="CX795" s="2040">
        <v>123.42</v>
      </c>
      <c r="CY795" s="2040">
        <v>256.31</v>
      </c>
      <c r="CZ795" s="2040">
        <v>256.31</v>
      </c>
      <c r="DA795" s="2040">
        <v>256.31</v>
      </c>
      <c r="DB795" s="2040">
        <v>256.31</v>
      </c>
      <c r="DC795" s="2040">
        <v>333.85</v>
      </c>
      <c r="DD795" s="2040">
        <v>333.85</v>
      </c>
      <c r="DE795" s="2040">
        <v>333.85</v>
      </c>
      <c r="DF795" s="2040">
        <v>333.85</v>
      </c>
      <c r="DI795" s="2040">
        <v>32.590000000000003</v>
      </c>
      <c r="DJ795" s="2040">
        <v>32.590000000000003</v>
      </c>
      <c r="DK795" s="2040">
        <v>32.590000000000003</v>
      </c>
      <c r="DL795" s="2040">
        <v>32.590000000000003</v>
      </c>
      <c r="DM795" s="2040">
        <v>32.590000000000003</v>
      </c>
      <c r="DN795" s="2040">
        <v>32.590000000000003</v>
      </c>
      <c r="DU795" s="2040">
        <v>14.51</v>
      </c>
      <c r="DV795" s="2040">
        <v>14.51</v>
      </c>
      <c r="DW795" s="2040">
        <v>14.1</v>
      </c>
      <c r="DX795" s="2040">
        <v>14.1</v>
      </c>
      <c r="DY795" s="2040">
        <v>14.1</v>
      </c>
      <c r="DZ795" s="2040">
        <v>14.1</v>
      </c>
      <c r="EG795" s="2040">
        <v>15.54</v>
      </c>
      <c r="EH795" s="2040">
        <v>15.7</v>
      </c>
      <c r="EI795" s="2040">
        <v>13.06</v>
      </c>
      <c r="EJ795" s="2040">
        <v>13.06</v>
      </c>
      <c r="EK795" s="2040">
        <v>13.07</v>
      </c>
      <c r="EL795" s="2040">
        <v>13.07</v>
      </c>
      <c r="EM795" s="2040">
        <v>13.58</v>
      </c>
      <c r="EN795" s="2040">
        <v>13.58</v>
      </c>
      <c r="EO795" s="2040">
        <v>12.95</v>
      </c>
      <c r="EP795" s="2040">
        <v>12.95</v>
      </c>
      <c r="EQ795" s="2040">
        <v>13.33</v>
      </c>
      <c r="ER795" s="2040">
        <v>13.12</v>
      </c>
      <c r="ES795" s="2040">
        <v>59.63</v>
      </c>
      <c r="ET795" s="2040">
        <v>59.63</v>
      </c>
      <c r="EU795" s="2040">
        <v>265.23</v>
      </c>
      <c r="EV795" s="2040">
        <v>265.23</v>
      </c>
      <c r="EW795" s="2040">
        <v>259.70999999999998</v>
      </c>
      <c r="EX795" s="2040">
        <v>259.70999999999998</v>
      </c>
      <c r="EY795" s="2506">
        <f t="shared" si="60"/>
        <v>262.47000000000003</v>
      </c>
      <c r="EZ795" s="2506">
        <f t="shared" si="60"/>
        <v>262.47000000000003</v>
      </c>
      <c r="FA795" s="2040">
        <v>262.33</v>
      </c>
      <c r="FB795" s="2040">
        <v>262.33</v>
      </c>
      <c r="FE795" s="2040">
        <v>51.3</v>
      </c>
      <c r="FF795" s="2040">
        <v>51.3</v>
      </c>
      <c r="FG795" s="2040">
        <v>223.77</v>
      </c>
      <c r="FH795" s="2040">
        <v>223.77</v>
      </c>
      <c r="FI795" s="2040">
        <v>223.77</v>
      </c>
      <c r="FJ795" s="2040">
        <v>224.74</v>
      </c>
      <c r="FK795" s="2040">
        <v>223.47</v>
      </c>
      <c r="FL795" s="2040">
        <v>223.47</v>
      </c>
      <c r="FM795" s="2040">
        <v>223.88</v>
      </c>
      <c r="FN795" s="2040">
        <v>223.88</v>
      </c>
      <c r="FQ795" s="2040">
        <v>115.92</v>
      </c>
      <c r="FR795" s="2040">
        <v>115.92</v>
      </c>
      <c r="FS795" s="2040">
        <v>234.61</v>
      </c>
      <c r="FT795" s="2040">
        <v>234.61</v>
      </c>
      <c r="FU795" s="2040">
        <v>234.61</v>
      </c>
      <c r="FV795" s="2040">
        <v>234.61</v>
      </c>
      <c r="FW795" s="2040">
        <v>234.83</v>
      </c>
      <c r="FX795" s="2040">
        <v>234.83</v>
      </c>
      <c r="GC795" s="2040">
        <v>81.84</v>
      </c>
      <c r="GD795" s="2040">
        <v>81.84</v>
      </c>
      <c r="GE795" s="2040">
        <v>183.21</v>
      </c>
      <c r="GF795" s="2040">
        <v>183.21</v>
      </c>
      <c r="GG795" s="2040">
        <v>183.21</v>
      </c>
      <c r="GH795" s="2040">
        <v>183.21</v>
      </c>
      <c r="GI795" s="2040">
        <v>210.48</v>
      </c>
      <c r="GJ795" s="2040">
        <v>210.48</v>
      </c>
      <c r="GK795" s="2040">
        <v>231.82</v>
      </c>
      <c r="GL795" s="2040">
        <v>231.82</v>
      </c>
      <c r="GO795" s="2040">
        <v>43.83</v>
      </c>
      <c r="GP795" s="2040">
        <v>43.83</v>
      </c>
      <c r="GQ795" s="2040">
        <v>39.15</v>
      </c>
      <c r="GR795" s="2040">
        <v>39.15</v>
      </c>
      <c r="GS795" s="2040">
        <v>39.15</v>
      </c>
      <c r="GT795" s="2040">
        <v>37.770000000000003</v>
      </c>
      <c r="GU795" s="2040">
        <v>37.770000000000003</v>
      </c>
      <c r="GV795" s="2040">
        <v>37.94</v>
      </c>
      <c r="GW795" s="2040">
        <v>221.59</v>
      </c>
      <c r="GX795" s="2040">
        <v>221.59</v>
      </c>
      <c r="HA795" s="2040">
        <v>30.53</v>
      </c>
      <c r="HB795" s="2040">
        <v>30.53</v>
      </c>
      <c r="HC795" s="2040">
        <v>24.66</v>
      </c>
      <c r="HD795" s="2040">
        <v>24.66</v>
      </c>
      <c r="HE795" s="2040">
        <v>25.23</v>
      </c>
      <c r="HF795" s="2040">
        <v>25.23</v>
      </c>
      <c r="HG795" s="2040">
        <v>25.23</v>
      </c>
      <c r="HH795" s="2040">
        <v>25.23</v>
      </c>
      <c r="HI795" s="2040">
        <v>25.23</v>
      </c>
      <c r="HJ795" s="2040">
        <v>25.23</v>
      </c>
      <c r="HK795" s="2040">
        <v>25.33</v>
      </c>
      <c r="HL795" s="2040">
        <v>25.45</v>
      </c>
      <c r="HM795" s="2040">
        <v>42.79</v>
      </c>
      <c r="HN795" s="2040">
        <v>42.79</v>
      </c>
      <c r="HO795" s="2040">
        <v>34.840000000000003</v>
      </c>
      <c r="HP795" s="2040">
        <v>34.840000000000003</v>
      </c>
      <c r="HQ795" s="2040">
        <v>35.67</v>
      </c>
      <c r="HR795" s="2040">
        <v>35.67</v>
      </c>
      <c r="HS795" s="2040">
        <v>35.67</v>
      </c>
      <c r="HT795" s="2040">
        <v>35.67</v>
      </c>
      <c r="HU795" s="2040">
        <v>35.67</v>
      </c>
      <c r="HV795" s="2040">
        <v>35.67</v>
      </c>
      <c r="HW795" s="2040">
        <v>35.74</v>
      </c>
      <c r="HX795" s="2040">
        <v>35.74</v>
      </c>
    </row>
    <row r="796" spans="1:232" s="2040" customFormat="1" ht="14" x14ac:dyDescent="0.3">
      <c r="B796" s="2504">
        <v>97</v>
      </c>
      <c r="C796" s="2505">
        <v>48.44</v>
      </c>
      <c r="D796" s="2505">
        <v>48.44</v>
      </c>
      <c r="E796" s="2505">
        <v>48.48</v>
      </c>
      <c r="F796" s="2505">
        <v>48.48</v>
      </c>
      <c r="G796" s="2505">
        <v>190.25</v>
      </c>
      <c r="H796" s="2505">
        <v>190.25</v>
      </c>
      <c r="I796" s="2505">
        <v>181.48</v>
      </c>
      <c r="J796" s="2505">
        <v>181.48</v>
      </c>
      <c r="K796" s="2505">
        <v>184.7</v>
      </c>
      <c r="L796" s="2505">
        <v>184.7</v>
      </c>
      <c r="M796" s="2505"/>
      <c r="N796" s="2505"/>
      <c r="O796" s="2505">
        <v>151.77000000000001</v>
      </c>
      <c r="P796" s="2505">
        <v>151.77000000000001</v>
      </c>
      <c r="Q796" s="2505">
        <v>151.16999999999999</v>
      </c>
      <c r="R796" s="2505">
        <v>151.78</v>
      </c>
      <c r="S796" s="2505">
        <v>287.08999999999997</v>
      </c>
      <c r="T796" s="2505">
        <v>286.87</v>
      </c>
      <c r="U796" s="2505">
        <v>276.92</v>
      </c>
      <c r="V796" s="2505">
        <v>276.92</v>
      </c>
      <c r="W796" s="2505">
        <v>286.87</v>
      </c>
      <c r="X796" s="2505">
        <v>286.87</v>
      </c>
      <c r="Y796" s="2505">
        <v>276.92</v>
      </c>
      <c r="Z796" s="2505">
        <v>286.87</v>
      </c>
      <c r="AA796" s="2505">
        <v>286.87</v>
      </c>
      <c r="AB796" s="2505">
        <v>286.87</v>
      </c>
      <c r="AC796" s="2505">
        <v>276.92</v>
      </c>
      <c r="AD796" s="2505">
        <v>276.92</v>
      </c>
      <c r="AE796" s="2505">
        <v>297.63</v>
      </c>
      <c r="AF796" s="2505">
        <v>289.05</v>
      </c>
      <c r="AG796" s="2505">
        <v>297.63</v>
      </c>
      <c r="AH796" s="2505">
        <v>297.63</v>
      </c>
      <c r="AI796" s="2505">
        <v>289.05</v>
      </c>
      <c r="AJ796" s="2505">
        <v>289.05</v>
      </c>
      <c r="AK796" s="2505">
        <v>289.32</v>
      </c>
      <c r="AL796" s="2505">
        <v>289.32</v>
      </c>
      <c r="AM796" s="2505">
        <v>80.19</v>
      </c>
      <c r="AN796" s="2505">
        <v>77.28</v>
      </c>
      <c r="AO796" s="2505">
        <v>77.28</v>
      </c>
      <c r="AP796" s="2505">
        <v>77.209999999999994</v>
      </c>
      <c r="AQ796" s="2505">
        <v>77.400000000000006</v>
      </c>
      <c r="AR796" s="2505">
        <v>77.400000000000006</v>
      </c>
      <c r="AS796" s="2505">
        <v>235.16</v>
      </c>
      <c r="AT796" s="2505">
        <v>235.16</v>
      </c>
      <c r="AU796" s="2505">
        <v>235.16</v>
      </c>
      <c r="AV796" s="2505">
        <v>240.24</v>
      </c>
      <c r="AW796" s="2505">
        <v>235.3</v>
      </c>
      <c r="AX796" s="2505">
        <v>235.3</v>
      </c>
      <c r="AY796" s="2505">
        <v>235.41</v>
      </c>
      <c r="AZ796" s="2505">
        <v>235.41</v>
      </c>
      <c r="BA796" s="2040">
        <v>102.89</v>
      </c>
      <c r="BB796" s="2040">
        <v>102.89</v>
      </c>
      <c r="BC796" s="2040">
        <v>26.37</v>
      </c>
      <c r="BD796" s="2040">
        <v>26.49</v>
      </c>
      <c r="BE796" s="2040">
        <v>28.84</v>
      </c>
      <c r="BF796" s="2040">
        <v>28.84</v>
      </c>
      <c r="BG796" s="2040">
        <v>26.42</v>
      </c>
      <c r="BH796" s="2040">
        <v>26.42</v>
      </c>
      <c r="BI796" s="2040">
        <v>26.19</v>
      </c>
      <c r="BJ796" s="2040">
        <v>26.19</v>
      </c>
      <c r="BK796" s="2040">
        <v>26.19</v>
      </c>
      <c r="BL796" s="2040">
        <v>26.19</v>
      </c>
      <c r="BM796" s="2040">
        <v>58.6</v>
      </c>
      <c r="BN796" s="2040">
        <v>58.6</v>
      </c>
      <c r="BO796" s="2040">
        <v>185.36</v>
      </c>
      <c r="BP796" s="2040">
        <v>185.36</v>
      </c>
      <c r="BQ796" s="2040">
        <v>185.36</v>
      </c>
      <c r="BR796" s="2040">
        <v>185.36</v>
      </c>
      <c r="BS796" s="2040">
        <v>242.29</v>
      </c>
      <c r="BT796" s="2040">
        <v>242.29</v>
      </c>
      <c r="BU796" s="2040">
        <v>242.29</v>
      </c>
      <c r="BV796" s="2040">
        <v>242.29</v>
      </c>
      <c r="BW796" s="2040">
        <v>242.29</v>
      </c>
      <c r="BX796" s="2040">
        <v>242.29</v>
      </c>
      <c r="BY796" s="2040">
        <v>53.19</v>
      </c>
      <c r="BZ796" s="2040">
        <v>53.19</v>
      </c>
      <c r="CA796" s="2040">
        <v>177.61</v>
      </c>
      <c r="CB796" s="2040">
        <v>177.61</v>
      </c>
      <c r="CC796" s="2040">
        <v>180.37</v>
      </c>
      <c r="CD796" s="2040">
        <v>180.37</v>
      </c>
      <c r="CE796" s="2040">
        <v>239.08</v>
      </c>
      <c r="CF796" s="2040">
        <v>239.08</v>
      </c>
      <c r="CK796" s="2040">
        <v>131.9</v>
      </c>
      <c r="CL796" s="2040">
        <v>131.9</v>
      </c>
      <c r="CM796" s="2040">
        <v>264.95999999999998</v>
      </c>
      <c r="CN796" s="2040">
        <v>264.95999999999998</v>
      </c>
      <c r="CO796" s="2040">
        <v>344.97</v>
      </c>
      <c r="CP796" s="2040">
        <v>344.97</v>
      </c>
      <c r="CQ796" s="2040">
        <v>344.97</v>
      </c>
      <c r="CR796" s="2040">
        <v>344.97</v>
      </c>
      <c r="CW796" s="2040">
        <v>123.67</v>
      </c>
      <c r="CX796" s="2040">
        <v>123.67</v>
      </c>
      <c r="CY796" s="2040">
        <v>256.76</v>
      </c>
      <c r="CZ796" s="2040">
        <v>256.76</v>
      </c>
      <c r="DA796" s="2040">
        <v>256.76</v>
      </c>
      <c r="DB796" s="2040">
        <v>256.76</v>
      </c>
      <c r="DC796" s="2040">
        <v>334.59</v>
      </c>
      <c r="DD796" s="2040">
        <v>334.59</v>
      </c>
      <c r="DE796" s="2040">
        <v>334.59</v>
      </c>
      <c r="DF796" s="2040">
        <v>334.59</v>
      </c>
      <c r="DI796" s="2040">
        <v>32.65</v>
      </c>
      <c r="DJ796" s="2040">
        <v>32.65</v>
      </c>
      <c r="DK796" s="2040">
        <v>32.65</v>
      </c>
      <c r="DL796" s="2040">
        <v>32.65</v>
      </c>
      <c r="DM796" s="2040">
        <v>32.65</v>
      </c>
      <c r="DN796" s="2040">
        <v>32.65</v>
      </c>
      <c r="DU796" s="2040">
        <v>14.54</v>
      </c>
      <c r="DV796" s="2040">
        <v>14.54</v>
      </c>
      <c r="DW796" s="2040">
        <v>14.14</v>
      </c>
      <c r="DX796" s="2040">
        <v>14.14</v>
      </c>
      <c r="DY796" s="2040">
        <v>14.14</v>
      </c>
      <c r="DZ796" s="2040">
        <v>14.14</v>
      </c>
      <c r="EG796" s="2040">
        <v>15.57</v>
      </c>
      <c r="EH796" s="2040">
        <v>15.73</v>
      </c>
      <c r="EI796" s="2040">
        <v>13.11</v>
      </c>
      <c r="EJ796" s="2040">
        <v>13.11</v>
      </c>
      <c r="EK796" s="2040">
        <v>13.11</v>
      </c>
      <c r="EL796" s="2040">
        <v>13.11</v>
      </c>
      <c r="EM796" s="2040">
        <v>13.62</v>
      </c>
      <c r="EN796" s="2040">
        <v>13.62</v>
      </c>
      <c r="EO796" s="2040">
        <v>12.99</v>
      </c>
      <c r="EP796" s="2040">
        <v>12.99</v>
      </c>
      <c r="EQ796" s="2040">
        <v>13.37</v>
      </c>
      <c r="ER796" s="2040">
        <v>13.16</v>
      </c>
      <c r="ES796" s="2040">
        <v>59.75</v>
      </c>
      <c r="ET796" s="2040">
        <v>59.75</v>
      </c>
      <c r="EU796" s="2040">
        <v>265.99</v>
      </c>
      <c r="EV796" s="2040">
        <v>265.99</v>
      </c>
      <c r="EW796" s="2040">
        <v>260.45999999999998</v>
      </c>
      <c r="EX796" s="2040">
        <v>260.45999999999998</v>
      </c>
      <c r="EY796" s="2506">
        <f t="shared" si="60"/>
        <v>263.22500000000002</v>
      </c>
      <c r="EZ796" s="2506">
        <f t="shared" si="60"/>
        <v>263.22500000000002</v>
      </c>
      <c r="FA796" s="2040">
        <v>263.05</v>
      </c>
      <c r="FB796" s="2040">
        <v>263.05</v>
      </c>
      <c r="FE796" s="2040">
        <v>51.41</v>
      </c>
      <c r="FF796" s="2040">
        <v>51.41</v>
      </c>
      <c r="FG796" s="2040">
        <v>224.42</v>
      </c>
      <c r="FH796" s="2040">
        <v>224.42</v>
      </c>
      <c r="FI796" s="2040">
        <v>224.42</v>
      </c>
      <c r="FJ796" s="2040">
        <v>225.37</v>
      </c>
      <c r="FK796" s="2040">
        <v>224.12</v>
      </c>
      <c r="FL796" s="2040">
        <v>224.12</v>
      </c>
      <c r="FM796" s="2040">
        <v>224.52</v>
      </c>
      <c r="FN796" s="2040">
        <v>224.52</v>
      </c>
      <c r="FQ796" s="2040">
        <v>116.15</v>
      </c>
      <c r="FR796" s="2040">
        <v>116.15</v>
      </c>
      <c r="FS796" s="2040">
        <v>235.17</v>
      </c>
      <c r="FT796" s="2040">
        <v>235.17</v>
      </c>
      <c r="FU796" s="2040">
        <v>235.17</v>
      </c>
      <c r="FV796" s="2040">
        <v>235.17</v>
      </c>
      <c r="FW796" s="2040">
        <v>235.38</v>
      </c>
      <c r="FX796" s="2040">
        <v>235.38</v>
      </c>
      <c r="GC796" s="2040">
        <v>82.01</v>
      </c>
      <c r="GD796" s="2040">
        <v>82.01</v>
      </c>
      <c r="GE796" s="2040">
        <v>183.56</v>
      </c>
      <c r="GF796" s="2040">
        <v>183.56</v>
      </c>
      <c r="GG796" s="2040">
        <v>183.56</v>
      </c>
      <c r="GH796" s="2040">
        <v>183.56</v>
      </c>
      <c r="GI796" s="2040">
        <v>211.27</v>
      </c>
      <c r="GJ796" s="2040">
        <v>211.27</v>
      </c>
      <c r="GK796" s="2040">
        <v>232.45</v>
      </c>
      <c r="GL796" s="2040">
        <v>232.45</v>
      </c>
      <c r="GO796" s="2040">
        <v>43.91</v>
      </c>
      <c r="GP796" s="2040">
        <v>43.91</v>
      </c>
      <c r="GQ796" s="2040">
        <v>39.26</v>
      </c>
      <c r="GR796" s="2040">
        <v>39.26</v>
      </c>
      <c r="GS796" s="2040">
        <v>39.26</v>
      </c>
      <c r="GT796" s="2040">
        <v>37.89</v>
      </c>
      <c r="GU796" s="2040">
        <v>37.89</v>
      </c>
      <c r="GV796" s="2040">
        <v>38.049999999999997</v>
      </c>
      <c r="GW796" s="2040">
        <v>222.23</v>
      </c>
      <c r="GX796" s="2040">
        <v>222.23</v>
      </c>
      <c r="HA796" s="2040">
        <v>30.6</v>
      </c>
      <c r="HB796" s="2040">
        <v>30.6</v>
      </c>
      <c r="HC796" s="2040">
        <v>24.75</v>
      </c>
      <c r="HD796" s="2040">
        <v>24.75</v>
      </c>
      <c r="HE796" s="2040">
        <v>25.31</v>
      </c>
      <c r="HF796" s="2040">
        <v>25.31</v>
      </c>
      <c r="HG796" s="2040">
        <v>25.31</v>
      </c>
      <c r="HH796" s="2040">
        <v>25.31</v>
      </c>
      <c r="HI796" s="2040">
        <v>25.31</v>
      </c>
      <c r="HJ796" s="2040">
        <v>25.31</v>
      </c>
      <c r="HK796" s="2040">
        <v>25.41</v>
      </c>
      <c r="HL796" s="2040">
        <v>25.53</v>
      </c>
      <c r="HM796" s="2040">
        <v>42.88</v>
      </c>
      <c r="HN796" s="2040">
        <v>42.88</v>
      </c>
      <c r="HO796" s="2040">
        <v>34.97</v>
      </c>
      <c r="HP796" s="2040">
        <v>34.97</v>
      </c>
      <c r="HQ796" s="2040">
        <v>35.78</v>
      </c>
      <c r="HR796" s="2040">
        <v>35.78</v>
      </c>
      <c r="HS796" s="2040">
        <v>35.78</v>
      </c>
      <c r="HT796" s="2040">
        <v>35.78</v>
      </c>
      <c r="HU796" s="2040">
        <v>35.78</v>
      </c>
      <c r="HV796" s="2040">
        <v>35.78</v>
      </c>
      <c r="HW796" s="2040">
        <v>35.86</v>
      </c>
      <c r="HX796" s="2040">
        <v>35.86</v>
      </c>
    </row>
    <row r="797" spans="1:232" s="2040" customFormat="1" ht="14" x14ac:dyDescent="0.3">
      <c r="B797" s="2504">
        <v>98</v>
      </c>
      <c r="C797" s="2505">
        <v>48.54</v>
      </c>
      <c r="D797" s="2505">
        <v>48.54</v>
      </c>
      <c r="E797" s="2505">
        <v>48.58</v>
      </c>
      <c r="F797" s="2505">
        <v>48.58</v>
      </c>
      <c r="G797" s="2505">
        <v>190.72</v>
      </c>
      <c r="H797" s="2505">
        <v>190.72</v>
      </c>
      <c r="I797" s="2505">
        <v>181.97</v>
      </c>
      <c r="J797" s="2505">
        <v>181.97</v>
      </c>
      <c r="K797" s="2505">
        <v>185.12</v>
      </c>
      <c r="L797" s="2505">
        <v>185.12</v>
      </c>
      <c r="M797" s="2505"/>
      <c r="N797" s="2505"/>
      <c r="O797" s="2505">
        <v>152.07</v>
      </c>
      <c r="P797" s="2505">
        <v>152.07</v>
      </c>
      <c r="Q797" s="2505">
        <v>151.46</v>
      </c>
      <c r="R797" s="2505">
        <v>152.08000000000001</v>
      </c>
      <c r="S797" s="2505">
        <v>287.89999999999998</v>
      </c>
      <c r="T797" s="2505">
        <v>287.69</v>
      </c>
      <c r="U797" s="2505">
        <v>277.7</v>
      </c>
      <c r="V797" s="2505">
        <v>277.7</v>
      </c>
      <c r="W797" s="2505">
        <v>287.69</v>
      </c>
      <c r="X797" s="2505">
        <v>287.69</v>
      </c>
      <c r="Y797" s="2505">
        <v>277.7</v>
      </c>
      <c r="Z797" s="2505">
        <v>287.69</v>
      </c>
      <c r="AA797" s="2505">
        <v>287.69</v>
      </c>
      <c r="AB797" s="2505">
        <v>287.69</v>
      </c>
      <c r="AC797" s="2505">
        <v>277.7</v>
      </c>
      <c r="AD797" s="2505">
        <v>277.7</v>
      </c>
      <c r="AE797" s="2505">
        <v>298.35000000000002</v>
      </c>
      <c r="AF797" s="2505">
        <v>289.75</v>
      </c>
      <c r="AG797" s="2505">
        <v>298.35000000000002</v>
      </c>
      <c r="AH797" s="2505">
        <v>298.35000000000002</v>
      </c>
      <c r="AI797" s="2505">
        <v>289.75</v>
      </c>
      <c r="AJ797" s="2505">
        <v>289.75</v>
      </c>
      <c r="AK797" s="2505">
        <v>290.01</v>
      </c>
      <c r="AL797" s="2505">
        <v>290.01</v>
      </c>
      <c r="AM797" s="2505">
        <v>80.349999999999994</v>
      </c>
      <c r="AN797" s="2505">
        <v>77.44</v>
      </c>
      <c r="AO797" s="2505">
        <v>77.44</v>
      </c>
      <c r="AP797" s="2505">
        <v>77.36</v>
      </c>
      <c r="AQ797" s="2505">
        <v>77.55</v>
      </c>
      <c r="AR797" s="2505">
        <v>77.55</v>
      </c>
      <c r="AS797" s="2505">
        <v>235.76</v>
      </c>
      <c r="AT797" s="2505">
        <v>235.76</v>
      </c>
      <c r="AU797" s="2505">
        <v>235.76</v>
      </c>
      <c r="AV797" s="2505">
        <v>240.83</v>
      </c>
      <c r="AW797" s="2505">
        <v>235.88</v>
      </c>
      <c r="AX797" s="2505">
        <v>235.88</v>
      </c>
      <c r="AY797" s="2505">
        <v>236</v>
      </c>
      <c r="AZ797" s="2505">
        <v>236</v>
      </c>
      <c r="BA797" s="2040">
        <v>103.16</v>
      </c>
      <c r="BB797" s="2040">
        <v>103.16</v>
      </c>
      <c r="BC797" s="2040">
        <v>26.45</v>
      </c>
      <c r="BD797" s="2040">
        <v>26.57</v>
      </c>
      <c r="BE797" s="2040">
        <v>28.9</v>
      </c>
      <c r="BF797" s="2040">
        <v>28.9</v>
      </c>
      <c r="BG797" s="2040">
        <v>26.5</v>
      </c>
      <c r="BH797" s="2040">
        <v>26.5</v>
      </c>
      <c r="BI797" s="2040">
        <v>26.27</v>
      </c>
      <c r="BJ797" s="2040">
        <v>26.27</v>
      </c>
      <c r="BK797" s="2040">
        <v>26.27</v>
      </c>
      <c r="BL797" s="2040">
        <v>26.27</v>
      </c>
      <c r="BM797" s="2040">
        <v>58.71</v>
      </c>
      <c r="BN797" s="2040">
        <v>58.71</v>
      </c>
      <c r="BO797" s="2040">
        <v>185.78</v>
      </c>
      <c r="BP797" s="2040">
        <v>185.78</v>
      </c>
      <c r="BQ797" s="2040">
        <v>185.78</v>
      </c>
      <c r="BR797" s="2040">
        <v>185.78</v>
      </c>
      <c r="BS797" s="2040">
        <v>242.95</v>
      </c>
      <c r="BT797" s="2040">
        <v>242.95</v>
      </c>
      <c r="BU797" s="2040">
        <v>242.95</v>
      </c>
      <c r="BV797" s="2040">
        <v>242.95</v>
      </c>
      <c r="BW797" s="2040">
        <v>242.95</v>
      </c>
      <c r="BX797" s="2040">
        <v>242.95</v>
      </c>
      <c r="BY797" s="2040">
        <v>53.29</v>
      </c>
      <c r="BZ797" s="2040">
        <v>53.29</v>
      </c>
      <c r="CA797" s="2040">
        <v>178.03</v>
      </c>
      <c r="CB797" s="2040">
        <v>178.03</v>
      </c>
      <c r="CC797" s="2040">
        <v>180.8</v>
      </c>
      <c r="CD797" s="2040">
        <v>180.8</v>
      </c>
      <c r="CE797" s="2040">
        <v>239.75</v>
      </c>
      <c r="CF797" s="2040">
        <v>239.75</v>
      </c>
      <c r="CK797" s="2040">
        <v>132.15</v>
      </c>
      <c r="CL797" s="2040">
        <v>132.15</v>
      </c>
      <c r="CM797" s="2040">
        <v>265.39999999999998</v>
      </c>
      <c r="CN797" s="2040">
        <v>265.39999999999998</v>
      </c>
      <c r="CO797" s="2040">
        <v>345.69</v>
      </c>
      <c r="CP797" s="2040">
        <v>345.69</v>
      </c>
      <c r="CQ797" s="2040">
        <v>345.69</v>
      </c>
      <c r="CR797" s="2040">
        <v>345.69</v>
      </c>
      <c r="CW797" s="2040">
        <v>123.92</v>
      </c>
      <c r="CX797" s="2040">
        <v>123.92</v>
      </c>
      <c r="CY797" s="2040">
        <v>257.2</v>
      </c>
      <c r="CZ797" s="2040">
        <v>257.2</v>
      </c>
      <c r="DA797" s="2040">
        <v>257.2</v>
      </c>
      <c r="DB797" s="2040">
        <v>257.2</v>
      </c>
      <c r="DC797" s="2040">
        <v>335.31</v>
      </c>
      <c r="DD797" s="2040">
        <v>335.31</v>
      </c>
      <c r="DE797" s="2040">
        <v>335.31</v>
      </c>
      <c r="DF797" s="2040">
        <v>335.31</v>
      </c>
      <c r="DI797" s="2040">
        <v>32.72</v>
      </c>
      <c r="DJ797" s="2040">
        <v>32.72</v>
      </c>
      <c r="DK797" s="2040">
        <v>32.72</v>
      </c>
      <c r="DL797" s="2040">
        <v>32.72</v>
      </c>
      <c r="DM797" s="2040">
        <v>32.72</v>
      </c>
      <c r="DN797" s="2040">
        <v>32.72</v>
      </c>
      <c r="DU797" s="2040">
        <v>14.57</v>
      </c>
      <c r="DV797" s="2040">
        <v>14.57</v>
      </c>
      <c r="DW797" s="2040">
        <v>14.17</v>
      </c>
      <c r="DX797" s="2040">
        <v>14.17</v>
      </c>
      <c r="DY797" s="2040">
        <v>14.17</v>
      </c>
      <c r="DZ797" s="2040">
        <v>14.17</v>
      </c>
      <c r="EG797" s="2040">
        <v>15.61</v>
      </c>
      <c r="EH797" s="2040">
        <v>15.76</v>
      </c>
      <c r="EI797" s="2040">
        <v>13.15</v>
      </c>
      <c r="EJ797" s="2040">
        <v>13.15</v>
      </c>
      <c r="EK797" s="2040">
        <v>13.15</v>
      </c>
      <c r="EL797" s="2040">
        <v>13.15</v>
      </c>
      <c r="EM797" s="2040">
        <v>13.66</v>
      </c>
      <c r="EN797" s="2040">
        <v>13.66</v>
      </c>
      <c r="EO797" s="2040">
        <v>13.03</v>
      </c>
      <c r="EP797" s="2040">
        <v>13.03</v>
      </c>
      <c r="EQ797" s="2040">
        <v>13.41</v>
      </c>
      <c r="ER797" s="2040">
        <v>13.2</v>
      </c>
      <c r="ES797" s="2040">
        <v>59.87</v>
      </c>
      <c r="ET797" s="2040">
        <v>59.87</v>
      </c>
      <c r="EU797" s="2040">
        <v>266.73</v>
      </c>
      <c r="EV797" s="2040">
        <v>266.73</v>
      </c>
      <c r="EW797" s="2040">
        <v>261.19</v>
      </c>
      <c r="EX797" s="2040">
        <v>261.19</v>
      </c>
      <c r="EY797" s="2506">
        <f t="shared" si="60"/>
        <v>263.96000000000004</v>
      </c>
      <c r="EZ797" s="2506">
        <f t="shared" si="60"/>
        <v>263.96000000000004</v>
      </c>
      <c r="FA797" s="2040">
        <v>263.76</v>
      </c>
      <c r="FB797" s="2040">
        <v>263.76</v>
      </c>
      <c r="FE797" s="2040">
        <v>51.51</v>
      </c>
      <c r="FF797" s="2040">
        <v>51.51</v>
      </c>
      <c r="FG797" s="2040">
        <v>225.06</v>
      </c>
      <c r="FH797" s="2040">
        <v>225.06</v>
      </c>
      <c r="FI797" s="2040">
        <v>225.06</v>
      </c>
      <c r="FJ797" s="2040">
        <v>226</v>
      </c>
      <c r="FK797" s="2040">
        <v>224.77</v>
      </c>
      <c r="FL797" s="2040">
        <v>224.77</v>
      </c>
      <c r="FM797" s="2040">
        <v>225.15</v>
      </c>
      <c r="FN797" s="2040">
        <v>225.15</v>
      </c>
      <c r="FQ797" s="2040">
        <v>116.39</v>
      </c>
      <c r="FR797" s="2040">
        <v>116.39</v>
      </c>
      <c r="FS797" s="2040">
        <v>235.72</v>
      </c>
      <c r="FT797" s="2040">
        <v>235.72</v>
      </c>
      <c r="FU797" s="2040">
        <v>235.72</v>
      </c>
      <c r="FV797" s="2040">
        <v>235.72</v>
      </c>
      <c r="FW797" s="2040">
        <v>235.93</v>
      </c>
      <c r="FX797" s="2040">
        <v>235.93</v>
      </c>
      <c r="GC797" s="2040">
        <v>82.17</v>
      </c>
      <c r="GD797" s="2040">
        <v>82.17</v>
      </c>
      <c r="GE797" s="2040">
        <v>183.89</v>
      </c>
      <c r="GF797" s="2040">
        <v>183.89</v>
      </c>
      <c r="GG797" s="2040">
        <v>183.89</v>
      </c>
      <c r="GH797" s="2040">
        <v>183.89</v>
      </c>
      <c r="GI797" s="2040">
        <v>212.05</v>
      </c>
      <c r="GJ797" s="2040">
        <v>212.05</v>
      </c>
      <c r="GK797" s="2040">
        <v>233.07</v>
      </c>
      <c r="GL797" s="2040">
        <v>233.07</v>
      </c>
      <c r="GO797" s="2040">
        <v>44</v>
      </c>
      <c r="GP797" s="2040">
        <v>44</v>
      </c>
      <c r="GQ797" s="2040">
        <v>39.380000000000003</v>
      </c>
      <c r="GR797" s="2040">
        <v>39.380000000000003</v>
      </c>
      <c r="GS797" s="2040">
        <v>39.380000000000003</v>
      </c>
      <c r="GT797" s="2040">
        <v>38</v>
      </c>
      <c r="GU797" s="2040">
        <v>38</v>
      </c>
      <c r="GV797" s="2040">
        <v>38.159999999999997</v>
      </c>
      <c r="GW797" s="2040">
        <v>222.85</v>
      </c>
      <c r="GX797" s="2040">
        <v>222.85</v>
      </c>
      <c r="HA797" s="2040">
        <v>30.66</v>
      </c>
      <c r="HB797" s="2040">
        <v>30.66</v>
      </c>
      <c r="HC797" s="2040">
        <v>24.84</v>
      </c>
      <c r="HD797" s="2040">
        <v>24.84</v>
      </c>
      <c r="HE797" s="2040">
        <v>25.4</v>
      </c>
      <c r="HF797" s="2040">
        <v>25.4</v>
      </c>
      <c r="HG797" s="2040">
        <v>25.4</v>
      </c>
      <c r="HH797" s="2040">
        <v>25.4</v>
      </c>
      <c r="HI797" s="2040">
        <v>25.4</v>
      </c>
      <c r="HJ797" s="2040">
        <v>25.4</v>
      </c>
      <c r="HK797" s="2040">
        <v>25.49</v>
      </c>
      <c r="HL797" s="2040">
        <v>25.62</v>
      </c>
      <c r="HM797" s="2040">
        <v>42.96</v>
      </c>
      <c r="HN797" s="2040">
        <v>42.96</v>
      </c>
      <c r="HO797" s="2040">
        <v>35.090000000000003</v>
      </c>
      <c r="HP797" s="2040">
        <v>35.090000000000003</v>
      </c>
      <c r="HQ797" s="2040">
        <v>35.9</v>
      </c>
      <c r="HR797" s="2040">
        <v>35.9</v>
      </c>
      <c r="HS797" s="2040">
        <v>35.9</v>
      </c>
      <c r="HT797" s="2040">
        <v>35.9</v>
      </c>
      <c r="HU797" s="2040">
        <v>35.9</v>
      </c>
      <c r="HV797" s="2040">
        <v>35.9</v>
      </c>
      <c r="HW797" s="2040">
        <v>35.97</v>
      </c>
      <c r="HX797" s="2040">
        <v>35.97</v>
      </c>
    </row>
    <row r="798" spans="1:232" s="2040" customFormat="1" ht="14" x14ac:dyDescent="0.3">
      <c r="B798" s="2504">
        <v>99</v>
      </c>
      <c r="C798" s="2505">
        <v>48.63</v>
      </c>
      <c r="D798" s="2505">
        <v>48.63</v>
      </c>
      <c r="E798" s="2505">
        <v>48.67</v>
      </c>
      <c r="F798" s="2505">
        <v>48.67</v>
      </c>
      <c r="G798" s="2505">
        <v>191.17</v>
      </c>
      <c r="H798" s="2505">
        <v>191.17</v>
      </c>
      <c r="I798" s="2505">
        <v>182.45</v>
      </c>
      <c r="J798" s="2505">
        <v>182.45</v>
      </c>
      <c r="K798" s="2505">
        <v>185.54</v>
      </c>
      <c r="L798" s="2505">
        <v>185.54</v>
      </c>
      <c r="M798" s="2505"/>
      <c r="N798" s="2505"/>
      <c r="O798" s="2505">
        <v>152.37</v>
      </c>
      <c r="P798" s="2505">
        <v>152.37</v>
      </c>
      <c r="Q798" s="2505">
        <v>151.75</v>
      </c>
      <c r="R798" s="2505">
        <v>152.37</v>
      </c>
      <c r="S798" s="2505">
        <v>288.7</v>
      </c>
      <c r="T798" s="2505">
        <v>288.49</v>
      </c>
      <c r="U798" s="2505">
        <v>278.48</v>
      </c>
      <c r="V798" s="2505">
        <v>278.48</v>
      </c>
      <c r="W798" s="2505">
        <v>288.49</v>
      </c>
      <c r="X798" s="2505">
        <v>288.49</v>
      </c>
      <c r="Y798" s="2505">
        <v>278.48</v>
      </c>
      <c r="Z798" s="2505">
        <v>288.49</v>
      </c>
      <c r="AA798" s="2505">
        <v>288.49</v>
      </c>
      <c r="AB798" s="2505">
        <v>288.49</v>
      </c>
      <c r="AC798" s="2505">
        <v>278.48</v>
      </c>
      <c r="AD798" s="2505">
        <v>278.48</v>
      </c>
      <c r="AE798" s="2505">
        <v>299.06</v>
      </c>
      <c r="AF798" s="2505">
        <v>290.44</v>
      </c>
      <c r="AG798" s="2505">
        <v>299.06</v>
      </c>
      <c r="AH798" s="2505">
        <v>299.06</v>
      </c>
      <c r="AI798" s="2505">
        <v>290.44</v>
      </c>
      <c r="AJ798" s="2505">
        <v>290.44</v>
      </c>
      <c r="AK798" s="2505">
        <v>290.7</v>
      </c>
      <c r="AL798" s="2505">
        <v>290.7</v>
      </c>
      <c r="AM798" s="2505">
        <v>80.510000000000005</v>
      </c>
      <c r="AN798" s="2505">
        <v>77.59</v>
      </c>
      <c r="AO798" s="2505">
        <v>77.59</v>
      </c>
      <c r="AP798" s="2505">
        <v>77.510000000000005</v>
      </c>
      <c r="AQ798" s="2505">
        <v>77.7</v>
      </c>
      <c r="AR798" s="2505">
        <v>77.7</v>
      </c>
      <c r="AS798" s="2505">
        <v>236.34</v>
      </c>
      <c r="AT798" s="2505">
        <v>236.34</v>
      </c>
      <c r="AU798" s="2505">
        <v>236.34</v>
      </c>
      <c r="AV798" s="2505">
        <v>241.42</v>
      </c>
      <c r="AW798" s="2505">
        <v>236.46</v>
      </c>
      <c r="AX798" s="2505">
        <v>236.46</v>
      </c>
      <c r="AY798" s="2505">
        <v>236.57</v>
      </c>
      <c r="AZ798" s="2505">
        <v>236.57</v>
      </c>
      <c r="BA798" s="2040">
        <v>103.42</v>
      </c>
      <c r="BB798" s="2040">
        <v>103.42</v>
      </c>
      <c r="BC798" s="2040">
        <v>26.53</v>
      </c>
      <c r="BD798" s="2040">
        <v>26.64</v>
      </c>
      <c r="BE798" s="2040">
        <v>28.96</v>
      </c>
      <c r="BF798" s="2040">
        <v>28.96</v>
      </c>
      <c r="BG798" s="2040">
        <v>26.58</v>
      </c>
      <c r="BH798" s="2040">
        <v>26.58</v>
      </c>
      <c r="BI798" s="2040">
        <v>26.35</v>
      </c>
      <c r="BJ798" s="2040">
        <v>26.35</v>
      </c>
      <c r="BK798" s="2040">
        <v>26.35</v>
      </c>
      <c r="BL798" s="2040">
        <v>26.35</v>
      </c>
      <c r="BM798" s="2040">
        <v>58.83</v>
      </c>
      <c r="BN798" s="2040">
        <v>58.83</v>
      </c>
      <c r="BO798" s="2040">
        <v>186.2</v>
      </c>
      <c r="BP798" s="2040">
        <v>186.2</v>
      </c>
      <c r="BQ798" s="2040">
        <v>186.2</v>
      </c>
      <c r="BR798" s="2040">
        <v>186.2</v>
      </c>
      <c r="BS798" s="2040">
        <v>243.61</v>
      </c>
      <c r="BT798" s="2040">
        <v>243.61</v>
      </c>
      <c r="BU798" s="2040">
        <v>243.61</v>
      </c>
      <c r="BV798" s="2040">
        <v>243.61</v>
      </c>
      <c r="BW798" s="2040">
        <v>243.61</v>
      </c>
      <c r="BX798" s="2040">
        <v>243.61</v>
      </c>
      <c r="BY798" s="2040">
        <v>53.4</v>
      </c>
      <c r="BZ798" s="2040">
        <v>53.4</v>
      </c>
      <c r="CA798" s="2040">
        <v>178.44</v>
      </c>
      <c r="CB798" s="2040">
        <v>178.44</v>
      </c>
      <c r="CC798" s="2040">
        <v>181.22</v>
      </c>
      <c r="CD798" s="2040">
        <v>181.22</v>
      </c>
      <c r="CE798" s="2040">
        <v>240.4</v>
      </c>
      <c r="CF798" s="2040">
        <v>240.4</v>
      </c>
      <c r="CK798" s="2040">
        <v>132.38999999999999</v>
      </c>
      <c r="CL798" s="2040">
        <v>132.38999999999999</v>
      </c>
      <c r="CM798" s="2040">
        <v>265.82</v>
      </c>
      <c r="CN798" s="2040">
        <v>265.82</v>
      </c>
      <c r="CO798" s="2040">
        <v>346.39</v>
      </c>
      <c r="CP798" s="2040">
        <v>346.39</v>
      </c>
      <c r="CQ798" s="2040">
        <v>346.39</v>
      </c>
      <c r="CR798" s="2040">
        <v>346.39</v>
      </c>
      <c r="CW798" s="2040">
        <v>124.16</v>
      </c>
      <c r="CX798" s="2040">
        <v>124.16</v>
      </c>
      <c r="CY798" s="2040">
        <v>257.64</v>
      </c>
      <c r="CZ798" s="2040">
        <v>257.64</v>
      </c>
      <c r="DA798" s="2040">
        <v>257.64</v>
      </c>
      <c r="DB798" s="2040">
        <v>257.64</v>
      </c>
      <c r="DC798" s="2040">
        <v>336.02</v>
      </c>
      <c r="DD798" s="2040">
        <v>336.02</v>
      </c>
      <c r="DE798" s="2040">
        <v>336.02</v>
      </c>
      <c r="DF798" s="2040">
        <v>336.02</v>
      </c>
      <c r="DI798" s="2040">
        <v>32.78</v>
      </c>
      <c r="DJ798" s="2040">
        <v>32.78</v>
      </c>
      <c r="DK798" s="2040">
        <v>32.78</v>
      </c>
      <c r="DL798" s="2040">
        <v>32.78</v>
      </c>
      <c r="DM798" s="2040">
        <v>32.78</v>
      </c>
      <c r="DN798" s="2040">
        <v>32.78</v>
      </c>
      <c r="DU798" s="2040">
        <v>14.59</v>
      </c>
      <c r="DV798" s="2040">
        <v>14.59</v>
      </c>
      <c r="DW798" s="2040">
        <v>14.21</v>
      </c>
      <c r="DX798" s="2040">
        <v>14.21</v>
      </c>
      <c r="DY798" s="2040">
        <v>14.21</v>
      </c>
      <c r="DZ798" s="2040">
        <v>14.21</v>
      </c>
      <c r="EG798" s="2040">
        <v>15.63</v>
      </c>
      <c r="EH798" s="2040">
        <v>15.79</v>
      </c>
      <c r="EI798" s="2040">
        <v>13.19</v>
      </c>
      <c r="EJ798" s="2040">
        <v>13.19</v>
      </c>
      <c r="EK798" s="2040">
        <v>13.2</v>
      </c>
      <c r="EL798" s="2040">
        <v>13.2</v>
      </c>
      <c r="EM798" s="2040">
        <v>13.7</v>
      </c>
      <c r="EN798" s="2040">
        <v>13.7</v>
      </c>
      <c r="EO798" s="2040">
        <v>13.07</v>
      </c>
      <c r="EP798" s="2040">
        <v>13.07</v>
      </c>
      <c r="EQ798" s="2040">
        <v>13.45</v>
      </c>
      <c r="ER798" s="2040">
        <v>13.24</v>
      </c>
      <c r="ES798" s="2040">
        <v>59.99</v>
      </c>
      <c r="ET798" s="2040">
        <v>59.99</v>
      </c>
      <c r="EU798" s="2040">
        <v>267.45999999999998</v>
      </c>
      <c r="EV798" s="2040">
        <v>267.45999999999998</v>
      </c>
      <c r="EW798" s="2040">
        <v>261.92</v>
      </c>
      <c r="EX798" s="2040">
        <v>261.92</v>
      </c>
      <c r="EY798" s="2506">
        <f t="shared" si="60"/>
        <v>264.69</v>
      </c>
      <c r="EZ798" s="2506">
        <f t="shared" si="60"/>
        <v>264.69</v>
      </c>
      <c r="FA798" s="2040">
        <v>264.45</v>
      </c>
      <c r="FB798" s="2040">
        <v>264.45</v>
      </c>
      <c r="FE798" s="2040">
        <v>51.61</v>
      </c>
      <c r="FF798" s="2040">
        <v>51.61</v>
      </c>
      <c r="FG798" s="2040">
        <v>225.69</v>
      </c>
      <c r="FH798" s="2040">
        <v>225.69</v>
      </c>
      <c r="FI798" s="2040">
        <v>225.69</v>
      </c>
      <c r="FJ798" s="2040">
        <v>226.61</v>
      </c>
      <c r="FK798" s="2040">
        <v>225.4</v>
      </c>
      <c r="FL798" s="2040">
        <v>225.4</v>
      </c>
      <c r="FM798" s="2040">
        <v>225.77</v>
      </c>
      <c r="FN798" s="2040">
        <v>225.77</v>
      </c>
      <c r="FQ798" s="2040">
        <v>116.62</v>
      </c>
      <c r="FR798" s="2040">
        <v>116.62</v>
      </c>
      <c r="FS798" s="2040">
        <v>236.26</v>
      </c>
      <c r="FT798" s="2040">
        <v>236.26</v>
      </c>
      <c r="FU798" s="2040">
        <v>236.26</v>
      </c>
      <c r="FV798" s="2040">
        <v>236.26</v>
      </c>
      <c r="FW798" s="2040">
        <v>236.46</v>
      </c>
      <c r="FX798" s="2040">
        <v>236.46</v>
      </c>
      <c r="GC798" s="2040">
        <v>82.33</v>
      </c>
      <c r="GD798" s="2040">
        <v>82.33</v>
      </c>
      <c r="GE798" s="2040">
        <v>184.22</v>
      </c>
      <c r="GF798" s="2040">
        <v>184.22</v>
      </c>
      <c r="GG798" s="2040">
        <v>184.22</v>
      </c>
      <c r="GH798" s="2040">
        <v>184.22</v>
      </c>
      <c r="GI798" s="2040">
        <v>212.81</v>
      </c>
      <c r="GJ798" s="2040">
        <v>212.81</v>
      </c>
      <c r="GK798" s="2040">
        <v>233.68</v>
      </c>
      <c r="GL798" s="2040">
        <v>233.68</v>
      </c>
      <c r="GO798" s="2040">
        <v>44.09</v>
      </c>
      <c r="GP798" s="2040">
        <v>44.09</v>
      </c>
      <c r="GQ798" s="2040">
        <v>39.49</v>
      </c>
      <c r="GR798" s="2040">
        <v>39.49</v>
      </c>
      <c r="GS798" s="2040">
        <v>39.49</v>
      </c>
      <c r="GT798" s="2040">
        <v>38.11</v>
      </c>
      <c r="GU798" s="2040">
        <v>38.11</v>
      </c>
      <c r="GV798" s="2040">
        <v>38.270000000000003</v>
      </c>
      <c r="GW798" s="2040">
        <v>223.47</v>
      </c>
      <c r="GX798" s="2040">
        <v>223.47</v>
      </c>
      <c r="HA798" s="2040">
        <v>30.71</v>
      </c>
      <c r="HB798" s="2040">
        <v>30.71</v>
      </c>
      <c r="HC798" s="2040">
        <v>24.92</v>
      </c>
      <c r="HD798" s="2040">
        <v>24.92</v>
      </c>
      <c r="HE798" s="2040">
        <v>25.48</v>
      </c>
      <c r="HF798" s="2040">
        <v>25.48</v>
      </c>
      <c r="HG798" s="2040">
        <v>25.48</v>
      </c>
      <c r="HH798" s="2040">
        <v>25.48</v>
      </c>
      <c r="HI798" s="2040">
        <v>25.48</v>
      </c>
      <c r="HJ798" s="2040">
        <v>25.48</v>
      </c>
      <c r="HK798" s="2040">
        <v>25.58</v>
      </c>
      <c r="HL798" s="2040">
        <v>25.7</v>
      </c>
      <c r="HM798" s="2040">
        <v>43.05</v>
      </c>
      <c r="HN798" s="2040">
        <v>43.05</v>
      </c>
      <c r="HO798" s="2040">
        <v>35.21</v>
      </c>
      <c r="HP798" s="2040">
        <v>35.21</v>
      </c>
      <c r="HQ798" s="2040">
        <v>36.01</v>
      </c>
      <c r="HR798" s="2040">
        <v>36.01</v>
      </c>
      <c r="HS798" s="2040">
        <v>36.01</v>
      </c>
      <c r="HT798" s="2040">
        <v>36.01</v>
      </c>
      <c r="HU798" s="2040">
        <v>36.01</v>
      </c>
      <c r="HV798" s="2040">
        <v>36.01</v>
      </c>
      <c r="HW798" s="2040">
        <v>36.090000000000003</v>
      </c>
      <c r="HX798" s="2040">
        <v>36.090000000000003</v>
      </c>
    </row>
    <row r="799" spans="1:232" s="2040" customFormat="1" ht="14" x14ac:dyDescent="0.3">
      <c r="A799" s="892"/>
      <c r="B799" s="2507">
        <v>100</v>
      </c>
      <c r="C799" s="2508">
        <v>48.72</v>
      </c>
      <c r="D799" s="2508">
        <v>48.72</v>
      </c>
      <c r="E799" s="2508">
        <v>48.76</v>
      </c>
      <c r="F799" s="2508">
        <v>48.76</v>
      </c>
      <c r="G799" s="2508">
        <v>191.62</v>
      </c>
      <c r="H799" s="2508">
        <v>191.62</v>
      </c>
      <c r="I799" s="2508">
        <v>182.91</v>
      </c>
      <c r="J799" s="2508">
        <v>182.91</v>
      </c>
      <c r="K799" s="2508">
        <v>185.95</v>
      </c>
      <c r="L799" s="2508">
        <v>185.95</v>
      </c>
      <c r="M799" s="2508"/>
      <c r="N799" s="2508"/>
      <c r="O799" s="2508">
        <v>152.66</v>
      </c>
      <c r="P799" s="2508">
        <v>152.66</v>
      </c>
      <c r="Q799" s="2508">
        <v>152.04</v>
      </c>
      <c r="R799" s="2508">
        <v>152.66</v>
      </c>
      <c r="S799" s="2508">
        <v>289.49</v>
      </c>
      <c r="T799" s="2508">
        <v>289.27</v>
      </c>
      <c r="U799" s="2508">
        <v>279.23</v>
      </c>
      <c r="V799" s="2508">
        <v>279.23</v>
      </c>
      <c r="W799" s="2508">
        <v>289.27</v>
      </c>
      <c r="X799" s="2508">
        <v>289.27</v>
      </c>
      <c r="Y799" s="2508">
        <v>279.23</v>
      </c>
      <c r="Z799" s="2508">
        <v>289.27</v>
      </c>
      <c r="AA799" s="2508">
        <v>289.27</v>
      </c>
      <c r="AB799" s="2508">
        <v>289.27</v>
      </c>
      <c r="AC799" s="2508">
        <v>279.23</v>
      </c>
      <c r="AD799" s="2508">
        <v>279.23</v>
      </c>
      <c r="AE799" s="2508">
        <v>299.76</v>
      </c>
      <c r="AF799" s="2508">
        <v>291.12</v>
      </c>
      <c r="AG799" s="2508">
        <v>299.76</v>
      </c>
      <c r="AH799" s="2508">
        <v>299.76</v>
      </c>
      <c r="AI799" s="2508">
        <v>291.12</v>
      </c>
      <c r="AJ799" s="2508">
        <v>291.12</v>
      </c>
      <c r="AK799" s="2508">
        <v>291.37</v>
      </c>
      <c r="AL799" s="2508">
        <v>291.37</v>
      </c>
      <c r="AM799" s="2508">
        <v>80.66</v>
      </c>
      <c r="AN799" s="2508">
        <v>77.73</v>
      </c>
      <c r="AO799" s="2508">
        <v>77.73</v>
      </c>
      <c r="AP799" s="2508">
        <v>77.66</v>
      </c>
      <c r="AQ799" s="2508">
        <v>77.84</v>
      </c>
      <c r="AR799" s="2508">
        <v>77.84</v>
      </c>
      <c r="AS799" s="2508">
        <v>236.91</v>
      </c>
      <c r="AT799" s="2508">
        <v>236.91</v>
      </c>
      <c r="AU799" s="2508">
        <v>236.91</v>
      </c>
      <c r="AV799" s="2508">
        <v>242</v>
      </c>
      <c r="AW799" s="2508">
        <v>237.03</v>
      </c>
      <c r="AX799" s="2508">
        <v>237.03</v>
      </c>
      <c r="AY799" s="2508">
        <v>237.14</v>
      </c>
      <c r="AZ799" s="2508">
        <v>237.14</v>
      </c>
      <c r="BA799" s="2509">
        <v>103.68</v>
      </c>
      <c r="BB799" s="2509">
        <v>103.68</v>
      </c>
      <c r="BC799" s="2509">
        <v>26.61</v>
      </c>
      <c r="BD799" s="2509">
        <v>26.72</v>
      </c>
      <c r="BE799" s="2509">
        <v>29.02</v>
      </c>
      <c r="BF799" s="2509">
        <v>29.02</v>
      </c>
      <c r="BG799" s="2509">
        <v>26.66</v>
      </c>
      <c r="BH799" s="2509">
        <v>26.66</v>
      </c>
      <c r="BI799" s="2509">
        <v>26.43</v>
      </c>
      <c r="BJ799" s="2509">
        <v>26.43</v>
      </c>
      <c r="BK799" s="2509">
        <v>26.43</v>
      </c>
      <c r="BL799" s="2509">
        <v>26.43</v>
      </c>
      <c r="BM799" s="2509">
        <v>58.94</v>
      </c>
      <c r="BN799" s="2509">
        <v>58.94</v>
      </c>
      <c r="BO799" s="2509">
        <v>186.61</v>
      </c>
      <c r="BP799" s="2509">
        <v>186.61</v>
      </c>
      <c r="BQ799" s="2509">
        <v>186.61</v>
      </c>
      <c r="BR799" s="2509">
        <v>186.61</v>
      </c>
      <c r="BS799" s="2509">
        <v>244.25</v>
      </c>
      <c r="BT799" s="2509">
        <v>244.25</v>
      </c>
      <c r="BU799" s="2509">
        <v>244.25</v>
      </c>
      <c r="BV799" s="2509">
        <v>244.25</v>
      </c>
      <c r="BW799" s="2509">
        <v>244.25</v>
      </c>
      <c r="BX799" s="2509">
        <v>244.25</v>
      </c>
      <c r="BY799" s="2509">
        <v>53.5</v>
      </c>
      <c r="BZ799" s="2509">
        <v>53.5</v>
      </c>
      <c r="CA799" s="2509">
        <v>178.84</v>
      </c>
      <c r="CB799" s="2509">
        <v>178.84</v>
      </c>
      <c r="CC799" s="2509">
        <v>181.63</v>
      </c>
      <c r="CD799" s="2509">
        <v>181.63</v>
      </c>
      <c r="CE799" s="2509">
        <v>241.05</v>
      </c>
      <c r="CF799" s="2509">
        <v>241.05</v>
      </c>
      <c r="CG799" s="2509"/>
      <c r="CH799" s="2509"/>
      <c r="CI799" s="2509"/>
      <c r="CJ799" s="2509"/>
      <c r="CK799" s="2509">
        <v>132.63</v>
      </c>
      <c r="CL799" s="2509">
        <v>132.63</v>
      </c>
      <c r="CM799" s="2509">
        <v>266.24</v>
      </c>
      <c r="CN799" s="2509">
        <v>266.24</v>
      </c>
      <c r="CO799" s="2509">
        <v>347.09</v>
      </c>
      <c r="CP799" s="2509">
        <v>347.09</v>
      </c>
      <c r="CQ799" s="2509">
        <v>347.09</v>
      </c>
      <c r="CR799" s="2509">
        <v>347.09</v>
      </c>
      <c r="CS799" s="2509"/>
      <c r="CT799" s="2509"/>
      <c r="CU799" s="2509"/>
      <c r="CV799" s="2509"/>
      <c r="CW799" s="2509">
        <v>124.39</v>
      </c>
      <c r="CX799" s="2509">
        <v>124.39</v>
      </c>
      <c r="CY799" s="2509">
        <v>258.07</v>
      </c>
      <c r="CZ799" s="2509">
        <v>258.07</v>
      </c>
      <c r="DA799" s="2509">
        <v>258.07</v>
      </c>
      <c r="DB799" s="2509">
        <v>258.07</v>
      </c>
      <c r="DC799" s="2509">
        <v>336.72</v>
      </c>
      <c r="DD799" s="2509">
        <v>336.72</v>
      </c>
      <c r="DE799" s="2509">
        <v>336.72</v>
      </c>
      <c r="DF799" s="2509">
        <v>336.72</v>
      </c>
      <c r="DG799" s="2509"/>
      <c r="DH799" s="2509"/>
      <c r="DI799" s="2509">
        <v>32.840000000000003</v>
      </c>
      <c r="DJ799" s="2509">
        <v>32.840000000000003</v>
      </c>
      <c r="DK799" s="2509">
        <v>32.840000000000003</v>
      </c>
      <c r="DL799" s="2509">
        <v>32.840000000000003</v>
      </c>
      <c r="DM799" s="2509">
        <v>32.840000000000003</v>
      </c>
      <c r="DN799" s="2509">
        <v>32.840000000000003</v>
      </c>
      <c r="DO799" s="2509"/>
      <c r="DP799" s="2509"/>
      <c r="DQ799" s="2509"/>
      <c r="DR799" s="2509"/>
      <c r="DS799" s="2509"/>
      <c r="DT799" s="2509"/>
      <c r="DU799" s="2509">
        <v>14.62</v>
      </c>
      <c r="DV799" s="2509">
        <v>14.62</v>
      </c>
      <c r="DW799" s="2509">
        <v>14.24</v>
      </c>
      <c r="DX799" s="2509">
        <v>14.24</v>
      </c>
      <c r="DY799" s="2509">
        <v>14.24</v>
      </c>
      <c r="DZ799" s="2509">
        <v>14.24</v>
      </c>
      <c r="EA799" s="2509"/>
      <c r="EB799" s="2509"/>
      <c r="EC799" s="2509"/>
      <c r="ED799" s="2509"/>
      <c r="EE799" s="2509"/>
      <c r="EF799" s="2509"/>
      <c r="EG799" s="2509">
        <v>15.66</v>
      </c>
      <c r="EH799" s="2509">
        <v>15.82</v>
      </c>
      <c r="EI799" s="2509">
        <v>13.23</v>
      </c>
      <c r="EJ799" s="2509">
        <v>13.23</v>
      </c>
      <c r="EK799" s="2509">
        <v>13.24</v>
      </c>
      <c r="EL799" s="2509">
        <v>13.24</v>
      </c>
      <c r="EM799" s="2509">
        <v>13.74</v>
      </c>
      <c r="EN799" s="2509">
        <v>13.74</v>
      </c>
      <c r="EO799" s="2509">
        <v>13.11</v>
      </c>
      <c r="EP799" s="2509">
        <v>13.11</v>
      </c>
      <c r="EQ799" s="2509">
        <v>13.49</v>
      </c>
      <c r="ER799" s="2509">
        <v>13.27</v>
      </c>
      <c r="ES799" s="2509">
        <v>60.1</v>
      </c>
      <c r="ET799" s="2509">
        <v>60.1</v>
      </c>
      <c r="EU799" s="2509">
        <v>268.18</v>
      </c>
      <c r="EV799" s="2509">
        <v>268.18</v>
      </c>
      <c r="EW799" s="2509">
        <v>262.63</v>
      </c>
      <c r="EX799" s="2509">
        <v>262.63</v>
      </c>
      <c r="EY799" s="2510">
        <f t="shared" si="60"/>
        <v>265.40499999999997</v>
      </c>
      <c r="EZ799" s="2510">
        <f t="shared" si="60"/>
        <v>265.40499999999997</v>
      </c>
      <c r="FA799" s="2509">
        <v>265.13</v>
      </c>
      <c r="FB799" s="2509">
        <v>265.13</v>
      </c>
      <c r="FC799" s="2509"/>
      <c r="FD799" s="2509"/>
      <c r="FE799" s="2509">
        <v>51.71</v>
      </c>
      <c r="FF799" s="2509">
        <v>51.71</v>
      </c>
      <c r="FG799" s="2509">
        <v>226.31</v>
      </c>
      <c r="FH799" s="2509">
        <v>226.31</v>
      </c>
      <c r="FI799" s="2509">
        <v>226.31</v>
      </c>
      <c r="FJ799" s="2509">
        <v>227.21</v>
      </c>
      <c r="FK799" s="2509">
        <v>226.02</v>
      </c>
      <c r="FL799" s="2509">
        <v>226.02</v>
      </c>
      <c r="FM799" s="2509">
        <v>226.38</v>
      </c>
      <c r="FN799" s="2509">
        <v>226.38</v>
      </c>
      <c r="FO799" s="2509"/>
      <c r="FP799" s="2509"/>
      <c r="FQ799" s="2509">
        <v>116.84</v>
      </c>
      <c r="FR799" s="2509">
        <v>116.84</v>
      </c>
      <c r="FS799" s="2509">
        <v>236.79</v>
      </c>
      <c r="FT799" s="2509">
        <v>236.79</v>
      </c>
      <c r="FU799" s="2509">
        <v>236.79</v>
      </c>
      <c r="FV799" s="2509">
        <v>236.79</v>
      </c>
      <c r="FW799" s="2509">
        <v>236.98</v>
      </c>
      <c r="FX799" s="2509">
        <v>236.98</v>
      </c>
      <c r="FY799" s="2509"/>
      <c r="FZ799" s="2509"/>
      <c r="GA799" s="2509"/>
      <c r="GB799" s="2509"/>
      <c r="GC799" s="2509">
        <v>82.49</v>
      </c>
      <c r="GD799" s="2509">
        <v>82.49</v>
      </c>
      <c r="GE799" s="2509">
        <v>184.54</v>
      </c>
      <c r="GF799" s="2509">
        <v>184.54</v>
      </c>
      <c r="GG799" s="2509">
        <v>184.54</v>
      </c>
      <c r="GH799" s="2509">
        <v>184.54</v>
      </c>
      <c r="GI799" s="2509">
        <v>213.56</v>
      </c>
      <c r="GJ799" s="2509">
        <v>213.56</v>
      </c>
      <c r="GK799" s="2509">
        <v>234.27</v>
      </c>
      <c r="GL799" s="2509">
        <v>234.27</v>
      </c>
      <c r="GM799" s="2509"/>
      <c r="GN799" s="2509"/>
      <c r="GO799" s="2509">
        <v>44.17</v>
      </c>
      <c r="GP799" s="2509">
        <v>44.17</v>
      </c>
      <c r="GQ799" s="2509">
        <v>39.6</v>
      </c>
      <c r="GR799" s="2509">
        <v>39.6</v>
      </c>
      <c r="GS799" s="2509">
        <v>39.6</v>
      </c>
      <c r="GT799" s="2509">
        <v>38.22</v>
      </c>
      <c r="GU799" s="2509">
        <v>38.22</v>
      </c>
      <c r="GV799" s="2509">
        <v>38.369999999999997</v>
      </c>
      <c r="GW799" s="2509">
        <v>224.07</v>
      </c>
      <c r="GX799" s="2509">
        <v>224.07</v>
      </c>
      <c r="GY799" s="2509"/>
      <c r="GZ799" s="2509"/>
      <c r="HA799" s="2509">
        <v>30.77</v>
      </c>
      <c r="HB799" s="2509">
        <v>30.77</v>
      </c>
      <c r="HC799" s="2509">
        <v>25.01</v>
      </c>
      <c r="HD799" s="2509">
        <v>25.01</v>
      </c>
      <c r="HE799" s="2509">
        <v>25.56</v>
      </c>
      <c r="HF799" s="2509">
        <v>25.56</v>
      </c>
      <c r="HG799" s="2509">
        <v>25.56</v>
      </c>
      <c r="HH799" s="2509">
        <v>25.56</v>
      </c>
      <c r="HI799" s="2509">
        <v>25.56</v>
      </c>
      <c r="HJ799" s="2509">
        <v>25.56</v>
      </c>
      <c r="HK799" s="2509">
        <v>25.66</v>
      </c>
      <c r="HL799" s="2509">
        <v>25.77</v>
      </c>
      <c r="HM799" s="2509">
        <v>43.13</v>
      </c>
      <c r="HN799" s="2509">
        <v>43.13</v>
      </c>
      <c r="HO799" s="2509">
        <v>35.33</v>
      </c>
      <c r="HP799" s="2509">
        <v>35.33</v>
      </c>
      <c r="HQ799" s="2509">
        <v>36.119999999999997</v>
      </c>
      <c r="HR799" s="2509">
        <v>36.119999999999997</v>
      </c>
      <c r="HS799" s="2509">
        <v>36.119999999999997</v>
      </c>
      <c r="HT799" s="2509">
        <v>36.119999999999997</v>
      </c>
      <c r="HU799" s="2509">
        <v>36.119999999999997</v>
      </c>
      <c r="HV799" s="2509">
        <v>36.119999999999997</v>
      </c>
      <c r="HW799" s="2509">
        <v>36.200000000000003</v>
      </c>
      <c r="HX799" s="2509">
        <v>36.200000000000003</v>
      </c>
    </row>
    <row r="800" spans="1:232" s="2040" customFormat="1" ht="14" x14ac:dyDescent="0.3">
      <c r="A800" s="892"/>
    </row>
    <row r="801" spans="4:232" s="892" customFormat="1" ht="14" x14ac:dyDescent="0.3">
      <c r="D801" s="2511"/>
      <c r="F801" s="2511"/>
      <c r="H801" s="2511"/>
      <c r="J801" s="2511"/>
      <c r="L801" s="2511"/>
      <c r="N801" s="2511"/>
      <c r="P801" s="2511"/>
      <c r="R801" s="2511"/>
      <c r="T801" s="2511"/>
      <c r="V801" s="2511"/>
      <c r="X801" s="2511"/>
      <c r="Z801" s="2511"/>
      <c r="AB801" s="2511"/>
      <c r="AD801" s="2511"/>
      <c r="AF801" s="2511"/>
      <c r="AH801" s="2511"/>
      <c r="AJ801" s="2511"/>
      <c r="AL801" s="2511"/>
      <c r="AN801" s="2511"/>
      <c r="AP801" s="2511"/>
      <c r="AR801" s="2511"/>
      <c r="AT801" s="2511"/>
      <c r="AV801" s="2511"/>
      <c r="AX801" s="2511"/>
      <c r="AZ801" s="2511"/>
      <c r="BB801" s="2511"/>
      <c r="BD801" s="2511"/>
      <c r="BF801" s="2511"/>
      <c r="BH801" s="2511"/>
      <c r="BJ801" s="2511"/>
      <c r="BL801" s="2511"/>
      <c r="BN801" s="2511"/>
      <c r="BP801" s="2511"/>
      <c r="BR801" s="2511"/>
      <c r="BT801" s="2511"/>
      <c r="BV801" s="2511"/>
      <c r="BX801" s="2511"/>
      <c r="BZ801" s="2511"/>
      <c r="CB801" s="2511"/>
      <c r="CD801" s="2511"/>
      <c r="CF801" s="2511"/>
      <c r="CH801" s="2511"/>
      <c r="CJ801" s="2511"/>
      <c r="CL801" s="2511"/>
      <c r="CN801" s="2511"/>
      <c r="CP801" s="2511"/>
      <c r="CR801" s="2511"/>
      <c r="CT801" s="2511"/>
      <c r="CV801" s="2511"/>
      <c r="CX801" s="2511"/>
      <c r="CZ801" s="2511"/>
      <c r="DB801" s="2511"/>
      <c r="DD801" s="2511"/>
      <c r="DF801" s="2511"/>
      <c r="DH801" s="2511"/>
      <c r="DJ801" s="2511"/>
      <c r="DL801" s="2511"/>
      <c r="DN801" s="2511"/>
      <c r="DP801" s="2511"/>
      <c r="DR801" s="2511"/>
      <c r="DT801" s="2511"/>
      <c r="DV801" s="2511"/>
      <c r="DX801" s="2511"/>
      <c r="DZ801" s="2511"/>
      <c r="EB801" s="2511"/>
      <c r="ED801" s="2511"/>
      <c r="EF801" s="2511"/>
      <c r="EH801" s="2511"/>
      <c r="EJ801" s="2511"/>
      <c r="EL801" s="2511"/>
      <c r="EN801" s="2511"/>
      <c r="EP801" s="2511"/>
      <c r="ER801" s="2511"/>
      <c r="ET801" s="2511"/>
      <c r="EV801" s="2511"/>
      <c r="EX801" s="2511"/>
      <c r="EZ801" s="2511"/>
      <c r="FB801" s="2511"/>
      <c r="FD801" s="2511"/>
      <c r="FF801" s="2511"/>
      <c r="FH801" s="2511"/>
      <c r="FJ801" s="2511"/>
      <c r="FL801" s="2511"/>
      <c r="FN801" s="2511"/>
      <c r="FP801" s="2511"/>
      <c r="FR801" s="2511"/>
      <c r="FT801" s="2511"/>
      <c r="FV801" s="2511"/>
      <c r="FX801" s="2511"/>
      <c r="FZ801" s="2511"/>
      <c r="GB801" s="2511"/>
      <c r="GD801" s="2511"/>
      <c r="GF801" s="2511"/>
      <c r="GH801" s="2511"/>
      <c r="GJ801" s="2511"/>
      <c r="GL801" s="2511"/>
      <c r="GN801" s="2511"/>
      <c r="GP801" s="2511"/>
      <c r="GR801" s="2511"/>
      <c r="GT801" s="2511"/>
      <c r="GV801" s="2511"/>
      <c r="GX801" s="2511"/>
      <c r="GZ801" s="2511"/>
      <c r="HB801" s="2511"/>
      <c r="HD801" s="2511"/>
      <c r="HF801" s="2511"/>
      <c r="HH801" s="2511"/>
      <c r="HJ801" s="2511"/>
      <c r="HL801" s="2511"/>
      <c r="HN801" s="2511"/>
      <c r="HP801" s="2511"/>
      <c r="HR801" s="2511"/>
      <c r="HT801" s="2511"/>
      <c r="HV801" s="2511"/>
      <c r="HX801" s="2511"/>
    </row>
    <row r="802" spans="4:232" s="892" customFormat="1" ht="14" x14ac:dyDescent="0.3"/>
    <row r="803" spans="4:232" s="892" customFormat="1" ht="14" x14ac:dyDescent="0.3"/>
    <row r="804" spans="4:232" s="892" customFormat="1" ht="14" x14ac:dyDescent="0.3"/>
    <row r="805" spans="4:232" s="892" customFormat="1" ht="14" x14ac:dyDescent="0.3"/>
    <row r="806" spans="4:232" s="892" customFormat="1" ht="14" x14ac:dyDescent="0.3"/>
    <row r="807" spans="4:232" s="892" customFormat="1" ht="14" x14ac:dyDescent="0.3"/>
    <row r="808" spans="4:232" s="892" customFormat="1" ht="14" x14ac:dyDescent="0.3"/>
    <row r="809" spans="4:232" s="892" customFormat="1" ht="14" x14ac:dyDescent="0.3"/>
    <row r="810" spans="4:232" s="892" customFormat="1" ht="14" x14ac:dyDescent="0.3"/>
    <row r="811" spans="4:232" s="892" customFormat="1" ht="14" x14ac:dyDescent="0.3"/>
    <row r="812" spans="4:232" s="892" customFormat="1" ht="14" x14ac:dyDescent="0.3"/>
    <row r="813" spans="4:232" s="892" customFormat="1" ht="14" x14ac:dyDescent="0.3"/>
    <row r="814" spans="4:232" s="892" customFormat="1" ht="14" x14ac:dyDescent="0.3"/>
    <row r="815" spans="4:232" s="892" customFormat="1" ht="14" x14ac:dyDescent="0.3"/>
    <row r="816" spans="4:232" s="892" customFormat="1" ht="14" x14ac:dyDescent="0.3"/>
    <row r="817" s="892" customFormat="1" ht="14" x14ac:dyDescent="0.3"/>
    <row r="818" s="892" customFormat="1" ht="14" x14ac:dyDescent="0.3"/>
    <row r="819" s="892" customFormat="1" ht="14" x14ac:dyDescent="0.3"/>
    <row r="820" s="892" customFormat="1" ht="14" x14ac:dyDescent="0.3"/>
    <row r="821" s="892" customFormat="1" ht="14" x14ac:dyDescent="0.3"/>
    <row r="822" s="892" customFormat="1" ht="14" x14ac:dyDescent="0.3"/>
    <row r="823" s="892" customFormat="1" ht="14" x14ac:dyDescent="0.3"/>
    <row r="824" s="892" customFormat="1" ht="14" x14ac:dyDescent="0.3"/>
    <row r="825" s="892" customFormat="1" ht="14" x14ac:dyDescent="0.3"/>
    <row r="826" s="892" customFormat="1" ht="14" x14ac:dyDescent="0.3"/>
    <row r="827" s="892" customFormat="1" ht="14" x14ac:dyDescent="0.3"/>
    <row r="828" s="892" customFormat="1" ht="14" x14ac:dyDescent="0.3"/>
    <row r="829" s="892" customFormat="1" ht="14" x14ac:dyDescent="0.3"/>
    <row r="830" s="892" customFormat="1" ht="14" x14ac:dyDescent="0.3"/>
    <row r="831" s="892" customFormat="1" ht="14" x14ac:dyDescent="0.3"/>
    <row r="832" s="892" customFormat="1" ht="14" x14ac:dyDescent="0.3"/>
    <row r="833" s="892" customFormat="1" ht="14" x14ac:dyDescent="0.3"/>
    <row r="834" s="892" customFormat="1" ht="14" x14ac:dyDescent="0.3"/>
    <row r="835" s="892" customFormat="1" ht="14" x14ac:dyDescent="0.3"/>
    <row r="836" s="892" customFormat="1" ht="14" x14ac:dyDescent="0.3"/>
    <row r="837" s="892" customFormat="1" ht="14" x14ac:dyDescent="0.3"/>
    <row r="838" s="892" customFormat="1" ht="14" x14ac:dyDescent="0.3"/>
    <row r="839" s="892" customFormat="1" ht="14" x14ac:dyDescent="0.3"/>
    <row r="840" s="892" customFormat="1" ht="14" x14ac:dyDescent="0.3"/>
    <row r="841" s="892" customFormat="1" ht="14" x14ac:dyDescent="0.3"/>
    <row r="842" s="892" customFormat="1" ht="14" x14ac:dyDescent="0.3"/>
    <row r="843" s="892" customFormat="1" ht="14" x14ac:dyDescent="0.3"/>
    <row r="844" s="892" customFormat="1" ht="14" x14ac:dyDescent="0.3"/>
    <row r="845" s="892" customFormat="1" ht="14" x14ac:dyDescent="0.3"/>
    <row r="846" s="892" customFormat="1" ht="14" x14ac:dyDescent="0.3"/>
    <row r="847" s="892" customFormat="1" ht="14" x14ac:dyDescent="0.3"/>
    <row r="848" s="892" customFormat="1" ht="14" x14ac:dyDescent="0.3"/>
    <row r="849" s="892" customFormat="1" ht="14" x14ac:dyDescent="0.3"/>
    <row r="850" s="892" customFormat="1" ht="14" x14ac:dyDescent="0.3"/>
    <row r="851" s="892" customFormat="1" ht="14" x14ac:dyDescent="0.3"/>
    <row r="852" s="892" customFormat="1" ht="14" x14ac:dyDescent="0.3"/>
    <row r="853" s="892" customFormat="1" ht="14" x14ac:dyDescent="0.3"/>
    <row r="854" s="892" customFormat="1" ht="14" x14ac:dyDescent="0.3"/>
    <row r="855" s="892" customFormat="1" ht="14" x14ac:dyDescent="0.3"/>
    <row r="856" s="892" customFormat="1" ht="14" x14ac:dyDescent="0.3"/>
    <row r="857" s="892" customFormat="1" ht="14" x14ac:dyDescent="0.3"/>
    <row r="858" s="892" customFormat="1" ht="14" x14ac:dyDescent="0.3"/>
    <row r="859" s="892" customFormat="1" ht="14" x14ac:dyDescent="0.3"/>
    <row r="860" s="892" customFormat="1" ht="14" x14ac:dyDescent="0.3"/>
    <row r="861" s="892" customFormat="1" ht="14" x14ac:dyDescent="0.3"/>
    <row r="862" s="892" customFormat="1" ht="14" x14ac:dyDescent="0.3"/>
    <row r="863" s="892" customFormat="1" ht="14" x14ac:dyDescent="0.3"/>
    <row r="864" s="892" customFormat="1" ht="14" x14ac:dyDescent="0.3"/>
    <row r="865" s="892" customFormat="1" ht="14" x14ac:dyDescent="0.3"/>
    <row r="866" s="892" customFormat="1" ht="14" x14ac:dyDescent="0.3"/>
    <row r="867" s="892" customFormat="1" ht="14" x14ac:dyDescent="0.3"/>
    <row r="868" s="892" customFormat="1" ht="14" x14ac:dyDescent="0.3"/>
    <row r="869" s="892" customFormat="1" ht="14" x14ac:dyDescent="0.3"/>
    <row r="870" s="892" customFormat="1" ht="14" x14ac:dyDescent="0.3"/>
    <row r="871" s="892" customFormat="1" ht="14" x14ac:dyDescent="0.3"/>
    <row r="872" s="892" customFormat="1" ht="14" x14ac:dyDescent="0.3"/>
    <row r="873" s="892" customFormat="1" ht="14" x14ac:dyDescent="0.3"/>
    <row r="874" s="892" customFormat="1" ht="14" x14ac:dyDescent="0.3"/>
    <row r="875" s="892" customFormat="1" ht="14" x14ac:dyDescent="0.3"/>
    <row r="876" s="892" customFormat="1" ht="14" x14ac:dyDescent="0.3"/>
    <row r="877" s="892" customFormat="1" ht="14" x14ac:dyDescent="0.3"/>
    <row r="878" s="892" customFormat="1" ht="14" x14ac:dyDescent="0.3"/>
    <row r="879" s="892" customFormat="1" ht="14" x14ac:dyDescent="0.3"/>
    <row r="880" s="892" customFormat="1" ht="14" x14ac:dyDescent="0.3"/>
    <row r="881" s="892" customFormat="1" ht="14" x14ac:dyDescent="0.3"/>
    <row r="882" s="892" customFormat="1" ht="14" x14ac:dyDescent="0.3"/>
    <row r="883" s="892" customFormat="1" ht="14" x14ac:dyDescent="0.3"/>
    <row r="884" s="892" customFormat="1" ht="14" x14ac:dyDescent="0.3"/>
    <row r="885" s="892" customFormat="1" ht="14" x14ac:dyDescent="0.3"/>
    <row r="886" s="892" customFormat="1" ht="14" x14ac:dyDescent="0.3"/>
    <row r="887" s="892" customFormat="1" ht="14" x14ac:dyDescent="0.3"/>
    <row r="888" s="892" customFormat="1" ht="14" x14ac:dyDescent="0.3"/>
    <row r="889" s="892" customFormat="1" ht="14" x14ac:dyDescent="0.3"/>
    <row r="890" s="892" customFormat="1" ht="14" x14ac:dyDescent="0.3"/>
    <row r="891" s="892" customFormat="1" ht="14" x14ac:dyDescent="0.3"/>
    <row r="892" s="892" customFormat="1" ht="14" x14ac:dyDescent="0.3"/>
    <row r="893" s="892" customFormat="1" ht="14" x14ac:dyDescent="0.3"/>
    <row r="894" s="892" customFormat="1" ht="14" x14ac:dyDescent="0.3"/>
    <row r="895" s="892" customFormat="1" ht="14" x14ac:dyDescent="0.3"/>
    <row r="896" s="892" customFormat="1" ht="14" x14ac:dyDescent="0.3"/>
    <row r="897" s="892" customFormat="1" ht="14" x14ac:dyDescent="0.3"/>
    <row r="898" s="892" customFormat="1" ht="14" x14ac:dyDescent="0.3"/>
    <row r="899" s="892" customFormat="1" ht="14" x14ac:dyDescent="0.3"/>
    <row r="900" s="892" customFormat="1" ht="14" x14ac:dyDescent="0.3"/>
    <row r="901" s="892" customFormat="1" ht="14" x14ac:dyDescent="0.3"/>
    <row r="902" s="892" customFormat="1" ht="14" x14ac:dyDescent="0.3"/>
    <row r="903" s="892" customFormat="1" ht="14" x14ac:dyDescent="0.3"/>
    <row r="904" s="892" customFormat="1" ht="14" x14ac:dyDescent="0.3"/>
    <row r="905" s="892" customFormat="1" ht="14" x14ac:dyDescent="0.3"/>
    <row r="906" s="892" customFormat="1" ht="14" x14ac:dyDescent="0.3"/>
    <row r="907" s="892" customFormat="1" ht="14" x14ac:dyDescent="0.3"/>
    <row r="908" s="892" customFormat="1" ht="14" x14ac:dyDescent="0.3"/>
    <row r="909" s="892" customFormat="1" ht="14" x14ac:dyDescent="0.3"/>
    <row r="910" s="892" customFormat="1" ht="14" x14ac:dyDescent="0.3"/>
    <row r="911" s="892" customFormat="1" ht="14" x14ac:dyDescent="0.3"/>
    <row r="912" s="892" customFormat="1" ht="14" x14ac:dyDescent="0.3"/>
    <row r="913" s="892" customFormat="1" ht="14" x14ac:dyDescent="0.3"/>
    <row r="914" s="892" customFormat="1" ht="14" x14ac:dyDescent="0.3"/>
    <row r="915" s="892" customFormat="1" ht="14" x14ac:dyDescent="0.3"/>
    <row r="916" s="892" customFormat="1" ht="14" x14ac:dyDescent="0.3"/>
    <row r="917" s="892" customFormat="1" ht="14" x14ac:dyDescent="0.3"/>
    <row r="918" s="892" customFormat="1" ht="14" x14ac:dyDescent="0.3"/>
    <row r="919" s="892" customFormat="1" ht="14" x14ac:dyDescent="0.3"/>
    <row r="920" s="892" customFormat="1" ht="14" x14ac:dyDescent="0.3"/>
    <row r="921" s="892" customFormat="1" ht="14" x14ac:dyDescent="0.3"/>
    <row r="922" s="892" customFormat="1" ht="14" x14ac:dyDescent="0.3"/>
    <row r="923" s="892" customFormat="1" ht="14" x14ac:dyDescent="0.3"/>
    <row r="924" s="892" customFormat="1" ht="14" x14ac:dyDescent="0.3"/>
    <row r="925" s="892" customFormat="1" ht="14" x14ac:dyDescent="0.3"/>
    <row r="926" s="892" customFormat="1" ht="14" x14ac:dyDescent="0.3"/>
    <row r="927" s="892" customFormat="1" ht="14" x14ac:dyDescent="0.3"/>
    <row r="928" s="892" customFormat="1" ht="14" x14ac:dyDescent="0.3"/>
    <row r="929" s="892" customFormat="1" ht="14" x14ac:dyDescent="0.3"/>
    <row r="930" s="892" customFormat="1" ht="14" x14ac:dyDescent="0.3"/>
    <row r="931" s="892" customFormat="1" ht="14" x14ac:dyDescent="0.3"/>
    <row r="932" s="892" customFormat="1" ht="14" x14ac:dyDescent="0.3"/>
    <row r="933" s="892" customFormat="1" ht="14" x14ac:dyDescent="0.3"/>
    <row r="934" s="892" customFormat="1" ht="14" x14ac:dyDescent="0.3"/>
    <row r="935" s="892" customFormat="1" ht="14" x14ac:dyDescent="0.3"/>
    <row r="936" s="892" customFormat="1" ht="14" x14ac:dyDescent="0.3"/>
    <row r="937" s="892" customFormat="1" ht="14" x14ac:dyDescent="0.3"/>
    <row r="938" s="892" customFormat="1" ht="14" x14ac:dyDescent="0.3"/>
    <row r="939" s="892" customFormat="1" ht="14" x14ac:dyDescent="0.3"/>
    <row r="940" s="892" customFormat="1" ht="14" x14ac:dyDescent="0.3"/>
    <row r="941" s="892" customFormat="1" ht="14" x14ac:dyDescent="0.3"/>
    <row r="942" s="892" customFormat="1" ht="14" x14ac:dyDescent="0.3"/>
    <row r="943" s="892" customFormat="1" ht="14" x14ac:dyDescent="0.3"/>
    <row r="944" s="892" customFormat="1" ht="14" x14ac:dyDescent="0.3"/>
    <row r="945" s="892" customFormat="1" ht="14" x14ac:dyDescent="0.3"/>
    <row r="946" s="892" customFormat="1" ht="14" x14ac:dyDescent="0.3"/>
    <row r="947" s="892" customFormat="1" ht="14" x14ac:dyDescent="0.3"/>
    <row r="948" s="892" customFormat="1" ht="14" x14ac:dyDescent="0.3"/>
    <row r="949" s="892" customFormat="1" ht="14" x14ac:dyDescent="0.3"/>
    <row r="950" s="892" customFormat="1" ht="14" x14ac:dyDescent="0.3"/>
    <row r="951" s="892" customFormat="1" ht="14" x14ac:dyDescent="0.3"/>
    <row r="952" s="892" customFormat="1" ht="14" x14ac:dyDescent="0.3"/>
    <row r="953" s="892" customFormat="1" ht="14" x14ac:dyDescent="0.3"/>
    <row r="954" s="892" customFormat="1" ht="14" x14ac:dyDescent="0.3"/>
    <row r="955" s="892" customFormat="1" ht="14" x14ac:dyDescent="0.3"/>
    <row r="956" s="892" customFormat="1" ht="14" x14ac:dyDescent="0.3"/>
    <row r="957" s="892" customFormat="1" ht="14" x14ac:dyDescent="0.3"/>
    <row r="958" s="892" customFormat="1" ht="14" x14ac:dyDescent="0.3"/>
    <row r="959" s="892" customFormat="1" ht="14" x14ac:dyDescent="0.3"/>
    <row r="960" s="892" customFormat="1" ht="14" x14ac:dyDescent="0.3"/>
    <row r="961" s="892" customFormat="1" ht="14" x14ac:dyDescent="0.3"/>
    <row r="962" s="892" customFormat="1" ht="14" x14ac:dyDescent="0.3"/>
    <row r="963" s="892" customFormat="1" ht="14" x14ac:dyDescent="0.3"/>
    <row r="964" s="892" customFormat="1" ht="14" x14ac:dyDescent="0.3"/>
    <row r="965" s="892" customFormat="1" ht="14" x14ac:dyDescent="0.3"/>
    <row r="966" s="892" customFormat="1" ht="14" x14ac:dyDescent="0.3"/>
    <row r="967" s="892" customFormat="1" ht="14" x14ac:dyDescent="0.3"/>
    <row r="968" s="892" customFormat="1" ht="14" x14ac:dyDescent="0.3"/>
    <row r="969" s="892" customFormat="1" ht="14" x14ac:dyDescent="0.3"/>
    <row r="970" s="892" customFormat="1" ht="14" x14ac:dyDescent="0.3"/>
    <row r="971" s="892" customFormat="1" ht="14" x14ac:dyDescent="0.3"/>
    <row r="972" s="892" customFormat="1" ht="14" x14ac:dyDescent="0.3"/>
    <row r="973" s="892" customFormat="1" ht="14" x14ac:dyDescent="0.3"/>
    <row r="974" s="892" customFormat="1" ht="14" x14ac:dyDescent="0.3"/>
    <row r="975" s="892" customFormat="1" ht="14" x14ac:dyDescent="0.3"/>
    <row r="976" s="892" customFormat="1" ht="14" x14ac:dyDescent="0.3"/>
    <row r="977" s="892" customFormat="1" ht="14" x14ac:dyDescent="0.3"/>
    <row r="978" s="892" customFormat="1" ht="14" x14ac:dyDescent="0.3"/>
    <row r="979" s="892" customFormat="1" ht="14" x14ac:dyDescent="0.3"/>
    <row r="980" s="892" customFormat="1" ht="14" x14ac:dyDescent="0.3"/>
    <row r="981" s="892" customFormat="1" ht="14" x14ac:dyDescent="0.3"/>
    <row r="982" s="892" customFormat="1" ht="14" x14ac:dyDescent="0.3"/>
    <row r="983" s="892" customFormat="1" ht="14" x14ac:dyDescent="0.3"/>
    <row r="984" s="892" customFormat="1" ht="14" x14ac:dyDescent="0.3"/>
    <row r="985" s="892" customFormat="1" ht="14" x14ac:dyDescent="0.3"/>
    <row r="986" s="892" customFormat="1" ht="14" x14ac:dyDescent="0.3"/>
    <row r="987" s="892" customFormat="1" ht="14" x14ac:dyDescent="0.3"/>
    <row r="988" s="892" customFormat="1" ht="14" x14ac:dyDescent="0.3"/>
    <row r="989" s="892" customFormat="1" ht="14" x14ac:dyDescent="0.3"/>
    <row r="990" s="892" customFormat="1" ht="14" x14ac:dyDescent="0.3"/>
    <row r="991" s="892" customFormat="1" ht="14" x14ac:dyDescent="0.3"/>
    <row r="992" s="892" customFormat="1" ht="14" x14ac:dyDescent="0.3"/>
    <row r="993" s="892" customFormat="1" ht="14" x14ac:dyDescent="0.3"/>
    <row r="994" s="892" customFormat="1" ht="14" x14ac:dyDescent="0.3"/>
    <row r="995" s="892" customFormat="1" ht="14" x14ac:dyDescent="0.3"/>
    <row r="996" s="892" customFormat="1" ht="14" x14ac:dyDescent="0.3"/>
    <row r="997" s="892" customFormat="1" ht="14" x14ac:dyDescent="0.3"/>
    <row r="998" s="892" customFormat="1" ht="14" x14ac:dyDescent="0.3"/>
    <row r="999" s="892" customFormat="1" ht="14" x14ac:dyDescent="0.3"/>
    <row r="1000" s="892" customFormat="1" ht="14" x14ac:dyDescent="0.3"/>
    <row r="1001" s="892" customFormat="1" ht="14" x14ac:dyDescent="0.3"/>
    <row r="1002" s="892" customFormat="1" ht="14" x14ac:dyDescent="0.3"/>
    <row r="1003" s="892" customFormat="1" ht="14" x14ac:dyDescent="0.3"/>
    <row r="1004" s="892" customFormat="1" ht="14" x14ac:dyDescent="0.3"/>
    <row r="1005" s="892" customFormat="1" ht="14" x14ac:dyDescent="0.3"/>
    <row r="1006" s="892" customFormat="1" ht="14" x14ac:dyDescent="0.3"/>
    <row r="1007" s="892" customFormat="1" ht="14" x14ac:dyDescent="0.3"/>
    <row r="1008" s="892" customFormat="1" ht="14" x14ac:dyDescent="0.3"/>
    <row r="1009" s="892" customFormat="1" ht="14" x14ac:dyDescent="0.3"/>
    <row r="1010" s="892" customFormat="1" ht="14" x14ac:dyDescent="0.3"/>
    <row r="1011" s="892" customFormat="1" ht="14" x14ac:dyDescent="0.3"/>
    <row r="1012" s="892" customFormat="1" ht="14" x14ac:dyDescent="0.3"/>
    <row r="1013" s="892" customFormat="1" ht="14" x14ac:dyDescent="0.3"/>
    <row r="1014" s="892" customFormat="1" ht="14" x14ac:dyDescent="0.3"/>
    <row r="1015" s="892" customFormat="1" ht="14" x14ac:dyDescent="0.3"/>
    <row r="1016" s="892" customFormat="1" ht="14" x14ac:dyDescent="0.3"/>
    <row r="1017" s="892" customFormat="1" ht="14" x14ac:dyDescent="0.3"/>
    <row r="1018" s="892" customFormat="1" ht="14" x14ac:dyDescent="0.3"/>
    <row r="1019" s="892" customFormat="1" ht="14" x14ac:dyDescent="0.3"/>
    <row r="1020" s="892" customFormat="1" ht="14" x14ac:dyDescent="0.3"/>
    <row r="1021" s="892" customFormat="1" ht="14" x14ac:dyDescent="0.3"/>
    <row r="1022" s="892" customFormat="1" ht="14" x14ac:dyDescent="0.3"/>
    <row r="1023" s="892" customFormat="1" ht="14" x14ac:dyDescent="0.3"/>
    <row r="1024" s="892" customFormat="1" ht="14" x14ac:dyDescent="0.3"/>
    <row r="1025" s="892" customFormat="1" ht="14" x14ac:dyDescent="0.3"/>
    <row r="1026" s="892" customFormat="1" ht="14" x14ac:dyDescent="0.3"/>
    <row r="1027" s="892" customFormat="1" ht="14" x14ac:dyDescent="0.3"/>
    <row r="1028" s="892" customFormat="1" ht="14" x14ac:dyDescent="0.3"/>
    <row r="1029" s="892" customFormat="1" ht="14" x14ac:dyDescent="0.3"/>
    <row r="1030" s="892" customFormat="1" ht="14" x14ac:dyDescent="0.3"/>
    <row r="1031" s="892" customFormat="1" ht="14" x14ac:dyDescent="0.3"/>
    <row r="1032" s="892" customFormat="1" ht="14" x14ac:dyDescent="0.3"/>
    <row r="1033" s="892" customFormat="1" ht="14" x14ac:dyDescent="0.3"/>
    <row r="1034" s="892" customFormat="1" ht="14" x14ac:dyDescent="0.3"/>
    <row r="1035" s="892" customFormat="1" ht="14" x14ac:dyDescent="0.3"/>
    <row r="1036" s="892" customFormat="1" ht="14" x14ac:dyDescent="0.3"/>
    <row r="1037" s="892" customFormat="1" ht="14" x14ac:dyDescent="0.3"/>
    <row r="1038" s="892" customFormat="1" ht="14" x14ac:dyDescent="0.3"/>
    <row r="1039" s="892" customFormat="1" ht="14" x14ac:dyDescent="0.3"/>
    <row r="1040" s="892" customFormat="1" ht="14" x14ac:dyDescent="0.3"/>
    <row r="1041" s="892" customFormat="1" ht="14" x14ac:dyDescent="0.3"/>
    <row r="1042" s="892" customFormat="1" ht="14" x14ac:dyDescent="0.3"/>
    <row r="1043" s="892" customFormat="1" ht="14" x14ac:dyDescent="0.3"/>
    <row r="1044" s="892" customFormat="1" ht="14" x14ac:dyDescent="0.3"/>
    <row r="1045" s="892" customFormat="1" ht="14" x14ac:dyDescent="0.3"/>
    <row r="1046" s="892" customFormat="1" ht="14" x14ac:dyDescent="0.3"/>
    <row r="1047" s="892" customFormat="1" ht="14" x14ac:dyDescent="0.3"/>
    <row r="1048" s="892" customFormat="1" ht="14" x14ac:dyDescent="0.3"/>
    <row r="1049" s="892" customFormat="1" ht="14" x14ac:dyDescent="0.3"/>
    <row r="1050" s="892" customFormat="1" ht="14" x14ac:dyDescent="0.3"/>
    <row r="1051" s="892" customFormat="1" ht="14" x14ac:dyDescent="0.3"/>
    <row r="1052" s="892" customFormat="1" ht="14" x14ac:dyDescent="0.3"/>
    <row r="1053" s="892" customFormat="1" ht="14" x14ac:dyDescent="0.3"/>
    <row r="1054" s="892" customFormat="1" ht="14" x14ac:dyDescent="0.3"/>
    <row r="1055" s="892" customFormat="1" ht="14" x14ac:dyDescent="0.3"/>
    <row r="1056" s="892" customFormat="1" ht="14" x14ac:dyDescent="0.3"/>
    <row r="1057" s="892" customFormat="1" ht="14" x14ac:dyDescent="0.3"/>
    <row r="1058" s="892" customFormat="1" ht="14" x14ac:dyDescent="0.3"/>
    <row r="1059" s="892" customFormat="1" ht="14" x14ac:dyDescent="0.3"/>
    <row r="1060" s="892" customFormat="1" ht="14" x14ac:dyDescent="0.3"/>
    <row r="1061" s="892" customFormat="1" ht="14" x14ac:dyDescent="0.3"/>
    <row r="1062" s="892" customFormat="1" ht="14" x14ac:dyDescent="0.3"/>
    <row r="1063" s="892" customFormat="1" ht="14" x14ac:dyDescent="0.3"/>
    <row r="1064" s="892" customFormat="1" ht="14" x14ac:dyDescent="0.3"/>
    <row r="1065" s="892" customFormat="1" ht="14" x14ac:dyDescent="0.3"/>
    <row r="1066" s="892" customFormat="1" ht="14" x14ac:dyDescent="0.3"/>
    <row r="1067" s="892" customFormat="1" ht="14" x14ac:dyDescent="0.3"/>
    <row r="1068" s="892" customFormat="1" ht="14" x14ac:dyDescent="0.3"/>
    <row r="1069" s="892" customFormat="1" ht="14" x14ac:dyDescent="0.3"/>
    <row r="1070" s="892" customFormat="1" ht="14" x14ac:dyDescent="0.3"/>
    <row r="1071" s="892" customFormat="1" ht="14" x14ac:dyDescent="0.3"/>
    <row r="1072" s="892" customFormat="1" ht="14" x14ac:dyDescent="0.3"/>
    <row r="1073" s="892" customFormat="1" ht="14" x14ac:dyDescent="0.3"/>
    <row r="1074" s="892" customFormat="1" ht="14" x14ac:dyDescent="0.3"/>
    <row r="1075" s="892" customFormat="1" ht="14" x14ac:dyDescent="0.3"/>
    <row r="1076" s="892" customFormat="1" ht="14" x14ac:dyDescent="0.3"/>
    <row r="1077" s="892" customFormat="1" ht="14" x14ac:dyDescent="0.3"/>
    <row r="1078" s="892" customFormat="1" ht="14" x14ac:dyDescent="0.3"/>
    <row r="1079" s="892" customFormat="1" ht="14" x14ac:dyDescent="0.3"/>
    <row r="1080" s="892" customFormat="1" ht="14" x14ac:dyDescent="0.3"/>
    <row r="1081" s="892" customFormat="1" ht="14" x14ac:dyDescent="0.3"/>
    <row r="1082" s="892" customFormat="1" ht="14" x14ac:dyDescent="0.3"/>
    <row r="1083" s="892" customFormat="1" ht="14" x14ac:dyDescent="0.3"/>
    <row r="1084" s="892" customFormat="1" ht="14" x14ac:dyDescent="0.3"/>
    <row r="1085" s="892" customFormat="1" ht="14" x14ac:dyDescent="0.3"/>
    <row r="1086" s="892" customFormat="1" ht="14" x14ac:dyDescent="0.3"/>
    <row r="1087" s="892" customFormat="1" ht="14" x14ac:dyDescent="0.3"/>
    <row r="1088" s="892" customFormat="1" ht="14" x14ac:dyDescent="0.3"/>
    <row r="1089" s="892" customFormat="1" ht="14" x14ac:dyDescent="0.3"/>
    <row r="1090" s="892" customFormat="1" ht="14" x14ac:dyDescent="0.3"/>
    <row r="1091" s="892" customFormat="1" ht="14" x14ac:dyDescent="0.3"/>
    <row r="1092" s="892" customFormat="1" ht="14" x14ac:dyDescent="0.3"/>
    <row r="1093" s="892" customFormat="1" ht="14" x14ac:dyDescent="0.3"/>
    <row r="1094" s="892" customFormat="1" ht="14" x14ac:dyDescent="0.3"/>
    <row r="1095" s="892" customFormat="1" ht="14" x14ac:dyDescent="0.3"/>
    <row r="1096" s="892" customFormat="1" ht="14" x14ac:dyDescent="0.3"/>
    <row r="1097" s="892" customFormat="1" ht="14" x14ac:dyDescent="0.3"/>
    <row r="1098" s="892" customFormat="1" ht="14" x14ac:dyDescent="0.3"/>
    <row r="1099" s="892" customFormat="1" ht="14" x14ac:dyDescent="0.3"/>
    <row r="1100" s="892" customFormat="1" ht="14" x14ac:dyDescent="0.3"/>
    <row r="1101" s="892" customFormat="1" ht="14" x14ac:dyDescent="0.3"/>
    <row r="1102" s="892" customFormat="1" ht="14" x14ac:dyDescent="0.3"/>
    <row r="1103" s="892" customFormat="1" ht="14" x14ac:dyDescent="0.3"/>
    <row r="1104" s="892" customFormat="1" ht="14" x14ac:dyDescent="0.3"/>
    <row r="1105" s="892" customFormat="1" ht="14" x14ac:dyDescent="0.3"/>
    <row r="1106" s="892" customFormat="1" ht="14" x14ac:dyDescent="0.3"/>
    <row r="1107" s="892" customFormat="1" ht="14" x14ac:dyDescent="0.3"/>
    <row r="1108" s="892" customFormat="1" ht="14" x14ac:dyDescent="0.3"/>
    <row r="1109" s="892" customFormat="1" ht="14" x14ac:dyDescent="0.3"/>
    <row r="1110" s="892" customFormat="1" ht="14" x14ac:dyDescent="0.3"/>
    <row r="1111" s="892" customFormat="1" ht="14" x14ac:dyDescent="0.3"/>
    <row r="1112" s="892" customFormat="1" ht="14" x14ac:dyDescent="0.3"/>
    <row r="1113" s="892" customFormat="1" ht="14" x14ac:dyDescent="0.3"/>
    <row r="1114" s="892" customFormat="1" ht="14" x14ac:dyDescent="0.3"/>
    <row r="1115" s="892" customFormat="1" ht="14" x14ac:dyDescent="0.3"/>
    <row r="1116" s="892" customFormat="1" ht="14" x14ac:dyDescent="0.3"/>
    <row r="1117" s="892" customFormat="1" ht="14" x14ac:dyDescent="0.3"/>
    <row r="1118" s="892" customFormat="1" ht="14" x14ac:dyDescent="0.3"/>
    <row r="1119" s="892" customFormat="1" ht="14" x14ac:dyDescent="0.3"/>
    <row r="1120" s="892" customFormat="1" ht="14" x14ac:dyDescent="0.3"/>
    <row r="1121" s="892" customFormat="1" ht="14" x14ac:dyDescent="0.3"/>
    <row r="1122" s="892" customFormat="1" ht="14" x14ac:dyDescent="0.3"/>
    <row r="1123" s="892" customFormat="1" ht="14" x14ac:dyDescent="0.3"/>
    <row r="1124" s="892" customFormat="1" ht="14" x14ac:dyDescent="0.3"/>
    <row r="1125" s="892" customFormat="1" ht="14" x14ac:dyDescent="0.3"/>
    <row r="1126" s="892" customFormat="1" ht="14" x14ac:dyDescent="0.3"/>
    <row r="1127" s="892" customFormat="1" ht="14" x14ac:dyDescent="0.3"/>
    <row r="1128" s="892" customFormat="1" ht="14" x14ac:dyDescent="0.3"/>
    <row r="1129" s="892" customFormat="1" ht="14" x14ac:dyDescent="0.3"/>
    <row r="1130" s="892" customFormat="1" ht="14" x14ac:dyDescent="0.3"/>
    <row r="1131" s="892" customFormat="1" ht="14" x14ac:dyDescent="0.3"/>
    <row r="1132" s="892" customFormat="1" ht="14" x14ac:dyDescent="0.3"/>
    <row r="1133" s="892" customFormat="1" ht="14" x14ac:dyDescent="0.3"/>
    <row r="1134" s="892" customFormat="1" ht="14" x14ac:dyDescent="0.3"/>
    <row r="1135" s="892" customFormat="1" ht="14" x14ac:dyDescent="0.3"/>
    <row r="1136" s="892" customFormat="1" ht="14" x14ac:dyDescent="0.3"/>
    <row r="1137" s="892" customFormat="1" ht="14" x14ac:dyDescent="0.3"/>
    <row r="1138" s="892" customFormat="1" ht="14" x14ac:dyDescent="0.3"/>
    <row r="1139" s="892" customFormat="1" ht="14" x14ac:dyDescent="0.3"/>
    <row r="1140" s="892" customFormat="1" ht="14" x14ac:dyDescent="0.3"/>
    <row r="1141" s="892" customFormat="1" ht="14" x14ac:dyDescent="0.3"/>
    <row r="1142" s="892" customFormat="1" ht="14" x14ac:dyDescent="0.3"/>
    <row r="1143" s="892" customFormat="1" ht="14" x14ac:dyDescent="0.3"/>
    <row r="1144" s="892" customFormat="1" ht="14" x14ac:dyDescent="0.3"/>
    <row r="1145" s="892" customFormat="1" ht="14" x14ac:dyDescent="0.3"/>
    <row r="1146" s="892" customFormat="1" ht="14" x14ac:dyDescent="0.3"/>
    <row r="1147" s="892" customFormat="1" ht="14" x14ac:dyDescent="0.3"/>
    <row r="1148" s="892" customFormat="1" ht="14" x14ac:dyDescent="0.3"/>
    <row r="1149" s="892" customFormat="1" ht="14" x14ac:dyDescent="0.3"/>
    <row r="1150" s="892" customFormat="1" ht="14" x14ac:dyDescent="0.3"/>
    <row r="1151" s="892" customFormat="1" ht="14" x14ac:dyDescent="0.3"/>
    <row r="1152" s="892" customFormat="1" ht="14" x14ac:dyDescent="0.3"/>
    <row r="1153" s="892" customFormat="1" ht="14" x14ac:dyDescent="0.3"/>
    <row r="1154" s="892" customFormat="1" ht="14" x14ac:dyDescent="0.3"/>
    <row r="1155" s="892" customFormat="1" ht="14" x14ac:dyDescent="0.3"/>
    <row r="1156" s="892" customFormat="1" ht="14" x14ac:dyDescent="0.3"/>
    <row r="1157" s="892" customFormat="1" ht="14" x14ac:dyDescent="0.3"/>
    <row r="1158" s="892" customFormat="1" ht="14" x14ac:dyDescent="0.3"/>
    <row r="1159" s="892" customFormat="1" ht="14" x14ac:dyDescent="0.3"/>
    <row r="1160" s="892" customFormat="1" ht="14" x14ac:dyDescent="0.3"/>
    <row r="1161" s="892" customFormat="1" ht="14" x14ac:dyDescent="0.3"/>
    <row r="1162" s="892" customFormat="1" ht="14" x14ac:dyDescent="0.3"/>
    <row r="1163" s="892" customFormat="1" ht="14" x14ac:dyDescent="0.3"/>
    <row r="1164" s="892" customFormat="1" ht="14" x14ac:dyDescent="0.3"/>
    <row r="1165" s="892" customFormat="1" ht="14" x14ac:dyDescent="0.3"/>
    <row r="1166" s="892" customFormat="1" ht="14" x14ac:dyDescent="0.3"/>
    <row r="1167" s="892" customFormat="1" ht="14" x14ac:dyDescent="0.3"/>
    <row r="1168" s="892" customFormat="1" ht="14" x14ac:dyDescent="0.3"/>
    <row r="1169" s="892" customFormat="1" ht="14" x14ac:dyDescent="0.3"/>
    <row r="1170" s="892" customFormat="1" ht="14" x14ac:dyDescent="0.3"/>
    <row r="1171" s="892" customFormat="1" ht="14" x14ac:dyDescent="0.3"/>
    <row r="1172" s="892" customFormat="1" ht="14" x14ac:dyDescent="0.3"/>
    <row r="1173" s="892" customFormat="1" ht="14" x14ac:dyDescent="0.3"/>
    <row r="1174" s="892" customFormat="1" ht="14" x14ac:dyDescent="0.3"/>
    <row r="1175" s="892" customFormat="1" ht="14" x14ac:dyDescent="0.3"/>
    <row r="1176" s="892" customFormat="1" ht="14" x14ac:dyDescent="0.3"/>
    <row r="1177" s="892" customFormat="1" ht="14" x14ac:dyDescent="0.3"/>
    <row r="1178" s="892" customFormat="1" ht="14" x14ac:dyDescent="0.3"/>
    <row r="1179" s="892" customFormat="1" ht="14" x14ac:dyDescent="0.3"/>
    <row r="1180" s="892" customFormat="1" ht="14" x14ac:dyDescent="0.3"/>
    <row r="1181" s="892" customFormat="1" ht="14" x14ac:dyDescent="0.3"/>
    <row r="1182" s="892" customFormat="1" ht="14" x14ac:dyDescent="0.3"/>
    <row r="1183" s="892" customFormat="1" ht="14" x14ac:dyDescent="0.3"/>
    <row r="1184" s="892" customFormat="1" ht="14" x14ac:dyDescent="0.3"/>
    <row r="1185" s="892" customFormat="1" ht="14" x14ac:dyDescent="0.3"/>
    <row r="1186" s="892" customFormat="1" ht="14" x14ac:dyDescent="0.3"/>
    <row r="1187" s="892" customFormat="1" ht="14" x14ac:dyDescent="0.3"/>
    <row r="1188" s="892" customFormat="1" ht="14" x14ac:dyDescent="0.3"/>
    <row r="1189" s="892" customFormat="1" ht="14" x14ac:dyDescent="0.3"/>
    <row r="1190" s="892" customFormat="1" ht="14" x14ac:dyDescent="0.3"/>
    <row r="1191" s="892" customFormat="1" ht="14" x14ac:dyDescent="0.3"/>
    <row r="1192" s="892" customFormat="1" ht="14" x14ac:dyDescent="0.3"/>
    <row r="1193" s="892" customFormat="1" ht="14" x14ac:dyDescent="0.3"/>
    <row r="1194" s="892" customFormat="1" ht="14" x14ac:dyDescent="0.3"/>
    <row r="1195" s="892" customFormat="1" ht="14" x14ac:dyDescent="0.3"/>
    <row r="1196" s="892" customFormat="1" ht="14" x14ac:dyDescent="0.3"/>
    <row r="1197" s="892" customFormat="1" ht="14" x14ac:dyDescent="0.3"/>
    <row r="1198" s="892" customFormat="1" ht="14" x14ac:dyDescent="0.3"/>
    <row r="1199" s="892" customFormat="1" ht="14" x14ac:dyDescent="0.3"/>
    <row r="1200" s="892" customFormat="1" ht="14" x14ac:dyDescent="0.3"/>
    <row r="1201" s="892" customFormat="1" ht="14" x14ac:dyDescent="0.3"/>
    <row r="1202" s="892" customFormat="1" ht="14" x14ac:dyDescent="0.3"/>
    <row r="1203" s="892" customFormat="1" ht="14" x14ac:dyDescent="0.3"/>
    <row r="1204" s="892" customFormat="1" ht="14" x14ac:dyDescent="0.3"/>
    <row r="1205" s="892" customFormat="1" ht="14" x14ac:dyDescent="0.3"/>
    <row r="1206" s="892" customFormat="1" ht="14" x14ac:dyDescent="0.3"/>
    <row r="1207" s="892" customFormat="1" ht="14" x14ac:dyDescent="0.3"/>
    <row r="1208" s="892" customFormat="1" ht="14" x14ac:dyDescent="0.3"/>
    <row r="1209" s="892" customFormat="1" ht="14" x14ac:dyDescent="0.3"/>
    <row r="1210" s="892" customFormat="1" ht="14" x14ac:dyDescent="0.3"/>
    <row r="1211" s="892" customFormat="1" ht="14" x14ac:dyDescent="0.3"/>
    <row r="1212" s="892" customFormat="1" ht="14" x14ac:dyDescent="0.3"/>
    <row r="1213" s="892" customFormat="1" ht="14" x14ac:dyDescent="0.3"/>
    <row r="1214" s="892" customFormat="1" ht="14" x14ac:dyDescent="0.3"/>
    <row r="1215" s="892" customFormat="1" ht="14" x14ac:dyDescent="0.3"/>
    <row r="1216" s="892" customFormat="1" ht="14" x14ac:dyDescent="0.3"/>
    <row r="1217" s="892" customFormat="1" ht="14" x14ac:dyDescent="0.3"/>
    <row r="1218" s="892" customFormat="1" ht="14" x14ac:dyDescent="0.3"/>
    <row r="1219" s="892" customFormat="1" ht="14" x14ac:dyDescent="0.3"/>
    <row r="1220" s="892" customFormat="1" ht="14" x14ac:dyDescent="0.3"/>
    <row r="1221" s="892" customFormat="1" ht="14" x14ac:dyDescent="0.3"/>
    <row r="1222" s="892" customFormat="1" ht="14" x14ac:dyDescent="0.3"/>
    <row r="1223" s="892" customFormat="1" ht="14" x14ac:dyDescent="0.3"/>
    <row r="1224" s="892" customFormat="1" ht="14" x14ac:dyDescent="0.3"/>
    <row r="1225" s="892" customFormat="1" ht="14" x14ac:dyDescent="0.3"/>
    <row r="1226" s="892" customFormat="1" ht="14" x14ac:dyDescent="0.3"/>
    <row r="1227" s="892" customFormat="1" ht="14" x14ac:dyDescent="0.3"/>
    <row r="1228" s="892" customFormat="1" ht="14" x14ac:dyDescent="0.3"/>
    <row r="1229" s="892" customFormat="1" ht="14" x14ac:dyDescent="0.3"/>
    <row r="1230" s="892" customFormat="1" ht="14" x14ac:dyDescent="0.3"/>
    <row r="1231" s="892" customFormat="1" ht="14" x14ac:dyDescent="0.3"/>
    <row r="1232" s="892" customFormat="1" ht="14" x14ac:dyDescent="0.3"/>
    <row r="1233" s="892" customFormat="1" ht="14" x14ac:dyDescent="0.3"/>
    <row r="1234" s="892" customFormat="1" ht="14" x14ac:dyDescent="0.3"/>
    <row r="1235" s="892" customFormat="1" ht="14" x14ac:dyDescent="0.3"/>
    <row r="1236" s="892" customFormat="1" ht="14" x14ac:dyDescent="0.3"/>
    <row r="1237" s="892" customFormat="1" ht="14" x14ac:dyDescent="0.3"/>
    <row r="1238" s="892" customFormat="1" ht="14" x14ac:dyDescent="0.3"/>
    <row r="1239" s="892" customFormat="1" ht="14" x14ac:dyDescent="0.3"/>
    <row r="1240" s="892" customFormat="1" ht="14" x14ac:dyDescent="0.3"/>
    <row r="1241" s="892" customFormat="1" ht="14" x14ac:dyDescent="0.3"/>
    <row r="1242" s="892" customFormat="1" ht="14" x14ac:dyDescent="0.3"/>
    <row r="1243" s="892" customFormat="1" ht="14" x14ac:dyDescent="0.3"/>
    <row r="1244" s="892" customFormat="1" ht="14" x14ac:dyDescent="0.3"/>
    <row r="1245" s="892" customFormat="1" ht="14" x14ac:dyDescent="0.3"/>
    <row r="1246" s="892" customFormat="1" ht="14" x14ac:dyDescent="0.3"/>
    <row r="1247" s="892" customFormat="1" ht="14" x14ac:dyDescent="0.3"/>
    <row r="1248" s="892" customFormat="1" ht="14" x14ac:dyDescent="0.3"/>
    <row r="1249" s="892" customFormat="1" ht="14" x14ac:dyDescent="0.3"/>
    <row r="1250" s="892" customFormat="1" ht="14" x14ac:dyDescent="0.3"/>
    <row r="1251" s="892" customFormat="1" ht="14" x14ac:dyDescent="0.3"/>
    <row r="1252" s="892" customFormat="1" ht="14" x14ac:dyDescent="0.3"/>
    <row r="1253" s="892" customFormat="1" ht="14" x14ac:dyDescent="0.3"/>
    <row r="1254" s="892" customFormat="1" ht="14" x14ac:dyDescent="0.3"/>
    <row r="1255" s="892" customFormat="1" ht="14" x14ac:dyDescent="0.3"/>
    <row r="1256" s="892" customFormat="1" ht="14" x14ac:dyDescent="0.3"/>
    <row r="1257" s="892" customFormat="1" ht="14" x14ac:dyDescent="0.3"/>
    <row r="1258" s="892" customFormat="1" ht="14" x14ac:dyDescent="0.3"/>
    <row r="1259" s="892" customFormat="1" ht="14" x14ac:dyDescent="0.3"/>
    <row r="1260" s="892" customFormat="1" ht="14" x14ac:dyDescent="0.3"/>
    <row r="1261" s="892" customFormat="1" ht="14" x14ac:dyDescent="0.3"/>
    <row r="1262" s="892" customFormat="1" ht="14" x14ac:dyDescent="0.3"/>
    <row r="1263" s="892" customFormat="1" ht="14" x14ac:dyDescent="0.3"/>
    <row r="1264" s="892" customFormat="1" ht="14" x14ac:dyDescent="0.3"/>
    <row r="1265" s="892" customFormat="1" ht="14" x14ac:dyDescent="0.3"/>
    <row r="1266" s="892" customFormat="1" ht="14" x14ac:dyDescent="0.3"/>
    <row r="1267" s="892" customFormat="1" ht="14" x14ac:dyDescent="0.3"/>
    <row r="1268" s="892" customFormat="1" ht="14" x14ac:dyDescent="0.3"/>
    <row r="1269" s="892" customFormat="1" ht="14" x14ac:dyDescent="0.3"/>
    <row r="1270" s="892" customFormat="1" ht="14" x14ac:dyDescent="0.3"/>
    <row r="1271" s="892" customFormat="1" ht="14" x14ac:dyDescent="0.3"/>
    <row r="1272" s="892" customFormat="1" ht="14" x14ac:dyDescent="0.3"/>
    <row r="1273" s="892" customFormat="1" ht="14" x14ac:dyDescent="0.3"/>
    <row r="1274" s="892" customFormat="1" ht="14" x14ac:dyDescent="0.3"/>
    <row r="1275" s="892" customFormat="1" ht="14" x14ac:dyDescent="0.3"/>
    <row r="1276" s="892" customFormat="1" ht="14" x14ac:dyDescent="0.3"/>
    <row r="1277" s="892" customFormat="1" ht="14" x14ac:dyDescent="0.3"/>
    <row r="1278" s="892" customFormat="1" ht="14" x14ac:dyDescent="0.3"/>
    <row r="1279" s="892" customFormat="1" ht="14" x14ac:dyDescent="0.3"/>
    <row r="1280" s="892" customFormat="1" ht="14" x14ac:dyDescent="0.3"/>
    <row r="1281" s="892" customFormat="1" ht="14" x14ac:dyDescent="0.3"/>
    <row r="1282" s="892" customFormat="1" ht="14" x14ac:dyDescent="0.3"/>
    <row r="1283" s="892" customFormat="1" ht="14" x14ac:dyDescent="0.3"/>
    <row r="1284" s="892" customFormat="1" ht="14" x14ac:dyDescent="0.3"/>
    <row r="1285" s="892" customFormat="1" ht="14" x14ac:dyDescent="0.3"/>
    <row r="1286" s="892" customFormat="1" ht="14" x14ac:dyDescent="0.3"/>
    <row r="1287" s="892" customFormat="1" ht="14" x14ac:dyDescent="0.3"/>
    <row r="1288" s="892" customFormat="1" ht="14" x14ac:dyDescent="0.3"/>
    <row r="1289" s="892" customFormat="1" ht="14" x14ac:dyDescent="0.3"/>
    <row r="1290" s="892" customFormat="1" ht="14" x14ac:dyDescent="0.3"/>
    <row r="1291" s="892" customFormat="1" ht="14" x14ac:dyDescent="0.3"/>
    <row r="1292" s="892" customFormat="1" ht="14" x14ac:dyDescent="0.3"/>
    <row r="1293" s="892" customFormat="1" ht="14" x14ac:dyDescent="0.3"/>
    <row r="1294" s="892" customFormat="1" ht="14" x14ac:dyDescent="0.3"/>
    <row r="1295" s="892" customFormat="1" ht="14" x14ac:dyDescent="0.3"/>
    <row r="1296" s="892" customFormat="1" ht="14" x14ac:dyDescent="0.3"/>
    <row r="1297" s="892" customFormat="1" ht="14" x14ac:dyDescent="0.3"/>
    <row r="1298" s="892" customFormat="1" ht="14" x14ac:dyDescent="0.3"/>
    <row r="1299" s="892" customFormat="1" ht="14" x14ac:dyDescent="0.3"/>
    <row r="1300" s="892" customFormat="1" ht="14" x14ac:dyDescent="0.3"/>
    <row r="1301" s="892" customFormat="1" ht="14" x14ac:dyDescent="0.3"/>
    <row r="1302" s="892" customFormat="1" ht="14" x14ac:dyDescent="0.3"/>
    <row r="1303" s="892" customFormat="1" ht="14" x14ac:dyDescent="0.3"/>
    <row r="1304" s="892" customFormat="1" ht="14" x14ac:dyDescent="0.3"/>
    <row r="1305" s="892" customFormat="1" ht="14" x14ac:dyDescent="0.3"/>
    <row r="1306" s="892" customFormat="1" ht="14" x14ac:dyDescent="0.3"/>
    <row r="1307" s="892" customFormat="1" ht="14" x14ac:dyDescent="0.3"/>
    <row r="1308" s="892" customFormat="1" ht="14" x14ac:dyDescent="0.3"/>
    <row r="1309" s="892" customFormat="1" ht="14" x14ac:dyDescent="0.3"/>
    <row r="1310" s="892" customFormat="1" ht="14" x14ac:dyDescent="0.3"/>
    <row r="1311" s="892" customFormat="1" ht="14" x14ac:dyDescent="0.3"/>
    <row r="1312" s="892" customFormat="1" ht="14" x14ac:dyDescent="0.3"/>
    <row r="1313" s="892" customFormat="1" ht="14" x14ac:dyDescent="0.3"/>
    <row r="1314" s="892" customFormat="1" ht="14" x14ac:dyDescent="0.3"/>
    <row r="1315" s="892" customFormat="1" ht="14" x14ac:dyDescent="0.3"/>
    <row r="1316" s="892" customFormat="1" ht="14" x14ac:dyDescent="0.3"/>
    <row r="1317" s="892" customFormat="1" ht="14" x14ac:dyDescent="0.3"/>
    <row r="1318" s="892" customFormat="1" ht="14" x14ac:dyDescent="0.3"/>
    <row r="1319" s="892" customFormat="1" ht="14" x14ac:dyDescent="0.3"/>
    <row r="1320" s="892" customFormat="1" ht="14" x14ac:dyDescent="0.3"/>
    <row r="1321" s="892" customFormat="1" ht="14" x14ac:dyDescent="0.3"/>
    <row r="1322" s="892" customFormat="1" ht="14" x14ac:dyDescent="0.3"/>
    <row r="1323" s="892" customFormat="1" ht="14" x14ac:dyDescent="0.3"/>
    <row r="1324" s="892" customFormat="1" ht="14" x14ac:dyDescent="0.3"/>
    <row r="1325" s="892" customFormat="1" ht="14" x14ac:dyDescent="0.3"/>
    <row r="1326" s="892" customFormat="1" ht="14" x14ac:dyDescent="0.3"/>
    <row r="1327" s="892" customFormat="1" ht="14" x14ac:dyDescent="0.3"/>
    <row r="1328" s="892" customFormat="1" ht="14" x14ac:dyDescent="0.3"/>
    <row r="1329" s="892" customFormat="1" ht="14" x14ac:dyDescent="0.3"/>
    <row r="1330" s="892" customFormat="1" ht="14" x14ac:dyDescent="0.3"/>
    <row r="1331" s="892" customFormat="1" ht="14" x14ac:dyDescent="0.3"/>
    <row r="1332" s="892" customFormat="1" ht="14" x14ac:dyDescent="0.3"/>
    <row r="1333" s="892" customFormat="1" ht="14" x14ac:dyDescent="0.3"/>
    <row r="1334" s="892" customFormat="1" ht="14" x14ac:dyDescent="0.3"/>
    <row r="1335" s="892" customFormat="1" ht="14" x14ac:dyDescent="0.3"/>
    <row r="1336" s="892" customFormat="1" ht="14" x14ac:dyDescent="0.3"/>
    <row r="1337" s="892" customFormat="1" ht="14" x14ac:dyDescent="0.3"/>
    <row r="1338" s="892" customFormat="1" ht="14" x14ac:dyDescent="0.3"/>
    <row r="1339" s="892" customFormat="1" ht="14" x14ac:dyDescent="0.3"/>
    <row r="1340" s="892" customFormat="1" ht="14" x14ac:dyDescent="0.3"/>
    <row r="1341" s="892" customFormat="1" ht="14" x14ac:dyDescent="0.3"/>
    <row r="1342" s="892" customFormat="1" ht="14" x14ac:dyDescent="0.3"/>
    <row r="1343" s="892" customFormat="1" ht="14" x14ac:dyDescent="0.3"/>
    <row r="1344" s="892" customFormat="1" ht="14" x14ac:dyDescent="0.3"/>
    <row r="1345" s="892" customFormat="1" ht="14" x14ac:dyDescent="0.3"/>
    <row r="1346" s="892" customFormat="1" ht="14" x14ac:dyDescent="0.3"/>
    <row r="1347" s="892" customFormat="1" ht="14" x14ac:dyDescent="0.3"/>
    <row r="1348" s="892" customFormat="1" ht="14" x14ac:dyDescent="0.3"/>
    <row r="1349" s="892" customFormat="1" ht="14" x14ac:dyDescent="0.3"/>
    <row r="1350" s="892" customFormat="1" ht="14" x14ac:dyDescent="0.3"/>
    <row r="1351" s="892" customFormat="1" ht="14" x14ac:dyDescent="0.3"/>
    <row r="1352" s="892" customFormat="1" ht="14" x14ac:dyDescent="0.3"/>
    <row r="1353" s="892" customFormat="1" ht="14" x14ac:dyDescent="0.3"/>
    <row r="1354" s="892" customFormat="1" ht="14" x14ac:dyDescent="0.3"/>
    <row r="1355" s="892" customFormat="1" ht="14" x14ac:dyDescent="0.3"/>
    <row r="1356" s="892" customFormat="1" ht="14" x14ac:dyDescent="0.3"/>
    <row r="1357" s="892" customFormat="1" ht="14" x14ac:dyDescent="0.3"/>
    <row r="1358" s="892" customFormat="1" ht="14" x14ac:dyDescent="0.3"/>
    <row r="1359" s="892" customFormat="1" ht="14" x14ac:dyDescent="0.3"/>
    <row r="1360" s="892" customFormat="1" ht="14" x14ac:dyDescent="0.3"/>
    <row r="1361" s="892" customFormat="1" ht="14" x14ac:dyDescent="0.3"/>
    <row r="1362" s="892" customFormat="1" ht="14" x14ac:dyDescent="0.3"/>
    <row r="1363" s="892" customFormat="1" ht="14" x14ac:dyDescent="0.3"/>
    <row r="1364" s="892" customFormat="1" ht="14" x14ac:dyDescent="0.3"/>
    <row r="1365" s="892" customFormat="1" ht="14" x14ac:dyDescent="0.3"/>
    <row r="1366" s="892" customFormat="1" ht="14" x14ac:dyDescent="0.3"/>
    <row r="1367" s="892" customFormat="1" ht="14" x14ac:dyDescent="0.3"/>
    <row r="1368" s="892" customFormat="1" ht="14" x14ac:dyDescent="0.3"/>
    <row r="1369" s="892" customFormat="1" ht="14" x14ac:dyDescent="0.3"/>
    <row r="1370" s="892" customFormat="1" ht="14" x14ac:dyDescent="0.3"/>
    <row r="1371" s="892" customFormat="1" ht="14" x14ac:dyDescent="0.3"/>
    <row r="1372" s="892" customFormat="1" ht="14" x14ac:dyDescent="0.3"/>
    <row r="1373" s="892" customFormat="1" ht="14" x14ac:dyDescent="0.3"/>
    <row r="1374" s="892" customFormat="1" ht="14" x14ac:dyDescent="0.3"/>
    <row r="1375" s="892" customFormat="1" ht="14" x14ac:dyDescent="0.3"/>
    <row r="1376" s="892" customFormat="1" ht="14" x14ac:dyDescent="0.3"/>
    <row r="1377" s="892" customFormat="1" ht="14" x14ac:dyDescent="0.3"/>
    <row r="1378" s="892" customFormat="1" ht="14" x14ac:dyDescent="0.3"/>
    <row r="1379" s="892" customFormat="1" ht="14" x14ac:dyDescent="0.3"/>
    <row r="1380" s="892" customFormat="1" ht="14" x14ac:dyDescent="0.3"/>
    <row r="1381" s="892" customFormat="1" ht="14" x14ac:dyDescent="0.3"/>
    <row r="1382" s="892" customFormat="1" ht="14" x14ac:dyDescent="0.3"/>
    <row r="1383" s="892" customFormat="1" ht="14" x14ac:dyDescent="0.3"/>
    <row r="1384" s="892" customFormat="1" ht="14" x14ac:dyDescent="0.3"/>
    <row r="1385" s="892" customFormat="1" ht="14" x14ac:dyDescent="0.3"/>
    <row r="1386" s="892" customFormat="1" ht="14" x14ac:dyDescent="0.3"/>
    <row r="1387" s="892" customFormat="1" ht="14" x14ac:dyDescent="0.3"/>
    <row r="1388" s="892" customFormat="1" ht="14" x14ac:dyDescent="0.3"/>
    <row r="1389" s="892" customFormat="1" ht="14" x14ac:dyDescent="0.3"/>
    <row r="1390" s="892" customFormat="1" ht="14" x14ac:dyDescent="0.3"/>
    <row r="1391" s="892" customFormat="1" ht="14" x14ac:dyDescent="0.3"/>
    <row r="1392" s="892" customFormat="1" ht="14" x14ac:dyDescent="0.3"/>
    <row r="1393" s="892" customFormat="1" ht="14" x14ac:dyDescent="0.3"/>
    <row r="1394" s="892" customFormat="1" ht="14" x14ac:dyDescent="0.3"/>
    <row r="1395" s="892" customFormat="1" ht="14" x14ac:dyDescent="0.3"/>
    <row r="1396" s="892" customFormat="1" ht="14" x14ac:dyDescent="0.3"/>
    <row r="1397" s="892" customFormat="1" ht="14" x14ac:dyDescent="0.3"/>
    <row r="1398" s="892" customFormat="1" ht="14" x14ac:dyDescent="0.3"/>
    <row r="1399" s="892" customFormat="1" ht="14" x14ac:dyDescent="0.3"/>
    <row r="1400" s="892" customFormat="1" ht="14" x14ac:dyDescent="0.3"/>
    <row r="1401" s="892" customFormat="1" ht="14" x14ac:dyDescent="0.3"/>
    <row r="1402" s="892" customFormat="1" ht="14" x14ac:dyDescent="0.3"/>
    <row r="1403" s="892" customFormat="1" ht="14" x14ac:dyDescent="0.3"/>
    <row r="1404" s="892" customFormat="1" ht="14" x14ac:dyDescent="0.3"/>
    <row r="1405" s="892" customFormat="1" ht="14" x14ac:dyDescent="0.3"/>
    <row r="1406" s="892" customFormat="1" ht="14" x14ac:dyDescent="0.3"/>
    <row r="1407" s="892" customFormat="1" ht="14" x14ac:dyDescent="0.3"/>
    <row r="1408" s="892" customFormat="1" ht="14" x14ac:dyDescent="0.3"/>
    <row r="1409" s="892" customFormat="1" ht="14" x14ac:dyDescent="0.3"/>
    <row r="1410" s="892" customFormat="1" ht="14" x14ac:dyDescent="0.3"/>
    <row r="1411" s="892" customFormat="1" ht="14" x14ac:dyDescent="0.3"/>
    <row r="1412" s="892" customFormat="1" ht="14" x14ac:dyDescent="0.3"/>
    <row r="1413" s="892" customFormat="1" ht="14" x14ac:dyDescent="0.3"/>
    <row r="1414" s="892" customFormat="1" ht="14" x14ac:dyDescent="0.3"/>
    <row r="1415" s="892" customFormat="1" ht="14" x14ac:dyDescent="0.3"/>
    <row r="1416" s="892" customFormat="1" ht="14" x14ac:dyDescent="0.3"/>
    <row r="1417" s="892" customFormat="1" ht="14" x14ac:dyDescent="0.3"/>
    <row r="1418" s="892" customFormat="1" ht="14" x14ac:dyDescent="0.3"/>
    <row r="1419" s="892" customFormat="1" ht="14" x14ac:dyDescent="0.3"/>
    <row r="1420" s="892" customFormat="1" ht="14" x14ac:dyDescent="0.3"/>
    <row r="1421" s="892" customFormat="1" ht="14" x14ac:dyDescent="0.3"/>
    <row r="1422" s="892" customFormat="1" ht="14" x14ac:dyDescent="0.3"/>
    <row r="1423" s="892" customFormat="1" ht="14" x14ac:dyDescent="0.3"/>
    <row r="1424" s="892" customFormat="1" ht="14" x14ac:dyDescent="0.3"/>
    <row r="1425" s="892" customFormat="1" ht="14" x14ac:dyDescent="0.3"/>
    <row r="1426" s="892" customFormat="1" ht="14" x14ac:dyDescent="0.3"/>
    <row r="1427" s="892" customFormat="1" ht="14" x14ac:dyDescent="0.3"/>
    <row r="1428" s="892" customFormat="1" ht="14" x14ac:dyDescent="0.3"/>
    <row r="1429" s="892" customFormat="1" ht="14" x14ac:dyDescent="0.3"/>
    <row r="1430" s="892" customFormat="1" ht="14" x14ac:dyDescent="0.3"/>
    <row r="1431" s="892" customFormat="1" ht="14" x14ac:dyDescent="0.3"/>
    <row r="1432" s="892" customFormat="1" ht="14" x14ac:dyDescent="0.3"/>
    <row r="1433" s="892" customFormat="1" ht="14" x14ac:dyDescent="0.3"/>
    <row r="1434" s="892" customFormat="1" ht="14" x14ac:dyDescent="0.3"/>
    <row r="1435" s="892" customFormat="1" ht="14" x14ac:dyDescent="0.3"/>
    <row r="1436" s="892" customFormat="1" ht="14" x14ac:dyDescent="0.3"/>
    <row r="1437" s="892" customFormat="1" ht="14" x14ac:dyDescent="0.3"/>
    <row r="1438" s="892" customFormat="1" ht="14" x14ac:dyDescent="0.3"/>
    <row r="1439" s="892" customFormat="1" ht="14" x14ac:dyDescent="0.3"/>
    <row r="1440" s="892" customFormat="1" ht="14" x14ac:dyDescent="0.3"/>
    <row r="1441" s="892" customFormat="1" ht="14" x14ac:dyDescent="0.3"/>
    <row r="1442" s="892" customFormat="1" ht="14" x14ac:dyDescent="0.3"/>
    <row r="1443" s="892" customFormat="1" ht="14" x14ac:dyDescent="0.3"/>
    <row r="1444" s="892" customFormat="1" ht="14" x14ac:dyDescent="0.3"/>
    <row r="1445" s="892" customFormat="1" ht="14" x14ac:dyDescent="0.3"/>
    <row r="1446" s="892" customFormat="1" ht="14" x14ac:dyDescent="0.3"/>
    <row r="1447" s="892" customFormat="1" ht="14" x14ac:dyDescent="0.3"/>
    <row r="1448" s="892" customFormat="1" ht="14" x14ac:dyDescent="0.3"/>
    <row r="1449" s="892" customFormat="1" ht="14" x14ac:dyDescent="0.3"/>
    <row r="1450" s="892" customFormat="1" ht="14" x14ac:dyDescent="0.3"/>
    <row r="1451" s="892" customFormat="1" ht="14" x14ac:dyDescent="0.3"/>
    <row r="1452" s="892" customFormat="1" ht="14" x14ac:dyDescent="0.3"/>
    <row r="1453" s="892" customFormat="1" ht="14" x14ac:dyDescent="0.3"/>
    <row r="1454" s="892" customFormat="1" ht="14" x14ac:dyDescent="0.3"/>
    <row r="1455" s="892" customFormat="1" ht="14" x14ac:dyDescent="0.3"/>
    <row r="1456" s="892" customFormat="1" ht="14" x14ac:dyDescent="0.3"/>
    <row r="1457" s="892" customFormat="1" ht="14" x14ac:dyDescent="0.3"/>
    <row r="1458" s="892" customFormat="1" ht="14" x14ac:dyDescent="0.3"/>
    <row r="1459" s="892" customFormat="1" ht="14" x14ac:dyDescent="0.3"/>
    <row r="1460" s="892" customFormat="1" ht="14" x14ac:dyDescent="0.3"/>
    <row r="1461" s="892" customFormat="1" ht="14" x14ac:dyDescent="0.3"/>
    <row r="1462" s="892" customFormat="1" ht="14" x14ac:dyDescent="0.3"/>
    <row r="1463" s="892" customFormat="1" ht="14" x14ac:dyDescent="0.3"/>
    <row r="1464" s="892" customFormat="1" ht="14" x14ac:dyDescent="0.3"/>
    <row r="1465" s="892" customFormat="1" ht="14" x14ac:dyDescent="0.3"/>
    <row r="1466" s="892" customFormat="1" ht="14" x14ac:dyDescent="0.3"/>
    <row r="1467" s="892" customFormat="1" ht="14" x14ac:dyDescent="0.3"/>
    <row r="1468" s="892" customFormat="1" ht="14" x14ac:dyDescent="0.3"/>
    <row r="1469" s="892" customFormat="1" ht="14" x14ac:dyDescent="0.3"/>
    <row r="1470" s="892" customFormat="1" ht="14" x14ac:dyDescent="0.3"/>
    <row r="1471" s="892" customFormat="1" ht="14" x14ac:dyDescent="0.3"/>
    <row r="1472" s="892" customFormat="1" ht="14" x14ac:dyDescent="0.3"/>
    <row r="1473" s="892" customFormat="1" ht="14" x14ac:dyDescent="0.3"/>
    <row r="1474" s="892" customFormat="1" ht="14" x14ac:dyDescent="0.3"/>
    <row r="1475" s="892" customFormat="1" ht="14" x14ac:dyDescent="0.3"/>
    <row r="1476" s="892" customFormat="1" ht="14" x14ac:dyDescent="0.3"/>
    <row r="1477" s="892" customFormat="1" ht="14" x14ac:dyDescent="0.3"/>
    <row r="1478" s="892" customFormat="1" ht="14" x14ac:dyDescent="0.3"/>
    <row r="1479" s="892" customFormat="1" ht="14" x14ac:dyDescent="0.3"/>
    <row r="1480" s="892" customFormat="1" ht="14" x14ac:dyDescent="0.3"/>
    <row r="1481" s="892" customFormat="1" ht="14" x14ac:dyDescent="0.3"/>
    <row r="1482" s="892" customFormat="1" ht="14" x14ac:dyDescent="0.3"/>
    <row r="1483" s="892" customFormat="1" ht="14" x14ac:dyDescent="0.3"/>
    <row r="1484" s="892" customFormat="1" ht="14" x14ac:dyDescent="0.3"/>
    <row r="1485" s="892" customFormat="1" ht="14" x14ac:dyDescent="0.3"/>
    <row r="1486" s="892" customFormat="1" ht="14" x14ac:dyDescent="0.3"/>
    <row r="1487" s="892" customFormat="1" ht="14" x14ac:dyDescent="0.3"/>
    <row r="1488" s="892" customFormat="1" ht="14" x14ac:dyDescent="0.3"/>
    <row r="1489" s="892" customFormat="1" ht="14" x14ac:dyDescent="0.3"/>
    <row r="1490" s="892" customFormat="1" ht="14" x14ac:dyDescent="0.3"/>
    <row r="1491" s="892" customFormat="1" ht="14" x14ac:dyDescent="0.3"/>
    <row r="1492" s="892" customFormat="1" ht="14" x14ac:dyDescent="0.3"/>
    <row r="1493" s="892" customFormat="1" ht="14" x14ac:dyDescent="0.3"/>
    <row r="1494" s="892" customFormat="1" ht="14" x14ac:dyDescent="0.3"/>
    <row r="1495" s="892" customFormat="1" ht="14" x14ac:dyDescent="0.3"/>
    <row r="1496" s="892" customFormat="1" ht="14" x14ac:dyDescent="0.3"/>
    <row r="1497" s="892" customFormat="1" ht="14" x14ac:dyDescent="0.3"/>
    <row r="1498" s="892" customFormat="1" ht="14" x14ac:dyDescent="0.3"/>
    <row r="1499" s="892" customFormat="1" ht="14" x14ac:dyDescent="0.3"/>
    <row r="1500" s="892" customFormat="1" ht="14" x14ac:dyDescent="0.3"/>
    <row r="1501" s="892" customFormat="1" ht="14" x14ac:dyDescent="0.3"/>
    <row r="1502" s="892" customFormat="1" ht="14" x14ac:dyDescent="0.3"/>
    <row r="1503" s="892" customFormat="1" ht="14" x14ac:dyDescent="0.3"/>
    <row r="1504" s="892" customFormat="1" ht="14" x14ac:dyDescent="0.3"/>
    <row r="1505" s="892" customFormat="1" ht="14" x14ac:dyDescent="0.3"/>
    <row r="1506" s="892" customFormat="1" ht="14" x14ac:dyDescent="0.3"/>
    <row r="1507" s="892" customFormat="1" ht="14" x14ac:dyDescent="0.3"/>
    <row r="1508" s="892" customFormat="1" ht="14" x14ac:dyDescent="0.3"/>
    <row r="1509" s="892" customFormat="1" ht="14" x14ac:dyDescent="0.3"/>
    <row r="1510" s="892" customFormat="1" ht="14" x14ac:dyDescent="0.3"/>
    <row r="1511" s="892" customFormat="1" ht="14" x14ac:dyDescent="0.3"/>
    <row r="1512" s="892" customFormat="1" ht="14" x14ac:dyDescent="0.3"/>
    <row r="1513" s="892" customFormat="1" ht="14" x14ac:dyDescent="0.3"/>
    <row r="1514" s="892" customFormat="1" ht="14" x14ac:dyDescent="0.3"/>
    <row r="1515" s="892" customFormat="1" ht="14" x14ac:dyDescent="0.3"/>
    <row r="1516" s="892" customFormat="1" ht="14" x14ac:dyDescent="0.3"/>
    <row r="1517" s="892" customFormat="1" ht="14" x14ac:dyDescent="0.3"/>
    <row r="1518" s="892" customFormat="1" ht="14" x14ac:dyDescent="0.3"/>
    <row r="1519" s="892" customFormat="1" ht="14" x14ac:dyDescent="0.3"/>
    <row r="1520" s="892" customFormat="1" ht="14" x14ac:dyDescent="0.3"/>
    <row r="1521" s="892" customFormat="1" ht="14" x14ac:dyDescent="0.3"/>
    <row r="1522" s="892" customFormat="1" ht="14" x14ac:dyDescent="0.3"/>
    <row r="1523" s="892" customFormat="1" ht="14" x14ac:dyDescent="0.3"/>
    <row r="1524" s="892" customFormat="1" ht="14" x14ac:dyDescent="0.3"/>
    <row r="1525" s="892" customFormat="1" ht="14" x14ac:dyDescent="0.3"/>
    <row r="1526" s="892" customFormat="1" ht="14" x14ac:dyDescent="0.3"/>
    <row r="1527" s="892" customFormat="1" ht="14" x14ac:dyDescent="0.3"/>
    <row r="1528" s="892" customFormat="1" ht="14" x14ac:dyDescent="0.3"/>
    <row r="1529" s="892" customFormat="1" ht="14" x14ac:dyDescent="0.3"/>
    <row r="1530" s="892" customFormat="1" ht="14" x14ac:dyDescent="0.3"/>
    <row r="1531" s="892" customFormat="1" ht="14" x14ac:dyDescent="0.3"/>
    <row r="1532" s="892" customFormat="1" ht="14" x14ac:dyDescent="0.3"/>
    <row r="1533" s="892" customFormat="1" ht="14" x14ac:dyDescent="0.3"/>
    <row r="1534" s="892" customFormat="1" ht="14" x14ac:dyDescent="0.3"/>
    <row r="1535" s="892" customFormat="1" ht="14" x14ac:dyDescent="0.3"/>
    <row r="1536" s="892" customFormat="1" ht="14" x14ac:dyDescent="0.3"/>
    <row r="1537" s="892" customFormat="1" ht="14" x14ac:dyDescent="0.3"/>
    <row r="1538" s="892" customFormat="1" ht="14" x14ac:dyDescent="0.3"/>
    <row r="1539" s="892" customFormat="1" ht="14" x14ac:dyDescent="0.3"/>
    <row r="1540" s="892" customFormat="1" ht="14" x14ac:dyDescent="0.3"/>
    <row r="1541" s="892" customFormat="1" ht="14" x14ac:dyDescent="0.3"/>
    <row r="1542" s="892" customFormat="1" ht="14" x14ac:dyDescent="0.3"/>
    <row r="1543" s="892" customFormat="1" ht="14" x14ac:dyDescent="0.3"/>
    <row r="1544" s="892" customFormat="1" ht="14" x14ac:dyDescent="0.3"/>
    <row r="1545" s="892" customFormat="1" ht="14" x14ac:dyDescent="0.3"/>
    <row r="1546" s="892" customFormat="1" ht="14" x14ac:dyDescent="0.3"/>
    <row r="1547" s="892" customFormat="1" ht="14" x14ac:dyDescent="0.3"/>
    <row r="1548" s="892" customFormat="1" ht="14" x14ac:dyDescent="0.3"/>
    <row r="1549" s="892" customFormat="1" ht="14" x14ac:dyDescent="0.3"/>
    <row r="1550" s="892" customFormat="1" ht="14" x14ac:dyDescent="0.3"/>
    <row r="1551" s="892" customFormat="1" ht="14" x14ac:dyDescent="0.3"/>
    <row r="1552" s="892" customFormat="1" ht="14" x14ac:dyDescent="0.3"/>
    <row r="1553" s="892" customFormat="1" ht="14" x14ac:dyDescent="0.3"/>
    <row r="1554" s="892" customFormat="1" ht="14" x14ac:dyDescent="0.3"/>
    <row r="1555" s="892" customFormat="1" ht="14" x14ac:dyDescent="0.3"/>
    <row r="1556" s="892" customFormat="1" ht="14" x14ac:dyDescent="0.3"/>
    <row r="1557" s="892" customFormat="1" ht="14" x14ac:dyDescent="0.3"/>
    <row r="1558" s="892" customFormat="1" ht="14" x14ac:dyDescent="0.3"/>
    <row r="1559" s="892" customFormat="1" ht="14" x14ac:dyDescent="0.3"/>
    <row r="1560" s="892" customFormat="1" ht="14" x14ac:dyDescent="0.3"/>
    <row r="1561" s="892" customFormat="1" ht="14" x14ac:dyDescent="0.3"/>
    <row r="1562" s="892" customFormat="1" ht="14" x14ac:dyDescent="0.3"/>
    <row r="1563" s="892" customFormat="1" ht="14" x14ac:dyDescent="0.3"/>
    <row r="1564" s="892" customFormat="1" ht="14" x14ac:dyDescent="0.3"/>
    <row r="1565" s="892" customFormat="1" ht="14" x14ac:dyDescent="0.3"/>
    <row r="1566" s="892" customFormat="1" ht="14" x14ac:dyDescent="0.3"/>
    <row r="1567" s="892" customFormat="1" ht="14" x14ac:dyDescent="0.3"/>
    <row r="1568" s="892" customFormat="1" ht="14" x14ac:dyDescent="0.3"/>
    <row r="1569" s="892" customFormat="1" ht="14" x14ac:dyDescent="0.3"/>
    <row r="1570" s="892" customFormat="1" ht="14" x14ac:dyDescent="0.3"/>
    <row r="1571" s="892" customFormat="1" ht="14" x14ac:dyDescent="0.3"/>
    <row r="1572" s="892" customFormat="1" ht="14" x14ac:dyDescent="0.3"/>
    <row r="1573" s="892" customFormat="1" ht="14" x14ac:dyDescent="0.3"/>
    <row r="1574" s="892" customFormat="1" ht="14" x14ac:dyDescent="0.3"/>
    <row r="1575" s="892" customFormat="1" ht="14" x14ac:dyDescent="0.3"/>
    <row r="1576" s="892" customFormat="1" ht="14" x14ac:dyDescent="0.3"/>
    <row r="1577" s="892" customFormat="1" ht="14" x14ac:dyDescent="0.3"/>
    <row r="1578" s="892" customFormat="1" ht="14" x14ac:dyDescent="0.3"/>
    <row r="1579" s="892" customFormat="1" ht="14" x14ac:dyDescent="0.3"/>
    <row r="1580" s="892" customFormat="1" ht="14" x14ac:dyDescent="0.3"/>
    <row r="1581" s="892" customFormat="1" ht="14" x14ac:dyDescent="0.3"/>
    <row r="1582" s="892" customFormat="1" ht="14" x14ac:dyDescent="0.3"/>
    <row r="1583" s="892" customFormat="1" ht="14" x14ac:dyDescent="0.3"/>
    <row r="1584" s="892" customFormat="1" ht="14" x14ac:dyDescent="0.3"/>
    <row r="1585" s="892" customFormat="1" ht="14" x14ac:dyDescent="0.3"/>
    <row r="1586" s="892" customFormat="1" ht="14" x14ac:dyDescent="0.3"/>
    <row r="1587" s="892" customFormat="1" ht="14" x14ac:dyDescent="0.3"/>
    <row r="1588" s="892" customFormat="1" ht="14" x14ac:dyDescent="0.3"/>
    <row r="1589" s="892" customFormat="1" ht="14" x14ac:dyDescent="0.3"/>
    <row r="1590" s="892" customFormat="1" ht="14" x14ac:dyDescent="0.3"/>
    <row r="1591" s="892" customFormat="1" ht="14" x14ac:dyDescent="0.3"/>
    <row r="1592" s="892" customFormat="1" ht="14" x14ac:dyDescent="0.3"/>
    <row r="1593" s="892" customFormat="1" ht="14" x14ac:dyDescent="0.3"/>
    <row r="1594" s="892" customFormat="1" ht="14" x14ac:dyDescent="0.3"/>
    <row r="1595" s="892" customFormat="1" ht="14" x14ac:dyDescent="0.3"/>
    <row r="1596" s="892" customFormat="1" ht="14" x14ac:dyDescent="0.3"/>
    <row r="1597" s="892" customFormat="1" ht="14" x14ac:dyDescent="0.3"/>
    <row r="1598" s="892" customFormat="1" ht="14" x14ac:dyDescent="0.3"/>
    <row r="1599" s="892" customFormat="1" ht="14" x14ac:dyDescent="0.3"/>
    <row r="1600" s="892" customFormat="1" ht="14" x14ac:dyDescent="0.3"/>
    <row r="1601" s="892" customFormat="1" ht="14" x14ac:dyDescent="0.3"/>
    <row r="1602" s="892" customFormat="1" ht="14" x14ac:dyDescent="0.3"/>
    <row r="1603" s="892" customFormat="1" ht="14" x14ac:dyDescent="0.3"/>
    <row r="1604" s="892" customFormat="1" ht="14" x14ac:dyDescent="0.3"/>
    <row r="1605" s="892" customFormat="1" ht="14" x14ac:dyDescent="0.3"/>
    <row r="1606" s="892" customFormat="1" ht="14" x14ac:dyDescent="0.3"/>
    <row r="1607" s="892" customFormat="1" ht="14" x14ac:dyDescent="0.3"/>
    <row r="1608" s="892" customFormat="1" ht="14" x14ac:dyDescent="0.3"/>
    <row r="1609" s="892" customFormat="1" ht="14" x14ac:dyDescent="0.3"/>
    <row r="1610" s="892" customFormat="1" ht="14" x14ac:dyDescent="0.3"/>
    <row r="1611" s="892" customFormat="1" ht="14" x14ac:dyDescent="0.3"/>
    <row r="1612" s="892" customFormat="1" ht="14" x14ac:dyDescent="0.3"/>
    <row r="1613" s="892" customFormat="1" ht="14" x14ac:dyDescent="0.3"/>
    <row r="1614" s="892" customFormat="1" ht="14" x14ac:dyDescent="0.3"/>
    <row r="1615" s="892" customFormat="1" ht="14" x14ac:dyDescent="0.3"/>
    <row r="1616" s="892" customFormat="1" ht="14" x14ac:dyDescent="0.3"/>
    <row r="1617" s="892" customFormat="1" ht="14" x14ac:dyDescent="0.3"/>
    <row r="1618" s="892" customFormat="1" ht="14" x14ac:dyDescent="0.3"/>
    <row r="1619" s="892" customFormat="1" ht="14" x14ac:dyDescent="0.3"/>
    <row r="1620" s="892" customFormat="1" ht="14" x14ac:dyDescent="0.3"/>
    <row r="1621" s="892" customFormat="1" ht="14" x14ac:dyDescent="0.3"/>
    <row r="1622" s="892" customFormat="1" ht="14" x14ac:dyDescent="0.3"/>
    <row r="1623" s="892" customFormat="1" ht="14" x14ac:dyDescent="0.3"/>
    <row r="1624" s="892" customFormat="1" ht="14" x14ac:dyDescent="0.3"/>
    <row r="1625" s="892" customFormat="1" ht="14" x14ac:dyDescent="0.3"/>
    <row r="1626" s="892" customFormat="1" ht="14" x14ac:dyDescent="0.3"/>
    <row r="1627" s="892" customFormat="1" ht="14" x14ac:dyDescent="0.3"/>
    <row r="1628" s="892" customFormat="1" ht="14" x14ac:dyDescent="0.3"/>
    <row r="1629" s="892" customFormat="1" ht="14" x14ac:dyDescent="0.3"/>
    <row r="1630" s="892" customFormat="1" ht="14" x14ac:dyDescent="0.3"/>
    <row r="1631" s="892" customFormat="1" ht="14" x14ac:dyDescent="0.3"/>
    <row r="1632" s="892" customFormat="1" ht="14" x14ac:dyDescent="0.3"/>
    <row r="1633" s="892" customFormat="1" ht="14" x14ac:dyDescent="0.3"/>
    <row r="1634" s="892" customFormat="1" ht="14" x14ac:dyDescent="0.3"/>
    <row r="1635" s="892" customFormat="1" ht="14" x14ac:dyDescent="0.3"/>
    <row r="1636" s="892" customFormat="1" ht="14" x14ac:dyDescent="0.3"/>
    <row r="1637" s="892" customFormat="1" ht="14" x14ac:dyDescent="0.3"/>
    <row r="1638" s="892" customFormat="1" ht="14" x14ac:dyDescent="0.3"/>
    <row r="1639" s="892" customFormat="1" ht="14" x14ac:dyDescent="0.3"/>
    <row r="1640" s="892" customFormat="1" ht="14" x14ac:dyDescent="0.3"/>
    <row r="1641" s="892" customFormat="1" ht="14" x14ac:dyDescent="0.3"/>
    <row r="1642" s="892" customFormat="1" ht="14" x14ac:dyDescent="0.3"/>
    <row r="1643" s="892" customFormat="1" ht="14" x14ac:dyDescent="0.3"/>
    <row r="1644" s="892" customFormat="1" ht="14" x14ac:dyDescent="0.3"/>
    <row r="1645" s="892" customFormat="1" ht="14" x14ac:dyDescent="0.3"/>
    <row r="1646" s="892" customFormat="1" ht="14" x14ac:dyDescent="0.3"/>
    <row r="1647" s="892" customFormat="1" ht="14" x14ac:dyDescent="0.3"/>
    <row r="1648" s="892" customFormat="1" ht="14" x14ac:dyDescent="0.3"/>
    <row r="1649" s="892" customFormat="1" ht="14" x14ac:dyDescent="0.3"/>
    <row r="1650" s="892" customFormat="1" ht="14" x14ac:dyDescent="0.3"/>
    <row r="1651" s="892" customFormat="1" ht="14" x14ac:dyDescent="0.3"/>
    <row r="1652" s="892" customFormat="1" ht="14" x14ac:dyDescent="0.3"/>
    <row r="1653" s="892" customFormat="1" ht="14" x14ac:dyDescent="0.3"/>
    <row r="1654" s="892" customFormat="1" ht="14" x14ac:dyDescent="0.3"/>
    <row r="1655" s="892" customFormat="1" ht="14" x14ac:dyDescent="0.3"/>
    <row r="1656" s="892" customFormat="1" ht="14" x14ac:dyDescent="0.3"/>
    <row r="1657" s="892" customFormat="1" ht="14" x14ac:dyDescent="0.3"/>
    <row r="1658" s="892" customFormat="1" ht="14" x14ac:dyDescent="0.3"/>
    <row r="1659" s="892" customFormat="1" ht="14" x14ac:dyDescent="0.3"/>
    <row r="1660" s="892" customFormat="1" ht="14" x14ac:dyDescent="0.3"/>
    <row r="1661" s="892" customFormat="1" ht="14" x14ac:dyDescent="0.3"/>
    <row r="1662" s="892" customFormat="1" ht="14" x14ac:dyDescent="0.3"/>
    <row r="1663" s="892" customFormat="1" ht="14" x14ac:dyDescent="0.3"/>
    <row r="1664" s="892" customFormat="1" ht="14" x14ac:dyDescent="0.3"/>
    <row r="1665" s="892" customFormat="1" ht="14" x14ac:dyDescent="0.3"/>
    <row r="1666" s="892" customFormat="1" ht="14" x14ac:dyDescent="0.3"/>
    <row r="1667" s="892" customFormat="1" ht="14" x14ac:dyDescent="0.3"/>
    <row r="1668" s="892" customFormat="1" ht="14" x14ac:dyDescent="0.3"/>
    <row r="1669" s="892" customFormat="1" ht="14" x14ac:dyDescent="0.3"/>
    <row r="1670" s="892" customFormat="1" ht="14" x14ac:dyDescent="0.3"/>
    <row r="1671" s="892" customFormat="1" ht="14" x14ac:dyDescent="0.3"/>
    <row r="1672" s="892" customFormat="1" ht="14" x14ac:dyDescent="0.3"/>
    <row r="1673" s="892" customFormat="1" ht="14" x14ac:dyDescent="0.3"/>
    <row r="1674" s="892" customFormat="1" ht="14" x14ac:dyDescent="0.3"/>
    <row r="1675" s="892" customFormat="1" ht="14" x14ac:dyDescent="0.3"/>
    <row r="1676" s="892" customFormat="1" ht="14" x14ac:dyDescent="0.3"/>
    <row r="1677" s="892" customFormat="1" ht="14" x14ac:dyDescent="0.3"/>
    <row r="1678" s="892" customFormat="1" ht="14" x14ac:dyDescent="0.3"/>
    <row r="1679" s="892" customFormat="1" ht="14" x14ac:dyDescent="0.3"/>
    <row r="1680" s="892" customFormat="1" ht="14" x14ac:dyDescent="0.3"/>
    <row r="1681" s="892" customFormat="1" ht="14" x14ac:dyDescent="0.3"/>
    <row r="1682" s="892" customFormat="1" ht="14" x14ac:dyDescent="0.3"/>
    <row r="1683" s="892" customFormat="1" ht="14" x14ac:dyDescent="0.3"/>
    <row r="1684" s="892" customFormat="1" ht="14" x14ac:dyDescent="0.3"/>
    <row r="1685" s="892" customFormat="1" ht="14" x14ac:dyDescent="0.3"/>
    <row r="1686" s="892" customFormat="1" ht="14" x14ac:dyDescent="0.3"/>
    <row r="1687" s="892" customFormat="1" ht="14" x14ac:dyDescent="0.3"/>
    <row r="1688" s="892" customFormat="1" ht="14" x14ac:dyDescent="0.3"/>
    <row r="1689" s="892" customFormat="1" ht="14" x14ac:dyDescent="0.3"/>
    <row r="1690" s="892" customFormat="1" ht="14" x14ac:dyDescent="0.3"/>
    <row r="1691" s="892" customFormat="1" ht="14" x14ac:dyDescent="0.3"/>
    <row r="1692" s="892" customFormat="1" ht="14" x14ac:dyDescent="0.3"/>
    <row r="1693" s="892" customFormat="1" ht="14" x14ac:dyDescent="0.3"/>
    <row r="1694" s="892" customFormat="1" ht="14" x14ac:dyDescent="0.3"/>
    <row r="1695" s="892" customFormat="1" ht="14" x14ac:dyDescent="0.3"/>
    <row r="1696" s="892" customFormat="1" ht="14" x14ac:dyDescent="0.3"/>
    <row r="1697" s="892" customFormat="1" ht="14" x14ac:dyDescent="0.3"/>
    <row r="1698" s="892" customFormat="1" ht="14" x14ac:dyDescent="0.3"/>
    <row r="1699" s="892" customFormat="1" ht="14" x14ac:dyDescent="0.3"/>
    <row r="1700" s="892" customFormat="1" ht="14" x14ac:dyDescent="0.3"/>
    <row r="1701" s="892" customFormat="1" ht="14" x14ac:dyDescent="0.3"/>
    <row r="1702" s="892" customFormat="1" ht="14" x14ac:dyDescent="0.3"/>
    <row r="1703" s="892" customFormat="1" ht="14" x14ac:dyDescent="0.3"/>
    <row r="1704" s="892" customFormat="1" ht="14" x14ac:dyDescent="0.3"/>
    <row r="1705" s="892" customFormat="1" ht="14" x14ac:dyDescent="0.3"/>
    <row r="1706" s="892" customFormat="1" ht="14" x14ac:dyDescent="0.3"/>
    <row r="1707" s="892" customFormat="1" ht="14" x14ac:dyDescent="0.3"/>
    <row r="1708" s="892" customFormat="1" ht="14" x14ac:dyDescent="0.3"/>
    <row r="1709" s="892" customFormat="1" ht="14" x14ac:dyDescent="0.3"/>
    <row r="1710" s="892" customFormat="1" ht="14" x14ac:dyDescent="0.3"/>
    <row r="1711" s="892" customFormat="1" ht="14" x14ac:dyDescent="0.3"/>
    <row r="1712" s="892" customFormat="1" ht="14" x14ac:dyDescent="0.3"/>
    <row r="1713" s="892" customFormat="1" ht="14" x14ac:dyDescent="0.3"/>
    <row r="1714" s="892" customFormat="1" ht="14" x14ac:dyDescent="0.3"/>
    <row r="1715" s="892" customFormat="1" ht="14" x14ac:dyDescent="0.3"/>
    <row r="1716" s="892" customFormat="1" ht="14" x14ac:dyDescent="0.3"/>
    <row r="1717" s="892" customFormat="1" ht="14" x14ac:dyDescent="0.3"/>
    <row r="1718" s="892" customFormat="1" ht="14" x14ac:dyDescent="0.3"/>
    <row r="1719" s="892" customFormat="1" ht="14" x14ac:dyDescent="0.3"/>
    <row r="1720" s="892" customFormat="1" ht="14" x14ac:dyDescent="0.3"/>
    <row r="1721" s="892" customFormat="1" ht="14" x14ac:dyDescent="0.3"/>
    <row r="1722" s="892" customFormat="1" ht="14" x14ac:dyDescent="0.3"/>
    <row r="1723" s="892" customFormat="1" ht="14" x14ac:dyDescent="0.3"/>
    <row r="1724" s="892" customFormat="1" ht="14" x14ac:dyDescent="0.3"/>
    <row r="1725" s="892" customFormat="1" ht="14" x14ac:dyDescent="0.3"/>
    <row r="1726" s="892" customFormat="1" ht="14" x14ac:dyDescent="0.3"/>
    <row r="1727" s="892" customFormat="1" ht="14" x14ac:dyDescent="0.3"/>
    <row r="1728" s="892" customFormat="1" ht="14" x14ac:dyDescent="0.3"/>
    <row r="1729" s="892" customFormat="1" ht="14" x14ac:dyDescent="0.3"/>
    <row r="1730" s="892" customFormat="1" ht="14" x14ac:dyDescent="0.3"/>
    <row r="1731" s="892" customFormat="1" ht="14" x14ac:dyDescent="0.3"/>
    <row r="1732" s="892" customFormat="1" ht="14" x14ac:dyDescent="0.3"/>
    <row r="1733" s="892" customFormat="1" ht="14" x14ac:dyDescent="0.3"/>
    <row r="1734" s="892" customFormat="1" ht="14" x14ac:dyDescent="0.3"/>
    <row r="1735" s="892" customFormat="1" ht="14" x14ac:dyDescent="0.3"/>
    <row r="1736" s="892" customFormat="1" ht="14" x14ac:dyDescent="0.3"/>
    <row r="1737" s="892" customFormat="1" ht="14" x14ac:dyDescent="0.3"/>
    <row r="1738" s="892" customFormat="1" ht="14" x14ac:dyDescent="0.3"/>
    <row r="1739" s="892" customFormat="1" ht="14" x14ac:dyDescent="0.3"/>
    <row r="1740" s="892" customFormat="1" ht="14" x14ac:dyDescent="0.3"/>
    <row r="1741" s="892" customFormat="1" ht="14" x14ac:dyDescent="0.3"/>
    <row r="1742" s="892" customFormat="1" ht="14" x14ac:dyDescent="0.3"/>
    <row r="1743" s="892" customFormat="1" ht="14" x14ac:dyDescent="0.3"/>
    <row r="1744" s="892" customFormat="1" ht="14" x14ac:dyDescent="0.3"/>
    <row r="1745" s="892" customFormat="1" ht="14" x14ac:dyDescent="0.3"/>
    <row r="1746" s="892" customFormat="1" ht="14" x14ac:dyDescent="0.3"/>
    <row r="1747" s="892" customFormat="1" ht="14" x14ac:dyDescent="0.3"/>
    <row r="1748" s="892" customFormat="1" ht="14" x14ac:dyDescent="0.3"/>
    <row r="1749" s="892" customFormat="1" ht="14" x14ac:dyDescent="0.3"/>
    <row r="1750" s="892" customFormat="1" ht="14" x14ac:dyDescent="0.3"/>
    <row r="1751" s="892" customFormat="1" ht="14" x14ac:dyDescent="0.3"/>
    <row r="1752" s="892" customFormat="1" ht="14" x14ac:dyDescent="0.3"/>
    <row r="1753" s="892" customFormat="1" ht="14" x14ac:dyDescent="0.3"/>
    <row r="1754" s="892" customFormat="1" ht="14" x14ac:dyDescent="0.3"/>
    <row r="1755" s="892" customFormat="1" ht="14" x14ac:dyDescent="0.3"/>
    <row r="1756" s="892" customFormat="1" ht="14" x14ac:dyDescent="0.3"/>
    <row r="1757" s="892" customFormat="1" ht="14" x14ac:dyDescent="0.3"/>
    <row r="1758" s="892" customFormat="1" ht="14" x14ac:dyDescent="0.3"/>
    <row r="1759" s="892" customFormat="1" ht="14" x14ac:dyDescent="0.3"/>
    <row r="1760" s="892" customFormat="1" ht="14" x14ac:dyDescent="0.3"/>
    <row r="1761" s="892" customFormat="1" ht="14" x14ac:dyDescent="0.3"/>
    <row r="1762" s="892" customFormat="1" ht="14" x14ac:dyDescent="0.3"/>
    <row r="1763" s="892" customFormat="1" ht="14" x14ac:dyDescent="0.3"/>
    <row r="1764" s="892" customFormat="1" ht="14" x14ac:dyDescent="0.3"/>
    <row r="1765" s="892" customFormat="1" ht="14" x14ac:dyDescent="0.3"/>
    <row r="1766" s="892" customFormat="1" ht="14" x14ac:dyDescent="0.3"/>
    <row r="1767" s="892" customFormat="1" ht="14" x14ac:dyDescent="0.3"/>
    <row r="1768" s="892" customFormat="1" ht="14" x14ac:dyDescent="0.3"/>
    <row r="1769" s="892" customFormat="1" ht="14" x14ac:dyDescent="0.3"/>
    <row r="1770" s="892" customFormat="1" ht="14" x14ac:dyDescent="0.3"/>
    <row r="1771" s="892" customFormat="1" ht="14" x14ac:dyDescent="0.3"/>
    <row r="1772" s="892" customFormat="1" ht="14" x14ac:dyDescent="0.3"/>
    <row r="1773" s="892" customFormat="1" ht="14" x14ac:dyDescent="0.3"/>
    <row r="1774" s="892" customFormat="1" ht="14" x14ac:dyDescent="0.3"/>
    <row r="1775" s="892" customFormat="1" ht="14" x14ac:dyDescent="0.3"/>
    <row r="1776" s="892" customFormat="1" ht="14" x14ac:dyDescent="0.3"/>
    <row r="1777" s="892" customFormat="1" ht="14" x14ac:dyDescent="0.3"/>
    <row r="1778" s="892" customFormat="1" ht="14" x14ac:dyDescent="0.3"/>
    <row r="1779" s="892" customFormat="1" ht="14" x14ac:dyDescent="0.3"/>
    <row r="1780" s="892" customFormat="1" ht="14" x14ac:dyDescent="0.3"/>
    <row r="1781" s="892" customFormat="1" ht="14" x14ac:dyDescent="0.3"/>
    <row r="1782" s="892" customFormat="1" ht="14" x14ac:dyDescent="0.3"/>
    <row r="1783" s="892" customFormat="1" ht="14" x14ac:dyDescent="0.3"/>
    <row r="1784" s="892" customFormat="1" ht="14" x14ac:dyDescent="0.3"/>
    <row r="1785" s="892" customFormat="1" ht="14" x14ac:dyDescent="0.3"/>
    <row r="1786" s="892" customFormat="1" ht="14" x14ac:dyDescent="0.3"/>
    <row r="1787" s="892" customFormat="1" ht="14" x14ac:dyDescent="0.3"/>
    <row r="1788" s="892" customFormat="1" ht="14" x14ac:dyDescent="0.3"/>
    <row r="1789" s="892" customFormat="1" ht="14" x14ac:dyDescent="0.3"/>
    <row r="1790" s="892" customFormat="1" ht="14" x14ac:dyDescent="0.3"/>
    <row r="1791" s="892" customFormat="1" ht="14" x14ac:dyDescent="0.3"/>
    <row r="1792" s="892" customFormat="1" ht="14" x14ac:dyDescent="0.3"/>
    <row r="1793" s="892" customFormat="1" ht="14" x14ac:dyDescent="0.3"/>
    <row r="1794" s="892" customFormat="1" ht="14" x14ac:dyDescent="0.3"/>
    <row r="1795" s="892" customFormat="1" ht="14" x14ac:dyDescent="0.3"/>
    <row r="1796" s="892" customFormat="1" ht="14" x14ac:dyDescent="0.3"/>
    <row r="1797" s="892" customFormat="1" ht="14" x14ac:dyDescent="0.3"/>
    <row r="1798" s="892" customFormat="1" ht="14" x14ac:dyDescent="0.3"/>
    <row r="1799" s="892" customFormat="1" ht="14" x14ac:dyDescent="0.3"/>
    <row r="1800" s="892" customFormat="1" ht="14" x14ac:dyDescent="0.3"/>
    <row r="1801" s="892" customFormat="1" ht="14" x14ac:dyDescent="0.3"/>
    <row r="1802" s="892" customFormat="1" ht="14" x14ac:dyDescent="0.3"/>
    <row r="1803" s="892" customFormat="1" ht="14" x14ac:dyDescent="0.3"/>
    <row r="1804" s="892" customFormat="1" ht="14" x14ac:dyDescent="0.3"/>
    <row r="1805" s="892" customFormat="1" ht="14" x14ac:dyDescent="0.3"/>
    <row r="1806" s="892" customFormat="1" ht="14" x14ac:dyDescent="0.3"/>
    <row r="1807" s="892" customFormat="1" ht="14" x14ac:dyDescent="0.3"/>
    <row r="1808" s="892" customFormat="1" ht="14" x14ac:dyDescent="0.3"/>
    <row r="1809" s="892" customFormat="1" ht="14" x14ac:dyDescent="0.3"/>
    <row r="1810" s="892" customFormat="1" ht="14" x14ac:dyDescent="0.3"/>
    <row r="1811" s="892" customFormat="1" ht="14" x14ac:dyDescent="0.3"/>
    <row r="1812" s="892" customFormat="1" ht="14" x14ac:dyDescent="0.3"/>
    <row r="1813" s="892" customFormat="1" ht="14" x14ac:dyDescent="0.3"/>
    <row r="1814" s="892" customFormat="1" ht="14" x14ac:dyDescent="0.3"/>
    <row r="1815" s="892" customFormat="1" ht="14" x14ac:dyDescent="0.3"/>
    <row r="1816" s="892" customFormat="1" ht="14" x14ac:dyDescent="0.3"/>
    <row r="1817" s="892" customFormat="1" ht="14" x14ac:dyDescent="0.3"/>
    <row r="1818" s="892" customFormat="1" ht="14" x14ac:dyDescent="0.3"/>
    <row r="1819" s="892" customFormat="1" ht="14" x14ac:dyDescent="0.3"/>
    <row r="1820" s="892" customFormat="1" ht="14" x14ac:dyDescent="0.3"/>
    <row r="1821" s="892" customFormat="1" ht="14" x14ac:dyDescent="0.3"/>
    <row r="1822" s="892" customFormat="1" ht="14" x14ac:dyDescent="0.3"/>
    <row r="1823" s="892" customFormat="1" ht="14" x14ac:dyDescent="0.3"/>
    <row r="1824" s="892" customFormat="1" ht="14" x14ac:dyDescent="0.3"/>
    <row r="1825" s="892" customFormat="1" ht="14" x14ac:dyDescent="0.3"/>
    <row r="1826" s="892" customFormat="1" ht="14" x14ac:dyDescent="0.3"/>
    <row r="1827" s="892" customFormat="1" ht="14" x14ac:dyDescent="0.3"/>
    <row r="1828" s="892" customFormat="1" ht="14" x14ac:dyDescent="0.3"/>
    <row r="1829" s="892" customFormat="1" ht="14" x14ac:dyDescent="0.3"/>
    <row r="1830" s="892" customFormat="1" ht="14" x14ac:dyDescent="0.3"/>
    <row r="1831" s="892" customFormat="1" ht="14" x14ac:dyDescent="0.3"/>
    <row r="1832" s="892" customFormat="1" ht="14" x14ac:dyDescent="0.3"/>
    <row r="1833" s="892" customFormat="1" ht="14" x14ac:dyDescent="0.3"/>
    <row r="1834" s="892" customFormat="1" ht="14" x14ac:dyDescent="0.3"/>
    <row r="1835" s="892" customFormat="1" ht="14" x14ac:dyDescent="0.3"/>
    <row r="1836" s="892" customFormat="1" ht="14" x14ac:dyDescent="0.3"/>
    <row r="1837" s="892" customFormat="1" ht="14" x14ac:dyDescent="0.3"/>
    <row r="1838" s="892" customFormat="1" ht="14" x14ac:dyDescent="0.3"/>
    <row r="1839" s="892" customFormat="1" ht="14" x14ac:dyDescent="0.3"/>
    <row r="1840" s="892" customFormat="1" ht="14" x14ac:dyDescent="0.3"/>
    <row r="1841" s="892" customFormat="1" ht="14" x14ac:dyDescent="0.3"/>
    <row r="1842" s="892" customFormat="1" ht="14" x14ac:dyDescent="0.3"/>
    <row r="1843" s="892" customFormat="1" ht="14" x14ac:dyDescent="0.3"/>
    <row r="1844" s="892" customFormat="1" ht="14" x14ac:dyDescent="0.3"/>
    <row r="1845" s="892" customFormat="1" ht="14" x14ac:dyDescent="0.3"/>
    <row r="1846" s="892" customFormat="1" ht="14" x14ac:dyDescent="0.3"/>
    <row r="1847" s="892" customFormat="1" ht="14" x14ac:dyDescent="0.3"/>
    <row r="1848" s="892" customFormat="1" ht="14" x14ac:dyDescent="0.3"/>
    <row r="1849" s="892" customFormat="1" ht="14" x14ac:dyDescent="0.3"/>
    <row r="1850" s="892" customFormat="1" ht="14" x14ac:dyDescent="0.3"/>
    <row r="1851" s="892" customFormat="1" ht="14" x14ac:dyDescent="0.3"/>
    <row r="1852" s="892" customFormat="1" ht="14" x14ac:dyDescent="0.3"/>
    <row r="1853" s="892" customFormat="1" ht="14" x14ac:dyDescent="0.3"/>
    <row r="1854" s="892" customFormat="1" ht="14" x14ac:dyDescent="0.3"/>
    <row r="1855" s="892" customFormat="1" ht="14" x14ac:dyDescent="0.3"/>
    <row r="1856" s="892" customFormat="1" ht="14" x14ac:dyDescent="0.3"/>
    <row r="1857" s="892" customFormat="1" ht="14" x14ac:dyDescent="0.3"/>
    <row r="1858" s="892" customFormat="1" ht="14" x14ac:dyDescent="0.3"/>
    <row r="1859" s="892" customFormat="1" ht="14" x14ac:dyDescent="0.3"/>
    <row r="1860" s="892" customFormat="1" ht="14" x14ac:dyDescent="0.3"/>
    <row r="1861" s="892" customFormat="1" ht="14" x14ac:dyDescent="0.3"/>
    <row r="1862" s="892" customFormat="1" ht="14" x14ac:dyDescent="0.3"/>
    <row r="1863" s="892" customFormat="1" ht="14" x14ac:dyDescent="0.3"/>
    <row r="1864" s="892" customFormat="1" ht="14" x14ac:dyDescent="0.3"/>
    <row r="1865" s="892" customFormat="1" ht="14" x14ac:dyDescent="0.3"/>
    <row r="1866" s="892" customFormat="1" ht="14" x14ac:dyDescent="0.3"/>
    <row r="1867" s="892" customFormat="1" ht="14" x14ac:dyDescent="0.3"/>
    <row r="1868" s="892" customFormat="1" ht="14" x14ac:dyDescent="0.3"/>
    <row r="1869" s="892" customFormat="1" ht="14" x14ac:dyDescent="0.3"/>
    <row r="1870" s="892" customFormat="1" ht="14" x14ac:dyDescent="0.3"/>
    <row r="1871" s="892" customFormat="1" ht="14" x14ac:dyDescent="0.3"/>
    <row r="1872" s="892" customFormat="1" ht="14" x14ac:dyDescent="0.3"/>
    <row r="1873" s="892" customFormat="1" ht="14" x14ac:dyDescent="0.3"/>
    <row r="1874" s="892" customFormat="1" ht="14" x14ac:dyDescent="0.3"/>
    <row r="1875" s="892" customFormat="1" ht="14" x14ac:dyDescent="0.3"/>
    <row r="1876" s="892" customFormat="1" ht="14" x14ac:dyDescent="0.3"/>
    <row r="1877" s="892" customFormat="1" ht="14" x14ac:dyDescent="0.3"/>
    <row r="1878" s="892" customFormat="1" ht="14" x14ac:dyDescent="0.3"/>
    <row r="1879" s="892" customFormat="1" ht="14" x14ac:dyDescent="0.3"/>
    <row r="1880" s="892" customFormat="1" ht="14" x14ac:dyDescent="0.3"/>
    <row r="1881" s="892" customFormat="1" ht="14" x14ac:dyDescent="0.3"/>
    <row r="1882" s="892" customFormat="1" ht="14" x14ac:dyDescent="0.3"/>
    <row r="1883" s="892" customFormat="1" ht="14" x14ac:dyDescent="0.3"/>
    <row r="1884" s="892" customFormat="1" ht="14" x14ac:dyDescent="0.3"/>
    <row r="1885" s="892" customFormat="1" ht="14" x14ac:dyDescent="0.3"/>
    <row r="1886" s="892" customFormat="1" ht="14" x14ac:dyDescent="0.3"/>
    <row r="1887" s="892" customFormat="1" ht="14" x14ac:dyDescent="0.3"/>
    <row r="1888" s="892" customFormat="1" ht="14" x14ac:dyDescent="0.3"/>
    <row r="1889" s="892" customFormat="1" ht="14" x14ac:dyDescent="0.3"/>
    <row r="1890" s="892" customFormat="1" ht="14" x14ac:dyDescent="0.3"/>
    <row r="1891" s="892" customFormat="1" ht="14" x14ac:dyDescent="0.3"/>
    <row r="1892" s="892" customFormat="1" ht="14" x14ac:dyDescent="0.3"/>
    <row r="1893" s="892" customFormat="1" ht="14" x14ac:dyDescent="0.3"/>
    <row r="1894" s="892" customFormat="1" ht="14" x14ac:dyDescent="0.3"/>
    <row r="1895" s="892" customFormat="1" ht="14" x14ac:dyDescent="0.3"/>
    <row r="1896" s="892" customFormat="1" ht="14" x14ac:dyDescent="0.3"/>
    <row r="1897" s="892" customFormat="1" ht="14" x14ac:dyDescent="0.3"/>
    <row r="1898" s="892" customFormat="1" ht="14" x14ac:dyDescent="0.3"/>
    <row r="1899" s="892" customFormat="1" ht="14" x14ac:dyDescent="0.3"/>
    <row r="1900" s="892" customFormat="1" ht="14" x14ac:dyDescent="0.3"/>
    <row r="1901" s="892" customFormat="1" ht="14" x14ac:dyDescent="0.3"/>
    <row r="1902" s="892" customFormat="1" ht="14" x14ac:dyDescent="0.3"/>
    <row r="1903" s="892" customFormat="1" ht="14" x14ac:dyDescent="0.3"/>
    <row r="1904" s="892" customFormat="1" ht="14" x14ac:dyDescent="0.3"/>
    <row r="1905" s="892" customFormat="1" ht="14" x14ac:dyDescent="0.3"/>
    <row r="1906" s="892" customFormat="1" ht="14" x14ac:dyDescent="0.3"/>
    <row r="1907" s="892" customFormat="1" ht="14" x14ac:dyDescent="0.3"/>
    <row r="1908" s="892" customFormat="1" ht="14" x14ac:dyDescent="0.3"/>
  </sheetData>
  <sheetProtection algorithmName="SHA-512" hashValue="dVs0hQoHsz/NYbDYF3w4dUT/jUOKX51rTlgmMuehXZij1TP6ppSriTj6vwbCSrn2YIYJhaLUOZ37cDz0sjG2og==" saltValue="Yedb0ZOPZI/CIfGyYYpL1A==" spinCount="100000" sheet="1" objects="1" scenarios="1"/>
  <mergeCells count="76">
    <mergeCell ref="C79:D79"/>
    <mergeCell ref="B586:C586"/>
    <mergeCell ref="E586:G586"/>
    <mergeCell ref="F82:G82"/>
    <mergeCell ref="B111:C111"/>
    <mergeCell ref="B83:B84"/>
    <mergeCell ref="C82:E82"/>
    <mergeCell ref="B87:I89"/>
    <mergeCell ref="F102:G102"/>
    <mergeCell ref="F107:G107"/>
    <mergeCell ref="L111:L112"/>
    <mergeCell ref="D111:D112"/>
    <mergeCell ref="E111:E112"/>
    <mergeCell ref="F111:F112"/>
    <mergeCell ref="G111:G112"/>
    <mergeCell ref="I111:I112"/>
    <mergeCell ref="J111:J112"/>
    <mergeCell ref="K111:K112"/>
    <mergeCell ref="H111:H112"/>
    <mergeCell ref="B2:H5"/>
    <mergeCell ref="H37:I37"/>
    <mergeCell ref="H43:I43"/>
    <mergeCell ref="D37:E37"/>
    <mergeCell ref="D38:E38"/>
    <mergeCell ref="D39:E39"/>
    <mergeCell ref="H41:I41"/>
    <mergeCell ref="H42:I42"/>
    <mergeCell ref="D43:E43"/>
    <mergeCell ref="F40:G40"/>
    <mergeCell ref="F41:G41"/>
    <mergeCell ref="F42:G42"/>
    <mergeCell ref="F43:G43"/>
    <mergeCell ref="D11:F11"/>
    <mergeCell ref="F31:G31"/>
    <mergeCell ref="D13:F13"/>
    <mergeCell ref="B43:B44"/>
    <mergeCell ref="D31:E31"/>
    <mergeCell ref="F37:G37"/>
    <mergeCell ref="D41:E41"/>
    <mergeCell ref="D42:E42"/>
    <mergeCell ref="F33:G33"/>
    <mergeCell ref="F35:G35"/>
    <mergeCell ref="E58:F58"/>
    <mergeCell ref="E59:F59"/>
    <mergeCell ref="I50:J51"/>
    <mergeCell ref="G63:H63"/>
    <mergeCell ref="E63:F63"/>
    <mergeCell ref="E53:F53"/>
    <mergeCell ref="E54:F54"/>
    <mergeCell ref="E55:F55"/>
    <mergeCell ref="C77:D77"/>
    <mergeCell ref="C73:D73"/>
    <mergeCell ref="G68:H68"/>
    <mergeCell ref="F73:G73"/>
    <mergeCell ref="C75:D75"/>
    <mergeCell ref="C49:D49"/>
    <mergeCell ref="G49:I49"/>
    <mergeCell ref="E50:F50"/>
    <mergeCell ref="H44:I44"/>
    <mergeCell ref="D44:E44"/>
    <mergeCell ref="H15:I15"/>
    <mergeCell ref="U210:V210"/>
    <mergeCell ref="F15:G15"/>
    <mergeCell ref="F44:G44"/>
    <mergeCell ref="G66:H66"/>
    <mergeCell ref="E68:F68"/>
    <mergeCell ref="G62:H62"/>
    <mergeCell ref="E62:F62"/>
    <mergeCell ref="H39:I39"/>
    <mergeCell ref="F38:G38"/>
    <mergeCell ref="F39:G39"/>
    <mergeCell ref="H40:I40"/>
    <mergeCell ref="D40:E40"/>
    <mergeCell ref="H38:I38"/>
    <mergeCell ref="G70:H70"/>
    <mergeCell ref="E66:F66"/>
  </mergeCells>
  <conditionalFormatting sqref="H73">
    <cfRule type="expression" dxfId="118" priority="8">
      <formula>$V$212&gt;2</formula>
    </cfRule>
  </conditionalFormatting>
  <dataValidations count="24">
    <dataValidation type="decimal" allowBlank="1" showInputMessage="1" showErrorMessage="1" sqref="G105 G100 G92" xr:uid="{5F5A3FEA-9648-4E70-B225-3D243EB4503C}">
      <formula1>0</formula1>
      <formula2>24</formula2>
    </dataValidation>
    <dataValidation type="whole" allowBlank="1" showInputMessage="1" showErrorMessage="1" sqref="H105 H100" xr:uid="{1DB1086F-BD45-4EDE-9B9F-95DF2F23433D}">
      <formula1>0</formula1>
      <formula2>365</formula2>
    </dataValidation>
    <dataValidation type="whole" allowBlank="1" showInputMessage="1" showErrorMessage="1" sqref="G95 G55" xr:uid="{5A150008-395D-48A4-B008-22969B3DABD7}">
      <formula1>0</formula1>
      <formula2>100</formula2>
    </dataValidation>
    <dataValidation type="list" allowBlank="1" showInputMessage="1" showErrorMessage="1" sqref="D15" xr:uid="{B89EF8D6-9509-48D1-A309-A0F4BE234CFC}">
      <formula1>State</formula1>
    </dataValidation>
    <dataValidation type="list" allowBlank="1" showInputMessage="1" showErrorMessage="1" sqref="E50" xr:uid="{54FDF005-9B2B-49AE-A7BF-13C8CF800A66}">
      <formula1>Fertiliser</formula1>
    </dataValidation>
    <dataValidation type="list" allowBlank="1" showInputMessage="1" showErrorMessage="1" sqref="C77:D77" xr:uid="{6161AFB1-F4C3-4E9C-8495-F0AC84EF49C5}">
      <formula1>OFFSET($C$616,MATCH($C$588,$C$617:$C$634,0),5,COUNTIF($C$617:$C$634,$C$588),6)</formula1>
    </dataValidation>
    <dataValidation type="list" allowBlank="1" showInputMessage="1" showErrorMessage="1" sqref="F82:G82" xr:uid="{40E75E5A-9630-40E8-B84C-D822179B0EA1}">
      <formula1>Waste.Management</formula1>
    </dataValidation>
    <dataValidation type="list" allowBlank="1" showInputMessage="1" showErrorMessage="1" sqref="G98" xr:uid="{1C66D4A8-4C3A-4298-9A37-1DDCDA5A3406}">
      <formula1>Pre_treament</formula1>
    </dataValidation>
    <dataValidation type="list" allowBlank="1" showInputMessage="1" showErrorMessage="1" sqref="F102:G102" xr:uid="{4166D86E-9430-4803-8E58-2D575B17BCB4}">
      <formula1>Milker_Feedpad_Waste</formula1>
    </dataValidation>
    <dataValidation type="list" allowBlank="1" showInputMessage="1" showErrorMessage="1" sqref="F107" xr:uid="{38E94328-B889-412D-8FE7-0EF0FC62B695}">
      <formula1>Heifer_Feedpad_Waste</formula1>
    </dataValidation>
    <dataValidation type="list" allowBlank="1" showInputMessage="1" showErrorMessage="1" sqref="C73:D73" xr:uid="{B4107CBC-A1C7-4CEE-B8D2-89ECED4261E1}">
      <formula1>Tree_Sequestration</formula1>
    </dataValidation>
    <dataValidation type="whole" allowBlank="1" showInputMessage="1" showErrorMessage="1" error="If the herd's average lactation length is greater than 365 days, you must put 365 here as the assessment is only for a 12 month period" sqref="D35" xr:uid="{A8A7D66A-A216-4ACF-9F55-DFE16BCD67C3}">
      <formula1>1</formula1>
      <formula2>365</formula2>
    </dataValidation>
    <dataValidation type="list" allowBlank="1" showInputMessage="1" showErrorMessage="1" sqref="D31:E31" xr:uid="{F3E69B09-25AB-4932-9E6A-1A8093035A55}">
      <formula1>Milk.production</formula1>
    </dataValidation>
    <dataValidation type="decimal" allowBlank="1" showInputMessage="1" showErrorMessage="1" sqref="H92" xr:uid="{0FDC951B-20B2-4019-8906-2DDDE0688B44}">
      <formula1>0</formula1>
      <formula2>365</formula2>
    </dataValidation>
    <dataValidation type="decimal" allowBlank="1" showInputMessage="1" showErrorMessage="1" sqref="F43:G43" xr:uid="{1F47F8F9-C296-49D2-ADE0-FBBFB991D963}">
      <formula1>0</formula1>
      <formula2>100</formula2>
    </dataValidation>
    <dataValidation type="decimal" allowBlank="1" showInputMessage="1" showErrorMessage="1" sqref="H43:I43" xr:uid="{98D60C0A-216E-4257-AAEF-70247CD8E8E3}">
      <formula1>0</formula1>
      <formula2>50</formula2>
    </dataValidation>
    <dataValidation type="decimal" allowBlank="1" showInputMessage="1" showErrorMessage="1" sqref="D43:E43" xr:uid="{B4B5B764-2542-41E3-A41C-F76CA15CE15A}">
      <formula1>0</formula1>
      <formula2>30</formula2>
    </dataValidation>
    <dataValidation type="list" allowBlank="1" showInputMessage="1" showErrorMessage="1" sqref="G62:H62" xr:uid="{A533B1D9-305D-4FD0-B301-998C97626315}">
      <formula1>$E$534:$E$535</formula1>
    </dataValidation>
    <dataValidation type="list" allowBlank="1" showInputMessage="1" showErrorMessage="1" sqref="C79" xr:uid="{0CB350BC-E39A-4334-A3E6-F707833F748A}">
      <formula1>OFFSET($C$616,MATCH($C$588,$C$617:$C$634,0),2,COUNTIF($C$617:$C$634,$C$588),2)</formula1>
    </dataValidation>
    <dataValidation type="list" allowBlank="1" showInputMessage="1" showErrorMessage="1" sqref="C75:D75" xr:uid="{560E684C-0E51-41BF-88BA-280AAB7FE90D}">
      <formula1>INDIRECT(D15)</formula1>
    </dataValidation>
    <dataValidation type="whole" allowBlank="1" showInputMessage="1" showErrorMessage="1" error="Enter a whole number between 1 and 99. So if 10% from renewables, enter 10" sqref="G63:H63" xr:uid="{C1EED56B-646C-4FB2-9147-80AAC1F21C12}">
      <formula1>0</formula1>
      <formula2>99</formula2>
    </dataValidation>
    <dataValidation type="list" allowBlank="1" showInputMessage="1" showErrorMessage="1" sqref="K17:K18" xr:uid="{D0F0B166-99B4-4E41-88B5-3BBE17ED262D}">
      <formula1>$H$202:$H$203</formula1>
    </dataValidation>
    <dataValidation type="list" allowBlank="1" showInputMessage="1" showErrorMessage="1" sqref="H15:I15" xr:uid="{1EB818DA-823B-4027-A225-ED1376CAC6EB}">
      <formula1>$K$201:$K$217</formula1>
    </dataValidation>
    <dataValidation type="whole" allowBlank="1" showInputMessage="1" showErrorMessage="1" error="Maximum age can not be greater than 100 years" sqref="I79" xr:uid="{B17396C4-3BFD-4E11-A409-0A0EB1460D4B}">
      <formula1>0</formula1>
      <formula2>100</formula2>
    </dataValidation>
  </dataValidations>
  <hyperlinks>
    <hyperlink ref="B43:B44" location="'Feed quality table'!A1" display="Click here for help regarding feed quality" xr:uid="{00000000-0004-0000-0100-000001000000}"/>
    <hyperlink ref="I50:J51" location="'Fertiliser rates'!A1" display="Click here to work out fertiliser rates" xr:uid="{9DCB73C1-FB19-41E3-9F01-316D0AFD9A44}"/>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BF798"/>
  <sheetViews>
    <sheetView workbookViewId="0">
      <selection activeCell="U6" sqref="U6"/>
    </sheetView>
  </sheetViews>
  <sheetFormatPr defaultColWidth="8.81640625" defaultRowHeight="14" x14ac:dyDescent="0.3"/>
  <cols>
    <col min="1" max="1" width="26.54296875" style="387" customWidth="1"/>
    <col min="2" max="3" width="8.81640625" style="387"/>
    <col min="4" max="4" width="9.453125" style="387" bestFit="1" customWidth="1"/>
    <col min="5" max="6" width="8.81640625" style="387"/>
    <col min="7" max="7" width="21.26953125" style="387" customWidth="1"/>
    <col min="8" max="10" width="8.81640625" style="387"/>
    <col min="11" max="11" width="22.7265625" style="387" bestFit="1" customWidth="1"/>
    <col min="12" max="18" width="8.81640625" style="1182"/>
    <col min="19" max="27" width="8.81640625" style="387"/>
    <col min="28" max="29" width="10" style="387" bestFit="1" customWidth="1"/>
    <col min="30" max="16384" width="8.81640625" style="387"/>
  </cols>
  <sheetData>
    <row r="1" spans="1:58" x14ac:dyDescent="0.3">
      <c r="A1" s="387" t="s">
        <v>994</v>
      </c>
      <c r="B1" s="387" t="s">
        <v>995</v>
      </c>
      <c r="C1" s="387" t="s">
        <v>1006</v>
      </c>
      <c r="D1" s="387" t="s">
        <v>1973</v>
      </c>
      <c r="E1" s="1182" t="s">
        <v>1974</v>
      </c>
      <c r="F1" s="1182"/>
      <c r="G1" s="387" t="s">
        <v>996</v>
      </c>
      <c r="I1" s="387" t="s">
        <v>2114</v>
      </c>
      <c r="J1" s="387" t="s">
        <v>2115</v>
      </c>
      <c r="L1" s="1182" t="s">
        <v>994</v>
      </c>
      <c r="M1" s="1182" t="s">
        <v>2118</v>
      </c>
      <c r="N1" s="1182" t="s">
        <v>2116</v>
      </c>
      <c r="P1" s="1182" t="s">
        <v>994</v>
      </c>
      <c r="Q1" s="1182" t="s">
        <v>2118</v>
      </c>
      <c r="R1" s="1182" t="s">
        <v>2117</v>
      </c>
      <c r="S1" s="1182"/>
      <c r="T1" s="387" t="s">
        <v>1028</v>
      </c>
      <c r="U1" s="387" t="s">
        <v>1029</v>
      </c>
      <c r="Y1" s="387" t="s">
        <v>937</v>
      </c>
      <c r="AB1" s="387" t="s">
        <v>938</v>
      </c>
      <c r="AF1" s="387" t="s">
        <v>939</v>
      </c>
      <c r="AJ1" s="387" t="s">
        <v>943</v>
      </c>
      <c r="AN1" s="387" t="s">
        <v>954</v>
      </c>
      <c r="AR1" s="387" t="s">
        <v>955</v>
      </c>
      <c r="AV1" s="387" t="s">
        <v>956</v>
      </c>
      <c r="AZ1" s="387" t="s">
        <v>958</v>
      </c>
      <c r="BD1" s="387" t="s">
        <v>959</v>
      </c>
    </row>
    <row r="2" spans="1:58" ht="15.5" x14ac:dyDescent="0.35">
      <c r="A2" s="387" t="s">
        <v>849</v>
      </c>
      <c r="B2" s="1242" t="e">
        <f>'Baseline farm'!K113/'Baseline farm'!K129</f>
        <v>#DIV/0!</v>
      </c>
      <c r="C2" s="876">
        <f>'Example baseline farm'!L112</f>
        <v>0.5648408707137782</v>
      </c>
      <c r="D2" s="1242" t="e">
        <f>T23</f>
        <v>#N/A</v>
      </c>
      <c r="E2" s="687">
        <f>U23</f>
        <v>0.58372167049937007</v>
      </c>
      <c r="F2" s="1182"/>
      <c r="G2" s="689" t="s">
        <v>997</v>
      </c>
      <c r="H2" s="690" t="s">
        <v>420</v>
      </c>
      <c r="I2" s="685" t="e">
        <f>IF('Baseline farm'!$D$31="kg milksolids per herd per annum",'Baseline farm'!K113*1000*'Baseline farm'!$Q$269/'Baseline farm'!$R$205,'Baseline farm'!K113*1000*'Baseline farm'!$Q$269/'Baseline farm'!$R$210)</f>
        <v>#DIV/0!</v>
      </c>
      <c r="J2" s="685" t="e">
        <f>IF('Strategy farm'!$D$31="kg milksolids per herd per annum",'Strategy farm'!K113*1000*'Strategy farm'!$P$312/'Strategy farm'!$Q$248,'Strategy farm'!K113*1000*'Strategy farm'!$P$312/'Strategy farm'!$Q$253)</f>
        <v>#DIV/0!</v>
      </c>
      <c r="K2" s="687"/>
      <c r="L2" s="1182" t="s">
        <v>849</v>
      </c>
      <c r="M2" s="1242" t="e">
        <f>'Baseline farm'!L113</f>
        <v>#DIV/0!</v>
      </c>
      <c r="N2" s="1242" t="e">
        <f>'1990 methodology comparison'!L111</f>
        <v>#DIV/0!</v>
      </c>
      <c r="P2" s="1182" t="s">
        <v>849</v>
      </c>
      <c r="Q2" s="1242" t="e">
        <f>M2</f>
        <v>#DIV/0!</v>
      </c>
      <c r="R2" s="1242" t="e">
        <f>'2015 methodology comparison '!$L$112</f>
        <v>#DIV/0!</v>
      </c>
      <c r="S2" s="1182"/>
      <c r="U2" s="168" t="s">
        <v>952</v>
      </c>
      <c r="V2" s="169"/>
      <c r="Y2" s="168" t="s">
        <v>952</v>
      </c>
      <c r="Z2" s="169"/>
      <c r="AC2" s="168" t="s">
        <v>952</v>
      </c>
      <c r="AD2" s="169"/>
      <c r="AG2" s="168" t="s">
        <v>952</v>
      </c>
      <c r="AH2" s="169"/>
      <c r="AK2" s="168" t="s">
        <v>952</v>
      </c>
      <c r="AL2" s="169"/>
      <c r="AO2" s="168" t="s">
        <v>952</v>
      </c>
      <c r="AP2" s="169"/>
      <c r="AS2" s="168" t="s">
        <v>952</v>
      </c>
      <c r="AT2" s="169"/>
      <c r="AW2" s="168" t="s">
        <v>952</v>
      </c>
      <c r="AX2" s="169"/>
      <c r="BA2" s="168" t="s">
        <v>952</v>
      </c>
      <c r="BB2" s="169"/>
      <c r="BE2" s="168" t="s">
        <v>952</v>
      </c>
      <c r="BF2" s="169"/>
    </row>
    <row r="3" spans="1:58" ht="15.5" x14ac:dyDescent="0.35">
      <c r="A3" s="387" t="s">
        <v>1903</v>
      </c>
      <c r="B3" s="1242" t="e">
        <f>'Baseline farm'!K114/'Baseline farm'!K129</f>
        <v>#DIV/0!</v>
      </c>
      <c r="C3" s="876">
        <f>'Example baseline farm'!L113</f>
        <v>9.1472826767703103E-2</v>
      </c>
      <c r="D3" s="1242" t="e">
        <f>T24</f>
        <v>#N/A</v>
      </c>
      <c r="E3" s="1242">
        <f>U24</f>
        <v>9.4955936395255194E-2</v>
      </c>
      <c r="F3" s="1182"/>
      <c r="G3" s="691"/>
      <c r="H3" s="691" t="s">
        <v>861</v>
      </c>
      <c r="I3" s="685" t="e">
        <f>IF('Baseline farm'!$D$31="kg milksolids per herd per annum",'Baseline farm'!K114*1000*'Baseline farm'!$Q$269/'Baseline farm'!$R$205,'Baseline farm'!K114*1000*'Baseline farm'!$Q$269/'Baseline farm'!$R$210)</f>
        <v>#DIV/0!</v>
      </c>
      <c r="J3" s="685" t="e">
        <f>IF('Strategy farm'!$D$31="kg milksolids per herd per annum",'Strategy farm'!K114*1000*'Strategy farm'!$P$312/'Strategy farm'!$Q$248,'Strategy farm'!K114*1000*'Strategy farm'!$P$312/'Strategy farm'!$Q$253)</f>
        <v>#DIV/0!</v>
      </c>
      <c r="K3" s="687"/>
      <c r="L3" s="1182" t="s">
        <v>1903</v>
      </c>
      <c r="M3" s="1242" t="e">
        <f>'Baseline farm'!L114</f>
        <v>#DIV/0!</v>
      </c>
      <c r="N3" s="1242" t="e">
        <f>'1990 methodology comparison'!L112</f>
        <v>#DIV/0!</v>
      </c>
      <c r="P3" s="1182" t="s">
        <v>1903</v>
      </c>
      <c r="Q3" s="1242" t="e">
        <f t="shared" ref="Q3:Q9" si="0">M3</f>
        <v>#DIV/0!</v>
      </c>
      <c r="R3" s="1242" t="e">
        <f>'2015 methodology comparison '!$L$113</f>
        <v>#DIV/0!</v>
      </c>
      <c r="S3" s="1182"/>
      <c r="T3" s="24" t="s">
        <v>2078</v>
      </c>
      <c r="U3" s="688">
        <f>'Strategy farm'!F236</f>
        <v>0</v>
      </c>
      <c r="V3" s="688"/>
      <c r="X3" s="24" t="s">
        <v>2078</v>
      </c>
      <c r="Y3" s="688" t="e">
        <f>'Reduce CH4 breeding_management'!C62</f>
        <v>#DIV/0!</v>
      </c>
      <c r="Z3" s="688"/>
      <c r="AB3" s="24" t="s">
        <v>2078</v>
      </c>
      <c r="AC3" s="688" t="e">
        <f>'Replacing Sup with dietary fats'!C91</f>
        <v>#DIV/0!</v>
      </c>
      <c r="AD3" s="688"/>
      <c r="AF3" s="24" t="s">
        <v>2078</v>
      </c>
      <c r="AG3" s="688" t="e">
        <f>'Supplementing with dietary fats'!C82</f>
        <v>#DIV/0!</v>
      </c>
      <c r="AH3" s="688"/>
      <c r="AJ3" s="24" t="s">
        <v>2078</v>
      </c>
      <c r="AK3" s="688" t="e">
        <f>'Improved diet DMD by Supplement'!C77</f>
        <v>#DIV/0!</v>
      </c>
      <c r="AL3" s="688"/>
      <c r="AN3" s="24" t="s">
        <v>2078</v>
      </c>
      <c r="AO3" s="688" t="e">
        <f>'Improved diet DMD by management'!C76</f>
        <v>#DIV/0!</v>
      </c>
      <c r="AP3" s="688"/>
      <c r="AR3" s="24" t="s">
        <v>2078</v>
      </c>
      <c r="AS3" s="688" t="e">
        <f>' N inhibitor applied to feed'!C69</f>
        <v>#DIV/0!</v>
      </c>
      <c r="AT3" s="688"/>
      <c r="AV3" s="24" t="s">
        <v>2078</v>
      </c>
      <c r="AW3" s="688">
        <f>'N fertiliser inhibitor coated'!C87</f>
        <v>0</v>
      </c>
      <c r="AX3" s="688"/>
      <c r="AZ3" s="24" t="s">
        <v>2078</v>
      </c>
      <c r="BA3" s="688" t="e">
        <f>'Extended lactation'!C74</f>
        <v>#N/A</v>
      </c>
      <c r="BB3" s="688"/>
      <c r="BD3" s="24" t="s">
        <v>2078</v>
      </c>
      <c r="BE3" s="688" t="e">
        <f>'Extended longevity'!C58</f>
        <v>#N/A</v>
      </c>
      <c r="BF3" s="688"/>
    </row>
    <row r="4" spans="1:58" ht="17" x14ac:dyDescent="0.45">
      <c r="A4" s="387" t="s">
        <v>1976</v>
      </c>
      <c r="B4" s="1242" t="e">
        <f>SUM('Baseline farm'!K115:K116)/'Baseline farm'!K129</f>
        <v>#DIV/0!</v>
      </c>
      <c r="C4" s="876">
        <f>SUM('Example baseline farm'!L114:L115)</f>
        <v>4.5057495544992131E-2</v>
      </c>
      <c r="D4" s="1242" t="e">
        <f>T25+T26</f>
        <v>#N/A</v>
      </c>
      <c r="E4" s="1242">
        <f>U25+U26</f>
        <v>4.1239722104155288E-2</v>
      </c>
      <c r="F4" s="1182"/>
      <c r="G4" s="689" t="s">
        <v>998</v>
      </c>
      <c r="H4" s="691" t="s">
        <v>638</v>
      </c>
      <c r="I4" s="685" t="e">
        <f>IF('Baseline farm'!$D$31="kg milksolids per herd per annum",'Baseline farm'!K115*1000*'Baseline farm'!$Q$269/'Baseline farm'!$R$205,'Baseline farm'!K115*1000*'Baseline farm'!$Q$269/'Baseline farm'!$R$210)</f>
        <v>#DIV/0!</v>
      </c>
      <c r="J4" s="685" t="e">
        <f>IF('Strategy farm'!$D$31="kg milksolids per herd per annum",'Strategy farm'!K115*1000*'Strategy farm'!$P$312/'Strategy farm'!$Q$248,'Strategy farm'!K115*1000*'Strategy farm'!$P$312/'Strategy farm'!$Q$253)</f>
        <v>#DIV/0!</v>
      </c>
      <c r="K4" s="687"/>
      <c r="L4" s="1182" t="s">
        <v>1452</v>
      </c>
      <c r="M4" s="1242" t="e">
        <f>'Baseline farm'!L115+'Baseline farm'!L116</f>
        <v>#DIV/0!</v>
      </c>
      <c r="N4" s="1242" t="e">
        <f>'1990 methodology comparison'!L113+'1990 methodology comparison'!L114+'1990 methodology comparison'!#REF!</f>
        <v>#DIV/0!</v>
      </c>
      <c r="P4" s="1182" t="s">
        <v>1452</v>
      </c>
      <c r="Q4" s="1242" t="e">
        <f t="shared" si="0"/>
        <v>#DIV/0!</v>
      </c>
      <c r="R4" s="1242" t="e">
        <f>'2015 methodology comparison '!$L$114+'2015 methodology comparison '!$L$115</f>
        <v>#DIV/0!</v>
      </c>
      <c r="S4" s="1182"/>
      <c r="T4" s="24" t="s">
        <v>951</v>
      </c>
      <c r="U4" s="688">
        <f>'Strategy farm'!F239</f>
        <v>0</v>
      </c>
      <c r="V4" s="688"/>
      <c r="X4" s="24" t="s">
        <v>951</v>
      </c>
      <c r="Y4" s="688">
        <f>'Reduce CH4 breeding_management'!C63</f>
        <v>0</v>
      </c>
      <c r="Z4" s="688"/>
      <c r="AB4" s="24" t="s">
        <v>951</v>
      </c>
      <c r="AC4" s="688" t="e">
        <f>'Replacing Sup with dietary fats'!C92</f>
        <v>#DIV/0!</v>
      </c>
      <c r="AD4" s="688"/>
      <c r="AF4" s="24" t="s">
        <v>951</v>
      </c>
      <c r="AG4" s="688">
        <f>'Supplementing with dietary fats'!C83</f>
        <v>0</v>
      </c>
      <c r="AH4" s="688"/>
      <c r="AJ4" s="24" t="s">
        <v>951</v>
      </c>
      <c r="AK4" s="688">
        <f>'Improved diet DMD by Supplement'!C78</f>
        <v>0</v>
      </c>
      <c r="AL4" s="688"/>
      <c r="AN4" s="24" t="s">
        <v>951</v>
      </c>
      <c r="AO4" s="688">
        <f>'Improved diet DMD by management'!C77</f>
        <v>5000</v>
      </c>
      <c r="AP4" s="688"/>
      <c r="AR4" s="24" t="s">
        <v>951</v>
      </c>
      <c r="AS4" s="688">
        <f>' N inhibitor applied to feed'!C70</f>
        <v>0</v>
      </c>
      <c r="AT4" s="688"/>
      <c r="AV4" s="24" t="s">
        <v>951</v>
      </c>
      <c r="AW4" s="688">
        <f>'N fertiliser inhibitor coated'!C88</f>
        <v>0</v>
      </c>
      <c r="AX4" s="688"/>
      <c r="AZ4" s="24" t="s">
        <v>951</v>
      </c>
      <c r="BA4" s="688">
        <f>'Extended lactation'!C75</f>
        <v>0</v>
      </c>
      <c r="BB4" s="688"/>
      <c r="BD4" s="24" t="s">
        <v>951</v>
      </c>
      <c r="BE4" s="688">
        <f>'Extended longevity'!$C$59</f>
        <v>184500</v>
      </c>
      <c r="BF4" s="688"/>
    </row>
    <row r="5" spans="1:58" ht="15.5" x14ac:dyDescent="0.35">
      <c r="A5" s="387" t="s">
        <v>1331</v>
      </c>
      <c r="B5" s="1242" t="e">
        <f>'Baseline farm'!K117/'Baseline farm'!K129</f>
        <v>#DIV/0!</v>
      </c>
      <c r="C5" s="876">
        <f>'Example baseline farm'!L116</f>
        <v>3.5494105165983093E-2</v>
      </c>
      <c r="D5" s="1242" t="e">
        <f t="shared" ref="D5:E7" si="1">T27</f>
        <v>#N/A</v>
      </c>
      <c r="E5" s="1242">
        <f t="shared" si="1"/>
        <v>2.3241057368152771E-2</v>
      </c>
      <c r="F5" s="1182"/>
      <c r="G5" s="691"/>
      <c r="H5" s="691" t="s">
        <v>1342</v>
      </c>
      <c r="I5" s="685" t="e">
        <f>IF('Baseline farm'!$D$31="kg milksolids per herd per annum",'Baseline farm'!K116*1000*'Baseline farm'!$Q$269/'Baseline farm'!$R$205,'Baseline farm'!K116*1000*'Baseline farm'!$Q$269/'Baseline farm'!$R$210)</f>
        <v>#DIV/0!</v>
      </c>
      <c r="J5" s="685" t="e">
        <f>IF('Strategy farm'!$D$31="kg milksolids per herd per annum",'Strategy farm'!K116*1000*'Strategy farm'!$P$312/'Strategy farm'!$Q$248,'Strategy farm'!K116*1000*'Strategy farm'!$P$312/'Strategy farm'!$Q$253)</f>
        <v>#DIV/0!</v>
      </c>
      <c r="K5" s="687"/>
      <c r="L5" s="1182" t="s">
        <v>1453</v>
      </c>
      <c r="M5" s="1242" t="e">
        <f>'Baseline farm'!L118</f>
        <v>#DIV/0!</v>
      </c>
      <c r="N5" s="1242" t="e">
        <f>'1990 methodology comparison'!L116</f>
        <v>#DIV/0!</v>
      </c>
      <c r="P5" s="1182" t="s">
        <v>1453</v>
      </c>
      <c r="Q5" s="1242" t="e">
        <f t="shared" si="0"/>
        <v>#DIV/0!</v>
      </c>
      <c r="R5" s="1242" t="e">
        <f>'2015 methodology comparison '!$L$117</f>
        <v>#DIV/0!</v>
      </c>
      <c r="S5" s="1182"/>
      <c r="T5" s="24" t="s">
        <v>110</v>
      </c>
      <c r="U5" s="688">
        <f>'Strategy farm'!F241</f>
        <v>0</v>
      </c>
      <c r="V5" s="688"/>
      <c r="X5" s="24" t="s">
        <v>110</v>
      </c>
      <c r="Y5" s="688" t="e">
        <f>'Reduce CH4 breeding_management'!C64</f>
        <v>#DIV/0!</v>
      </c>
      <c r="Z5" s="688"/>
      <c r="AB5" s="24" t="s">
        <v>110</v>
      </c>
      <c r="AC5" s="688" t="e">
        <f>'Replacing Sup with dietary fats'!C93</f>
        <v>#DIV/0!</v>
      </c>
      <c r="AD5" s="688"/>
      <c r="AF5" s="24" t="s">
        <v>110</v>
      </c>
      <c r="AG5" s="688" t="e">
        <f>'Supplementing with dietary fats'!C84</f>
        <v>#DIV/0!</v>
      </c>
      <c r="AH5" s="688"/>
      <c r="AJ5" s="24" t="s">
        <v>110</v>
      </c>
      <c r="AK5" s="688" t="e">
        <f>'Improved diet DMD by Supplement'!C79</f>
        <v>#DIV/0!</v>
      </c>
      <c r="AL5" s="688"/>
      <c r="AN5" s="24" t="s">
        <v>110</v>
      </c>
      <c r="AO5" s="688" t="e">
        <f>'Improved diet DMD by management'!C78</f>
        <v>#DIV/0!</v>
      </c>
      <c r="AP5" s="688"/>
      <c r="AR5" s="24" t="s">
        <v>110</v>
      </c>
      <c r="AS5" s="688">
        <f>' N inhibitor applied to feed'!C71</f>
        <v>0</v>
      </c>
      <c r="AT5" s="688"/>
      <c r="AV5" s="24" t="s">
        <v>110</v>
      </c>
      <c r="AW5" s="688">
        <f>'N fertiliser inhibitor coated'!C89</f>
        <v>18537.7752</v>
      </c>
      <c r="AX5" s="688"/>
      <c r="AZ5" s="24" t="s">
        <v>110</v>
      </c>
      <c r="BA5" s="688">
        <f>'Extended lactation'!C76</f>
        <v>0</v>
      </c>
      <c r="BB5" s="688"/>
      <c r="BD5" s="24" t="s">
        <v>110</v>
      </c>
      <c r="BE5" s="688">
        <v>0</v>
      </c>
      <c r="BF5" s="688"/>
    </row>
    <row r="6" spans="1:58" ht="15.5" x14ac:dyDescent="0.35">
      <c r="A6" s="387" t="s">
        <v>852</v>
      </c>
      <c r="B6" s="1242" t="e">
        <f>'Baseline farm'!K118/'Baseline farm'!K129</f>
        <v>#DIV/0!</v>
      </c>
      <c r="C6" s="876">
        <f>'Example baseline farm'!L117</f>
        <v>2.4939663993509175E-2</v>
      </c>
      <c r="D6" s="1242" t="e">
        <f t="shared" si="1"/>
        <v>#N/A</v>
      </c>
      <c r="E6" s="1242">
        <f t="shared" si="1"/>
        <v>3.2792125617042159E-2</v>
      </c>
      <c r="F6" s="1182"/>
      <c r="G6" s="691"/>
      <c r="H6" s="691" t="s">
        <v>423</v>
      </c>
      <c r="I6" s="685" t="e">
        <f>IF('Baseline farm'!$D$31="kg milksolids per herd per annum",'Baseline farm'!K117*1000*'Baseline farm'!$Q$269/'Baseline farm'!$R$205,'Baseline farm'!K117*1000*'Baseline farm'!$Q$269/'Baseline farm'!$R$210)</f>
        <v>#DIV/0!</v>
      </c>
      <c r="J6" s="685" t="e">
        <f>IF('Strategy farm'!$D$31="kg milksolids per herd per annum",'Strategy farm'!K117*1000*'Strategy farm'!$P$312/'Strategy farm'!$Q$248,'Strategy farm'!K117*1000*'Strategy farm'!$P$312/'Strategy farm'!$Q$253)</f>
        <v>#DIV/0!</v>
      </c>
      <c r="K6" s="687"/>
      <c r="L6" s="1182" t="s">
        <v>1454</v>
      </c>
      <c r="M6" s="1242" t="e">
        <f>'Baseline farm'!L117</f>
        <v>#DIV/0!</v>
      </c>
      <c r="N6" s="1242" t="e">
        <f>'1990 methodology comparison'!L115</f>
        <v>#DIV/0!</v>
      </c>
      <c r="P6" s="1182" t="s">
        <v>1454</v>
      </c>
      <c r="Q6" s="1242" t="e">
        <f t="shared" si="0"/>
        <v>#DIV/0!</v>
      </c>
      <c r="R6" s="1242" t="e">
        <f>'2015 methodology comparison '!$L$116</f>
        <v>#DIV/0!</v>
      </c>
      <c r="S6" s="1182"/>
      <c r="T6" s="24" t="s">
        <v>21</v>
      </c>
      <c r="U6" s="688">
        <f>'Strategy farm'!F242</f>
        <v>0</v>
      </c>
      <c r="V6" s="688"/>
      <c r="X6" s="24" t="s">
        <v>21</v>
      </c>
      <c r="Y6" s="688" t="e">
        <f>'Reduce CH4 breeding_management'!C65</f>
        <v>#DIV/0!</v>
      </c>
      <c r="Z6" s="688"/>
      <c r="AB6" s="24" t="s">
        <v>21</v>
      </c>
      <c r="AC6" s="688" t="e">
        <f>'Replacing Sup with dietary fats'!C94</f>
        <v>#DIV/0!</v>
      </c>
      <c r="AD6" s="688"/>
      <c r="AF6" s="24" t="s">
        <v>21</v>
      </c>
      <c r="AG6" s="688" t="e">
        <f>'Supplementing with dietary fats'!C85</f>
        <v>#DIV/0!</v>
      </c>
      <c r="AH6" s="688"/>
      <c r="AJ6" s="24" t="s">
        <v>21</v>
      </c>
      <c r="AK6" s="688" t="e">
        <f>'Improved diet DMD by Supplement'!C80</f>
        <v>#DIV/0!</v>
      </c>
      <c r="AL6" s="688"/>
      <c r="AN6" s="24" t="s">
        <v>21</v>
      </c>
      <c r="AO6" s="688" t="e">
        <f>'Improved diet DMD by management'!C79</f>
        <v>#DIV/0!</v>
      </c>
      <c r="AP6" s="688"/>
      <c r="AR6" s="24" t="s">
        <v>21</v>
      </c>
      <c r="AS6" s="688" t="e">
        <f>' N inhibitor applied to feed'!C72</f>
        <v>#DIV/0!</v>
      </c>
      <c r="AT6" s="688"/>
      <c r="AV6" s="24" t="s">
        <v>21</v>
      </c>
      <c r="AW6" s="688">
        <f>'N fertiliser inhibitor coated'!C90</f>
        <v>18537.7752</v>
      </c>
      <c r="AX6" s="688"/>
      <c r="AZ6" s="24" t="s">
        <v>21</v>
      </c>
      <c r="BA6" s="688" t="e">
        <f>'Extended lactation'!C77</f>
        <v>#N/A</v>
      </c>
      <c r="BB6" s="688"/>
      <c r="BD6" s="24" t="s">
        <v>21</v>
      </c>
      <c r="BE6" s="688" t="e">
        <f>'Extended longevity'!C61</f>
        <v>#N/A</v>
      </c>
      <c r="BF6" s="688"/>
    </row>
    <row r="7" spans="1:58" ht="15.5" x14ac:dyDescent="0.35">
      <c r="A7" s="387" t="s">
        <v>854</v>
      </c>
      <c r="B7" s="1242" t="e">
        <f>'Baseline farm'!K119/'Baseline farm'!K129</f>
        <v>#DIV/0!</v>
      </c>
      <c r="C7" s="876">
        <f>'Example baseline farm'!L118</f>
        <v>1.9695939769232888E-2</v>
      </c>
      <c r="D7" s="1242" t="e">
        <f t="shared" si="1"/>
        <v>#N/A</v>
      </c>
      <c r="E7" s="1242">
        <f t="shared" si="1"/>
        <v>1.8354476075361673E-2</v>
      </c>
      <c r="F7" s="1182"/>
      <c r="G7" s="691"/>
      <c r="H7" s="691" t="s">
        <v>424</v>
      </c>
      <c r="I7" s="685" t="e">
        <f>IF('Baseline farm'!$D$31="kg milksolids per herd per annum",'Baseline farm'!K118*1000*'Baseline farm'!$Q$269/'Baseline farm'!$R$205,'Baseline farm'!K118*1000*'Baseline farm'!$Q$269/'Baseline farm'!$R$210)</f>
        <v>#DIV/0!</v>
      </c>
      <c r="J7" s="685" t="e">
        <f>IF('Strategy farm'!$D$31="kg milksolids per herd per annum",'Strategy farm'!K118*1000*'Strategy farm'!$P$312/'Strategy farm'!$Q$248,'Strategy farm'!K118*1000*'Strategy farm'!$P$312/'Strategy farm'!$Q$253)</f>
        <v>#DIV/0!</v>
      </c>
      <c r="K7" s="687"/>
      <c r="L7" s="1182" t="s">
        <v>1455</v>
      </c>
      <c r="M7" s="1242" t="e">
        <f>'Baseline farm'!L119</f>
        <v>#DIV/0!</v>
      </c>
      <c r="N7" s="1242" t="e">
        <f>'1990 methodology comparison'!L117</f>
        <v>#DIV/0!</v>
      </c>
      <c r="P7" s="1182" t="s">
        <v>1455</v>
      </c>
      <c r="Q7" s="1242" t="e">
        <f t="shared" si="0"/>
        <v>#DIV/0!</v>
      </c>
      <c r="R7" s="1242" t="e">
        <f>'2015 methodology comparison '!$L$118</f>
        <v>#DIV/0!</v>
      </c>
      <c r="S7" s="1182"/>
    </row>
    <row r="8" spans="1:58" ht="15.5" x14ac:dyDescent="0.35">
      <c r="A8" s="387" t="s">
        <v>855</v>
      </c>
      <c r="B8" s="1242" t="e">
        <f>SUM('Baseline farm'!K120:K123)/'Baseline farm'!K129</f>
        <v>#DIV/0!</v>
      </c>
      <c r="C8" s="876">
        <f>SUM('Example baseline farm'!$L$119:$L$122)</f>
        <v>6.1230687744466113E-2</v>
      </c>
      <c r="D8" s="1242" t="e">
        <f>T30+T31</f>
        <v>#N/A</v>
      </c>
      <c r="E8" s="1242">
        <f>U30+U31</f>
        <v>6.6976970775986966E-2</v>
      </c>
      <c r="F8" s="1182"/>
      <c r="G8" s="691"/>
      <c r="H8" s="691" t="s">
        <v>422</v>
      </c>
      <c r="I8" s="685" t="e">
        <f>IF('Baseline farm'!$D$31="kg milksolids per herd per annum",'Baseline farm'!K119*1000*'Baseline farm'!$Q$269/'Baseline farm'!$R$205,'Baseline farm'!K119*1000*'Baseline farm'!$Q$269/'Baseline farm'!$R$210)</f>
        <v>#DIV/0!</v>
      </c>
      <c r="J8" s="685" t="e">
        <f>IF('Strategy farm'!$D$31="kg milksolids per herd per annum",'Strategy farm'!K119*1000*'Strategy farm'!$P$312/'Strategy farm'!$Q$248,'Strategy farm'!K119*1000*'Strategy farm'!$P$312/'Strategy farm'!$Q$253)</f>
        <v>#DIV/0!</v>
      </c>
      <c r="K8" s="687"/>
      <c r="L8" s="1182" t="s">
        <v>855</v>
      </c>
      <c r="M8" s="1242" t="e">
        <f>'Baseline farm'!L120+'Baseline farm'!L122</f>
        <v>#DIV/0!</v>
      </c>
      <c r="N8" s="1242" t="e">
        <f>'1990 methodology comparison'!L118+'1990 methodology comparison'!L119</f>
        <v>#DIV/0!</v>
      </c>
      <c r="P8" s="1182" t="s">
        <v>855</v>
      </c>
      <c r="Q8" s="1242" t="e">
        <f t="shared" si="0"/>
        <v>#DIV/0!</v>
      </c>
      <c r="R8" s="1242" t="e">
        <f>'2015 methodology comparison '!$L$119+'2015 methodology comparison '!$L$120</f>
        <v>#DIV/0!</v>
      </c>
      <c r="S8" s="1182"/>
    </row>
    <row r="9" spans="1:58" ht="15.5" x14ac:dyDescent="0.35">
      <c r="A9" s="387" t="s">
        <v>2101</v>
      </c>
      <c r="B9" s="1708" t="e">
        <f>'Baseline farm'!$K$124/'Baseline farm'!$K$129</f>
        <v>#DIV/0!</v>
      </c>
      <c r="C9" s="1485">
        <f>'Example baseline farm'!L123</f>
        <v>4.1684457959910701E-2</v>
      </c>
      <c r="D9" s="1242" t="e">
        <f>T32</f>
        <v>#N/A</v>
      </c>
      <c r="E9" s="1242">
        <f>U32</f>
        <v>1.7742002444044256E-2</v>
      </c>
      <c r="F9" s="1182"/>
      <c r="G9" s="689" t="s">
        <v>800</v>
      </c>
      <c r="H9" s="691" t="s">
        <v>798</v>
      </c>
      <c r="I9" s="685" t="e">
        <f>IF('Baseline farm'!$D$31="kg milksolids per herd per annum",'Baseline farm'!K120*1000*'Baseline farm'!$Q$269/'Baseline farm'!$R$205,'Baseline farm'!K120*1000*'Baseline farm'!$Q$269/'Baseline farm'!$R$210)</f>
        <v>#DIV/0!</v>
      </c>
      <c r="J9" s="685" t="e">
        <f>IF('Strategy farm'!$D$31="kg milksolids per herd per annum",'Strategy farm'!K120*1000*'Strategy farm'!$P$312/'Strategy farm'!$Q$248,'Strategy farm'!K120*1000*'Strategy farm'!$P$312/'Strategy farm'!$Q$253)</f>
        <v>#DIV/0!</v>
      </c>
      <c r="K9" s="687"/>
      <c r="L9" s="1182" t="s">
        <v>844</v>
      </c>
      <c r="M9" s="1242" t="e">
        <f>SUM('Baseline farm'!L125:L127)</f>
        <v>#DIV/0!</v>
      </c>
      <c r="N9" s="1242" t="e">
        <f>SUM('1990 methodology comparison'!L120:L122)</f>
        <v>#DIV/0!</v>
      </c>
      <c r="P9" s="1182" t="s">
        <v>844</v>
      </c>
      <c r="Q9" s="1242" t="e">
        <f t="shared" si="0"/>
        <v>#DIV/0!</v>
      </c>
      <c r="R9" s="1242" t="e">
        <f>'2015 methodology comparison '!$L$121+'2015 methodology comparison '!$L$122+'2015 methodology comparison '!$L$123</f>
        <v>#DIV/0!</v>
      </c>
      <c r="S9" s="1182"/>
    </row>
    <row r="10" spans="1:58" ht="15.5" x14ac:dyDescent="0.35">
      <c r="A10" s="387" t="s">
        <v>844</v>
      </c>
      <c r="B10" s="1242" t="e">
        <f>SUM('Baseline farm'!K125:K127)/'Baseline farm'!K129</f>
        <v>#DIV/0!</v>
      </c>
      <c r="C10" s="876">
        <f>SUM('Example baseline farm'!L124:L126)</f>
        <v>0.11558395234042437</v>
      </c>
      <c r="D10" s="1242" t="e">
        <f>SUM(T33:T35)</f>
        <v>#N/A</v>
      </c>
      <c r="E10" s="1242">
        <f>SUM(U33:U35)</f>
        <v>0.12097603872063173</v>
      </c>
      <c r="F10" s="1182"/>
      <c r="G10" s="689"/>
      <c r="H10" s="691" t="s">
        <v>799</v>
      </c>
      <c r="I10" s="685" t="e">
        <f>IF('Baseline farm'!$D$31="kg milksolids per herd per annum",'Baseline farm'!K121*1000*'Baseline farm'!$Q$269/'Baseline farm'!$R$205,'Baseline farm'!K121*1000*'Baseline farm'!$Q$269/'Baseline farm'!$R$210)</f>
        <v>#DIV/0!</v>
      </c>
      <c r="J10" s="685" t="e">
        <f>IF('Strategy farm'!$D$31="kg milksolids per herd per annum",'Strategy farm'!K121*1000*'Strategy farm'!$P$312/'Strategy farm'!$Q$248,'Strategy farm'!K121*1000*'Strategy farm'!$P$312/'Strategy farm'!$Q$253)</f>
        <v>#DIV/0!</v>
      </c>
      <c r="K10" s="687"/>
      <c r="L10" s="387"/>
      <c r="M10" s="1242" t="e">
        <f>SUM(M2:M9)</f>
        <v>#DIV/0!</v>
      </c>
      <c r="N10" s="1242" t="e">
        <f>SUM(N2:N9)</f>
        <v>#DIV/0!</v>
      </c>
      <c r="Q10" s="1242" t="e">
        <f>SUM(Q2:Q9)</f>
        <v>#DIV/0!</v>
      </c>
      <c r="R10" s="1242" t="e">
        <f>SUM(R2:R9)</f>
        <v>#DIV/0!</v>
      </c>
      <c r="S10" s="1182"/>
    </row>
    <row r="11" spans="1:58" ht="15.5" x14ac:dyDescent="0.35">
      <c r="A11" s="387" t="s">
        <v>1570</v>
      </c>
      <c r="B11" s="1708" t="e">
        <f>'Baseline farm'!K132/'Baseline farm'!K129</f>
        <v>#DIV/0!</v>
      </c>
      <c r="C11" s="1486">
        <f>'Example baseline farm'!K131/'Example baseline farm'!K128</f>
        <v>-8.1974510812508426E-3</v>
      </c>
      <c r="D11" s="1242" t="e">
        <f>T36</f>
        <v>#N/A</v>
      </c>
      <c r="E11" s="1242">
        <f>U36</f>
        <v>0</v>
      </c>
      <c r="F11" s="1182"/>
      <c r="H11" s="387" t="s">
        <v>1534</v>
      </c>
      <c r="I11" s="685" t="e">
        <f>IF('Baseline farm'!$D$31="kg milksolids per herd per annum",'Baseline farm'!K122*1000*'Baseline farm'!$Q$269/'Baseline farm'!$R$205,'Baseline farm'!K122*1000*'Baseline farm'!$Q$269/'Baseline farm'!$R$210)</f>
        <v>#DIV/0!</v>
      </c>
      <c r="J11" s="685" t="e">
        <f>IF('Strategy farm'!$D$31="kg milksolids per herd per annum",'Strategy farm'!K122*1000*'Strategy farm'!$P$312/'Strategy farm'!$Q$248,'Strategy farm'!K122*1000*'Strategy farm'!$P$312/'Strategy farm'!$Q$253)</f>
        <v>#DIV/0!</v>
      </c>
      <c r="L11" s="387"/>
      <c r="S11" s="1182"/>
    </row>
    <row r="12" spans="1:58" ht="15.5" x14ac:dyDescent="0.35">
      <c r="B12" s="1242" t="e">
        <f>SUM(B2:B11)</f>
        <v>#DIV/0!</v>
      </c>
      <c r="C12" s="876">
        <f>SUM(C2:C11)</f>
        <v>0.99180254891874908</v>
      </c>
      <c r="D12" s="1242" t="e">
        <f>SUM(D2:D11)</f>
        <v>#N/A</v>
      </c>
      <c r="E12" s="1242">
        <f>SUM(E2:E11)</f>
        <v>1</v>
      </c>
      <c r="F12" s="1182"/>
      <c r="G12" s="120" t="s">
        <v>844</v>
      </c>
      <c r="H12" s="686" t="s">
        <v>845</v>
      </c>
      <c r="I12" s="685" t="e">
        <f>IF('Baseline farm'!$D$31="kg milksolids per herd per annum",'Baseline farm'!K123*1000*'Baseline farm'!$Q$269/'Baseline farm'!$R$205,'Baseline farm'!K123*1000*'Baseline farm'!$Q$269/'Baseline farm'!$R$210)</f>
        <v>#DIV/0!</v>
      </c>
      <c r="J12" s="685" t="e">
        <f>IF('Strategy farm'!$D$31="kg milksolids per herd per annum",'Strategy farm'!K123*1000*'Strategy farm'!$P$312/'Strategy farm'!$Q$248,'Strategy farm'!K123*1000*'Strategy farm'!$P$312/'Strategy farm'!$Q$253)</f>
        <v>#DIV/0!</v>
      </c>
      <c r="K12" s="687"/>
      <c r="L12" s="387"/>
      <c r="S12" s="1182"/>
    </row>
    <row r="13" spans="1:58" ht="15.5" x14ac:dyDescent="0.35">
      <c r="F13" s="1182"/>
      <c r="G13" s="120"/>
      <c r="H13" s="686" t="s">
        <v>846</v>
      </c>
      <c r="I13" s="685" t="e">
        <f>IF('Baseline farm'!$D$31="kg milksolids per herd per annum",'Baseline farm'!K124*1000*'Baseline farm'!$Q$269/'Baseline farm'!$R$205,'Baseline farm'!K124*1000*'Baseline farm'!$Q$269/'Baseline farm'!$R$210)</f>
        <v>#DIV/0!</v>
      </c>
      <c r="J13" s="685" t="e">
        <f>IF('Strategy farm'!$D$31="kg milksolids per herd per annum",'Strategy farm'!K124*1000*'Strategy farm'!$P$312/'Strategy farm'!$Q$248,'Strategy farm'!K124*1000*'Strategy farm'!$P$312/'Strategy farm'!$Q$253)</f>
        <v>#DIV/0!</v>
      </c>
      <c r="K13" s="687"/>
      <c r="L13" s="387"/>
      <c r="S13" s="1182"/>
    </row>
    <row r="14" spans="1:58" ht="15.5" x14ac:dyDescent="0.35">
      <c r="F14" s="1182"/>
      <c r="G14" s="120"/>
      <c r="H14" s="686" t="s">
        <v>828</v>
      </c>
      <c r="I14" s="685" t="e">
        <f>IF('Baseline farm'!$D$31="kg milksolids per herd per annum",'Baseline farm'!K125*1000*'Baseline farm'!$Q$269/'Baseline farm'!$R$205,'Baseline farm'!K125*1000*'Baseline farm'!$Q$269/'Baseline farm'!$R$210)</f>
        <v>#DIV/0!</v>
      </c>
      <c r="J14" s="685" t="e">
        <f>IF('Strategy farm'!$D$31="kg milksolids per herd per annum",'Strategy farm'!K125*1000*'Strategy farm'!$P$312/'Strategy farm'!$Q$248,'Strategy farm'!K125*1000*'Strategy farm'!$P$312/'Strategy farm'!$Q$253)</f>
        <v>#DIV/0!</v>
      </c>
      <c r="K14" s="687"/>
      <c r="L14" s="387"/>
      <c r="S14" s="1182"/>
    </row>
    <row r="15" spans="1:58" ht="15.5" x14ac:dyDescent="0.35">
      <c r="F15" s="1182"/>
      <c r="G15" s="120" t="s">
        <v>636</v>
      </c>
      <c r="H15" s="686" t="s">
        <v>1000</v>
      </c>
      <c r="I15" s="685" t="e">
        <f>IF('Baseline farm'!$D$31="kg milksolids per herd per annum",'Baseline farm'!K126*1000*'Baseline farm'!$Q$269/'Baseline farm'!$R$205,'Baseline farm'!K126*1000*'Baseline farm'!$Q$269/'Baseline farm'!$R$210)</f>
        <v>#DIV/0!</v>
      </c>
      <c r="J15" s="685" t="e">
        <f>IF('Strategy farm'!$D$31="kg milksolids per herd per annum",'Strategy farm'!K126*1000*'Strategy farm'!$P$312/'Strategy farm'!$Q$248,'Strategy farm'!K126*1000*'Strategy farm'!$P$312/'Strategy farm'!$Q$253)</f>
        <v>#DIV/0!</v>
      </c>
      <c r="K15" s="687"/>
      <c r="L15" s="387"/>
      <c r="S15" s="1182"/>
    </row>
    <row r="16" spans="1:58" x14ac:dyDescent="0.3">
      <c r="F16" s="1182"/>
      <c r="L16" s="387"/>
      <c r="S16" s="1182"/>
    </row>
    <row r="17" spans="2:21" x14ac:dyDescent="0.3">
      <c r="F17" s="1182"/>
      <c r="G17" s="387" t="s">
        <v>999</v>
      </c>
      <c r="I17" s="387" t="str">
        <f>IF('Baseline farm'!D31="kg milksolids per herd per annum","kg CO2e per kg milksolids","kg CO2e per litre of fat and protein corrected milk")</f>
        <v>kg CO2e per litre of fat and protein corrected milk</v>
      </c>
      <c r="L17" s="387"/>
      <c r="S17" s="1182"/>
    </row>
    <row r="18" spans="2:21" x14ac:dyDescent="0.3">
      <c r="D18" s="1182"/>
    </row>
    <row r="21" spans="2:21" ht="14.5" x14ac:dyDescent="0.35">
      <c r="B21" t="s">
        <v>2091</v>
      </c>
      <c r="C21"/>
      <c r="D21"/>
      <c r="E21"/>
      <c r="F21"/>
      <c r="G21"/>
      <c r="H21"/>
      <c r="I21"/>
      <c r="J21"/>
      <c r="K21"/>
      <c r="L21"/>
      <c r="M21"/>
      <c r="N21"/>
      <c r="O21"/>
      <c r="P21"/>
      <c r="Q21"/>
      <c r="R21"/>
      <c r="S21"/>
      <c r="T21" s="1182" t="s">
        <v>2103</v>
      </c>
      <c r="U21" s="387" t="s">
        <v>2104</v>
      </c>
    </row>
    <row r="22" spans="2:21" ht="14.5" x14ac:dyDescent="0.35">
      <c r="B22"/>
      <c r="C22" t="s">
        <v>1972</v>
      </c>
      <c r="D22" t="s">
        <v>912</v>
      </c>
      <c r="E22" t="s">
        <v>2080</v>
      </c>
      <c r="F22" t="s">
        <v>2081</v>
      </c>
      <c r="G22" t="s">
        <v>2082</v>
      </c>
      <c r="H22" t="s">
        <v>913</v>
      </c>
      <c r="I22" t="s">
        <v>2083</v>
      </c>
      <c r="J22" t="s">
        <v>2084</v>
      </c>
      <c r="K22" t="s">
        <v>914</v>
      </c>
      <c r="L22" t="s">
        <v>2085</v>
      </c>
      <c r="M22" t="s">
        <v>2086</v>
      </c>
      <c r="N22" t="s">
        <v>867</v>
      </c>
      <c r="O22" t="s">
        <v>2090</v>
      </c>
      <c r="P22" t="s">
        <v>868</v>
      </c>
      <c r="Q22" t="s">
        <v>2087</v>
      </c>
      <c r="R22" t="s">
        <v>2088</v>
      </c>
      <c r="S22" t="s">
        <v>2089</v>
      </c>
      <c r="T22" s="387">
        <f>'Baseline farm'!K218</f>
        <v>0</v>
      </c>
      <c r="U22" s="387" t="str">
        <f>'Example baseline farm'!H13</f>
        <v>Victoria- South West</v>
      </c>
    </row>
    <row r="23" spans="2:21" ht="14.5" x14ac:dyDescent="0.35">
      <c r="B23" t="s">
        <v>849</v>
      </c>
      <c r="C23" s="1706">
        <v>0.59995482347663442</v>
      </c>
      <c r="D23" s="1706">
        <v>0.59691171904118112</v>
      </c>
      <c r="E23" s="1706">
        <v>0.59808889942082299</v>
      </c>
      <c r="F23" s="1706">
        <v>0.60924365348698462</v>
      </c>
      <c r="G23" s="1706">
        <v>0.58372167049937007</v>
      </c>
      <c r="H23" s="1706">
        <v>0.57564140963259891</v>
      </c>
      <c r="I23" s="1706">
        <v>0.56355474479656853</v>
      </c>
      <c r="J23" s="1706">
        <v>0.5905981406531321</v>
      </c>
      <c r="K23" s="1706">
        <v>0.60169161926752457</v>
      </c>
      <c r="L23" s="1706">
        <v>0.61292645325888662</v>
      </c>
      <c r="M23" s="1706">
        <v>0.59943340972482451</v>
      </c>
      <c r="N23" s="1706">
        <v>0.61482324815390466</v>
      </c>
      <c r="O23" s="1706">
        <v>0.65527582969830112</v>
      </c>
      <c r="P23" s="1706">
        <v>0.60467902446810828</v>
      </c>
      <c r="Q23" s="1706">
        <v>0.63507397504596486</v>
      </c>
      <c r="R23" s="1706">
        <v>0.59963769372155251</v>
      </c>
      <c r="S23" s="1706">
        <v>0.59459217164271094</v>
      </c>
      <c r="T23" s="1477" t="e">
        <f>HLOOKUP(T22,B22:S36,2,FALSE)</f>
        <v>#N/A</v>
      </c>
      <c r="U23" s="1477">
        <f>HLOOKUP(U22,B22:S36,2,FALSE)</f>
        <v>0.58372167049937007</v>
      </c>
    </row>
    <row r="24" spans="2:21" ht="14.5" x14ac:dyDescent="0.35">
      <c r="B24" t="s">
        <v>850</v>
      </c>
      <c r="C24" s="1706">
        <v>9.3807326233019114E-2</v>
      </c>
      <c r="D24" s="1706">
        <v>9.7947604077628675E-2</v>
      </c>
      <c r="E24" s="1706">
        <v>9.6975961569405703E-2</v>
      </c>
      <c r="F24" s="1706">
        <v>0.10190946946963082</v>
      </c>
      <c r="G24" s="1706">
        <v>9.4955936395255194E-2</v>
      </c>
      <c r="H24" s="1706">
        <v>9.8482387045601374E-2</v>
      </c>
      <c r="I24" s="1706">
        <v>9.2929238519237206E-2</v>
      </c>
      <c r="J24" s="1706">
        <v>0.1053766654029403</v>
      </c>
      <c r="K24" s="1706">
        <v>9.2865198911867078E-2</v>
      </c>
      <c r="L24" s="1706">
        <v>9.0332974732446503E-2</v>
      </c>
      <c r="M24" s="1706">
        <v>9.3775432535862124E-2</v>
      </c>
      <c r="N24" s="1706">
        <v>9.5257570789786555E-2</v>
      </c>
      <c r="O24" s="1706">
        <v>7.6432767433382315E-2</v>
      </c>
      <c r="P24" s="1706">
        <v>8.4543880286717832E-2</v>
      </c>
      <c r="Q24" s="1706">
        <v>9.4861363849020539E-2</v>
      </c>
      <c r="R24" s="1706">
        <v>9.4110671439149682E-2</v>
      </c>
      <c r="S24" s="1706">
        <v>9.3496398942041453E-2</v>
      </c>
      <c r="T24" s="1477" t="e">
        <f t="shared" ref="T24:T36" si="2">HLOOKUP(T23,B23:S37,2,FALSE)</f>
        <v>#N/A</v>
      </c>
      <c r="U24" s="1477">
        <f t="shared" ref="U24:U36" si="3">HLOOKUP(U23,B23:S37,2,FALSE)</f>
        <v>9.4955936395255194E-2</v>
      </c>
    </row>
    <row r="25" spans="2:21" ht="14.5" x14ac:dyDescent="0.35">
      <c r="B25" t="s">
        <v>2092</v>
      </c>
      <c r="C25" s="1706">
        <v>3.3791196644686612E-2</v>
      </c>
      <c r="D25" s="1706">
        <v>3.4037454585827548E-2</v>
      </c>
      <c r="E25" s="1706">
        <v>3.4622660943781337E-2</v>
      </c>
      <c r="F25" s="1706">
        <v>3.4332046854074622E-2</v>
      </c>
      <c r="G25" s="1706">
        <v>3.3157087043238116E-2</v>
      </c>
      <c r="H25" s="1706">
        <v>3.1377655332443126E-2</v>
      </c>
      <c r="I25" s="1706">
        <v>3.121485535108541E-2</v>
      </c>
      <c r="J25" s="1706">
        <v>3.157887733840168E-2</v>
      </c>
      <c r="K25" s="1706">
        <v>3.376018009452237E-2</v>
      </c>
      <c r="L25" s="1706">
        <v>3.4807623678320951E-2</v>
      </c>
      <c r="M25" s="1706">
        <v>3.3465932934354556E-2</v>
      </c>
      <c r="N25" s="1706">
        <v>3.3085124245208826E-2</v>
      </c>
      <c r="O25" s="1706">
        <v>3.8667567844674906E-2</v>
      </c>
      <c r="P25" s="1706">
        <v>3.4746116072752985E-2</v>
      </c>
      <c r="Q25" s="1706">
        <v>3.7740709911498652E-2</v>
      </c>
      <c r="R25" s="1706">
        <v>3.40626227065568E-2</v>
      </c>
      <c r="S25" s="1706">
        <v>3.2996097769153035E-2</v>
      </c>
      <c r="T25" s="1477" t="e">
        <f t="shared" si="2"/>
        <v>#N/A</v>
      </c>
      <c r="U25" s="1477">
        <f t="shared" si="3"/>
        <v>3.3157087043238116E-2</v>
      </c>
    </row>
    <row r="26" spans="2:21" ht="14.5" x14ac:dyDescent="0.35">
      <c r="B26" t="s">
        <v>2093</v>
      </c>
      <c r="C26" s="1706">
        <v>9.5380727900870425E-3</v>
      </c>
      <c r="D26" s="1706">
        <v>8.4058908490457565E-3</v>
      </c>
      <c r="E26" s="1706">
        <v>8.7008290780065944E-3</v>
      </c>
      <c r="F26" s="1706">
        <v>8.4125474343166185E-3</v>
      </c>
      <c r="G26" s="1706">
        <v>8.0826350609171736E-3</v>
      </c>
      <c r="H26" s="1706">
        <v>1.0922879929512675E-2</v>
      </c>
      <c r="I26" s="1706">
        <v>1.0605508219360005E-2</v>
      </c>
      <c r="J26" s="1706">
        <v>1.1316659906350722E-2</v>
      </c>
      <c r="K26" s="1706">
        <v>1.0965214564253867E-2</v>
      </c>
      <c r="L26" s="1706">
        <v>1.1053032043827392E-2</v>
      </c>
      <c r="M26" s="1706">
        <v>1.0953824830875534E-2</v>
      </c>
      <c r="N26" s="1706">
        <v>1.0900895181221868E-2</v>
      </c>
      <c r="O26" s="1706">
        <v>9.6585280139106135E-3</v>
      </c>
      <c r="P26" s="1706">
        <v>9.4758032937030025E-3</v>
      </c>
      <c r="Q26" s="1706">
        <v>1.0418732968376103E-2</v>
      </c>
      <c r="R26" s="1706">
        <v>9.3175657295844795E-3</v>
      </c>
      <c r="S26" s="1706">
        <v>9.6321341067030809E-3</v>
      </c>
      <c r="T26" s="1477" t="e">
        <f t="shared" si="2"/>
        <v>#N/A</v>
      </c>
      <c r="U26" s="1477">
        <f t="shared" si="3"/>
        <v>8.0826350609171736E-3</v>
      </c>
    </row>
    <row r="27" spans="2:21" ht="14.5" x14ac:dyDescent="0.35">
      <c r="B27" t="s">
        <v>423</v>
      </c>
      <c r="C27" s="1706">
        <v>1.9464739503851584E-2</v>
      </c>
      <c r="D27" s="1706">
        <v>1.937648316883489E-2</v>
      </c>
      <c r="E27" s="1706">
        <v>2.242629501125136E-2</v>
      </c>
      <c r="F27" s="1706">
        <v>1.2083219541090829E-2</v>
      </c>
      <c r="G27" s="1706">
        <v>2.3241057368152771E-2</v>
      </c>
      <c r="H27" s="1706">
        <v>1.9128429991834939E-2</v>
      </c>
      <c r="I27" s="1706">
        <v>2.191332762271421E-2</v>
      </c>
      <c r="J27" s="1706">
        <v>1.565950275216809E-2</v>
      </c>
      <c r="K27" s="1706">
        <v>1.7815715507827574E-2</v>
      </c>
      <c r="L27" s="1706">
        <v>1.8392487677113312E-2</v>
      </c>
      <c r="M27" s="1706">
        <v>1.760211858631644E-2</v>
      </c>
      <c r="N27" s="1706">
        <v>1.6022961932483995E-2</v>
      </c>
      <c r="O27" s="1706">
        <v>2.0945334194762688E-2</v>
      </c>
      <c r="P27" s="1706">
        <v>2.1848418761138872E-2</v>
      </c>
      <c r="Q27" s="1706">
        <v>1.8669717184244348E-2</v>
      </c>
      <c r="R27" s="1706">
        <v>2.048970078670509E-2</v>
      </c>
      <c r="S27" s="1706">
        <v>1.8714503431277184E-2</v>
      </c>
      <c r="T27" s="1477" t="e">
        <f t="shared" si="2"/>
        <v>#N/A</v>
      </c>
      <c r="U27" s="1477">
        <f t="shared" si="3"/>
        <v>2.3241057368152771E-2</v>
      </c>
    </row>
    <row r="28" spans="2:21" ht="14.5" x14ac:dyDescent="0.35">
      <c r="B28" t="s">
        <v>2094</v>
      </c>
      <c r="C28" s="1706">
        <v>3.3844603676835491E-2</v>
      </c>
      <c r="D28" s="1706">
        <v>3.3715839555928807E-2</v>
      </c>
      <c r="E28" s="1706">
        <v>3.436894032240409E-2</v>
      </c>
      <c r="F28" s="1706">
        <v>3.3975384176823331E-2</v>
      </c>
      <c r="G28" s="1706">
        <v>3.2792125617042159E-2</v>
      </c>
      <c r="H28" s="1706">
        <v>3.2251301242156624E-2</v>
      </c>
      <c r="I28" s="1706">
        <v>3.1953757321681743E-2</v>
      </c>
      <c r="J28" s="1706">
        <v>3.2619864665159863E-2</v>
      </c>
      <c r="K28" s="1706">
        <v>3.420661907801921E-2</v>
      </c>
      <c r="L28" s="1706">
        <v>3.5156619323130384E-2</v>
      </c>
      <c r="M28" s="1706">
        <v>3.3945601588859078E-2</v>
      </c>
      <c r="N28" s="1706">
        <v>3.3667659875451554E-2</v>
      </c>
      <c r="O28" s="1706">
        <v>3.804991021660082E-2</v>
      </c>
      <c r="P28" s="1706">
        <v>3.4549010353629103E-2</v>
      </c>
      <c r="Q28" s="1706">
        <v>3.769543337990517E-2</v>
      </c>
      <c r="R28" s="1706">
        <v>3.4015934883668379E-2</v>
      </c>
      <c r="S28" s="1706">
        <v>3.3161169394484248E-2</v>
      </c>
      <c r="T28" s="1477" t="e">
        <f t="shared" si="2"/>
        <v>#N/A</v>
      </c>
      <c r="U28" s="1477">
        <f t="shared" si="3"/>
        <v>3.2792125617042159E-2</v>
      </c>
    </row>
    <row r="29" spans="2:21" ht="14.5" x14ac:dyDescent="0.35">
      <c r="B29" t="s">
        <v>2095</v>
      </c>
      <c r="C29" s="1706">
        <v>1.5372153249195606E-2</v>
      </c>
      <c r="D29" s="1706">
        <v>1.5302453374361914E-2</v>
      </c>
      <c r="E29" s="1706">
        <v>1.7711022726834398E-2</v>
      </c>
      <c r="F29" s="1706">
        <v>9.5426451760409637E-3</v>
      </c>
      <c r="G29" s="1706">
        <v>1.8354476075361673E-2</v>
      </c>
      <c r="H29" s="1706">
        <v>1.5106554967910669E-2</v>
      </c>
      <c r="I29" s="1706">
        <v>1.7305910019989681E-2</v>
      </c>
      <c r="J29" s="1706">
        <v>1.2366991917096851E-2</v>
      </c>
      <c r="K29" s="1706">
        <v>1.4069847119002292E-2</v>
      </c>
      <c r="L29" s="1706">
        <v>1.4525349242438203E-2</v>
      </c>
      <c r="M29" s="1706">
        <v>1.3901160319449908E-2</v>
      </c>
      <c r="N29" s="1706">
        <v>1.2654031474884798E-2</v>
      </c>
      <c r="O29" s="1706">
        <v>1.6541443415351045E-2</v>
      </c>
      <c r="P29" s="1706">
        <v>1.7254648662643007E-2</v>
      </c>
      <c r="Q29" s="1706">
        <v>1.4744289468582724E-2</v>
      </c>
      <c r="R29" s="1706">
        <v>1.6181609852064533E-2</v>
      </c>
      <c r="S29" s="1706">
        <v>1.4779659120085574E-2</v>
      </c>
      <c r="T29" s="1477" t="e">
        <f t="shared" si="2"/>
        <v>#N/A</v>
      </c>
      <c r="U29" s="1477">
        <f t="shared" si="3"/>
        <v>1.8354476075361673E-2</v>
      </c>
    </row>
    <row r="30" spans="2:21" ht="14.5" x14ac:dyDescent="0.35">
      <c r="B30" t="s">
        <v>2096</v>
      </c>
      <c r="C30" s="1706">
        <v>4.2907153884910398E-2</v>
      </c>
      <c r="D30" s="1706">
        <v>4.7580206166254052E-2</v>
      </c>
      <c r="E30" s="1706">
        <v>4.4422044068499991E-2</v>
      </c>
      <c r="F30" s="1706">
        <v>5.0349909093467114E-2</v>
      </c>
      <c r="G30" s="1706">
        <v>4.837494794043621E-2</v>
      </c>
      <c r="H30" s="1706">
        <v>5.8939989894785196E-2</v>
      </c>
      <c r="I30" s="1706">
        <v>6.9479415166880054E-2</v>
      </c>
      <c r="J30" s="1706">
        <v>4.6128020379724105E-2</v>
      </c>
      <c r="K30" s="1706">
        <v>3.9276353549273002E-2</v>
      </c>
      <c r="L30" s="1706">
        <v>3.7998544877462723E-2</v>
      </c>
      <c r="M30" s="1706">
        <v>3.965046394456502E-2</v>
      </c>
      <c r="N30" s="1706">
        <v>3.1811059239785416E-2</v>
      </c>
      <c r="O30" s="1706">
        <v>9.0540346550949582E-3</v>
      </c>
      <c r="P30" s="1706">
        <v>3.1275842694194339E-2</v>
      </c>
      <c r="Q30" s="1706">
        <v>2.8350400700497169E-2</v>
      </c>
      <c r="R30" s="1706">
        <v>4.6289244242303379E-2</v>
      </c>
      <c r="S30" s="1706">
        <v>4.2310306131018931E-2</v>
      </c>
      <c r="T30" s="1477" t="e">
        <f t="shared" si="2"/>
        <v>#N/A</v>
      </c>
      <c r="U30" s="1477">
        <f t="shared" si="3"/>
        <v>4.837494794043621E-2</v>
      </c>
    </row>
    <row r="31" spans="2:21" ht="14.5" x14ac:dyDescent="0.35">
      <c r="B31" t="s">
        <v>2097</v>
      </c>
      <c r="C31" s="1706">
        <v>2.0000813532694218E-2</v>
      </c>
      <c r="D31" s="1706">
        <v>1.6454912993250567E-2</v>
      </c>
      <c r="E31" s="1706">
        <v>1.1922575867239549E-2</v>
      </c>
      <c r="F31" s="1706">
        <v>1.8924381527142882E-2</v>
      </c>
      <c r="G31" s="1706">
        <v>1.8602022835550756E-2</v>
      </c>
      <c r="H31" s="1706">
        <v>2.3422399467431868E-2</v>
      </c>
      <c r="I31" s="1706">
        <v>2.2761273279014914E-2</v>
      </c>
      <c r="J31" s="1706">
        <v>2.4272068062333486E-2</v>
      </c>
      <c r="K31" s="1706">
        <v>1.9638176774636501E-2</v>
      </c>
      <c r="L31" s="1706">
        <v>1.8999272438731361E-2</v>
      </c>
      <c r="M31" s="1706">
        <v>1.982523197228251E-2</v>
      </c>
      <c r="N31" s="1706">
        <v>3.080799390318004E-2</v>
      </c>
      <c r="O31" s="1706">
        <v>1.1708234699834102E-2</v>
      </c>
      <c r="P31" s="1706">
        <v>2.2541086292359003E-2</v>
      </c>
      <c r="Q31" s="1706">
        <v>2.2306522162008392E-2</v>
      </c>
      <c r="R31" s="1706">
        <v>1.8352091724322211E-2</v>
      </c>
      <c r="S31" s="1706">
        <v>2.1577958174258911E-2</v>
      </c>
      <c r="T31" s="1477" t="e">
        <f t="shared" si="2"/>
        <v>#N/A</v>
      </c>
      <c r="U31" s="1477">
        <f t="shared" si="3"/>
        <v>1.8602022835550756E-2</v>
      </c>
    </row>
    <row r="32" spans="2:21" ht="14.5" x14ac:dyDescent="0.35">
      <c r="B32" t="s">
        <v>2098</v>
      </c>
      <c r="C32" s="1706">
        <v>1.5893033338175037E-2</v>
      </c>
      <c r="D32" s="1706">
        <v>1.6376133914366455E-2</v>
      </c>
      <c r="E32" s="1706">
        <v>1.9174151927231434E-2</v>
      </c>
      <c r="F32" s="1706">
        <v>1.2211846203211999E-2</v>
      </c>
      <c r="G32" s="1706">
        <v>1.7742002444044256E-2</v>
      </c>
      <c r="H32" s="1706">
        <v>1.6945418348191178E-2</v>
      </c>
      <c r="I32" s="1706">
        <v>1.9384540288222264E-2</v>
      </c>
      <c r="J32" s="1706">
        <v>1.3898051803279658E-2</v>
      </c>
      <c r="K32" s="1706">
        <v>1.5486007623039033E-2</v>
      </c>
      <c r="L32" s="1706">
        <v>2.1034477924466267E-2</v>
      </c>
      <c r="M32" s="1706">
        <v>1.391282061984612E-2</v>
      </c>
      <c r="N32" s="1706">
        <v>9.7410197493139825E-3</v>
      </c>
      <c r="O32" s="1706">
        <v>1.7900439399829531E-2</v>
      </c>
      <c r="P32" s="1706">
        <v>1.5333937190760824E-2</v>
      </c>
      <c r="Q32" s="1706">
        <v>1.5003804911369909E-2</v>
      </c>
      <c r="R32" s="1706">
        <v>1.7278488814946983E-2</v>
      </c>
      <c r="S32" s="1706">
        <v>1.448074388138006E-2</v>
      </c>
      <c r="T32" s="1477" t="e">
        <f t="shared" si="2"/>
        <v>#N/A</v>
      </c>
      <c r="U32" s="1477">
        <f t="shared" si="3"/>
        <v>1.7742002444044256E-2</v>
      </c>
    </row>
    <row r="33" spans="2:21" ht="14.5" x14ac:dyDescent="0.35">
      <c r="B33" t="s">
        <v>2099</v>
      </c>
      <c r="C33" s="1706">
        <v>4.9880839623313543E-2</v>
      </c>
      <c r="D33" s="1706">
        <v>4.7917586024576631E-2</v>
      </c>
      <c r="E33" s="1706">
        <v>4.57283513231918E-2</v>
      </c>
      <c r="F33" s="1706">
        <v>4.8665843842842754E-2</v>
      </c>
      <c r="G33" s="1706">
        <v>4.9830162200010103E-2</v>
      </c>
      <c r="H33" s="1706">
        <v>5.3835500219821864E-2</v>
      </c>
      <c r="I33" s="1706">
        <v>5.1684826457461953E-2</v>
      </c>
      <c r="J33" s="1706">
        <v>5.6403204662247707E-2</v>
      </c>
      <c r="K33" s="1706">
        <v>6.1707918840036062E-2</v>
      </c>
      <c r="L33" s="1706">
        <v>5.0390966645605738E-2</v>
      </c>
      <c r="M33" s="1706">
        <v>6.4283160206524428E-2</v>
      </c>
      <c r="N33" s="1706">
        <v>4.8596790892451905E-2</v>
      </c>
      <c r="O33" s="1706">
        <v>3.8675757065763088E-2</v>
      </c>
      <c r="P33" s="1706">
        <v>5.6158403156948013E-2</v>
      </c>
      <c r="Q33" s="1706">
        <v>2.595649963534799E-2</v>
      </c>
      <c r="R33" s="1706">
        <v>4.3592303803983198E-2</v>
      </c>
      <c r="S33" s="1706">
        <v>5.8686255185890462E-2</v>
      </c>
      <c r="T33" s="1477" t="e">
        <f t="shared" si="2"/>
        <v>#N/A</v>
      </c>
      <c r="U33" s="1477">
        <f t="shared" si="3"/>
        <v>4.9830162200010103E-2</v>
      </c>
    </row>
    <row r="34" spans="2:21" ht="14.5" x14ac:dyDescent="0.35">
      <c r="B34" t="s">
        <v>2100</v>
      </c>
      <c r="C34" s="1706">
        <v>1.2828951695189373E-2</v>
      </c>
      <c r="D34" s="1706">
        <v>1.4475883159292895E-2</v>
      </c>
      <c r="E34" s="1706">
        <v>8.0115728508820643E-3</v>
      </c>
      <c r="F34" s="1706">
        <v>2.725946948452752E-2</v>
      </c>
      <c r="G34" s="1706">
        <v>8.5235836176717431E-3</v>
      </c>
      <c r="H34" s="1706">
        <v>1.2773733520466535E-2</v>
      </c>
      <c r="I34" s="1706">
        <v>8.8261536487233266E-3</v>
      </c>
      <c r="J34" s="1706">
        <v>1.7582720063449343E-2</v>
      </c>
      <c r="K34" s="1706">
        <v>1.2947709208921077E-2</v>
      </c>
      <c r="L34" s="1706">
        <v>6.9815648775136156E-3</v>
      </c>
      <c r="M34" s="1706">
        <v>1.4356015455537731E-2</v>
      </c>
      <c r="N34" s="1706">
        <v>1.7366818928941406E-2</v>
      </c>
      <c r="O34" s="1706">
        <v>1.0441462332701885E-2</v>
      </c>
      <c r="P34" s="1706">
        <v>6.4225309565385915E-3</v>
      </c>
      <c r="Q34" s="1706">
        <v>8.1605388228546578E-3</v>
      </c>
      <c r="R34" s="1706">
        <v>1.1926364556176745E-2</v>
      </c>
      <c r="S34" s="1706">
        <v>1.4274143116893774E-2</v>
      </c>
      <c r="T34" s="1477" t="e">
        <f t="shared" si="2"/>
        <v>#N/A</v>
      </c>
      <c r="U34" s="1477">
        <f t="shared" si="3"/>
        <v>8.5235836176717431E-3</v>
      </c>
    </row>
    <row r="35" spans="2:21" ht="14.5" x14ac:dyDescent="0.35">
      <c r="B35" t="s">
        <v>385</v>
      </c>
      <c r="C35" s="1706">
        <v>5.2856882632028875E-2</v>
      </c>
      <c r="D35" s="1706">
        <v>5.1826851752932751E-2</v>
      </c>
      <c r="E35" s="1706">
        <v>5.8887236538227028E-2</v>
      </c>
      <c r="F35" s="1706">
        <v>3.3089583709846021E-2</v>
      </c>
      <c r="G35" s="1706">
        <v>6.2622292902949878E-2</v>
      </c>
      <c r="H35" s="1706">
        <v>5.1172340407245137E-2</v>
      </c>
      <c r="I35" s="1706">
        <v>5.8386449309061124E-2</v>
      </c>
      <c r="J35" s="1706">
        <v>4.2199232393716125E-2</v>
      </c>
      <c r="K35" s="1706">
        <v>4.5569439461077547E-2</v>
      </c>
      <c r="L35" s="1706">
        <v>4.7400633280056781E-2</v>
      </c>
      <c r="M35" s="1706">
        <v>4.4894827280701856E-2</v>
      </c>
      <c r="N35" s="1706">
        <v>4.5264825633384992E-2</v>
      </c>
      <c r="O35" s="1706">
        <v>5.6648691029792891E-2</v>
      </c>
      <c r="P35" s="1706">
        <v>6.117129781050594E-2</v>
      </c>
      <c r="Q35" s="1706">
        <v>5.1018011960329603E-2</v>
      </c>
      <c r="R35" s="1706">
        <v>5.5016172260352179E-2</v>
      </c>
      <c r="S35" s="1706">
        <v>5.1298459104102336E-2</v>
      </c>
      <c r="T35" s="1477" t="e">
        <f t="shared" si="2"/>
        <v>#N/A</v>
      </c>
      <c r="U35" s="1477">
        <f t="shared" si="3"/>
        <v>6.2622292902949878E-2</v>
      </c>
    </row>
    <row r="36" spans="2:21" ht="14.5" x14ac:dyDescent="0.35">
      <c r="B36" s="1707" t="s">
        <v>2102</v>
      </c>
      <c r="C36" s="1706">
        <v>0</v>
      </c>
      <c r="D36" s="1706">
        <v>0</v>
      </c>
      <c r="E36" s="1706">
        <v>0</v>
      </c>
      <c r="F36" s="1706">
        <v>0</v>
      </c>
      <c r="G36" s="1706">
        <v>0</v>
      </c>
      <c r="H36" s="1706">
        <v>0</v>
      </c>
      <c r="I36" s="1706">
        <v>0</v>
      </c>
      <c r="J36" s="1706">
        <v>0</v>
      </c>
      <c r="K36" s="1706">
        <v>0</v>
      </c>
      <c r="L36" s="1706">
        <v>0</v>
      </c>
      <c r="M36" s="1706">
        <v>0</v>
      </c>
      <c r="N36" s="1706">
        <v>0</v>
      </c>
      <c r="O36" s="1706">
        <v>0</v>
      </c>
      <c r="P36" s="1706">
        <v>0</v>
      </c>
      <c r="Q36" s="1706">
        <v>0</v>
      </c>
      <c r="R36" s="1706">
        <v>0</v>
      </c>
      <c r="S36" s="1706">
        <v>0</v>
      </c>
      <c r="T36" s="1477" t="e">
        <f t="shared" si="2"/>
        <v>#N/A</v>
      </c>
      <c r="U36" s="1477">
        <f t="shared" si="3"/>
        <v>0</v>
      </c>
    </row>
    <row r="37" spans="2:21" x14ac:dyDescent="0.3">
      <c r="J37" s="1182"/>
    </row>
    <row r="38" spans="2:21" x14ac:dyDescent="0.3">
      <c r="J38" s="1182"/>
    </row>
    <row r="39" spans="2:21" x14ac:dyDescent="0.3">
      <c r="J39" s="1182"/>
    </row>
    <row r="40" spans="2:21" x14ac:dyDescent="0.3">
      <c r="J40" s="1182"/>
    </row>
    <row r="41" spans="2:21" x14ac:dyDescent="0.3">
      <c r="J41" s="1182"/>
    </row>
    <row r="42" spans="2:21" x14ac:dyDescent="0.3">
      <c r="J42" s="1182"/>
    </row>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HX896"/>
  <sheetViews>
    <sheetView zoomScale="85" zoomScaleNormal="85" workbookViewId="0"/>
  </sheetViews>
  <sheetFormatPr defaultColWidth="9.1796875" defaultRowHeight="14.5" x14ac:dyDescent="0.35"/>
  <cols>
    <col min="1" max="1" width="3.26953125" style="5" customWidth="1"/>
    <col min="2" max="3" width="42.6328125" style="5" customWidth="1"/>
    <col min="4" max="11" width="24.6328125" style="5" customWidth="1"/>
    <col min="12" max="12" width="27.6328125" style="5" customWidth="1"/>
    <col min="13" max="13" width="14" style="5" bestFit="1" customWidth="1"/>
    <col min="14" max="14" width="14.26953125" style="5" bestFit="1" customWidth="1"/>
    <col min="15" max="15" width="10.453125" style="5" bestFit="1" customWidth="1"/>
    <col min="16" max="16" width="11.81640625" style="5" bestFit="1" customWidth="1"/>
    <col min="17" max="17" width="12.453125" style="5" bestFit="1" customWidth="1"/>
    <col min="18" max="18" width="11.7265625" style="5" bestFit="1" customWidth="1"/>
    <col min="19" max="19" width="41.26953125" style="5" bestFit="1" customWidth="1"/>
    <col min="20" max="20" width="32.1796875" style="5" bestFit="1" customWidth="1"/>
    <col min="21" max="21" width="12.81640625" style="5" customWidth="1"/>
    <col min="22" max="22" width="13.453125" style="5" bestFit="1" customWidth="1"/>
    <col min="23" max="23" width="9.1796875" style="5"/>
    <col min="24" max="24" width="10.7265625" style="5" customWidth="1"/>
    <col min="25" max="25" width="9.1796875" style="5"/>
    <col min="26" max="26" width="22.453125" style="5" bestFit="1" customWidth="1"/>
    <col min="27" max="28" width="9.1796875" style="5"/>
    <col min="29" max="29" width="10.1796875" style="5" bestFit="1" customWidth="1"/>
    <col min="30" max="30" width="12.26953125" style="5" customWidth="1"/>
    <col min="31" max="33" width="9.1796875" style="5"/>
    <col min="34" max="34" width="20.453125" style="5" bestFit="1" customWidth="1"/>
    <col min="35" max="35" width="22.453125" style="5" customWidth="1"/>
    <col min="36" max="36" width="10.54296875" style="5" bestFit="1" customWidth="1"/>
    <col min="37" max="37" width="9.1796875" style="5"/>
    <col min="38" max="38" width="15" style="5" bestFit="1" customWidth="1"/>
    <col min="39" max="42" width="9.1796875" style="5"/>
    <col min="43" max="43" width="29.1796875" style="5" customWidth="1"/>
    <col min="44" max="44" width="49.26953125" style="5" bestFit="1" customWidth="1"/>
    <col min="45" max="45" width="9.1796875" style="5"/>
    <col min="46" max="46" width="23" style="5" customWidth="1"/>
    <col min="47" max="47" width="9.1796875" style="5"/>
    <col min="48" max="48" width="37.7265625" style="5" bestFit="1" customWidth="1"/>
    <col min="49" max="49" width="9.1796875" style="5"/>
    <col min="50" max="50" width="37.7265625" style="5" bestFit="1" customWidth="1"/>
    <col min="51" max="52" width="9.1796875" style="5"/>
    <col min="53" max="53" width="10.54296875" style="5" customWidth="1"/>
    <col min="54" max="57" width="10.54296875" style="5" bestFit="1" customWidth="1"/>
    <col min="58" max="16384" width="9.1796875" style="5"/>
  </cols>
  <sheetData>
    <row r="1" spans="2:11" ht="20.5" x14ac:dyDescent="0.45">
      <c r="J1" s="722"/>
    </row>
    <row r="2" spans="2:11" ht="15" customHeight="1" x14ac:dyDescent="0.35">
      <c r="B2" s="2587" t="s">
        <v>1031</v>
      </c>
      <c r="C2" s="2587"/>
      <c r="D2" s="2587"/>
      <c r="E2" s="2587"/>
      <c r="F2" s="2587"/>
      <c r="G2" s="2587"/>
      <c r="H2" s="2587"/>
      <c r="I2" s="723"/>
    </row>
    <row r="3" spans="2:11" ht="15" customHeight="1" x14ac:dyDescent="0.35">
      <c r="B3" s="2587"/>
      <c r="C3" s="2587"/>
      <c r="D3" s="2587"/>
      <c r="E3" s="2587"/>
      <c r="F3" s="2587"/>
      <c r="G3" s="2587"/>
      <c r="H3" s="2587"/>
      <c r="I3" s="723"/>
    </row>
    <row r="4" spans="2:11" ht="15" customHeight="1" x14ac:dyDescent="0.35">
      <c r="B4" s="2587"/>
      <c r="C4" s="2587"/>
      <c r="D4" s="2587"/>
      <c r="E4" s="2587"/>
      <c r="F4" s="2587"/>
      <c r="G4" s="2587"/>
      <c r="H4" s="2587"/>
      <c r="I4" s="723"/>
    </row>
    <row r="5" spans="2:11" ht="15" customHeight="1" x14ac:dyDescent="0.35">
      <c r="B5" s="2587"/>
      <c r="C5" s="2587"/>
      <c r="D5" s="2587"/>
      <c r="E5" s="2587"/>
      <c r="F5" s="2587"/>
      <c r="G5" s="2587"/>
      <c r="H5" s="2587"/>
      <c r="I5" s="723"/>
    </row>
    <row r="6" spans="2:11" ht="17.5" x14ac:dyDescent="0.35">
      <c r="B6" s="359" t="s">
        <v>2064</v>
      </c>
    </row>
    <row r="7" spans="2:11" ht="17.5" x14ac:dyDescent="0.35">
      <c r="B7" s="359" t="s">
        <v>934</v>
      </c>
      <c r="C7" s="59"/>
      <c r="E7" s="102"/>
    </row>
    <row r="8" spans="2:11" ht="17.5" x14ac:dyDescent="0.35">
      <c r="B8" s="641" t="s">
        <v>2005</v>
      </c>
      <c r="C8" s="435"/>
      <c r="D8" s="435"/>
      <c r="E8" s="642"/>
      <c r="F8" s="435"/>
      <c r="G8" s="451"/>
      <c r="H8" s="435"/>
      <c r="I8" s="435"/>
      <c r="J8" s="435"/>
      <c r="K8" s="1505"/>
    </row>
    <row r="9" spans="2:11" ht="17.5" x14ac:dyDescent="0.35">
      <c r="B9" s="643"/>
      <c r="C9" s="464" t="s">
        <v>969</v>
      </c>
      <c r="D9" s="2540" t="s">
        <v>923</v>
      </c>
      <c r="E9" s="2540"/>
      <c r="F9" s="2540"/>
      <c r="G9" s="460" t="s">
        <v>820</v>
      </c>
      <c r="H9" s="1710" t="s">
        <v>925</v>
      </c>
      <c r="I9" s="1091"/>
      <c r="J9" s="1091"/>
      <c r="K9" s="842"/>
    </row>
    <row r="10" spans="2:11" ht="17.5" x14ac:dyDescent="0.35">
      <c r="B10" s="643"/>
      <c r="C10" s="434"/>
      <c r="D10" s="434"/>
      <c r="E10" s="644"/>
      <c r="F10" s="434"/>
      <c r="G10" s="712"/>
      <c r="H10" s="1091"/>
      <c r="I10" s="1091"/>
      <c r="J10" s="1091"/>
      <c r="K10" s="842"/>
    </row>
    <row r="11" spans="2:11" ht="17.5" x14ac:dyDescent="0.35">
      <c r="B11" s="643"/>
      <c r="C11" s="634" t="s">
        <v>821</v>
      </c>
      <c r="D11" s="2558" t="s">
        <v>924</v>
      </c>
      <c r="E11" s="2558"/>
      <c r="F11" s="2558"/>
      <c r="G11" s="460" t="s">
        <v>911</v>
      </c>
      <c r="H11" s="472" t="s">
        <v>1977</v>
      </c>
      <c r="I11" s="1224"/>
      <c r="J11" s="1224"/>
      <c r="K11" s="842"/>
    </row>
    <row r="12" spans="2:11" ht="17.5" x14ac:dyDescent="0.35">
      <c r="B12" s="643"/>
      <c r="C12" s="434"/>
      <c r="D12" s="434"/>
      <c r="E12" s="644"/>
      <c r="F12" s="434"/>
      <c r="G12" s="644"/>
      <c r="H12" s="1224"/>
      <c r="I12" s="1224"/>
      <c r="J12" s="1224"/>
      <c r="K12" s="1506"/>
    </row>
    <row r="13" spans="2:11" ht="15.5" x14ac:dyDescent="0.35">
      <c r="B13" s="645"/>
      <c r="C13" s="375" t="s">
        <v>822</v>
      </c>
      <c r="D13" s="1710" t="s">
        <v>912</v>
      </c>
      <c r="E13" s="444"/>
      <c r="F13" s="2532" t="s">
        <v>2079</v>
      </c>
      <c r="G13" s="2532"/>
      <c r="H13" s="2530" t="s">
        <v>2082</v>
      </c>
      <c r="I13" s="2530"/>
      <c r="J13" s="1595"/>
      <c r="K13" s="1507"/>
    </row>
    <row r="14" spans="2:11" ht="17.5" x14ac:dyDescent="0.35">
      <c r="B14" s="646"/>
      <c r="C14" s="325"/>
      <c r="D14" s="325"/>
      <c r="E14" s="325"/>
      <c r="F14" s="325"/>
      <c r="G14" s="325"/>
      <c r="H14" s="991"/>
      <c r="I14" s="991"/>
      <c r="J14" s="1091"/>
      <c r="K14" s="842"/>
    </row>
    <row r="15" spans="2:11" ht="17.5" x14ac:dyDescent="0.35">
      <c r="B15" s="641" t="s">
        <v>1998</v>
      </c>
      <c r="C15" s="435"/>
      <c r="D15" s="442" t="s">
        <v>212</v>
      </c>
      <c r="E15" s="442" t="s">
        <v>1955</v>
      </c>
      <c r="F15" s="442" t="s">
        <v>1956</v>
      </c>
      <c r="G15" s="442" t="s">
        <v>1007</v>
      </c>
      <c r="H15" s="442" t="s">
        <v>1987</v>
      </c>
      <c r="I15" s="442" t="s">
        <v>1988</v>
      </c>
      <c r="J15" s="442" t="s">
        <v>1997</v>
      </c>
      <c r="K15" s="1653" t="s">
        <v>2069</v>
      </c>
    </row>
    <row r="16" spans="2:11" s="993" customFormat="1" ht="17.5" x14ac:dyDescent="0.35">
      <c r="B16" s="1222"/>
      <c r="C16" s="1091"/>
      <c r="D16" s="1198"/>
      <c r="E16" s="1198"/>
      <c r="F16" s="1198"/>
      <c r="G16" s="1198"/>
      <c r="H16" s="1198"/>
      <c r="I16" s="1198"/>
      <c r="J16" s="1198"/>
      <c r="K16" s="1656"/>
    </row>
    <row r="17" spans="2:34" ht="17.5" x14ac:dyDescent="0.35">
      <c r="B17" s="1647"/>
      <c r="C17" s="1221" t="s">
        <v>217</v>
      </c>
      <c r="D17" s="1713">
        <v>450</v>
      </c>
      <c r="E17" s="1713">
        <v>120</v>
      </c>
      <c r="F17" s="1713">
        <v>125</v>
      </c>
      <c r="G17" s="1713">
        <v>8</v>
      </c>
      <c r="H17" s="1713">
        <v>100</v>
      </c>
      <c r="I17" s="1713">
        <v>0</v>
      </c>
      <c r="J17" s="1186"/>
      <c r="K17" s="1561" t="s">
        <v>218</v>
      </c>
    </row>
    <row r="18" spans="2:34" ht="15.5" x14ac:dyDescent="0.35">
      <c r="B18" s="627"/>
      <c r="C18" s="1221"/>
      <c r="D18" s="505"/>
      <c r="E18" s="505"/>
      <c r="F18" s="505"/>
      <c r="G18" s="505"/>
      <c r="H18" s="505"/>
      <c r="I18" s="1186"/>
      <c r="J18" s="1186"/>
      <c r="K18" s="1561"/>
    </row>
    <row r="19" spans="2:34" ht="15.5" x14ac:dyDescent="0.35">
      <c r="B19" s="627"/>
      <c r="C19" s="1221" t="s">
        <v>219</v>
      </c>
      <c r="D19" s="1655">
        <v>500</v>
      </c>
      <c r="E19" s="1655">
        <v>350</v>
      </c>
      <c r="F19" s="1655">
        <v>150</v>
      </c>
      <c r="G19" s="1655">
        <v>600</v>
      </c>
      <c r="H19" s="1736">
        <v>200</v>
      </c>
      <c r="I19" s="1736">
        <v>0</v>
      </c>
      <c r="J19" s="1186"/>
      <c r="K19" s="1561" t="s">
        <v>220</v>
      </c>
      <c r="L19" s="1575"/>
      <c r="M19" s="1575"/>
      <c r="N19" s="1575"/>
    </row>
    <row r="20" spans="2:34" ht="15.5" x14ac:dyDescent="0.35">
      <c r="B20" s="627"/>
      <c r="C20" s="1221"/>
      <c r="D20" s="505"/>
      <c r="E20" s="505"/>
      <c r="F20" s="505"/>
      <c r="G20" s="505"/>
      <c r="H20" s="505"/>
      <c r="I20" s="1186"/>
      <c r="J20" s="1186"/>
      <c r="K20" s="1561"/>
    </row>
    <row r="21" spans="2:34" ht="15.5" x14ac:dyDescent="0.35">
      <c r="B21" s="627"/>
      <c r="C21" s="1221" t="s">
        <v>802</v>
      </c>
      <c r="D21" s="509"/>
      <c r="E21" s="724">
        <v>0.7</v>
      </c>
      <c r="F21" s="724">
        <v>0.7</v>
      </c>
      <c r="G21" s="505"/>
      <c r="H21" s="1556">
        <v>1</v>
      </c>
      <c r="I21" s="1556">
        <v>0</v>
      </c>
      <c r="J21" s="1186"/>
      <c r="K21" s="1561" t="s">
        <v>221</v>
      </c>
    </row>
    <row r="22" spans="2:34" s="993" customFormat="1" ht="15.5" x14ac:dyDescent="0.35">
      <c r="B22" s="1217"/>
      <c r="C22" s="1221"/>
      <c r="D22" s="1215"/>
      <c r="E22" s="1215"/>
      <c r="F22" s="1215"/>
      <c r="G22" s="1186"/>
      <c r="H22" s="1215"/>
      <c r="I22" s="1215"/>
      <c r="J22" s="1215"/>
      <c r="K22" s="1561"/>
    </row>
    <row r="23" spans="2:34" s="993" customFormat="1" ht="15.5" x14ac:dyDescent="0.35">
      <c r="B23" s="1217"/>
      <c r="C23" s="1221" t="s">
        <v>1929</v>
      </c>
      <c r="D23" s="1532">
        <v>115</v>
      </c>
      <c r="E23" s="1654">
        <v>10</v>
      </c>
      <c r="F23" s="1654">
        <v>0</v>
      </c>
      <c r="G23" s="1654">
        <v>4</v>
      </c>
      <c r="H23" s="1654">
        <v>100</v>
      </c>
      <c r="I23" s="1654">
        <v>0</v>
      </c>
      <c r="J23" s="1654">
        <v>215</v>
      </c>
      <c r="K23" s="1561" t="s">
        <v>218</v>
      </c>
    </row>
    <row r="24" spans="2:34" s="993" customFormat="1" ht="15.5" x14ac:dyDescent="0.35">
      <c r="B24" s="1217"/>
      <c r="C24" s="1221"/>
      <c r="D24" s="1215"/>
      <c r="E24" s="1602"/>
      <c r="F24" s="1602"/>
      <c r="G24" s="1602"/>
      <c r="H24" s="1602"/>
      <c r="I24" s="1602"/>
      <c r="J24" s="1619"/>
      <c r="K24" s="1561"/>
    </row>
    <row r="25" spans="2:34" s="993" customFormat="1" ht="15.5" x14ac:dyDescent="0.35">
      <c r="B25" s="1217"/>
      <c r="C25" s="1221" t="s">
        <v>1928</v>
      </c>
      <c r="D25" s="1532">
        <v>550</v>
      </c>
      <c r="E25" s="1654">
        <v>425</v>
      </c>
      <c r="F25" s="1654">
        <v>0</v>
      </c>
      <c r="G25" s="1654">
        <v>600</v>
      </c>
      <c r="H25" s="1654">
        <v>400</v>
      </c>
      <c r="I25" s="1654">
        <v>0</v>
      </c>
      <c r="J25" s="1654">
        <v>105</v>
      </c>
      <c r="K25" s="1561" t="s">
        <v>220</v>
      </c>
    </row>
    <row r="26" spans="2:34" s="993" customFormat="1" ht="15.5" x14ac:dyDescent="0.35">
      <c r="B26" s="1217"/>
      <c r="C26" s="1091"/>
      <c r="D26" s="1091"/>
      <c r="E26" s="1091"/>
      <c r="F26" s="1091"/>
      <c r="G26" s="1091"/>
      <c r="H26" s="1091"/>
      <c r="I26" s="1091"/>
      <c r="J26" s="1091"/>
      <c r="K26" s="1561"/>
    </row>
    <row r="27" spans="2:34" ht="15.5" x14ac:dyDescent="0.35">
      <c r="B27" s="628"/>
      <c r="C27" s="325"/>
      <c r="D27" s="629"/>
      <c r="E27" s="631"/>
      <c r="F27" s="631"/>
      <c r="G27" s="630"/>
      <c r="H27" s="631"/>
      <c r="I27" s="1605"/>
      <c r="J27" s="1605">
        <f>SUMPRODUCT(D23:J23,D25:J25)/1000</f>
        <v>132.47499999999999</v>
      </c>
      <c r="K27" s="1604" t="s">
        <v>1989</v>
      </c>
    </row>
    <row r="28" spans="2:34" ht="17.5" x14ac:dyDescent="0.35">
      <c r="B28" s="1643" t="s">
        <v>737</v>
      </c>
      <c r="C28" s="642"/>
      <c r="D28" s="642"/>
      <c r="E28" s="642"/>
      <c r="F28" s="642"/>
      <c r="G28" s="642"/>
      <c r="H28" s="642"/>
      <c r="I28" s="1498"/>
      <c r="J28" s="1498"/>
      <c r="K28" s="1505"/>
    </row>
    <row r="29" spans="2:34" ht="15.5" x14ac:dyDescent="0.35">
      <c r="B29" s="684"/>
      <c r="C29" s="434" t="s">
        <v>991</v>
      </c>
      <c r="D29" s="2588" t="s">
        <v>992</v>
      </c>
      <c r="E29" s="2588"/>
      <c r="F29" s="2557" t="s">
        <v>1158</v>
      </c>
      <c r="G29" s="2557"/>
      <c r="H29" s="726">
        <v>3000000</v>
      </c>
      <c r="I29" s="1490" t="str">
        <f>IF(U205="1","litres of milk per cow per annum","kg milksolids per cow per annum")</f>
        <v>litres of milk per cow per annum</v>
      </c>
      <c r="J29" s="1624"/>
      <c r="K29" s="842"/>
    </row>
    <row r="30" spans="2:34" ht="15.5" x14ac:dyDescent="0.35">
      <c r="B30" s="683"/>
      <c r="C30" s="434"/>
      <c r="D30" s="715"/>
      <c r="E30" s="395"/>
      <c r="F30" s="395"/>
      <c r="G30" s="396"/>
      <c r="H30" s="711"/>
      <c r="I30" s="1499"/>
      <c r="J30" s="1499"/>
      <c r="K30" s="842"/>
    </row>
    <row r="31" spans="2:34" ht="15.5" x14ac:dyDescent="0.35">
      <c r="B31" s="683"/>
      <c r="C31" s="434" t="s">
        <v>1220</v>
      </c>
      <c r="D31" s="713">
        <v>4.3</v>
      </c>
      <c r="E31" s="395" t="s">
        <v>222</v>
      </c>
      <c r="F31" s="2553" t="s">
        <v>1221</v>
      </c>
      <c r="G31" s="2553"/>
      <c r="H31" s="725">
        <v>3.2</v>
      </c>
      <c r="I31" s="1490" t="s">
        <v>222</v>
      </c>
      <c r="J31" s="1624"/>
      <c r="K31" s="842"/>
      <c r="AA31" s="59"/>
      <c r="AB31" s="59"/>
      <c r="AC31" s="59"/>
      <c r="AD31" s="59"/>
      <c r="AE31" s="59"/>
      <c r="AF31" s="59"/>
      <c r="AG31" s="59"/>
      <c r="AH31" s="59"/>
    </row>
    <row r="32" spans="2:34" ht="15.5" x14ac:dyDescent="0.35">
      <c r="B32" s="714"/>
      <c r="C32" s="434"/>
      <c r="D32" s="715"/>
      <c r="E32" s="396"/>
      <c r="F32" s="505"/>
      <c r="G32" s="505"/>
      <c r="H32" s="396"/>
      <c r="I32" s="1499"/>
      <c r="J32" s="1499"/>
      <c r="K32" s="842"/>
      <c r="AA32" s="59"/>
      <c r="AB32" s="59"/>
      <c r="AC32" s="59"/>
      <c r="AD32" s="59"/>
      <c r="AE32" s="59"/>
      <c r="AF32" s="59"/>
      <c r="AG32" s="59"/>
      <c r="AH32" s="59"/>
    </row>
    <row r="33" spans="2:34" ht="15.5" x14ac:dyDescent="0.35">
      <c r="B33" s="714"/>
      <c r="C33" s="434" t="s">
        <v>476</v>
      </c>
      <c r="D33" s="727">
        <v>300</v>
      </c>
      <c r="E33" s="396" t="s">
        <v>1162</v>
      </c>
      <c r="F33" s="2579" t="s">
        <v>1978</v>
      </c>
      <c r="G33" s="2579"/>
      <c r="H33" s="1606">
        <f>ROUND(Q200,1)</f>
        <v>22.2</v>
      </c>
      <c r="I33" s="1603" t="s">
        <v>743</v>
      </c>
      <c r="J33" s="1624"/>
      <c r="K33" s="842"/>
      <c r="AA33" s="59"/>
      <c r="AB33" s="59"/>
      <c r="AC33" s="59"/>
      <c r="AD33" s="59"/>
      <c r="AE33" s="59"/>
      <c r="AF33" s="59"/>
      <c r="AG33" s="59"/>
      <c r="AH33" s="59"/>
    </row>
    <row r="34" spans="2:34" s="993" customFormat="1" ht="15.5" x14ac:dyDescent="0.35">
      <c r="B34" s="1187"/>
      <c r="C34" s="1091"/>
      <c r="D34" s="1091"/>
      <c r="E34" s="1184"/>
      <c r="F34" s="1725"/>
      <c r="G34" s="1725"/>
      <c r="H34" s="1606"/>
      <c r="I34" s="1716"/>
      <c r="J34" s="1716"/>
      <c r="K34" s="842"/>
      <c r="AA34" s="996"/>
      <c r="AB34" s="996"/>
      <c r="AC34" s="996"/>
      <c r="AD34" s="996"/>
      <c r="AE34" s="996"/>
      <c r="AF34" s="996"/>
      <c r="AG34" s="996"/>
      <c r="AH34" s="996"/>
    </row>
    <row r="35" spans="2:34" ht="17.5" x14ac:dyDescent="0.35">
      <c r="B35" s="1644" t="s">
        <v>1011</v>
      </c>
      <c r="C35" s="435"/>
      <c r="D35" s="2556" t="s">
        <v>806</v>
      </c>
      <c r="E35" s="2556"/>
      <c r="F35" s="2580" t="s">
        <v>856</v>
      </c>
      <c r="G35" s="2580"/>
      <c r="H35" s="2581" t="s">
        <v>857</v>
      </c>
      <c r="I35" s="2581"/>
      <c r="J35" s="1626"/>
      <c r="K35" s="1505"/>
    </row>
    <row r="36" spans="2:34" ht="15.5" x14ac:dyDescent="0.35">
      <c r="B36" s="504"/>
      <c r="C36" s="434" t="s">
        <v>807</v>
      </c>
      <c r="D36" s="2578">
        <v>14</v>
      </c>
      <c r="E36" s="2578"/>
      <c r="F36" s="2578">
        <v>75</v>
      </c>
      <c r="G36" s="2578"/>
      <c r="H36" s="2578">
        <v>20</v>
      </c>
      <c r="I36" s="2578"/>
      <c r="J36" s="1624"/>
      <c r="K36" s="1508"/>
    </row>
    <row r="37" spans="2:34" ht="15.5" x14ac:dyDescent="0.35">
      <c r="B37" s="632" t="s">
        <v>967</v>
      </c>
      <c r="C37" s="434" t="s">
        <v>808</v>
      </c>
      <c r="D37" s="2578">
        <v>2.5</v>
      </c>
      <c r="E37" s="2578"/>
      <c r="F37" s="2578">
        <v>85</v>
      </c>
      <c r="G37" s="2578"/>
      <c r="H37" s="2578">
        <v>12</v>
      </c>
      <c r="I37" s="2578"/>
      <c r="J37" s="1624"/>
      <c r="K37" s="842"/>
    </row>
    <row r="38" spans="2:34" ht="15.5" x14ac:dyDescent="0.35">
      <c r="B38" s="632" t="s">
        <v>968</v>
      </c>
      <c r="C38" s="434" t="s">
        <v>809</v>
      </c>
      <c r="D38" s="2578">
        <v>1.5</v>
      </c>
      <c r="E38" s="2578"/>
      <c r="F38" s="2578">
        <v>70</v>
      </c>
      <c r="G38" s="2578"/>
      <c r="H38" s="2578">
        <v>16.5</v>
      </c>
      <c r="I38" s="2578"/>
      <c r="J38" s="1624"/>
      <c r="K38" s="842"/>
    </row>
    <row r="39" spans="2:34" ht="15.5" x14ac:dyDescent="0.35">
      <c r="B39" s="443" t="str">
        <f>Q204 &amp;" kg DM/cow.day"</f>
        <v>17 kg DM/cow.day</v>
      </c>
      <c r="C39" s="434" t="s">
        <v>810</v>
      </c>
      <c r="D39" s="2578"/>
      <c r="E39" s="2578"/>
      <c r="F39" s="2578"/>
      <c r="G39" s="2578"/>
      <c r="H39" s="2578"/>
      <c r="I39" s="2578"/>
      <c r="J39" s="1624"/>
      <c r="K39" s="842"/>
    </row>
    <row r="40" spans="2:34" ht="15.5" x14ac:dyDescent="0.35">
      <c r="B40" s="504"/>
      <c r="C40" s="434" t="s">
        <v>811</v>
      </c>
      <c r="D40" s="2578"/>
      <c r="E40" s="2578"/>
      <c r="F40" s="2578"/>
      <c r="G40" s="2578"/>
      <c r="H40" s="2578"/>
      <c r="I40" s="2578"/>
      <c r="J40" s="1624"/>
      <c r="K40" s="842"/>
    </row>
    <row r="41" spans="2:34" ht="15.5" x14ac:dyDescent="0.35">
      <c r="B41" s="2576" t="s">
        <v>1204</v>
      </c>
      <c r="C41" s="434" t="s">
        <v>812</v>
      </c>
      <c r="D41" s="2578"/>
      <c r="E41" s="2578"/>
      <c r="F41" s="2578"/>
      <c r="G41" s="2578"/>
      <c r="H41" s="2578"/>
      <c r="I41" s="2578"/>
      <c r="J41" s="1624"/>
      <c r="K41" s="842"/>
    </row>
    <row r="42" spans="2:34" ht="15.5" x14ac:dyDescent="0.35">
      <c r="B42" s="2577"/>
      <c r="C42" s="1220" t="s">
        <v>815</v>
      </c>
      <c r="D42" s="2533">
        <f>SUM(D36:E41)</f>
        <v>18</v>
      </c>
      <c r="E42" s="2533"/>
      <c r="F42" s="2533">
        <f>Q202</f>
        <v>75.972222222222229</v>
      </c>
      <c r="G42" s="2533"/>
      <c r="H42" s="2533">
        <f>Q203</f>
        <v>18.597222222222221</v>
      </c>
      <c r="I42" s="2533"/>
      <c r="J42" s="1717"/>
      <c r="K42" s="842"/>
      <c r="L42" s="1255"/>
    </row>
    <row r="43" spans="2:34" s="993" customFormat="1" ht="15.5" x14ac:dyDescent="0.35">
      <c r="B43" s="992"/>
      <c r="C43" s="1220"/>
      <c r="D43" s="1717"/>
      <c r="E43" s="1717"/>
      <c r="F43" s="1717"/>
      <c r="G43" s="1717"/>
      <c r="H43" s="1717"/>
      <c r="I43" s="1717"/>
      <c r="J43" s="1717"/>
      <c r="K43" s="842"/>
      <c r="L43" s="1255"/>
    </row>
    <row r="44" spans="2:34" ht="15.5" x14ac:dyDescent="0.35">
      <c r="B44" s="1217" t="s">
        <v>1012</v>
      </c>
      <c r="C44" s="1221"/>
      <c r="D44" s="1712">
        <v>75</v>
      </c>
      <c r="E44" s="1287" t="s">
        <v>222</v>
      </c>
      <c r="F44" s="1717"/>
      <c r="G44" s="1717"/>
      <c r="H44" s="1717"/>
      <c r="I44" s="1499"/>
      <c r="J44" s="1499"/>
      <c r="K44" s="842"/>
    </row>
    <row r="45" spans="2:34" ht="15.5" x14ac:dyDescent="0.35">
      <c r="B45" s="1217" t="s">
        <v>1013</v>
      </c>
      <c r="C45" s="638"/>
      <c r="D45" s="713">
        <v>20</v>
      </c>
      <c r="E45" s="728" t="s">
        <v>222</v>
      </c>
      <c r="F45" s="728"/>
      <c r="G45" s="728"/>
      <c r="H45" s="728"/>
      <c r="I45" s="1499"/>
      <c r="J45" s="1499"/>
      <c r="K45" s="842"/>
    </row>
    <row r="46" spans="2:34" ht="15.5" x14ac:dyDescent="0.35">
      <c r="B46" s="628"/>
      <c r="C46" s="633"/>
      <c r="D46" s="647"/>
      <c r="E46" s="647"/>
      <c r="F46" s="647"/>
      <c r="G46" s="647"/>
      <c r="H46" s="647"/>
      <c r="I46" s="1499"/>
      <c r="J46" s="1499"/>
      <c r="K46" s="842"/>
    </row>
    <row r="47" spans="2:34" ht="15.65" customHeight="1" x14ac:dyDescent="0.35">
      <c r="B47" s="1645" t="s">
        <v>828</v>
      </c>
      <c r="C47" s="2539"/>
      <c r="D47" s="2539"/>
      <c r="E47" s="433"/>
      <c r="F47" s="437"/>
      <c r="G47" s="2539"/>
      <c r="H47" s="2539"/>
      <c r="I47" s="2539"/>
      <c r="J47" s="1621"/>
      <c r="K47" s="1509"/>
      <c r="M47" s="58"/>
      <c r="AA47" s="59"/>
      <c r="AB47" s="59"/>
      <c r="AC47" s="59"/>
      <c r="AD47" s="59"/>
      <c r="AE47" s="59"/>
      <c r="AF47" s="59"/>
      <c r="AG47" s="59"/>
      <c r="AH47" s="59"/>
    </row>
    <row r="48" spans="2:34" ht="15.65" customHeight="1" x14ac:dyDescent="0.35">
      <c r="B48" s="1243"/>
      <c r="C48" s="1091" t="s">
        <v>829</v>
      </c>
      <c r="D48" s="1244"/>
      <c r="E48" s="2540" t="s">
        <v>935</v>
      </c>
      <c r="F48" s="2540"/>
      <c r="G48" s="1244"/>
      <c r="H48" s="1244"/>
      <c r="I48" s="2589" t="s">
        <v>1114</v>
      </c>
      <c r="J48" s="2590"/>
      <c r="K48" s="1510"/>
      <c r="M48" s="58"/>
      <c r="AA48" s="59"/>
      <c r="AB48" s="59"/>
      <c r="AC48" s="59"/>
      <c r="AD48" s="59"/>
      <c r="AE48" s="59"/>
      <c r="AF48" s="59"/>
      <c r="AG48" s="59"/>
      <c r="AH48" s="59"/>
    </row>
    <row r="49" spans="2:34" ht="15.65" customHeight="1" x14ac:dyDescent="0.35">
      <c r="B49" s="1243"/>
      <c r="C49" s="1244"/>
      <c r="D49" s="1244"/>
      <c r="E49" s="1245"/>
      <c r="F49" s="1246"/>
      <c r="G49" s="1244"/>
      <c r="H49" s="1244"/>
      <c r="I49" s="2591"/>
      <c r="J49" s="2592"/>
      <c r="K49" s="1510"/>
      <c r="M49" s="58"/>
      <c r="AA49" s="59"/>
      <c r="AB49" s="59"/>
      <c r="AC49" s="59"/>
      <c r="AD49" s="59"/>
      <c r="AE49" s="59"/>
      <c r="AF49" s="59"/>
      <c r="AG49" s="59"/>
      <c r="AH49" s="59"/>
    </row>
    <row r="50" spans="2:34" ht="15.65" customHeight="1" x14ac:dyDescent="0.35">
      <c r="B50" s="1243"/>
      <c r="C50" s="1198" t="s">
        <v>2000</v>
      </c>
      <c r="D50" s="1244"/>
      <c r="E50" s="1245"/>
      <c r="F50" s="1246"/>
      <c r="G50" s="1279" t="s">
        <v>1093</v>
      </c>
      <c r="H50" s="1279"/>
      <c r="I50" s="1244"/>
      <c r="J50" s="1244"/>
      <c r="K50" s="1510"/>
      <c r="M50" s="58"/>
      <c r="AA50" s="59"/>
      <c r="AB50" s="59"/>
      <c r="AC50" s="59"/>
      <c r="AD50" s="59"/>
      <c r="AE50" s="59"/>
      <c r="AF50" s="59"/>
      <c r="AG50" s="59"/>
      <c r="AH50" s="59"/>
    </row>
    <row r="51" spans="2:34" ht="15.5" x14ac:dyDescent="0.35">
      <c r="B51" s="1195" t="s">
        <v>2128</v>
      </c>
      <c r="C51" s="1618"/>
      <c r="D51" s="1091" t="s">
        <v>224</v>
      </c>
      <c r="E51" s="2548" t="s">
        <v>1094</v>
      </c>
      <c r="F51" s="2548"/>
      <c r="G51" s="1620">
        <v>55</v>
      </c>
      <c r="H51" s="692" t="str">
        <f>T193</f>
        <v>tonnes of element per annum</v>
      </c>
      <c r="I51" s="1500"/>
      <c r="J51" s="1500"/>
      <c r="K51" s="1510"/>
      <c r="M51" s="58"/>
      <c r="AA51" s="59"/>
      <c r="AB51" s="59"/>
      <c r="AC51" s="59"/>
      <c r="AD51" s="59"/>
      <c r="AE51" s="59"/>
      <c r="AF51" s="59"/>
      <c r="AG51" s="59"/>
      <c r="AH51" s="59"/>
    </row>
    <row r="52" spans="2:34" ht="15.5" x14ac:dyDescent="0.35">
      <c r="B52" s="1195" t="s">
        <v>2129</v>
      </c>
      <c r="C52" s="1618"/>
      <c r="D52" s="1091" t="s">
        <v>224</v>
      </c>
      <c r="E52" s="2548" t="s">
        <v>1113</v>
      </c>
      <c r="F52" s="2548"/>
      <c r="G52" s="1465"/>
      <c r="H52" s="1091" t="str">
        <f>H51</f>
        <v>tonnes of element per annum</v>
      </c>
      <c r="I52" s="1500"/>
      <c r="J52" s="1500"/>
      <c r="K52" s="1510"/>
      <c r="M52" s="58"/>
      <c r="AA52" s="59"/>
      <c r="AB52" s="59"/>
      <c r="AC52" s="59"/>
      <c r="AD52" s="59"/>
      <c r="AE52" s="59"/>
      <c r="AF52" s="59"/>
      <c r="AG52" s="59"/>
      <c r="AH52" s="59"/>
    </row>
    <row r="53" spans="2:34" s="879" customFormat="1" ht="15.5" x14ac:dyDescent="0.35">
      <c r="B53" s="1195"/>
      <c r="C53" s="1091"/>
      <c r="D53" s="1091"/>
      <c r="E53" s="2548" t="s">
        <v>1507</v>
      </c>
      <c r="F53" s="2548"/>
      <c r="G53" s="1622">
        <v>95</v>
      </c>
      <c r="H53" s="1091" t="s">
        <v>222</v>
      </c>
      <c r="I53" s="1500"/>
      <c r="J53" s="1500"/>
      <c r="K53" s="1510"/>
      <c r="AA53" s="880"/>
      <c r="AB53" s="880"/>
      <c r="AC53" s="880"/>
      <c r="AD53" s="880"/>
      <c r="AE53" s="880"/>
      <c r="AF53" s="880"/>
      <c r="AG53" s="880"/>
      <c r="AH53" s="880"/>
    </row>
    <row r="54" spans="2:34" ht="15.5" x14ac:dyDescent="0.35">
      <c r="B54" s="1193"/>
      <c r="C54" s="1091"/>
      <c r="D54" s="1091"/>
      <c r="E54" s="1091"/>
      <c r="F54" s="1091"/>
      <c r="G54" s="1091"/>
      <c r="H54" s="1091"/>
      <c r="I54" s="1499"/>
      <c r="J54" s="1499"/>
      <c r="K54" s="1510"/>
      <c r="M54" s="58"/>
      <c r="AA54" s="59"/>
      <c r="AB54" s="59"/>
      <c r="AC54" s="59"/>
      <c r="AD54" s="59"/>
      <c r="AE54" s="59"/>
      <c r="AF54" s="59"/>
      <c r="AG54" s="59"/>
      <c r="AH54" s="59"/>
    </row>
    <row r="55" spans="2:34" ht="15.5" x14ac:dyDescent="0.35">
      <c r="B55" s="1193"/>
      <c r="C55" s="1636" t="s">
        <v>2001</v>
      </c>
      <c r="D55" s="1091"/>
      <c r="E55" s="1091"/>
      <c r="F55" s="377"/>
      <c r="G55" s="448" t="s">
        <v>1096</v>
      </c>
      <c r="H55" s="448" t="s">
        <v>1097</v>
      </c>
      <c r="I55" s="448" t="s">
        <v>1098</v>
      </c>
      <c r="J55" s="1637" t="s">
        <v>1539</v>
      </c>
      <c r="K55" s="1510"/>
      <c r="M55" s="58"/>
      <c r="AA55" s="59"/>
      <c r="AB55" s="59"/>
      <c r="AC55" s="59"/>
      <c r="AD55" s="59"/>
      <c r="AE55" s="59"/>
      <c r="AF55" s="59"/>
      <c r="AG55" s="59"/>
      <c r="AH55" s="59"/>
    </row>
    <row r="56" spans="2:34" ht="15.5" x14ac:dyDescent="0.35">
      <c r="B56" s="1193" t="s">
        <v>2126</v>
      </c>
      <c r="C56" s="1617"/>
      <c r="D56" s="1091" t="s">
        <v>224</v>
      </c>
      <c r="E56" s="2543" t="s">
        <v>2007</v>
      </c>
      <c r="F56" s="2543"/>
      <c r="G56" s="1620">
        <v>10</v>
      </c>
      <c r="H56" s="1620">
        <v>3</v>
      </c>
      <c r="I56" s="1620">
        <v>3</v>
      </c>
      <c r="J56" s="1620">
        <v>150</v>
      </c>
      <c r="K56" s="1631" t="str">
        <f>H51</f>
        <v>tonnes of element per annum</v>
      </c>
      <c r="M56" s="58"/>
      <c r="AA56" s="59"/>
      <c r="AB56" s="59"/>
      <c r="AC56" s="59"/>
      <c r="AD56" s="59"/>
      <c r="AE56" s="59"/>
      <c r="AF56" s="59"/>
      <c r="AG56" s="59"/>
      <c r="AH56" s="59"/>
    </row>
    <row r="57" spans="2:34" ht="15.5" x14ac:dyDescent="0.35">
      <c r="B57" s="1193" t="s">
        <v>2127</v>
      </c>
      <c r="C57" s="1617"/>
      <c r="D57" s="1091" t="s">
        <v>224</v>
      </c>
      <c r="E57" s="2543" t="s">
        <v>2008</v>
      </c>
      <c r="F57" s="2543"/>
      <c r="G57" s="1628"/>
      <c r="H57" s="1628"/>
      <c r="I57" s="1628"/>
      <c r="J57" s="1628"/>
      <c r="K57" s="1631" t="str">
        <f>H51</f>
        <v>tonnes of element per annum</v>
      </c>
      <c r="M57" s="58"/>
      <c r="AA57" s="59"/>
      <c r="AB57" s="59"/>
      <c r="AC57" s="59"/>
      <c r="AD57" s="59"/>
      <c r="AE57" s="59"/>
      <c r="AF57" s="59"/>
      <c r="AG57" s="59"/>
      <c r="AH57" s="59"/>
    </row>
    <row r="58" spans="2:34" ht="15.5" x14ac:dyDescent="0.35">
      <c r="B58" s="481"/>
      <c r="C58" s="644"/>
      <c r="D58" s="1224"/>
      <c r="E58" s="644"/>
      <c r="F58" s="644"/>
      <c r="G58" s="644"/>
      <c r="H58" s="644"/>
      <c r="I58" s="1224"/>
      <c r="J58" s="1224"/>
      <c r="K58" s="842"/>
      <c r="M58" s="58"/>
      <c r="AA58" s="59"/>
      <c r="AB58" s="59"/>
      <c r="AC58" s="59"/>
      <c r="AD58" s="59"/>
      <c r="AE58" s="59"/>
      <c r="AF58" s="59"/>
      <c r="AG58" s="59"/>
      <c r="AH58" s="59"/>
    </row>
    <row r="59" spans="2:34" ht="17.5" x14ac:dyDescent="0.35">
      <c r="B59" s="1646" t="s">
        <v>855</v>
      </c>
      <c r="C59" s="451"/>
      <c r="D59" s="642"/>
      <c r="E59" s="642"/>
      <c r="F59" s="642"/>
      <c r="G59" s="642"/>
      <c r="H59" s="642"/>
      <c r="I59" s="642"/>
      <c r="J59" s="642"/>
      <c r="K59" s="1505"/>
      <c r="M59" s="770"/>
      <c r="AA59" s="59"/>
      <c r="AB59" s="59"/>
      <c r="AC59" s="59"/>
      <c r="AD59" s="59"/>
      <c r="AE59" s="59"/>
      <c r="AF59" s="59"/>
      <c r="AG59" s="59"/>
      <c r="AH59" s="59"/>
    </row>
    <row r="60" spans="2:34" ht="15.5" x14ac:dyDescent="0.35">
      <c r="B60" s="1195" t="s">
        <v>795</v>
      </c>
      <c r="C60" s="730">
        <v>175000</v>
      </c>
      <c r="D60" s="1624" t="s">
        <v>599</v>
      </c>
      <c r="E60" s="2535" t="s">
        <v>929</v>
      </c>
      <c r="F60" s="2535"/>
      <c r="G60" s="2536" t="s">
        <v>1497</v>
      </c>
      <c r="H60" s="2536"/>
      <c r="I60" s="1491"/>
      <c r="J60" s="1619"/>
      <c r="K60" s="842"/>
      <c r="M60" s="58"/>
      <c r="AA60" s="59"/>
      <c r="AB60" s="59"/>
      <c r="AC60" s="59"/>
      <c r="AD60" s="59"/>
      <c r="AE60" s="59"/>
      <c r="AF60" s="59"/>
      <c r="AG60" s="59"/>
      <c r="AH60" s="59"/>
    </row>
    <row r="61" spans="2:34" ht="15.5" x14ac:dyDescent="0.35">
      <c r="B61" s="1195" t="s">
        <v>801</v>
      </c>
      <c r="C61" s="730">
        <v>15000</v>
      </c>
      <c r="D61" s="1624" t="s">
        <v>1159</v>
      </c>
      <c r="E61" s="2535" t="s">
        <v>2130</v>
      </c>
      <c r="F61" s="2535"/>
      <c r="G61" s="2594">
        <v>10</v>
      </c>
      <c r="H61" s="2594"/>
      <c r="I61" s="1094" t="s">
        <v>222</v>
      </c>
      <c r="J61" s="1094"/>
      <c r="K61" s="842"/>
      <c r="M61" s="58"/>
      <c r="AA61" s="59"/>
      <c r="AB61" s="59"/>
      <c r="AC61" s="59"/>
      <c r="AD61" s="59"/>
      <c r="AE61" s="59"/>
      <c r="AF61" s="59"/>
      <c r="AG61" s="59"/>
      <c r="AH61" s="59"/>
    </row>
    <row r="62" spans="2:34" s="993" customFormat="1" ht="15.5" x14ac:dyDescent="0.35">
      <c r="B62" s="1214"/>
      <c r="C62" s="1641"/>
      <c r="D62" s="1641"/>
      <c r="E62" s="1632"/>
      <c r="F62" s="1632"/>
      <c r="G62" s="1641"/>
      <c r="H62" s="1641"/>
      <c r="I62" s="1523"/>
      <c r="J62" s="1523"/>
      <c r="K62" s="1629"/>
      <c r="M62" s="995"/>
      <c r="AA62" s="996"/>
      <c r="AB62" s="996"/>
      <c r="AC62" s="996"/>
      <c r="AD62" s="996"/>
      <c r="AE62" s="996"/>
      <c r="AF62" s="996"/>
      <c r="AG62" s="996"/>
      <c r="AH62" s="996"/>
    </row>
    <row r="63" spans="2:34" ht="17.5" x14ac:dyDescent="0.35">
      <c r="B63" s="1222" t="s">
        <v>827</v>
      </c>
      <c r="C63" s="1091"/>
      <c r="D63" s="1091"/>
      <c r="E63" s="1091"/>
      <c r="F63" s="1091"/>
      <c r="G63" s="434"/>
      <c r="H63" s="434"/>
      <c r="I63" s="1094"/>
      <c r="J63" s="1094"/>
      <c r="K63" s="842"/>
    </row>
    <row r="64" spans="2:34" ht="15.5" x14ac:dyDescent="0.35">
      <c r="B64" s="421" t="s">
        <v>1092</v>
      </c>
      <c r="C64" s="835">
        <v>200</v>
      </c>
      <c r="D64" s="444" t="s">
        <v>1160</v>
      </c>
      <c r="E64" s="2538" t="s">
        <v>823</v>
      </c>
      <c r="F64" s="2538"/>
      <c r="G64" s="2593"/>
      <c r="H64" s="2593"/>
      <c r="I64" s="1197" t="s">
        <v>1160</v>
      </c>
      <c r="J64" s="1197"/>
      <c r="K64" s="842"/>
    </row>
    <row r="65" spans="1:34" ht="15.5" x14ac:dyDescent="0.35">
      <c r="B65" s="438"/>
      <c r="C65" s="712"/>
      <c r="D65" s="434"/>
      <c r="E65" s="434"/>
      <c r="F65" s="434"/>
      <c r="G65" s="434"/>
      <c r="H65" s="434"/>
      <c r="I65" s="1094"/>
      <c r="J65" s="1094"/>
      <c r="K65" s="842"/>
    </row>
    <row r="66" spans="1:34" ht="15.5" x14ac:dyDescent="0.35">
      <c r="B66" s="438" t="s">
        <v>824</v>
      </c>
      <c r="C66" s="835"/>
      <c r="D66" s="444" t="s">
        <v>1160</v>
      </c>
      <c r="E66" s="2538" t="s">
        <v>825</v>
      </c>
      <c r="F66" s="2538"/>
      <c r="G66" s="2593"/>
      <c r="H66" s="2593"/>
      <c r="I66" s="1197" t="s">
        <v>1160</v>
      </c>
      <c r="J66" s="1197"/>
      <c r="K66" s="842"/>
    </row>
    <row r="67" spans="1:34" ht="15.5" x14ac:dyDescent="0.35">
      <c r="B67" s="438"/>
      <c r="C67" s="712"/>
      <c r="D67" s="434"/>
      <c r="E67" s="434"/>
      <c r="F67" s="434"/>
      <c r="G67" s="434"/>
      <c r="H67" s="434"/>
      <c r="I67" s="1094"/>
      <c r="J67" s="1094"/>
      <c r="K67" s="842"/>
    </row>
    <row r="68" spans="1:34" ht="15.5" x14ac:dyDescent="0.35">
      <c r="B68" s="650" t="s">
        <v>826</v>
      </c>
      <c r="C68" s="835">
        <v>700</v>
      </c>
      <c r="D68" s="444" t="s">
        <v>1160</v>
      </c>
      <c r="E68" s="434" t="s">
        <v>940</v>
      </c>
      <c r="F68" s="434"/>
      <c r="G68" s="2593">
        <v>180</v>
      </c>
      <c r="H68" s="2593"/>
      <c r="I68" s="1197" t="s">
        <v>1160</v>
      </c>
      <c r="J68" s="1197"/>
      <c r="K68" s="842"/>
    </row>
    <row r="69" spans="1:34" ht="15.5" x14ac:dyDescent="0.35">
      <c r="B69" s="651"/>
      <c r="C69" s="325"/>
      <c r="D69" s="325"/>
      <c r="E69" s="325"/>
      <c r="F69" s="325"/>
      <c r="G69" s="325"/>
      <c r="H69" s="325"/>
      <c r="I69" s="1501"/>
      <c r="J69" s="1094"/>
      <c r="K69" s="842"/>
    </row>
    <row r="70" spans="1:34" s="879" customFormat="1" ht="17.5" x14ac:dyDescent="0.35">
      <c r="B70" s="461" t="s">
        <v>796</v>
      </c>
      <c r="C70" s="377"/>
      <c r="D70" s="377"/>
      <c r="E70" s="326"/>
      <c r="F70" s="376"/>
      <c r="G70" s="327"/>
      <c r="H70" s="435"/>
      <c r="I70" s="326"/>
      <c r="J70" s="326"/>
      <c r="K70" s="1505"/>
    </row>
    <row r="71" spans="1:34" s="879" customFormat="1" ht="15.5" x14ac:dyDescent="0.35">
      <c r="B71" s="1193" t="s">
        <v>1008</v>
      </c>
      <c r="C71" s="2540" t="s">
        <v>933</v>
      </c>
      <c r="D71" s="2540"/>
      <c r="E71" s="1094"/>
      <c r="F71" s="2535" t="str">
        <f>IF(U200=3,"Amount of carbon sequestered using other tools","")</f>
        <v/>
      </c>
      <c r="G71" s="2535"/>
      <c r="H71" s="1564"/>
      <c r="I71" s="1563" t="str">
        <f>IF(U200=3,"t CO2e/ha.annum","")</f>
        <v/>
      </c>
      <c r="J71" s="1623"/>
      <c r="K71" s="842"/>
    </row>
    <row r="72" spans="1:34" s="879" customFormat="1" ht="15.5" x14ac:dyDescent="0.35">
      <c r="B72" s="883"/>
      <c r="C72" s="419"/>
      <c r="D72" s="1091"/>
      <c r="E72" s="1094"/>
      <c r="F72" s="1095"/>
      <c r="G72" s="1095"/>
      <c r="H72" s="1091"/>
      <c r="I72" s="1094"/>
      <c r="J72" s="1094"/>
      <c r="K72" s="842"/>
    </row>
    <row r="73" spans="1:34" s="879" customFormat="1" ht="15.5" x14ac:dyDescent="0.35">
      <c r="B73" s="1568" t="s">
        <v>869</v>
      </c>
      <c r="C73" s="2542" t="s">
        <v>1556</v>
      </c>
      <c r="D73" s="2542"/>
      <c r="E73" s="1094"/>
      <c r="F73" s="1095"/>
      <c r="G73" s="1095"/>
      <c r="H73" s="1091"/>
      <c r="I73" s="1094"/>
      <c r="J73" s="1094"/>
      <c r="K73" s="842"/>
    </row>
    <row r="74" spans="1:34" s="879" customFormat="1" ht="15.5" x14ac:dyDescent="0.35">
      <c r="B74" s="1571"/>
      <c r="C74" s="1095"/>
      <c r="D74" s="1091"/>
      <c r="E74" s="1094"/>
      <c r="F74" s="1095"/>
      <c r="G74" s="1095"/>
      <c r="H74" s="1091"/>
      <c r="I74" s="1094"/>
      <c r="J74" s="1094"/>
      <c r="K74" s="842"/>
    </row>
    <row r="75" spans="1:34" s="879" customFormat="1" ht="15.5" x14ac:dyDescent="0.35">
      <c r="B75" s="456" t="s">
        <v>555</v>
      </c>
      <c r="C75" s="2541" t="s">
        <v>1624</v>
      </c>
      <c r="D75" s="2541"/>
      <c r="E75" s="1095"/>
      <c r="F75" s="1095"/>
      <c r="G75" s="1095"/>
      <c r="H75" s="1091"/>
      <c r="I75" s="1094"/>
      <c r="J75" s="1094"/>
      <c r="K75" s="842"/>
    </row>
    <row r="76" spans="1:34" s="879" customFormat="1" ht="15.5" x14ac:dyDescent="0.35">
      <c r="B76" s="883"/>
      <c r="C76" s="419"/>
      <c r="D76" s="1091"/>
      <c r="E76" s="1094"/>
      <c r="F76" s="1095"/>
      <c r="G76" s="1095"/>
      <c r="H76" s="1091"/>
      <c r="I76" s="1094"/>
      <c r="J76" s="1094"/>
      <c r="K76" s="842"/>
    </row>
    <row r="77" spans="1:34" s="879" customFormat="1" ht="15.5" x14ac:dyDescent="0.35">
      <c r="B77" s="1195" t="s">
        <v>1567</v>
      </c>
      <c r="C77" s="2541" t="s">
        <v>1654</v>
      </c>
      <c r="D77" s="2541"/>
      <c r="E77" s="1095"/>
      <c r="F77" s="1479" t="s">
        <v>1568</v>
      </c>
      <c r="G77" s="898">
        <v>10</v>
      </c>
      <c r="H77" s="1231" t="s">
        <v>1569</v>
      </c>
      <c r="I77" s="1489">
        <v>15</v>
      </c>
      <c r="J77" s="1094"/>
      <c r="K77" s="842"/>
      <c r="M77" s="440"/>
      <c r="AA77" s="880"/>
      <c r="AB77" s="880"/>
      <c r="AC77" s="880"/>
      <c r="AD77" s="880"/>
      <c r="AE77" s="880"/>
      <c r="AF77" s="880"/>
      <c r="AG77" s="880"/>
      <c r="AH77" s="880"/>
    </row>
    <row r="78" spans="1:34" s="879" customFormat="1" ht="15.5" x14ac:dyDescent="0.35">
      <c r="B78" s="1093"/>
      <c r="C78" s="417"/>
      <c r="D78" s="1091"/>
      <c r="E78" s="376"/>
      <c r="F78" s="1094"/>
      <c r="G78" s="1095"/>
      <c r="H78" s="1091"/>
      <c r="I78" s="1094"/>
      <c r="J78" s="1094"/>
      <c r="K78" s="842"/>
      <c r="M78" s="440"/>
      <c r="AA78" s="880"/>
      <c r="AB78" s="880"/>
      <c r="AC78" s="880"/>
      <c r="AD78" s="880"/>
      <c r="AE78" s="880"/>
      <c r="AF78" s="880"/>
      <c r="AG78" s="880"/>
      <c r="AH78" s="880"/>
    </row>
    <row r="79" spans="1:34" ht="17.5" x14ac:dyDescent="0.35">
      <c r="A79" s="59"/>
      <c r="B79" s="641" t="s">
        <v>861</v>
      </c>
      <c r="C79" s="642"/>
      <c r="D79" s="642"/>
      <c r="E79" s="642"/>
      <c r="F79" s="642"/>
      <c r="G79" s="642"/>
      <c r="H79" s="642"/>
      <c r="I79" s="642"/>
      <c r="J79" s="642"/>
      <c r="K79" s="1511"/>
      <c r="N79" s="58"/>
    </row>
    <row r="80" spans="1:34" ht="15.5" x14ac:dyDescent="0.35">
      <c r="A80" s="59"/>
      <c r="B80" s="439"/>
      <c r="C80" s="2572" t="s">
        <v>863</v>
      </c>
      <c r="D80" s="2572"/>
      <c r="E80" s="2572"/>
      <c r="F80" s="2530" t="s">
        <v>865</v>
      </c>
      <c r="G80" s="2530"/>
      <c r="H80" s="834" t="s">
        <v>1222</v>
      </c>
      <c r="I80" s="1502">
        <f>D236</f>
        <v>4.4586708618669162</v>
      </c>
      <c r="J80" s="1638" t="s">
        <v>2009</v>
      </c>
      <c r="K80" s="1527"/>
      <c r="N80" s="58"/>
    </row>
    <row r="81" spans="1:34" ht="15.65" customHeight="1" x14ac:dyDescent="0.35">
      <c r="A81" s="59"/>
      <c r="B81" s="2571" t="s">
        <v>909</v>
      </c>
      <c r="C81" s="644"/>
      <c r="D81" s="644"/>
      <c r="E81" s="644"/>
      <c r="F81" s="644"/>
      <c r="G81" s="644"/>
      <c r="H81" s="644"/>
      <c r="I81" s="1224"/>
      <c r="J81" s="1224"/>
      <c r="K81" s="841"/>
      <c r="N81" s="58"/>
    </row>
    <row r="82" spans="1:34" ht="15.5" x14ac:dyDescent="0.35">
      <c r="A82" s="59"/>
      <c r="B82" s="2571"/>
      <c r="C82" s="864" t="s">
        <v>1235</v>
      </c>
      <c r="D82" s="864" t="s">
        <v>1236</v>
      </c>
      <c r="E82" s="864" t="s">
        <v>1237</v>
      </c>
      <c r="F82" s="864" t="s">
        <v>226</v>
      </c>
      <c r="G82" s="864" t="s">
        <v>1322</v>
      </c>
      <c r="H82" s="445"/>
      <c r="I82" s="1198"/>
      <c r="J82" s="1198"/>
      <c r="K82" s="841"/>
      <c r="N82" s="58"/>
    </row>
    <row r="83" spans="1:34" ht="15.5" x14ac:dyDescent="0.35">
      <c r="A83" s="59"/>
      <c r="B83" s="438" t="s">
        <v>451</v>
      </c>
      <c r="C83" s="470">
        <f>IF($AD$192=1,AK216,AK217)</f>
        <v>11.6</v>
      </c>
      <c r="D83" s="865">
        <f>IF($AD$192=1,AL216,AL217)</f>
        <v>1.1000000000000001</v>
      </c>
      <c r="E83" s="865">
        <f>IF($AD$192=1,AM216,AM217)</f>
        <v>0.55000000000000004</v>
      </c>
      <c r="F83" s="865">
        <f>IF($AD$192=1,AO216,AO217)</f>
        <v>2.46</v>
      </c>
      <c r="G83" s="865">
        <f>IF($AD$192=1,AJ216,AJ217)</f>
        <v>84.29</v>
      </c>
      <c r="H83" s="470"/>
      <c r="I83" s="1202"/>
      <c r="J83" s="1202"/>
      <c r="K83" s="841"/>
      <c r="N83" s="58"/>
    </row>
    <row r="84" spans="1:34" ht="15.5" x14ac:dyDescent="0.35">
      <c r="A84" s="59"/>
      <c r="B84" s="438" t="s">
        <v>862</v>
      </c>
      <c r="C84" s="865">
        <f>IF($AD$192=1,AK219,AK220)</f>
        <v>0</v>
      </c>
      <c r="D84" s="865">
        <f>IF($AD$192=1,AL219,AL220)</f>
        <v>0</v>
      </c>
      <c r="E84" s="865">
        <f>IF($AD$192=1,AM219,AM220)</f>
        <v>0</v>
      </c>
      <c r="F84" s="865">
        <f>IF($AD$192=1,AO219,AO220)</f>
        <v>0</v>
      </c>
      <c r="G84" s="865">
        <f>IF($AD$192=1,AJ219,AJ220)</f>
        <v>100</v>
      </c>
      <c r="H84" s="470"/>
      <c r="I84" s="1202"/>
      <c r="J84" s="1202"/>
      <c r="K84" s="841"/>
      <c r="N84" s="58"/>
    </row>
    <row r="85" spans="1:34" ht="15.5" x14ac:dyDescent="0.35">
      <c r="A85" s="59"/>
      <c r="B85" s="439"/>
      <c r="C85" s="644"/>
      <c r="D85" s="644"/>
      <c r="E85" s="644"/>
      <c r="F85" s="644"/>
      <c r="G85" s="644"/>
      <c r="H85" s="644"/>
      <c r="I85" s="1224"/>
      <c r="J85" s="1224"/>
      <c r="K85" s="841"/>
      <c r="N85" s="58"/>
    </row>
    <row r="86" spans="1:34" ht="15.65" customHeight="1" x14ac:dyDescent="0.35">
      <c r="A86" s="59"/>
      <c r="B86" s="2585" t="s">
        <v>2063</v>
      </c>
      <c r="C86" s="2586"/>
      <c r="D86" s="2586"/>
      <c r="E86" s="2586"/>
      <c r="F86" s="2586"/>
      <c r="G86" s="2586"/>
      <c r="H86" s="2586"/>
      <c r="I86" s="2586"/>
      <c r="J86" s="1625"/>
      <c r="K86" s="841"/>
      <c r="N86" s="58"/>
    </row>
    <row r="87" spans="1:34" ht="15.65" customHeight="1" x14ac:dyDescent="0.35">
      <c r="A87" s="59"/>
      <c r="B87" s="2585"/>
      <c r="C87" s="2586"/>
      <c r="D87" s="2586"/>
      <c r="E87" s="2586"/>
      <c r="F87" s="2586"/>
      <c r="G87" s="2586"/>
      <c r="H87" s="2586"/>
      <c r="I87" s="2586"/>
      <c r="J87" s="1625"/>
      <c r="K87" s="841"/>
      <c r="N87" s="58"/>
    </row>
    <row r="88" spans="1:34" ht="16.5" x14ac:dyDescent="0.35">
      <c r="A88" s="59"/>
      <c r="B88" s="2585"/>
      <c r="C88" s="2586"/>
      <c r="D88" s="2586"/>
      <c r="E88" s="2586"/>
      <c r="F88" s="2586"/>
      <c r="G88" s="2586"/>
      <c r="H88" s="2586"/>
      <c r="I88" s="2586"/>
      <c r="J88" s="1625"/>
      <c r="K88" s="841"/>
      <c r="N88" s="58"/>
    </row>
    <row r="89" spans="1:34" ht="16.5" x14ac:dyDescent="0.35">
      <c r="A89" s="59"/>
      <c r="B89" s="716"/>
      <c r="C89" s="717"/>
      <c r="D89" s="717"/>
      <c r="E89" s="717"/>
      <c r="F89" s="717"/>
      <c r="G89" s="717"/>
      <c r="H89" s="717"/>
      <c r="I89" s="1492"/>
      <c r="J89" s="1625"/>
      <c r="K89" s="841"/>
      <c r="N89" s="58"/>
    </row>
    <row r="90" spans="1:34" s="59" customFormat="1" ht="15.5" x14ac:dyDescent="0.35">
      <c r="A90" s="5"/>
      <c r="B90" s="439" t="s">
        <v>451</v>
      </c>
      <c r="C90" s="434"/>
      <c r="D90" s="434"/>
      <c r="E90" s="434"/>
      <c r="F90" s="434"/>
      <c r="G90" s="445" t="s">
        <v>870</v>
      </c>
      <c r="H90" s="445" t="s">
        <v>871</v>
      </c>
      <c r="I90" s="1091"/>
      <c r="J90" s="1091"/>
      <c r="K90" s="842"/>
      <c r="L90" s="5"/>
      <c r="M90" s="5"/>
      <c r="N90" s="5"/>
      <c r="O90" s="5"/>
      <c r="P90" s="5"/>
      <c r="Q90" s="5"/>
      <c r="R90" s="5"/>
      <c r="S90" s="5"/>
      <c r="T90" s="5"/>
      <c r="U90" s="5"/>
      <c r="V90" s="5"/>
      <c r="W90" s="5"/>
      <c r="X90" s="5"/>
      <c r="Y90" s="5"/>
      <c r="Z90" s="5"/>
      <c r="AA90" s="5"/>
      <c r="AB90" s="5"/>
      <c r="AC90" s="5"/>
      <c r="AD90" s="5"/>
      <c r="AE90" s="5"/>
      <c r="AF90" s="5"/>
      <c r="AG90" s="5"/>
      <c r="AH90" s="5"/>
    </row>
    <row r="91" spans="1:34" s="59" customFormat="1" ht="15.5" x14ac:dyDescent="0.35">
      <c r="A91" s="5"/>
      <c r="B91" s="421" t="s">
        <v>1223</v>
      </c>
      <c r="C91" s="434"/>
      <c r="D91" s="434"/>
      <c r="E91" s="434"/>
      <c r="F91" s="652"/>
      <c r="G91" s="1710"/>
      <c r="H91" s="1710"/>
      <c r="I91" s="1091"/>
      <c r="J91" s="1091"/>
      <c r="K91" s="842"/>
      <c r="L91" s="5"/>
      <c r="M91" s="5"/>
      <c r="N91" s="5"/>
      <c r="O91" s="5"/>
      <c r="P91" s="5"/>
      <c r="Q91" s="5"/>
      <c r="R91" s="5"/>
      <c r="S91" s="5"/>
      <c r="T91" s="5"/>
      <c r="U91" s="5"/>
      <c r="V91" s="5"/>
      <c r="W91" s="5"/>
      <c r="X91" s="5"/>
      <c r="Y91" s="5"/>
      <c r="Z91" s="5"/>
      <c r="AA91" s="5"/>
      <c r="AB91" s="5"/>
      <c r="AC91" s="5"/>
      <c r="AD91" s="5"/>
      <c r="AE91" s="5"/>
      <c r="AF91" s="5"/>
      <c r="AG91" s="5"/>
      <c r="AH91" s="5"/>
    </row>
    <row r="92" spans="1:34" s="59" customFormat="1" ht="15.5" x14ac:dyDescent="0.35">
      <c r="A92" s="5"/>
      <c r="B92" s="421"/>
      <c r="C92" s="434"/>
      <c r="D92" s="434"/>
      <c r="E92" s="434"/>
      <c r="F92" s="434"/>
      <c r="G92" s="434"/>
      <c r="H92" s="648"/>
      <c r="I92" s="1091"/>
      <c r="J92" s="1091"/>
      <c r="K92" s="842"/>
      <c r="L92" s="5"/>
      <c r="M92" s="5"/>
      <c r="N92" s="5"/>
      <c r="O92" s="5"/>
      <c r="P92" s="5"/>
      <c r="Q92" s="5"/>
      <c r="R92" s="5"/>
      <c r="S92" s="5"/>
      <c r="T92" s="5"/>
      <c r="U92" s="5"/>
      <c r="V92" s="5"/>
      <c r="W92" s="5"/>
      <c r="X92" s="5"/>
      <c r="Y92" s="5"/>
      <c r="Z92" s="5"/>
      <c r="AA92" s="5"/>
      <c r="AB92" s="5"/>
      <c r="AC92" s="5"/>
      <c r="AD92" s="5"/>
      <c r="AE92" s="5"/>
      <c r="AF92" s="5"/>
      <c r="AG92" s="5"/>
      <c r="AH92" s="5"/>
    </row>
    <row r="93" spans="1:34" s="59" customFormat="1" ht="15.5" x14ac:dyDescent="0.35">
      <c r="A93" s="5"/>
      <c r="B93" s="863" t="s">
        <v>1240</v>
      </c>
      <c r="C93" s="712"/>
      <c r="D93" s="712"/>
      <c r="E93" s="712"/>
      <c r="F93" s="323"/>
      <c r="G93" s="1710">
        <v>0</v>
      </c>
      <c r="H93" s="748" t="s">
        <v>222</v>
      </c>
      <c r="I93" s="1491"/>
      <c r="J93" s="1619"/>
      <c r="K93" s="842"/>
      <c r="L93" s="5"/>
      <c r="M93" s="5"/>
      <c r="N93" s="5"/>
      <c r="O93" s="5"/>
      <c r="P93" s="5"/>
      <c r="Q93" s="5"/>
      <c r="R93" s="5"/>
      <c r="S93" s="5"/>
      <c r="T93" s="5"/>
      <c r="U93" s="5"/>
      <c r="V93" s="5"/>
      <c r="W93" s="5"/>
      <c r="X93" s="5"/>
      <c r="Y93" s="5"/>
      <c r="Z93" s="5"/>
      <c r="AA93" s="5"/>
      <c r="AB93" s="5"/>
      <c r="AC93" s="5"/>
      <c r="AD93" s="5"/>
      <c r="AE93" s="5"/>
      <c r="AF93" s="5"/>
      <c r="AG93" s="5"/>
      <c r="AH93" s="5"/>
    </row>
    <row r="94" spans="1:34" s="857" customFormat="1" ht="15.5" x14ac:dyDescent="0.35">
      <c r="A94" s="856"/>
      <c r="B94" s="861" t="s">
        <v>1540</v>
      </c>
      <c r="C94" s="859"/>
      <c r="D94" s="859"/>
      <c r="E94" s="859"/>
      <c r="F94" s="858"/>
      <c r="G94" s="1710">
        <v>0</v>
      </c>
      <c r="H94" s="860" t="s">
        <v>222</v>
      </c>
      <c r="I94" s="1491"/>
      <c r="J94" s="1619"/>
      <c r="K94" s="842"/>
      <c r="L94" s="856"/>
      <c r="M94" s="856"/>
      <c r="N94" s="856"/>
      <c r="O94" s="856"/>
      <c r="P94" s="856"/>
      <c r="Q94" s="856"/>
      <c r="R94" s="856"/>
      <c r="S94" s="856"/>
      <c r="T94" s="856"/>
      <c r="U94" s="856"/>
      <c r="V94" s="856"/>
      <c r="W94" s="856"/>
      <c r="X94" s="856"/>
      <c r="Y94" s="856"/>
      <c r="Z94" s="856"/>
      <c r="AA94" s="856"/>
      <c r="AB94" s="856"/>
      <c r="AC94" s="856"/>
      <c r="AD94" s="856"/>
      <c r="AE94" s="856"/>
      <c r="AF94" s="856"/>
      <c r="AG94" s="856"/>
      <c r="AH94" s="856"/>
    </row>
    <row r="95" spans="1:34" s="857" customFormat="1" ht="15.5" x14ac:dyDescent="0.35">
      <c r="A95" s="856"/>
      <c r="B95" s="862" t="s">
        <v>1239</v>
      </c>
      <c r="C95" s="859"/>
      <c r="D95" s="859"/>
      <c r="E95" s="859"/>
      <c r="F95" s="858"/>
      <c r="G95" s="854">
        <f>100-SUM(G93:G94)</f>
        <v>100</v>
      </c>
      <c r="H95" s="860" t="s">
        <v>222</v>
      </c>
      <c r="I95" s="1491"/>
      <c r="J95" s="1619"/>
      <c r="K95" s="842"/>
      <c r="L95" s="856"/>
      <c r="M95" s="856"/>
      <c r="N95" s="856"/>
      <c r="O95" s="856"/>
      <c r="P95" s="856"/>
      <c r="Q95" s="856"/>
      <c r="R95" s="856"/>
      <c r="S95" s="856"/>
      <c r="T95" s="856"/>
      <c r="U95" s="856"/>
      <c r="V95" s="856"/>
      <c r="W95" s="856"/>
      <c r="X95" s="856"/>
      <c r="Y95" s="856"/>
      <c r="Z95" s="856"/>
      <c r="AA95" s="856"/>
      <c r="AB95" s="856"/>
      <c r="AC95" s="856"/>
      <c r="AD95" s="856"/>
      <c r="AE95" s="856"/>
      <c r="AF95" s="856"/>
      <c r="AG95" s="856"/>
      <c r="AH95" s="856"/>
    </row>
    <row r="96" spans="1:34" s="59" customFormat="1" ht="15.5" x14ac:dyDescent="0.35">
      <c r="A96" s="5"/>
      <c r="B96" s="439"/>
      <c r="C96" s="712"/>
      <c r="D96" s="712"/>
      <c r="E96" s="712"/>
      <c r="F96" s="323"/>
      <c r="G96" s="712"/>
      <c r="H96" s="712"/>
      <c r="I96" s="1491"/>
      <c r="J96" s="1619"/>
      <c r="K96" s="842"/>
      <c r="L96" s="5"/>
      <c r="M96" s="5"/>
      <c r="N96" s="5"/>
      <c r="O96" s="5"/>
      <c r="P96" s="5"/>
      <c r="Q96" s="5"/>
      <c r="R96" s="5"/>
      <c r="S96" s="5"/>
      <c r="T96" s="5"/>
      <c r="U96" s="5"/>
      <c r="V96" s="5"/>
      <c r="W96" s="5"/>
      <c r="X96" s="5"/>
      <c r="Y96" s="5"/>
      <c r="Z96" s="5"/>
      <c r="AA96" s="5"/>
      <c r="AB96" s="5"/>
      <c r="AC96" s="5"/>
      <c r="AD96" s="5"/>
      <c r="AE96" s="5"/>
      <c r="AF96" s="5"/>
      <c r="AG96" s="5"/>
      <c r="AH96" s="5"/>
    </row>
    <row r="97" spans="1:34" s="59" customFormat="1" ht="15.5" x14ac:dyDescent="0.35">
      <c r="A97" s="5"/>
      <c r="B97" s="438" t="s">
        <v>1541</v>
      </c>
      <c r="C97" s="712"/>
      <c r="D97" s="712"/>
      <c r="E97" s="712"/>
      <c r="F97" s="323"/>
      <c r="G97" s="1710"/>
      <c r="H97" s="712"/>
      <c r="I97" s="1491"/>
      <c r="J97" s="1619"/>
      <c r="K97" s="842"/>
      <c r="L97" s="5"/>
      <c r="M97" s="5"/>
      <c r="N97" s="5"/>
      <c r="O97" s="5"/>
      <c r="P97" s="5"/>
      <c r="Q97" s="5"/>
      <c r="R97" s="5"/>
      <c r="S97" s="5"/>
      <c r="T97" s="5"/>
      <c r="U97" s="5"/>
      <c r="V97" s="5"/>
      <c r="W97" s="5"/>
      <c r="X97" s="5"/>
      <c r="Y97" s="5"/>
      <c r="Z97" s="5"/>
      <c r="AA97" s="5"/>
      <c r="AB97" s="5"/>
      <c r="AC97" s="5"/>
      <c r="AD97" s="5"/>
      <c r="AE97" s="5"/>
      <c r="AF97" s="5"/>
      <c r="AG97" s="5"/>
      <c r="AH97" s="5"/>
    </row>
    <row r="98" spans="1:34" s="59" customFormat="1" ht="15.5" x14ac:dyDescent="0.35">
      <c r="A98" s="5"/>
      <c r="B98" s="438"/>
      <c r="C98" s="712"/>
      <c r="D98" s="712"/>
      <c r="E98" s="712"/>
      <c r="F98" s="712"/>
      <c r="G98" s="445" t="s">
        <v>870</v>
      </c>
      <c r="H98" s="460" t="s">
        <v>871</v>
      </c>
      <c r="I98" s="1491"/>
      <c r="J98" s="1619"/>
      <c r="K98" s="842"/>
      <c r="L98" s="5"/>
      <c r="M98" s="5"/>
      <c r="N98" s="5"/>
      <c r="O98" s="5"/>
      <c r="P98" s="5"/>
      <c r="Q98" s="5"/>
      <c r="R98" s="5"/>
      <c r="S98" s="5"/>
      <c r="T98" s="5"/>
      <c r="U98" s="5"/>
      <c r="V98" s="5"/>
      <c r="W98" s="5"/>
      <c r="X98" s="5"/>
      <c r="Y98" s="5"/>
      <c r="Z98" s="5"/>
      <c r="AA98" s="5"/>
      <c r="AB98" s="5"/>
      <c r="AC98" s="5"/>
      <c r="AD98" s="5"/>
      <c r="AE98" s="5"/>
      <c r="AF98" s="5"/>
      <c r="AG98" s="5"/>
      <c r="AH98" s="5"/>
    </row>
    <row r="99" spans="1:34" s="59" customFormat="1" ht="15.5" x14ac:dyDescent="0.35">
      <c r="A99" s="5"/>
      <c r="B99" s="438" t="s">
        <v>1224</v>
      </c>
      <c r="C99" s="712"/>
      <c r="D99" s="712"/>
      <c r="E99" s="712"/>
      <c r="F99" s="712"/>
      <c r="G99" s="1710"/>
      <c r="H99" s="1710"/>
      <c r="I99" s="1491"/>
      <c r="J99" s="1619"/>
      <c r="K99" s="842"/>
      <c r="L99" s="5"/>
      <c r="M99" s="5"/>
      <c r="N99" s="5"/>
      <c r="O99" s="5"/>
      <c r="P99" s="5"/>
      <c r="Q99" s="5"/>
      <c r="R99" s="5"/>
      <c r="S99" s="5"/>
      <c r="T99" s="5"/>
      <c r="U99" s="5"/>
      <c r="V99" s="5"/>
      <c r="W99" s="5"/>
      <c r="X99" s="5"/>
      <c r="Y99" s="5"/>
      <c r="Z99" s="5"/>
      <c r="AA99" s="5"/>
      <c r="AB99" s="5"/>
      <c r="AC99" s="5"/>
      <c r="AD99" s="5"/>
      <c r="AE99" s="5"/>
      <c r="AF99" s="5"/>
      <c r="AG99" s="5"/>
      <c r="AH99" s="5"/>
    </row>
    <row r="100" spans="1:34" s="59" customFormat="1" ht="15.5" x14ac:dyDescent="0.35">
      <c r="A100" s="5"/>
      <c r="B100" s="438"/>
      <c r="C100" s="712"/>
      <c r="D100" s="712"/>
      <c r="E100" s="712"/>
      <c r="F100" s="712"/>
      <c r="G100" s="712"/>
      <c r="H100" s="712"/>
      <c r="I100" s="1491"/>
      <c r="J100" s="1619"/>
      <c r="K100" s="1506"/>
      <c r="L100" s="5"/>
      <c r="M100" s="5"/>
      <c r="N100" s="5"/>
      <c r="O100" s="5"/>
      <c r="P100" s="5"/>
      <c r="Q100" s="5"/>
      <c r="R100" s="5"/>
      <c r="S100" s="5"/>
      <c r="T100" s="5"/>
      <c r="U100" s="5"/>
      <c r="V100" s="5"/>
      <c r="W100" s="5"/>
      <c r="X100" s="5"/>
      <c r="Y100" s="5"/>
      <c r="Z100" s="5"/>
      <c r="AA100" s="5"/>
      <c r="AB100" s="5"/>
      <c r="AC100" s="5"/>
      <c r="AD100" s="5"/>
      <c r="AE100" s="5"/>
      <c r="AF100" s="5"/>
      <c r="AG100" s="5"/>
      <c r="AH100" s="5"/>
    </row>
    <row r="101" spans="1:34" s="59" customFormat="1" ht="15.5" x14ac:dyDescent="0.35">
      <c r="A101" s="5"/>
      <c r="B101" s="438" t="s">
        <v>1212</v>
      </c>
      <c r="C101" s="712"/>
      <c r="D101" s="712"/>
      <c r="E101" s="323"/>
      <c r="F101" s="2540"/>
      <c r="G101" s="2540"/>
      <c r="H101" s="445" t="s">
        <v>2004</v>
      </c>
      <c r="I101" s="1503">
        <f>AQ218</f>
        <v>9.5751000000000008</v>
      </c>
      <c r="J101" s="1639" t="s">
        <v>222</v>
      </c>
      <c r="K101" s="842"/>
      <c r="L101" s="5"/>
      <c r="M101" s="5"/>
      <c r="N101" s="5"/>
      <c r="O101" s="5"/>
      <c r="P101" s="5"/>
      <c r="Q101" s="5"/>
      <c r="R101" s="5"/>
      <c r="S101" s="5"/>
      <c r="T101" s="5"/>
      <c r="U101" s="5"/>
      <c r="V101" s="5"/>
      <c r="W101" s="5"/>
      <c r="X101" s="5"/>
      <c r="Y101" s="5"/>
      <c r="Z101" s="5"/>
      <c r="AA101" s="5"/>
      <c r="AB101" s="5"/>
      <c r="AC101" s="5"/>
      <c r="AD101" s="5"/>
      <c r="AE101" s="5"/>
      <c r="AF101" s="5"/>
      <c r="AG101" s="5"/>
      <c r="AH101" s="5"/>
    </row>
    <row r="102" spans="1:34" s="59" customFormat="1" ht="15.5" x14ac:dyDescent="0.35">
      <c r="A102" s="5"/>
      <c r="B102" s="439"/>
      <c r="C102" s="712"/>
      <c r="D102" s="712"/>
      <c r="E102" s="712"/>
      <c r="F102" s="712"/>
      <c r="G102" s="712"/>
      <c r="H102" s="712"/>
      <c r="I102" s="1503"/>
      <c r="J102" s="1633"/>
      <c r="K102" s="842"/>
      <c r="L102" s="5"/>
      <c r="M102" s="5"/>
      <c r="N102" s="5"/>
      <c r="O102" s="5"/>
      <c r="P102" s="5"/>
      <c r="Q102" s="5"/>
      <c r="R102" s="5"/>
      <c r="S102" s="5"/>
      <c r="T102" s="5"/>
      <c r="U102" s="5"/>
      <c r="V102" s="5"/>
      <c r="W102" s="5"/>
      <c r="X102" s="5"/>
      <c r="Y102" s="5"/>
      <c r="Z102" s="5"/>
      <c r="AA102" s="5"/>
      <c r="AB102" s="5"/>
      <c r="AC102" s="5"/>
      <c r="AD102" s="5"/>
      <c r="AE102" s="5"/>
      <c r="AF102" s="5"/>
      <c r="AG102" s="5"/>
      <c r="AH102" s="5"/>
    </row>
    <row r="103" spans="1:34" s="59" customFormat="1" ht="15.5" x14ac:dyDescent="0.35">
      <c r="A103" s="5"/>
      <c r="B103" s="439" t="s">
        <v>876</v>
      </c>
      <c r="C103" s="712"/>
      <c r="D103" s="712"/>
      <c r="E103" s="712"/>
      <c r="F103" s="712"/>
      <c r="G103" s="445" t="s">
        <v>870</v>
      </c>
      <c r="H103" s="445" t="s">
        <v>871</v>
      </c>
      <c r="I103" s="1503"/>
      <c r="J103" s="1633"/>
      <c r="K103" s="842"/>
      <c r="L103" s="5"/>
      <c r="M103" s="5"/>
      <c r="N103" s="5"/>
      <c r="O103" s="5"/>
      <c r="P103" s="5"/>
      <c r="Q103" s="5"/>
      <c r="R103" s="5"/>
      <c r="S103" s="5"/>
      <c r="T103" s="5"/>
      <c r="U103" s="5"/>
      <c r="V103" s="5"/>
      <c r="W103" s="5"/>
      <c r="X103" s="5"/>
      <c r="Y103" s="5"/>
      <c r="Z103" s="5"/>
      <c r="AA103" s="5"/>
      <c r="AB103" s="5"/>
      <c r="AC103" s="5"/>
      <c r="AD103" s="5"/>
      <c r="AE103" s="5"/>
      <c r="AF103" s="5"/>
      <c r="AG103" s="5"/>
      <c r="AH103" s="5"/>
    </row>
    <row r="104" spans="1:34" ht="15.5" x14ac:dyDescent="0.35">
      <c r="B104" s="1193" t="s">
        <v>989</v>
      </c>
      <c r="C104" s="712"/>
      <c r="D104" s="712"/>
      <c r="E104" s="712"/>
      <c r="F104" s="712"/>
      <c r="G104" s="1710"/>
      <c r="H104" s="1710"/>
      <c r="I104" s="1503"/>
      <c r="J104" s="1633"/>
      <c r="K104" s="842"/>
    </row>
    <row r="105" spans="1:34" x14ac:dyDescent="0.35">
      <c r="B105" s="459"/>
      <c r="C105" s="653"/>
      <c r="D105" s="653"/>
      <c r="E105" s="653"/>
      <c r="F105" s="653"/>
      <c r="G105" s="653"/>
      <c r="H105" s="653"/>
      <c r="I105" s="1513"/>
      <c r="J105" s="1640"/>
      <c r="K105" s="842"/>
    </row>
    <row r="106" spans="1:34" ht="15.5" x14ac:dyDescent="0.35">
      <c r="B106" s="438" t="s">
        <v>872</v>
      </c>
      <c r="C106" s="653"/>
      <c r="D106" s="653"/>
      <c r="E106" s="648"/>
      <c r="F106" s="2530"/>
      <c r="G106" s="2530"/>
      <c r="H106" s="445" t="s">
        <v>899</v>
      </c>
      <c r="I106" s="1502">
        <f>AQ221</f>
        <v>1</v>
      </c>
      <c r="J106" s="1638" t="s">
        <v>222</v>
      </c>
      <c r="K106" s="842"/>
    </row>
    <row r="107" spans="1:34" x14ac:dyDescent="0.35">
      <c r="B107" s="654"/>
      <c r="C107" s="655"/>
      <c r="D107" s="655"/>
      <c r="E107" s="655"/>
      <c r="F107" s="655"/>
      <c r="G107" s="655"/>
      <c r="H107" s="655"/>
      <c r="I107" s="1336"/>
      <c r="J107" s="1525"/>
      <c r="K107" s="1512"/>
    </row>
    <row r="108" spans="1:34" x14ac:dyDescent="0.35">
      <c r="J108" s="1515"/>
    </row>
    <row r="109" spans="1:34" ht="15.5" x14ac:dyDescent="0.35">
      <c r="B109" s="656" t="s">
        <v>637</v>
      </c>
    </row>
    <row r="110" spans="1:34" ht="25.15" customHeight="1" x14ac:dyDescent="0.35">
      <c r="B110" s="2569"/>
      <c r="C110" s="2570"/>
      <c r="D110" s="2561" t="s">
        <v>212</v>
      </c>
      <c r="E110" s="2561" t="s">
        <v>1955</v>
      </c>
      <c r="F110" s="2561" t="s">
        <v>1956</v>
      </c>
      <c r="G110" s="2561" t="s">
        <v>1007</v>
      </c>
      <c r="H110" s="2561" t="s">
        <v>1987</v>
      </c>
      <c r="I110" s="2563" t="s">
        <v>1988</v>
      </c>
      <c r="J110" s="2561" t="s">
        <v>425</v>
      </c>
      <c r="K110" s="2563" t="s">
        <v>965</v>
      </c>
      <c r="L110" s="2559" t="s">
        <v>2072</v>
      </c>
    </row>
    <row r="111" spans="1:34" ht="25.15" customHeight="1" x14ac:dyDescent="0.35">
      <c r="B111" s="1542"/>
      <c r="C111" s="1543"/>
      <c r="D111" s="2562"/>
      <c r="E111" s="2562"/>
      <c r="F111" s="2562"/>
      <c r="G111" s="2562"/>
      <c r="H111" s="2565"/>
      <c r="I111" s="2564"/>
      <c r="J111" s="2562"/>
      <c r="K111" s="2564"/>
      <c r="L111" s="2560"/>
      <c r="M111" s="1577"/>
    </row>
    <row r="112" spans="1:34" ht="15.5" x14ac:dyDescent="0.35">
      <c r="B112" s="844" t="s">
        <v>1966</v>
      </c>
      <c r="C112" s="1216" t="s">
        <v>420</v>
      </c>
      <c r="D112" s="1375">
        <f>D224*'Emission factors'!$C$4*10^3</f>
        <v>1646.1244903783963</v>
      </c>
      <c r="E112" s="1375">
        <f>E224*'Emission factors'!$C$4*10^3</f>
        <v>181.79197400447995</v>
      </c>
      <c r="F112" s="1375">
        <f>(F224+I224)*'Emission factors'!$C$4*10^3</f>
        <v>88.90430742480001</v>
      </c>
      <c r="G112" s="1407">
        <f>G224*'Emission factors'!$C$4*10^3</f>
        <v>14.958947798927996</v>
      </c>
      <c r="H112" s="1407">
        <f>(H224+J224)*'Emission factors'!$C$4*10^3</f>
        <v>91.254977372159985</v>
      </c>
      <c r="I112" s="1407">
        <f>K224*'Emission factors'!$C$4*10^3</f>
        <v>0</v>
      </c>
      <c r="J112" s="1406"/>
      <c r="K112" s="1375">
        <f>SUM(D112:I112)</f>
        <v>2023.0346969787643</v>
      </c>
      <c r="L112" s="846">
        <f t="shared" ref="L112:L126" si="0">K112/$K$128</f>
        <v>0.5648408707137782</v>
      </c>
      <c r="M112" s="731"/>
      <c r="N112" s="1255"/>
      <c r="T112" s="58"/>
      <c r="U112" s="58"/>
      <c r="V112" s="59"/>
      <c r="W112" s="59"/>
      <c r="X112" s="59"/>
      <c r="Y112" s="59"/>
      <c r="Z112" s="59"/>
    </row>
    <row r="113" spans="1:26" ht="15.5" x14ac:dyDescent="0.35">
      <c r="B113" s="845"/>
      <c r="C113" s="994" t="s">
        <v>861</v>
      </c>
      <c r="D113" s="1407">
        <f>D249*'Emission factors'!$C$4*10^3</f>
        <v>319.67540412359375</v>
      </c>
      <c r="E113" s="1407">
        <f>E249*'Emission factors'!$C$4*10^3</f>
        <v>3.8149360850928407</v>
      </c>
      <c r="F113" s="1407">
        <f>(F249+I249)*'Emission factors'!$C$4*10^3</f>
        <v>1.885611942733382</v>
      </c>
      <c r="G113" s="1407">
        <f>G249*'Emission factors'!$C$4*10^3</f>
        <v>0.31391611244478912</v>
      </c>
      <c r="H113" s="1407">
        <f>(H249+J249)*'Emission factors'!$C$4*10^3</f>
        <v>1.9293108297865884</v>
      </c>
      <c r="I113" s="1407">
        <f>K249*'Emission factors'!$C$4*10^3</f>
        <v>0</v>
      </c>
      <c r="J113" s="1280"/>
      <c r="K113" s="1375">
        <f>SUM(D113:I113)</f>
        <v>327.61917909365133</v>
      </c>
      <c r="L113" s="846">
        <f t="shared" si="0"/>
        <v>9.1472826767703103E-2</v>
      </c>
      <c r="M113" s="1255"/>
      <c r="N113" s="1255"/>
      <c r="T113" s="58"/>
      <c r="U113" s="58"/>
      <c r="V113" s="59"/>
      <c r="W113" s="59"/>
      <c r="X113" s="59"/>
      <c r="Y113" s="59"/>
      <c r="Z113" s="59"/>
    </row>
    <row r="114" spans="1:26" ht="15.5" x14ac:dyDescent="0.35">
      <c r="A114" s="59"/>
      <c r="B114" s="844" t="s">
        <v>1967</v>
      </c>
      <c r="C114" s="994" t="s">
        <v>1330</v>
      </c>
      <c r="D114" s="1280">
        <f>D432*'Emission factors'!$C$5*10^3</f>
        <v>96.485379871604678</v>
      </c>
      <c r="E114" s="1280">
        <f>E432*'Emission factors'!$C$5*10^3</f>
        <v>15.810321629554668</v>
      </c>
      <c r="F114" s="1280">
        <f>(F432+I432)*'Emission factors'!$C$5*10^3</f>
        <v>6.8407793217094239</v>
      </c>
      <c r="G114" s="1280">
        <f>G432*'Emission factors'!$C$5*10^3</f>
        <v>1.3653202672347553</v>
      </c>
      <c r="H114" s="1280">
        <f>(H432+J432)*'Emission factors'!$C$5*10^3</f>
        <v>6.8404398434681042</v>
      </c>
      <c r="I114" s="1375">
        <f>K432*'Emission factors'!$C$5*10^3</f>
        <v>0</v>
      </c>
      <c r="J114" s="1280"/>
      <c r="K114" s="1375">
        <f>SUM(D114:I114)</f>
        <v>127.34224093357162</v>
      </c>
      <c r="L114" s="846">
        <f t="shared" si="0"/>
        <v>3.5554556901560321E-2</v>
      </c>
      <c r="M114" s="1255"/>
      <c r="N114" s="1255"/>
      <c r="O114" s="731"/>
    </row>
    <row r="115" spans="1:26" ht="15.5" x14ac:dyDescent="0.35">
      <c r="A115" s="59"/>
      <c r="B115" s="845"/>
      <c r="C115" s="994" t="s">
        <v>1332</v>
      </c>
      <c r="D115" s="1280">
        <f>(D312+D387)*'Emission factors'!$C$5*10^3</f>
        <v>34.035735719033397</v>
      </c>
      <c r="E115" s="1280">
        <f>(E312+E387)*'Emission factors'!$C$5*10^3</f>
        <v>0</v>
      </c>
      <c r="F115" s="1280">
        <f>(F312+F387+I312+I387)*'Emission factors'!$C$5*10^3</f>
        <v>0</v>
      </c>
      <c r="G115" s="1280">
        <f>(G312+G387)*'Emission factors'!$C$5*10^3</f>
        <v>0</v>
      </c>
      <c r="H115" s="1280">
        <f>(H312+H387+J312+J387)*'Emission factors'!$C$5*10^3</f>
        <v>0</v>
      </c>
      <c r="I115" s="1375">
        <f>(K312+K387)*'Emission factors'!$C$5*10^3</f>
        <v>0</v>
      </c>
      <c r="J115" s="1280"/>
      <c r="K115" s="1375">
        <f>SUM(D115:I115)</f>
        <v>34.035735719033397</v>
      </c>
      <c r="L115" s="846">
        <f t="shared" si="0"/>
        <v>9.502938643431812E-3</v>
      </c>
      <c r="M115" s="1255"/>
      <c r="N115" s="1255"/>
      <c r="O115" s="731"/>
      <c r="P115" s="58"/>
      <c r="Q115" s="58"/>
      <c r="R115" s="58"/>
      <c r="S115" s="58"/>
    </row>
    <row r="116" spans="1:26" ht="15.5" x14ac:dyDescent="0.35">
      <c r="A116" s="59"/>
      <c r="B116" s="845"/>
      <c r="C116" s="994" t="s">
        <v>1263</v>
      </c>
      <c r="D116" s="1375">
        <f>(D326+D335+D469+D503)*'Emission factors'!$C$5*10^3</f>
        <v>100.28025780561747</v>
      </c>
      <c r="E116" s="1280">
        <f>(E326+E335+E469+E503)*'Emission factors'!$C$5*10^3</f>
        <v>13.754979817712561</v>
      </c>
      <c r="F116" s="1280">
        <f>(F326+F335+F469+F503+I326+I335+I469+I503)*'Emission factors'!$C$5*10^3</f>
        <v>5.9514780098871976</v>
      </c>
      <c r="G116" s="1280">
        <f>(G326+G335+G469+G503)*'Emission factors'!$C$5*10^3</f>
        <v>1.1878286324942371</v>
      </c>
      <c r="H116" s="1280">
        <f>(H326+H335+H469+H503+J326+J335+J469+J503)*'Emission factors'!$C$5*10^3</f>
        <v>5.9511826638172494</v>
      </c>
      <c r="I116" s="1375">
        <f>(K326+K335+K469+K503)*'Emission factors'!$C$5*10^3</f>
        <v>0</v>
      </c>
      <c r="J116" s="1280"/>
      <c r="K116" s="1375">
        <f>SUM(D116:I116)</f>
        <v>127.12572692952871</v>
      </c>
      <c r="L116" s="846">
        <f t="shared" si="0"/>
        <v>3.5494105165983093E-2</v>
      </c>
      <c r="M116" s="1255"/>
      <c r="N116" s="1255"/>
      <c r="O116" s="731"/>
    </row>
    <row r="117" spans="1:26" ht="15.5" x14ac:dyDescent="0.35">
      <c r="A117" s="59"/>
      <c r="B117" s="845"/>
      <c r="C117" s="994" t="s">
        <v>424</v>
      </c>
      <c r="D117" s="1281"/>
      <c r="E117" s="1280"/>
      <c r="F117" s="1280"/>
      <c r="G117" s="1280"/>
      <c r="H117" s="1280"/>
      <c r="I117" s="1375"/>
      <c r="J117" s="1280">
        <f>C365</f>
        <v>89.323928571428553</v>
      </c>
      <c r="K117" s="1375">
        <f>J117</f>
        <v>89.323928571428553</v>
      </c>
      <c r="L117" s="846">
        <f t="shared" si="0"/>
        <v>2.4939663993509175E-2</v>
      </c>
      <c r="M117" s="1255"/>
      <c r="N117" s="1255"/>
    </row>
    <row r="118" spans="1:26" ht="15.5" x14ac:dyDescent="0.35">
      <c r="A118" s="59"/>
      <c r="B118" s="845"/>
      <c r="C118" s="994" t="s">
        <v>422</v>
      </c>
      <c r="D118" s="1281"/>
      <c r="E118" s="1280"/>
      <c r="F118" s="1280"/>
      <c r="G118" s="1280"/>
      <c r="H118" s="1280"/>
      <c r="I118" s="1375"/>
      <c r="J118" s="1280">
        <f>(SUM(D464:D465)+SUM(D498:D499))*'Emission factors'!$C$5*10^3</f>
        <v>70.542999999999992</v>
      </c>
      <c r="K118" s="1375">
        <f>J118</f>
        <v>70.542999999999992</v>
      </c>
      <c r="L118" s="846">
        <f t="shared" si="0"/>
        <v>1.9695939769232888E-2</v>
      </c>
      <c r="M118" s="1255"/>
      <c r="N118" s="1255"/>
    </row>
    <row r="119" spans="1:26" s="879" customFormat="1" ht="15.5" x14ac:dyDescent="0.35">
      <c r="A119" s="440"/>
      <c r="B119" s="844" t="s">
        <v>800</v>
      </c>
      <c r="C119" s="994" t="s">
        <v>1488</v>
      </c>
      <c r="D119" s="1363"/>
      <c r="E119" s="1363"/>
      <c r="F119" s="1363"/>
      <c r="G119" s="1365"/>
      <c r="H119" s="1363"/>
      <c r="I119" s="1363"/>
      <c r="J119" s="1377"/>
      <c r="K119" s="1375">
        <f>J530</f>
        <v>160.65</v>
      </c>
      <c r="L119" s="846">
        <f t="shared" si="0"/>
        <v>4.485424101508674E-2</v>
      </c>
      <c r="M119" s="1255"/>
      <c r="N119" s="927"/>
    </row>
    <row r="120" spans="1:26" s="879" customFormat="1" ht="15.5" x14ac:dyDescent="0.35">
      <c r="A120" s="440"/>
      <c r="B120" s="844"/>
      <c r="C120" s="994" t="s">
        <v>1489</v>
      </c>
      <c r="D120" s="1363"/>
      <c r="E120" s="1363"/>
      <c r="F120" s="1363"/>
      <c r="G120" s="1365"/>
      <c r="H120" s="1363"/>
      <c r="I120" s="1363"/>
      <c r="J120" s="1377"/>
      <c r="K120" s="1375">
        <f>J534</f>
        <v>15.750000000000002</v>
      </c>
      <c r="L120" s="846">
        <f t="shared" si="0"/>
        <v>4.39747460932223E-3</v>
      </c>
      <c r="M120" s="1255"/>
      <c r="N120" s="927"/>
    </row>
    <row r="121" spans="1:26" s="879" customFormat="1" ht="15.5" x14ac:dyDescent="0.35">
      <c r="A121" s="440"/>
      <c r="B121" s="844"/>
      <c r="C121" s="994" t="s">
        <v>1486</v>
      </c>
      <c r="D121" s="1353"/>
      <c r="E121" s="1377"/>
      <c r="F121" s="1377"/>
      <c r="G121" s="1365"/>
      <c r="H121" s="1377"/>
      <c r="I121" s="1377"/>
      <c r="J121" s="1377"/>
      <c r="K121" s="1375">
        <f>H522</f>
        <v>40.819499999999998</v>
      </c>
      <c r="L121" s="846">
        <f t="shared" si="0"/>
        <v>1.1396997766046269E-2</v>
      </c>
      <c r="M121" s="1255"/>
      <c r="N121" s="927"/>
    </row>
    <row r="122" spans="1:26" s="879" customFormat="1" ht="15.5" x14ac:dyDescent="0.35">
      <c r="A122" s="440"/>
      <c r="B122" s="844"/>
      <c r="C122" s="994" t="s">
        <v>1487</v>
      </c>
      <c r="D122" s="1353"/>
      <c r="E122" s="1377"/>
      <c r="F122" s="1377"/>
      <c r="G122" s="1365"/>
      <c r="H122" s="1377"/>
      <c r="I122" s="1377"/>
      <c r="J122" s="1377"/>
      <c r="K122" s="1375">
        <f>J522</f>
        <v>2.0844</v>
      </c>
      <c r="L122" s="846">
        <f t="shared" si="0"/>
        <v>5.8197435401087332E-4</v>
      </c>
      <c r="M122" s="1255"/>
      <c r="N122" s="927"/>
    </row>
    <row r="123" spans="1:26" s="879" customFormat="1" ht="15.5" x14ac:dyDescent="0.35">
      <c r="A123" s="440"/>
      <c r="B123" s="844"/>
      <c r="C123" s="994" t="s">
        <v>1999</v>
      </c>
      <c r="D123" s="1353"/>
      <c r="E123" s="1377"/>
      <c r="F123" s="1377"/>
      <c r="G123" s="1365"/>
      <c r="H123" s="1377"/>
      <c r="I123" s="1377"/>
      <c r="J123" s="1377"/>
      <c r="K123" s="1375">
        <f>C565+C572</f>
        <v>149.29710144927537</v>
      </c>
      <c r="L123" s="846">
        <f t="shared" si="0"/>
        <v>4.1684457959910701E-2</v>
      </c>
      <c r="M123" s="1255"/>
      <c r="N123" s="927"/>
    </row>
    <row r="124" spans="1:26" ht="15.5" x14ac:dyDescent="0.35">
      <c r="A124" s="995"/>
      <c r="B124" s="844" t="s">
        <v>1968</v>
      </c>
      <c r="C124" s="994" t="s">
        <v>845</v>
      </c>
      <c r="D124" s="1281"/>
      <c r="E124" s="1280"/>
      <c r="F124" s="1280"/>
      <c r="G124" s="1280"/>
      <c r="H124" s="1280"/>
      <c r="I124" s="1375"/>
      <c r="J124" s="1280"/>
      <c r="K124" s="1375">
        <f>E549</f>
        <v>140</v>
      </c>
      <c r="L124" s="846">
        <f t="shared" si="0"/>
        <v>3.9088663193975373E-2</v>
      </c>
      <c r="M124" s="1255"/>
      <c r="N124" s="1255"/>
    </row>
    <row r="125" spans="1:26" ht="15.5" x14ac:dyDescent="0.35">
      <c r="A125" s="995"/>
      <c r="B125" s="844"/>
      <c r="C125" s="994" t="s">
        <v>846</v>
      </c>
      <c r="D125" s="1281"/>
      <c r="E125" s="1280"/>
      <c r="F125" s="1280"/>
      <c r="G125" s="1280"/>
      <c r="H125" s="1280"/>
      <c r="I125" s="1375"/>
      <c r="J125" s="1280"/>
      <c r="K125" s="1375">
        <f>SUM(E545:E548)</f>
        <v>32</v>
      </c>
      <c r="L125" s="846">
        <f t="shared" si="0"/>
        <v>8.9345515871943719E-3</v>
      </c>
      <c r="M125" s="1255"/>
      <c r="N125" s="1255"/>
    </row>
    <row r="126" spans="1:26" ht="15.5" x14ac:dyDescent="0.35">
      <c r="A126" s="995"/>
      <c r="B126" s="844"/>
      <c r="C126" s="994" t="s">
        <v>828</v>
      </c>
      <c r="D126" s="1281"/>
      <c r="E126" s="1280"/>
      <c r="F126" s="1280"/>
      <c r="G126" s="1280"/>
      <c r="H126" s="1280"/>
      <c r="I126" s="1375"/>
      <c r="J126" s="1280"/>
      <c r="K126" s="1375">
        <f>E558</f>
        <v>241.97561352657004</v>
      </c>
      <c r="L126" s="846">
        <f t="shared" si="0"/>
        <v>6.7560737559254624E-2</v>
      </c>
      <c r="M126" s="1255"/>
      <c r="N126" s="1255"/>
    </row>
    <row r="127" spans="1:26" s="993" customFormat="1" ht="15.5" x14ac:dyDescent="0.35">
      <c r="A127" s="995"/>
      <c r="B127" s="844"/>
      <c r="C127" s="994"/>
      <c r="D127" s="1281"/>
      <c r="E127" s="1375"/>
      <c r="F127" s="1375"/>
      <c r="G127" s="1375"/>
      <c r="H127" s="1375"/>
      <c r="I127" s="1375"/>
      <c r="J127" s="1375"/>
      <c r="K127" s="1375"/>
      <c r="L127" s="1545"/>
      <c r="M127" s="1255"/>
      <c r="N127" s="1255"/>
    </row>
    <row r="128" spans="1:26" ht="18" x14ac:dyDescent="0.45">
      <c r="B128" s="844" t="s">
        <v>1937</v>
      </c>
      <c r="C128" s="994"/>
      <c r="D128" s="1375">
        <f t="shared" ref="D128:J128" si="1">SUM(D112:D126)</f>
        <v>2196.6012678982456</v>
      </c>
      <c r="E128" s="1375">
        <f t="shared" si="1"/>
        <v>215.17221153684002</v>
      </c>
      <c r="F128" s="1375">
        <f t="shared" si="1"/>
        <v>103.58217669913</v>
      </c>
      <c r="G128" s="1375">
        <f t="shared" si="1"/>
        <v>17.826012811101776</v>
      </c>
      <c r="H128" s="1375">
        <f t="shared" si="1"/>
        <v>105.97591070923193</v>
      </c>
      <c r="I128" s="1375">
        <f t="shared" ref="I128" si="2">SUM(I112:I126)</f>
        <v>0</v>
      </c>
      <c r="J128" s="1375">
        <f t="shared" si="1"/>
        <v>159.86692857142856</v>
      </c>
      <c r="K128" s="1376">
        <f>SUM(K112:K126)</f>
        <v>3581.6011232018241</v>
      </c>
      <c r="L128" s="847" t="s">
        <v>1225</v>
      </c>
      <c r="M128" s="1426"/>
      <c r="N128" s="732"/>
    </row>
    <row r="129" spans="1:14" ht="15.5" x14ac:dyDescent="0.35">
      <c r="B129" s="844" t="s">
        <v>942</v>
      </c>
      <c r="C129" s="994"/>
      <c r="D129" s="1284">
        <f t="shared" ref="D129:J129" si="3">D128/SUM($K$112:$K$126)</f>
        <v>0.61330147951666991</v>
      </c>
      <c r="E129" s="1284">
        <f t="shared" si="3"/>
        <v>6.0077100753331156E-2</v>
      </c>
      <c r="F129" s="1284">
        <f t="shared" si="3"/>
        <v>2.8920634413508117E-2</v>
      </c>
      <c r="G129" s="1284">
        <f t="shared" si="3"/>
        <v>4.9771072204617675E-3</v>
      </c>
      <c r="H129" s="1284">
        <f t="shared" si="3"/>
        <v>2.9588976288485534E-2</v>
      </c>
      <c r="I129" s="1284">
        <f t="shared" si="3"/>
        <v>0</v>
      </c>
      <c r="J129" s="1284">
        <f t="shared" si="3"/>
        <v>4.4635603762742067E-2</v>
      </c>
      <c r="K129" s="478"/>
      <c r="L129" s="848"/>
      <c r="M129" s="1426"/>
    </row>
    <row r="130" spans="1:14" s="993" customFormat="1" ht="15.5" x14ac:dyDescent="0.35">
      <c r="A130" s="995"/>
      <c r="B130" s="844"/>
      <c r="C130" s="994"/>
      <c r="D130" s="1281"/>
      <c r="E130" s="1375"/>
      <c r="F130" s="1375"/>
      <c r="G130" s="1375"/>
      <c r="H130" s="1375"/>
      <c r="I130" s="1375"/>
      <c r="J130" s="1375"/>
      <c r="K130" s="1375"/>
      <c r="L130" s="848"/>
      <c r="M130" s="1255"/>
      <c r="N130" s="1255"/>
    </row>
    <row r="131" spans="1:14" ht="18" x14ac:dyDescent="0.45">
      <c r="B131" s="844" t="s">
        <v>1936</v>
      </c>
      <c r="C131" s="994" t="s">
        <v>1912</v>
      </c>
      <c r="D131" s="1281"/>
      <c r="E131" s="1280"/>
      <c r="F131" s="1280"/>
      <c r="G131" s="1280"/>
      <c r="H131" s="1280"/>
      <c r="I131" s="1375"/>
      <c r="J131" s="1280"/>
      <c r="K131" s="1377">
        <f>IF(C71="",0,IF(U200=1,0,IF(U200=2,(F586*-1),(H71*G77*-1))))</f>
        <v>-29.360000000000028</v>
      </c>
      <c r="L131" s="847" t="s">
        <v>1225</v>
      </c>
      <c r="M131" s="1255"/>
      <c r="N131" s="1255"/>
    </row>
    <row r="132" spans="1:14" ht="15.5" x14ac:dyDescent="0.35">
      <c r="B132" s="844"/>
      <c r="C132" s="1544"/>
      <c r="D132" s="1702"/>
      <c r="E132" s="1702"/>
      <c r="F132" s="1702"/>
      <c r="G132" s="1702"/>
      <c r="H132" s="1702"/>
      <c r="I132" s="1702"/>
      <c r="J132" s="1702"/>
      <c r="K132" s="1236"/>
      <c r="L132" s="848"/>
    </row>
    <row r="133" spans="1:14" s="879" customFormat="1" ht="18" x14ac:dyDescent="0.45">
      <c r="B133" s="844" t="s">
        <v>1940</v>
      </c>
      <c r="C133" s="994"/>
      <c r="D133" s="1284"/>
      <c r="E133" s="1284"/>
      <c r="F133" s="1284"/>
      <c r="G133" s="1284"/>
      <c r="H133" s="1284"/>
      <c r="I133" s="1284"/>
      <c r="J133" s="1284"/>
      <c r="K133" s="1487">
        <f>K128+K131</f>
        <v>3552.2411232018239</v>
      </c>
      <c r="L133" s="847" t="s">
        <v>1225</v>
      </c>
    </row>
    <row r="134" spans="1:14" s="993" customFormat="1" ht="15.5" x14ac:dyDescent="0.35">
      <c r="B134" s="844"/>
      <c r="C134" s="1544"/>
      <c r="D134" s="1236"/>
      <c r="E134" s="1236"/>
      <c r="F134" s="1236"/>
      <c r="G134" s="1236"/>
      <c r="H134" s="1236"/>
      <c r="I134" s="1236"/>
      <c r="J134" s="1236"/>
      <c r="K134" s="1236"/>
      <c r="L134" s="848"/>
    </row>
    <row r="135" spans="1:14" s="879" customFormat="1" ht="18" x14ac:dyDescent="0.45">
      <c r="B135" s="1540" t="str">
        <f>_xlfn.CONCAT("GHG emissions intensity after ",ROUND($P$257*100,0),"% of net emissions are allocated to milk production based on energy allocation")</f>
        <v>GHG emissions intensity after 86% of net emissions are allocated to milk production based on energy allocation</v>
      </c>
      <c r="C135" s="1544"/>
      <c r="D135" s="1544"/>
      <c r="E135" s="1544"/>
      <c r="F135" s="1544"/>
      <c r="G135" s="1544"/>
      <c r="H135" s="1544"/>
      <c r="I135" s="1544"/>
      <c r="J135" s="1370"/>
      <c r="K135" s="1090">
        <f>R254</f>
        <v>0.95988694836696986</v>
      </c>
      <c r="L135" s="847" t="s">
        <v>1226</v>
      </c>
    </row>
    <row r="136" spans="1:14" s="879" customFormat="1" ht="18" x14ac:dyDescent="0.45">
      <c r="B136" s="1540" t="str">
        <f>_xlfn.CONCAT("GHG emissions intensity after ",ROUND($P$257*100,0),"% of net emissions are allocated to milk production based on energy allocation")</f>
        <v>GHG emissions intensity after 86% of net emissions are allocated to milk production based on energy allocation</v>
      </c>
      <c r="C136" s="1544"/>
      <c r="D136" s="1544"/>
      <c r="E136" s="1544"/>
      <c r="F136" s="1544"/>
      <c r="G136" s="1544"/>
      <c r="H136" s="1544"/>
      <c r="I136" s="1544"/>
      <c r="J136" s="1370"/>
      <c r="K136" s="1089">
        <f>R255</f>
        <v>13.56342015480025</v>
      </c>
      <c r="L136" s="847" t="s">
        <v>1227</v>
      </c>
    </row>
    <row r="137" spans="1:14" s="879" customFormat="1" ht="18" x14ac:dyDescent="0.45">
      <c r="B137" s="1540" t="str">
        <f>_xlfn.CONCAT("GHG emissions intensity after ",ROUND($P$258*100,0),"% of net emissions are allocated to meat production based on energyallocation")</f>
        <v>GHG emissions intensity after 14% of net emissions are allocated to meat production based on energyallocation</v>
      </c>
      <c r="C137" s="1544"/>
      <c r="D137" s="1544"/>
      <c r="E137" s="1544"/>
      <c r="F137" s="1544"/>
      <c r="G137" s="1544"/>
      <c r="H137" s="1544"/>
      <c r="I137" s="1544"/>
      <c r="J137" s="1370"/>
      <c r="K137" s="1090">
        <f>R256</f>
        <v>3.7778568663654837</v>
      </c>
      <c r="L137" s="847" t="s">
        <v>1995</v>
      </c>
    </row>
    <row r="138" spans="1:14" s="879" customFormat="1" ht="15.5" x14ac:dyDescent="0.35">
      <c r="B138" s="1534"/>
      <c r="C138" s="1541"/>
      <c r="D138" s="1541"/>
      <c r="E138" s="1541"/>
      <c r="F138" s="1541"/>
      <c r="G138" s="1541"/>
      <c r="H138" s="1541"/>
      <c r="I138" s="1541"/>
      <c r="J138" s="1538"/>
      <c r="K138" s="1701"/>
      <c r="L138" s="1536"/>
    </row>
    <row r="140" spans="1:14" ht="18" x14ac:dyDescent="0.4">
      <c r="B140" s="1607" t="s">
        <v>2122</v>
      </c>
      <c r="C140" s="733"/>
      <c r="D140" s="734"/>
      <c r="E140" s="734"/>
      <c r="F140" s="734"/>
      <c r="G140" s="734"/>
      <c r="H140" s="734"/>
      <c r="I140" s="734"/>
    </row>
    <row r="141" spans="1:14" ht="18" x14ac:dyDescent="0.4">
      <c r="B141" s="1608"/>
      <c r="C141" s="733"/>
      <c r="D141" s="734"/>
      <c r="E141" s="734"/>
      <c r="F141" s="734"/>
      <c r="G141" s="734"/>
      <c r="H141" s="734"/>
      <c r="I141" s="734"/>
    </row>
    <row r="142" spans="1:14" ht="21" x14ac:dyDescent="0.55000000000000004">
      <c r="B142" s="1608" t="s">
        <v>2121</v>
      </c>
      <c r="C142" s="733"/>
      <c r="D142" s="734"/>
      <c r="E142" s="734"/>
      <c r="F142" s="734"/>
      <c r="G142" s="734"/>
      <c r="H142" s="734"/>
      <c r="I142" s="734"/>
      <c r="J142" s="735"/>
    </row>
    <row r="143" spans="1:14" ht="15.5" x14ac:dyDescent="0.35">
      <c r="B143" s="733"/>
      <c r="C143" s="733"/>
      <c r="D143" s="734"/>
      <c r="E143" s="734"/>
      <c r="F143" s="734"/>
      <c r="G143" s="734"/>
      <c r="H143" s="734"/>
      <c r="I143" s="734"/>
    </row>
    <row r="144" spans="1:14" ht="15.5" x14ac:dyDescent="0.35">
      <c r="B144" s="733"/>
      <c r="C144" s="733"/>
      <c r="D144" s="734"/>
      <c r="E144" s="734"/>
      <c r="F144" s="734"/>
      <c r="G144" s="734"/>
      <c r="H144" s="734"/>
      <c r="I144" s="734"/>
    </row>
    <row r="145" spans="2:9" ht="15.5" x14ac:dyDescent="0.35">
      <c r="B145" s="733"/>
      <c r="C145" s="733"/>
      <c r="D145" s="734"/>
      <c r="E145" s="734"/>
      <c r="F145" s="734"/>
      <c r="G145" s="734"/>
      <c r="H145" s="734"/>
      <c r="I145" s="734"/>
    </row>
    <row r="146" spans="2:9" ht="15.5" x14ac:dyDescent="0.35">
      <c r="B146" s="733"/>
      <c r="C146" s="733"/>
      <c r="D146" s="734"/>
      <c r="E146" s="734"/>
      <c r="F146" s="734"/>
      <c r="G146" s="734"/>
      <c r="H146" s="734"/>
      <c r="I146" s="734"/>
    </row>
    <row r="147" spans="2:9" ht="15.5" x14ac:dyDescent="0.35">
      <c r="B147" s="733"/>
      <c r="C147" s="733"/>
      <c r="D147" s="734"/>
      <c r="E147" s="734"/>
      <c r="F147" s="734"/>
      <c r="G147" s="734"/>
      <c r="H147" s="734"/>
      <c r="I147" s="734"/>
    </row>
    <row r="148" spans="2:9" ht="15.5" x14ac:dyDescent="0.35">
      <c r="B148" s="733"/>
      <c r="C148" s="733"/>
      <c r="D148" s="734"/>
      <c r="E148" s="734"/>
      <c r="F148" s="734"/>
      <c r="G148" s="734"/>
      <c r="H148" s="734"/>
      <c r="I148" s="734"/>
    </row>
    <row r="149" spans="2:9" ht="15.5" x14ac:dyDescent="0.35">
      <c r="B149" s="733"/>
      <c r="C149" s="733"/>
      <c r="D149" s="734"/>
      <c r="E149" s="734"/>
      <c r="F149" s="734"/>
      <c r="G149" s="734"/>
      <c r="H149" s="734"/>
      <c r="I149" s="734"/>
    </row>
    <row r="150" spans="2:9" ht="15.5" x14ac:dyDescent="0.35">
      <c r="B150" s="733"/>
      <c r="C150" s="733"/>
      <c r="D150" s="734"/>
      <c r="E150" s="734"/>
      <c r="F150" s="734"/>
      <c r="G150" s="734"/>
      <c r="H150" s="734"/>
      <c r="I150" s="734"/>
    </row>
    <row r="151" spans="2:9" ht="15.5" x14ac:dyDescent="0.35">
      <c r="B151" s="733"/>
      <c r="C151" s="733"/>
      <c r="D151" s="734"/>
      <c r="E151" s="734"/>
      <c r="F151" s="734"/>
      <c r="G151" s="734"/>
      <c r="H151" s="734"/>
      <c r="I151" s="734"/>
    </row>
    <row r="152" spans="2:9" ht="15.5" x14ac:dyDescent="0.35">
      <c r="B152" s="733"/>
      <c r="C152" s="733"/>
      <c r="D152" s="734"/>
      <c r="E152" s="734"/>
      <c r="F152" s="734"/>
      <c r="G152" s="734"/>
      <c r="H152" s="734"/>
      <c r="I152" s="734"/>
    </row>
    <row r="153" spans="2:9" ht="15.5" x14ac:dyDescent="0.35">
      <c r="B153" s="733"/>
      <c r="C153" s="733"/>
      <c r="D153" s="734"/>
      <c r="E153" s="734"/>
      <c r="F153" s="734"/>
      <c r="G153" s="734"/>
      <c r="H153" s="734"/>
      <c r="I153" s="734"/>
    </row>
    <row r="154" spans="2:9" ht="15.5" x14ac:dyDescent="0.35">
      <c r="B154" s="733"/>
      <c r="C154" s="733"/>
      <c r="D154" s="734"/>
      <c r="E154" s="734"/>
      <c r="F154" s="734"/>
      <c r="G154" s="734"/>
      <c r="H154" s="734"/>
      <c r="I154" s="734"/>
    </row>
    <row r="155" spans="2:9" ht="15.5" x14ac:dyDescent="0.35">
      <c r="B155" s="733"/>
      <c r="C155" s="733"/>
      <c r="D155" s="734"/>
      <c r="E155" s="734"/>
      <c r="F155" s="734"/>
      <c r="G155" s="734"/>
      <c r="H155" s="734"/>
      <c r="I155" s="734"/>
    </row>
    <row r="156" spans="2:9" ht="15.5" x14ac:dyDescent="0.35">
      <c r="B156" s="733"/>
      <c r="C156" s="733"/>
      <c r="D156" s="734"/>
      <c r="E156" s="734"/>
      <c r="F156" s="734"/>
      <c r="G156" s="734"/>
      <c r="H156" s="734"/>
      <c r="I156" s="734"/>
    </row>
    <row r="157" spans="2:9" ht="15.5" x14ac:dyDescent="0.35">
      <c r="B157" s="733"/>
      <c r="C157" s="733"/>
      <c r="D157" s="734"/>
      <c r="E157" s="734"/>
      <c r="F157" s="734"/>
      <c r="G157" s="734"/>
      <c r="H157" s="734"/>
      <c r="I157" s="734"/>
    </row>
    <row r="158" spans="2:9" ht="15.5" x14ac:dyDescent="0.35">
      <c r="B158" s="733"/>
      <c r="C158" s="733"/>
      <c r="D158" s="734"/>
      <c r="E158" s="734"/>
      <c r="F158" s="734"/>
      <c r="G158" s="734"/>
      <c r="H158" s="734"/>
      <c r="I158" s="734"/>
    </row>
    <row r="159" spans="2:9" ht="15.5" x14ac:dyDescent="0.35">
      <c r="B159" s="733"/>
      <c r="C159" s="733"/>
      <c r="D159" s="734"/>
      <c r="E159" s="734"/>
      <c r="F159" s="734"/>
      <c r="G159" s="734"/>
      <c r="H159" s="734"/>
      <c r="I159" s="734"/>
    </row>
    <row r="160" spans="2:9" ht="15.5" x14ac:dyDescent="0.35">
      <c r="B160" s="733"/>
      <c r="C160" s="733"/>
      <c r="D160" s="734"/>
      <c r="E160" s="734"/>
      <c r="F160" s="734"/>
      <c r="G160" s="734"/>
      <c r="H160" s="734"/>
      <c r="I160" s="734"/>
    </row>
    <row r="161" spans="2:9" ht="15.5" x14ac:dyDescent="0.35">
      <c r="B161" s="733"/>
      <c r="C161" s="733"/>
      <c r="D161" s="734"/>
      <c r="E161" s="734"/>
      <c r="F161" s="734"/>
      <c r="G161" s="734"/>
      <c r="H161" s="734"/>
      <c r="I161" s="734"/>
    </row>
    <row r="162" spans="2:9" ht="15.5" x14ac:dyDescent="0.35">
      <c r="B162" s="733"/>
      <c r="C162" s="733"/>
      <c r="D162" s="729"/>
      <c r="E162" s="729"/>
      <c r="F162" s="729"/>
      <c r="G162" s="729"/>
      <c r="H162" s="729"/>
      <c r="I162" s="729"/>
    </row>
    <row r="182" spans="2:56" ht="13.9" customHeight="1" x14ac:dyDescent="0.35"/>
    <row r="185" spans="2:56" s="1201" customFormat="1" ht="15" customHeight="1" x14ac:dyDescent="0.3"/>
    <row r="186" spans="2:56" s="1201" customFormat="1" ht="14" x14ac:dyDescent="0.3"/>
    <row r="187" spans="2:56" s="1201" customFormat="1" ht="15.5" hidden="1" x14ac:dyDescent="0.3">
      <c r="K187" s="892"/>
      <c r="L187" s="425" t="s">
        <v>1970</v>
      </c>
      <c r="M187" s="892"/>
    </row>
    <row r="188" spans="2:56" s="1201" customFormat="1" ht="15.5" hidden="1" x14ac:dyDescent="0.3">
      <c r="K188" s="428">
        <v>1</v>
      </c>
      <c r="L188" s="426" t="s">
        <v>1972</v>
      </c>
      <c r="M188" s="892"/>
    </row>
    <row r="189" spans="2:56" s="1201" customFormat="1" ht="15.5" hidden="1" x14ac:dyDescent="0.35">
      <c r="K189" s="425">
        <v>2</v>
      </c>
      <c r="L189" s="426" t="s">
        <v>912</v>
      </c>
      <c r="M189" s="892"/>
      <c r="AB189" s="1257" t="s">
        <v>861</v>
      </c>
      <c r="AH189" s="1201" t="s">
        <v>890</v>
      </c>
      <c r="AQ189" s="1260" t="s">
        <v>451</v>
      </c>
    </row>
    <row r="190" spans="2:56" s="1201" customFormat="1" ht="15.5" hidden="1" x14ac:dyDescent="0.35">
      <c r="C190" s="1201" t="s">
        <v>260</v>
      </c>
      <c r="D190" s="1201" t="s">
        <v>912</v>
      </c>
      <c r="E190" s="1201" t="s">
        <v>913</v>
      </c>
      <c r="F190" s="1201" t="s">
        <v>866</v>
      </c>
      <c r="G190" s="1201" t="s">
        <v>914</v>
      </c>
      <c r="H190" s="1201" t="s">
        <v>867</v>
      </c>
      <c r="I190" s="1201" t="s">
        <v>868</v>
      </c>
      <c r="J190" s="1201" t="s">
        <v>915</v>
      </c>
      <c r="K190" s="425">
        <v>3</v>
      </c>
      <c r="L190" s="889" t="s">
        <v>2080</v>
      </c>
      <c r="M190" s="892"/>
      <c r="N190" s="1257"/>
      <c r="O190" s="1257" t="s">
        <v>738</v>
      </c>
      <c r="P190" s="1257"/>
      <c r="Q190" s="1257"/>
      <c r="R190" s="1257"/>
      <c r="S190" s="1257" t="s">
        <v>818</v>
      </c>
      <c r="T190" s="1257" t="s">
        <v>936</v>
      </c>
      <c r="U190" s="1257"/>
      <c r="V190" s="1257"/>
      <c r="W190" s="1257"/>
      <c r="X190" s="1257"/>
      <c r="AC190" s="1201">
        <v>1</v>
      </c>
      <c r="AD190" s="1257" t="s">
        <v>865</v>
      </c>
      <c r="AH190" s="892" t="s">
        <v>878</v>
      </c>
      <c r="AI190" s="1201">
        <f>G91</f>
        <v>0</v>
      </c>
      <c r="AK190" s="1201" t="s">
        <v>876</v>
      </c>
      <c r="AQ190" s="894" t="s">
        <v>885</v>
      </c>
      <c r="AS190" s="1261">
        <f>1-((AI190/24*AI191/365)+(AI195/24*AI196/365))</f>
        <v>1</v>
      </c>
      <c r="AU190" s="1201" t="s">
        <v>876</v>
      </c>
      <c r="AY190" s="1201" t="s">
        <v>898</v>
      </c>
    </row>
    <row r="191" spans="2:56" s="1201" customFormat="1" ht="15.5" hidden="1" x14ac:dyDescent="0.35">
      <c r="B191" s="1262">
        <v>1</v>
      </c>
      <c r="C191" s="1263" t="s">
        <v>912</v>
      </c>
      <c r="D191" s="889" t="s">
        <v>1908</v>
      </c>
      <c r="E191" s="889" t="s">
        <v>1904</v>
      </c>
      <c r="F191" s="889" t="s">
        <v>1548</v>
      </c>
      <c r="G191" s="889" t="s">
        <v>1550</v>
      </c>
      <c r="H191" s="889" t="s">
        <v>1552</v>
      </c>
      <c r="I191" s="889" t="s">
        <v>1551</v>
      </c>
      <c r="J191" s="889"/>
      <c r="K191" s="425">
        <v>4</v>
      </c>
      <c r="L191" s="426" t="s">
        <v>2081</v>
      </c>
      <c r="M191" s="892"/>
      <c r="N191" s="1257"/>
      <c r="O191" s="1257"/>
      <c r="P191" s="1257"/>
      <c r="Q191" s="1257"/>
      <c r="R191" s="1257"/>
      <c r="S191" s="1257"/>
      <c r="T191" s="1257" t="s">
        <v>935</v>
      </c>
      <c r="U191" s="1257"/>
      <c r="V191" s="1257"/>
      <c r="W191" s="1264"/>
      <c r="X191" s="1257"/>
      <c r="AC191" s="1257">
        <v>2</v>
      </c>
      <c r="AD191" s="1257" t="s">
        <v>864</v>
      </c>
      <c r="AF191" s="1257"/>
      <c r="AH191" s="892" t="s">
        <v>879</v>
      </c>
      <c r="AI191" s="1267">
        <f>H91</f>
        <v>0</v>
      </c>
      <c r="AL191" s="1201" t="s">
        <v>884</v>
      </c>
      <c r="AN191" s="1201">
        <f>G104</f>
        <v>0</v>
      </c>
      <c r="AQ191" s="892" t="s">
        <v>1246</v>
      </c>
      <c r="AS191" s="853">
        <f>(AI190/24)*(AI191/365)*(AI192/100)</f>
        <v>0</v>
      </c>
      <c r="AU191" s="892" t="s">
        <v>885</v>
      </c>
      <c r="AV191" s="1261">
        <f>1-(AN191/24*AN192/365)</f>
        <v>1</v>
      </c>
      <c r="AZ191" s="894" t="s">
        <v>225</v>
      </c>
      <c r="BA191" s="894" t="s">
        <v>1249</v>
      </c>
      <c r="BB191" s="894" t="s">
        <v>1250</v>
      </c>
      <c r="BC191" s="894" t="s">
        <v>229</v>
      </c>
      <c r="BD191" s="894" t="s">
        <v>897</v>
      </c>
    </row>
    <row r="192" spans="2:56" s="1201" customFormat="1" ht="15.5" hidden="1" x14ac:dyDescent="0.35">
      <c r="B192" s="1262">
        <v>2</v>
      </c>
      <c r="C192" s="1263" t="s">
        <v>917</v>
      </c>
      <c r="D192" s="889" t="s">
        <v>1909</v>
      </c>
      <c r="E192" s="889" t="s">
        <v>1905</v>
      </c>
      <c r="F192" s="889" t="s">
        <v>1906</v>
      </c>
      <c r="G192" s="889" t="s">
        <v>1543</v>
      </c>
      <c r="H192" s="889" t="s">
        <v>1907</v>
      </c>
      <c r="I192" s="889"/>
      <c r="J192" s="889"/>
      <c r="K192" s="889">
        <v>5</v>
      </c>
      <c r="L192" s="427" t="s">
        <v>2082</v>
      </c>
      <c r="M192" s="892"/>
      <c r="N192" s="1257"/>
      <c r="O192" s="1257" t="s">
        <v>739</v>
      </c>
      <c r="P192" s="1257"/>
      <c r="Q192" s="1265">
        <f>IF(U205="1",H29,0)</f>
        <v>3000000</v>
      </c>
      <c r="R192" s="1257"/>
      <c r="V192" s="1257"/>
      <c r="W192" s="1264"/>
      <c r="X192" s="1257"/>
      <c r="AC192" s="1257" t="s">
        <v>228</v>
      </c>
      <c r="AD192" s="1266">
        <f>IF(F80=AD190,1,2)</f>
        <v>1</v>
      </c>
      <c r="AF192" s="1257"/>
      <c r="AH192" s="892" t="s">
        <v>1245</v>
      </c>
      <c r="AI192" s="1201">
        <f>G93</f>
        <v>0</v>
      </c>
      <c r="AL192" s="1201" t="s">
        <v>871</v>
      </c>
      <c r="AN192" s="1201">
        <f>H104</f>
        <v>0</v>
      </c>
      <c r="AQ192" s="894" t="s">
        <v>886</v>
      </c>
      <c r="AS192" s="1261">
        <f>(AI190/24*AI191/365*AI193/100)*IF(AD197=2,0.8,1)</f>
        <v>0</v>
      </c>
      <c r="AU192" s="892" t="s">
        <v>1248</v>
      </c>
      <c r="AV192" s="1261">
        <f>IF(AM204=1,AN191/24*AN192/365,0)</f>
        <v>0</v>
      </c>
      <c r="AX192" s="1201">
        <v>1</v>
      </c>
      <c r="AY192" s="1263" t="s">
        <v>912</v>
      </c>
      <c r="AZ192" s="894">
        <v>74</v>
      </c>
      <c r="BA192" s="894">
        <v>0.5</v>
      </c>
      <c r="BB192" s="894">
        <v>17</v>
      </c>
      <c r="BC192" s="894">
        <v>2</v>
      </c>
      <c r="BD192" s="894">
        <v>1</v>
      </c>
    </row>
    <row r="193" spans="2:56" s="1201" customFormat="1" ht="15.5" hidden="1" x14ac:dyDescent="0.35">
      <c r="B193" s="1262">
        <v>3</v>
      </c>
      <c r="C193" s="1263" t="s">
        <v>866</v>
      </c>
      <c r="D193" s="889" t="s">
        <v>1910</v>
      </c>
      <c r="E193" s="889" t="s">
        <v>1911</v>
      </c>
      <c r="F193" s="889" t="s">
        <v>1544</v>
      </c>
      <c r="G193" s="889"/>
      <c r="H193" s="889"/>
      <c r="I193" s="889"/>
      <c r="J193" s="889"/>
      <c r="K193" s="425">
        <v>6</v>
      </c>
      <c r="L193" s="426" t="s">
        <v>913</v>
      </c>
      <c r="M193" s="892"/>
      <c r="N193" s="1257"/>
      <c r="O193" s="1257" t="s">
        <v>740</v>
      </c>
      <c r="P193" s="1257"/>
      <c r="Q193" s="1265">
        <f>IF(U205="2",H29,0)</f>
        <v>0</v>
      </c>
      <c r="R193" s="1257"/>
      <c r="S193" s="1257" t="s">
        <v>228</v>
      </c>
      <c r="T193" s="1257" t="str">
        <f>E48</f>
        <v>tonnes of element per annum</v>
      </c>
      <c r="U193" s="1266" t="str">
        <f>IF(T193="kg of element per ha per annum","1","2")</f>
        <v>2</v>
      </c>
      <c r="V193" s="1257"/>
      <c r="W193" s="1264"/>
      <c r="X193" s="1257"/>
      <c r="Y193" s="1257"/>
      <c r="Z193" s="1257"/>
      <c r="AA193" s="1257"/>
      <c r="AF193" s="1257"/>
      <c r="AH193" s="1201" t="s">
        <v>880</v>
      </c>
      <c r="AI193" s="1201">
        <f>G94</f>
        <v>0</v>
      </c>
      <c r="AQ193" s="1201" t="s">
        <v>1214</v>
      </c>
      <c r="AS193" s="1261">
        <f>(AI190/24*AI191/365*AI193/100)*IF(AD197=1,0,0.2)</f>
        <v>0</v>
      </c>
      <c r="AU193" s="892" t="s">
        <v>1252</v>
      </c>
      <c r="AV193" s="1261">
        <f>IF(AM204=2,AN191/24*AN192/365*IF(AD197=2,0.8,1),0)</f>
        <v>0</v>
      </c>
      <c r="AX193" s="1201">
        <v>2</v>
      </c>
      <c r="AY193" s="1263" t="s">
        <v>917</v>
      </c>
      <c r="AZ193" s="894">
        <v>75</v>
      </c>
      <c r="BA193" s="894">
        <v>0.5</v>
      </c>
      <c r="BB193" s="894">
        <v>18</v>
      </c>
      <c r="BC193" s="894">
        <v>2</v>
      </c>
      <c r="BD193" s="894">
        <v>1</v>
      </c>
    </row>
    <row r="194" spans="2:56" s="1201" customFormat="1" ht="15.5" hidden="1" x14ac:dyDescent="0.35">
      <c r="B194" s="1262">
        <v>4</v>
      </c>
      <c r="C194" s="1263" t="s">
        <v>914</v>
      </c>
      <c r="D194" s="889" t="s">
        <v>1555</v>
      </c>
      <c r="E194" s="889"/>
      <c r="F194" s="889" t="s">
        <v>1549</v>
      </c>
      <c r="G194" s="889"/>
      <c r="H194" s="889"/>
      <c r="I194" s="889"/>
      <c r="J194" s="889"/>
      <c r="K194" s="428">
        <v>7</v>
      </c>
      <c r="L194" s="889" t="s">
        <v>2083</v>
      </c>
      <c r="M194" s="892"/>
      <c r="N194" s="1257"/>
      <c r="O194" s="1257" t="s">
        <v>741</v>
      </c>
      <c r="P194" s="1257"/>
      <c r="Q194" s="1268">
        <f>IF(D31="",4,D31)</f>
        <v>4.3</v>
      </c>
      <c r="R194" s="1257"/>
      <c r="S194" s="1257"/>
      <c r="T194" s="1257"/>
      <c r="U194" s="1257"/>
      <c r="V194" s="1257"/>
      <c r="W194" s="1264"/>
      <c r="X194" s="1257"/>
      <c r="Y194" s="1257"/>
      <c r="Z194" s="1257"/>
      <c r="AA194" s="1257"/>
      <c r="AB194" s="1257" t="s">
        <v>1916</v>
      </c>
      <c r="AC194" s="1257"/>
      <c r="AD194" s="1257"/>
      <c r="AE194" s="1257"/>
      <c r="AF194" s="1257"/>
      <c r="AH194" s="1201" t="s">
        <v>881</v>
      </c>
      <c r="AI194" s="1201">
        <f>G95</f>
        <v>100</v>
      </c>
      <c r="AQ194" s="890" t="s">
        <v>887</v>
      </c>
      <c r="AS194" s="1261">
        <f>IF(AD197=1,(AI190/24*AI191/365*AI194/100),(AI190/24*AI191/365*AI194/100)*0.8)</f>
        <v>0</v>
      </c>
      <c r="AU194" s="1201" t="s">
        <v>1324</v>
      </c>
      <c r="AV194" s="1261">
        <f>IF(AM204=2,(AN191/24*AN192/365*IF(AD197=2,0.2,0)),0)</f>
        <v>0</v>
      </c>
      <c r="AX194" s="1201">
        <v>3</v>
      </c>
      <c r="AY194" s="1263" t="s">
        <v>866</v>
      </c>
      <c r="AZ194" s="894">
        <v>70</v>
      </c>
      <c r="BA194" s="894">
        <v>0.1</v>
      </c>
      <c r="BB194" s="894">
        <v>15</v>
      </c>
      <c r="BC194" s="894">
        <v>2</v>
      </c>
      <c r="BD194" s="894">
        <v>1</v>
      </c>
    </row>
    <row r="195" spans="2:56" s="1201" customFormat="1" ht="15.5" hidden="1" x14ac:dyDescent="0.35">
      <c r="B195" s="1262">
        <v>5</v>
      </c>
      <c r="C195" s="1263" t="s">
        <v>918</v>
      </c>
      <c r="D195" s="889" t="s">
        <v>1557</v>
      </c>
      <c r="E195" s="889"/>
      <c r="F195" s="892"/>
      <c r="G195" s="889"/>
      <c r="J195" s="889"/>
      <c r="K195" s="889">
        <v>8</v>
      </c>
      <c r="L195" s="889" t="s">
        <v>2084</v>
      </c>
      <c r="M195" s="892"/>
      <c r="N195" s="1257"/>
      <c r="O195" s="1257" t="s">
        <v>742</v>
      </c>
      <c r="P195" s="1257"/>
      <c r="Q195" s="1257">
        <f>IF(H31="",3.3,H31)</f>
        <v>3.2</v>
      </c>
      <c r="R195" s="1257"/>
      <c r="S195" s="1257"/>
      <c r="T195" s="1257"/>
      <c r="U195" s="1257"/>
      <c r="V195" s="1257"/>
      <c r="W195" s="1264"/>
      <c r="X195" s="1257"/>
      <c r="AC195" s="1257">
        <v>1</v>
      </c>
      <c r="AD195" s="1257" t="s">
        <v>874</v>
      </c>
      <c r="AE195" s="1257"/>
      <c r="AF195" s="1257"/>
      <c r="AH195" s="1201" t="s">
        <v>882</v>
      </c>
      <c r="AI195" s="1201">
        <f>G99</f>
        <v>0</v>
      </c>
      <c r="AQ195" s="890" t="s">
        <v>901</v>
      </c>
      <c r="AS195" s="1261">
        <f>IF(AD197=1,0,(AI190/24*AI191/365*AI194/100)*0.2)</f>
        <v>0</v>
      </c>
      <c r="AU195" s="892" t="s">
        <v>895</v>
      </c>
      <c r="AV195" s="1261">
        <f>IF(AM204=3,(AN191/24*AN192/365*IF(AD197=2,0.8,1)),0)</f>
        <v>0</v>
      </c>
      <c r="AX195" s="1201">
        <v>4</v>
      </c>
      <c r="AY195" s="1263" t="s">
        <v>914</v>
      </c>
      <c r="AZ195" s="894">
        <v>77</v>
      </c>
      <c r="BA195" s="894">
        <v>0.5</v>
      </c>
      <c r="BB195" s="894">
        <v>24</v>
      </c>
      <c r="BC195" s="894">
        <v>2</v>
      </c>
      <c r="BD195" s="894">
        <v>1</v>
      </c>
    </row>
    <row r="196" spans="2:56" s="1201" customFormat="1" ht="15.5" hidden="1" x14ac:dyDescent="0.35">
      <c r="B196" s="1257">
        <v>6</v>
      </c>
      <c r="C196" s="1269" t="s">
        <v>919</v>
      </c>
      <c r="D196" s="889" t="s">
        <v>1556</v>
      </c>
      <c r="E196" s="889"/>
      <c r="F196" s="889"/>
      <c r="G196" s="889"/>
      <c r="J196" s="889"/>
      <c r="K196" s="889">
        <v>9</v>
      </c>
      <c r="L196" s="425" t="s">
        <v>914</v>
      </c>
      <c r="M196" s="892"/>
      <c r="N196" s="1257"/>
      <c r="O196" s="1257" t="s">
        <v>926</v>
      </c>
      <c r="Q196" s="1265">
        <f>IF(Q192=0,Q193,(Q192*(Q194+Q195)/100))</f>
        <v>225000</v>
      </c>
      <c r="R196" s="1257"/>
      <c r="S196" s="889" t="s">
        <v>932</v>
      </c>
      <c r="T196" s="889" t="s">
        <v>1032</v>
      </c>
      <c r="U196" s="1257"/>
      <c r="V196" s="1257"/>
      <c r="W196" s="1264"/>
      <c r="X196" s="1257"/>
      <c r="AB196" s="1257"/>
      <c r="AC196" s="1257">
        <v>2</v>
      </c>
      <c r="AD196" s="1257" t="s">
        <v>875</v>
      </c>
      <c r="AE196" s="1257"/>
      <c r="AF196" s="1257"/>
      <c r="AH196" s="1201" t="s">
        <v>883</v>
      </c>
      <c r="AI196" s="1201">
        <f>H99</f>
        <v>0</v>
      </c>
      <c r="AQ196" s="892" t="s">
        <v>1247</v>
      </c>
      <c r="AS196" s="1261">
        <f>IF(AH204=1,(AI195/24*AI196/365),0)</f>
        <v>0</v>
      </c>
      <c r="AU196" s="892" t="s">
        <v>896</v>
      </c>
      <c r="AV196" s="1261">
        <f>IF(AM204=3,AN191/24*AN192/365*IF(AD197=2,0.2,0),0)</f>
        <v>0</v>
      </c>
      <c r="AX196" s="1201">
        <v>5</v>
      </c>
      <c r="AY196" s="1263" t="s">
        <v>918</v>
      </c>
      <c r="AZ196" s="894">
        <v>74</v>
      </c>
      <c r="BA196" s="894">
        <v>0.5</v>
      </c>
      <c r="BB196" s="894">
        <v>17</v>
      </c>
      <c r="BC196" s="894">
        <v>2</v>
      </c>
      <c r="BD196" s="894">
        <v>1</v>
      </c>
    </row>
    <row r="197" spans="2:56" s="1201" customFormat="1" ht="15.5" hidden="1" x14ac:dyDescent="0.35">
      <c r="B197" s="1262">
        <v>7</v>
      </c>
      <c r="C197" s="1263" t="s">
        <v>920</v>
      </c>
      <c r="K197" s="892">
        <v>10</v>
      </c>
      <c r="L197" s="892" t="s">
        <v>2085</v>
      </c>
      <c r="M197" s="892"/>
      <c r="N197" s="1257"/>
      <c r="O197" s="1257" t="s">
        <v>744</v>
      </c>
      <c r="P197" s="1257"/>
      <c r="Q197" s="1265">
        <f>IF(Q192=0,(Q193/((Q194+Q195)/100)),Q192)</f>
        <v>3000000</v>
      </c>
      <c r="R197" s="1257"/>
      <c r="S197" s="889"/>
      <c r="T197" s="889" t="s">
        <v>933</v>
      </c>
      <c r="U197" s="1257"/>
      <c r="V197" s="1257"/>
      <c r="W197" s="1264"/>
      <c r="X197" s="1257"/>
      <c r="AB197" s="1257"/>
      <c r="AC197" s="1257" t="s">
        <v>228</v>
      </c>
      <c r="AD197" s="1266">
        <f>IF(G97="",1,IF(G97=AD195,1,2))</f>
        <v>1</v>
      </c>
      <c r="AE197" s="1257"/>
      <c r="AF197" s="1257"/>
      <c r="AQ197" s="892" t="s">
        <v>893</v>
      </c>
      <c r="AS197" s="1261">
        <f>IF(AH204=2,(AI195/24*AI196/365),0)*IF(AD197=2,0.8,1)</f>
        <v>0</v>
      </c>
      <c r="AU197" s="892" t="s">
        <v>1253</v>
      </c>
      <c r="AV197" s="1261">
        <f>IF(AM204=4,AN191/24*AN192/365,0)</f>
        <v>0</v>
      </c>
      <c r="AX197" s="1201">
        <v>6</v>
      </c>
      <c r="AY197" s="1269" t="s">
        <v>919</v>
      </c>
      <c r="AZ197" s="894">
        <v>75</v>
      </c>
      <c r="BA197" s="894">
        <v>0.5</v>
      </c>
      <c r="BB197" s="894">
        <v>18</v>
      </c>
      <c r="BC197" s="894">
        <v>2</v>
      </c>
      <c r="BD197" s="894">
        <v>1</v>
      </c>
    </row>
    <row r="198" spans="2:56" s="1201" customFormat="1" ht="15.5" hidden="1" x14ac:dyDescent="0.35">
      <c r="B198" s="1270"/>
      <c r="K198" s="892">
        <v>11</v>
      </c>
      <c r="L198" s="892" t="s">
        <v>2086</v>
      </c>
      <c r="M198" s="892"/>
      <c r="N198" s="1257"/>
      <c r="O198" s="1257" t="s">
        <v>1219</v>
      </c>
      <c r="P198" s="1257"/>
      <c r="Q198" s="1265">
        <f>(Q197*1.03)*(0.2534+0.1226*Q194+0.0776*Q195)</f>
        <v>3179301.0000000005</v>
      </c>
      <c r="R198" s="1257"/>
      <c r="S198" s="892"/>
      <c r="T198" s="2575" t="s">
        <v>1950</v>
      </c>
      <c r="U198" s="2575"/>
      <c r="V198" s="1257"/>
      <c r="W198" s="1264"/>
      <c r="X198" s="1257"/>
      <c r="Y198" s="1257"/>
      <c r="Z198" s="1257"/>
      <c r="AA198" s="1257"/>
      <c r="AB198" s="1257"/>
      <c r="AC198" s="1257"/>
      <c r="AD198" s="1257"/>
      <c r="AE198" s="1257"/>
      <c r="AF198" s="1257"/>
      <c r="AH198" s="1201" t="s">
        <v>891</v>
      </c>
      <c r="AK198" s="1201" t="s">
        <v>892</v>
      </c>
      <c r="AQ198" s="1201" t="s">
        <v>1215</v>
      </c>
      <c r="AS198" s="1261">
        <f>IF(AH204=2,(AI195/24*AI196/365*IF(AD197=2,0.2,0)),0)</f>
        <v>0</v>
      </c>
      <c r="AU198" s="892" t="s">
        <v>889</v>
      </c>
      <c r="AV198" s="1261">
        <f>AV194+AV196+AV197</f>
        <v>0</v>
      </c>
      <c r="AX198" s="1201">
        <v>7</v>
      </c>
      <c r="AY198" s="1263" t="s">
        <v>920</v>
      </c>
      <c r="AZ198" s="894">
        <v>80</v>
      </c>
      <c r="BA198" s="894">
        <v>0.5</v>
      </c>
      <c r="BB198" s="894">
        <v>50</v>
      </c>
      <c r="BC198" s="894">
        <v>2</v>
      </c>
      <c r="BD198" s="894">
        <v>2</v>
      </c>
    </row>
    <row r="199" spans="2:56" s="1201" customFormat="1" ht="15.5" hidden="1" x14ac:dyDescent="0.35">
      <c r="K199" s="892">
        <v>12</v>
      </c>
      <c r="L199" s="892" t="s">
        <v>867</v>
      </c>
      <c r="M199" s="892"/>
      <c r="N199" s="1257"/>
      <c r="O199" s="1257" t="s">
        <v>2071</v>
      </c>
      <c r="P199" s="1257"/>
      <c r="Q199" s="1268">
        <f>ROUND((Q198/D17/D33),1)</f>
        <v>23.6</v>
      </c>
      <c r="R199" s="1257"/>
      <c r="V199" s="1257"/>
      <c r="W199" s="1257"/>
      <c r="X199" s="1257"/>
      <c r="AC199" s="1257"/>
      <c r="AD199" s="1257"/>
      <c r="AE199" s="1257"/>
      <c r="AF199" s="1257"/>
      <c r="AQ199" s="1201" t="s">
        <v>1216</v>
      </c>
      <c r="AS199" s="1261">
        <f>(IF(AH204=3,(AI195/24*AI196/365*IF(AD197=2,0.8,1)),0))</f>
        <v>0</v>
      </c>
      <c r="AU199" s="892" t="s">
        <v>1248</v>
      </c>
      <c r="AV199" s="1261">
        <f>AV192</f>
        <v>0</v>
      </c>
      <c r="AX199" s="1201" t="s">
        <v>228</v>
      </c>
      <c r="AY199" s="1201" t="str">
        <f>VLOOKUP($D$13,$AY$192:$BD$198,1,FALSE)</f>
        <v>Victoria</v>
      </c>
      <c r="AZ199" s="1201">
        <f>VLOOKUP($D$13,$AY$192:$BD$198,2,FALSE)</f>
        <v>74</v>
      </c>
      <c r="BA199" s="1201">
        <f>VLOOKUP($D$13,$AY$192:$BD$198,3,FALSE)</f>
        <v>0.5</v>
      </c>
      <c r="BB199" s="1201">
        <f>VLOOKUP($D$13,$AY$192:$BD$198,4,FALSE)</f>
        <v>17</v>
      </c>
      <c r="BC199" s="1201">
        <f>VLOOKUP($D$13,$AY$192:$BD$198,5,FALSE)</f>
        <v>2</v>
      </c>
      <c r="BD199" s="1201">
        <f>VLOOKUP($D$13,$AY$192:$BD$198,6,FALSE)</f>
        <v>1</v>
      </c>
    </row>
    <row r="200" spans="2:56" s="1201" customFormat="1" ht="15.5" hidden="1" x14ac:dyDescent="0.35">
      <c r="B200" s="1201" t="s">
        <v>921</v>
      </c>
      <c r="C200" s="1262" t="str">
        <f>D13</f>
        <v>Victoria</v>
      </c>
      <c r="D200" s="1257" t="s">
        <v>922</v>
      </c>
      <c r="E200" s="1201" t="str">
        <f>C73</f>
        <v>South West VIC</v>
      </c>
      <c r="G200" s="1201" t="s">
        <v>2049</v>
      </c>
      <c r="H200" s="1201" t="s">
        <v>2068</v>
      </c>
      <c r="K200" s="892">
        <v>13</v>
      </c>
      <c r="L200" s="889" t="s">
        <v>2090</v>
      </c>
      <c r="M200" s="892"/>
      <c r="N200" s="1257"/>
      <c r="O200" s="1257" t="s">
        <v>743</v>
      </c>
      <c r="P200" s="1257"/>
      <c r="Q200" s="1268">
        <f>((Q197/D17/D33))</f>
        <v>22.222222222222225</v>
      </c>
      <c r="R200" s="1257"/>
      <c r="S200" s="889" t="s">
        <v>228</v>
      </c>
      <c r="T200" s="889" t="str">
        <f>C71</f>
        <v>Based on data entered here</v>
      </c>
      <c r="U200" s="897">
        <f>IF(C71="",0,IF(C71=T196,1,IF(C71=T197,2,3)))</f>
        <v>2</v>
      </c>
      <c r="V200" s="1257"/>
      <c r="W200" s="1257"/>
      <c r="X200" s="1257"/>
      <c r="AF200" s="1257"/>
      <c r="AG200" s="1257">
        <v>1</v>
      </c>
      <c r="AH200" s="892" t="s">
        <v>1242</v>
      </c>
      <c r="AI200" s="1257"/>
      <c r="AJ200" s="1257"/>
      <c r="AK200" s="1201" t="s">
        <v>877</v>
      </c>
      <c r="AL200" s="1201">
        <v>1</v>
      </c>
      <c r="AM200" s="892" t="s">
        <v>1242</v>
      </c>
      <c r="AQ200" s="1201" t="s">
        <v>894</v>
      </c>
      <c r="AS200" s="1261">
        <f>(IF(AH204=3,(AI195/24*AI196/365*IF(AD197=2,0.2,0)),0))</f>
        <v>0</v>
      </c>
      <c r="AU200" s="1201" t="s">
        <v>900</v>
      </c>
      <c r="AV200" s="1261">
        <f>AV195</f>
        <v>0</v>
      </c>
    </row>
    <row r="201" spans="2:56" s="1201" customFormat="1" ht="15.5" hidden="1" x14ac:dyDescent="0.35">
      <c r="G201" s="892"/>
      <c r="H201" s="892" t="s">
        <v>2069</v>
      </c>
      <c r="I201" s="892"/>
      <c r="K201" s="892">
        <v>14</v>
      </c>
      <c r="L201" s="894" t="s">
        <v>868</v>
      </c>
      <c r="M201" s="892"/>
      <c r="N201" s="1257"/>
      <c r="O201" s="1257" t="s">
        <v>1979</v>
      </c>
      <c r="P201" s="1257"/>
      <c r="Q201" s="1273">
        <f>(Q200*((Q194+Q195)/100))</f>
        <v>1.6666666666666667</v>
      </c>
      <c r="R201" s="1257"/>
      <c r="S201" s="1257"/>
      <c r="T201" s="1257"/>
      <c r="U201" s="1257"/>
      <c r="V201" s="1257"/>
      <c r="W201" s="1257"/>
      <c r="X201" s="1257"/>
      <c r="AF201" s="1257"/>
      <c r="AG201" s="1257">
        <v>2</v>
      </c>
      <c r="AH201" s="892" t="s">
        <v>930</v>
      </c>
      <c r="AI201" s="1257"/>
      <c r="AJ201" s="1257"/>
      <c r="AL201" s="1201">
        <v>2</v>
      </c>
      <c r="AM201" s="892" t="s">
        <v>930</v>
      </c>
      <c r="AQ201" s="1260" t="s">
        <v>1323</v>
      </c>
      <c r="AS201" s="1261">
        <f>IF(AH204=4,(AI195/24*AI196/365),0)</f>
        <v>0</v>
      </c>
      <c r="AU201" s="1201" t="s">
        <v>1251</v>
      </c>
      <c r="AV201" s="1261">
        <f>AV193</f>
        <v>0</v>
      </c>
      <c r="AX201" s="1201" t="s">
        <v>905</v>
      </c>
      <c r="AZ201" s="1271">
        <f>AZ199*AS204</f>
        <v>0</v>
      </c>
      <c r="BA201" s="1271">
        <f>BA199*AS205</f>
        <v>0</v>
      </c>
      <c r="BB201" s="1271">
        <f>BB199*AS203</f>
        <v>0</v>
      </c>
      <c r="BC201" s="1271">
        <f>BC199*AS202</f>
        <v>0</v>
      </c>
      <c r="BD201" s="1271">
        <f>BD199*AS190</f>
        <v>1</v>
      </c>
    </row>
    <row r="202" spans="2:56" s="1201" customFormat="1" ht="15.5" hidden="1" x14ac:dyDescent="0.35">
      <c r="G202" s="892" t="s">
        <v>228</v>
      </c>
      <c r="H202" s="892">
        <f>IF(K15=H200,1,2)</f>
        <v>2</v>
      </c>
      <c r="I202" s="892"/>
      <c r="K202" s="892">
        <v>15</v>
      </c>
      <c r="L202" s="894" t="s">
        <v>2087</v>
      </c>
      <c r="M202" s="892"/>
      <c r="N202" s="1257"/>
      <c r="O202" s="1257" t="s">
        <v>813</v>
      </c>
      <c r="P202" s="1257"/>
      <c r="Q202" s="1268">
        <f>((D36*F36)+(D37*F37)+(D38*F38)+(D39*F39)+(D40*F40)+(D41*F41))/D42</f>
        <v>75.972222222222229</v>
      </c>
      <c r="R202" s="1257"/>
      <c r="S202" s="1257" t="s">
        <v>738</v>
      </c>
      <c r="T202" s="1257" t="s">
        <v>992</v>
      </c>
      <c r="U202" s="1257"/>
      <c r="V202" s="1257"/>
      <c r="W202" s="1257"/>
      <c r="X202" s="1257"/>
      <c r="AF202" s="1257"/>
      <c r="AG202" s="1257">
        <v>3</v>
      </c>
      <c r="AH202" s="889" t="s">
        <v>1243</v>
      </c>
      <c r="AI202" s="1257"/>
      <c r="AJ202" s="1257"/>
      <c r="AL202" s="1201">
        <v>3</v>
      </c>
      <c r="AM202" s="889" t="s">
        <v>1243</v>
      </c>
      <c r="AQ202" s="1260" t="s">
        <v>889</v>
      </c>
      <c r="AS202" s="1261">
        <f>AS193+AS195+AS198+AS200+AS201</f>
        <v>0</v>
      </c>
      <c r="AX202" s="1201" t="s">
        <v>899</v>
      </c>
      <c r="AZ202" s="1271"/>
      <c r="BA202" s="1271"/>
      <c r="BB202" s="1271"/>
      <c r="BC202" s="1271"/>
      <c r="BD202" s="1271">
        <f>SUM(AZ201:BD201)</f>
        <v>1</v>
      </c>
    </row>
    <row r="203" spans="2:56" s="1201" customFormat="1" ht="15.5" hidden="1" x14ac:dyDescent="0.35">
      <c r="H203" s="892" t="str">
        <f>IF(H202=1,H200,H201)</f>
        <v xml:space="preserve">Calves sold post-weaning </v>
      </c>
      <c r="K203" s="892">
        <v>16</v>
      </c>
      <c r="L203" s="894" t="s">
        <v>2088</v>
      </c>
      <c r="M203" s="892"/>
      <c r="N203" s="1257"/>
      <c r="O203" s="1257" t="s">
        <v>814</v>
      </c>
      <c r="P203" s="1257"/>
      <c r="Q203" s="1268">
        <f>((D36*H36)+(D37*H37)+(D38*H38)+(D39*H39)+(D40*H40)+(D41*H41))/D42</f>
        <v>18.597222222222221</v>
      </c>
      <c r="R203" s="1257"/>
      <c r="S203" s="1257"/>
      <c r="T203" s="1257" t="s">
        <v>993</v>
      </c>
      <c r="U203" s="1257"/>
      <c r="V203" s="1257"/>
      <c r="W203" s="1257"/>
      <c r="X203" s="1257"/>
      <c r="AF203" s="1257"/>
      <c r="AG203" s="1257">
        <v>4</v>
      </c>
      <c r="AH203" s="889" t="s">
        <v>1241</v>
      </c>
      <c r="AI203" s="1257"/>
      <c r="AJ203" s="1257"/>
      <c r="AL203" s="1201">
        <v>4</v>
      </c>
      <c r="AM203" s="889" t="s">
        <v>1241</v>
      </c>
      <c r="AQ203" s="1260" t="s">
        <v>1248</v>
      </c>
      <c r="AS203" s="1261">
        <f>AS191+AS196</f>
        <v>0</v>
      </c>
    </row>
    <row r="204" spans="2:56" s="1201" customFormat="1" ht="15.5" hidden="1" x14ac:dyDescent="0.35">
      <c r="K204" s="892">
        <v>17</v>
      </c>
      <c r="L204" s="894" t="s">
        <v>2089</v>
      </c>
      <c r="M204" s="892"/>
      <c r="N204" s="1257"/>
      <c r="O204" s="1257" t="s">
        <v>1217</v>
      </c>
      <c r="P204" s="1257"/>
      <c r="Q204" s="1268">
        <f>ROUND((1.185+(0.00454*D19)-(0.0000026*(D19)^2)+((0.315*0)))^2*1.1+((Q200*D33/365)*3.054/0.6/(0.00795*Q202-0.0014)/18.4),1)</f>
        <v>17</v>
      </c>
      <c r="R204" s="1257"/>
      <c r="T204" s="1257"/>
      <c r="U204" s="1257"/>
      <c r="V204" s="1257"/>
      <c r="W204" s="1257"/>
      <c r="X204" s="1257"/>
      <c r="Y204" s="1257"/>
      <c r="Z204" s="1257"/>
      <c r="AA204" s="1257"/>
      <c r="AB204" s="1257"/>
      <c r="AF204" s="1257"/>
      <c r="AG204" s="1201" t="s">
        <v>228</v>
      </c>
      <c r="AH204" s="1201">
        <f>IF(F101=AH200,1,IF(F101=AH201,2,IF(F101=AH202,3,4)))</f>
        <v>4</v>
      </c>
      <c r="AI204" s="1257"/>
      <c r="AJ204" s="1257"/>
      <c r="AL204" s="1201" t="s">
        <v>228</v>
      </c>
      <c r="AM204" s="1201">
        <f>IF(F106=AM200,1,IF(F106=AM201,2,IF(F106=AM202,3,4)))</f>
        <v>4</v>
      </c>
      <c r="AQ204" s="1201" t="s">
        <v>900</v>
      </c>
      <c r="AS204" s="1261">
        <f>AS194+AS199</f>
        <v>0</v>
      </c>
      <c r="AX204" s="1201" t="s">
        <v>906</v>
      </c>
      <c r="AZ204" s="1201">
        <f>AZ199*AV200</f>
        <v>0</v>
      </c>
      <c r="BA204" s="1201">
        <f>BA199*AV201</f>
        <v>0</v>
      </c>
      <c r="BB204" s="1201">
        <f>BB199*AV199</f>
        <v>0</v>
      </c>
      <c r="BC204" s="1201">
        <f>BC199*AV198</f>
        <v>0</v>
      </c>
      <c r="BD204" s="1201">
        <f>BD199*AV191</f>
        <v>1</v>
      </c>
    </row>
    <row r="205" spans="2:56" s="1201" customFormat="1" ht="15.5" hidden="1" x14ac:dyDescent="0.35">
      <c r="K205" s="1594" t="s">
        <v>228</v>
      </c>
      <c r="L205" s="894" t="str">
        <f>H13</f>
        <v>Victoria- South West</v>
      </c>
      <c r="M205" s="892"/>
      <c r="N205" s="1257"/>
      <c r="O205" s="1257"/>
      <c r="P205" s="1257"/>
      <c r="Q205" s="1257"/>
      <c r="R205" s="1257"/>
      <c r="S205" s="1257" t="s">
        <v>228</v>
      </c>
      <c r="T205" s="1257" t="str">
        <f>D29</f>
        <v>litres per herd per annum</v>
      </c>
      <c r="U205" s="1266" t="str">
        <f>IF(D29=T202,"1","2")</f>
        <v>1</v>
      </c>
      <c r="V205" s="1257"/>
      <c r="W205" s="1257"/>
      <c r="X205" s="1257"/>
      <c r="Y205" s="1257"/>
      <c r="Z205" s="1257"/>
      <c r="AA205" s="1257"/>
      <c r="AB205" s="1257"/>
      <c r="AC205" s="1257"/>
      <c r="AD205" s="1257"/>
      <c r="AE205" s="1257"/>
      <c r="AF205" s="1257"/>
      <c r="AQ205" s="1201" t="s">
        <v>1251</v>
      </c>
      <c r="AS205" s="1261">
        <f>AS192+AS197</f>
        <v>0</v>
      </c>
      <c r="AX205" s="1201" t="s">
        <v>899</v>
      </c>
      <c r="BD205" s="1271">
        <f>SUM(AZ204:BD204)</f>
        <v>1</v>
      </c>
    </row>
    <row r="206" spans="2:56" s="1201" customFormat="1" ht="17.5" hidden="1" x14ac:dyDescent="0.35">
      <c r="B206" s="1272" t="s">
        <v>639</v>
      </c>
      <c r="D206" s="1257"/>
      <c r="E206" s="1257"/>
      <c r="K206" s="1594"/>
      <c r="L206" s="892"/>
      <c r="N206" s="1257"/>
      <c r="O206" s="889" t="s">
        <v>1913</v>
      </c>
      <c r="P206" s="889"/>
      <c r="Q206" s="429">
        <f>K133*1000</f>
        <v>3552241.1232018238</v>
      </c>
      <c r="R206" s="1257"/>
      <c r="S206" s="1257"/>
      <c r="U206" s="1257"/>
      <c r="V206" s="1257"/>
      <c r="W206" s="1257"/>
      <c r="X206" s="1257"/>
      <c r="Y206" s="1257"/>
      <c r="Z206" s="1257"/>
      <c r="AA206" s="1257"/>
      <c r="AB206" s="1257"/>
      <c r="AC206" s="1257"/>
      <c r="AD206" s="1257"/>
      <c r="AE206" s="1257"/>
      <c r="AS206" s="1261"/>
    </row>
    <row r="207" spans="2:56" s="1201" customFormat="1" ht="15.5" hidden="1" x14ac:dyDescent="0.35">
      <c r="N207" s="1257"/>
      <c r="O207" s="889" t="s">
        <v>927</v>
      </c>
      <c r="P207" s="889"/>
      <c r="Q207" s="479">
        <f>Q206/Q198</f>
        <v>1.1173025527315039</v>
      </c>
      <c r="R207" s="1257"/>
      <c r="S207" s="1257"/>
      <c r="T207" s="1257"/>
      <c r="U207" s="1257"/>
      <c r="V207" s="1257"/>
      <c r="W207" s="1257"/>
      <c r="X207" s="1257"/>
      <c r="Y207" s="1257"/>
      <c r="Z207" s="1257"/>
      <c r="AA207" s="1257"/>
      <c r="AB207" s="1257"/>
      <c r="AC207" s="1257"/>
      <c r="AD207" s="1257"/>
      <c r="AE207" s="1257"/>
      <c r="AF207" s="1257"/>
      <c r="AG207" s="1257"/>
      <c r="AH207" s="1620" t="s">
        <v>225</v>
      </c>
      <c r="AI207" s="1620"/>
      <c r="AJ207" s="1740" t="s">
        <v>227</v>
      </c>
      <c r="AK207" s="1740" t="s">
        <v>225</v>
      </c>
      <c r="AL207" s="897" t="s">
        <v>1238</v>
      </c>
      <c r="AM207" s="897" t="s">
        <v>1237</v>
      </c>
      <c r="AN207" s="897"/>
      <c r="AO207" s="897" t="s">
        <v>226</v>
      </c>
      <c r="AP207" s="897"/>
      <c r="AQ207" s="897" t="s">
        <v>899</v>
      </c>
      <c r="AS207" s="1261"/>
    </row>
    <row r="208" spans="2:56" s="1201" customFormat="1" ht="15.5" hidden="1" x14ac:dyDescent="0.35">
      <c r="B208" s="335" t="s">
        <v>0</v>
      </c>
      <c r="C208" s="335" t="s">
        <v>216</v>
      </c>
      <c r="D208" s="336" t="str">
        <f>D15</f>
        <v>Milking Cows</v>
      </c>
      <c r="E208" s="336" t="str">
        <f>E15</f>
        <v>Heifers &gt;1 yr age</v>
      </c>
      <c r="F208" s="336" t="str">
        <f>F15</f>
        <v>Heifers &lt;1 yr age</v>
      </c>
      <c r="G208" s="336" t="str">
        <f>G15</f>
        <v>Mature bulls</v>
      </c>
      <c r="H208" s="336" t="str">
        <f>H15</f>
        <v xml:space="preserve">Other stock &lt; 1 yr age </v>
      </c>
      <c r="I208" s="1097" t="s">
        <v>1228</v>
      </c>
      <c r="J208" s="1097" t="s">
        <v>1229</v>
      </c>
      <c r="K208" s="336" t="str">
        <f>I15</f>
        <v>Other stock &gt; 1 yr age</v>
      </c>
      <c r="L208" s="336" t="s">
        <v>215</v>
      </c>
      <c r="M208" s="337" t="s">
        <v>230</v>
      </c>
      <c r="O208" s="889" t="s">
        <v>928</v>
      </c>
      <c r="P208" s="889"/>
      <c r="Q208" s="937">
        <f>Q206/Q196</f>
        <v>15.787738325341438</v>
      </c>
      <c r="R208" s="1257"/>
      <c r="S208" s="1268"/>
      <c r="AH208" s="1257">
        <v>1</v>
      </c>
      <c r="AI208" s="1263" t="s">
        <v>912</v>
      </c>
      <c r="AJ208" s="1740">
        <v>84.29</v>
      </c>
      <c r="AK208" s="1740">
        <v>11.6</v>
      </c>
      <c r="AL208" s="1740">
        <v>1.1000000000000001</v>
      </c>
      <c r="AM208" s="1740">
        <v>0.55000000000000004</v>
      </c>
      <c r="AN208" s="1740"/>
      <c r="AO208" s="1740">
        <v>2.46</v>
      </c>
      <c r="AP208" s="1740"/>
      <c r="AQ208" s="905">
        <v>9.5751000000000008</v>
      </c>
    </row>
    <row r="209" spans="2:43" s="1201" customFormat="1" ht="15.5" hidden="1" x14ac:dyDescent="0.35">
      <c r="B209" s="1099"/>
      <c r="C209" s="1099"/>
      <c r="D209" s="1099"/>
      <c r="E209" s="1099"/>
      <c r="F209" s="1099"/>
      <c r="G209" s="1099"/>
      <c r="H209" s="1099"/>
      <c r="I209" s="1099"/>
      <c r="J209" s="1099"/>
      <c r="K209" s="1099"/>
      <c r="L209" s="1099"/>
      <c r="M209" s="1100"/>
      <c r="AH209" s="1257">
        <v>2</v>
      </c>
      <c r="AI209" s="1263" t="s">
        <v>917</v>
      </c>
      <c r="AJ209" s="905">
        <v>79.25</v>
      </c>
      <c r="AK209" s="905">
        <v>12.04</v>
      </c>
      <c r="AL209" s="905">
        <v>2.42</v>
      </c>
      <c r="AM209" s="905">
        <v>1.21</v>
      </c>
      <c r="AN209" s="469"/>
      <c r="AO209" s="905">
        <v>5.08</v>
      </c>
      <c r="AP209" s="905"/>
      <c r="AQ209" s="905">
        <v>10.154</v>
      </c>
    </row>
    <row r="210" spans="2:43" s="1201" customFormat="1" ht="15.5" hidden="1" x14ac:dyDescent="0.35">
      <c r="B210" s="1101" t="s">
        <v>231</v>
      </c>
      <c r="C210" s="1099"/>
      <c r="D210" s="1101" t="s">
        <v>816</v>
      </c>
      <c r="E210" s="1101"/>
      <c r="F210" s="1101"/>
      <c r="G210" s="1101"/>
      <c r="H210" s="1099"/>
      <c r="I210" s="1099"/>
      <c r="J210" s="1099"/>
      <c r="K210" s="1099"/>
      <c r="L210" s="1099"/>
      <c r="M210" s="1102" t="s">
        <v>1231</v>
      </c>
      <c r="O210" s="1257" t="s">
        <v>1933</v>
      </c>
      <c r="P210" s="1257"/>
      <c r="Q210" s="1531">
        <f>Q198</f>
        <v>3179301.0000000005</v>
      </c>
      <c r="AH210" s="1257">
        <v>3</v>
      </c>
      <c r="AI210" s="1263" t="s">
        <v>866</v>
      </c>
      <c r="AJ210" s="1740">
        <v>85.19</v>
      </c>
      <c r="AK210" s="1740">
        <v>7.98</v>
      </c>
      <c r="AL210" s="1740">
        <v>3.41</v>
      </c>
      <c r="AM210" s="1740">
        <v>1.43</v>
      </c>
      <c r="AN210" s="1740"/>
      <c r="AO210" s="1740">
        <v>1.99</v>
      </c>
      <c r="AP210" s="1740"/>
      <c r="AQ210" s="905">
        <v>6.6955999999999998</v>
      </c>
    </row>
    <row r="211" spans="2:43" s="1201" customFormat="1" ht="15.5" hidden="1" x14ac:dyDescent="0.35">
      <c r="B211" s="1099"/>
      <c r="C211" s="1099" t="s">
        <v>434</v>
      </c>
      <c r="D211" s="1205">
        <f>(1.185+(0.00454*D19)-(0.0000026*(D19)^2)+((0.315*D27)))^2*1.1+D215</f>
        <v>17.291350780713685</v>
      </c>
      <c r="E211" s="1205">
        <f>(1.185+(0.00454*E19)-(0.0000026*(E19)^2)+((0.315*E21)))^2*1+E215</f>
        <v>7.1609759999999989</v>
      </c>
      <c r="F211" s="1205">
        <f>(1.185+(0.00454*F19)-(0.0000026*(F19)^2)+((0.315*F21)))^2*1+F215</f>
        <v>4.1127840000000004</v>
      </c>
      <c r="G211" s="1205">
        <f>(1.185+(0.00454*G19)-(0.0000026*(G19)^2)+((0.315*G21)))^2*1+G215</f>
        <v>8.8387289999999989</v>
      </c>
      <c r="H211" s="1205">
        <f>(1.185+(0.00454*H19)-(0.0000026*(H19)^2)+((0.315*H21)))^2*1+H215</f>
        <v>5.3084159999999994</v>
      </c>
      <c r="I211" s="1103"/>
      <c r="J211" s="1103"/>
      <c r="K211" s="1205">
        <f>(1.185+(0.00454*I19)-(0.0000026*(I19)^2)+((0.315*I21)))^2*1+K215</f>
        <v>1.4042250000000001</v>
      </c>
      <c r="L211" s="1104" t="s">
        <v>232</v>
      </c>
      <c r="M211" s="1100"/>
      <c r="O211" s="1257" t="s">
        <v>1926</v>
      </c>
      <c r="P211" s="1257"/>
      <c r="Q211" s="1620" t="s">
        <v>1927</v>
      </c>
      <c r="R211" s="1552" t="s">
        <v>1930</v>
      </c>
      <c r="S211" s="1552" t="s">
        <v>1931</v>
      </c>
      <c r="T211" s="1552" t="s">
        <v>1932</v>
      </c>
      <c r="U211" s="1552" t="s">
        <v>1991</v>
      </c>
      <c r="V211" s="1201" t="s">
        <v>1990</v>
      </c>
      <c r="AH211" s="1257">
        <v>4</v>
      </c>
      <c r="AI211" s="1263" t="s">
        <v>914</v>
      </c>
      <c r="AJ211" s="1740">
        <v>79.37</v>
      </c>
      <c r="AK211" s="1740">
        <v>9.68</v>
      </c>
      <c r="AL211" s="1740">
        <v>2.64</v>
      </c>
      <c r="AM211" s="1740">
        <v>3.3</v>
      </c>
      <c r="AN211" s="1740"/>
      <c r="AO211" s="1740">
        <v>5.01</v>
      </c>
      <c r="AP211" s="1740"/>
      <c r="AQ211" s="905">
        <v>9.1526999999999994</v>
      </c>
    </row>
    <row r="212" spans="2:43" s="1201" customFormat="1" ht="15.5" hidden="1" x14ac:dyDescent="0.35">
      <c r="B212" s="1099"/>
      <c r="C212" s="1099"/>
      <c r="D212" s="1692"/>
      <c r="E212" s="1103"/>
      <c r="F212" s="1103"/>
      <c r="G212" s="1103"/>
      <c r="H212" s="1103"/>
      <c r="I212" s="1103"/>
      <c r="J212" s="1103"/>
      <c r="K212" s="1103"/>
      <c r="L212" s="1104"/>
      <c r="M212" s="1100"/>
      <c r="O212" s="1257" t="s">
        <v>1927</v>
      </c>
      <c r="P212" s="1257"/>
      <c r="Q212" s="1620">
        <f t="shared" ref="Q212:V212" si="4">IF(AND(D23&gt;0,D25=""),(D23*D19),(D23*D25))</f>
        <v>63250</v>
      </c>
      <c r="R212" s="1620">
        <f t="shared" si="4"/>
        <v>4250</v>
      </c>
      <c r="S212" s="1620">
        <f t="shared" si="4"/>
        <v>0</v>
      </c>
      <c r="T212" s="1620">
        <f t="shared" si="4"/>
        <v>2400</v>
      </c>
      <c r="U212" s="1620">
        <f t="shared" si="4"/>
        <v>40000</v>
      </c>
      <c r="V212" s="1620">
        <f t="shared" si="4"/>
        <v>0</v>
      </c>
      <c r="AH212" s="1262">
        <v>5</v>
      </c>
      <c r="AI212" s="1263" t="s">
        <v>918</v>
      </c>
      <c r="AJ212" s="1740">
        <v>80.67</v>
      </c>
      <c r="AK212" s="1740">
        <v>10.81</v>
      </c>
      <c r="AL212" s="1740">
        <v>3.52</v>
      </c>
      <c r="AM212" s="1740">
        <v>0.66</v>
      </c>
      <c r="AN212" s="1740"/>
      <c r="AO212" s="1740">
        <v>4.34</v>
      </c>
      <c r="AP212" s="1740"/>
      <c r="AQ212" s="905">
        <v>9.0227000000000004</v>
      </c>
    </row>
    <row r="213" spans="2:43" s="1201" customFormat="1" ht="15.5" hidden="1" x14ac:dyDescent="0.35">
      <c r="B213" s="1101" t="s">
        <v>233</v>
      </c>
      <c r="C213" s="1104"/>
      <c r="D213" s="1101" t="s">
        <v>1319</v>
      </c>
      <c r="E213" s="1101"/>
      <c r="F213" s="1099"/>
      <c r="G213" s="1099"/>
      <c r="H213" s="1099"/>
      <c r="I213" s="1099"/>
      <c r="J213" s="1099"/>
      <c r="K213" s="1099"/>
      <c r="L213" s="1099"/>
      <c r="M213" s="1100"/>
      <c r="O213" s="1257" t="s">
        <v>1934</v>
      </c>
      <c r="P213" s="1257"/>
      <c r="Q213" s="1620">
        <f>SUM(Q212:V212)</f>
        <v>109900</v>
      </c>
      <c r="S213" s="2034"/>
      <c r="AH213" s="1257">
        <v>6</v>
      </c>
      <c r="AI213" s="1269" t="s">
        <v>919</v>
      </c>
      <c r="AJ213" s="1740">
        <v>81.86</v>
      </c>
      <c r="AK213" s="1740">
        <v>10.35</v>
      </c>
      <c r="AL213" s="1740">
        <v>2.5299999999999998</v>
      </c>
      <c r="AM213" s="1740">
        <v>1.54</v>
      </c>
      <c r="AN213" s="1740"/>
      <c r="AO213" s="1740">
        <v>3.72</v>
      </c>
      <c r="AP213" s="1740"/>
      <c r="AQ213" s="905">
        <v>8.9453999999999994</v>
      </c>
    </row>
    <row r="214" spans="2:43" s="1201" customFormat="1" ht="15.5" hidden="1" x14ac:dyDescent="0.35">
      <c r="B214" s="1099"/>
      <c r="C214" s="1099"/>
      <c r="D214" s="1101" t="s">
        <v>234</v>
      </c>
      <c r="E214" s="1099"/>
      <c r="F214" s="1099"/>
      <c r="G214" s="1099"/>
      <c r="H214" s="1099"/>
      <c r="I214" s="1099"/>
      <c r="J214" s="1099"/>
      <c r="K214" s="1099"/>
      <c r="L214" s="1099"/>
      <c r="M214" s="1102" t="s">
        <v>1232</v>
      </c>
      <c r="Q214" s="1257"/>
      <c r="AH214" s="1257">
        <v>7</v>
      </c>
      <c r="AI214" s="1263" t="s">
        <v>920</v>
      </c>
      <c r="AJ214" s="1740">
        <v>79.37</v>
      </c>
      <c r="AK214" s="1740">
        <v>9.68</v>
      </c>
      <c r="AL214" s="1740">
        <v>2.64</v>
      </c>
      <c r="AM214" s="1740">
        <v>3.3</v>
      </c>
      <c r="AN214" s="1740"/>
      <c r="AO214" s="1740">
        <v>5.01</v>
      </c>
      <c r="AP214" s="1740"/>
      <c r="AQ214" s="905">
        <v>11.108000000000001</v>
      </c>
    </row>
    <row r="215" spans="2:43" s="1201" customFormat="1" ht="15.5" hidden="1" x14ac:dyDescent="0.35">
      <c r="B215" s="1099"/>
      <c r="C215" s="1099" t="s">
        <v>434</v>
      </c>
      <c r="D215" s="1205">
        <f>(Q200*1.03*D33/365)*3.054/0.6/((0.00795*F42)-0.0014)/18.4</f>
        <v>8.636523280713682</v>
      </c>
      <c r="E215" s="1103">
        <f>0*3.054/0.6/(0.00795*D44-0.0014)/18.4</f>
        <v>0</v>
      </c>
      <c r="F215" s="1103">
        <f>0*3.054/0.6/(0.00795*D45-0.0014)/18.4</f>
        <v>0</v>
      </c>
      <c r="G215" s="1103">
        <f>0*3.054/0.6/(0.00795*D44-0.0014)/18.4</f>
        <v>0</v>
      </c>
      <c r="H215" s="1103">
        <f>0*3.054/0.6/(0.00795*D44-0.0014)/18.4</f>
        <v>0</v>
      </c>
      <c r="I215" s="1103"/>
      <c r="J215" s="1103"/>
      <c r="K215" s="1103">
        <f>0*3.054/0.6/(0.00795*D44-0.0014)/18.4</f>
        <v>0</v>
      </c>
      <c r="L215" s="1104" t="s">
        <v>232</v>
      </c>
      <c r="M215" s="1100"/>
      <c r="O215" s="1257"/>
      <c r="P215" s="1257"/>
      <c r="Q215" s="1533"/>
      <c r="R215" s="1620"/>
      <c r="S215" s="1620"/>
      <c r="AK215" s="1620">
        <v>0</v>
      </c>
      <c r="AL215" s="1620">
        <v>0</v>
      </c>
      <c r="AM215" s="1620"/>
      <c r="AN215" s="1620"/>
      <c r="AO215" s="1620"/>
      <c r="AP215" s="1620"/>
      <c r="AQ215" s="1620"/>
    </row>
    <row r="216" spans="2:43" s="1201" customFormat="1" ht="15.5" hidden="1" x14ac:dyDescent="0.35">
      <c r="B216" s="1099"/>
      <c r="C216" s="1099"/>
      <c r="D216" s="1692"/>
      <c r="E216" s="1103"/>
      <c r="F216" s="1103"/>
      <c r="G216" s="1103"/>
      <c r="H216" s="1103"/>
      <c r="I216" s="1103"/>
      <c r="J216" s="1103"/>
      <c r="K216" s="1103"/>
      <c r="L216" s="1104"/>
      <c r="M216" s="1100"/>
      <c r="O216" s="1257"/>
      <c r="P216" s="1257"/>
      <c r="Q216" s="1533"/>
      <c r="R216" s="1258"/>
      <c r="S216" s="1609"/>
      <c r="T216" s="1554"/>
      <c r="AH216" s="1257" t="s">
        <v>902</v>
      </c>
      <c r="AI216" s="1257" t="str">
        <f>C200</f>
        <v>Victoria</v>
      </c>
      <c r="AJ216" s="1620">
        <f>VLOOKUP($D$13,$AI$208:$AQ$214,2,FALSE)</f>
        <v>84.29</v>
      </c>
      <c r="AK216" s="1620">
        <f>VLOOKUP($C$200,$AI$208:$AQ$214,3,FALSE)</f>
        <v>11.6</v>
      </c>
      <c r="AL216" s="1620">
        <f>VLOOKUP($C$200,$AI$208:$AQ$214,4,FALSE)</f>
        <v>1.1000000000000001</v>
      </c>
      <c r="AM216" s="1620">
        <f>VLOOKUP($C$200,$AI$208:$AQ$214,5,FALSE)</f>
        <v>0.55000000000000004</v>
      </c>
      <c r="AN216" s="1620"/>
      <c r="AO216" s="1620">
        <f>VLOOKUP($C$200,$AI$208:$AQ$214,7,FALSE)</f>
        <v>2.46</v>
      </c>
      <c r="AP216" s="1620"/>
      <c r="AQ216" s="1274">
        <f>VLOOKUP($C$200,$AI$208:$AQ$214,9,FALSE)</f>
        <v>9.5751000000000008</v>
      </c>
    </row>
    <row r="217" spans="2:43" s="1201" customFormat="1" ht="15.5" hidden="1" x14ac:dyDescent="0.35">
      <c r="B217" s="1101" t="s">
        <v>236</v>
      </c>
      <c r="C217" s="1104"/>
      <c r="D217" s="1105" t="s">
        <v>1456</v>
      </c>
      <c r="E217" s="1099"/>
      <c r="F217" s="1099"/>
      <c r="G217" s="1099"/>
      <c r="H217" s="1099"/>
      <c r="I217" s="1099"/>
      <c r="J217" s="1099"/>
      <c r="K217" s="1099"/>
      <c r="L217" s="1099"/>
      <c r="M217" s="1102" t="s">
        <v>1233</v>
      </c>
      <c r="O217" s="1257"/>
      <c r="P217" s="1257"/>
      <c r="Q217" s="1257"/>
      <c r="R217" s="1257"/>
      <c r="S217" s="1257"/>
      <c r="AH217" s="1257" t="s">
        <v>904</v>
      </c>
      <c r="AI217" s="1257"/>
      <c r="AJ217" s="1258">
        <f>AS190*100</f>
        <v>100</v>
      </c>
      <c r="AK217" s="1258">
        <f>AS204*100</f>
        <v>0</v>
      </c>
      <c r="AL217" s="1258">
        <f>AS205*100</f>
        <v>0</v>
      </c>
      <c r="AM217" s="1258">
        <f>AS203*100</f>
        <v>0</v>
      </c>
      <c r="AN217" s="1258"/>
      <c r="AO217" s="1258">
        <f>AS202*100</f>
        <v>0</v>
      </c>
      <c r="AP217" s="1620"/>
      <c r="AQ217" s="1274">
        <f>BD202</f>
        <v>1</v>
      </c>
    </row>
    <row r="218" spans="2:43" s="1201" customFormat="1" ht="15.5" hidden="1" x14ac:dyDescent="0.35">
      <c r="B218" s="1099"/>
      <c r="C218" s="1099" t="s">
        <v>434</v>
      </c>
      <c r="D218" s="1103">
        <f>20.7*D211/1000</f>
        <v>0.35793096116077328</v>
      </c>
      <c r="E218" s="1103">
        <f>20.7*E211/1000</f>
        <v>0.14823220319999997</v>
      </c>
      <c r="F218" s="1103">
        <f>20.7*F211/1000</f>
        <v>8.5134628800000001E-2</v>
      </c>
      <c r="G218" s="1360">
        <f>20.7*G211/1000</f>
        <v>0.18296169029999995</v>
      </c>
      <c r="H218" s="1103">
        <f>20.7*H211/1000</f>
        <v>0.10988421119999998</v>
      </c>
      <c r="I218" s="1103">
        <v>1.7600000000000001E-2</v>
      </c>
      <c r="J218" s="1103">
        <v>2.0400000000000001E-2</v>
      </c>
      <c r="K218" s="1360">
        <f>20.7*K211/1000</f>
        <v>2.9067457500000001E-2</v>
      </c>
      <c r="L218" s="1104" t="s">
        <v>1320</v>
      </c>
      <c r="M218" s="1100"/>
      <c r="O218" s="1257"/>
      <c r="P218" s="1257"/>
      <c r="Q218" s="1257"/>
      <c r="R218" s="1257"/>
      <c r="S218" s="1257"/>
      <c r="AH218" s="1201" t="s">
        <v>903</v>
      </c>
      <c r="AJ218" s="1258">
        <f>IF($AD$192=1,AJ216,AJ217)</f>
        <v>84.29</v>
      </c>
      <c r="AK218" s="1258">
        <f>IF($AD$192=1,AK216,AK217)</f>
        <v>11.6</v>
      </c>
      <c r="AL218" s="1258">
        <f>IF($AD$192=1,AL216,AL217)</f>
        <v>1.1000000000000001</v>
      </c>
      <c r="AM218" s="1361">
        <f>IF($AD$192=1,AM216,AM217)</f>
        <v>0.55000000000000004</v>
      </c>
      <c r="AN218" s="1258"/>
      <c r="AO218" s="1258">
        <f>IF($AD$192=1,AO216,AO217)</f>
        <v>2.46</v>
      </c>
      <c r="AP218" s="1258"/>
      <c r="AQ218" s="1274">
        <f>IF($AD$192=1,AQ216,AQ217)</f>
        <v>9.5751000000000008</v>
      </c>
    </row>
    <row r="219" spans="2:43" s="1201" customFormat="1" ht="15.5" hidden="1" x14ac:dyDescent="0.35">
      <c r="B219" s="1099"/>
      <c r="C219" s="1099"/>
      <c r="D219" s="1103"/>
      <c r="E219" s="1103"/>
      <c r="F219" s="1103"/>
      <c r="G219" s="1103"/>
      <c r="H219" s="1103"/>
      <c r="I219" s="1103"/>
      <c r="J219" s="1103" t="s">
        <v>1321</v>
      </c>
      <c r="K219" s="1103"/>
      <c r="L219" s="1104"/>
      <c r="M219" s="1100"/>
      <c r="O219" s="1257"/>
      <c r="P219" s="1257"/>
      <c r="Q219" s="1265"/>
      <c r="R219" s="1257"/>
      <c r="S219" s="1257"/>
      <c r="T219" s="1769"/>
      <c r="U219" s="1769"/>
      <c r="AH219" s="1257" t="s">
        <v>1254</v>
      </c>
      <c r="AJ219" s="1620">
        <v>100</v>
      </c>
      <c r="AK219" s="1620">
        <v>0</v>
      </c>
      <c r="AL219" s="1620">
        <v>0</v>
      </c>
      <c r="AM219" s="1620">
        <v>0</v>
      </c>
      <c r="AN219" s="1620"/>
      <c r="AO219" s="1620">
        <v>0</v>
      </c>
      <c r="AP219" s="1620"/>
      <c r="AQ219" s="1274">
        <f>IF(OR(D13="Queensland",D13="Northern.Territory"),2,1)</f>
        <v>1</v>
      </c>
    </row>
    <row r="220" spans="2:43" s="1201" customFormat="1" ht="15.5" hidden="1" x14ac:dyDescent="0.35">
      <c r="B220" s="1099"/>
      <c r="C220" s="1099"/>
      <c r="D220" s="1099"/>
      <c r="E220" s="1099"/>
      <c r="F220" s="1099"/>
      <c r="G220" s="1099"/>
      <c r="H220" s="1099"/>
      <c r="I220" s="1099"/>
      <c r="J220" s="1099"/>
      <c r="K220" s="1099"/>
      <c r="L220" s="1099"/>
      <c r="M220" s="1100"/>
      <c r="O220" s="1257"/>
      <c r="P220" s="1257"/>
      <c r="Q220" s="1533"/>
      <c r="R220" s="1257"/>
      <c r="S220" s="1533"/>
      <c r="AH220" s="1201" t="s">
        <v>907</v>
      </c>
      <c r="AJ220" s="1620">
        <f>AV191*100</f>
        <v>100</v>
      </c>
      <c r="AK220" s="1620">
        <f>AV200*100</f>
        <v>0</v>
      </c>
      <c r="AL220" s="1620">
        <f>AV201*100</f>
        <v>0</v>
      </c>
      <c r="AM220" s="1620">
        <f>AV199*100</f>
        <v>0</v>
      </c>
      <c r="AN220" s="1620"/>
      <c r="AO220" s="1620">
        <f>AV198*100</f>
        <v>0</v>
      </c>
      <c r="AP220" s="1620"/>
      <c r="AQ220" s="1274">
        <f>BD205</f>
        <v>1</v>
      </c>
    </row>
    <row r="221" spans="2:43" s="1201" customFormat="1" ht="15.5" hidden="1" x14ac:dyDescent="0.35">
      <c r="B221" s="1107" t="s">
        <v>238</v>
      </c>
      <c r="C221" s="1099"/>
      <c r="D221" s="1099"/>
      <c r="E221" s="1099"/>
      <c r="F221" s="1099"/>
      <c r="G221" s="1099"/>
      <c r="H221" s="1099"/>
      <c r="I221" s="1099"/>
      <c r="J221" s="1099"/>
      <c r="K221" s="1099"/>
      <c r="L221" s="1099"/>
      <c r="M221" s="1100"/>
      <c r="O221" s="1257"/>
      <c r="P221" s="1257"/>
      <c r="Q221" s="1533"/>
      <c r="R221" s="1257"/>
      <c r="S221" s="1533"/>
      <c r="AH221" s="1257" t="s">
        <v>908</v>
      </c>
      <c r="AJ221" s="1258">
        <f>IF($AD$192=1,AJ219,AJ220)</f>
        <v>100</v>
      </c>
      <c r="AK221" s="1258">
        <f>IF($AD$192=1,AK219,AK220)</f>
        <v>0</v>
      </c>
      <c r="AL221" s="1258">
        <f>IF($AD$192=1,AL219,AL220)</f>
        <v>0</v>
      </c>
      <c r="AM221" s="1258">
        <f>IF($AD$192=1,AM219,AM220)</f>
        <v>0</v>
      </c>
      <c r="AN221" s="1620"/>
      <c r="AO221" s="1258">
        <f>IF($AD$192=1,AO219,AO220)</f>
        <v>0</v>
      </c>
      <c r="AP221" s="1620"/>
      <c r="AQ221" s="1274">
        <f>IF($AD$192=1,AQ219,AQ220)</f>
        <v>1</v>
      </c>
    </row>
    <row r="222" spans="2:43" s="1201" customFormat="1" ht="15.5" hidden="1" x14ac:dyDescent="0.35">
      <c r="B222" s="1099"/>
      <c r="C222" s="1099"/>
      <c r="D222" s="1108" t="s">
        <v>1256</v>
      </c>
      <c r="E222" s="1099"/>
      <c r="F222" s="1099"/>
      <c r="G222" s="1099"/>
      <c r="H222" s="1099"/>
      <c r="I222" s="1099"/>
      <c r="J222" s="1099"/>
      <c r="K222" s="1099"/>
      <c r="L222" s="1099"/>
      <c r="M222" s="1102" t="s">
        <v>239</v>
      </c>
      <c r="O222" s="1257"/>
      <c r="P222" s="1257"/>
      <c r="Q222" s="1533"/>
      <c r="R222" s="1257"/>
      <c r="S222" s="1257"/>
    </row>
    <row r="223" spans="2:43" s="1201" customFormat="1" ht="15.5" hidden="1" x14ac:dyDescent="0.35">
      <c r="B223" s="1099"/>
      <c r="C223" s="1099"/>
      <c r="D223" s="1099"/>
      <c r="E223" s="1099"/>
      <c r="F223" s="1099"/>
      <c r="G223" s="1099"/>
      <c r="H223" s="1099"/>
      <c r="I223" s="1099"/>
      <c r="J223" s="1099"/>
      <c r="K223" s="1099"/>
      <c r="L223" s="1099"/>
      <c r="M223" s="1100"/>
      <c r="O223" s="1257"/>
      <c r="P223" s="1257"/>
      <c r="Q223" s="1257"/>
    </row>
    <row r="224" spans="2:43" s="1201" customFormat="1" ht="15.5" hidden="1" x14ac:dyDescent="0.35">
      <c r="B224" s="1099"/>
      <c r="C224" s="1099" t="s">
        <v>434</v>
      </c>
      <c r="D224" s="1359">
        <f>(365*D17*D218)*10^-6</f>
        <v>5.8790160370657006E-2</v>
      </c>
      <c r="E224" s="1359">
        <f>(365*E17*E218)*10^-6</f>
        <v>6.4925705001599989E-3</v>
      </c>
      <c r="F224" s="1359">
        <f>(281*F17*F218)*10^-6</f>
        <v>2.9903538366000001E-3</v>
      </c>
      <c r="G224" s="1359">
        <f>(365*G17*G218)*10^-6</f>
        <v>5.3424813567599981E-4</v>
      </c>
      <c r="H224" s="1359">
        <f>(281*H17*H218)*10^-6</f>
        <v>3.0877463347199993E-3</v>
      </c>
      <c r="I224" s="1359">
        <f>(84*F17*I218)*10^-6</f>
        <v>1.8479999999999999E-4</v>
      </c>
      <c r="J224" s="1359">
        <f>(84*H17*J218)*10^-6</f>
        <v>1.7136000000000001E-4</v>
      </c>
      <c r="K224" s="1359">
        <f>(365*I17*K218)*10^-6</f>
        <v>0</v>
      </c>
      <c r="L224" s="1099" t="s">
        <v>435</v>
      </c>
      <c r="M224" s="1100"/>
      <c r="O224" s="1257"/>
      <c r="P224" s="1257"/>
      <c r="Q224" s="1257"/>
      <c r="S224" s="1257"/>
    </row>
    <row r="225" spans="2:22" s="1201" customFormat="1" ht="15.5" hidden="1" x14ac:dyDescent="0.35">
      <c r="B225" s="1099"/>
      <c r="C225" s="1099"/>
      <c r="D225" s="1099"/>
      <c r="E225" s="1099"/>
      <c r="F225" s="1099"/>
      <c r="G225" s="1099"/>
      <c r="H225" s="1099"/>
      <c r="I225" s="1099"/>
      <c r="J225" s="1099"/>
      <c r="K225" s="1099"/>
      <c r="L225" s="1099"/>
      <c r="M225" s="1100"/>
      <c r="O225" s="1257" t="s">
        <v>2066</v>
      </c>
      <c r="P225" s="1257"/>
      <c r="Q225" s="1257"/>
      <c r="R225" s="1257"/>
      <c r="S225" s="1257"/>
      <c r="T225" s="1257"/>
      <c r="U225" s="1257"/>
      <c r="V225" s="1257"/>
    </row>
    <row r="226" spans="2:22" s="1201" customFormat="1" ht="15.5" hidden="1" x14ac:dyDescent="0.35">
      <c r="B226" s="1107" t="s">
        <v>240</v>
      </c>
      <c r="C226" s="338">
        <f>SUM(D224:K224)</f>
        <v>7.2251239177812995E-2</v>
      </c>
      <c r="D226" s="1110"/>
      <c r="E226" s="1110"/>
      <c r="F226" s="1110"/>
      <c r="G226" s="1110"/>
      <c r="H226" s="1110"/>
      <c r="I226" s="1110"/>
      <c r="J226" s="1110"/>
      <c r="K226" s="1110"/>
      <c r="L226" s="1111" t="s">
        <v>241</v>
      </c>
      <c r="M226" s="1100"/>
      <c r="O226" s="1257"/>
      <c r="P226" s="1257"/>
      <c r="Q226" s="1257"/>
      <c r="R226" s="1553"/>
      <c r="S226" s="1257"/>
      <c r="T226" s="1257"/>
      <c r="U226" s="1257"/>
      <c r="V226" s="1257"/>
    </row>
    <row r="227" spans="2:22" s="1201" customFormat="1" ht="15.5" hidden="1" x14ac:dyDescent="0.35">
      <c r="B227" s="1107" t="s">
        <v>242</v>
      </c>
      <c r="C227" s="338">
        <f>C226*'Emission factors'!$C$4</f>
        <v>2.023034696978764</v>
      </c>
      <c r="D227" s="1110"/>
      <c r="E227" s="1110"/>
      <c r="F227" s="1110"/>
      <c r="G227" s="1110"/>
      <c r="H227" s="1110"/>
      <c r="I227" s="1110"/>
      <c r="J227" s="1110"/>
      <c r="K227" s="1110"/>
      <c r="L227" s="1111" t="s">
        <v>243</v>
      </c>
      <c r="M227" s="1100"/>
      <c r="O227" s="525" t="s">
        <v>2050</v>
      </c>
      <c r="P227" s="1657">
        <f>D23*D25</f>
        <v>63250</v>
      </c>
      <c r="Q227" s="525"/>
      <c r="R227" s="525"/>
      <c r="S227" s="525"/>
      <c r="T227" s="525"/>
      <c r="U227" s="525"/>
      <c r="V227" s="525"/>
    </row>
    <row r="228" spans="2:22" s="1201" customFormat="1" ht="15.5" hidden="1" x14ac:dyDescent="0.35">
      <c r="B228" s="339" t="s">
        <v>242</v>
      </c>
      <c r="C228" s="340">
        <f>C227*10^3</f>
        <v>2023.034696978764</v>
      </c>
      <c r="D228" s="341"/>
      <c r="E228" s="341"/>
      <c r="F228" s="341"/>
      <c r="G228" s="341"/>
      <c r="H228" s="341"/>
      <c r="I228" s="855"/>
      <c r="J228" s="855"/>
      <c r="K228" s="1574"/>
      <c r="L228" s="342" t="s">
        <v>244</v>
      </c>
      <c r="M228" s="343"/>
      <c r="O228" s="525" t="s">
        <v>2012</v>
      </c>
      <c r="P228" s="1657">
        <f>IF(H202=1,J23*J25,0)</f>
        <v>0</v>
      </c>
      <c r="Q228" s="525"/>
      <c r="R228" s="525"/>
      <c r="S228" s="525"/>
      <c r="T228" s="525"/>
      <c r="U228" s="525"/>
      <c r="V228" s="525"/>
    </row>
    <row r="229" spans="2:22" s="1201" customFormat="1" ht="15.5" hidden="1" x14ac:dyDescent="0.35">
      <c r="O229" s="525" t="s">
        <v>2013</v>
      </c>
      <c r="P229" s="1657">
        <f>IF(H202=2,J23*J25,0)</f>
        <v>22575</v>
      </c>
      <c r="Q229" s="525"/>
      <c r="R229" s="525"/>
      <c r="S229" s="525"/>
      <c r="T229" s="525"/>
      <c r="U229" s="525"/>
      <c r="V229" s="525"/>
    </row>
    <row r="230" spans="2:22" s="1201" customFormat="1" ht="15.5" hidden="1" x14ac:dyDescent="0.35">
      <c r="B230" s="344" t="s">
        <v>421</v>
      </c>
      <c r="C230" s="344"/>
      <c r="D230" s="345" t="str">
        <f>D15</f>
        <v>Milking Cows</v>
      </c>
      <c r="E230" s="345" t="str">
        <f>E15</f>
        <v>Heifers &gt;1 yr age</v>
      </c>
      <c r="F230" s="345" t="str">
        <f>F15</f>
        <v>Heifers &lt;1 yr age</v>
      </c>
      <c r="G230" s="345" t="str">
        <f>G15</f>
        <v>Mature bulls</v>
      </c>
      <c r="H230" s="345" t="str">
        <f>H15</f>
        <v xml:space="preserve">Other stock &lt; 1 yr age </v>
      </c>
      <c r="I230" s="1113" t="s">
        <v>1228</v>
      </c>
      <c r="J230" s="1113" t="s">
        <v>1229</v>
      </c>
      <c r="K230" s="1113" t="s">
        <v>1946</v>
      </c>
      <c r="L230" s="345" t="str">
        <f>I15</f>
        <v>Other stock &gt; 1 yr age</v>
      </c>
      <c r="M230" s="346" t="s">
        <v>230</v>
      </c>
      <c r="O230" s="525" t="s">
        <v>2014</v>
      </c>
      <c r="P230" s="1657">
        <f>SUMPRODUCT(E23:G23,E25:G25)</f>
        <v>6650</v>
      </c>
      <c r="Q230" s="525"/>
      <c r="R230" s="525"/>
      <c r="S230" s="525"/>
      <c r="T230" s="525"/>
      <c r="U230" s="525"/>
      <c r="V230" s="525"/>
    </row>
    <row r="231" spans="2:22" s="1201" customFormat="1" ht="15.5" hidden="1" x14ac:dyDescent="0.35">
      <c r="B231" s="1115" t="s">
        <v>246</v>
      </c>
      <c r="C231" s="1116">
        <v>0.08</v>
      </c>
      <c r="D231" s="1117"/>
      <c r="E231" s="1116"/>
      <c r="F231" s="1116"/>
      <c r="G231" s="1116"/>
      <c r="H231" s="1116"/>
      <c r="I231" s="1116"/>
      <c r="J231" s="1116"/>
      <c r="K231" s="1116"/>
      <c r="L231" s="1116" t="s">
        <v>247</v>
      </c>
      <c r="M231" s="1118"/>
      <c r="O231" s="525" t="s">
        <v>2015</v>
      </c>
      <c r="P231" s="1657">
        <f>SUMPRODUCT(H23:I23,H25:I25)</f>
        <v>40000</v>
      </c>
      <c r="Q231" s="525"/>
      <c r="R231" s="525"/>
      <c r="S231" s="525"/>
      <c r="T231" s="525"/>
      <c r="U231" s="525"/>
      <c r="V231" s="525"/>
    </row>
    <row r="232" spans="2:22" s="1201" customFormat="1" ht="15.5" hidden="1" x14ac:dyDescent="0.35">
      <c r="B232" s="1115" t="s">
        <v>248</v>
      </c>
      <c r="C232" s="1116">
        <v>0.24</v>
      </c>
      <c r="D232" s="1117"/>
      <c r="E232" s="1116"/>
      <c r="F232" s="1116"/>
      <c r="G232" s="1116"/>
      <c r="H232" s="1116"/>
      <c r="I232" s="1116"/>
      <c r="J232" s="1116"/>
      <c r="K232" s="1116"/>
      <c r="L232" s="1116" t="s">
        <v>249</v>
      </c>
      <c r="M232" s="1118"/>
      <c r="O232" s="525" t="s">
        <v>2016</v>
      </c>
      <c r="P232" s="1657">
        <f>SUM(P227:P231)</f>
        <v>132475</v>
      </c>
      <c r="Q232" s="525"/>
      <c r="R232" s="525"/>
      <c r="S232" s="525"/>
      <c r="T232" s="525"/>
      <c r="U232" s="525"/>
      <c r="V232" s="525"/>
    </row>
    <row r="233" spans="2:22" s="1201" customFormat="1" ht="15.5" hidden="1" x14ac:dyDescent="0.35">
      <c r="B233" s="347" t="s">
        <v>250</v>
      </c>
      <c r="C233" s="348">
        <v>0.6784</v>
      </c>
      <c r="D233" s="349"/>
      <c r="E233" s="348"/>
      <c r="F233" s="348"/>
      <c r="G233" s="348"/>
      <c r="H233" s="348"/>
      <c r="I233" s="851"/>
      <c r="J233" s="851"/>
      <c r="K233" s="903"/>
      <c r="L233" s="348" t="s">
        <v>251</v>
      </c>
      <c r="M233" s="350"/>
      <c r="O233" s="525"/>
      <c r="P233" s="1657"/>
      <c r="Q233" s="525"/>
      <c r="R233" s="525"/>
      <c r="S233" s="525"/>
      <c r="T233" s="525"/>
      <c r="U233" s="525"/>
      <c r="V233" s="525"/>
    </row>
    <row r="234" spans="2:22" s="1201" customFormat="1" ht="15.5" hidden="1" x14ac:dyDescent="0.35">
      <c r="B234" s="1117"/>
      <c r="C234" s="1119"/>
      <c r="D234" s="1117"/>
      <c r="E234" s="1117"/>
      <c r="F234" s="1117"/>
      <c r="G234" s="1117"/>
      <c r="H234" s="1117"/>
      <c r="I234" s="1117"/>
      <c r="J234" s="1117"/>
      <c r="K234" s="1117"/>
      <c r="L234" s="1117"/>
      <c r="M234" s="1118"/>
      <c r="O234" s="525"/>
      <c r="P234" s="1658" t="s">
        <v>2017</v>
      </c>
      <c r="Q234" s="1659" t="s">
        <v>2018</v>
      </c>
      <c r="R234" s="1660" t="s">
        <v>2019</v>
      </c>
      <c r="S234" s="1658" t="s">
        <v>2020</v>
      </c>
      <c r="T234" s="1660" t="s">
        <v>2021</v>
      </c>
      <c r="U234" s="525"/>
      <c r="V234" s="525"/>
    </row>
    <row r="235" spans="2:22" s="1201" customFormat="1" ht="15.5" hidden="1" x14ac:dyDescent="0.35">
      <c r="B235" s="1115" t="s">
        <v>252</v>
      </c>
      <c r="C235" s="1115" t="s">
        <v>1340</v>
      </c>
      <c r="D235" s="1116"/>
      <c r="E235" s="1117"/>
      <c r="F235" s="1117"/>
      <c r="G235" s="1117"/>
      <c r="H235" s="1117"/>
      <c r="I235" s="1117"/>
      <c r="J235" s="1117"/>
      <c r="K235" s="1117"/>
      <c r="L235" s="1117"/>
      <c r="M235" s="1120" t="s">
        <v>254</v>
      </c>
      <c r="O235" s="525" t="s">
        <v>2022</v>
      </c>
      <c r="P235" s="1661">
        <v>15</v>
      </c>
      <c r="Q235" s="1657">
        <f>P227*P235</f>
        <v>948750</v>
      </c>
      <c r="R235" s="1662">
        <f>Q235/$Q$240</f>
        <v>0.69734109994303672</v>
      </c>
      <c r="S235" s="1657">
        <f>P227*P235</f>
        <v>948750</v>
      </c>
      <c r="T235" s="1662">
        <f>S235/$S$240</f>
        <v>0.52692964552005661</v>
      </c>
      <c r="U235" s="525"/>
      <c r="V235" s="525"/>
    </row>
    <row r="236" spans="2:22" s="1201" customFormat="1" ht="15.5" hidden="1" x14ac:dyDescent="0.35">
      <c r="B236" s="1117"/>
      <c r="C236" s="1117" t="s">
        <v>434</v>
      </c>
      <c r="D236" s="1121">
        <f>(D211*(1-(F42/100))+(0.04*D211))*(1-$C$231)</f>
        <v>4.4586708618669162</v>
      </c>
      <c r="E236" s="1121">
        <f>(E211*(1-($D$44/100))+(0.04*E211))*(1-$C$231)</f>
        <v>1.9105483967999999</v>
      </c>
      <c r="F236" s="1121">
        <f>(F211*(1-($D$44/100))+(0.04*F211))*(1-$C$231)</f>
        <v>1.0972907712000002</v>
      </c>
      <c r="G236" s="1121">
        <f>(G211*(1-($D$44/100))+(0.04*G211))*(1-$C$231)</f>
        <v>2.3581728971999998</v>
      </c>
      <c r="H236" s="1121">
        <f>(H211*(1-($D$44/100))+(0.04*H211))*(1-$C$231)</f>
        <v>1.4162853888</v>
      </c>
      <c r="I236" s="1121">
        <v>0.26850000000000002</v>
      </c>
      <c r="J236" s="1121">
        <v>0.30030000000000001</v>
      </c>
      <c r="K236" s="1121">
        <f>(K211*(1-($D$44/100))+(0.04*K211))*(1-$C$231)</f>
        <v>0.37464723000000005</v>
      </c>
      <c r="L236" s="1116" t="s">
        <v>255</v>
      </c>
      <c r="M236" s="1118"/>
      <c r="O236" s="525" t="s">
        <v>2023</v>
      </c>
      <c r="P236" s="1661">
        <v>27.5</v>
      </c>
      <c r="Q236" s="1657">
        <f>P228*P236</f>
        <v>0</v>
      </c>
      <c r="R236" s="1662">
        <f>Q236/$Q$240</f>
        <v>0</v>
      </c>
      <c r="S236" s="1657">
        <f>P228*P236</f>
        <v>0</v>
      </c>
      <c r="T236" s="1662">
        <f>S236/$S$240</f>
        <v>0</v>
      </c>
      <c r="U236" s="525"/>
      <c r="V236" s="525"/>
    </row>
    <row r="237" spans="2:22" s="1201" customFormat="1" ht="15.5" hidden="1" x14ac:dyDescent="0.35">
      <c r="B237" s="1117"/>
      <c r="C237" s="1117"/>
      <c r="D237" s="1117"/>
      <c r="E237" s="1117"/>
      <c r="F237" s="1117"/>
      <c r="G237" s="1117"/>
      <c r="H237" s="1117"/>
      <c r="I237" s="1117"/>
      <c r="J237" s="1117"/>
      <c r="K237" s="1117"/>
      <c r="L237" s="1117"/>
      <c r="M237" s="1118"/>
      <c r="O237" s="525" t="s">
        <v>2024</v>
      </c>
      <c r="P237" s="1661">
        <v>15</v>
      </c>
      <c r="Q237" s="1657">
        <f>P229*P237</f>
        <v>338625</v>
      </c>
      <c r="R237" s="1662">
        <f>Q237/$Q$240</f>
        <v>0.24889289061207989</v>
      </c>
      <c r="S237" s="1657">
        <f>P229*P237</f>
        <v>338625</v>
      </c>
      <c r="T237" s="1662">
        <f>S237/$S$240</f>
        <v>0.18807014620735618</v>
      </c>
      <c r="U237" s="525"/>
      <c r="V237" s="525"/>
    </row>
    <row r="238" spans="2:22" s="1201" customFormat="1" ht="15.5" hidden="1" x14ac:dyDescent="0.35">
      <c r="B238" s="1115" t="s">
        <v>256</v>
      </c>
      <c r="C238" s="1115" t="s">
        <v>257</v>
      </c>
      <c r="D238" s="1116"/>
      <c r="E238" s="1116"/>
      <c r="F238" s="1409"/>
      <c r="G238" s="1409"/>
      <c r="H238" s="1117"/>
      <c r="I238" s="1117"/>
      <c r="J238" s="1117"/>
      <c r="K238" s="1117"/>
      <c r="L238" s="1409"/>
      <c r="M238" s="1120" t="s">
        <v>258</v>
      </c>
      <c r="O238" s="525" t="s">
        <v>2025</v>
      </c>
      <c r="P238" s="1661">
        <v>11</v>
      </c>
      <c r="Q238" s="1657">
        <f>P230*P238</f>
        <v>73150</v>
      </c>
      <c r="R238" s="1662">
        <f>Q238/$Q$240</f>
        <v>5.3766009444883411E-2</v>
      </c>
      <c r="S238" s="1657">
        <f>P230*P238</f>
        <v>73150</v>
      </c>
      <c r="T238" s="1662">
        <f>S238/$S$240</f>
        <v>4.0627039335749293E-2</v>
      </c>
      <c r="U238" s="525"/>
      <c r="V238" s="525"/>
    </row>
    <row r="239" spans="2:22" s="1201" customFormat="1" ht="15.5" hidden="1" x14ac:dyDescent="0.35">
      <c r="B239" s="1117"/>
      <c r="C239" s="1116" t="s">
        <v>1902</v>
      </c>
      <c r="D239" s="1117"/>
      <c r="E239" s="1117"/>
      <c r="F239" s="1117"/>
      <c r="G239" s="1117"/>
      <c r="H239" s="1117"/>
      <c r="I239" s="1117"/>
      <c r="J239" s="1117"/>
      <c r="K239" s="1117"/>
      <c r="L239" s="1117"/>
      <c r="M239" s="1118"/>
      <c r="O239" s="1663" t="s">
        <v>2026</v>
      </c>
      <c r="P239" s="1664">
        <v>11</v>
      </c>
      <c r="Q239" s="1665"/>
      <c r="R239" s="1662">
        <f>Q239/$Q$240</f>
        <v>0</v>
      </c>
      <c r="S239" s="1665">
        <f>P231*P239</f>
        <v>440000</v>
      </c>
      <c r="T239" s="1662">
        <f>S239/$S$240</f>
        <v>0.24437316893683786</v>
      </c>
      <c r="U239" s="525"/>
      <c r="V239" s="525"/>
    </row>
    <row r="240" spans="2:22" s="1201" customFormat="1" ht="15.5" hidden="1" x14ac:dyDescent="0.35">
      <c r="B240" s="1117"/>
      <c r="C240" s="1116"/>
      <c r="D240" s="1116"/>
      <c r="E240" s="1409"/>
      <c r="F240" s="1409"/>
      <c r="G240" s="1409"/>
      <c r="H240" s="1409"/>
      <c r="I240" s="1409"/>
      <c r="J240" s="1409"/>
      <c r="K240" s="1409"/>
      <c r="L240" s="1117"/>
      <c r="M240" s="1118"/>
      <c r="O240" s="525" t="s">
        <v>2027</v>
      </c>
      <c r="P240" s="1667"/>
      <c r="Q240" s="1657">
        <f>SUM(Q235:Q239)</f>
        <v>1360525</v>
      </c>
      <c r="R240" s="1680">
        <f>SUM(R235:R239)</f>
        <v>1</v>
      </c>
      <c r="S240" s="1657">
        <f>SUM(S235:S239)</f>
        <v>1800525</v>
      </c>
      <c r="T240" s="1680">
        <f>SUM(T235:T239)</f>
        <v>1</v>
      </c>
      <c r="U240" s="525"/>
      <c r="V240" s="525"/>
    </row>
    <row r="241" spans="2:22" s="1201" customFormat="1" ht="15.5" hidden="1" x14ac:dyDescent="0.35">
      <c r="B241" s="1117"/>
      <c r="C241" s="1117"/>
      <c r="D241" s="1117"/>
      <c r="E241" s="1117"/>
      <c r="F241" s="1117"/>
      <c r="G241" s="1117"/>
      <c r="H241" s="1117"/>
      <c r="I241" s="1117"/>
      <c r="J241" s="1117"/>
      <c r="K241" s="1117"/>
      <c r="L241" s="1117"/>
      <c r="M241" s="1123"/>
      <c r="O241" s="525"/>
      <c r="P241" s="525"/>
      <c r="Q241" s="1657"/>
      <c r="R241" s="525"/>
      <c r="S241" s="525"/>
      <c r="T241" s="525"/>
      <c r="U241" s="525"/>
      <c r="V241" s="525"/>
    </row>
    <row r="242" spans="2:22" s="1201" customFormat="1" ht="15.5" hidden="1" x14ac:dyDescent="0.35">
      <c r="B242" s="1117"/>
      <c r="C242" s="1115" t="s">
        <v>803</v>
      </c>
      <c r="D242" s="1117"/>
      <c r="E242" s="1117"/>
      <c r="F242" s="1117"/>
      <c r="G242" s="1117"/>
      <c r="H242" s="1117"/>
      <c r="I242" s="1117"/>
      <c r="J242" s="1117"/>
      <c r="K242" s="1117"/>
      <c r="L242" s="1117"/>
      <c r="M242" s="1122"/>
      <c r="O242" s="525" t="s">
        <v>2028</v>
      </c>
      <c r="P242" s="1661">
        <v>3.1</v>
      </c>
      <c r="Q242" s="1657">
        <f>Q210*P242</f>
        <v>9855833.1000000015</v>
      </c>
      <c r="R242" s="525"/>
      <c r="S242" s="1657">
        <f>Q242</f>
        <v>9855833.1000000015</v>
      </c>
      <c r="T242" s="525"/>
      <c r="U242" s="525"/>
      <c r="V242" s="1668"/>
    </row>
    <row r="243" spans="2:22" s="1201" customFormat="1" ht="15.5" hidden="1" x14ac:dyDescent="0.35">
      <c r="B243" s="1117"/>
      <c r="C243" s="1117"/>
      <c r="D243" s="1117"/>
      <c r="E243" s="1117"/>
      <c r="F243" s="1117"/>
      <c r="G243" s="1117"/>
      <c r="H243" s="1117"/>
      <c r="I243" s="1117"/>
      <c r="J243" s="1117"/>
      <c r="K243" s="1117"/>
      <c r="L243" s="1117"/>
      <c r="M243" s="1124"/>
      <c r="O243" s="525"/>
      <c r="P243" s="525"/>
      <c r="Q243" s="1657"/>
      <c r="R243" s="525"/>
      <c r="S243" s="525"/>
      <c r="T243" s="525"/>
      <c r="U243" s="525"/>
      <c r="V243" s="525"/>
    </row>
    <row r="244" spans="2:22" s="1201" customFormat="1" ht="15.5" hidden="1" x14ac:dyDescent="0.35">
      <c r="B244" s="1117"/>
      <c r="C244" s="1117" t="s">
        <v>434</v>
      </c>
      <c r="D244" s="1125">
        <f>D236*$C$232*I101%*$C$233</f>
        <v>6.9509763888583112E-2</v>
      </c>
      <c r="E244" s="1125">
        <f t="shared" ref="E244:K244" si="5">E236*$C$232*$I$106%*$C$233</f>
        <v>3.110678477733888E-3</v>
      </c>
      <c r="F244" s="1125">
        <f t="shared" si="5"/>
        <v>1.7865649420369923E-3</v>
      </c>
      <c r="G244" s="1125">
        <f t="shared" si="5"/>
        <v>3.8394827843051512E-3</v>
      </c>
      <c r="H244" s="1125">
        <f t="shared" si="5"/>
        <v>2.3059392186286077E-3</v>
      </c>
      <c r="I244" s="1125">
        <f t="shared" si="5"/>
        <v>4.3716095999999998E-4</v>
      </c>
      <c r="J244" s="1125">
        <f t="shared" si="5"/>
        <v>4.8893644799999998E-4</v>
      </c>
      <c r="K244" s="1125">
        <f t="shared" si="5"/>
        <v>6.0998563399680011E-4</v>
      </c>
      <c r="L244" s="1116" t="s">
        <v>237</v>
      </c>
      <c r="M244" s="1118"/>
      <c r="O244" s="525" t="s">
        <v>2029</v>
      </c>
      <c r="P244" s="525"/>
      <c r="Q244" s="1657">
        <f>Q242+Q240</f>
        <v>11216358.100000001</v>
      </c>
      <c r="R244" s="525"/>
      <c r="S244" s="1657">
        <f>S242+S240</f>
        <v>11656358.100000001</v>
      </c>
      <c r="T244" s="525"/>
      <c r="U244" s="525"/>
      <c r="V244" s="525"/>
    </row>
    <row r="245" spans="2:22" s="1201" customFormat="1" ht="15.5" hidden="1" x14ac:dyDescent="0.35">
      <c r="B245" s="1126"/>
      <c r="C245" s="1126"/>
      <c r="D245" s="1126"/>
      <c r="E245" s="1126"/>
      <c r="F245" s="1126"/>
      <c r="G245" s="1126"/>
      <c r="H245" s="1126"/>
      <c r="I245" s="1126"/>
      <c r="J245" s="1126"/>
      <c r="K245" s="1126"/>
      <c r="L245" s="1126"/>
      <c r="M245" s="1124"/>
      <c r="O245" s="525"/>
      <c r="P245" s="525"/>
      <c r="Q245" s="525"/>
      <c r="R245" s="525"/>
      <c r="S245" s="525"/>
      <c r="T245" s="525"/>
      <c r="U245" s="525"/>
      <c r="V245" s="525"/>
    </row>
    <row r="246" spans="2:22" s="1201" customFormat="1" ht="15.5" hidden="1" x14ac:dyDescent="0.35">
      <c r="B246" s="1115" t="s">
        <v>261</v>
      </c>
      <c r="C246" s="1115"/>
      <c r="D246" s="1115"/>
      <c r="E246" s="1116"/>
      <c r="F246" s="1116"/>
      <c r="G246" s="1116"/>
      <c r="H246" s="1116"/>
      <c r="I246" s="1116"/>
      <c r="J246" s="1116"/>
      <c r="K246" s="1116"/>
      <c r="L246" s="1116"/>
      <c r="M246" s="1118"/>
      <c r="O246" s="525" t="s">
        <v>2030</v>
      </c>
      <c r="P246" s="525"/>
      <c r="Q246" s="1669">
        <f>Q242/Q244</f>
        <v>0.87870171513158091</v>
      </c>
      <c r="R246" s="525"/>
      <c r="S246" s="1669">
        <f>S242/S244</f>
        <v>0.84553279982021146</v>
      </c>
      <c r="T246" s="525"/>
      <c r="U246" s="525"/>
      <c r="V246" s="525"/>
    </row>
    <row r="247" spans="2:22" s="1201" customFormat="1" ht="15.5" hidden="1" x14ac:dyDescent="0.35">
      <c r="B247" s="1116"/>
      <c r="C247" s="1115" t="s">
        <v>1257</v>
      </c>
      <c r="D247" s="1116"/>
      <c r="E247" s="1116"/>
      <c r="F247" s="1116"/>
      <c r="G247" s="1116"/>
      <c r="H247" s="1116"/>
      <c r="I247" s="1116"/>
      <c r="J247" s="1116"/>
      <c r="K247" s="1116"/>
      <c r="L247" s="1116"/>
      <c r="M247" s="1120" t="s">
        <v>262</v>
      </c>
      <c r="O247" s="525"/>
      <c r="P247" s="1669"/>
      <c r="Q247" s="525"/>
      <c r="R247" s="1658"/>
      <c r="S247" s="525"/>
      <c r="T247" s="525"/>
      <c r="U247" s="525"/>
      <c r="V247" s="525"/>
    </row>
    <row r="248" spans="2:22" s="1201" customFormat="1" ht="15.5" hidden="1" x14ac:dyDescent="0.35">
      <c r="B248" s="1116"/>
      <c r="C248" s="1115"/>
      <c r="D248" s="1116"/>
      <c r="E248" s="1116"/>
      <c r="F248" s="1116"/>
      <c r="G248" s="1116"/>
      <c r="H248" s="1116"/>
      <c r="I248" s="1116"/>
      <c r="J248" s="1116"/>
      <c r="K248" s="1116"/>
      <c r="L248" s="1116"/>
      <c r="M248" s="1118"/>
      <c r="O248" s="525" t="s">
        <v>2031</v>
      </c>
      <c r="P248" s="1670">
        <f>K119+K120+K124+K125</f>
        <v>348.4</v>
      </c>
      <c r="Q248" s="525"/>
      <c r="R248" s="1670"/>
      <c r="S248" s="525"/>
      <c r="T248" s="525"/>
      <c r="U248" s="525"/>
      <c r="V248" s="525"/>
    </row>
    <row r="249" spans="2:22" s="1201" customFormat="1" ht="15.5" hidden="1" x14ac:dyDescent="0.35">
      <c r="B249" s="1116"/>
      <c r="C249" s="1117" t="s">
        <v>434</v>
      </c>
      <c r="D249" s="1125">
        <f>(365*D17*D244)*10^-6</f>
        <v>1.1416978718699776E-2</v>
      </c>
      <c r="E249" s="1125">
        <f>(365*E17*E244)*10^-6</f>
        <v>1.3624771732474429E-4</v>
      </c>
      <c r="F249" s="1125">
        <f>(281*F17*F244)*10^-6</f>
        <v>6.2753093589049353E-5</v>
      </c>
      <c r="G249" s="1125">
        <f>(365*G17*G244)*10^-6</f>
        <v>1.1211289730171041E-5</v>
      </c>
      <c r="H249" s="1125">
        <f>(281*H17*H244)*10^-6</f>
        <v>6.4796892043463884E-5</v>
      </c>
      <c r="I249" s="1395">
        <f>(84*F17*I244)*10^-6</f>
        <v>4.5901900800000001E-6</v>
      </c>
      <c r="J249" s="1125">
        <f>(84*H17*J244)*10^-6</f>
        <v>4.1070661631999999E-6</v>
      </c>
      <c r="K249" s="1125">
        <f>(365*I17*K244)*10^-6</f>
        <v>0</v>
      </c>
      <c r="L249" s="1116" t="s">
        <v>435</v>
      </c>
      <c r="M249" s="1118"/>
      <c r="O249" s="525" t="s">
        <v>2032</v>
      </c>
      <c r="P249" s="1670">
        <f>H128+I128</f>
        <v>105.97591070923193</v>
      </c>
      <c r="Q249" s="525"/>
      <c r="R249" s="1670"/>
      <c r="S249" s="525"/>
      <c r="T249" s="525"/>
      <c r="U249" s="525"/>
      <c r="V249" s="525"/>
    </row>
    <row r="250" spans="2:22" s="1201" customFormat="1" ht="15.5" hidden="1" x14ac:dyDescent="0.35">
      <c r="B250" s="1116"/>
      <c r="C250" s="1116"/>
      <c r="D250" s="1125"/>
      <c r="E250" s="1125"/>
      <c r="F250" s="1125"/>
      <c r="G250" s="1125"/>
      <c r="H250" s="1125"/>
      <c r="I250" s="1125"/>
      <c r="J250" s="1125"/>
      <c r="K250" s="1125"/>
      <c r="L250" s="1117"/>
      <c r="M250" s="1118"/>
      <c r="O250" s="525" t="s">
        <v>2033</v>
      </c>
      <c r="P250" s="1670">
        <f>D128+E128+F128+G128</f>
        <v>2533.1816689453176</v>
      </c>
      <c r="Q250" s="525"/>
      <c r="R250" s="1670"/>
      <c r="S250" s="525"/>
      <c r="T250" s="525"/>
      <c r="U250" s="525"/>
      <c r="V250" s="525"/>
    </row>
    <row r="251" spans="2:22" s="1201" customFormat="1" ht="15.5" hidden="1" x14ac:dyDescent="0.35">
      <c r="B251" s="1115" t="s">
        <v>263</v>
      </c>
      <c r="C251" s="868">
        <f>SUM(D249:K249)</f>
        <v>1.1700684967630406E-2</v>
      </c>
      <c r="D251" s="869"/>
      <c r="E251" s="869"/>
      <c r="F251" s="869"/>
      <c r="G251" s="869"/>
      <c r="H251" s="869"/>
      <c r="I251" s="869"/>
      <c r="J251" s="869"/>
      <c r="K251" s="869"/>
      <c r="L251" s="1116" t="s">
        <v>264</v>
      </c>
      <c r="M251" s="1124"/>
      <c r="O251" s="525" t="s">
        <v>2034</v>
      </c>
      <c r="P251" s="1670">
        <f>SUM(K117:K118)+SUM(K121:K123)+K126+K131</f>
        <v>564.68354354727387</v>
      </c>
      <c r="Q251" s="525"/>
      <c r="R251" s="1670"/>
      <c r="S251" s="525"/>
      <c r="T251" s="525"/>
      <c r="U251" s="525"/>
      <c r="V251" s="525"/>
    </row>
    <row r="252" spans="2:22" s="1201" customFormat="1" ht="15.5" hidden="1" x14ac:dyDescent="0.35">
      <c r="B252" s="1115" t="s">
        <v>263</v>
      </c>
      <c r="C252" s="1121">
        <f>C251*'Emission factors'!$C$4</f>
        <v>0.32761917909365135</v>
      </c>
      <c r="D252" s="1125"/>
      <c r="E252" s="1125"/>
      <c r="F252" s="1125"/>
      <c r="G252" s="1125"/>
      <c r="H252" s="1125"/>
      <c r="I252" s="1125"/>
      <c r="J252" s="1125"/>
      <c r="K252" s="1125"/>
      <c r="L252" s="1116" t="s">
        <v>265</v>
      </c>
      <c r="M252" s="1124"/>
      <c r="O252" s="525" t="s">
        <v>2035</v>
      </c>
      <c r="P252" s="1670">
        <f>SUM(P248:P251)</f>
        <v>3552.2411232018235</v>
      </c>
      <c r="Q252" s="525"/>
      <c r="R252" s="1670"/>
      <c r="S252" s="525"/>
      <c r="T252" s="525"/>
      <c r="U252" s="525"/>
      <c r="V252" s="525"/>
    </row>
    <row r="253" spans="2:22" s="1201" customFormat="1" ht="15.5" hidden="1" x14ac:dyDescent="0.35">
      <c r="B253" s="347" t="s">
        <v>263</v>
      </c>
      <c r="C253" s="351">
        <f>C252*10^3</f>
        <v>327.61917909365133</v>
      </c>
      <c r="D253" s="351"/>
      <c r="E253" s="351"/>
      <c r="F253" s="351"/>
      <c r="G253" s="351"/>
      <c r="H253" s="351"/>
      <c r="I253" s="852"/>
      <c r="J253" s="852"/>
      <c r="K253" s="904"/>
      <c r="L253" s="349" t="s">
        <v>266</v>
      </c>
      <c r="M253" s="350"/>
      <c r="O253" s="525"/>
      <c r="P253" s="1657"/>
      <c r="Q253" s="525"/>
      <c r="R253" s="525" t="s">
        <v>2036</v>
      </c>
      <c r="S253" s="525"/>
      <c r="T253" s="525"/>
      <c r="U253" s="525"/>
      <c r="V253" s="1672"/>
    </row>
    <row r="254" spans="2:22" s="1201" customFormat="1" ht="15.5" hidden="1" x14ac:dyDescent="0.35">
      <c r="O254" s="525" t="s">
        <v>2053</v>
      </c>
      <c r="P254" s="1659">
        <f>P248+P250*Q246+P251*S246</f>
        <v>3051.7695348300563</v>
      </c>
      <c r="Q254" s="525"/>
      <c r="R254" s="1671">
        <f>P254*1000/Q210</f>
        <v>0.95988694836696986</v>
      </c>
      <c r="S254" s="1672" t="s">
        <v>2037</v>
      </c>
      <c r="T254" s="525"/>
      <c r="U254" s="1671"/>
      <c r="V254" s="1672"/>
    </row>
    <row r="255" spans="2:22" s="1201" customFormat="1" ht="15.5" hidden="1" x14ac:dyDescent="0.35">
      <c r="B255" s="60" t="s">
        <v>267</v>
      </c>
      <c r="C255" s="60" t="s">
        <v>216</v>
      </c>
      <c r="D255" s="61" t="str">
        <f>D15</f>
        <v>Milking Cows</v>
      </c>
      <c r="E255" s="61" t="str">
        <f>E15</f>
        <v>Heifers &gt;1 yr age</v>
      </c>
      <c r="F255" s="61" t="str">
        <f>F15</f>
        <v>Heifers &lt;1 yr age</v>
      </c>
      <c r="G255" s="61" t="str">
        <f>G15</f>
        <v>Mature bulls</v>
      </c>
      <c r="H255" s="61" t="str">
        <f>H15</f>
        <v xml:space="preserve">Other stock &lt; 1 yr age </v>
      </c>
      <c r="I255" s="998" t="s">
        <v>1228</v>
      </c>
      <c r="J255" s="998" t="s">
        <v>1229</v>
      </c>
      <c r="K255" s="998" t="s">
        <v>1946</v>
      </c>
      <c r="L255" s="61" t="str">
        <f>I15</f>
        <v>Other stock &gt; 1 yr age</v>
      </c>
      <c r="M255" s="62" t="s">
        <v>230</v>
      </c>
      <c r="O255" s="525" t="s">
        <v>2054</v>
      </c>
      <c r="P255" s="1659">
        <f>P249+P250*(1-Q246)+P251*(1-S246)</f>
        <v>500.47158837176744</v>
      </c>
      <c r="Q255" s="525"/>
      <c r="R255" s="1268">
        <f>P254*1000/Q196</f>
        <v>13.56342015480025</v>
      </c>
      <c r="S255" s="1672" t="s">
        <v>2067</v>
      </c>
      <c r="T255" s="525"/>
      <c r="U255" s="1673"/>
      <c r="V255" s="525"/>
    </row>
    <row r="256" spans="2:22" s="1201" customFormat="1" ht="15.5" hidden="1" x14ac:dyDescent="0.35">
      <c r="B256" s="1000"/>
      <c r="C256" s="1000"/>
      <c r="D256" s="1000"/>
      <c r="E256" s="1000"/>
      <c r="F256" s="1000"/>
      <c r="G256" s="1000"/>
      <c r="H256" s="1000"/>
      <c r="I256" s="1000"/>
      <c r="J256" s="1000"/>
      <c r="K256" s="1000"/>
      <c r="L256" s="1000"/>
      <c r="M256" s="1001"/>
      <c r="O256" s="525"/>
      <c r="P256" s="525"/>
      <c r="Q256" s="525"/>
      <c r="R256" s="1673">
        <f>P255*1000/P232</f>
        <v>3.7778568663654837</v>
      </c>
      <c r="S256" s="1672" t="s">
        <v>2038</v>
      </c>
      <c r="T256" s="525"/>
      <c r="U256" s="525"/>
      <c r="V256" s="525"/>
    </row>
    <row r="257" spans="2:22" s="1201" customFormat="1" ht="15.5" hidden="1" x14ac:dyDescent="0.35">
      <c r="B257" s="1002" t="s">
        <v>268</v>
      </c>
      <c r="C257" s="1000"/>
      <c r="D257" s="1002" t="s">
        <v>269</v>
      </c>
      <c r="E257" s="1003"/>
      <c r="F257" s="1003"/>
      <c r="G257" s="1004"/>
      <c r="H257" s="1000"/>
      <c r="I257" s="1000"/>
      <c r="J257" s="1000"/>
      <c r="K257" s="1000"/>
      <c r="L257" s="1000"/>
      <c r="M257" s="1001" t="s">
        <v>1267</v>
      </c>
      <c r="O257" s="525" t="s">
        <v>2055</v>
      </c>
      <c r="P257" s="1669">
        <f>P254/P252</f>
        <v>0.85911103131403832</v>
      </c>
      <c r="Q257" s="525"/>
      <c r="R257" s="525"/>
      <c r="S257" s="525"/>
      <c r="T257" s="525"/>
      <c r="U257" s="525"/>
      <c r="V257" s="525"/>
    </row>
    <row r="258" spans="2:22" s="1201" customFormat="1" ht="15.5" hidden="1" x14ac:dyDescent="0.35">
      <c r="B258" s="1000"/>
      <c r="C258" s="1005" t="s">
        <v>434</v>
      </c>
      <c r="D258" s="1368">
        <f>D211*H42%</f>
        <v>3.2157109299132811</v>
      </c>
      <c r="E258" s="1368">
        <f>E211*D45%</f>
        <v>1.4321951999999998</v>
      </c>
      <c r="F258" s="1368">
        <f>F211*D45%</f>
        <v>0.82255680000000009</v>
      </c>
      <c r="G258" s="1368">
        <f>G211*D45%</f>
        <v>1.7677457999999999</v>
      </c>
      <c r="H258" s="1368">
        <f>H211*D45%</f>
        <v>1.0616831999999998</v>
      </c>
      <c r="I258" s="1006"/>
      <c r="J258" s="1006"/>
      <c r="K258" s="1368">
        <f>K211*D45%</f>
        <v>0.28084500000000001</v>
      </c>
      <c r="L258" s="1000" t="s">
        <v>255</v>
      </c>
      <c r="M258" s="1001"/>
      <c r="O258" s="525" t="s">
        <v>2056</v>
      </c>
      <c r="P258" s="1669">
        <f>P255/P252</f>
        <v>0.14088896868596179</v>
      </c>
      <c r="Q258" s="525"/>
      <c r="R258" s="525"/>
      <c r="S258" s="525"/>
      <c r="T258" s="525"/>
      <c r="U258" s="525"/>
      <c r="V258" s="525"/>
    </row>
    <row r="259" spans="2:22" s="1201" customFormat="1" ht="15.5" hidden="1" x14ac:dyDescent="0.35">
      <c r="B259" s="1007"/>
      <c r="C259" s="1007"/>
      <c r="D259" s="1007"/>
      <c r="E259" s="1007"/>
      <c r="F259" s="1007"/>
      <c r="G259" s="1008"/>
      <c r="H259" s="1000"/>
      <c r="I259" s="1000"/>
      <c r="J259" s="1000"/>
      <c r="K259" s="1368"/>
      <c r="L259" s="1000"/>
      <c r="M259" s="1001"/>
      <c r="O259" s="525"/>
      <c r="P259" s="525"/>
      <c r="Q259" s="525"/>
      <c r="R259" s="525"/>
      <c r="S259" s="525"/>
      <c r="T259" s="525"/>
      <c r="U259" s="525"/>
      <c r="V259" s="525"/>
    </row>
    <row r="260" spans="2:22" s="1201" customFormat="1" ht="15.5" hidden="1" x14ac:dyDescent="0.35">
      <c r="B260" s="1002" t="s">
        <v>271</v>
      </c>
      <c r="C260" s="1003"/>
      <c r="D260" s="1002" t="s">
        <v>272</v>
      </c>
      <c r="E260" s="1003"/>
      <c r="F260" s="1003"/>
      <c r="G260" s="1004"/>
      <c r="H260" s="1000"/>
      <c r="I260" s="1000"/>
      <c r="J260" s="1000"/>
      <c r="K260" s="1000"/>
      <c r="L260" s="1000"/>
      <c r="M260" s="1001" t="s">
        <v>1269</v>
      </c>
      <c r="O260" s="1668" t="s">
        <v>2160</v>
      </c>
      <c r="P260" s="1658" t="s">
        <v>2040</v>
      </c>
      <c r="Q260" s="525"/>
      <c r="R260" s="1660" t="s">
        <v>2041</v>
      </c>
      <c r="S260" s="1660" t="s">
        <v>2042</v>
      </c>
      <c r="T260" s="1660" t="s">
        <v>2043</v>
      </c>
      <c r="U260" s="1660" t="s">
        <v>2038</v>
      </c>
      <c r="V260" s="525"/>
    </row>
    <row r="261" spans="2:22" s="1201" customFormat="1" ht="15.5" hidden="1" x14ac:dyDescent="0.35">
      <c r="B261" s="1003"/>
      <c r="C261" s="1000"/>
      <c r="D261" s="1000" t="s">
        <v>274</v>
      </c>
      <c r="E261" s="1003"/>
      <c r="F261" s="1003"/>
      <c r="G261" s="1004"/>
      <c r="H261" s="1000"/>
      <c r="I261" s="1000"/>
      <c r="J261" s="1000"/>
      <c r="K261" s="1000"/>
      <c r="L261" s="1000"/>
      <c r="M261" s="1001"/>
      <c r="O261" s="525" t="s">
        <v>2051</v>
      </c>
      <c r="P261" s="1657">
        <f t="shared" ref="P261:P266" si="6">P227</f>
        <v>63250</v>
      </c>
      <c r="Q261" s="525"/>
      <c r="R261" s="1674">
        <f>$P$250*(1-$Q$246)*R235+$P$251*(1-$S$246)*T235</f>
        <v>260.23389602346407</v>
      </c>
      <c r="S261" s="1662">
        <f>R261/$R$266</f>
        <v>0.51997736149240381</v>
      </c>
      <c r="T261" s="1675">
        <f>S261*$P$258</f>
        <v>7.3259074200712315E-2</v>
      </c>
      <c r="U261" s="1676">
        <f>R261*1000/P261</f>
        <v>4.1143698976041749</v>
      </c>
      <c r="V261" s="525"/>
    </row>
    <row r="262" spans="2:22" s="1201" customFormat="1" ht="15.5" hidden="1" x14ac:dyDescent="0.35">
      <c r="B262" s="1000"/>
      <c r="C262" s="1000"/>
      <c r="D262" s="1000" t="s">
        <v>275</v>
      </c>
      <c r="E262" s="1009"/>
      <c r="F262" s="1009"/>
      <c r="G262" s="1004"/>
      <c r="H262" s="1000"/>
      <c r="I262" s="1000"/>
      <c r="J262" s="1000"/>
      <c r="K262" s="1000"/>
      <c r="L262" s="1000"/>
      <c r="M262" s="1001"/>
      <c r="O262" s="525" t="s">
        <v>2044</v>
      </c>
      <c r="P262" s="1657">
        <f t="shared" si="6"/>
        <v>0</v>
      </c>
      <c r="Q262" s="525"/>
      <c r="R262" s="1674">
        <f>$P$250*(1-$Q$246)*R236+$P$251*(1-$S$246)*T236</f>
        <v>0</v>
      </c>
      <c r="S262" s="1662">
        <f>R262/$R$266</f>
        <v>0</v>
      </c>
      <c r="T262" s="1675">
        <f>S262*$P$258</f>
        <v>0</v>
      </c>
      <c r="U262" s="1676" t="e">
        <f t="shared" ref="U262:U265" si="7">R262*1000/P262</f>
        <v>#DIV/0!</v>
      </c>
      <c r="V262" s="525"/>
    </row>
    <row r="263" spans="2:22" s="1201" customFormat="1" ht="15.5" hidden="1" x14ac:dyDescent="0.35">
      <c r="B263" s="1000"/>
      <c r="C263" s="1005" t="s">
        <v>434</v>
      </c>
      <c r="D263" s="908">
        <f>(0.3*((D258*(1-((F42+10)/100))))+(0.105*((0.1604*F42-1.037)*D211*0.008))+(0.0152*D211))/6.25</f>
        <v>8.9614692253093972E-2</v>
      </c>
      <c r="E263" s="908">
        <f>(0.3*((E258*(1-((D44+10)/100))))+(0.105*((0.1604*D44-1.037)*E211*0.008))+(0.0152*E211))/6.25</f>
        <v>3.8307348944179198E-2</v>
      </c>
      <c r="F263" s="908">
        <f>(0.3*((F258*(1-((D44+10)/100))))+(0.105*((0.1604*D44-1.037)*F211*0.008))+(0.0152*F211))/6.25</f>
        <v>2.2001170206412804E-2</v>
      </c>
      <c r="G263" s="908">
        <f>(0.3*((G258*(1-((D44+10)/100))))+(0.105*((0.1604*D44-1.037)*G211*0.008))+(0.0152*G211))/6.25</f>
        <v>4.7282420165356796E-2</v>
      </c>
      <c r="H263" s="908">
        <f>(0.3*((H258*(1-((D44+10)/100))))+(0.105*((0.1604*D44-1.037)*H211*0.008))+(0.0152*H211))/6.25</f>
        <v>2.8397154808627194E-2</v>
      </c>
      <c r="I263" s="908">
        <v>5.4999999999999997E-3</v>
      </c>
      <c r="J263" s="908">
        <v>5.0000000000000001E-3</v>
      </c>
      <c r="K263" s="908">
        <f>(0.3*((K258*(1-((D44+10)/100))))+(0.105*((0.1604*D44-1.037)*K211*0.008))+(0.0152*K211))/6.25</f>
        <v>7.5118443451200004E-3</v>
      </c>
      <c r="L263" s="1000" t="s">
        <v>255</v>
      </c>
      <c r="M263" s="1001"/>
      <c r="O263" s="525" t="s">
        <v>2045</v>
      </c>
      <c r="P263" s="1657">
        <f t="shared" si="6"/>
        <v>22575</v>
      </c>
      <c r="Q263" s="525"/>
      <c r="R263" s="1674">
        <f>$P$250*(1-$Q$246)*R237+$P$251*(1-$S$246)*T237</f>
        <v>92.881900438414249</v>
      </c>
      <c r="S263" s="1662">
        <f>R263/$R$266</f>
        <v>0.18558875787653781</v>
      </c>
      <c r="T263" s="1675">
        <f>S263*$P$258</f>
        <v>2.614740869693408E-2</v>
      </c>
      <c r="U263" s="1676">
        <f t="shared" si="7"/>
        <v>4.1143698976041749</v>
      </c>
      <c r="V263" s="525"/>
    </row>
    <row r="264" spans="2:22" s="1201" customFormat="1" ht="15.5" hidden="1" x14ac:dyDescent="0.35">
      <c r="B264" s="1000"/>
      <c r="C264" s="1000"/>
      <c r="D264" s="1000"/>
      <c r="E264" s="1000"/>
      <c r="F264" s="1000"/>
      <c r="G264" s="1000"/>
      <c r="H264" s="1000"/>
      <c r="I264" s="1000"/>
      <c r="J264" s="1000"/>
      <c r="K264" s="908"/>
      <c r="L264" s="1000"/>
      <c r="M264" s="1001"/>
      <c r="O264" s="525" t="s">
        <v>2046</v>
      </c>
      <c r="P264" s="1657">
        <f t="shared" si="6"/>
        <v>6650</v>
      </c>
      <c r="Q264" s="525"/>
      <c r="R264" s="1674">
        <f>$P$250*(1-$Q$246)*R238+$P$251*(1-$S$246)*T238</f>
        <v>20.064410533983025</v>
      </c>
      <c r="S264" s="1662">
        <f>R264/$R$266</f>
        <v>4.0091008161443308E-2</v>
      </c>
      <c r="T264" s="1675">
        <f>S264*$P$258</f>
        <v>5.6483807934462251E-3</v>
      </c>
      <c r="U264" s="1676">
        <f t="shared" si="7"/>
        <v>3.0172045915763945</v>
      </c>
      <c r="V264" s="525"/>
    </row>
    <row r="265" spans="2:22" s="1201" customFormat="1" ht="18" hidden="1" x14ac:dyDescent="0.45">
      <c r="B265" s="1002" t="s">
        <v>276</v>
      </c>
      <c r="C265" s="1000"/>
      <c r="D265" s="1010" t="s">
        <v>1343</v>
      </c>
      <c r="E265" s="1011"/>
      <c r="F265" s="1011"/>
      <c r="G265" s="1011"/>
      <c r="H265" s="1011"/>
      <c r="I265" s="1011"/>
      <c r="J265" s="1011"/>
      <c r="K265" s="1011"/>
      <c r="L265" s="1000"/>
      <c r="M265" s="1001" t="s">
        <v>1268</v>
      </c>
      <c r="O265" s="1663" t="s">
        <v>2047</v>
      </c>
      <c r="P265" s="1665">
        <f t="shared" si="6"/>
        <v>40000</v>
      </c>
      <c r="Q265" s="1663"/>
      <c r="R265" s="1677">
        <f>P249+P251*(1-S246)*T239</f>
        <v>127.29138137590616</v>
      </c>
      <c r="S265" s="1666">
        <f>R265/$R$266</f>
        <v>0.25434287246961507</v>
      </c>
      <c r="T265" s="1678">
        <f>S265*$P$258</f>
        <v>3.5834104994869172E-2</v>
      </c>
      <c r="U265" s="1679">
        <f t="shared" si="7"/>
        <v>3.1822845343976538</v>
      </c>
      <c r="V265" s="525"/>
    </row>
    <row r="266" spans="2:22" s="1201" customFormat="1" ht="16" hidden="1" thickBot="1" x14ac:dyDescent="0.4">
      <c r="B266" s="1000"/>
      <c r="C266" s="1000"/>
      <c r="D266" s="1000"/>
      <c r="E266" s="1000"/>
      <c r="F266" s="1000"/>
      <c r="G266" s="1000"/>
      <c r="H266" s="1000"/>
      <c r="I266" s="1000"/>
      <c r="J266" s="1000"/>
      <c r="K266" s="1000"/>
      <c r="L266" s="1000"/>
      <c r="M266" s="1001"/>
      <c r="O266" s="525" t="s">
        <v>2048</v>
      </c>
      <c r="P266" s="1657">
        <f t="shared" si="6"/>
        <v>132475</v>
      </c>
      <c r="Q266" s="525"/>
      <c r="R266" s="1674">
        <f>SUM(R261:R265)</f>
        <v>500.4715883717675</v>
      </c>
      <c r="S266" s="1662">
        <f>SUM(S261:S265)</f>
        <v>1</v>
      </c>
      <c r="T266" s="1662">
        <f>SUM(T261:T265)</f>
        <v>0.14088896868596179</v>
      </c>
      <c r="U266" s="1676">
        <f>R266*1000/P266</f>
        <v>3.7778568663654841</v>
      </c>
      <c r="V266" s="525"/>
    </row>
    <row r="267" spans="2:22" s="1201" customFormat="1" ht="16" hidden="1" thickBot="1" x14ac:dyDescent="0.4">
      <c r="B267" s="1012"/>
      <c r="C267" s="1013" t="s">
        <v>804</v>
      </c>
      <c r="D267" s="1014"/>
      <c r="E267" s="1014"/>
      <c r="F267" s="1014"/>
      <c r="G267" s="1014"/>
      <c r="H267" s="1014"/>
      <c r="I267" s="1015"/>
      <c r="J267" s="1016"/>
      <c r="K267" s="1016"/>
      <c r="L267" s="1000"/>
      <c r="M267" s="1001" t="s">
        <v>1270</v>
      </c>
      <c r="O267" s="525"/>
      <c r="P267" s="525"/>
      <c r="Q267" s="525"/>
      <c r="R267" s="525"/>
      <c r="S267" s="525"/>
      <c r="T267" s="525"/>
      <c r="U267" s="525"/>
      <c r="V267" s="1257"/>
    </row>
    <row r="268" spans="2:22" s="1201" customFormat="1" ht="15.5" hidden="1" x14ac:dyDescent="0.35">
      <c r="B268" s="1000"/>
      <c r="C268" s="1013"/>
      <c r="D268" s="1014" t="s">
        <v>212</v>
      </c>
      <c r="E268" s="1014" t="s">
        <v>279</v>
      </c>
      <c r="F268" s="1014" t="s">
        <v>280</v>
      </c>
      <c r="G268" s="1014" t="s">
        <v>1007</v>
      </c>
      <c r="H268" s="1014" t="s">
        <v>282</v>
      </c>
      <c r="I268" s="1015" t="s">
        <v>281</v>
      </c>
      <c r="J268" s="1016"/>
      <c r="K268" s="1016"/>
      <c r="L268" s="1000"/>
      <c r="M268" s="1001"/>
      <c r="O268" s="1257"/>
      <c r="P268" s="1257"/>
      <c r="Q268" s="1257"/>
      <c r="R268" s="1257"/>
      <c r="S268" s="1257"/>
      <c r="T268" s="1257"/>
      <c r="U268" s="1257"/>
    </row>
    <row r="269" spans="2:22" s="1201" customFormat="1" ht="15.5" hidden="1" x14ac:dyDescent="0.35">
      <c r="B269" s="1012">
        <v>1</v>
      </c>
      <c r="C269" s="473" t="s">
        <v>912</v>
      </c>
      <c r="D269" s="1016">
        <v>590</v>
      </c>
      <c r="E269" s="1016">
        <v>590</v>
      </c>
      <c r="F269" s="1016">
        <v>590</v>
      </c>
      <c r="G269" s="1016">
        <v>770</v>
      </c>
      <c r="H269" s="1016">
        <v>770</v>
      </c>
      <c r="I269" s="1017">
        <v>770</v>
      </c>
      <c r="J269" s="1016"/>
      <c r="K269" s="1016"/>
      <c r="L269" s="1000"/>
      <c r="M269" s="1001"/>
    </row>
    <row r="270" spans="2:22" s="1201" customFormat="1" ht="15.5" hidden="1" x14ac:dyDescent="0.35">
      <c r="B270" s="1012">
        <v>2</v>
      </c>
      <c r="C270" s="473" t="s">
        <v>917</v>
      </c>
      <c r="D270" s="1016">
        <v>590</v>
      </c>
      <c r="E270" s="1016">
        <v>590</v>
      </c>
      <c r="F270" s="1016">
        <v>590</v>
      </c>
      <c r="G270" s="1016">
        <v>770</v>
      </c>
      <c r="H270" s="1016">
        <v>770</v>
      </c>
      <c r="I270" s="1017">
        <v>770</v>
      </c>
      <c r="J270" s="1016"/>
      <c r="K270" s="1016"/>
      <c r="L270" s="1000"/>
      <c r="M270" s="1001"/>
    </row>
    <row r="271" spans="2:22" s="1201" customFormat="1" ht="15.5" hidden="1" x14ac:dyDescent="0.35">
      <c r="B271" s="1012">
        <v>3</v>
      </c>
      <c r="C271" s="473" t="s">
        <v>866</v>
      </c>
      <c r="D271" s="1016">
        <v>590</v>
      </c>
      <c r="E271" s="1016">
        <v>590</v>
      </c>
      <c r="F271" s="1016">
        <v>590</v>
      </c>
      <c r="G271" s="1016">
        <v>770</v>
      </c>
      <c r="H271" s="1016">
        <v>770</v>
      </c>
      <c r="I271" s="1017">
        <v>770</v>
      </c>
      <c r="J271" s="1016"/>
      <c r="K271" s="1016"/>
      <c r="L271" s="1012"/>
      <c r="M271" s="1001"/>
    </row>
    <row r="272" spans="2:22" s="1201" customFormat="1" ht="15.5" hidden="1" x14ac:dyDescent="0.35">
      <c r="B272" s="1012">
        <v>4</v>
      </c>
      <c r="C272" s="473" t="s">
        <v>914</v>
      </c>
      <c r="D272" s="1016">
        <v>590</v>
      </c>
      <c r="E272" s="1016">
        <v>590</v>
      </c>
      <c r="F272" s="1016">
        <v>590</v>
      </c>
      <c r="G272" s="1016">
        <v>770</v>
      </c>
      <c r="H272" s="1016">
        <v>770</v>
      </c>
      <c r="I272" s="1017">
        <v>770</v>
      </c>
      <c r="J272" s="1016"/>
      <c r="K272" s="1016"/>
      <c r="L272" s="1000"/>
      <c r="M272" s="1001"/>
    </row>
    <row r="273" spans="2:13" s="1201" customFormat="1" ht="15.5" hidden="1" x14ac:dyDescent="0.35">
      <c r="B273" s="1012">
        <v>5</v>
      </c>
      <c r="C273" s="473" t="s">
        <v>918</v>
      </c>
      <c r="D273" s="1016">
        <v>590</v>
      </c>
      <c r="E273" s="1016">
        <v>590</v>
      </c>
      <c r="F273" s="1016">
        <v>590</v>
      </c>
      <c r="G273" s="1016">
        <v>770</v>
      </c>
      <c r="H273" s="1016">
        <v>770</v>
      </c>
      <c r="I273" s="1017">
        <v>770</v>
      </c>
      <c r="J273" s="1016"/>
      <c r="K273" s="1016"/>
      <c r="L273" s="1000"/>
      <c r="M273" s="1001"/>
    </row>
    <row r="274" spans="2:13" s="1201" customFormat="1" ht="15.5" hidden="1" x14ac:dyDescent="0.35">
      <c r="B274" s="1012">
        <v>6</v>
      </c>
      <c r="C274" s="474" t="s">
        <v>919</v>
      </c>
      <c r="D274" s="1016">
        <v>590</v>
      </c>
      <c r="E274" s="1016">
        <v>590</v>
      </c>
      <c r="F274" s="1016">
        <v>590</v>
      </c>
      <c r="G274" s="1016">
        <v>770</v>
      </c>
      <c r="H274" s="1016">
        <v>770</v>
      </c>
      <c r="I274" s="1017">
        <v>770</v>
      </c>
      <c r="J274" s="1016"/>
      <c r="K274" s="1016"/>
      <c r="L274" s="1000"/>
      <c r="M274" s="1001"/>
    </row>
    <row r="275" spans="2:13" s="1201" customFormat="1" ht="16" hidden="1" thickBot="1" x14ac:dyDescent="0.4">
      <c r="B275" s="1012">
        <v>7</v>
      </c>
      <c r="C275" s="473" t="s">
        <v>920</v>
      </c>
      <c r="D275" s="1559">
        <v>590</v>
      </c>
      <c r="E275" s="1016">
        <v>590</v>
      </c>
      <c r="F275" s="1016">
        <v>590</v>
      </c>
      <c r="G275" s="1016">
        <v>770</v>
      </c>
      <c r="H275" s="1016">
        <v>770</v>
      </c>
      <c r="I275" s="1017">
        <v>770</v>
      </c>
      <c r="J275" s="1016"/>
      <c r="K275" s="1016"/>
      <c r="L275" s="1000"/>
      <c r="M275" s="1001"/>
    </row>
    <row r="276" spans="2:13" s="1201" customFormat="1" ht="16" hidden="1" thickBot="1" x14ac:dyDescent="0.4">
      <c r="B276" s="1005" t="s">
        <v>228</v>
      </c>
      <c r="C276" s="1018" t="str">
        <f>VLOOKUP($D$13,$C$269:$I$275,1,FALSE)</f>
        <v>Victoria</v>
      </c>
      <c r="D276" s="1560">
        <f>VLOOKUP($D$13,$C$269:$I$275,2,FALSE)</f>
        <v>590</v>
      </c>
      <c r="E276" s="1019">
        <f>VLOOKUP($D$13,$C$269:$I$275,3,FALSE)</f>
        <v>590</v>
      </c>
      <c r="F276" s="1019">
        <f>VLOOKUP($D$13,$C$269:$I$275,4,FALSE)</f>
        <v>590</v>
      </c>
      <c r="G276" s="1019">
        <f>VLOOKUP($D$13,$C$269:$I$275,5,FALSE)</f>
        <v>770</v>
      </c>
      <c r="H276" s="1019">
        <f>VLOOKUP($D$13,$C$269:$I$275,6,FALSE)</f>
        <v>770</v>
      </c>
      <c r="I276" s="1367">
        <f>VLOOKUP($D$13,$C$269:$I$275,7,FALSE)</f>
        <v>770</v>
      </c>
      <c r="J276" s="908"/>
      <c r="K276" s="908"/>
      <c r="L276" s="1000"/>
      <c r="M276" s="1001"/>
    </row>
    <row r="277" spans="2:13" s="1201" customFormat="1" ht="16" hidden="1" thickBot="1" x14ac:dyDescent="0.4">
      <c r="B277" s="1000"/>
      <c r="C277" s="1580" t="s">
        <v>300</v>
      </c>
      <c r="D277" s="1578">
        <f t="shared" ref="D277:I277" si="8">IF(D276&gt;0,D19/D276,0)</f>
        <v>0.84745762711864403</v>
      </c>
      <c r="E277" s="1578">
        <f t="shared" si="8"/>
        <v>0.59322033898305082</v>
      </c>
      <c r="F277" s="1578">
        <f t="shared" si="8"/>
        <v>0.25423728813559321</v>
      </c>
      <c r="G277" s="1578">
        <f t="shared" si="8"/>
        <v>0.77922077922077926</v>
      </c>
      <c r="H277" s="1578">
        <f t="shared" si="8"/>
        <v>0.25974025974025972</v>
      </c>
      <c r="I277" s="1021">
        <f t="shared" si="8"/>
        <v>0</v>
      </c>
      <c r="J277" s="1022"/>
      <c r="K277" s="1022"/>
      <c r="L277" s="1012"/>
      <c r="M277" s="1001"/>
    </row>
    <row r="278" spans="2:13" s="1201" customFormat="1" ht="15.5" hidden="1" x14ac:dyDescent="0.35">
      <c r="B278" s="1000"/>
      <c r="C278" s="1023"/>
      <c r="D278" s="1022"/>
      <c r="E278" s="1022"/>
      <c r="F278" s="1022"/>
      <c r="G278" s="1022"/>
      <c r="H278" s="1022"/>
      <c r="I278" s="1022"/>
      <c r="J278" s="1022"/>
      <c r="K278" s="1022"/>
      <c r="L278" s="1012"/>
      <c r="M278" s="1001"/>
    </row>
    <row r="279" spans="2:13" s="1201" customFormat="1" ht="15.5" hidden="1" x14ac:dyDescent="0.35">
      <c r="B279" s="1002" t="s">
        <v>1255</v>
      </c>
      <c r="C279" s="1000"/>
      <c r="D279" s="1006">
        <f>D211/(1.185+(0.00454*D19)-(0.0000026*(D19)^2)+((0.315*0)))^2</f>
        <v>2.1976735941629166</v>
      </c>
      <c r="E279" s="1006">
        <f>E211/(1.185+(0.00454*E19)-(0.0000026*(E19)^2)+((0.315*0)))^2</f>
        <v>1.1876605782065544</v>
      </c>
      <c r="F279" s="1006">
        <f>F211/(1.185+(0.00454*F19)-(0.0000026*(F19)^2)+((0.315*0)))^2</f>
        <v>1.2588653776622303</v>
      </c>
      <c r="G279" s="1006">
        <f>G211/(1.185+(0.00454*G19)-(0.0000026*(G19)^2)+((0.315*0)))^2</f>
        <v>1</v>
      </c>
      <c r="H279" s="1006">
        <f>H211/(1.185+(0.00454*H19)-(0.0000026*(H19)^2)+((0.315*0)))^2</f>
        <v>1.3418234679879608</v>
      </c>
      <c r="I279" s="1006">
        <f>K211/(1.185+(0.00454*I19)-(0.0000026*(I19)^2)+((0.315*0)))^2</f>
        <v>1</v>
      </c>
      <c r="J279" s="1000"/>
      <c r="K279" s="1000"/>
      <c r="L279" s="1000"/>
      <c r="M279" s="1001"/>
    </row>
    <row r="280" spans="2:13" s="1201" customFormat="1" ht="15.5" hidden="1" x14ac:dyDescent="0.35">
      <c r="B280" s="1002"/>
      <c r="C280" s="1000"/>
      <c r="D280" s="1006"/>
      <c r="E280" s="1006"/>
      <c r="F280" s="1006"/>
      <c r="G280" s="1006"/>
      <c r="H280" s="1006"/>
      <c r="I280" s="1000"/>
      <c r="J280" s="1000"/>
      <c r="K280" s="1000"/>
      <c r="L280" s="1000"/>
      <c r="M280" s="1001"/>
    </row>
    <row r="281" spans="2:13" s="1201" customFormat="1" ht="15.5" hidden="1" x14ac:dyDescent="0.35">
      <c r="B281" s="1002" t="s">
        <v>276</v>
      </c>
      <c r="C281" s="1005" t="s">
        <v>434</v>
      </c>
      <c r="D281" s="1025">
        <f>((0.032*(H33*1.03*D33/365)/6.38)+((0.212-0.008*(D279-2)-((0.14-0.008*(D279-2))/(1+EXP(-6*(D$277-0.4)))))*(0*0.92))/6.25)</f>
        <v>9.426443938678232E-2</v>
      </c>
      <c r="E281" s="1025">
        <f>((0.032*0/6.38)+((0.212-0.008*(E279-2)-((0.14-0.008*(E279-2))/(1+EXP(-6*(E$277-0.4)))))*(E21*0.92))/6.25)</f>
        <v>1.102347690796146E-2</v>
      </c>
      <c r="F281" s="1025">
        <f>((0.032*0/6.38)+((0.212-0.008*(F279-2)-((0.14-0.008*(F279-2))/(1+EXP(-6*(F$277-0.4)))))*(F21*0.92))/6.25)</f>
        <v>1.8030116065935624E-2</v>
      </c>
      <c r="G281" s="1025">
        <f>((0.032*0/6.38)+((0.212-0.008*(G279-2)-((0.14-0.008*(G279-2))/(1+EXP(-6*(G$277-0.4)))))*(G21*0.92))/6.25)</f>
        <v>0</v>
      </c>
      <c r="H281" s="1025">
        <f>((0.032*0/6.38)+((0.212-0.008*(H279-2)-((0.14-0.008*(H279-2))/(1+EXP(-6*(H$277-0.4)))))*(H21*0.92))/6.25)</f>
        <v>2.5540745990623968E-2</v>
      </c>
      <c r="I281" s="1025">
        <f>((0.032*0/6.38)+((0.212-0.008*(I279-2)-((0.14-0.008*(I279-2))/(1+EXP(-6*(I$277-0.4)))))*(I21*0.92))/6.25)</f>
        <v>0</v>
      </c>
      <c r="J281" s="1025"/>
      <c r="K281" s="1025"/>
      <c r="L281" s="1012" t="s">
        <v>283</v>
      </c>
      <c r="M281" s="1001"/>
    </row>
    <row r="282" spans="2:13" s="1201" customFormat="1" ht="15.5" hidden="1" x14ac:dyDescent="0.35">
      <c r="B282" s="1000"/>
      <c r="C282" s="1023"/>
      <c r="D282" s="1022"/>
      <c r="E282" s="1022"/>
      <c r="F282" s="1022"/>
      <c r="G282" s="1022"/>
      <c r="H282" s="1022"/>
      <c r="I282" s="1022"/>
      <c r="J282" s="1022"/>
      <c r="K282" s="1022"/>
      <c r="L282" s="1012"/>
      <c r="M282" s="1001"/>
    </row>
    <row r="283" spans="2:13" s="1201" customFormat="1" ht="15.5" hidden="1" x14ac:dyDescent="0.35">
      <c r="B283" s="1002" t="s">
        <v>284</v>
      </c>
      <c r="C283" s="1000"/>
      <c r="D283" s="1024" t="s">
        <v>2057</v>
      </c>
      <c r="E283" s="1022"/>
      <c r="F283" s="1022"/>
      <c r="G283" s="1022"/>
      <c r="H283" s="1000"/>
      <c r="I283" s="1000"/>
      <c r="J283" s="1000"/>
      <c r="K283" s="1000"/>
      <c r="L283" s="1012"/>
      <c r="M283" s="1001" t="s">
        <v>1271</v>
      </c>
    </row>
    <row r="284" spans="2:13" s="1201" customFormat="1" ht="15.5" hidden="1" x14ac:dyDescent="0.35">
      <c r="B284" s="1000"/>
      <c r="C284" s="1005" t="s">
        <v>434</v>
      </c>
      <c r="D284" s="866">
        <f>(D258/6.25)-D281-D263-((1.1*10^-4*D19^0.75)/6.25)</f>
        <v>0.32877364372259332</v>
      </c>
      <c r="E284" s="866">
        <f>(E258/6.25)-E281-E263-((1.1*10^-4*E19^0.75)/6.25)</f>
        <v>0.17839623002243715</v>
      </c>
      <c r="F284" s="866">
        <f>(F258/6.25)-F281-F263-((1.1*10^-4*F19^0.75)/6.25)</f>
        <v>9.0823437454211092E-2</v>
      </c>
      <c r="G284" s="866">
        <f>(G258/6.25)-G281-G263-((1.1*10^-4*G19^0.75)/6.25)</f>
        <v>0.23342324346170468</v>
      </c>
      <c r="H284" s="866">
        <f>(H258/6.25)-H281-H263-((1.1*10^-4*H19^0.75)/6.25)</f>
        <v>0.11499539112288647</v>
      </c>
      <c r="I284" s="908">
        <v>8.2000000000000007E-3</v>
      </c>
      <c r="J284" s="908">
        <v>4.1999999999999997E-3</v>
      </c>
      <c r="K284" s="866">
        <f>(K258/6.25)-I281-K263-((1.1*10^-4*I19^0.75)/6.25)</f>
        <v>3.7423355654880003E-2</v>
      </c>
      <c r="L284" s="1012" t="s">
        <v>283</v>
      </c>
      <c r="M284" s="1001"/>
    </row>
    <row r="285" spans="2:13" s="1201" customFormat="1" ht="15.5" hidden="1" x14ac:dyDescent="0.35">
      <c r="B285" s="1000"/>
      <c r="C285" s="1000"/>
      <c r="D285" s="1000"/>
      <c r="E285" s="1000"/>
      <c r="F285" s="1000"/>
      <c r="G285" s="1000"/>
      <c r="H285" s="1000"/>
      <c r="I285" s="1000"/>
      <c r="J285" s="1000"/>
      <c r="K285" s="1030"/>
      <c r="L285" s="1012"/>
      <c r="M285" s="1001"/>
    </row>
    <row r="286" spans="2:13" s="1201" customFormat="1" ht="15.5" hidden="1" x14ac:dyDescent="0.35">
      <c r="B286" s="1002" t="s">
        <v>444</v>
      </c>
      <c r="C286" s="1000"/>
      <c r="D286" s="1002" t="s">
        <v>1261</v>
      </c>
      <c r="E286" s="1000"/>
      <c r="F286" s="1000"/>
      <c r="G286" s="1000"/>
      <c r="H286" s="1000"/>
      <c r="I286" s="1000"/>
      <c r="J286" s="1000"/>
      <c r="K286" s="1000"/>
      <c r="L286" s="1012"/>
      <c r="M286" s="1001" t="s">
        <v>1272</v>
      </c>
    </row>
    <row r="287" spans="2:13" s="1201" customFormat="1" ht="15.5" hidden="1" x14ac:dyDescent="0.35">
      <c r="B287" s="1000"/>
      <c r="C287" s="1000"/>
      <c r="D287" s="1000"/>
      <c r="E287" s="1000"/>
      <c r="F287" s="1000"/>
      <c r="G287" s="1000"/>
      <c r="H287" s="1000"/>
      <c r="I287" s="1000"/>
      <c r="J287" s="1000"/>
      <c r="K287" s="1000"/>
      <c r="L287" s="1000"/>
      <c r="M287" s="1001"/>
    </row>
    <row r="288" spans="2:13" s="1201" customFormat="1" ht="15.5" hidden="1" x14ac:dyDescent="0.35">
      <c r="B288" s="1000"/>
      <c r="C288" s="1005" t="s">
        <v>434</v>
      </c>
      <c r="D288" s="909">
        <f>(365*D17*D263)*10^-6</f>
        <v>1.4719213202570684E-2</v>
      </c>
      <c r="E288" s="909">
        <f>(365*E17*E263)*10^-6</f>
        <v>1.6778618837550489E-3</v>
      </c>
      <c r="F288" s="909">
        <f>(281*F17*F263)*10^-6</f>
        <v>7.7279110350024971E-4</v>
      </c>
      <c r="G288" s="909">
        <f>(365*G17*G263)*10^-6</f>
        <v>1.3806466688284183E-4</v>
      </c>
      <c r="H288" s="909">
        <f>(281*H17*H263)*10^-6</f>
        <v>7.9796005012242413E-4</v>
      </c>
      <c r="I288" s="909">
        <f>(84*F17*I263)*10^-6</f>
        <v>5.7749999999999994E-5</v>
      </c>
      <c r="J288" s="909">
        <f>(84*H17*J263)*10^-6</f>
        <v>4.1999999999999998E-5</v>
      </c>
      <c r="K288" s="909">
        <f>(365*I17*K263)*10^-6</f>
        <v>0</v>
      </c>
      <c r="L288" s="1000" t="s">
        <v>438</v>
      </c>
      <c r="M288" s="1393"/>
    </row>
    <row r="289" spans="2:13" s="1201" customFormat="1" ht="15.5" hidden="1" x14ac:dyDescent="0.35">
      <c r="B289" s="1000"/>
      <c r="C289" s="1000"/>
      <c r="D289" s="909"/>
      <c r="E289" s="909"/>
      <c r="F289" s="909"/>
      <c r="G289" s="909"/>
      <c r="H289" s="909"/>
      <c r="I289" s="909"/>
      <c r="J289" s="909"/>
      <c r="K289" s="909"/>
      <c r="L289" s="1000"/>
      <c r="M289" s="1001"/>
    </row>
    <row r="290" spans="2:13" s="1201" customFormat="1" ht="15.5" hidden="1" x14ac:dyDescent="0.35">
      <c r="B290" s="1002" t="s">
        <v>445</v>
      </c>
      <c r="C290" s="1000"/>
      <c r="D290" s="932" t="s">
        <v>1262</v>
      </c>
      <c r="E290" s="909"/>
      <c r="F290" s="909"/>
      <c r="G290" s="909"/>
      <c r="H290" s="909"/>
      <c r="I290" s="909"/>
      <c r="J290" s="909"/>
      <c r="K290" s="909"/>
      <c r="L290" s="1000"/>
      <c r="M290" s="1001" t="s">
        <v>1273</v>
      </c>
    </row>
    <row r="291" spans="2:13" s="1201" customFormat="1" ht="15.5" hidden="1" x14ac:dyDescent="0.35">
      <c r="B291" s="1000"/>
      <c r="C291" s="1000"/>
      <c r="D291" s="909"/>
      <c r="E291" s="909"/>
      <c r="F291" s="909"/>
      <c r="G291" s="909"/>
      <c r="H291" s="909"/>
      <c r="I291" s="909"/>
      <c r="J291" s="909"/>
      <c r="K291" s="909"/>
      <c r="L291" s="1000"/>
      <c r="M291" s="1001"/>
    </row>
    <row r="292" spans="2:13" s="1201" customFormat="1" ht="15.5" hidden="1" x14ac:dyDescent="0.35">
      <c r="B292" s="1000"/>
      <c r="C292" s="1005" t="s">
        <v>434</v>
      </c>
      <c r="D292" s="928">
        <f>(365*D17*D284)*10^-6</f>
        <v>5.4001070981435952E-2</v>
      </c>
      <c r="E292" s="928">
        <f>(365*E17*E284)*10^-6</f>
        <v>7.8137548749827469E-3</v>
      </c>
      <c r="F292" s="928">
        <f>(281*F17*F284)*10^-6</f>
        <v>3.1901732405791644E-3</v>
      </c>
      <c r="G292" s="928">
        <f>(365*G17*G284)*10^-6</f>
        <v>6.8159587090817762E-4</v>
      </c>
      <c r="H292" s="928">
        <f>(281*H17*H284)*10^-6</f>
        <v>3.2313704905531098E-3</v>
      </c>
      <c r="I292" s="928">
        <f>(84*F17*I284)*10^-6</f>
        <v>8.6100000000000006E-5</v>
      </c>
      <c r="J292" s="928">
        <f>(84*H17*J284)*10^-6</f>
        <v>3.5280000000000001E-5</v>
      </c>
      <c r="K292" s="928">
        <f>(365*I17*K284)*10^-6</f>
        <v>0</v>
      </c>
      <c r="L292" s="1000" t="s">
        <v>438</v>
      </c>
      <c r="M292" s="1393"/>
    </row>
    <row r="293" spans="2:13" s="1201" customFormat="1" ht="15.5" hidden="1" x14ac:dyDescent="0.35">
      <c r="B293" s="1000"/>
      <c r="C293" s="1000"/>
      <c r="D293" s="1000"/>
      <c r="E293" s="1000"/>
      <c r="F293" s="1000"/>
      <c r="G293" s="1000"/>
      <c r="H293" s="1000"/>
      <c r="I293" s="1000"/>
      <c r="J293" s="1000"/>
      <c r="K293" s="1562"/>
      <c r="L293" s="1000"/>
      <c r="M293" s="1001"/>
    </row>
    <row r="294" spans="2:13" s="1201" customFormat="1" ht="18" hidden="1" x14ac:dyDescent="0.45">
      <c r="B294" s="1002" t="s">
        <v>1275</v>
      </c>
      <c r="C294" s="1000"/>
      <c r="D294" s="1002" t="s">
        <v>2147</v>
      </c>
      <c r="E294" s="1000"/>
      <c r="F294" s="1000"/>
      <c r="G294" s="1000"/>
      <c r="H294" s="1000"/>
      <c r="I294" s="1000"/>
      <c r="J294" s="1000"/>
      <c r="K294" s="1000"/>
      <c r="L294" s="1000"/>
      <c r="M294" s="1001"/>
    </row>
    <row r="295" spans="2:13" s="1201" customFormat="1" ht="15.5" hidden="1" x14ac:dyDescent="0.35">
      <c r="B295" s="1000"/>
      <c r="C295" s="1000"/>
      <c r="D295" s="1025"/>
      <c r="E295" s="1025"/>
      <c r="F295" s="1025"/>
      <c r="G295" s="1025"/>
      <c r="H295" s="1025"/>
      <c r="I295" s="1025"/>
      <c r="J295" s="1025"/>
      <c r="K295" s="1025"/>
      <c r="L295" s="1012"/>
      <c r="M295" s="1001"/>
    </row>
    <row r="296" spans="2:13" s="1201" customFormat="1" ht="15.5" hidden="1" x14ac:dyDescent="0.35">
      <c r="B296" s="1000" t="s">
        <v>1276</v>
      </c>
      <c r="C296" s="1005" t="s">
        <v>434</v>
      </c>
      <c r="D296" s="929">
        <f t="shared" ref="D296:J296" si="9">D292+D288</f>
        <v>6.8720284184006636E-2</v>
      </c>
      <c r="E296" s="929">
        <f t="shared" si="9"/>
        <v>9.4916167587377961E-3</v>
      </c>
      <c r="F296" s="929">
        <f t="shared" si="9"/>
        <v>3.9629643440794136E-3</v>
      </c>
      <c r="G296" s="929">
        <f t="shared" si="9"/>
        <v>8.1966053779101945E-4</v>
      </c>
      <c r="H296" s="929">
        <f t="shared" si="9"/>
        <v>4.0293305406755341E-3</v>
      </c>
      <c r="I296" s="929">
        <f>I292+I288</f>
        <v>1.4385E-4</v>
      </c>
      <c r="J296" s="929">
        <f t="shared" si="9"/>
        <v>7.7279999999999992E-5</v>
      </c>
      <c r="K296" s="929">
        <f>K292+K288</f>
        <v>0</v>
      </c>
      <c r="L296" s="1000" t="s">
        <v>438</v>
      </c>
      <c r="M296" s="1001"/>
    </row>
    <row r="297" spans="2:13" s="1201" customFormat="1" ht="15.5" hidden="1" x14ac:dyDescent="0.35">
      <c r="B297" s="1028"/>
      <c r="C297" s="1023"/>
      <c r="D297" s="1002"/>
      <c r="E297" s="1023"/>
      <c r="F297" s="1023"/>
      <c r="G297" s="1023"/>
      <c r="H297" s="1012"/>
      <c r="I297" s="931"/>
      <c r="J297" s="931"/>
      <c r="K297" s="971"/>
      <c r="L297" s="1000"/>
      <c r="M297" s="1001"/>
    </row>
    <row r="298" spans="2:13" s="1201" customFormat="1" ht="15.5" hidden="1" x14ac:dyDescent="0.35">
      <c r="B298" s="1000"/>
      <c r="C298" s="1000"/>
      <c r="D298" s="909"/>
      <c r="E298" s="909"/>
      <c r="F298" s="909"/>
      <c r="G298" s="909"/>
      <c r="H298" s="909"/>
      <c r="I298" s="909"/>
      <c r="J298" s="909"/>
      <c r="K298" s="909"/>
      <c r="L298" s="1000"/>
      <c r="M298" s="1027"/>
    </row>
    <row r="299" spans="2:13" s="1201" customFormat="1" ht="18" hidden="1" x14ac:dyDescent="0.45">
      <c r="B299" s="1028" t="s">
        <v>2058</v>
      </c>
      <c r="C299" s="1000"/>
      <c r="D299" s="1002" t="s">
        <v>2147</v>
      </c>
      <c r="E299" s="1000"/>
      <c r="F299" s="1000"/>
      <c r="G299" s="1000"/>
      <c r="H299" s="1000"/>
      <c r="I299" s="1000"/>
      <c r="J299" s="1000"/>
      <c r="K299" s="1000"/>
      <c r="L299" s="1028" t="s">
        <v>296</v>
      </c>
      <c r="M299" s="1001" t="s">
        <v>1281</v>
      </c>
    </row>
    <row r="300" spans="2:13" s="1201" customFormat="1" ht="15.5" hidden="1" x14ac:dyDescent="0.35">
      <c r="B300" s="1023" t="s">
        <v>1288</v>
      </c>
      <c r="C300" s="1005" t="s">
        <v>434</v>
      </c>
      <c r="D300" s="1029">
        <f>D296*C83%</f>
        <v>7.9715529653447692E-3</v>
      </c>
      <c r="E300" s="1029">
        <f t="shared" ref="E300:J300" si="10">E296*$C$84%</f>
        <v>0</v>
      </c>
      <c r="F300" s="1029">
        <f>F296*$C$84%</f>
        <v>0</v>
      </c>
      <c r="G300" s="1029">
        <f t="shared" si="10"/>
        <v>0</v>
      </c>
      <c r="H300" s="1029">
        <f t="shared" si="10"/>
        <v>0</v>
      </c>
      <c r="I300" s="1029">
        <f t="shared" si="10"/>
        <v>0</v>
      </c>
      <c r="J300" s="1029">
        <f t="shared" si="10"/>
        <v>0</v>
      </c>
      <c r="K300" s="1029">
        <f>K296*$C$84%</f>
        <v>0</v>
      </c>
      <c r="L300" s="1023">
        <v>0</v>
      </c>
      <c r="M300" s="1001"/>
    </row>
    <row r="301" spans="2:13" s="1201" customFormat="1" ht="15.5" hidden="1" x14ac:dyDescent="0.35">
      <c r="B301" s="1000"/>
      <c r="C301" s="1000"/>
      <c r="D301" s="1000"/>
      <c r="E301" s="1000"/>
      <c r="F301" s="1000"/>
      <c r="G301" s="1000"/>
      <c r="H301" s="1000"/>
      <c r="I301" s="1000"/>
      <c r="J301" s="1000"/>
      <c r="K301" s="1000"/>
      <c r="L301" s="1000"/>
      <c r="M301" s="1001"/>
    </row>
    <row r="302" spans="2:13" s="1201" customFormat="1" ht="15.5" hidden="1" x14ac:dyDescent="0.35">
      <c r="B302" s="1023" t="s">
        <v>1287</v>
      </c>
      <c r="C302" s="1005" t="s">
        <v>434</v>
      </c>
      <c r="D302" s="1029">
        <f>D296*D83%</f>
        <v>7.5592312602407305E-4</v>
      </c>
      <c r="E302" s="1029">
        <f t="shared" ref="E302:J302" si="11">E296*$D$84%</f>
        <v>0</v>
      </c>
      <c r="F302" s="1029">
        <f>F296*$D$84%</f>
        <v>0</v>
      </c>
      <c r="G302" s="1029">
        <f t="shared" si="11"/>
        <v>0</v>
      </c>
      <c r="H302" s="1029">
        <f t="shared" si="11"/>
        <v>0</v>
      </c>
      <c r="I302" s="1029">
        <f t="shared" si="11"/>
        <v>0</v>
      </c>
      <c r="J302" s="1029">
        <f t="shared" si="11"/>
        <v>0</v>
      </c>
      <c r="K302" s="1029">
        <f t="shared" ref="K302" si="12">K296*$D$84%</f>
        <v>0</v>
      </c>
      <c r="L302" s="1023">
        <v>0</v>
      </c>
      <c r="M302" s="1001"/>
    </row>
    <row r="303" spans="2:13" s="1201" customFormat="1" ht="15.5" hidden="1" x14ac:dyDescent="0.35">
      <c r="B303" s="1000"/>
      <c r="C303" s="1000"/>
      <c r="D303" s="1000"/>
      <c r="E303" s="1000"/>
      <c r="F303" s="1000"/>
      <c r="G303" s="1000"/>
      <c r="H303" s="1000"/>
      <c r="I303" s="1000"/>
      <c r="J303" s="1000"/>
      <c r="K303" s="1000"/>
      <c r="L303" s="1000"/>
      <c r="M303" s="1001"/>
    </row>
    <row r="304" spans="2:13" s="1201" customFormat="1" ht="15.5" hidden="1" x14ac:dyDescent="0.35">
      <c r="B304" s="1023" t="s">
        <v>1914</v>
      </c>
      <c r="C304" s="1005" t="s">
        <v>434</v>
      </c>
      <c r="D304" s="1029">
        <f>D296*E83%</f>
        <v>3.7796156301203652E-4</v>
      </c>
      <c r="E304" s="1029">
        <f t="shared" ref="E304:J304" si="13">E296*$E$84%</f>
        <v>0</v>
      </c>
      <c r="F304" s="1029">
        <f t="shared" si="13"/>
        <v>0</v>
      </c>
      <c r="G304" s="1029">
        <f t="shared" si="13"/>
        <v>0</v>
      </c>
      <c r="H304" s="1029">
        <f t="shared" si="13"/>
        <v>0</v>
      </c>
      <c r="I304" s="1029">
        <f t="shared" si="13"/>
        <v>0</v>
      </c>
      <c r="J304" s="1029">
        <f t="shared" si="13"/>
        <v>0</v>
      </c>
      <c r="K304" s="1029">
        <f t="shared" ref="K304" si="14">K296*$E$84%</f>
        <v>0</v>
      </c>
      <c r="L304" s="1023">
        <v>0</v>
      </c>
      <c r="M304" s="1001"/>
    </row>
    <row r="305" spans="2:13" s="1201" customFormat="1" ht="15.5" hidden="1" x14ac:dyDescent="0.35">
      <c r="B305" s="1000"/>
      <c r="C305" s="1005"/>
      <c r="D305" s="1029"/>
      <c r="E305" s="1029"/>
      <c r="F305" s="1029"/>
      <c r="G305" s="1029"/>
      <c r="H305" s="1029"/>
      <c r="I305" s="1029"/>
      <c r="J305" s="1029"/>
      <c r="K305" s="1029"/>
      <c r="L305" s="1000"/>
      <c r="M305" s="1001"/>
    </row>
    <row r="306" spans="2:13" s="1201" customFormat="1" ht="15.5" hidden="1" x14ac:dyDescent="0.35">
      <c r="B306" s="1023" t="s">
        <v>1290</v>
      </c>
      <c r="C306" s="1005" t="s">
        <v>434</v>
      </c>
      <c r="D306" s="1029">
        <f>D296*F83%</f>
        <v>1.6905189909265633E-3</v>
      </c>
      <c r="E306" s="1029">
        <f t="shared" ref="E306:J306" si="15">E296*$F$84%</f>
        <v>0</v>
      </c>
      <c r="F306" s="1029">
        <f t="shared" si="15"/>
        <v>0</v>
      </c>
      <c r="G306" s="1029">
        <f t="shared" si="15"/>
        <v>0</v>
      </c>
      <c r="H306" s="1029">
        <f t="shared" si="15"/>
        <v>0</v>
      </c>
      <c r="I306" s="1029">
        <f t="shared" si="15"/>
        <v>0</v>
      </c>
      <c r="J306" s="1029">
        <f t="shared" si="15"/>
        <v>0</v>
      </c>
      <c r="K306" s="1029">
        <f t="shared" ref="K306" si="16">K296*$F$84%</f>
        <v>0</v>
      </c>
      <c r="L306" s="1005">
        <v>5.0000000000000001E-3</v>
      </c>
      <c r="M306" s="1001"/>
    </row>
    <row r="307" spans="2:13" s="1201" customFormat="1" ht="15.5" hidden="1" x14ac:dyDescent="0.35">
      <c r="B307" s="1000"/>
      <c r="C307" s="1005"/>
      <c r="D307" s="1029"/>
      <c r="E307" s="1029"/>
      <c r="F307" s="1029"/>
      <c r="G307" s="1029"/>
      <c r="H307" s="1029"/>
      <c r="I307" s="1029"/>
      <c r="J307" s="1029"/>
      <c r="K307" s="1029"/>
      <c r="L307" s="1000"/>
      <c r="M307" s="1001"/>
    </row>
    <row r="308" spans="2:13" s="1201" customFormat="1" ht="15.5" hidden="1" x14ac:dyDescent="0.35">
      <c r="B308" s="1023" t="s">
        <v>297</v>
      </c>
      <c r="C308" s="1005" t="s">
        <v>434</v>
      </c>
      <c r="D308" s="1029">
        <f>D296*G83%</f>
        <v>5.7924327538699201E-2</v>
      </c>
      <c r="E308" s="1029">
        <f t="shared" ref="E308:J308" si="17">E296*$G$84%</f>
        <v>9.4916167587377961E-3</v>
      </c>
      <c r="F308" s="1029">
        <f t="shared" si="17"/>
        <v>3.9629643440794136E-3</v>
      </c>
      <c r="G308" s="1029">
        <f t="shared" si="17"/>
        <v>8.1966053779101945E-4</v>
      </c>
      <c r="H308" s="1029">
        <f t="shared" si="17"/>
        <v>4.0293305406755341E-3</v>
      </c>
      <c r="I308" s="1029">
        <f t="shared" si="17"/>
        <v>1.4385E-4</v>
      </c>
      <c r="J308" s="1029">
        <f t="shared" si="17"/>
        <v>7.7279999999999992E-5</v>
      </c>
      <c r="K308" s="1029">
        <f t="shared" ref="K308" si="18">K296*$G$84%</f>
        <v>0</v>
      </c>
      <c r="L308" s="1023">
        <v>0</v>
      </c>
      <c r="M308" s="1001"/>
    </row>
    <row r="309" spans="2:13" s="1201" customFormat="1" ht="15.5" hidden="1" x14ac:dyDescent="0.35">
      <c r="B309" s="1000"/>
      <c r="C309" s="1000"/>
      <c r="D309" s="1029"/>
      <c r="E309" s="1029"/>
      <c r="F309" s="1029"/>
      <c r="G309" s="1029"/>
      <c r="H309" s="1029"/>
      <c r="I309" s="1029"/>
      <c r="J309" s="1029"/>
      <c r="K309" s="1029"/>
      <c r="L309" s="1000"/>
      <c r="M309" s="1001"/>
    </row>
    <row r="310" spans="2:13" s="1201" customFormat="1" ht="18" hidden="1" x14ac:dyDescent="0.45">
      <c r="B310" s="1002" t="s">
        <v>1277</v>
      </c>
      <c r="C310" s="1005" t="s">
        <v>434</v>
      </c>
      <c r="D310" s="1029">
        <f>SUM(D300,D302,D304,D306,D308)</f>
        <v>6.8720284184006636E-2</v>
      </c>
      <c r="E310" s="1029">
        <f t="shared" ref="E310:J310" si="19">SUM(E300,E302,E304,E306,E308)</f>
        <v>9.4916167587377961E-3</v>
      </c>
      <c r="F310" s="1029">
        <f t="shared" si="19"/>
        <v>3.9629643440794136E-3</v>
      </c>
      <c r="G310" s="1029">
        <f t="shared" si="19"/>
        <v>8.1966053779101945E-4</v>
      </c>
      <c r="H310" s="1029">
        <f t="shared" si="19"/>
        <v>4.0293305406755341E-3</v>
      </c>
      <c r="I310" s="1029">
        <f t="shared" si="19"/>
        <v>1.4385E-4</v>
      </c>
      <c r="J310" s="1029">
        <f t="shared" si="19"/>
        <v>7.7279999999999992E-5</v>
      </c>
      <c r="K310" s="1029">
        <f t="shared" ref="K310" si="20">SUM(K300,K302,K304,K306,K308)</f>
        <v>0</v>
      </c>
      <c r="L310" s="1000" t="s">
        <v>438</v>
      </c>
      <c r="M310" s="1001" t="s">
        <v>1278</v>
      </c>
    </row>
    <row r="311" spans="2:13" s="1201" customFormat="1" ht="15.5" hidden="1" x14ac:dyDescent="0.35">
      <c r="B311" s="1000"/>
      <c r="C311" s="1000"/>
      <c r="D311" s="1000"/>
      <c r="E311" s="1000"/>
      <c r="F311" s="1000"/>
      <c r="G311" s="1000"/>
      <c r="H311" s="1000"/>
      <c r="I311" s="1000"/>
      <c r="J311" s="1000"/>
      <c r="K311" s="1000"/>
      <c r="L311" s="1000"/>
      <c r="M311" s="1001"/>
    </row>
    <row r="312" spans="2:13" s="1201" customFormat="1" ht="18" hidden="1" x14ac:dyDescent="0.45">
      <c r="B312" s="1002" t="s">
        <v>1306</v>
      </c>
      <c r="C312" s="1005" t="s">
        <v>434</v>
      </c>
      <c r="D312" s="1029">
        <f t="shared" ref="D312:J312" si="21">((D300*$L$300)+(D302*$L$302)+(D304*$L$304)+(D306*$L$306))*44/28</f>
        <v>1.3282649214422997E-5</v>
      </c>
      <c r="E312" s="1029">
        <f t="shared" si="21"/>
        <v>0</v>
      </c>
      <c r="F312" s="1029">
        <f t="shared" si="21"/>
        <v>0</v>
      </c>
      <c r="G312" s="1029">
        <f t="shared" si="21"/>
        <v>0</v>
      </c>
      <c r="H312" s="1029">
        <f t="shared" si="21"/>
        <v>0</v>
      </c>
      <c r="I312" s="1029">
        <f t="shared" si="21"/>
        <v>0</v>
      </c>
      <c r="J312" s="1029">
        <f t="shared" si="21"/>
        <v>0</v>
      </c>
      <c r="K312" s="1029">
        <f>((K300*$L$300)+(K302*$L$302)+(K304*$L$304)+(K306*$L$306))*44/28</f>
        <v>0</v>
      </c>
      <c r="L312" s="1000" t="s">
        <v>1325</v>
      </c>
      <c r="M312" s="1001" t="s">
        <v>1274</v>
      </c>
    </row>
    <row r="313" spans="2:13" s="1201" customFormat="1" ht="15.5" hidden="1" x14ac:dyDescent="0.35">
      <c r="B313" s="1000"/>
      <c r="C313" s="1005"/>
      <c r="D313" s="1000"/>
      <c r="E313" s="1000"/>
      <c r="F313" s="1000"/>
      <c r="G313" s="1000"/>
      <c r="H313" s="1000"/>
      <c r="I313" s="1000"/>
      <c r="J313" s="1000"/>
      <c r="K313" s="1000"/>
      <c r="L313" s="1000"/>
      <c r="M313" s="1001"/>
    </row>
    <row r="314" spans="2:13" s="1201" customFormat="1" ht="15.5" hidden="1" x14ac:dyDescent="0.35">
      <c r="B314" s="1000"/>
      <c r="C314" s="1002" t="s">
        <v>1265</v>
      </c>
      <c r="D314" s="1000"/>
      <c r="E314" s="1000"/>
      <c r="F314" s="1000"/>
      <c r="G314" s="1000"/>
      <c r="H314" s="1000"/>
      <c r="I314" s="1000"/>
      <c r="J314" s="1000"/>
      <c r="K314" s="1000"/>
      <c r="L314" s="1002" t="s">
        <v>1280</v>
      </c>
      <c r="M314" s="1001" t="s">
        <v>1281</v>
      </c>
    </row>
    <row r="315" spans="2:13" s="1201" customFormat="1" ht="15.5" hidden="1" x14ac:dyDescent="0.35">
      <c r="B315" s="1023" t="s">
        <v>1288</v>
      </c>
      <c r="C315" s="1005" t="s">
        <v>434</v>
      </c>
      <c r="D315" s="909">
        <f t="shared" ref="D315:K315" si="22">D300*$L315</f>
        <v>2.7900435378706689E-3</v>
      </c>
      <c r="E315" s="909">
        <f t="shared" si="22"/>
        <v>0</v>
      </c>
      <c r="F315" s="909">
        <f t="shared" si="22"/>
        <v>0</v>
      </c>
      <c r="G315" s="909">
        <f t="shared" si="22"/>
        <v>0</v>
      </c>
      <c r="H315" s="909">
        <f t="shared" si="22"/>
        <v>0</v>
      </c>
      <c r="I315" s="909">
        <f t="shared" si="22"/>
        <v>0</v>
      </c>
      <c r="J315" s="909">
        <f t="shared" si="22"/>
        <v>0</v>
      </c>
      <c r="K315" s="909">
        <f t="shared" si="22"/>
        <v>0</v>
      </c>
      <c r="L315" s="1000">
        <v>0.35</v>
      </c>
      <c r="M315" s="1001"/>
    </row>
    <row r="316" spans="2:13" s="1201" customFormat="1" ht="15.5" hidden="1" x14ac:dyDescent="0.35">
      <c r="B316" s="1000"/>
      <c r="C316" s="1000"/>
      <c r="D316" s="1000"/>
      <c r="E316" s="1000"/>
      <c r="F316" s="1000"/>
      <c r="G316" s="1000"/>
      <c r="H316" s="1000"/>
      <c r="I316" s="1000"/>
      <c r="J316" s="1000"/>
      <c r="K316" s="1000"/>
      <c r="L316" s="1000"/>
      <c r="M316" s="1001"/>
    </row>
    <row r="317" spans="2:13" s="1201" customFormat="1" ht="15.5" hidden="1" x14ac:dyDescent="0.35">
      <c r="B317" s="1023" t="s">
        <v>1287</v>
      </c>
      <c r="C317" s="1005" t="s">
        <v>434</v>
      </c>
      <c r="D317" s="909">
        <f t="shared" ref="D317:K317" si="23">D302*$L317</f>
        <v>5.2914618821685119E-5</v>
      </c>
      <c r="E317" s="909">
        <f t="shared" si="23"/>
        <v>0</v>
      </c>
      <c r="F317" s="909">
        <f t="shared" si="23"/>
        <v>0</v>
      </c>
      <c r="G317" s="909">
        <f t="shared" si="23"/>
        <v>0</v>
      </c>
      <c r="H317" s="909">
        <f t="shared" si="23"/>
        <v>0</v>
      </c>
      <c r="I317" s="909">
        <f t="shared" si="23"/>
        <v>0</v>
      </c>
      <c r="J317" s="909">
        <f t="shared" si="23"/>
        <v>0</v>
      </c>
      <c r="K317" s="909">
        <f t="shared" si="23"/>
        <v>0</v>
      </c>
      <c r="L317" s="1000">
        <v>7.0000000000000007E-2</v>
      </c>
      <c r="M317" s="1001"/>
    </row>
    <row r="318" spans="2:13" s="1201" customFormat="1" ht="15.5" hidden="1" x14ac:dyDescent="0.35">
      <c r="B318" s="1000"/>
      <c r="C318" s="1000"/>
      <c r="D318" s="1000"/>
      <c r="E318" s="1000"/>
      <c r="F318" s="1000"/>
      <c r="G318" s="1000"/>
      <c r="H318" s="1000"/>
      <c r="I318" s="1000"/>
      <c r="J318" s="1000"/>
      <c r="K318" s="1000"/>
      <c r="L318" s="1000"/>
      <c r="M318" s="1001"/>
    </row>
    <row r="319" spans="2:13" s="1201" customFormat="1" ht="15.5" hidden="1" x14ac:dyDescent="0.35">
      <c r="B319" s="1023" t="s">
        <v>1914</v>
      </c>
      <c r="C319" s="1005" t="s">
        <v>434</v>
      </c>
      <c r="D319" s="909">
        <f t="shared" ref="D319:K319" si="24">D304*$L319</f>
        <v>7.5592312602407315E-5</v>
      </c>
      <c r="E319" s="909">
        <f t="shared" si="24"/>
        <v>0</v>
      </c>
      <c r="F319" s="909">
        <f t="shared" si="24"/>
        <v>0</v>
      </c>
      <c r="G319" s="909">
        <f t="shared" si="24"/>
        <v>0</v>
      </c>
      <c r="H319" s="909">
        <f t="shared" si="24"/>
        <v>0</v>
      </c>
      <c r="I319" s="909">
        <f t="shared" si="24"/>
        <v>0</v>
      </c>
      <c r="J319" s="909">
        <f t="shared" si="24"/>
        <v>0</v>
      </c>
      <c r="K319" s="909">
        <f t="shared" si="24"/>
        <v>0</v>
      </c>
      <c r="L319" s="1000">
        <v>0.2</v>
      </c>
      <c r="M319" s="1001"/>
    </row>
    <row r="320" spans="2:13" s="1201" customFormat="1" ht="15.5" hidden="1" x14ac:dyDescent="0.35">
      <c r="B320" s="1000"/>
      <c r="C320" s="1005"/>
      <c r="D320" s="1000"/>
      <c r="E320" s="1000"/>
      <c r="F320" s="1000"/>
      <c r="G320" s="1000"/>
      <c r="H320" s="1000"/>
      <c r="I320" s="1000"/>
      <c r="J320" s="1000"/>
      <c r="K320" s="1000"/>
      <c r="L320" s="1000"/>
      <c r="M320" s="1001"/>
    </row>
    <row r="321" spans="2:13" s="1201" customFormat="1" ht="15.5" hidden="1" x14ac:dyDescent="0.35">
      <c r="B321" s="1023" t="s">
        <v>1290</v>
      </c>
      <c r="C321" s="1005" t="s">
        <v>434</v>
      </c>
      <c r="D321" s="909">
        <f t="shared" ref="D321:K321" si="25">D306*$L321</f>
        <v>5.07155697277969E-4</v>
      </c>
      <c r="E321" s="909">
        <f t="shared" si="25"/>
        <v>0</v>
      </c>
      <c r="F321" s="909">
        <f t="shared" si="25"/>
        <v>0</v>
      </c>
      <c r="G321" s="909">
        <f t="shared" si="25"/>
        <v>0</v>
      </c>
      <c r="H321" s="909">
        <f t="shared" si="25"/>
        <v>0</v>
      </c>
      <c r="I321" s="909">
        <f t="shared" si="25"/>
        <v>0</v>
      </c>
      <c r="J321" s="909">
        <f t="shared" si="25"/>
        <v>0</v>
      </c>
      <c r="K321" s="909">
        <f t="shared" si="25"/>
        <v>0</v>
      </c>
      <c r="L321" s="1000">
        <v>0.3</v>
      </c>
      <c r="M321" s="1001"/>
    </row>
    <row r="322" spans="2:13" s="1201" customFormat="1" ht="15.5" hidden="1" x14ac:dyDescent="0.35">
      <c r="B322" s="1000"/>
      <c r="C322" s="1005"/>
      <c r="D322" s="1000"/>
      <c r="E322" s="1000"/>
      <c r="F322" s="1000"/>
      <c r="G322" s="1000"/>
      <c r="H322" s="1000"/>
      <c r="I322" s="1000"/>
      <c r="J322" s="1000"/>
      <c r="K322" s="1000"/>
      <c r="L322" s="1000"/>
      <c r="M322" s="1001"/>
    </row>
    <row r="323" spans="2:13" s="1201" customFormat="1" ht="15.5" hidden="1" x14ac:dyDescent="0.35">
      <c r="B323" s="1023" t="s">
        <v>297</v>
      </c>
      <c r="C323" s="1005" t="s">
        <v>434</v>
      </c>
      <c r="D323" s="909">
        <f t="shared" ref="D323:K323" si="26">D308*$L323</f>
        <v>0</v>
      </c>
      <c r="E323" s="909">
        <f t="shared" si="26"/>
        <v>0</v>
      </c>
      <c r="F323" s="909">
        <f t="shared" si="26"/>
        <v>0</v>
      </c>
      <c r="G323" s="909">
        <f t="shared" si="26"/>
        <v>0</v>
      </c>
      <c r="H323" s="909">
        <f t="shared" si="26"/>
        <v>0</v>
      </c>
      <c r="I323" s="909">
        <f t="shared" si="26"/>
        <v>0</v>
      </c>
      <c r="J323" s="909">
        <f t="shared" si="26"/>
        <v>0</v>
      </c>
      <c r="K323" s="909">
        <f t="shared" si="26"/>
        <v>0</v>
      </c>
      <c r="L323" s="1000">
        <v>0</v>
      </c>
      <c r="M323" s="1001" t="s">
        <v>1266</v>
      </c>
    </row>
    <row r="324" spans="2:13" s="1201" customFormat="1" ht="15.5" hidden="1" x14ac:dyDescent="0.35">
      <c r="B324" s="1000"/>
      <c r="C324" s="1005"/>
      <c r="D324" s="1000"/>
      <c r="E324" s="1000"/>
      <c r="F324" s="1000"/>
      <c r="G324" s="1000"/>
      <c r="H324" s="1000"/>
      <c r="I324" s="1000"/>
      <c r="J324" s="1000"/>
      <c r="K324" s="1000"/>
      <c r="L324" s="1000"/>
      <c r="M324" s="1001"/>
    </row>
    <row r="325" spans="2:13" s="1201" customFormat="1" ht="15.5" hidden="1" x14ac:dyDescent="0.35">
      <c r="B325" s="1002" t="s">
        <v>1282</v>
      </c>
      <c r="C325" s="1005"/>
      <c r="D325" s="1002" t="s">
        <v>1283</v>
      </c>
      <c r="E325" s="1000"/>
      <c r="F325" s="1000"/>
      <c r="G325" s="1000"/>
      <c r="H325" s="1000"/>
      <c r="I325" s="1000"/>
      <c r="J325" s="1000"/>
      <c r="K325" s="1000"/>
      <c r="L325" s="1002" t="s">
        <v>1284</v>
      </c>
      <c r="M325" s="1001"/>
    </row>
    <row r="326" spans="2:13" s="1201" customFormat="1" ht="15.5" hidden="1" x14ac:dyDescent="0.35">
      <c r="B326" s="1000"/>
      <c r="C326" s="1005"/>
      <c r="D326" s="1000">
        <f t="shared" ref="D326:K326" si="27">SUM(D315:D321)*$L$326*44/28</f>
        <v>2.0994684935138587E-5</v>
      </c>
      <c r="E326" s="1000">
        <f t="shared" si="27"/>
        <v>0</v>
      </c>
      <c r="F326" s="1000">
        <f t="shared" si="27"/>
        <v>0</v>
      </c>
      <c r="G326" s="1000">
        <f t="shared" si="27"/>
        <v>0</v>
      </c>
      <c r="H326" s="1000">
        <f t="shared" si="27"/>
        <v>0</v>
      </c>
      <c r="I326" s="1000">
        <f t="shared" si="27"/>
        <v>0</v>
      </c>
      <c r="J326" s="1000">
        <f t="shared" si="27"/>
        <v>0</v>
      </c>
      <c r="K326" s="1000">
        <f t="shared" si="27"/>
        <v>0</v>
      </c>
      <c r="L326" s="1000">
        <v>3.8999999999999998E-3</v>
      </c>
      <c r="M326" s="1001" t="s">
        <v>1285</v>
      </c>
    </row>
    <row r="327" spans="2:13" s="1201" customFormat="1" ht="15.5" hidden="1" x14ac:dyDescent="0.35">
      <c r="B327" s="1000"/>
      <c r="C327" s="1005"/>
      <c r="D327" s="1000"/>
      <c r="E327" s="1000"/>
      <c r="F327" s="1000"/>
      <c r="G327" s="1000"/>
      <c r="H327" s="1000"/>
      <c r="I327" s="1000"/>
      <c r="J327" s="1000"/>
      <c r="K327" s="1000"/>
      <c r="L327" s="1000"/>
      <c r="M327" s="1001"/>
    </row>
    <row r="328" spans="2:13" s="1201" customFormat="1" ht="15.5" hidden="1" x14ac:dyDescent="0.35">
      <c r="B328" s="1002" t="s">
        <v>1915</v>
      </c>
      <c r="C328" s="1005"/>
      <c r="D328" s="1000">
        <f>SUM(D326:J326)*'Emission factors'!$C$5*10^3</f>
        <v>5.5635915078117257</v>
      </c>
      <c r="E328" s="1000"/>
      <c r="F328" s="1000"/>
      <c r="G328" s="1000"/>
      <c r="H328" s="1000"/>
      <c r="I328" s="1000"/>
      <c r="J328" s="1000"/>
      <c r="K328" s="1000"/>
      <c r="L328" s="1000" t="s">
        <v>1294</v>
      </c>
      <c r="M328" s="1001"/>
    </row>
    <row r="329" spans="2:13" s="1201" customFormat="1" ht="15.5" hidden="1" x14ac:dyDescent="0.35">
      <c r="B329" s="1000"/>
      <c r="C329" s="1005"/>
      <c r="D329" s="1000"/>
      <c r="E329" s="1000"/>
      <c r="F329" s="1000"/>
      <c r="G329" s="1000"/>
      <c r="H329" s="1000"/>
      <c r="I329" s="1000"/>
      <c r="J329" s="1000"/>
      <c r="K329" s="1000"/>
      <c r="L329" s="1000"/>
      <c r="M329" s="1001"/>
    </row>
    <row r="330" spans="2:13" s="1201" customFormat="1" ht="18" hidden="1" x14ac:dyDescent="0.45">
      <c r="B330" s="1002" t="s">
        <v>1286</v>
      </c>
      <c r="C330" s="1005"/>
      <c r="D330" s="1002" t="s">
        <v>1333</v>
      </c>
      <c r="E330" s="1000"/>
      <c r="F330" s="1000"/>
      <c r="G330" s="1000"/>
      <c r="H330" s="1000"/>
      <c r="I330" s="1000"/>
      <c r="J330" s="1000"/>
      <c r="K330" s="1000"/>
      <c r="L330" s="1002" t="s">
        <v>1292</v>
      </c>
      <c r="M330" s="1001" t="s">
        <v>1326</v>
      </c>
    </row>
    <row r="331" spans="2:13" s="1201" customFormat="1" ht="15.5" hidden="1" x14ac:dyDescent="0.35">
      <c r="B331" s="1000"/>
      <c r="C331" s="1005"/>
      <c r="D331" s="1000"/>
      <c r="E331" s="1000"/>
      <c r="F331" s="1000"/>
      <c r="G331" s="1000"/>
      <c r="H331" s="1000"/>
      <c r="I331" s="1000"/>
      <c r="J331" s="1000"/>
      <c r="K331" s="1000"/>
      <c r="L331" s="1000">
        <v>1</v>
      </c>
      <c r="M331" s="1001"/>
    </row>
    <row r="332" spans="2:13" s="1201" customFormat="1" ht="15.5" hidden="1" x14ac:dyDescent="0.35">
      <c r="B332" s="1000" t="s">
        <v>1341</v>
      </c>
      <c r="C332" s="1005"/>
      <c r="D332" s="1000">
        <f t="shared" ref="D332:K332" si="28">D306*$L$331*$L$333</f>
        <v>3.3810379818531264E-5</v>
      </c>
      <c r="E332" s="1000">
        <f t="shared" si="28"/>
        <v>0</v>
      </c>
      <c r="F332" s="1000">
        <f t="shared" si="28"/>
        <v>0</v>
      </c>
      <c r="G332" s="1000">
        <f t="shared" si="28"/>
        <v>0</v>
      </c>
      <c r="H332" s="1000">
        <f t="shared" si="28"/>
        <v>0</v>
      </c>
      <c r="I332" s="1000">
        <f t="shared" si="28"/>
        <v>0</v>
      </c>
      <c r="J332" s="1000">
        <f t="shared" si="28"/>
        <v>0</v>
      </c>
      <c r="K332" s="1000">
        <f t="shared" si="28"/>
        <v>0</v>
      </c>
      <c r="L332" s="1002" t="s">
        <v>1293</v>
      </c>
      <c r="M332" s="1001"/>
    </row>
    <row r="333" spans="2:13" s="1201" customFormat="1" ht="15.5" hidden="1" x14ac:dyDescent="0.35">
      <c r="B333" s="1002"/>
      <c r="C333" s="1029"/>
      <c r="D333" s="1000"/>
      <c r="E333" s="1000"/>
      <c r="F333" s="1000"/>
      <c r="G333" s="1000"/>
      <c r="H333" s="1000"/>
      <c r="I333" s="1000"/>
      <c r="J333" s="1000"/>
      <c r="K333" s="1000"/>
      <c r="L333" s="1006">
        <v>0.02</v>
      </c>
      <c r="M333" s="1001"/>
    </row>
    <row r="334" spans="2:13" s="1201" customFormat="1" ht="15.5" hidden="1" x14ac:dyDescent="0.35">
      <c r="B334" s="1002"/>
      <c r="C334" s="1029"/>
      <c r="D334" s="1002" t="s">
        <v>1336</v>
      </c>
      <c r="E334" s="1000"/>
      <c r="F334" s="1000"/>
      <c r="G334" s="1000"/>
      <c r="H334" s="1000"/>
      <c r="I334" s="1000"/>
      <c r="J334" s="1000"/>
      <c r="K334" s="1000"/>
      <c r="L334" s="915" t="s">
        <v>1301</v>
      </c>
      <c r="M334" s="1001"/>
    </row>
    <row r="335" spans="2:13" s="1201" customFormat="1" ht="15.5" hidden="1" x14ac:dyDescent="0.35">
      <c r="B335" s="1002"/>
      <c r="C335" s="1029"/>
      <c r="D335" s="1000">
        <f t="shared" ref="D335:K335" si="29">D332*$L$335*44/28</f>
        <v>5.8443656543461191E-7</v>
      </c>
      <c r="E335" s="1000">
        <f t="shared" si="29"/>
        <v>0</v>
      </c>
      <c r="F335" s="1000">
        <f t="shared" si="29"/>
        <v>0</v>
      </c>
      <c r="G335" s="1000">
        <f t="shared" si="29"/>
        <v>0</v>
      </c>
      <c r="H335" s="1000">
        <f t="shared" si="29"/>
        <v>0</v>
      </c>
      <c r="I335" s="1000">
        <f t="shared" si="29"/>
        <v>0</v>
      </c>
      <c r="J335" s="1000">
        <f t="shared" si="29"/>
        <v>0</v>
      </c>
      <c r="K335" s="1000">
        <f t="shared" si="29"/>
        <v>0</v>
      </c>
      <c r="L335" s="1368">
        <v>1.0999999999999999E-2</v>
      </c>
      <c r="M335" s="1001"/>
    </row>
    <row r="336" spans="2:13" s="1201" customFormat="1" ht="15.5" hidden="1" x14ac:dyDescent="0.35">
      <c r="B336" s="1002"/>
      <c r="C336" s="1030"/>
      <c r="D336" s="1000"/>
      <c r="E336" s="1000"/>
      <c r="F336" s="1000"/>
      <c r="G336" s="1000"/>
      <c r="H336" s="1000"/>
      <c r="I336" s="1000"/>
      <c r="J336" s="1000"/>
      <c r="K336" s="1000"/>
      <c r="L336" s="1000"/>
      <c r="M336" s="1001"/>
    </row>
    <row r="337" spans="2:16" s="1201" customFormat="1" ht="15.5" hidden="1" x14ac:dyDescent="0.35">
      <c r="B337" s="871" t="s">
        <v>1295</v>
      </c>
      <c r="C337" s="874"/>
      <c r="D337" s="871">
        <f>SUM(D335:K335)*'Emission factors'!$C$5*10^3</f>
        <v>0.15487568984017216</v>
      </c>
      <c r="E337" s="872"/>
      <c r="F337" s="1364"/>
      <c r="G337" s="872"/>
      <c r="H337" s="872"/>
      <c r="I337" s="872"/>
      <c r="J337" s="872"/>
      <c r="K337" s="872"/>
      <c r="L337" s="872" t="s">
        <v>1294</v>
      </c>
      <c r="M337" s="873" t="s">
        <v>1327</v>
      </c>
    </row>
    <row r="338" spans="2:16" s="1201" customFormat="1" ht="14" hidden="1" x14ac:dyDescent="0.3"/>
    <row r="339" spans="2:16" s="1201" customFormat="1" ht="30.5" hidden="1" x14ac:dyDescent="0.35">
      <c r="B339" s="92" t="s">
        <v>245</v>
      </c>
      <c r="C339" s="93"/>
      <c r="D339" s="94"/>
      <c r="E339" s="94"/>
      <c r="F339" s="94"/>
      <c r="G339" s="94"/>
      <c r="H339" s="94"/>
      <c r="I339" s="1033"/>
      <c r="J339" s="1033"/>
      <c r="K339" s="1033"/>
      <c r="L339" s="95" t="s">
        <v>215</v>
      </c>
      <c r="M339" s="96" t="s">
        <v>230</v>
      </c>
      <c r="N339" s="1036"/>
      <c r="O339" s="996"/>
      <c r="P339" s="996"/>
    </row>
    <row r="340" spans="2:16" s="1201" customFormat="1" ht="15.5" hidden="1" x14ac:dyDescent="0.35">
      <c r="B340" s="1037" t="s">
        <v>303</v>
      </c>
      <c r="C340" s="1371"/>
      <c r="D340" s="1371"/>
      <c r="E340" s="1371"/>
      <c r="F340" s="1371"/>
      <c r="G340" s="1371"/>
      <c r="H340" s="1371"/>
      <c r="I340" s="1371"/>
      <c r="J340" s="1371"/>
      <c r="K340" s="1371"/>
      <c r="L340" s="1371"/>
      <c r="M340" s="1038"/>
      <c r="N340" s="1036"/>
      <c r="O340" s="996"/>
      <c r="P340" s="996"/>
    </row>
    <row r="341" spans="2:16" s="1201" customFormat="1" ht="15.5" hidden="1" x14ac:dyDescent="0.35">
      <c r="B341" s="1037" t="s">
        <v>805</v>
      </c>
      <c r="C341" s="1037" t="s">
        <v>304</v>
      </c>
      <c r="D341" s="1371"/>
      <c r="E341" s="1371"/>
      <c r="F341" s="1371"/>
      <c r="G341" s="1371"/>
      <c r="H341" s="1371"/>
      <c r="I341" s="1371"/>
      <c r="J341" s="1371"/>
      <c r="K341" s="1371"/>
      <c r="L341" s="1371"/>
      <c r="M341" s="1038" t="s">
        <v>1298</v>
      </c>
      <c r="N341" s="1036"/>
      <c r="O341" s="996"/>
      <c r="P341" s="996"/>
    </row>
    <row r="342" spans="2:16" s="1201" customFormat="1" ht="15.5" hidden="1" x14ac:dyDescent="0.35">
      <c r="B342" s="1371"/>
      <c r="C342" s="1371" t="s">
        <v>306</v>
      </c>
      <c r="D342" s="1371"/>
      <c r="E342" s="1371"/>
      <c r="F342" s="1371"/>
      <c r="G342" s="1371"/>
      <c r="H342" s="1371"/>
      <c r="I342" s="1371"/>
      <c r="J342" s="1371"/>
      <c r="K342" s="1371"/>
      <c r="L342" s="1371" t="s">
        <v>307</v>
      </c>
      <c r="M342" s="1038"/>
      <c r="N342" s="1036"/>
      <c r="O342" s="996"/>
      <c r="P342" s="996"/>
    </row>
    <row r="343" spans="2:16" s="1201" customFormat="1" ht="15.5" hidden="1" x14ac:dyDescent="0.35">
      <c r="B343" s="1371"/>
      <c r="C343" s="1371" t="s">
        <v>308</v>
      </c>
      <c r="D343" s="1371"/>
      <c r="E343" s="1371"/>
      <c r="F343" s="1371"/>
      <c r="G343" s="1371"/>
      <c r="H343" s="1371"/>
      <c r="I343" s="1371"/>
      <c r="J343" s="1371"/>
      <c r="K343" s="1371"/>
      <c r="L343" s="1371"/>
      <c r="M343" s="1038" t="s">
        <v>309</v>
      </c>
      <c r="N343" s="1036"/>
      <c r="O343" s="996"/>
      <c r="P343" s="996"/>
    </row>
    <row r="344" spans="2:16" s="1201" customFormat="1" ht="15.5" hidden="1" x14ac:dyDescent="0.35">
      <c r="B344" s="1371"/>
      <c r="C344" s="1371"/>
      <c r="D344" s="1371"/>
      <c r="E344" s="1371"/>
      <c r="F344" s="1371"/>
      <c r="G344" s="1371"/>
      <c r="H344" s="1371"/>
      <c r="I344" s="1371"/>
      <c r="J344" s="1371"/>
      <c r="K344" s="1371"/>
      <c r="L344" s="1371"/>
      <c r="M344" s="1038"/>
      <c r="N344" s="1036"/>
      <c r="O344" s="996"/>
      <c r="P344" s="996"/>
    </row>
    <row r="345" spans="2:16" s="1201" customFormat="1" ht="15.5" hidden="1" x14ac:dyDescent="0.35">
      <c r="B345" s="1372" t="s">
        <v>302</v>
      </c>
      <c r="C345" s="1039"/>
      <c r="D345" s="1050">
        <f>IF($U$193="1",($C$51*G51*10^-6),(G51*10^-3))</f>
        <v>5.5E-2</v>
      </c>
      <c r="E345" s="1371"/>
      <c r="F345" s="1371"/>
      <c r="G345" s="1371"/>
      <c r="H345" s="1371"/>
      <c r="I345" s="1371"/>
      <c r="J345" s="1371"/>
      <c r="K345" s="1371"/>
      <c r="L345" s="1371" t="s">
        <v>859</v>
      </c>
      <c r="M345" s="1038"/>
      <c r="N345" s="1036"/>
      <c r="O345" s="996"/>
      <c r="P345" s="996"/>
    </row>
    <row r="346" spans="2:16" s="1201" customFormat="1" ht="15.5" hidden="1" x14ac:dyDescent="0.35">
      <c r="B346" s="1372" t="s">
        <v>858</v>
      </c>
      <c r="C346" s="1039"/>
      <c r="D346" s="1050">
        <f>IF($U$193="1",($C$52*G52)*10^-6,(G52*10^-3))</f>
        <v>0</v>
      </c>
      <c r="E346" s="1371"/>
      <c r="F346" s="1371"/>
      <c r="G346" s="1371"/>
      <c r="H346" s="1371"/>
      <c r="I346" s="1371"/>
      <c r="J346" s="1371"/>
      <c r="K346" s="1371"/>
      <c r="L346" s="1371" t="s">
        <v>859</v>
      </c>
      <c r="M346" s="1038"/>
      <c r="N346" s="996"/>
      <c r="O346" s="996"/>
      <c r="P346" s="996"/>
    </row>
    <row r="347" spans="2:16" s="1201" customFormat="1" ht="15.5" hidden="1" x14ac:dyDescent="0.35">
      <c r="B347" s="1371"/>
      <c r="C347" s="1371"/>
      <c r="D347" s="1050"/>
      <c r="E347" s="1371"/>
      <c r="F347" s="1371"/>
      <c r="G347" s="1371"/>
      <c r="H347" s="1371"/>
      <c r="I347" s="1371"/>
      <c r="J347" s="1371"/>
      <c r="K347" s="1371"/>
      <c r="L347" s="1371"/>
      <c r="M347" s="1038"/>
      <c r="N347" s="996"/>
      <c r="O347" s="996"/>
      <c r="P347" s="996"/>
    </row>
    <row r="348" spans="2:16" s="1201" customFormat="1" ht="15.5" hidden="1" x14ac:dyDescent="0.35">
      <c r="B348" s="1037" t="s">
        <v>310</v>
      </c>
      <c r="C348" s="1037" t="s">
        <v>311</v>
      </c>
      <c r="D348" s="1371"/>
      <c r="E348" s="1371"/>
      <c r="F348" s="1371"/>
      <c r="G348" s="1371"/>
      <c r="H348" s="1371"/>
      <c r="I348" s="1371"/>
      <c r="J348" s="1371"/>
      <c r="K348" s="1371"/>
      <c r="L348" s="1371" t="s">
        <v>860</v>
      </c>
      <c r="M348" s="1038" t="s">
        <v>1297</v>
      </c>
      <c r="N348" s="996"/>
      <c r="O348" s="996"/>
      <c r="P348" s="996"/>
    </row>
    <row r="349" spans="2:16" s="1201" customFormat="1" ht="15.5" hidden="1" x14ac:dyDescent="0.35">
      <c r="B349" s="1371"/>
      <c r="C349" s="1371" t="s">
        <v>314</v>
      </c>
      <c r="D349" s="1371"/>
      <c r="E349" s="1371"/>
      <c r="F349" s="1371"/>
      <c r="G349" s="1371"/>
      <c r="H349" s="1371"/>
      <c r="I349" s="1371"/>
      <c r="J349" s="1371"/>
      <c r="K349" s="1371"/>
      <c r="L349" s="1371" t="s">
        <v>315</v>
      </c>
      <c r="M349" s="1038" t="s">
        <v>1296</v>
      </c>
      <c r="N349" s="996"/>
      <c r="O349" s="996"/>
      <c r="P349" s="996"/>
    </row>
    <row r="350" spans="2:16" s="1201" customFormat="1" ht="15.5" hidden="1" x14ac:dyDescent="0.35">
      <c r="B350" s="1371"/>
      <c r="C350" s="1371"/>
      <c r="D350" s="1371"/>
      <c r="E350" s="1371"/>
      <c r="F350" s="1371"/>
      <c r="G350" s="1371"/>
      <c r="H350" s="1371"/>
      <c r="I350" s="1371"/>
      <c r="J350" s="1371"/>
      <c r="K350" s="1371"/>
      <c r="L350" s="1371"/>
      <c r="M350" s="1038"/>
      <c r="N350" s="996"/>
      <c r="O350" s="996"/>
      <c r="P350" s="996"/>
    </row>
    <row r="351" spans="2:16" s="1201" customFormat="1" ht="15.5" hidden="1" x14ac:dyDescent="0.35">
      <c r="B351" s="1129" t="s">
        <v>317</v>
      </c>
      <c r="C351" s="1130" t="s">
        <v>318</v>
      </c>
      <c r="D351" s="1371"/>
      <c r="E351" s="1041" t="s">
        <v>302</v>
      </c>
      <c r="F351" s="1371"/>
      <c r="G351" s="1050">
        <f>D345*$C$352*44/28</f>
        <v>3.3707142857142849E-4</v>
      </c>
      <c r="H351" s="1131"/>
      <c r="I351" s="1131"/>
      <c r="J351" s="1131"/>
      <c r="K351" s="1131"/>
      <c r="L351" s="1371" t="s">
        <v>860</v>
      </c>
      <c r="M351" s="1038"/>
      <c r="N351" s="996"/>
      <c r="O351" s="996"/>
      <c r="P351" s="996"/>
    </row>
    <row r="352" spans="2:16" s="1201" customFormat="1" ht="15.5" hidden="1" x14ac:dyDescent="0.35">
      <c r="B352" s="1132" t="s">
        <v>319</v>
      </c>
      <c r="C352" s="913">
        <v>3.8999999999999998E-3</v>
      </c>
      <c r="D352" s="1371"/>
      <c r="E352" s="1041" t="s">
        <v>301</v>
      </c>
      <c r="F352" s="1371"/>
      <c r="G352" s="1050">
        <f>D346*$C$352*44/28</f>
        <v>0</v>
      </c>
      <c r="H352" s="1131"/>
      <c r="I352" s="1131"/>
      <c r="J352" s="1131"/>
      <c r="K352" s="1131"/>
      <c r="L352" s="1371" t="s">
        <v>860</v>
      </c>
      <c r="M352" s="1038"/>
      <c r="N352" s="996"/>
      <c r="O352" s="996"/>
      <c r="P352" s="996"/>
    </row>
    <row r="353" spans="2:16" s="1201" customFormat="1" ht="15.5" hidden="1" x14ac:dyDescent="0.35">
      <c r="B353" s="1132" t="s">
        <v>320</v>
      </c>
      <c r="C353" s="913">
        <v>8.5000000000000006E-3</v>
      </c>
      <c r="D353" s="1371"/>
      <c r="E353" s="1372"/>
      <c r="F353" s="1371"/>
      <c r="G353" s="1040"/>
      <c r="H353" s="1131"/>
      <c r="I353" s="1131"/>
      <c r="J353" s="1131"/>
      <c r="K353" s="1131"/>
      <c r="L353" s="1371"/>
      <c r="M353" s="1038"/>
      <c r="N353" s="996"/>
      <c r="O353" s="996"/>
      <c r="P353" s="996"/>
    </row>
    <row r="354" spans="2:16" s="1201" customFormat="1" ht="15.5" hidden="1" x14ac:dyDescent="0.35">
      <c r="B354" s="1134" t="s">
        <v>321</v>
      </c>
      <c r="C354" s="913">
        <v>2.0999999999999999E-3</v>
      </c>
      <c r="D354" s="1371"/>
      <c r="E354" s="1372"/>
      <c r="F354" s="1371"/>
      <c r="G354" s="1040"/>
      <c r="H354" s="1131"/>
      <c r="I354" s="1131"/>
      <c r="J354" s="1131"/>
      <c r="K354" s="1131"/>
      <c r="L354" s="1371"/>
      <c r="M354" s="1038"/>
      <c r="N354" s="996"/>
      <c r="O354" s="996"/>
      <c r="P354" s="996"/>
    </row>
    <row r="355" spans="2:16" s="1201" customFormat="1" ht="15.5" hidden="1" x14ac:dyDescent="0.35">
      <c r="B355" s="1134" t="s">
        <v>322</v>
      </c>
      <c r="C355" s="913">
        <v>2E-3</v>
      </c>
      <c r="D355" s="1371"/>
      <c r="E355" s="1371"/>
      <c r="F355" s="1371"/>
      <c r="G355" s="1040"/>
      <c r="H355" s="1131"/>
      <c r="I355" s="1131"/>
      <c r="J355" s="1131"/>
      <c r="K355" s="1131"/>
      <c r="L355" s="1371"/>
      <c r="M355" s="1038"/>
      <c r="N355" s="996"/>
      <c r="O355" s="996"/>
      <c r="P355" s="996"/>
    </row>
    <row r="356" spans="2:16" s="1201" customFormat="1" ht="15.5" hidden="1" x14ac:dyDescent="0.35">
      <c r="B356" s="1132" t="s">
        <v>323</v>
      </c>
      <c r="C356" s="913">
        <v>1.9900000000000001E-2</v>
      </c>
      <c r="D356" s="1371"/>
      <c r="E356" s="1371"/>
      <c r="F356" s="1371"/>
      <c r="G356" s="1040"/>
      <c r="H356" s="1371"/>
      <c r="I356" s="1371"/>
      <c r="J356" s="1371"/>
      <c r="K356" s="1371"/>
      <c r="L356" s="1371"/>
      <c r="M356" s="1038"/>
      <c r="N356" s="996"/>
      <c r="O356" s="996"/>
      <c r="P356" s="996"/>
    </row>
    <row r="357" spans="2:16" s="1201" customFormat="1" ht="15.5" hidden="1" x14ac:dyDescent="0.35">
      <c r="B357" s="1132" t="s">
        <v>324</v>
      </c>
      <c r="C357" s="913">
        <v>5.4999999999999997E-3</v>
      </c>
      <c r="D357" s="1371"/>
      <c r="E357" s="1041"/>
      <c r="F357" s="1371"/>
      <c r="G357" s="1373"/>
      <c r="H357" s="1136"/>
      <c r="I357" s="1136"/>
      <c r="J357" s="1136"/>
      <c r="K357" s="1136"/>
      <c r="L357" s="1371"/>
      <c r="M357" s="1038"/>
      <c r="N357" s="996"/>
      <c r="O357" s="996"/>
      <c r="P357" s="996"/>
    </row>
    <row r="358" spans="2:16" s="1201" customFormat="1" ht="15.5" hidden="1" x14ac:dyDescent="0.35">
      <c r="B358" s="352" t="s">
        <v>325</v>
      </c>
      <c r="C358" s="353">
        <v>8.5000000000000006E-3</v>
      </c>
      <c r="D358" s="1371"/>
      <c r="E358" s="1372"/>
      <c r="F358" s="1371"/>
      <c r="G358" s="1373"/>
      <c r="H358" s="1136"/>
      <c r="I358" s="1136"/>
      <c r="J358" s="1136"/>
      <c r="K358" s="1136"/>
      <c r="L358" s="1371"/>
      <c r="M358" s="1038"/>
      <c r="N358" s="996"/>
      <c r="O358" s="996"/>
      <c r="P358" s="996"/>
    </row>
    <row r="359" spans="2:16" s="1201" customFormat="1" ht="15.5" hidden="1" x14ac:dyDescent="0.35">
      <c r="B359" s="1371"/>
      <c r="C359" s="1371"/>
      <c r="D359" s="1371"/>
      <c r="E359" s="1372"/>
      <c r="F359" s="1371"/>
      <c r="G359" s="1373"/>
      <c r="H359" s="1136"/>
      <c r="I359" s="1136"/>
      <c r="J359" s="1136"/>
      <c r="K359" s="1136"/>
      <c r="L359" s="1371"/>
      <c r="M359" s="1038"/>
      <c r="N359" s="996"/>
      <c r="O359" s="996"/>
      <c r="P359" s="996"/>
    </row>
    <row r="360" spans="2:16" s="1201" customFormat="1" ht="15.5" hidden="1" x14ac:dyDescent="0.35">
      <c r="B360" s="1371"/>
      <c r="C360" s="1371"/>
      <c r="D360" s="1371"/>
      <c r="E360" s="1372"/>
      <c r="F360" s="1371"/>
      <c r="G360" s="1373"/>
      <c r="H360" s="1136"/>
      <c r="I360" s="1136"/>
      <c r="J360" s="1136"/>
      <c r="K360" s="1136"/>
      <c r="L360" s="1371"/>
      <c r="M360" s="1038"/>
      <c r="N360" s="996"/>
      <c r="O360" s="996"/>
      <c r="P360" s="996"/>
    </row>
    <row r="361" spans="2:16" s="1201" customFormat="1" ht="15.5" hidden="1" x14ac:dyDescent="0.35">
      <c r="B361" s="1371"/>
      <c r="C361" s="1371"/>
      <c r="D361" s="1371"/>
      <c r="E361" s="1371"/>
      <c r="F361" s="1371"/>
      <c r="G361" s="1040"/>
      <c r="H361" s="1139"/>
      <c r="I361" s="1139"/>
      <c r="J361" s="1139"/>
      <c r="K361" s="1139"/>
      <c r="L361" s="1371"/>
      <c r="M361" s="1038"/>
      <c r="N361" s="996"/>
      <c r="O361" s="996"/>
      <c r="P361" s="996"/>
    </row>
    <row r="362" spans="2:16" s="1201" customFormat="1" ht="15.5" hidden="1" x14ac:dyDescent="0.35">
      <c r="B362" s="1371"/>
      <c r="C362" s="1371"/>
      <c r="D362" s="1371"/>
      <c r="E362" s="1371"/>
      <c r="F362" s="1371"/>
      <c r="G362" s="1371"/>
      <c r="H362" s="1371"/>
      <c r="I362" s="1371"/>
      <c r="J362" s="1371"/>
      <c r="K362" s="1371"/>
      <c r="L362" s="1371"/>
      <c r="M362" s="1038"/>
      <c r="N362" s="996"/>
      <c r="O362" s="996"/>
      <c r="P362" s="996"/>
    </row>
    <row r="363" spans="2:16" s="1201" customFormat="1" ht="15.5" hidden="1" x14ac:dyDescent="0.35">
      <c r="B363" s="1037" t="s">
        <v>326</v>
      </c>
      <c r="C363" s="1054">
        <f>SUM(G351:G352)</f>
        <v>3.3707142857142849E-4</v>
      </c>
      <c r="D363" s="1371"/>
      <c r="E363" s="1371"/>
      <c r="F363" s="1371"/>
      <c r="G363" s="1371"/>
      <c r="H363" s="1371"/>
      <c r="I363" s="1371"/>
      <c r="J363" s="1371"/>
      <c r="K363" s="1371"/>
      <c r="L363" s="1371" t="s">
        <v>299</v>
      </c>
      <c r="M363" s="1038"/>
      <c r="N363" s="996"/>
      <c r="O363" s="996"/>
      <c r="P363" s="996"/>
    </row>
    <row r="364" spans="2:16" s="1201" customFormat="1" ht="15.5" hidden="1" x14ac:dyDescent="0.35">
      <c r="B364" s="1037" t="s">
        <v>326</v>
      </c>
      <c r="C364" s="1085">
        <f>C363*'Emission factors'!$C$5</f>
        <v>8.9323928571428554E-2</v>
      </c>
      <c r="D364" s="1371"/>
      <c r="E364" s="1371"/>
      <c r="F364" s="1371"/>
      <c r="G364" s="1371"/>
      <c r="H364" s="1371"/>
      <c r="I364" s="1371"/>
      <c r="J364" s="1371"/>
      <c r="K364" s="1371"/>
      <c r="L364" s="1371" t="s">
        <v>265</v>
      </c>
      <c r="M364" s="1038"/>
      <c r="N364" s="996"/>
      <c r="O364" s="996"/>
      <c r="P364" s="996"/>
    </row>
    <row r="365" spans="2:16" s="1201" customFormat="1" ht="15.5" hidden="1" x14ac:dyDescent="0.35">
      <c r="B365" s="1037" t="s">
        <v>326</v>
      </c>
      <c r="C365" s="1042">
        <f>C364*10^3</f>
        <v>89.323928571428553</v>
      </c>
      <c r="D365" s="1371"/>
      <c r="E365" s="1372"/>
      <c r="F365" s="1372"/>
      <c r="G365" s="1372"/>
      <c r="H365" s="1372"/>
      <c r="I365" s="1372"/>
      <c r="J365" s="1372"/>
      <c r="K365" s="1372"/>
      <c r="L365" s="1371" t="s">
        <v>266</v>
      </c>
      <c r="M365" s="1038"/>
      <c r="N365" s="996"/>
      <c r="O365" s="996"/>
      <c r="P365" s="996"/>
    </row>
    <row r="366" spans="2:16" s="1201" customFormat="1" ht="15.5" hidden="1" x14ac:dyDescent="0.35">
      <c r="B366" s="1371"/>
      <c r="C366" s="1371"/>
      <c r="D366" s="1371"/>
      <c r="E366" s="1372"/>
      <c r="F366" s="1372"/>
      <c r="G366" s="1372"/>
      <c r="H366" s="1372"/>
      <c r="I366" s="1372"/>
      <c r="J366" s="1372"/>
      <c r="K366" s="1372"/>
      <c r="L366" s="1372"/>
      <c r="M366" s="1038"/>
      <c r="N366" s="996"/>
      <c r="O366" s="996"/>
      <c r="P366" s="996"/>
    </row>
    <row r="367" spans="2:16" s="1201" customFormat="1" ht="15.5" hidden="1" x14ac:dyDescent="0.35">
      <c r="B367" s="1037" t="s">
        <v>327</v>
      </c>
      <c r="C367" s="1371"/>
      <c r="D367" s="1371"/>
      <c r="E367" s="1372"/>
      <c r="F367" s="1372"/>
      <c r="G367" s="1043"/>
      <c r="H367" s="1043"/>
      <c r="I367" s="1043"/>
      <c r="J367" s="1043"/>
      <c r="K367" s="1043"/>
      <c r="L367" s="1372"/>
      <c r="M367" s="1038"/>
      <c r="N367" s="996"/>
      <c r="O367" s="996"/>
      <c r="P367" s="996"/>
    </row>
    <row r="368" spans="2:16" s="1201" customFormat="1" ht="18" hidden="1" x14ac:dyDescent="0.45">
      <c r="B368" s="1037" t="s">
        <v>328</v>
      </c>
      <c r="C368" s="1037" t="s">
        <v>1328</v>
      </c>
      <c r="D368" s="1371"/>
      <c r="E368" s="1372"/>
      <c r="F368" s="1372"/>
      <c r="G368" s="1372"/>
      <c r="H368" s="1372"/>
      <c r="I368" s="1372"/>
      <c r="J368" s="1372"/>
      <c r="K368" s="1372"/>
      <c r="L368" s="1372"/>
      <c r="M368" s="1038" t="s">
        <v>1302</v>
      </c>
      <c r="N368" s="996"/>
      <c r="O368" s="996"/>
      <c r="P368" s="996"/>
    </row>
    <row r="369" spans="2:23" s="1201" customFormat="1" ht="15.5" hidden="1" x14ac:dyDescent="0.35">
      <c r="B369" s="1372"/>
      <c r="C369" s="1372" t="s">
        <v>2161</v>
      </c>
      <c r="D369" s="1372"/>
      <c r="E369" s="1372"/>
      <c r="F369" s="1372"/>
      <c r="G369" s="1372"/>
      <c r="H369" s="1372"/>
      <c r="I369" s="1372"/>
      <c r="J369" s="1372"/>
      <c r="K369" s="1372"/>
      <c r="L369" s="1372"/>
      <c r="M369" s="1038"/>
      <c r="N369" s="996"/>
      <c r="O369" s="996"/>
      <c r="P369" s="996"/>
    </row>
    <row r="370" spans="2:23" s="1201" customFormat="1" ht="15.5" hidden="1" x14ac:dyDescent="0.35">
      <c r="B370" s="1372"/>
      <c r="C370" s="1371" t="s">
        <v>1329</v>
      </c>
      <c r="D370" s="1372"/>
      <c r="E370" s="1372"/>
      <c r="F370" s="1372"/>
      <c r="G370" s="1372"/>
      <c r="H370" s="1372"/>
      <c r="I370" s="1372"/>
      <c r="J370" s="1372"/>
      <c r="K370" s="1372"/>
      <c r="L370" s="1372"/>
      <c r="M370" s="1038"/>
      <c r="N370" s="996"/>
      <c r="O370" s="996"/>
      <c r="P370" s="996"/>
    </row>
    <row r="371" spans="2:23" s="1201" customFormat="1" ht="15.5" hidden="1" x14ac:dyDescent="0.35">
      <c r="B371" s="1371"/>
      <c r="C371" s="1371" t="s">
        <v>1304</v>
      </c>
      <c r="D371" s="1372"/>
      <c r="E371" s="1044"/>
      <c r="F371" s="1371"/>
      <c r="G371" s="1371"/>
      <c r="H371" s="1371"/>
      <c r="I371" s="1371"/>
      <c r="J371" s="1371"/>
      <c r="K371" s="1371"/>
      <c r="L371" s="1371"/>
      <c r="M371" s="1038"/>
      <c r="N371" s="996"/>
      <c r="O371" s="996"/>
      <c r="P371" s="996"/>
    </row>
    <row r="372" spans="2:23" s="1201" customFormat="1" ht="15.5" hidden="1" x14ac:dyDescent="0.35">
      <c r="B372" s="1371"/>
      <c r="C372" s="1371" t="s">
        <v>1305</v>
      </c>
      <c r="D372" s="1372"/>
      <c r="E372" s="1044"/>
      <c r="F372" s="1371"/>
      <c r="G372" s="1371"/>
      <c r="H372" s="1371"/>
      <c r="I372" s="1371"/>
      <c r="J372" s="1371"/>
      <c r="K372" s="1371"/>
      <c r="L372" s="1371"/>
      <c r="M372" s="1038"/>
      <c r="N372" s="996"/>
      <c r="O372" s="996"/>
      <c r="P372" s="996"/>
    </row>
    <row r="373" spans="2:23" s="1201" customFormat="1" ht="15.5" hidden="1" x14ac:dyDescent="0.35">
      <c r="B373" s="1371"/>
      <c r="C373" s="1372"/>
      <c r="D373" s="1372"/>
      <c r="E373" s="1044"/>
      <c r="F373" s="1371"/>
      <c r="G373" s="1371"/>
      <c r="H373" s="1371"/>
      <c r="I373" s="1371"/>
      <c r="J373" s="1371"/>
      <c r="K373" s="1371"/>
      <c r="L373" s="1371"/>
      <c r="M373" s="1038"/>
      <c r="N373" s="996"/>
      <c r="O373" s="996"/>
      <c r="P373" s="996"/>
    </row>
    <row r="374" spans="2:23" s="1201" customFormat="1" ht="15.5" hidden="1" x14ac:dyDescent="0.35">
      <c r="B374" s="1371"/>
      <c r="C374" s="1371"/>
      <c r="D374" s="98" t="str">
        <f>D15</f>
        <v>Milking Cows</v>
      </c>
      <c r="E374" s="98" t="str">
        <f>E15</f>
        <v>Heifers &gt;1 yr age</v>
      </c>
      <c r="F374" s="98" t="str">
        <f>F15</f>
        <v>Heifers &lt;1 yr age</v>
      </c>
      <c r="G374" s="98" t="str">
        <f>G15</f>
        <v>Mature bulls</v>
      </c>
      <c r="H374" s="98" t="str">
        <f>H15</f>
        <v xml:space="preserve">Other stock &lt; 1 yr age </v>
      </c>
      <c r="I374" s="1045" t="s">
        <v>1228</v>
      </c>
      <c r="J374" s="1045" t="s">
        <v>1229</v>
      </c>
      <c r="K374" s="98" t="s">
        <v>1946</v>
      </c>
      <c r="L374" s="1371"/>
      <c r="M374" s="1038"/>
      <c r="N374" s="996"/>
      <c r="O374" s="996"/>
      <c r="P374" s="996"/>
      <c r="V374" s="996"/>
      <c r="W374" s="996"/>
    </row>
    <row r="375" spans="2:23" s="1201" customFormat="1" ht="15.5" hidden="1" x14ac:dyDescent="0.35">
      <c r="B375" s="1037" t="s">
        <v>1344</v>
      </c>
      <c r="C375" s="1039" t="s">
        <v>440</v>
      </c>
      <c r="D375" s="1050">
        <f>((D$296*C83%)*(1-$L300-$L315))-0</f>
        <v>5.1815094274741003E-3</v>
      </c>
      <c r="E375" s="1050">
        <f t="shared" ref="E375:K375" si="30">((E$296*$C$84%)*(1-$L300-$L315))-0</f>
        <v>0</v>
      </c>
      <c r="F375" s="1050">
        <f t="shared" si="30"/>
        <v>0</v>
      </c>
      <c r="G375" s="1050">
        <f t="shared" si="30"/>
        <v>0</v>
      </c>
      <c r="H375" s="1050">
        <f t="shared" si="30"/>
        <v>0</v>
      </c>
      <c r="I375" s="1050">
        <f t="shared" si="30"/>
        <v>0</v>
      </c>
      <c r="J375" s="1050">
        <f t="shared" si="30"/>
        <v>0</v>
      </c>
      <c r="K375" s="1050">
        <f t="shared" si="30"/>
        <v>0</v>
      </c>
      <c r="L375" s="1371"/>
      <c r="M375" s="1038"/>
      <c r="N375" s="995"/>
      <c r="O375" s="1047"/>
      <c r="P375" s="1048"/>
      <c r="V375" s="996"/>
      <c r="W375" s="996"/>
    </row>
    <row r="376" spans="2:23" s="1201" customFormat="1" ht="15.5" hidden="1" x14ac:dyDescent="0.35">
      <c r="B376" s="1371"/>
      <c r="C376" s="1371"/>
      <c r="D376" s="1050"/>
      <c r="E376" s="1050"/>
      <c r="F376" s="1050"/>
      <c r="G376" s="1050"/>
      <c r="H376" s="1050"/>
      <c r="I376" s="1050"/>
      <c r="J376" s="1050"/>
      <c r="K376" s="1050"/>
      <c r="L376" s="1046"/>
      <c r="M376" s="1038"/>
      <c r="N376" s="995"/>
      <c r="O376" s="1047"/>
      <c r="P376" s="1049"/>
      <c r="V376" s="996"/>
      <c r="W376" s="996"/>
    </row>
    <row r="377" spans="2:23" s="1201" customFormat="1" ht="15.5" hidden="1" x14ac:dyDescent="0.35">
      <c r="B377" s="1037" t="s">
        <v>1345</v>
      </c>
      <c r="C377" s="1039" t="s">
        <v>440</v>
      </c>
      <c r="D377" s="1050">
        <f>(($D$296*D83%)*(1-$L302-$L317))-0</f>
        <v>7.0300850720238792E-4</v>
      </c>
      <c r="E377" s="1050">
        <f t="shared" ref="E377:K377" si="31">((E$296*$D$84%)*(1-$L302-$L317))-0</f>
        <v>0</v>
      </c>
      <c r="F377" s="1050">
        <f t="shared" si="31"/>
        <v>0</v>
      </c>
      <c r="G377" s="1050">
        <f t="shared" si="31"/>
        <v>0</v>
      </c>
      <c r="H377" s="1050">
        <f t="shared" si="31"/>
        <v>0</v>
      </c>
      <c r="I377" s="1050">
        <f t="shared" si="31"/>
        <v>0</v>
      </c>
      <c r="J377" s="1050">
        <f t="shared" si="31"/>
        <v>0</v>
      </c>
      <c r="K377" s="1050">
        <f t="shared" si="31"/>
        <v>0</v>
      </c>
      <c r="L377" s="1371"/>
      <c r="M377" s="1038"/>
      <c r="N377" s="996"/>
      <c r="O377" s="995"/>
      <c r="P377" s="1049"/>
      <c r="V377" s="996"/>
      <c r="W377" s="996"/>
    </row>
    <row r="378" spans="2:23" s="1201" customFormat="1" ht="15.5" hidden="1" x14ac:dyDescent="0.35">
      <c r="B378" s="1371"/>
      <c r="C378" s="1371"/>
      <c r="D378" s="1050"/>
      <c r="E378" s="1050"/>
      <c r="F378" s="1050"/>
      <c r="G378" s="1050"/>
      <c r="H378" s="1050"/>
      <c r="I378" s="1050"/>
      <c r="J378" s="1050"/>
      <c r="K378" s="1050"/>
      <c r="L378" s="1371"/>
      <c r="M378" s="1051"/>
      <c r="N378" s="996"/>
      <c r="O378" s="1052"/>
      <c r="P378" s="1049"/>
      <c r="Q378" s="996"/>
      <c r="R378" s="996"/>
      <c r="S378" s="996"/>
      <c r="T378" s="996"/>
      <c r="U378" s="996"/>
      <c r="V378" s="996"/>
      <c r="W378" s="996"/>
    </row>
    <row r="379" spans="2:23" s="1201" customFormat="1" ht="15.5" hidden="1" x14ac:dyDescent="0.35">
      <c r="B379" s="1037" t="s">
        <v>1346</v>
      </c>
      <c r="C379" s="1039" t="s">
        <v>440</v>
      </c>
      <c r="D379" s="1050">
        <f>(($D$296*E83%)*(1-$L304-$L319))-0</f>
        <v>3.0236925040962926E-4</v>
      </c>
      <c r="E379" s="1050">
        <f t="shared" ref="E379:K379" si="32">((E$296*$E$84%)*(1-$L304-$L319))-0</f>
        <v>0</v>
      </c>
      <c r="F379" s="1050">
        <f t="shared" si="32"/>
        <v>0</v>
      </c>
      <c r="G379" s="1050">
        <f t="shared" si="32"/>
        <v>0</v>
      </c>
      <c r="H379" s="1050">
        <f t="shared" si="32"/>
        <v>0</v>
      </c>
      <c r="I379" s="1050">
        <f t="shared" si="32"/>
        <v>0</v>
      </c>
      <c r="J379" s="1050">
        <f t="shared" si="32"/>
        <v>0</v>
      </c>
      <c r="K379" s="1050">
        <f t="shared" si="32"/>
        <v>0</v>
      </c>
      <c r="L379" s="1371"/>
      <c r="M379" s="1051"/>
      <c r="N379" s="996"/>
      <c r="O379" s="1052"/>
      <c r="P379" s="1049"/>
      <c r="Q379" s="996"/>
      <c r="R379" s="996"/>
      <c r="S379" s="996"/>
      <c r="T379" s="996"/>
      <c r="U379" s="996"/>
      <c r="V379" s="996"/>
      <c r="W379" s="996"/>
    </row>
    <row r="380" spans="2:23" s="1201" customFormat="1" ht="15.5" hidden="1" x14ac:dyDescent="0.35">
      <c r="B380" s="1371"/>
      <c r="C380" s="1039"/>
      <c r="D380" s="1050"/>
      <c r="E380" s="1211"/>
      <c r="F380" s="1211"/>
      <c r="G380" s="1211"/>
      <c r="H380" s="1211"/>
      <c r="I380" s="1211"/>
      <c r="J380" s="1211"/>
      <c r="K380" s="1211"/>
      <c r="L380" s="1371"/>
      <c r="M380" s="1051"/>
      <c r="N380" s="996"/>
      <c r="O380" s="1052"/>
      <c r="P380" s="1052"/>
      <c r="Q380" s="996"/>
      <c r="R380" s="996"/>
      <c r="S380" s="996"/>
      <c r="T380" s="996"/>
      <c r="U380" s="996"/>
      <c r="V380" s="996"/>
      <c r="W380" s="996"/>
    </row>
    <row r="381" spans="2:23" s="1201" customFormat="1" ht="15.5" hidden="1" x14ac:dyDescent="0.35">
      <c r="B381" s="1037" t="s">
        <v>1347</v>
      </c>
      <c r="C381" s="1039" t="s">
        <v>440</v>
      </c>
      <c r="D381" s="1050">
        <f>(($D$296*F83%)*(1-$L306-$L321))-D332</f>
        <v>1.1411003188754303E-3</v>
      </c>
      <c r="E381" s="1050">
        <f t="shared" ref="E381:K381" si="33">((E$296*$F$84%)*(1-$L306-$L321))-E332</f>
        <v>0</v>
      </c>
      <c r="F381" s="1050">
        <f t="shared" si="33"/>
        <v>0</v>
      </c>
      <c r="G381" s="1050">
        <f t="shared" si="33"/>
        <v>0</v>
      </c>
      <c r="H381" s="1050">
        <f t="shared" si="33"/>
        <v>0</v>
      </c>
      <c r="I381" s="1050">
        <f t="shared" si="33"/>
        <v>0</v>
      </c>
      <c r="J381" s="1050">
        <f t="shared" si="33"/>
        <v>0</v>
      </c>
      <c r="K381" s="1050">
        <f t="shared" si="33"/>
        <v>0</v>
      </c>
      <c r="L381" s="1371"/>
      <c r="M381" s="1051"/>
      <c r="N381" s="996"/>
      <c r="O381" s="1052"/>
      <c r="P381" s="1052"/>
      <c r="Q381" s="996"/>
      <c r="R381" s="996"/>
      <c r="S381" s="996"/>
      <c r="T381" s="996"/>
      <c r="U381" s="996"/>
      <c r="V381" s="996"/>
      <c r="W381" s="996"/>
    </row>
    <row r="382" spans="2:23" s="1201" customFormat="1" ht="15.5" hidden="1" x14ac:dyDescent="0.35">
      <c r="B382" s="1371"/>
      <c r="C382" s="1371"/>
      <c r="D382" s="1371"/>
      <c r="E382" s="1371"/>
      <c r="F382" s="1371"/>
      <c r="G382" s="1371"/>
      <c r="H382" s="1371"/>
      <c r="I382" s="1371"/>
      <c r="J382" s="1371"/>
      <c r="K382" s="1371"/>
      <c r="L382" s="1371"/>
      <c r="M382" s="1051"/>
      <c r="N382" s="995"/>
      <c r="O382" s="1744"/>
      <c r="P382" s="996"/>
      <c r="Q382" s="996"/>
      <c r="R382" s="996"/>
      <c r="S382" s="996"/>
      <c r="T382" s="996"/>
      <c r="U382" s="996"/>
      <c r="V382" s="996"/>
      <c r="W382" s="996"/>
    </row>
    <row r="383" spans="2:23" s="1201" customFormat="1" ht="15.5" hidden="1" x14ac:dyDescent="0.35">
      <c r="B383" s="1037" t="s">
        <v>1348</v>
      </c>
      <c r="C383" s="1039" t="s">
        <v>440</v>
      </c>
      <c r="D383" s="1050">
        <f>SUM(D375:D381)</f>
        <v>7.3279875039615472E-3</v>
      </c>
      <c r="E383" s="1063">
        <f t="shared" ref="E383:J383" si="34">SUM(E375:E381)</f>
        <v>0</v>
      </c>
      <c r="F383" s="1063">
        <f t="shared" si="34"/>
        <v>0</v>
      </c>
      <c r="G383" s="1063">
        <f t="shared" si="34"/>
        <v>0</v>
      </c>
      <c r="H383" s="1063">
        <f t="shared" si="34"/>
        <v>0</v>
      </c>
      <c r="I383" s="1063">
        <f t="shared" si="34"/>
        <v>0</v>
      </c>
      <c r="J383" s="1063">
        <f t="shared" si="34"/>
        <v>0</v>
      </c>
      <c r="K383" s="1063">
        <f t="shared" ref="K383" si="35">SUM(K375:K381)</f>
        <v>0</v>
      </c>
      <c r="L383" s="1371"/>
      <c r="M383" s="1051"/>
      <c r="N383" s="995"/>
      <c r="O383" s="1049"/>
      <c r="P383" s="996"/>
      <c r="Q383" s="996"/>
      <c r="R383" s="996"/>
      <c r="S383" s="996"/>
      <c r="T383" s="996"/>
      <c r="U383" s="996"/>
      <c r="V383" s="996"/>
      <c r="W383" s="996"/>
    </row>
    <row r="384" spans="2:23" s="1201" customFormat="1" ht="15.5" hidden="1" x14ac:dyDescent="0.35">
      <c r="B384" s="1371"/>
      <c r="C384" s="1371"/>
      <c r="D384" s="1050"/>
      <c r="E384" s="1371"/>
      <c r="F384" s="1371"/>
      <c r="G384" s="1371"/>
      <c r="H384" s="1371"/>
      <c r="I384" s="1371"/>
      <c r="J384" s="1371"/>
      <c r="K384" s="1371"/>
      <c r="L384" s="1371"/>
      <c r="M384" s="1051"/>
      <c r="N384" s="995"/>
      <c r="O384" s="1049"/>
      <c r="P384" s="996"/>
      <c r="Q384" s="996"/>
      <c r="R384" s="996"/>
      <c r="S384" s="996"/>
      <c r="T384" s="996"/>
      <c r="U384" s="996"/>
      <c r="V384" s="996"/>
      <c r="W384" s="996"/>
    </row>
    <row r="385" spans="2:23" s="1201" customFormat="1" ht="15.5" hidden="1" x14ac:dyDescent="0.35">
      <c r="B385" s="1037" t="s">
        <v>331</v>
      </c>
      <c r="C385" s="1037" t="s">
        <v>332</v>
      </c>
      <c r="D385" s="1371"/>
      <c r="E385" s="1371"/>
      <c r="F385" s="1371"/>
      <c r="G385" s="1371"/>
      <c r="H385" s="1371"/>
      <c r="I385" s="1371"/>
      <c r="J385" s="1371"/>
      <c r="K385" s="1371"/>
      <c r="L385" s="1039"/>
      <c r="M385" s="1038" t="s">
        <v>1307</v>
      </c>
      <c r="N385" s="995"/>
      <c r="O385" s="1049"/>
      <c r="P385" s="996"/>
      <c r="Q385" s="996"/>
      <c r="R385" s="996"/>
      <c r="S385" s="996"/>
      <c r="T385" s="996"/>
      <c r="U385" s="996"/>
      <c r="V385" s="996"/>
      <c r="W385" s="996"/>
    </row>
    <row r="386" spans="2:23" s="1201" customFormat="1" ht="15.5" hidden="1" x14ac:dyDescent="0.35">
      <c r="B386" s="1371"/>
      <c r="C386" s="1371" t="s">
        <v>334</v>
      </c>
      <c r="D386" s="1054">
        <v>0.01</v>
      </c>
      <c r="E386" s="1371"/>
      <c r="F386" s="1371"/>
      <c r="G386" s="1371"/>
      <c r="H386" s="1371"/>
      <c r="I386" s="1371"/>
      <c r="J386" s="1371"/>
      <c r="K386" s="1371"/>
      <c r="L386" s="1371"/>
      <c r="M386" s="1051"/>
      <c r="N386" s="995"/>
      <c r="O386" s="1055"/>
      <c r="P386" s="996"/>
      <c r="Q386" s="996"/>
      <c r="R386" s="996"/>
      <c r="S386" s="996"/>
      <c r="T386" s="996"/>
      <c r="U386" s="996"/>
      <c r="V386" s="996"/>
      <c r="W386" s="996"/>
    </row>
    <row r="387" spans="2:23" s="1201" customFormat="1" ht="15.5" hidden="1" x14ac:dyDescent="0.35">
      <c r="B387" s="1371"/>
      <c r="C387" s="1039" t="s">
        <v>440</v>
      </c>
      <c r="D387" s="1373">
        <f>D383*$D$386*44/28</f>
        <v>1.1515408934796718E-4</v>
      </c>
      <c r="E387" s="1373">
        <f t="shared" ref="E387:J387" si="36">E383*$D$386*44/28</f>
        <v>0</v>
      </c>
      <c r="F387" s="1373">
        <f t="shared" si="36"/>
        <v>0</v>
      </c>
      <c r="G387" s="1373">
        <f t="shared" si="36"/>
        <v>0</v>
      </c>
      <c r="H387" s="1373">
        <f t="shared" si="36"/>
        <v>0</v>
      </c>
      <c r="I387" s="1373">
        <f t="shared" si="36"/>
        <v>0</v>
      </c>
      <c r="J387" s="1373">
        <f t="shared" si="36"/>
        <v>0</v>
      </c>
      <c r="K387" s="1373">
        <f>K383*$D$386*44/28</f>
        <v>0</v>
      </c>
      <c r="L387" s="1039" t="s">
        <v>298</v>
      </c>
      <c r="M387" s="1051"/>
      <c r="N387" s="995"/>
      <c r="O387" s="1744"/>
      <c r="P387" s="996"/>
      <c r="Q387" s="996"/>
      <c r="R387" s="996"/>
      <c r="S387" s="996"/>
      <c r="T387" s="996"/>
      <c r="U387" s="996"/>
      <c r="V387" s="996"/>
      <c r="W387" s="996"/>
    </row>
    <row r="388" spans="2:23" s="1201" customFormat="1" ht="15.5" hidden="1" x14ac:dyDescent="0.35">
      <c r="B388" s="1371"/>
      <c r="C388" s="1371"/>
      <c r="D388" s="1046"/>
      <c r="E388" s="1046"/>
      <c r="F388" s="1371"/>
      <c r="G388" s="1371"/>
      <c r="H388" s="1371"/>
      <c r="I388" s="1371"/>
      <c r="J388" s="1371"/>
      <c r="K388" s="1371"/>
      <c r="L388" s="1371"/>
      <c r="M388" s="1051"/>
      <c r="N388" s="1056"/>
      <c r="O388" s="995"/>
      <c r="P388" s="995"/>
      <c r="Q388" s="996"/>
      <c r="R388" s="996"/>
      <c r="S388" s="996"/>
      <c r="T388" s="996"/>
      <c r="U388" s="996"/>
      <c r="V388" s="996"/>
      <c r="W388" s="996"/>
    </row>
    <row r="389" spans="2:23" s="1201" customFormat="1" ht="15.5" hidden="1" x14ac:dyDescent="0.35">
      <c r="B389" s="1037" t="s">
        <v>335</v>
      </c>
      <c r="C389" s="1037" t="s">
        <v>336</v>
      </c>
      <c r="D389" s="1371"/>
      <c r="E389" s="1371"/>
      <c r="F389" s="1371"/>
      <c r="G389" s="1371"/>
      <c r="H389" s="1371"/>
      <c r="I389" s="1371"/>
      <c r="J389" s="1371"/>
      <c r="K389" s="1371"/>
      <c r="L389" s="1371"/>
      <c r="M389" s="1038" t="s">
        <v>337</v>
      </c>
      <c r="N389" s="1056"/>
      <c r="O389" s="995"/>
      <c r="P389" s="995"/>
      <c r="Q389" s="996"/>
      <c r="R389" s="996"/>
      <c r="S389" s="996"/>
      <c r="T389" s="996"/>
      <c r="U389" s="996"/>
      <c r="V389" s="996"/>
      <c r="W389" s="996"/>
    </row>
    <row r="390" spans="2:23" s="1201" customFormat="1" ht="15.5" hidden="1" x14ac:dyDescent="0.35">
      <c r="B390" s="1371"/>
      <c r="C390" s="1371" t="s">
        <v>338</v>
      </c>
      <c r="D390" s="1371"/>
      <c r="E390" s="1371"/>
      <c r="F390" s="1371"/>
      <c r="G390" s="1371"/>
      <c r="H390" s="1371"/>
      <c r="I390" s="1371"/>
      <c r="J390" s="1371"/>
      <c r="K390" s="1371"/>
      <c r="L390" s="1039" t="s">
        <v>307</v>
      </c>
      <c r="M390" s="1140" t="s">
        <v>339</v>
      </c>
      <c r="N390" s="1036"/>
      <c r="O390" s="996"/>
      <c r="P390" s="996"/>
      <c r="Q390" s="996"/>
      <c r="R390" s="996"/>
      <c r="S390" s="996"/>
      <c r="T390" s="996"/>
      <c r="U390" s="996"/>
      <c r="V390" s="996"/>
      <c r="W390" s="996"/>
    </row>
    <row r="391" spans="2:23" s="1201" customFormat="1" ht="15.5" hidden="1" x14ac:dyDescent="0.35">
      <c r="B391" s="1371"/>
      <c r="C391" s="1371" t="s">
        <v>340</v>
      </c>
      <c r="D391" s="1371"/>
      <c r="E391" s="1371"/>
      <c r="F391" s="1371"/>
      <c r="G391" s="1371"/>
      <c r="H391" s="1371"/>
      <c r="I391" s="1371"/>
      <c r="J391" s="1371"/>
      <c r="K391" s="1371"/>
      <c r="L391" s="1039" t="s">
        <v>341</v>
      </c>
      <c r="M391" s="1038"/>
      <c r="N391" s="1036"/>
      <c r="O391" s="996"/>
      <c r="P391" s="996"/>
      <c r="Q391" s="996"/>
      <c r="R391" s="996"/>
      <c r="S391" s="996"/>
      <c r="T391" s="996"/>
      <c r="U391" s="996"/>
      <c r="V391" s="996"/>
      <c r="W391" s="996"/>
    </row>
    <row r="392" spans="2:23" s="1201" customFormat="1" ht="15.5" hidden="1" x14ac:dyDescent="0.35">
      <c r="B392" s="1371"/>
      <c r="C392" s="1371" t="s">
        <v>342</v>
      </c>
      <c r="D392" s="1371"/>
      <c r="E392" s="1371"/>
      <c r="F392" s="1371"/>
      <c r="G392" s="1371"/>
      <c r="H392" s="1371"/>
      <c r="I392" s="1371"/>
      <c r="J392" s="1371"/>
      <c r="K392" s="1371"/>
      <c r="L392" s="1371" t="s">
        <v>343</v>
      </c>
      <c r="M392" s="1038"/>
      <c r="N392" s="1036"/>
      <c r="O392" s="996"/>
      <c r="P392" s="996"/>
      <c r="Q392" s="996"/>
      <c r="R392" s="996"/>
      <c r="S392" s="996"/>
      <c r="T392" s="996"/>
      <c r="U392" s="996"/>
      <c r="V392" s="996"/>
      <c r="W392" s="996"/>
    </row>
    <row r="393" spans="2:23" s="1201" customFormat="1" ht="15.5" hidden="1" x14ac:dyDescent="0.35">
      <c r="B393" s="1371"/>
      <c r="C393" s="1371" t="s">
        <v>344</v>
      </c>
      <c r="D393" s="1371"/>
      <c r="E393" s="1371"/>
      <c r="F393" s="1371"/>
      <c r="G393" s="1371"/>
      <c r="H393" s="1371"/>
      <c r="I393" s="1371"/>
      <c r="J393" s="1371"/>
      <c r="K393" s="1371"/>
      <c r="L393" s="1371" t="s">
        <v>345</v>
      </c>
      <c r="M393" s="1038"/>
      <c r="N393" s="1036"/>
      <c r="O393" s="996"/>
      <c r="P393" s="996"/>
      <c r="Q393" s="996"/>
      <c r="R393" s="996"/>
      <c r="S393" s="996"/>
      <c r="T393" s="996"/>
      <c r="U393" s="996"/>
      <c r="V393" s="996"/>
      <c r="W393" s="996"/>
    </row>
    <row r="394" spans="2:23" s="1201" customFormat="1" ht="15.5" hidden="1" x14ac:dyDescent="0.35">
      <c r="B394" s="1371"/>
      <c r="C394" s="1371" t="s">
        <v>346</v>
      </c>
      <c r="D394" s="1371"/>
      <c r="E394" s="1371"/>
      <c r="F394" s="1371"/>
      <c r="G394" s="1371"/>
      <c r="H394" s="1371"/>
      <c r="I394" s="1371"/>
      <c r="J394" s="1371"/>
      <c r="K394" s="1371"/>
      <c r="L394" s="1371"/>
      <c r="M394" s="1038"/>
      <c r="N394" s="996"/>
      <c r="O394" s="996"/>
      <c r="P394" s="996"/>
      <c r="Q394" s="996"/>
      <c r="R394" s="996"/>
      <c r="S394" s="996"/>
      <c r="T394" s="996"/>
      <c r="U394" s="996"/>
      <c r="V394" s="996"/>
      <c r="W394" s="996"/>
    </row>
    <row r="395" spans="2:23" s="1201" customFormat="1" ht="15.5" hidden="1" x14ac:dyDescent="0.35">
      <c r="B395" s="1371"/>
      <c r="C395" s="1371" t="s">
        <v>347</v>
      </c>
      <c r="D395" s="1371"/>
      <c r="E395" s="1371"/>
      <c r="F395" s="1371"/>
      <c r="G395" s="1371"/>
      <c r="H395" s="1371"/>
      <c r="I395" s="1371"/>
      <c r="J395" s="1371"/>
      <c r="K395" s="1371"/>
      <c r="L395" s="1371"/>
      <c r="M395" s="1038"/>
      <c r="N395" s="996"/>
      <c r="O395" s="996"/>
      <c r="P395" s="996"/>
      <c r="Q395" s="996"/>
      <c r="R395" s="996"/>
      <c r="S395" s="996"/>
      <c r="T395" s="996"/>
      <c r="U395" s="996"/>
      <c r="V395" s="996"/>
      <c r="W395" s="996"/>
    </row>
    <row r="396" spans="2:23" s="1201" customFormat="1" ht="15.5" hidden="1" x14ac:dyDescent="0.35">
      <c r="B396" s="1371"/>
      <c r="C396" s="1371"/>
      <c r="D396" s="1371"/>
      <c r="E396" s="1371"/>
      <c r="F396" s="1371"/>
      <c r="G396" s="1371"/>
      <c r="H396" s="1371"/>
      <c r="I396" s="1371"/>
      <c r="J396" s="1371"/>
      <c r="K396" s="1371"/>
      <c r="L396" s="1371"/>
      <c r="M396" s="1038"/>
      <c r="N396" s="996"/>
      <c r="O396" s="996"/>
      <c r="P396" s="996"/>
      <c r="Q396" s="996"/>
      <c r="R396" s="996"/>
      <c r="S396" s="996"/>
      <c r="T396" s="996"/>
      <c r="U396" s="996"/>
      <c r="V396" s="996"/>
      <c r="W396" s="996"/>
    </row>
    <row r="397" spans="2:23" s="1201" customFormat="1" ht="15.5" hidden="1" x14ac:dyDescent="0.35">
      <c r="B397" s="1037" t="s">
        <v>348</v>
      </c>
      <c r="C397" s="1037" t="s">
        <v>349</v>
      </c>
      <c r="D397" s="1371"/>
      <c r="E397" s="1371"/>
      <c r="F397" s="1371"/>
      <c r="G397" s="1371"/>
      <c r="H397" s="1371"/>
      <c r="I397" s="1371"/>
      <c r="J397" s="1371"/>
      <c r="K397" s="1371"/>
      <c r="L397" s="1371" t="s">
        <v>312</v>
      </c>
      <c r="M397" s="1038" t="s">
        <v>350</v>
      </c>
      <c r="N397" s="996"/>
      <c r="O397" s="996"/>
      <c r="P397" s="996"/>
      <c r="Q397" s="996"/>
      <c r="R397" s="996"/>
      <c r="S397" s="996"/>
      <c r="T397" s="996"/>
      <c r="U397" s="996"/>
      <c r="V397" s="996"/>
      <c r="W397" s="996"/>
    </row>
    <row r="398" spans="2:23" s="1201" customFormat="1" ht="15.5" hidden="1" x14ac:dyDescent="0.35">
      <c r="B398" s="1371"/>
      <c r="C398" s="1371" t="s">
        <v>351</v>
      </c>
      <c r="D398" s="1371"/>
      <c r="E398" s="1371"/>
      <c r="F398" s="1371"/>
      <c r="G398" s="1371"/>
      <c r="H398" s="1371"/>
      <c r="I398" s="1371"/>
      <c r="J398" s="1371"/>
      <c r="K398" s="1371"/>
      <c r="L398" s="1371" t="s">
        <v>315</v>
      </c>
      <c r="M398" s="1140" t="s">
        <v>339</v>
      </c>
      <c r="N398" s="996"/>
      <c r="O398" s="996"/>
      <c r="P398" s="996"/>
      <c r="Q398" s="996"/>
      <c r="R398" s="996"/>
      <c r="S398" s="996"/>
      <c r="T398" s="996"/>
      <c r="U398" s="996"/>
      <c r="V398" s="996"/>
      <c r="W398" s="996"/>
    </row>
    <row r="399" spans="2:23" s="1201" customFormat="1" ht="15.5" hidden="1" x14ac:dyDescent="0.35">
      <c r="B399" s="1371"/>
      <c r="C399" s="1371"/>
      <c r="D399" s="1371"/>
      <c r="E399" s="1371"/>
      <c r="F399" s="1371"/>
      <c r="G399" s="1371"/>
      <c r="H399" s="1371"/>
      <c r="I399" s="1371"/>
      <c r="J399" s="1371"/>
      <c r="K399" s="1371"/>
      <c r="L399" s="1371"/>
      <c r="M399" s="1038"/>
      <c r="N399" s="996"/>
      <c r="O399" s="1052"/>
      <c r="P399" s="996"/>
      <c r="Q399" s="996"/>
      <c r="R399" s="996"/>
      <c r="S399" s="996"/>
      <c r="T399" s="996"/>
      <c r="U399" s="996"/>
      <c r="V399" s="996"/>
      <c r="W399" s="996"/>
    </row>
    <row r="400" spans="2:23" s="1201" customFormat="1" ht="15.5" hidden="1" x14ac:dyDescent="0.35">
      <c r="B400" s="1371"/>
      <c r="C400" s="1371"/>
      <c r="D400" s="1371"/>
      <c r="E400" s="1371"/>
      <c r="F400" s="1371"/>
      <c r="G400" s="1371"/>
      <c r="H400" s="1371"/>
      <c r="I400" s="1371"/>
      <c r="J400" s="1371"/>
      <c r="K400" s="1371"/>
      <c r="L400" s="1371"/>
      <c r="M400" s="1038"/>
      <c r="N400" s="996"/>
      <c r="O400" s="996"/>
      <c r="P400" s="996"/>
      <c r="Q400" s="996"/>
      <c r="R400" s="996"/>
      <c r="S400" s="996"/>
      <c r="T400" s="996"/>
      <c r="U400" s="996"/>
      <c r="V400" s="996"/>
      <c r="W400" s="996"/>
    </row>
    <row r="401" spans="2:23" s="1201" customFormat="1" ht="15.5" hidden="1" x14ac:dyDescent="0.35">
      <c r="B401" s="1371" t="s">
        <v>352</v>
      </c>
      <c r="C401" s="1371"/>
      <c r="D401" s="1371"/>
      <c r="E401" s="1371"/>
      <c r="F401" s="1371"/>
      <c r="G401" s="1371"/>
      <c r="H401" s="1371"/>
      <c r="I401" s="1371"/>
      <c r="J401" s="1371"/>
      <c r="K401" s="1371"/>
      <c r="L401" s="1371"/>
      <c r="M401" s="1038"/>
      <c r="N401" s="996"/>
      <c r="O401" s="996"/>
      <c r="P401" s="996"/>
      <c r="Q401" s="996"/>
      <c r="R401" s="996"/>
      <c r="S401" s="996"/>
      <c r="T401" s="996"/>
      <c r="U401" s="996"/>
      <c r="V401" s="996"/>
      <c r="W401" s="996"/>
    </row>
    <row r="402" spans="2:23" s="1201" customFormat="1" ht="15.5" hidden="1" x14ac:dyDescent="0.35">
      <c r="B402" s="1037" t="s">
        <v>353</v>
      </c>
      <c r="C402" s="1037" t="s">
        <v>354</v>
      </c>
      <c r="D402" s="1371"/>
      <c r="E402" s="1371"/>
      <c r="F402" s="1371"/>
      <c r="G402" s="1371"/>
      <c r="H402" s="1371"/>
      <c r="I402" s="1371"/>
      <c r="J402" s="1371"/>
      <c r="K402" s="1371"/>
      <c r="L402" s="1371"/>
      <c r="M402" s="1038" t="s">
        <v>355</v>
      </c>
      <c r="N402" s="996"/>
      <c r="O402" s="996"/>
      <c r="P402" s="996"/>
      <c r="Q402" s="996"/>
      <c r="R402" s="996"/>
      <c r="S402" s="996"/>
      <c r="T402" s="996"/>
      <c r="U402" s="996"/>
      <c r="V402" s="996"/>
      <c r="W402" s="996"/>
    </row>
    <row r="403" spans="2:23" s="1201" customFormat="1" ht="15.5" hidden="1" x14ac:dyDescent="0.35">
      <c r="B403" s="1371"/>
      <c r="C403" s="1371" t="s">
        <v>356</v>
      </c>
      <c r="D403" s="1371"/>
      <c r="E403" s="1371"/>
      <c r="F403" s="1371"/>
      <c r="G403" s="1371"/>
      <c r="H403" s="1371"/>
      <c r="I403" s="1371"/>
      <c r="J403" s="1371"/>
      <c r="K403" s="1371"/>
      <c r="L403" s="1371"/>
      <c r="M403" s="1140" t="s">
        <v>339</v>
      </c>
      <c r="N403" s="996"/>
      <c r="O403" s="996"/>
      <c r="P403" s="996"/>
      <c r="Q403" s="996"/>
      <c r="R403" s="996"/>
      <c r="S403" s="996"/>
      <c r="T403" s="996"/>
      <c r="U403" s="996"/>
      <c r="V403" s="996"/>
      <c r="W403" s="996"/>
    </row>
    <row r="404" spans="2:23" s="1201" customFormat="1" ht="15.5" hidden="1" x14ac:dyDescent="0.35">
      <c r="B404" s="1371"/>
      <c r="C404" s="1371" t="s">
        <v>357</v>
      </c>
      <c r="D404" s="1371"/>
      <c r="E404" s="1371"/>
      <c r="F404" s="1371"/>
      <c r="G404" s="1371"/>
      <c r="H404" s="1371"/>
      <c r="I404" s="1371"/>
      <c r="J404" s="1371"/>
      <c r="K404" s="1371"/>
      <c r="L404" s="1371"/>
      <c r="M404" s="1038"/>
      <c r="N404" s="996"/>
      <c r="O404" s="996"/>
      <c r="P404" s="1057"/>
      <c r="Q404" s="996"/>
      <c r="R404" s="996"/>
      <c r="S404" s="996"/>
      <c r="T404" s="996"/>
      <c r="U404" s="996"/>
      <c r="V404" s="996"/>
      <c r="W404" s="996"/>
    </row>
    <row r="405" spans="2:23" s="1201" customFormat="1" ht="15.5" hidden="1" x14ac:dyDescent="0.35">
      <c r="B405" s="1371"/>
      <c r="C405" s="1371" t="s">
        <v>358</v>
      </c>
      <c r="D405" s="1371"/>
      <c r="E405" s="1371"/>
      <c r="F405" s="1371"/>
      <c r="G405" s="1371"/>
      <c r="H405" s="1371"/>
      <c r="I405" s="1371"/>
      <c r="J405" s="1371"/>
      <c r="K405" s="1371"/>
      <c r="L405" s="1371"/>
      <c r="M405" s="1038"/>
      <c r="N405" s="996"/>
      <c r="O405" s="996"/>
      <c r="P405" s="996"/>
      <c r="Q405" s="996"/>
      <c r="R405" s="996"/>
      <c r="S405" s="996"/>
      <c r="T405" s="996"/>
      <c r="U405" s="996"/>
      <c r="V405" s="995"/>
      <c r="W405" s="995"/>
    </row>
    <row r="406" spans="2:23" s="1201" customFormat="1" ht="15.5" hidden="1" x14ac:dyDescent="0.35">
      <c r="B406" s="1371"/>
      <c r="C406" s="1371"/>
      <c r="D406" s="1371"/>
      <c r="E406" s="1371"/>
      <c r="F406" s="1371"/>
      <c r="G406" s="1371"/>
      <c r="H406" s="1371"/>
      <c r="I406" s="1371"/>
      <c r="J406" s="1371"/>
      <c r="K406" s="1371"/>
      <c r="L406" s="1371"/>
      <c r="M406" s="1038"/>
      <c r="N406" s="996"/>
      <c r="O406" s="996"/>
      <c r="P406" s="996"/>
      <c r="Q406" s="996"/>
      <c r="R406" s="996"/>
      <c r="S406" s="996"/>
      <c r="T406" s="996"/>
      <c r="U406" s="996"/>
      <c r="V406" s="1141"/>
      <c r="W406" s="1055"/>
    </row>
    <row r="407" spans="2:23" s="1201" customFormat="1" ht="15.5" hidden="1" x14ac:dyDescent="0.35">
      <c r="B407" s="1037" t="s">
        <v>359</v>
      </c>
      <c r="C407" s="1037" t="s">
        <v>349</v>
      </c>
      <c r="D407" s="1371"/>
      <c r="E407" s="1371"/>
      <c r="F407" s="1371"/>
      <c r="G407" s="1371"/>
      <c r="H407" s="1371"/>
      <c r="I407" s="1371"/>
      <c r="J407" s="1371"/>
      <c r="K407" s="1371"/>
      <c r="L407" s="1371" t="s">
        <v>312</v>
      </c>
      <c r="M407" s="1038" t="s">
        <v>360</v>
      </c>
      <c r="N407" s="996"/>
      <c r="O407" s="996"/>
      <c r="P407" s="996"/>
      <c r="Q407" s="996"/>
      <c r="R407" s="996"/>
      <c r="S407" s="996"/>
      <c r="T407" s="996"/>
      <c r="U407" s="996"/>
      <c r="V407" s="995"/>
      <c r="W407" s="1055"/>
    </row>
    <row r="408" spans="2:23" s="1201" customFormat="1" ht="15.5" hidden="1" x14ac:dyDescent="0.35">
      <c r="B408" s="1371"/>
      <c r="C408" s="1371" t="s">
        <v>351</v>
      </c>
      <c r="D408" s="1371"/>
      <c r="E408" s="1371"/>
      <c r="F408" s="1371"/>
      <c r="G408" s="1371"/>
      <c r="H408" s="1371"/>
      <c r="I408" s="1371"/>
      <c r="J408" s="1371"/>
      <c r="K408" s="1371"/>
      <c r="L408" s="1371" t="s">
        <v>315</v>
      </c>
      <c r="M408" s="1140" t="s">
        <v>339</v>
      </c>
      <c r="N408" s="996"/>
      <c r="O408" s="996"/>
      <c r="P408" s="996"/>
      <c r="Q408" s="996"/>
      <c r="R408" s="996"/>
      <c r="S408" s="996"/>
      <c r="T408" s="996"/>
      <c r="U408" s="996"/>
      <c r="V408" s="995"/>
      <c r="W408" s="1744"/>
    </row>
    <row r="409" spans="2:23" s="1201" customFormat="1" ht="15.5" hidden="1" x14ac:dyDescent="0.35">
      <c r="B409" s="1371"/>
      <c r="C409" s="1371"/>
      <c r="D409" s="1371"/>
      <c r="E409" s="1371"/>
      <c r="F409" s="1371"/>
      <c r="G409" s="1371"/>
      <c r="H409" s="1371"/>
      <c r="I409" s="1371"/>
      <c r="J409" s="1371"/>
      <c r="K409" s="1371"/>
      <c r="L409" s="1371"/>
      <c r="M409" s="1038"/>
      <c r="N409" s="996"/>
      <c r="O409" s="996"/>
      <c r="P409" s="996"/>
      <c r="Q409" s="995"/>
      <c r="R409" s="995"/>
      <c r="S409" s="995"/>
      <c r="T409" s="995"/>
      <c r="U409" s="995"/>
      <c r="V409" s="995"/>
      <c r="W409" s="995"/>
    </row>
    <row r="410" spans="2:23" s="1201" customFormat="1" ht="15.5" hidden="1" x14ac:dyDescent="0.35">
      <c r="B410" s="1371"/>
      <c r="C410" s="1371"/>
      <c r="D410" s="1371"/>
      <c r="E410" s="1371"/>
      <c r="F410" s="1371"/>
      <c r="G410" s="1371"/>
      <c r="H410" s="1371"/>
      <c r="I410" s="1371"/>
      <c r="J410" s="1371"/>
      <c r="K410" s="1371"/>
      <c r="L410" s="1371"/>
      <c r="M410" s="1038"/>
      <c r="N410" s="996"/>
      <c r="O410" s="996"/>
      <c r="P410" s="996"/>
      <c r="Q410" s="1141"/>
      <c r="R410" s="1141"/>
      <c r="S410" s="1141"/>
      <c r="T410" s="1141"/>
      <c r="U410" s="1141"/>
      <c r="V410" s="995"/>
      <c r="W410" s="995"/>
    </row>
    <row r="411" spans="2:23" s="1201" customFormat="1" ht="15.5" hidden="1" x14ac:dyDescent="0.35">
      <c r="B411" s="1371"/>
      <c r="C411" s="1371"/>
      <c r="D411" s="1371"/>
      <c r="E411" s="1371"/>
      <c r="F411" s="1371"/>
      <c r="G411" s="1371"/>
      <c r="H411" s="1371"/>
      <c r="I411" s="1371"/>
      <c r="J411" s="1371"/>
      <c r="K411" s="1371"/>
      <c r="L411" s="1371"/>
      <c r="M411" s="1038"/>
      <c r="N411" s="996"/>
      <c r="O411" s="1052"/>
      <c r="P411" s="995"/>
      <c r="Q411" s="995"/>
      <c r="R411" s="995"/>
      <c r="S411" s="995"/>
      <c r="T411" s="995"/>
      <c r="U411" s="995"/>
      <c r="V411" s="995"/>
      <c r="W411" s="995"/>
    </row>
    <row r="412" spans="2:23" s="1201" customFormat="1" ht="15.5" hidden="1" x14ac:dyDescent="0.35">
      <c r="B412" s="1037" t="s">
        <v>361</v>
      </c>
      <c r="C412" s="1037" t="s">
        <v>362</v>
      </c>
      <c r="D412" s="1371"/>
      <c r="E412" s="1371"/>
      <c r="F412" s="1371"/>
      <c r="G412" s="1371"/>
      <c r="H412" s="1371"/>
      <c r="I412" s="1371"/>
      <c r="J412" s="1371"/>
      <c r="K412" s="1371"/>
      <c r="L412" s="1371" t="s">
        <v>312</v>
      </c>
      <c r="M412" s="1038" t="s">
        <v>363</v>
      </c>
      <c r="N412" s="996"/>
      <c r="O412" s="1052"/>
      <c r="P412" s="995"/>
      <c r="Q412" s="995"/>
      <c r="R412" s="995"/>
      <c r="S412" s="995"/>
      <c r="T412" s="995"/>
      <c r="U412" s="995"/>
      <c r="V412" s="996"/>
      <c r="W412" s="996"/>
    </row>
    <row r="413" spans="2:23" s="1201" customFormat="1" ht="15.5" hidden="1" x14ac:dyDescent="0.35">
      <c r="B413" s="1371"/>
      <c r="C413" s="1371" t="s">
        <v>364</v>
      </c>
      <c r="D413" s="1371"/>
      <c r="E413" s="1371"/>
      <c r="F413" s="1371"/>
      <c r="G413" s="1371"/>
      <c r="H413" s="1371"/>
      <c r="I413" s="1371"/>
      <c r="J413" s="1371"/>
      <c r="K413" s="1371"/>
      <c r="L413" s="1371" t="s">
        <v>224</v>
      </c>
      <c r="M413" s="1140" t="s">
        <v>339</v>
      </c>
      <c r="N413" s="996"/>
      <c r="O413" s="1052"/>
      <c r="P413" s="995"/>
      <c r="Q413" s="995"/>
      <c r="R413" s="995"/>
      <c r="S413" s="995"/>
      <c r="T413" s="995"/>
      <c r="U413" s="995"/>
      <c r="V413" s="996"/>
      <c r="W413" s="996"/>
    </row>
    <row r="414" spans="2:23" s="1201" customFormat="1" ht="15.5" hidden="1" x14ac:dyDescent="0.35">
      <c r="B414" s="1371"/>
      <c r="C414" s="1371" t="s">
        <v>365</v>
      </c>
      <c r="D414" s="1371"/>
      <c r="E414" s="1371"/>
      <c r="F414" s="1371"/>
      <c r="G414" s="1371"/>
      <c r="H414" s="1371"/>
      <c r="I414" s="1371"/>
      <c r="J414" s="1371"/>
      <c r="K414" s="1371"/>
      <c r="L414" s="1371" t="s">
        <v>366</v>
      </c>
      <c r="M414" s="1038"/>
      <c r="N414" s="996"/>
      <c r="O414" s="1052"/>
      <c r="P414" s="996"/>
      <c r="Q414" s="995"/>
      <c r="R414" s="995"/>
      <c r="S414" s="995"/>
      <c r="T414" s="995"/>
      <c r="U414" s="995"/>
      <c r="V414" s="996"/>
      <c r="W414" s="996"/>
    </row>
    <row r="415" spans="2:23" s="1201" customFormat="1" ht="15.5" hidden="1" x14ac:dyDescent="0.35">
      <c r="B415" s="1371"/>
      <c r="C415" s="1037"/>
      <c r="D415" s="1371"/>
      <c r="E415" s="1371"/>
      <c r="F415" s="1371"/>
      <c r="G415" s="1371"/>
      <c r="H415" s="1371"/>
      <c r="I415" s="1371"/>
      <c r="J415" s="1371"/>
      <c r="K415" s="1371"/>
      <c r="L415" s="1371"/>
      <c r="M415" s="1038"/>
      <c r="N415" s="996"/>
      <c r="O415" s="996"/>
      <c r="P415" s="1057"/>
      <c r="Q415" s="995"/>
      <c r="R415" s="995"/>
      <c r="S415" s="995"/>
      <c r="T415" s="995"/>
      <c r="U415" s="995"/>
      <c r="V415" s="996"/>
      <c r="W415" s="996"/>
    </row>
    <row r="416" spans="2:23" s="1201" customFormat="1" ht="15.5" hidden="1" x14ac:dyDescent="0.35">
      <c r="B416" s="1371"/>
      <c r="C416" s="1372"/>
      <c r="D416" s="1372"/>
      <c r="E416" s="1044"/>
      <c r="F416" s="1039"/>
      <c r="G416" s="1371"/>
      <c r="H416" s="1371"/>
      <c r="I416" s="1371"/>
      <c r="J416" s="1371"/>
      <c r="K416" s="1371"/>
      <c r="L416" s="1371"/>
      <c r="M416" s="1038"/>
      <c r="N416" s="996"/>
      <c r="O416" s="996"/>
      <c r="P416" s="1057"/>
      <c r="Q416" s="1142"/>
      <c r="R416" s="996"/>
      <c r="S416" s="996"/>
      <c r="T416" s="996"/>
      <c r="U416" s="996"/>
      <c r="V416" s="996"/>
      <c r="W416" s="996"/>
    </row>
    <row r="417" spans="2:23" s="1201" customFormat="1" ht="15.5" hidden="1" x14ac:dyDescent="0.35">
      <c r="B417" s="1371"/>
      <c r="C417" s="1371"/>
      <c r="D417" s="1371"/>
      <c r="E417" s="1371"/>
      <c r="F417" s="1371"/>
      <c r="G417" s="1371"/>
      <c r="H417" s="1371"/>
      <c r="I417" s="1371"/>
      <c r="J417" s="1371"/>
      <c r="K417" s="1371"/>
      <c r="L417" s="1371"/>
      <c r="M417" s="1038"/>
      <c r="N417" s="996"/>
      <c r="O417" s="996"/>
      <c r="P417" s="1057"/>
      <c r="Q417" s="996"/>
      <c r="R417" s="996"/>
      <c r="S417" s="996"/>
      <c r="T417" s="996"/>
      <c r="U417" s="996"/>
      <c r="V417" s="996"/>
      <c r="W417" s="996"/>
    </row>
    <row r="418" spans="2:23" s="1201" customFormat="1" ht="15.5" hidden="1" x14ac:dyDescent="0.35">
      <c r="B418" s="1371" t="s">
        <v>367</v>
      </c>
      <c r="C418" s="1371"/>
      <c r="D418" s="1371"/>
      <c r="E418" s="1371"/>
      <c r="F418" s="1371"/>
      <c r="G418" s="1371"/>
      <c r="H418" s="1371"/>
      <c r="I418" s="1371"/>
      <c r="J418" s="1371"/>
      <c r="K418" s="1371"/>
      <c r="L418" s="1371"/>
      <c r="M418" s="1038"/>
      <c r="N418" s="996"/>
      <c r="O418" s="996"/>
      <c r="P418" s="1057"/>
      <c r="Q418" s="996"/>
      <c r="R418" s="996"/>
      <c r="S418" s="996"/>
      <c r="T418" s="996"/>
      <c r="U418" s="996"/>
      <c r="V418" s="996"/>
      <c r="W418" s="996"/>
    </row>
    <row r="419" spans="2:23" s="1201" customFormat="1" ht="15.5" hidden="1" x14ac:dyDescent="0.35">
      <c r="B419" s="1037" t="s">
        <v>368</v>
      </c>
      <c r="C419" s="1371"/>
      <c r="D419" s="1371"/>
      <c r="E419" s="1371"/>
      <c r="F419" s="1371"/>
      <c r="G419" s="1371"/>
      <c r="H419" s="1371"/>
      <c r="I419" s="1371"/>
      <c r="J419" s="1371"/>
      <c r="K419" s="1371"/>
      <c r="L419" s="1371"/>
      <c r="M419" s="1038" t="s">
        <v>1308</v>
      </c>
      <c r="N419" s="996"/>
      <c r="O419" s="996"/>
      <c r="P419" s="1057"/>
      <c r="Q419" s="996"/>
      <c r="R419" s="996"/>
      <c r="S419" s="996"/>
      <c r="T419" s="996"/>
      <c r="U419" s="996"/>
      <c r="V419" s="996"/>
      <c r="W419" s="996"/>
    </row>
    <row r="420" spans="2:23" s="1201" customFormat="1" ht="15.5" hidden="1" x14ac:dyDescent="0.35">
      <c r="B420" s="1371"/>
      <c r="C420" s="1037" t="s">
        <v>370</v>
      </c>
      <c r="D420" s="1371"/>
      <c r="E420" s="1371"/>
      <c r="F420" s="1371"/>
      <c r="G420" s="1371"/>
      <c r="H420" s="1371"/>
      <c r="I420" s="1371"/>
      <c r="J420" s="1371"/>
      <c r="K420" s="1371"/>
      <c r="L420" s="1371"/>
      <c r="M420" s="1038"/>
      <c r="N420" s="996"/>
      <c r="O420" s="996"/>
      <c r="P420" s="1057"/>
      <c r="Q420" s="996"/>
      <c r="R420" s="996"/>
      <c r="S420" s="996"/>
      <c r="T420" s="996"/>
      <c r="U420" s="996"/>
      <c r="V420" s="995"/>
      <c r="W420" s="995"/>
    </row>
    <row r="421" spans="2:23" s="1201" customFormat="1" ht="15.5" hidden="1" x14ac:dyDescent="0.35">
      <c r="B421" s="1371"/>
      <c r="C421" s="1371"/>
      <c r="D421" s="1371"/>
      <c r="E421" s="1371"/>
      <c r="F421" s="1371"/>
      <c r="G421" s="1371"/>
      <c r="H421" s="1371"/>
      <c r="I421" s="1371"/>
      <c r="J421" s="1371"/>
      <c r="K421" s="1371"/>
      <c r="L421" s="1371"/>
      <c r="M421" s="1051"/>
      <c r="N421" s="996"/>
      <c r="O421" s="996"/>
      <c r="P421" s="1057"/>
      <c r="Q421" s="996"/>
      <c r="R421" s="996"/>
      <c r="S421" s="996"/>
      <c r="T421" s="996"/>
      <c r="U421" s="996"/>
      <c r="V421" s="1056"/>
      <c r="W421" s="995"/>
    </row>
    <row r="422" spans="2:23" s="1201" customFormat="1" ht="15.5" hidden="1" x14ac:dyDescent="0.35">
      <c r="B422" s="1040"/>
      <c r="C422" s="1039" t="s">
        <v>440</v>
      </c>
      <c r="D422" s="1050">
        <f>D288*G$83%</f>
        <v>1.2406824808446831E-2</v>
      </c>
      <c r="E422" s="1131">
        <f t="shared" ref="E422:I422" si="37">E288*$G$84%</f>
        <v>1.6778618837550489E-3</v>
      </c>
      <c r="F422" s="1131">
        <f t="shared" si="37"/>
        <v>7.7279110350024971E-4</v>
      </c>
      <c r="G422" s="1131">
        <f t="shared" si="37"/>
        <v>1.3806466688284183E-4</v>
      </c>
      <c r="H422" s="1131">
        <f t="shared" si="37"/>
        <v>7.9796005012242413E-4</v>
      </c>
      <c r="I422" s="1131">
        <f t="shared" si="37"/>
        <v>5.7749999999999994E-5</v>
      </c>
      <c r="J422" s="1131">
        <f>J288*$G$84%</f>
        <v>4.1999999999999998E-5</v>
      </c>
      <c r="K422" s="1131">
        <f>K288*$G$84%</f>
        <v>0</v>
      </c>
      <c r="L422" s="1371" t="s">
        <v>288</v>
      </c>
      <c r="M422" s="1038"/>
      <c r="N422" s="1058"/>
      <c r="O422" s="1058"/>
      <c r="P422" s="1059"/>
      <c r="Q422" s="996"/>
      <c r="R422" s="996"/>
      <c r="S422" s="996"/>
      <c r="T422" s="996"/>
      <c r="U422" s="996"/>
      <c r="V422" s="1056"/>
      <c r="W422" s="995"/>
    </row>
    <row r="423" spans="2:23" s="1201" customFormat="1" ht="15.5" hidden="1" x14ac:dyDescent="0.35">
      <c r="B423" s="1371"/>
      <c r="C423" s="1371"/>
      <c r="D423" s="1050"/>
      <c r="E423" s="1131"/>
      <c r="F423" s="1131"/>
      <c r="G423" s="1131"/>
      <c r="H423" s="1131"/>
      <c r="I423" s="1131"/>
      <c r="J423" s="1131"/>
      <c r="K423" s="1131"/>
      <c r="L423" s="1371"/>
      <c r="M423" s="1038"/>
      <c r="N423" s="1058"/>
      <c r="O423" s="1058"/>
      <c r="P423" s="1058"/>
      <c r="Q423" s="996"/>
      <c r="R423" s="996"/>
      <c r="S423" s="996"/>
      <c r="T423" s="996"/>
      <c r="U423" s="996"/>
      <c r="V423" s="996"/>
      <c r="W423" s="996"/>
    </row>
    <row r="424" spans="2:23" s="1201" customFormat="1" ht="15.5" hidden="1" x14ac:dyDescent="0.35">
      <c r="B424" s="1371"/>
      <c r="C424" s="1037" t="s">
        <v>372</v>
      </c>
      <c r="D424" s="1050"/>
      <c r="E424" s="1131"/>
      <c r="F424" s="1131"/>
      <c r="G424" s="1131"/>
      <c r="H424" s="1131"/>
      <c r="I424" s="1131"/>
      <c r="J424" s="1131"/>
      <c r="K424" s="1131"/>
      <c r="L424" s="1371"/>
      <c r="M424" s="1038"/>
      <c r="N424" s="1058"/>
      <c r="O424" s="1058"/>
      <c r="P424" s="1059"/>
      <c r="Q424" s="995"/>
      <c r="R424" s="995"/>
      <c r="S424" s="995"/>
      <c r="T424" s="995"/>
      <c r="U424" s="995"/>
      <c r="V424" s="996"/>
      <c r="W424" s="996"/>
    </row>
    <row r="425" spans="2:23" s="1201" customFormat="1" ht="15.5" hidden="1" x14ac:dyDescent="0.35">
      <c r="B425" s="1371"/>
      <c r="C425" s="1371"/>
      <c r="D425" s="1050"/>
      <c r="E425" s="1131"/>
      <c r="F425" s="1131"/>
      <c r="G425" s="1131"/>
      <c r="H425" s="1131"/>
      <c r="I425" s="1131"/>
      <c r="J425" s="1131"/>
      <c r="K425" s="1131"/>
      <c r="L425" s="1371"/>
      <c r="M425" s="1051"/>
      <c r="N425" s="1058"/>
      <c r="O425" s="1058"/>
      <c r="P425" s="1059"/>
      <c r="Q425" s="995"/>
      <c r="R425" s="995"/>
      <c r="S425" s="995"/>
      <c r="T425" s="995"/>
      <c r="U425" s="995"/>
      <c r="V425" s="996"/>
      <c r="W425" s="996"/>
    </row>
    <row r="426" spans="2:23" s="1201" customFormat="1" ht="15.5" hidden="1" x14ac:dyDescent="0.35">
      <c r="B426" s="1371"/>
      <c r="C426" s="1039" t="s">
        <v>440</v>
      </c>
      <c r="D426" s="1050">
        <f>D292*$G$83%</f>
        <v>4.5517502730252367E-2</v>
      </c>
      <c r="E426" s="1131">
        <f t="shared" ref="E426:J426" si="38">E292*$G$84%</f>
        <v>7.8137548749827469E-3</v>
      </c>
      <c r="F426" s="1131">
        <f t="shared" si="38"/>
        <v>3.1901732405791644E-3</v>
      </c>
      <c r="G426" s="1131">
        <f t="shared" si="38"/>
        <v>6.8159587090817762E-4</v>
      </c>
      <c r="H426" s="1131">
        <f t="shared" si="38"/>
        <v>3.2313704905531098E-3</v>
      </c>
      <c r="I426" s="1131">
        <f>I292*$G$84%</f>
        <v>8.6100000000000006E-5</v>
      </c>
      <c r="J426" s="1131">
        <f t="shared" si="38"/>
        <v>3.5280000000000001E-5</v>
      </c>
      <c r="K426" s="1131">
        <f>K292*$G$84%</f>
        <v>0</v>
      </c>
      <c r="L426" s="1371" t="s">
        <v>288</v>
      </c>
      <c r="M426" s="1051"/>
      <c r="N426" s="1058"/>
      <c r="O426" s="1058"/>
      <c r="P426" s="1059"/>
      <c r="Q426" s="995"/>
      <c r="R426" s="1060"/>
      <c r="S426" s="1060"/>
      <c r="T426" s="995"/>
      <c r="U426" s="995"/>
      <c r="V426" s="996"/>
      <c r="W426" s="996"/>
    </row>
    <row r="427" spans="2:23" s="1201" customFormat="1" ht="15.5" hidden="1" x14ac:dyDescent="0.35">
      <c r="B427" s="1371"/>
      <c r="C427" s="1371"/>
      <c r="D427" s="1061"/>
      <c r="E427" s="1371"/>
      <c r="F427" s="1371"/>
      <c r="G427" s="1371"/>
      <c r="H427" s="1371"/>
      <c r="I427" s="1371"/>
      <c r="J427" s="1371"/>
      <c r="K427" s="1131"/>
      <c r="L427" s="1371"/>
      <c r="M427" s="1051"/>
      <c r="N427" s="996"/>
      <c r="O427" s="996"/>
      <c r="P427" s="996"/>
      <c r="Q427" s="996"/>
      <c r="R427" s="996"/>
      <c r="S427" s="996"/>
      <c r="T427" s="996"/>
      <c r="U427" s="996"/>
      <c r="V427" s="995"/>
      <c r="W427" s="995"/>
    </row>
    <row r="428" spans="2:23" s="1201" customFormat="1" ht="15.5" hidden="1" x14ac:dyDescent="0.35">
      <c r="B428" s="1037" t="s">
        <v>374</v>
      </c>
      <c r="C428" s="1037" t="s">
        <v>375</v>
      </c>
      <c r="D428" s="1371"/>
      <c r="E428" s="1371"/>
      <c r="F428" s="1371"/>
      <c r="G428" s="1371"/>
      <c r="H428" s="1371"/>
      <c r="I428" s="1371"/>
      <c r="J428" s="1371"/>
      <c r="K428" s="1371"/>
      <c r="L428" s="1371"/>
      <c r="M428" s="1038" t="s">
        <v>1309</v>
      </c>
      <c r="N428" s="996"/>
      <c r="O428" s="996"/>
      <c r="P428" s="996"/>
      <c r="Q428" s="996"/>
      <c r="R428" s="996"/>
      <c r="S428" s="996"/>
      <c r="T428" s="996"/>
      <c r="U428" s="996"/>
      <c r="V428" s="995"/>
      <c r="W428" s="995"/>
    </row>
    <row r="429" spans="2:23" s="1201" customFormat="1" ht="15.5" hidden="1" x14ac:dyDescent="0.35">
      <c r="B429" s="1371"/>
      <c r="C429" s="1371" t="s">
        <v>377</v>
      </c>
      <c r="D429" s="1043">
        <v>4.0000000000000001E-3</v>
      </c>
      <c r="E429" s="1371"/>
      <c r="F429" s="1371"/>
      <c r="G429" s="1371"/>
      <c r="H429" s="1371"/>
      <c r="I429" s="1371"/>
      <c r="J429" s="1371"/>
      <c r="K429" s="1371"/>
      <c r="L429" s="1371"/>
      <c r="M429" s="1051"/>
      <c r="N429" s="996"/>
      <c r="O429" s="996"/>
      <c r="P429" s="996"/>
      <c r="Q429" s="996"/>
      <c r="R429" s="996"/>
      <c r="S429" s="996"/>
      <c r="T429" s="996"/>
      <c r="U429" s="996"/>
      <c r="V429" s="996"/>
      <c r="W429" s="996"/>
    </row>
    <row r="430" spans="2:23" s="1201" customFormat="1" ht="15.5" hidden="1" x14ac:dyDescent="0.35">
      <c r="B430" s="1371"/>
      <c r="C430" s="1371" t="s">
        <v>378</v>
      </c>
      <c r="D430" s="1372">
        <v>4.0000000000000001E-3</v>
      </c>
      <c r="E430" s="1371"/>
      <c r="F430" s="1371"/>
      <c r="G430" s="1371"/>
      <c r="H430" s="1371"/>
      <c r="I430" s="1371"/>
      <c r="J430" s="1371"/>
      <c r="K430" s="1371"/>
      <c r="L430" s="1371"/>
      <c r="M430" s="1051"/>
      <c r="N430" s="996"/>
      <c r="O430" s="996"/>
      <c r="P430" s="996"/>
      <c r="Q430" s="996"/>
      <c r="R430" s="996"/>
      <c r="S430" s="996"/>
      <c r="T430" s="996"/>
      <c r="U430" s="996"/>
      <c r="V430" s="996"/>
      <c r="W430" s="996"/>
    </row>
    <row r="431" spans="2:23" s="1201" customFormat="1" ht="15.5" hidden="1" x14ac:dyDescent="0.35">
      <c r="B431" s="1371"/>
      <c r="C431" s="1371"/>
      <c r="D431" s="1371"/>
      <c r="E431" s="1371"/>
      <c r="F431" s="1371"/>
      <c r="G431" s="1371"/>
      <c r="H431" s="1371"/>
      <c r="I431" s="1371"/>
      <c r="J431" s="1371"/>
      <c r="K431" s="1371"/>
      <c r="L431" s="1371"/>
      <c r="M431" s="1051"/>
      <c r="N431" s="996"/>
      <c r="O431" s="996"/>
      <c r="P431" s="996"/>
      <c r="Q431" s="995"/>
      <c r="R431" s="995"/>
      <c r="S431" s="995"/>
      <c r="T431" s="995"/>
      <c r="U431" s="995"/>
      <c r="V431" s="996"/>
      <c r="W431" s="996"/>
    </row>
    <row r="432" spans="2:23" s="1201" customFormat="1" ht="15.5" hidden="1" x14ac:dyDescent="0.35">
      <c r="B432" s="1371"/>
      <c r="C432" s="1039" t="s">
        <v>440</v>
      </c>
      <c r="D432" s="1061">
        <f>(D422*$D$429*44/28)+(D426*$D$430*44/28)</f>
        <v>3.64095773100395E-4</v>
      </c>
      <c r="E432" s="1061">
        <f t="shared" ref="E432:J432" si="39">(E422*$D$429*44/28)+(E426*$D$430*44/28)</f>
        <v>5.9661591054923277E-5</v>
      </c>
      <c r="F432" s="1061">
        <f t="shared" si="39"/>
        <v>2.4910061591356317E-5</v>
      </c>
      <c r="G432" s="1061">
        <f t="shared" si="39"/>
        <v>5.152151951829265E-6</v>
      </c>
      <c r="H432" s="1061">
        <f t="shared" si="39"/>
        <v>2.5327220541389072E-5</v>
      </c>
      <c r="I432" s="1061">
        <f>(I422*$D$429*44/28)+(I426*$D$430*44/28)</f>
        <v>9.0420000000000017E-7</v>
      </c>
      <c r="J432" s="1061">
        <f t="shared" si="39"/>
        <v>4.8576000000000003E-7</v>
      </c>
      <c r="K432" s="1061">
        <f>(K422*$D$429*44/28)+(K426*$D$430*44/28)</f>
        <v>0</v>
      </c>
      <c r="L432" s="1039" t="s">
        <v>298</v>
      </c>
      <c r="M432" s="1051"/>
      <c r="N432" s="996"/>
      <c r="O432" s="1062"/>
      <c r="P432" s="996"/>
      <c r="Q432" s="995"/>
      <c r="R432" s="995"/>
      <c r="S432" s="995"/>
      <c r="T432" s="995"/>
      <c r="U432" s="995"/>
      <c r="V432" s="996"/>
      <c r="W432" s="996"/>
    </row>
    <row r="433" spans="2:24" s="1201" customFormat="1" ht="15.5" hidden="1" x14ac:dyDescent="0.35">
      <c r="B433" s="1371"/>
      <c r="C433" s="1371"/>
      <c r="D433" s="1061"/>
      <c r="E433" s="1061"/>
      <c r="F433" s="1061"/>
      <c r="G433" s="1061"/>
      <c r="H433" s="1061"/>
      <c r="I433" s="1061"/>
      <c r="J433" s="1061"/>
      <c r="K433" s="1061"/>
      <c r="L433" s="1371"/>
      <c r="M433" s="1051"/>
      <c r="N433" s="996"/>
      <c r="O433" s="996"/>
      <c r="P433" s="996"/>
      <c r="Q433" s="996"/>
      <c r="R433" s="996"/>
      <c r="S433" s="996"/>
      <c r="T433" s="996"/>
      <c r="U433" s="996"/>
      <c r="V433" s="996"/>
      <c r="W433" s="996"/>
    </row>
    <row r="434" spans="2:24" s="1201" customFormat="1" ht="15.5" hidden="1" x14ac:dyDescent="0.35">
      <c r="B434" s="1037" t="s">
        <v>379</v>
      </c>
      <c r="C434" s="1371"/>
      <c r="D434" s="1063"/>
      <c r="E434" s="1063"/>
      <c r="F434" s="1063"/>
      <c r="G434" s="1063"/>
      <c r="H434" s="1063"/>
      <c r="I434" s="1063"/>
      <c r="J434" s="1063"/>
      <c r="K434" s="1063"/>
      <c r="L434" s="1371"/>
      <c r="M434" s="1051"/>
      <c r="N434" s="996"/>
      <c r="O434" s="996"/>
      <c r="P434" s="996"/>
      <c r="Q434" s="996"/>
      <c r="R434" s="996"/>
      <c r="S434" s="996"/>
      <c r="T434" s="996"/>
      <c r="U434" s="996"/>
      <c r="V434" s="996"/>
      <c r="W434" s="996"/>
    </row>
    <row r="435" spans="2:24" s="1201" customFormat="1" ht="15.5" hidden="1" x14ac:dyDescent="0.35">
      <c r="B435" s="1371"/>
      <c r="C435" s="1039" t="s">
        <v>440</v>
      </c>
      <c r="D435" s="1139">
        <f>D387+D432</f>
        <v>4.7924986244836219E-4</v>
      </c>
      <c r="E435" s="1139">
        <f t="shared" ref="E435:J435" si="40">E387+E432</f>
        <v>5.9661591054923277E-5</v>
      </c>
      <c r="F435" s="1139">
        <f t="shared" si="40"/>
        <v>2.4910061591356317E-5</v>
      </c>
      <c r="G435" s="1139">
        <f t="shared" si="40"/>
        <v>5.152151951829265E-6</v>
      </c>
      <c r="H435" s="1139">
        <f t="shared" si="40"/>
        <v>2.5327220541389072E-5</v>
      </c>
      <c r="I435" s="1139">
        <f>I387+I432</f>
        <v>9.0420000000000017E-7</v>
      </c>
      <c r="J435" s="1139">
        <f t="shared" si="40"/>
        <v>4.8576000000000003E-7</v>
      </c>
      <c r="K435" s="1139">
        <f t="shared" ref="K435" si="41">K387+K432</f>
        <v>0</v>
      </c>
      <c r="L435" s="1039" t="s">
        <v>298</v>
      </c>
      <c r="M435" s="1051"/>
      <c r="Q435" s="996"/>
      <c r="R435" s="996"/>
      <c r="S435" s="996"/>
      <c r="T435" s="996"/>
      <c r="U435" s="996"/>
      <c r="V435" s="996"/>
      <c r="W435" s="996"/>
    </row>
    <row r="436" spans="2:24" s="1201" customFormat="1" ht="15.5" hidden="1" x14ac:dyDescent="0.35">
      <c r="B436" s="1371"/>
      <c r="C436" s="1039"/>
      <c r="D436" s="1061"/>
      <c r="E436" s="1061"/>
      <c r="F436" s="1061"/>
      <c r="G436" s="1061"/>
      <c r="H436" s="1061"/>
      <c r="I436" s="1061"/>
      <c r="J436" s="1061"/>
      <c r="K436" s="1061"/>
      <c r="L436" s="1039"/>
      <c r="M436" s="1064"/>
      <c r="Q436" s="996"/>
      <c r="R436" s="996"/>
      <c r="S436" s="996"/>
      <c r="T436" s="996"/>
      <c r="U436" s="996"/>
      <c r="V436" s="1067"/>
      <c r="W436" s="996"/>
    </row>
    <row r="437" spans="2:24" s="1201" customFormat="1" ht="15.5" hidden="1" x14ac:dyDescent="0.35">
      <c r="B437" s="1037" t="s">
        <v>263</v>
      </c>
      <c r="C437" s="1065">
        <f>SUM(D435:K435)</f>
        <v>5.9569084758786021E-4</v>
      </c>
      <c r="D437" s="1040"/>
      <c r="E437" s="1040"/>
      <c r="F437" s="1040"/>
      <c r="G437" s="1040"/>
      <c r="H437" s="1040"/>
      <c r="I437" s="1040"/>
      <c r="J437" s="1040"/>
      <c r="K437" s="1040"/>
      <c r="L437" s="1039" t="s">
        <v>299</v>
      </c>
      <c r="M437" s="1064"/>
      <c r="N437" s="1066"/>
      <c r="O437" s="1066"/>
      <c r="P437" s="1066"/>
      <c r="Q437" s="996"/>
      <c r="R437" s="996"/>
      <c r="S437" s="996"/>
      <c r="T437" s="996"/>
      <c r="U437" s="996"/>
      <c r="V437" s="996"/>
      <c r="W437" s="996"/>
    </row>
    <row r="438" spans="2:24" s="1201" customFormat="1" ht="15.5" hidden="1" x14ac:dyDescent="0.35">
      <c r="B438" s="1037" t="s">
        <v>263</v>
      </c>
      <c r="C438" s="1042">
        <f>C437*'Emission factors'!$C$5</f>
        <v>0.15785807461078297</v>
      </c>
      <c r="D438" s="1371"/>
      <c r="E438" s="1371"/>
      <c r="F438" s="1371"/>
      <c r="G438" s="1371"/>
      <c r="H438" s="1371"/>
      <c r="I438" s="1371"/>
      <c r="J438" s="1371"/>
      <c r="K438" s="1371"/>
      <c r="L438" s="1039" t="s">
        <v>265</v>
      </c>
      <c r="M438" s="1064"/>
      <c r="N438" s="1066"/>
      <c r="O438" s="1066"/>
      <c r="P438" s="1066"/>
      <c r="Q438" s="996"/>
      <c r="R438" s="996"/>
      <c r="S438" s="996"/>
      <c r="T438" s="996"/>
      <c r="U438" s="996"/>
      <c r="V438" s="996"/>
      <c r="W438" s="996"/>
    </row>
    <row r="439" spans="2:24" s="1201" customFormat="1" ht="15.5" hidden="1" x14ac:dyDescent="0.35">
      <c r="B439" s="1037" t="s">
        <v>263</v>
      </c>
      <c r="C439" s="1082">
        <f>C438*10^3</f>
        <v>157.85807461078298</v>
      </c>
      <c r="D439" s="1371"/>
      <c r="E439" s="1369"/>
      <c r="F439" s="1371"/>
      <c r="G439" s="1371"/>
      <c r="H439" s="1371"/>
      <c r="I439" s="1371"/>
      <c r="J439" s="1371"/>
      <c r="K439" s="1371"/>
      <c r="L439" s="1039" t="s">
        <v>266</v>
      </c>
      <c r="M439" s="1064"/>
      <c r="N439" s="1066"/>
      <c r="O439" s="1066"/>
      <c r="P439" s="1066"/>
      <c r="Q439" s="996"/>
      <c r="R439" s="996"/>
      <c r="S439" s="996"/>
      <c r="T439" s="996"/>
      <c r="U439" s="996"/>
      <c r="V439" s="996"/>
      <c r="W439" s="996"/>
    </row>
    <row r="440" spans="2:24" s="1201" customFormat="1" ht="15.5" hidden="1" x14ac:dyDescent="0.35">
      <c r="B440" s="1371"/>
      <c r="C440" s="1371"/>
      <c r="D440" s="1371"/>
      <c r="E440" s="1371"/>
      <c r="F440" s="1371"/>
      <c r="G440" s="1371"/>
      <c r="H440" s="1371"/>
      <c r="I440" s="1371"/>
      <c r="J440" s="1371"/>
      <c r="K440" s="1371"/>
      <c r="L440" s="1371"/>
      <c r="M440" s="1064"/>
      <c r="N440" s="1066"/>
      <c r="O440" s="1066"/>
      <c r="P440" s="1066"/>
      <c r="Q440" s="1067"/>
      <c r="R440" s="1067"/>
      <c r="S440" s="1067"/>
      <c r="T440" s="1067"/>
      <c r="U440" s="1067"/>
      <c r="V440" s="996"/>
      <c r="W440" s="996"/>
    </row>
    <row r="441" spans="2:24" s="1201" customFormat="1" ht="15.5" hidden="1" x14ac:dyDescent="0.35">
      <c r="B441" s="1037" t="s">
        <v>380</v>
      </c>
      <c r="C441" s="1037" t="s">
        <v>381</v>
      </c>
      <c r="D441" s="1371"/>
      <c r="E441" s="1371"/>
      <c r="F441" s="1371"/>
      <c r="G441" s="1371"/>
      <c r="H441" s="1371"/>
      <c r="I441" s="1371"/>
      <c r="J441" s="1371"/>
      <c r="K441" s="1371"/>
      <c r="L441" s="1371"/>
      <c r="M441" s="1038" t="s">
        <v>1312</v>
      </c>
      <c r="N441" s="1036"/>
      <c r="O441" s="1066"/>
      <c r="P441" s="1066"/>
      <c r="Q441" s="996"/>
      <c r="R441" s="996"/>
      <c r="S441" s="996"/>
      <c r="T441" s="996"/>
      <c r="U441" s="996"/>
      <c r="V441" s="996"/>
      <c r="W441" s="996"/>
    </row>
    <row r="442" spans="2:24" s="1201" customFormat="1" ht="15.5" hidden="1" x14ac:dyDescent="0.35">
      <c r="B442" s="1371"/>
      <c r="C442" s="1371" t="s">
        <v>383</v>
      </c>
      <c r="D442" s="1371"/>
      <c r="E442" s="1371"/>
      <c r="F442" s="1371"/>
      <c r="G442" s="1371"/>
      <c r="H442" s="1371"/>
      <c r="I442" s="1371"/>
      <c r="J442" s="1371"/>
      <c r="K442" s="1371"/>
      <c r="L442" s="1371" t="s">
        <v>307</v>
      </c>
      <c r="M442" s="1038"/>
      <c r="N442" s="996"/>
      <c r="O442" s="1066"/>
      <c r="P442" s="1066"/>
      <c r="Q442" s="996"/>
      <c r="R442" s="996"/>
      <c r="S442" s="996"/>
      <c r="T442" s="996"/>
      <c r="U442" s="996"/>
      <c r="V442" s="996"/>
      <c r="W442" s="996"/>
    </row>
    <row r="443" spans="2:24" s="1201" customFormat="1" ht="15.5" hidden="1" x14ac:dyDescent="0.35">
      <c r="B443" s="1371"/>
      <c r="C443" s="1371" t="s">
        <v>306</v>
      </c>
      <c r="D443" s="1371"/>
      <c r="E443" s="1371"/>
      <c r="F443" s="1371"/>
      <c r="G443" s="1371"/>
      <c r="H443" s="1371"/>
      <c r="I443" s="1371"/>
      <c r="J443" s="1371"/>
      <c r="K443" s="1371"/>
      <c r="L443" s="1068" t="s">
        <v>307</v>
      </c>
      <c r="M443" s="1038"/>
      <c r="N443" s="996"/>
      <c r="O443" s="1066"/>
      <c r="P443" s="1066"/>
      <c r="Q443" s="996"/>
      <c r="R443" s="996"/>
      <c r="S443" s="996"/>
      <c r="T443" s="996"/>
      <c r="U443" s="996"/>
      <c r="V443" s="996"/>
      <c r="W443" s="996"/>
    </row>
    <row r="444" spans="2:24" s="1201" customFormat="1" ht="15.5" hidden="1" x14ac:dyDescent="0.35">
      <c r="B444" s="1371"/>
      <c r="C444" s="1371" t="s">
        <v>1299</v>
      </c>
      <c r="D444" s="1371">
        <v>0.11</v>
      </c>
      <c r="E444" s="1371"/>
      <c r="F444" s="1371"/>
      <c r="G444" s="1371"/>
      <c r="H444" s="1371"/>
      <c r="I444" s="1371"/>
      <c r="J444" s="1371"/>
      <c r="K444" s="1371"/>
      <c r="L444" s="1068" t="s">
        <v>384</v>
      </c>
      <c r="M444" s="1038"/>
      <c r="N444" s="996"/>
      <c r="O444" s="1066"/>
      <c r="P444" s="1066"/>
      <c r="Q444" s="996"/>
      <c r="R444" s="996"/>
      <c r="S444" s="996"/>
      <c r="T444" s="996"/>
      <c r="U444" s="996"/>
      <c r="V444" s="894"/>
      <c r="W444" s="894"/>
      <c r="X444" s="894"/>
    </row>
    <row r="445" spans="2:24" s="1201" customFormat="1" ht="15.5" hidden="1" x14ac:dyDescent="0.35">
      <c r="B445" s="1371"/>
      <c r="C445" s="1371"/>
      <c r="D445" s="1371"/>
      <c r="E445" s="1371"/>
      <c r="F445" s="1371"/>
      <c r="G445" s="1371"/>
      <c r="H445" s="1371"/>
      <c r="I445" s="1371"/>
      <c r="J445" s="1371"/>
      <c r="K445" s="1371"/>
      <c r="L445" s="1068"/>
      <c r="M445" s="1038"/>
      <c r="N445" s="996"/>
      <c r="O445" s="894"/>
      <c r="P445" s="894"/>
      <c r="Q445" s="894"/>
      <c r="R445" s="894"/>
      <c r="S445" s="894"/>
      <c r="T445" s="894"/>
      <c r="U445" s="894"/>
      <c r="V445" s="894"/>
      <c r="W445" s="894"/>
      <c r="X445" s="894"/>
    </row>
    <row r="446" spans="2:24" s="1201" customFormat="1" ht="15.5" hidden="1" x14ac:dyDescent="0.35">
      <c r="B446" s="1371" t="s">
        <v>385</v>
      </c>
      <c r="C446" s="1043" t="s">
        <v>807</v>
      </c>
      <c r="D446" s="1200">
        <f>D345*D444</f>
        <v>6.0499999999999998E-3</v>
      </c>
      <c r="E446" s="1136"/>
      <c r="F446" s="1050"/>
      <c r="G446" s="1371"/>
      <c r="H446" s="1371"/>
      <c r="I446" s="1371"/>
      <c r="J446" s="1371"/>
      <c r="K446" s="1371"/>
      <c r="L446" s="1068" t="s">
        <v>438</v>
      </c>
      <c r="M446" s="1143"/>
      <c r="N446" s="995"/>
      <c r="O446" s="894"/>
      <c r="P446" s="894"/>
      <c r="Q446" s="894"/>
      <c r="R446" s="894"/>
      <c r="S446" s="894"/>
      <c r="T446" s="894"/>
      <c r="U446" s="894"/>
      <c r="V446" s="894"/>
      <c r="W446" s="894"/>
      <c r="X446" s="894"/>
    </row>
    <row r="447" spans="2:24" s="1201" customFormat="1" ht="15.5" hidden="1" x14ac:dyDescent="0.35">
      <c r="B447" s="1371"/>
      <c r="C447" s="1043" t="s">
        <v>817</v>
      </c>
      <c r="D447" s="1200">
        <f>D346*D444</f>
        <v>0</v>
      </c>
      <c r="E447" s="1044"/>
      <c r="F447" s="1371"/>
      <c r="G447" s="1371"/>
      <c r="H447" s="1371"/>
      <c r="I447" s="1371"/>
      <c r="J447" s="1371"/>
      <c r="K447" s="1371"/>
      <c r="L447" s="1068" t="s">
        <v>438</v>
      </c>
      <c r="M447" s="1143"/>
      <c r="N447" s="1047"/>
      <c r="O447" s="894"/>
      <c r="P447" s="894"/>
      <c r="Q447" s="894"/>
      <c r="R447" s="894"/>
      <c r="S447" s="894"/>
      <c r="T447" s="894"/>
      <c r="U447" s="894"/>
      <c r="V447" s="894"/>
      <c r="W447" s="894"/>
      <c r="X447" s="894"/>
    </row>
    <row r="448" spans="2:24" s="1201" customFormat="1" ht="15.5" hidden="1" x14ac:dyDescent="0.35">
      <c r="B448" s="1371"/>
      <c r="C448" s="1043"/>
      <c r="D448" s="1200"/>
      <c r="E448" s="1044"/>
      <c r="F448" s="1371"/>
      <c r="G448" s="1371"/>
      <c r="H448" s="1371"/>
      <c r="I448" s="1371"/>
      <c r="J448" s="1371"/>
      <c r="K448" s="1371"/>
      <c r="L448" s="1068"/>
      <c r="M448" s="1051"/>
      <c r="N448" s="1036"/>
      <c r="O448" s="894"/>
      <c r="P448" s="894"/>
      <c r="Q448" s="894"/>
      <c r="R448" s="894"/>
      <c r="S448" s="894"/>
      <c r="T448" s="894"/>
      <c r="U448" s="894"/>
      <c r="V448" s="894"/>
      <c r="W448" s="894"/>
      <c r="X448" s="894"/>
    </row>
    <row r="449" spans="2:24" s="1201" customFormat="1" ht="15.5" hidden="1" x14ac:dyDescent="0.35">
      <c r="B449" s="1371"/>
      <c r="C449" s="1043"/>
      <c r="D449" s="1200"/>
      <c r="E449" s="1044"/>
      <c r="F449" s="1371"/>
      <c r="G449" s="1371"/>
      <c r="H449" s="1371"/>
      <c r="I449" s="1371"/>
      <c r="J449" s="1371"/>
      <c r="K449" s="1371"/>
      <c r="L449" s="1068"/>
      <c r="M449" s="1038"/>
      <c r="N449" s="996"/>
      <c r="O449" s="894"/>
      <c r="P449" s="894"/>
      <c r="Q449" s="894"/>
      <c r="R449" s="894"/>
      <c r="S449" s="894"/>
      <c r="T449" s="894"/>
      <c r="U449" s="894"/>
      <c r="V449" s="894"/>
      <c r="W449" s="894"/>
      <c r="X449" s="894"/>
    </row>
    <row r="450" spans="2:24" s="1201" customFormat="1" ht="15.5" hidden="1" x14ac:dyDescent="0.35">
      <c r="B450" s="1371"/>
      <c r="C450" s="1039"/>
      <c r="D450" s="1373"/>
      <c r="E450" s="1044"/>
      <c r="F450" s="1371"/>
      <c r="G450" s="1371"/>
      <c r="H450" s="1371"/>
      <c r="I450" s="1371"/>
      <c r="J450" s="1371"/>
      <c r="K450" s="1371"/>
      <c r="L450" s="1068"/>
      <c r="M450" s="1038"/>
      <c r="N450" s="996"/>
      <c r="O450" s="894"/>
      <c r="P450" s="894"/>
      <c r="Q450" s="894"/>
      <c r="R450" s="894"/>
      <c r="S450" s="894"/>
      <c r="T450" s="894"/>
      <c r="U450" s="894"/>
      <c r="V450" s="894"/>
      <c r="W450" s="894"/>
      <c r="X450" s="894"/>
    </row>
    <row r="451" spans="2:24" s="1201" customFormat="1" ht="15.5" hidden="1" x14ac:dyDescent="0.35">
      <c r="B451" s="1037" t="s">
        <v>386</v>
      </c>
      <c r="C451" s="1037" t="s">
        <v>1310</v>
      </c>
      <c r="D451" s="1371"/>
      <c r="E451" s="1371"/>
      <c r="F451" s="1371"/>
      <c r="G451" s="1371"/>
      <c r="H451" s="1371"/>
      <c r="I451" s="1371"/>
      <c r="J451" s="1371"/>
      <c r="K451" s="1371"/>
      <c r="L451" s="1371"/>
      <c r="M451" s="1038" t="s">
        <v>1313</v>
      </c>
      <c r="N451" s="996"/>
      <c r="O451" s="894"/>
      <c r="P451" s="894"/>
      <c r="Q451" s="894"/>
      <c r="R451" s="894"/>
      <c r="S451" s="894"/>
      <c r="T451" s="894"/>
      <c r="U451" s="894"/>
      <c r="V451" s="894"/>
      <c r="W451" s="894"/>
      <c r="X451" s="894"/>
    </row>
    <row r="452" spans="2:24" s="1201" customFormat="1" ht="15.5" hidden="1" x14ac:dyDescent="0.35">
      <c r="B452" s="1371"/>
      <c r="C452" s="1371" t="s">
        <v>388</v>
      </c>
      <c r="D452" s="1371">
        <v>0.21</v>
      </c>
      <c r="E452" s="1371"/>
      <c r="F452" s="1371"/>
      <c r="G452" s="1371"/>
      <c r="H452" s="1371"/>
      <c r="I452" s="1371"/>
      <c r="J452" s="1371"/>
      <c r="K452" s="1371"/>
      <c r="L452" s="1371"/>
      <c r="M452" s="1038" t="s">
        <v>389</v>
      </c>
      <c r="N452" s="996"/>
      <c r="O452" s="894"/>
      <c r="P452" s="894"/>
      <c r="Q452" s="894"/>
      <c r="R452" s="894"/>
      <c r="S452" s="894"/>
      <c r="T452" s="894"/>
      <c r="U452" s="894"/>
      <c r="V452" s="894"/>
      <c r="W452" s="894"/>
      <c r="X452" s="894"/>
    </row>
    <row r="453" spans="2:24" s="1201" customFormat="1" ht="15.5" hidden="1" x14ac:dyDescent="0.35">
      <c r="B453" s="1371"/>
      <c r="C453" s="1371"/>
      <c r="D453" s="1040"/>
      <c r="E453" s="1371"/>
      <c r="F453" s="1371"/>
      <c r="G453" s="1371"/>
      <c r="H453" s="1371"/>
      <c r="I453" s="1371"/>
      <c r="J453" s="1371"/>
      <c r="K453" s="1371"/>
      <c r="L453" s="1371"/>
      <c r="M453" s="1051"/>
      <c r="N453" s="996"/>
      <c r="O453" s="894"/>
      <c r="P453" s="894"/>
      <c r="Q453" s="894"/>
      <c r="R453" s="894"/>
      <c r="S453" s="894"/>
      <c r="T453" s="894"/>
      <c r="U453" s="894"/>
      <c r="V453" s="894"/>
      <c r="W453" s="894"/>
      <c r="X453" s="894"/>
    </row>
    <row r="454" spans="2:24" s="1201" customFormat="1" ht="15.5" hidden="1" x14ac:dyDescent="0.35">
      <c r="B454" s="1371" t="s">
        <v>390</v>
      </c>
      <c r="C454" s="1039" t="s">
        <v>440</v>
      </c>
      <c r="D454" s="1044">
        <f>(D383+D422+D426)*$D$452</f>
        <v>1.3702986158958754E-2</v>
      </c>
      <c r="E454" s="1373">
        <f t="shared" ref="E454:J454" si="42">(E383+E422+E426)*$D$452</f>
        <v>1.993239519334937E-3</v>
      </c>
      <c r="F454" s="1373">
        <f t="shared" si="42"/>
        <v>8.3222251225667683E-4</v>
      </c>
      <c r="G454" s="1373">
        <f t="shared" si="42"/>
        <v>1.7212871293611408E-4</v>
      </c>
      <c r="H454" s="1373">
        <f t="shared" si="42"/>
        <v>8.4615941354186208E-4</v>
      </c>
      <c r="I454" s="1373">
        <f t="shared" si="42"/>
        <v>3.0208500000000001E-5</v>
      </c>
      <c r="J454" s="1373">
        <f t="shared" si="42"/>
        <v>1.6228799999999996E-5</v>
      </c>
      <c r="K454" s="1373">
        <f>(K383+K422+K426)*$D$452</f>
        <v>0</v>
      </c>
      <c r="L454" s="1068" t="s">
        <v>288</v>
      </c>
      <c r="M454" s="1038"/>
      <c r="N454" s="996"/>
      <c r="O454" s="894"/>
      <c r="P454" s="894"/>
      <c r="Q454" s="894"/>
      <c r="R454" s="894"/>
      <c r="S454" s="894"/>
      <c r="T454" s="894"/>
      <c r="U454" s="894"/>
      <c r="V454" s="894"/>
      <c r="W454" s="894"/>
      <c r="X454" s="894"/>
    </row>
    <row r="455" spans="2:24" s="1201" customFormat="1" ht="15.5" hidden="1" x14ac:dyDescent="0.35">
      <c r="B455" s="1371"/>
      <c r="C455" s="1371"/>
      <c r="D455" s="1040"/>
      <c r="E455" s="1371"/>
      <c r="F455" s="1371"/>
      <c r="G455" s="1371"/>
      <c r="H455" s="1371"/>
      <c r="I455" s="1371"/>
      <c r="J455" s="1371"/>
      <c r="K455" s="1371"/>
      <c r="L455" s="1371"/>
      <c r="M455" s="1051"/>
      <c r="N455" s="996"/>
      <c r="O455" s="894"/>
      <c r="P455" s="894"/>
      <c r="Q455" s="894"/>
      <c r="R455" s="894"/>
      <c r="S455" s="894"/>
      <c r="T455" s="894"/>
      <c r="U455" s="894"/>
      <c r="V455" s="894"/>
      <c r="W455" s="894"/>
      <c r="X455" s="894"/>
    </row>
    <row r="456" spans="2:24" s="1201" customFormat="1" ht="15.5" hidden="1" x14ac:dyDescent="0.35">
      <c r="B456" s="1037" t="s">
        <v>391</v>
      </c>
      <c r="C456" s="1041" t="s">
        <v>392</v>
      </c>
      <c r="D456" s="1372"/>
      <c r="E456" s="1372"/>
      <c r="F456" s="1372"/>
      <c r="G456" s="1372"/>
      <c r="H456" s="1372"/>
      <c r="I456" s="1372"/>
      <c r="J456" s="1372"/>
      <c r="K456" s="1372"/>
      <c r="L456" s="1372" t="s">
        <v>307</v>
      </c>
      <c r="M456" s="1038" t="s">
        <v>393</v>
      </c>
      <c r="N456" s="996"/>
      <c r="O456" s="894"/>
      <c r="P456" s="894"/>
      <c r="Q456" s="894"/>
      <c r="R456" s="894"/>
      <c r="S456" s="894"/>
      <c r="T456" s="894"/>
      <c r="U456" s="894"/>
      <c r="V456" s="894"/>
      <c r="W456" s="894"/>
      <c r="X456" s="894"/>
    </row>
    <row r="457" spans="2:24" s="1201" customFormat="1" ht="15.5" hidden="1" x14ac:dyDescent="0.35">
      <c r="B457" s="1371"/>
      <c r="C457" s="1372" t="s">
        <v>394</v>
      </c>
      <c r="D457" s="1372"/>
      <c r="E457" s="1372"/>
      <c r="F457" s="1372"/>
      <c r="G457" s="1372"/>
      <c r="H457" s="1372"/>
      <c r="I457" s="1372"/>
      <c r="J457" s="1372"/>
      <c r="K457" s="1372"/>
      <c r="L457" s="1372" t="s">
        <v>395</v>
      </c>
      <c r="M457" s="1038" t="s">
        <v>339</v>
      </c>
      <c r="N457" s="996"/>
      <c r="O457" s="894"/>
      <c r="P457" s="894"/>
      <c r="Q457" s="894"/>
      <c r="R457" s="894"/>
      <c r="S457" s="894"/>
      <c r="T457" s="894"/>
      <c r="U457" s="894"/>
      <c r="V457" s="894"/>
      <c r="W457" s="894"/>
      <c r="X457" s="894"/>
    </row>
    <row r="458" spans="2:24" s="1201" customFormat="1" ht="15.5" hidden="1" x14ac:dyDescent="0.35">
      <c r="B458" s="1371"/>
      <c r="C458" s="1372" t="s">
        <v>396</v>
      </c>
      <c r="D458" s="1372"/>
      <c r="E458" s="1372"/>
      <c r="F458" s="1372"/>
      <c r="G458" s="1372"/>
      <c r="H458" s="1372"/>
      <c r="I458" s="1372"/>
      <c r="J458" s="1372"/>
      <c r="K458" s="1372"/>
      <c r="L458" s="1372"/>
      <c r="M458" s="1038"/>
      <c r="N458" s="996"/>
      <c r="O458" s="894"/>
      <c r="P458" s="894"/>
      <c r="Q458" s="894"/>
      <c r="R458" s="894"/>
      <c r="S458" s="894"/>
      <c r="T458" s="894"/>
      <c r="U458" s="894"/>
      <c r="V458" s="894"/>
      <c r="W458" s="894"/>
      <c r="X458" s="894"/>
    </row>
    <row r="459" spans="2:24" s="1201" customFormat="1" ht="15.5" hidden="1" x14ac:dyDescent="0.35">
      <c r="B459" s="1371"/>
      <c r="C459" s="1371"/>
      <c r="D459" s="1371"/>
      <c r="E459" s="1371"/>
      <c r="F459" s="1371"/>
      <c r="G459" s="1371"/>
      <c r="H459" s="1371"/>
      <c r="I459" s="1371"/>
      <c r="J459" s="1371"/>
      <c r="K459" s="1371"/>
      <c r="L459" s="1371"/>
      <c r="M459" s="1051"/>
      <c r="N459" s="996"/>
      <c r="O459" s="894"/>
      <c r="P459" s="894"/>
      <c r="Q459" s="894"/>
      <c r="R459" s="894"/>
      <c r="S459" s="894"/>
      <c r="T459" s="894"/>
      <c r="U459" s="894"/>
      <c r="V459" s="894"/>
      <c r="W459" s="894"/>
      <c r="X459" s="894"/>
    </row>
    <row r="460" spans="2:24" s="1201" customFormat="1" ht="15.5" hidden="1" x14ac:dyDescent="0.35">
      <c r="B460" s="1037" t="s">
        <v>397</v>
      </c>
      <c r="C460" s="1037" t="s">
        <v>349</v>
      </c>
      <c r="D460" s="1371"/>
      <c r="E460" s="1371"/>
      <c r="F460" s="1371"/>
      <c r="G460" s="1371"/>
      <c r="H460" s="1371"/>
      <c r="I460" s="1371"/>
      <c r="J460" s="1371"/>
      <c r="K460" s="1371"/>
      <c r="L460" s="1371"/>
      <c r="M460" s="1038" t="s">
        <v>1316</v>
      </c>
      <c r="N460" s="996"/>
      <c r="O460" s="894"/>
      <c r="P460" s="894"/>
      <c r="Q460" s="894"/>
      <c r="R460" s="894"/>
      <c r="S460" s="894"/>
      <c r="T460" s="894"/>
      <c r="U460" s="894"/>
      <c r="V460" s="894"/>
      <c r="W460" s="894"/>
      <c r="X460" s="894"/>
    </row>
    <row r="461" spans="2:24" s="1201" customFormat="1" ht="15.5" hidden="1" x14ac:dyDescent="0.35">
      <c r="B461" s="1371"/>
      <c r="C461" s="1371" t="s">
        <v>399</v>
      </c>
      <c r="D461" s="1371"/>
      <c r="E461" s="1371"/>
      <c r="F461" s="1371"/>
      <c r="G461" s="1371"/>
      <c r="H461" s="1371"/>
      <c r="I461" s="1371"/>
      <c r="J461" s="1371"/>
      <c r="K461" s="1371"/>
      <c r="L461" s="1371" t="s">
        <v>307</v>
      </c>
      <c r="M461" s="1038"/>
      <c r="N461" s="996"/>
      <c r="O461" s="894"/>
      <c r="P461" s="894"/>
      <c r="Q461" s="894"/>
      <c r="R461" s="894"/>
      <c r="S461" s="894"/>
      <c r="T461" s="894"/>
      <c r="U461" s="894"/>
      <c r="V461" s="894"/>
      <c r="W461" s="894"/>
      <c r="X461" s="894"/>
    </row>
    <row r="462" spans="2:24" s="1201" customFormat="1" ht="15.5" hidden="1" x14ac:dyDescent="0.35">
      <c r="B462" s="1371"/>
      <c r="C462" s="1371" t="s">
        <v>1301</v>
      </c>
      <c r="D462" s="1371">
        <v>4.0000000000000001E-3</v>
      </c>
      <c r="E462" s="1371"/>
      <c r="F462" s="1371"/>
      <c r="G462" s="1371"/>
      <c r="H462" s="1371"/>
      <c r="I462" s="1371"/>
      <c r="J462" s="1371"/>
      <c r="K462" s="1371"/>
      <c r="L462" s="1371" t="s">
        <v>315</v>
      </c>
      <c r="M462" s="1038"/>
      <c r="N462" s="996"/>
      <c r="O462" s="894"/>
      <c r="P462" s="894"/>
      <c r="Q462" s="894"/>
      <c r="R462" s="894"/>
      <c r="S462" s="894"/>
      <c r="T462" s="894"/>
      <c r="U462" s="894"/>
      <c r="V462" s="894"/>
      <c r="W462" s="894"/>
      <c r="X462" s="894"/>
    </row>
    <row r="463" spans="2:24" s="1201" customFormat="1" ht="15.5" hidden="1" x14ac:dyDescent="0.35">
      <c r="B463" s="1371"/>
      <c r="C463" s="1371"/>
      <c r="D463" s="1371"/>
      <c r="E463" s="1371"/>
      <c r="F463" s="1371"/>
      <c r="G463" s="1371"/>
      <c r="H463" s="1371"/>
      <c r="I463" s="1371"/>
      <c r="J463" s="1371"/>
      <c r="K463" s="1371"/>
      <c r="L463" s="1371"/>
      <c r="M463" s="1038"/>
      <c r="N463" s="996"/>
      <c r="O463" s="894"/>
      <c r="P463" s="894"/>
      <c r="Q463" s="894"/>
      <c r="R463" s="894"/>
      <c r="S463" s="894"/>
      <c r="T463" s="894"/>
      <c r="U463" s="894"/>
      <c r="V463" s="894"/>
      <c r="W463" s="894"/>
      <c r="X463" s="894"/>
    </row>
    <row r="464" spans="2:24" s="1201" customFormat="1" ht="15.5" hidden="1" x14ac:dyDescent="0.35">
      <c r="B464" s="1371" t="s">
        <v>385</v>
      </c>
      <c r="C464" s="1043" t="s">
        <v>807</v>
      </c>
      <c r="D464" s="1373">
        <f>D446*D462*44/28</f>
        <v>3.8028571428571422E-5</v>
      </c>
      <c r="E464" s="1136"/>
      <c r="F464" s="1371"/>
      <c r="G464" s="1371"/>
      <c r="H464" s="1371"/>
      <c r="I464" s="1371"/>
      <c r="J464" s="1371"/>
      <c r="K464" s="1371"/>
      <c r="L464" s="1068" t="s">
        <v>439</v>
      </c>
      <c r="M464" s="1038"/>
      <c r="N464" s="996"/>
      <c r="O464" s="894"/>
      <c r="P464" s="894"/>
      <c r="Q464" s="894"/>
      <c r="R464" s="894"/>
      <c r="S464" s="894"/>
      <c r="T464" s="894"/>
      <c r="U464" s="894"/>
      <c r="V464" s="894"/>
      <c r="W464" s="894"/>
      <c r="X464" s="894"/>
    </row>
    <row r="465" spans="2:26" s="1201" customFormat="1" ht="15.5" hidden="1" x14ac:dyDescent="0.35">
      <c r="B465" s="1371"/>
      <c r="C465" s="1043" t="s">
        <v>817</v>
      </c>
      <c r="D465" s="1373">
        <f>D447*D462*44/28</f>
        <v>0</v>
      </c>
      <c r="E465" s="1374"/>
      <c r="F465" s="1371"/>
      <c r="G465" s="1371"/>
      <c r="H465" s="1371"/>
      <c r="I465" s="1371"/>
      <c r="J465" s="1371"/>
      <c r="K465" s="1371"/>
      <c r="L465" s="1068" t="s">
        <v>439</v>
      </c>
      <c r="M465" s="1038"/>
      <c r="N465" s="996"/>
      <c r="O465" s="894"/>
      <c r="P465" s="894"/>
      <c r="Q465" s="894"/>
      <c r="R465" s="894"/>
      <c r="S465" s="894"/>
      <c r="T465" s="894"/>
      <c r="U465" s="894"/>
      <c r="V465" s="894"/>
      <c r="W465" s="894"/>
      <c r="X465" s="894"/>
    </row>
    <row r="466" spans="2:26" s="1201" customFormat="1" ht="15.5" hidden="1" x14ac:dyDescent="0.35">
      <c r="B466" s="1371"/>
      <c r="C466" s="1043"/>
      <c r="D466" s="1373"/>
      <c r="E466" s="1372"/>
      <c r="F466" s="1371"/>
      <c r="G466" s="1371"/>
      <c r="H466" s="1371"/>
      <c r="I466" s="1371"/>
      <c r="J466" s="1371"/>
      <c r="K466" s="1371"/>
      <c r="L466" s="1068"/>
      <c r="M466" s="1038"/>
      <c r="N466" s="996"/>
      <c r="O466" s="894"/>
      <c r="P466" s="894"/>
      <c r="Q466" s="894"/>
      <c r="R466" s="894"/>
      <c r="S466" s="894"/>
      <c r="T466" s="894"/>
      <c r="U466" s="894"/>
    </row>
    <row r="467" spans="2:26" s="1201" customFormat="1" ht="15.5" hidden="1" x14ac:dyDescent="0.35">
      <c r="B467" s="1371"/>
      <c r="C467" s="1043"/>
      <c r="D467" s="1373"/>
      <c r="E467" s="1372"/>
      <c r="F467" s="1371"/>
      <c r="G467" s="1371"/>
      <c r="H467" s="1371"/>
      <c r="I467" s="1371"/>
      <c r="J467" s="1371"/>
      <c r="K467" s="1371"/>
      <c r="L467" s="1068"/>
      <c r="M467" s="1038"/>
      <c r="N467" s="996"/>
      <c r="O467" s="996"/>
      <c r="P467" s="996"/>
    </row>
    <row r="468" spans="2:26" s="1201" customFormat="1" ht="15.5" hidden="1" x14ac:dyDescent="0.35">
      <c r="B468" s="1371"/>
      <c r="C468" s="1043"/>
      <c r="D468" s="1372"/>
      <c r="E468" s="1471"/>
      <c r="F468" s="1371"/>
      <c r="G468" s="1371"/>
      <c r="H468" s="1371"/>
      <c r="I468" s="1371"/>
      <c r="J468" s="1371"/>
      <c r="K468" s="1371"/>
      <c r="L468" s="1371"/>
      <c r="M468" s="1038"/>
      <c r="N468" s="996"/>
      <c r="O468" s="996"/>
      <c r="P468" s="996"/>
    </row>
    <row r="469" spans="2:26" s="1201" customFormat="1" ht="15.5" hidden="1" x14ac:dyDescent="0.35">
      <c r="B469" s="1371" t="s">
        <v>390</v>
      </c>
      <c r="C469" s="1039" t="s">
        <v>440</v>
      </c>
      <c r="D469" s="1131">
        <f>D454*$D$462*44/28</f>
        <v>8.6133055856312167E-5</v>
      </c>
      <c r="E469" s="1040">
        <f>E454*$D$462*44/28</f>
        <v>1.2528934121533889E-5</v>
      </c>
      <c r="F469" s="1040">
        <f t="shared" ref="F469:J469" si="43">F454*$D$462*44/28</f>
        <v>5.2311129341848263E-6</v>
      </c>
      <c r="G469" s="1040">
        <f t="shared" si="43"/>
        <v>1.0819519098841458E-6</v>
      </c>
      <c r="H469" s="1040">
        <f t="shared" si="43"/>
        <v>5.3187163136917047E-6</v>
      </c>
      <c r="I469" s="1040">
        <f t="shared" si="43"/>
        <v>1.8988200000000001E-7</v>
      </c>
      <c r="J469" s="1040">
        <f t="shared" si="43"/>
        <v>1.0200959999999996E-7</v>
      </c>
      <c r="K469" s="1040">
        <f>K454*$D$462*44/28</f>
        <v>0</v>
      </c>
      <c r="L469" s="1068" t="s">
        <v>439</v>
      </c>
      <c r="M469" s="1038"/>
      <c r="N469" s="996"/>
      <c r="O469" s="996"/>
      <c r="P469" s="996"/>
    </row>
    <row r="470" spans="2:26" s="1201" customFormat="1" ht="15.5" hidden="1" x14ac:dyDescent="0.35">
      <c r="B470" s="1371"/>
      <c r="C470" s="1041"/>
      <c r="D470" s="1040"/>
      <c r="E470" s="1371"/>
      <c r="F470" s="1371"/>
      <c r="G470" s="1371"/>
      <c r="H470" s="1371"/>
      <c r="I470" s="1371"/>
      <c r="J470" s="1371"/>
      <c r="K470" s="1040"/>
      <c r="L470" s="1371"/>
      <c r="M470" s="1038"/>
      <c r="N470" s="996"/>
      <c r="O470" s="996"/>
      <c r="P470" s="996"/>
    </row>
    <row r="471" spans="2:26" s="1201" customFormat="1" ht="15.5" hidden="1" x14ac:dyDescent="0.35">
      <c r="B471" s="1041" t="s">
        <v>223</v>
      </c>
      <c r="C471" s="1039" t="s">
        <v>440</v>
      </c>
      <c r="D471" s="1040">
        <f>SUM(D464:D465)+SUM(D469:K469)</f>
        <v>1.4861423416417816E-4</v>
      </c>
      <c r="E471" s="1040"/>
      <c r="F471" s="1040"/>
      <c r="G471" s="1040"/>
      <c r="H471" s="1040"/>
      <c r="I471" s="1040"/>
      <c r="J471" s="1040"/>
      <c r="K471" s="1040"/>
      <c r="L471" s="1068" t="s">
        <v>439</v>
      </c>
      <c r="M471" s="1051"/>
      <c r="N471" s="996"/>
      <c r="O471" s="996"/>
      <c r="P471" s="996"/>
    </row>
    <row r="472" spans="2:26" s="1201" customFormat="1" ht="15.5" hidden="1" x14ac:dyDescent="0.35">
      <c r="B472" s="1041"/>
      <c r="C472" s="1041"/>
      <c r="D472" s="1040"/>
      <c r="E472" s="1371"/>
      <c r="F472" s="1371"/>
      <c r="G472" s="1371"/>
      <c r="H472" s="1371"/>
      <c r="I472" s="1371"/>
      <c r="J472" s="1371"/>
      <c r="K472" s="1371"/>
      <c r="L472" s="1068"/>
      <c r="M472" s="1038"/>
      <c r="N472" s="996"/>
      <c r="O472" s="996"/>
      <c r="P472" s="996"/>
      <c r="X472" s="1084"/>
      <c r="Y472" s="1084"/>
      <c r="Z472" s="1084"/>
    </row>
    <row r="473" spans="2:26" s="1201" customFormat="1" ht="15.5" hidden="1" x14ac:dyDescent="0.35">
      <c r="B473" s="1037" t="s">
        <v>263</v>
      </c>
      <c r="C473" s="1040">
        <f>SUM(D471:D471)</f>
        <v>1.4861423416417816E-4</v>
      </c>
      <c r="D473" s="1040"/>
      <c r="E473" s="1371"/>
      <c r="F473" s="1371"/>
      <c r="G473" s="1039"/>
      <c r="H473" s="1039"/>
      <c r="I473" s="1039"/>
      <c r="J473" s="1039"/>
      <c r="K473" s="1039"/>
      <c r="L473" s="1068" t="s">
        <v>299</v>
      </c>
      <c r="M473" s="1038"/>
      <c r="N473" s="996"/>
      <c r="O473" s="996"/>
      <c r="P473" s="996"/>
      <c r="X473" s="1084"/>
    </row>
    <row r="474" spans="2:26" s="1201" customFormat="1" ht="15.5" hidden="1" x14ac:dyDescent="0.35">
      <c r="B474" s="1037" t="s">
        <v>400</v>
      </c>
      <c r="C474" s="1040">
        <f>C473*'Emission factors'!$C$5</f>
        <v>3.9382772053507209E-2</v>
      </c>
      <c r="D474" s="1371"/>
      <c r="E474" s="1470"/>
      <c r="F474" s="1371"/>
      <c r="G474" s="1371"/>
      <c r="H474" s="1371"/>
      <c r="I474" s="1371"/>
      <c r="J474" s="1371"/>
      <c r="K474" s="1371"/>
      <c r="L474" s="1068" t="s">
        <v>265</v>
      </c>
      <c r="M474" s="1038"/>
      <c r="N474" s="996"/>
      <c r="O474" s="996"/>
      <c r="P474" s="996"/>
      <c r="X474" s="1084"/>
    </row>
    <row r="475" spans="2:26" s="1201" customFormat="1" ht="15.5" hidden="1" x14ac:dyDescent="0.35">
      <c r="B475" s="1371"/>
      <c r="C475" s="1371"/>
      <c r="D475" s="1371"/>
      <c r="E475" s="1371"/>
      <c r="F475" s="1371"/>
      <c r="G475" s="1371"/>
      <c r="H475" s="1371"/>
      <c r="I475" s="1371"/>
      <c r="J475" s="1371"/>
      <c r="K475" s="1371"/>
      <c r="L475" s="1371"/>
      <c r="M475" s="1038"/>
      <c r="N475" s="996"/>
      <c r="O475" s="996"/>
      <c r="P475" s="996"/>
      <c r="X475" s="1084"/>
    </row>
    <row r="476" spans="2:26" s="1201" customFormat="1" ht="15.5" hidden="1" x14ac:dyDescent="0.35">
      <c r="B476" s="1037" t="s">
        <v>401</v>
      </c>
      <c r="C476" s="1371"/>
      <c r="D476" s="1371"/>
      <c r="E476" s="1371"/>
      <c r="F476" s="1371"/>
      <c r="G476" s="1371"/>
      <c r="H476" s="1371"/>
      <c r="I476" s="1371"/>
      <c r="J476" s="1371"/>
      <c r="K476" s="1371"/>
      <c r="L476" s="1371"/>
      <c r="M476" s="1038"/>
      <c r="N476" s="996"/>
      <c r="O476" s="996"/>
      <c r="P476" s="996"/>
    </row>
    <row r="477" spans="2:26" s="1201" customFormat="1" ht="15.5" hidden="1" x14ac:dyDescent="0.35">
      <c r="B477" s="1037" t="s">
        <v>402</v>
      </c>
      <c r="C477" s="1037" t="s">
        <v>403</v>
      </c>
      <c r="D477" s="1371"/>
      <c r="E477" s="1371"/>
      <c r="F477" s="1371"/>
      <c r="G477" s="1371"/>
      <c r="H477" s="1371"/>
      <c r="I477" s="1371"/>
      <c r="J477" s="1371"/>
      <c r="K477" s="1371"/>
      <c r="L477" s="1371"/>
      <c r="M477" s="1038" t="s">
        <v>1314</v>
      </c>
      <c r="N477" s="996"/>
      <c r="O477" s="996"/>
      <c r="P477" s="996"/>
    </row>
    <row r="478" spans="2:26" s="1201" customFormat="1" ht="15.5" hidden="1" x14ac:dyDescent="0.35">
      <c r="B478" s="1371"/>
      <c r="C478" s="1371" t="s">
        <v>405</v>
      </c>
      <c r="D478" s="1371"/>
      <c r="E478" s="1371"/>
      <c r="F478" s="1371"/>
      <c r="G478" s="1371"/>
      <c r="H478" s="1371"/>
      <c r="I478" s="1371"/>
      <c r="J478" s="1371"/>
      <c r="K478" s="1371"/>
      <c r="L478" s="1371" t="s">
        <v>307</v>
      </c>
      <c r="M478" s="1038"/>
      <c r="N478" s="996"/>
      <c r="O478" s="996"/>
      <c r="P478" s="996"/>
    </row>
    <row r="479" spans="2:26" s="1201" customFormat="1" ht="15.5" hidden="1" x14ac:dyDescent="0.35">
      <c r="B479" s="1371"/>
      <c r="C479" s="1371" t="s">
        <v>406</v>
      </c>
      <c r="D479" s="1039">
        <v>1</v>
      </c>
      <c r="E479" s="1371"/>
      <c r="F479" s="1371"/>
      <c r="G479" s="1371"/>
      <c r="H479" s="1371"/>
      <c r="I479" s="1371"/>
      <c r="J479" s="1371"/>
      <c r="K479" s="1371"/>
      <c r="L479" s="1371"/>
      <c r="M479" s="1038" t="s">
        <v>1315</v>
      </c>
      <c r="N479" s="996"/>
      <c r="O479" s="996"/>
      <c r="P479" s="996"/>
    </row>
    <row r="480" spans="2:26" s="1201" customFormat="1" ht="15.5" hidden="1" x14ac:dyDescent="0.35">
      <c r="B480" s="1371"/>
      <c r="C480" s="1371" t="s">
        <v>408</v>
      </c>
      <c r="D480" s="1039">
        <v>0.24</v>
      </c>
      <c r="E480" s="1371"/>
      <c r="F480" s="1371"/>
      <c r="G480" s="1371"/>
      <c r="H480" s="1371"/>
      <c r="I480" s="1371"/>
      <c r="J480" s="1371"/>
      <c r="K480" s="1371"/>
      <c r="L480" s="1371" t="s">
        <v>384</v>
      </c>
      <c r="M480" s="1038"/>
      <c r="N480" s="1036"/>
      <c r="O480" s="996"/>
      <c r="P480" s="996"/>
    </row>
    <row r="481" spans="2:16" s="1201" customFormat="1" ht="15.5" hidden="1" x14ac:dyDescent="0.35">
      <c r="B481" s="1371"/>
      <c r="C481" s="1371"/>
      <c r="D481" s="1371"/>
      <c r="E481" s="1371"/>
      <c r="F481" s="1371"/>
      <c r="G481" s="1371"/>
      <c r="H481" s="1371"/>
      <c r="I481" s="1371"/>
      <c r="J481" s="1371"/>
      <c r="K481" s="1371"/>
      <c r="L481" s="1371"/>
      <c r="M481" s="1038"/>
      <c r="N481" s="996"/>
      <c r="O481" s="996"/>
      <c r="P481" s="996"/>
    </row>
    <row r="482" spans="2:16" s="1201" customFormat="1" ht="15.5" hidden="1" x14ac:dyDescent="0.35">
      <c r="B482" s="1371" t="s">
        <v>385</v>
      </c>
      <c r="C482" s="1043" t="s">
        <v>807</v>
      </c>
      <c r="D482" s="1373">
        <f>D345*$D$479*$D$480</f>
        <v>1.32E-2</v>
      </c>
      <c r="E482" s="1373"/>
      <c r="F482" s="1371"/>
      <c r="G482" s="1371"/>
      <c r="H482" s="1371"/>
      <c r="I482" s="1371"/>
      <c r="J482" s="1371"/>
      <c r="K482" s="1371"/>
      <c r="L482" s="1371" t="s">
        <v>438</v>
      </c>
      <c r="M482" s="1038"/>
      <c r="N482" s="996"/>
      <c r="O482" s="996"/>
      <c r="P482" s="996"/>
    </row>
    <row r="483" spans="2:16" s="1201" customFormat="1" ht="15.5" hidden="1" x14ac:dyDescent="0.35">
      <c r="B483" s="1371"/>
      <c r="C483" s="1043" t="s">
        <v>817</v>
      </c>
      <c r="D483" s="1373">
        <f>D346*$D$479*$D$480</f>
        <v>0</v>
      </c>
      <c r="E483" s="1373"/>
      <c r="F483" s="1371"/>
      <c r="G483" s="1371"/>
      <c r="H483" s="1371"/>
      <c r="I483" s="1371"/>
      <c r="J483" s="1371"/>
      <c r="K483" s="1371"/>
      <c r="L483" s="1371" t="s">
        <v>438</v>
      </c>
      <c r="M483" s="1038"/>
      <c r="N483" s="996"/>
      <c r="O483" s="996"/>
      <c r="P483" s="996"/>
    </row>
    <row r="484" spans="2:16" s="1201" customFormat="1" ht="15.5" hidden="1" x14ac:dyDescent="0.35">
      <c r="B484" s="1371"/>
      <c r="C484" s="1043"/>
      <c r="D484" s="1373"/>
      <c r="E484" s="1372"/>
      <c r="F484" s="1371"/>
      <c r="G484" s="1371"/>
      <c r="H484" s="1371"/>
      <c r="I484" s="1371"/>
      <c r="J484" s="1371"/>
      <c r="K484" s="1371"/>
      <c r="L484" s="1371"/>
      <c r="M484" s="1038"/>
      <c r="N484" s="996"/>
      <c r="O484" s="996"/>
      <c r="P484" s="996"/>
    </row>
    <row r="485" spans="2:16" s="1201" customFormat="1" ht="15.5" hidden="1" x14ac:dyDescent="0.35">
      <c r="B485" s="1371"/>
      <c r="C485" s="1043"/>
      <c r="D485" s="1373"/>
      <c r="E485" s="1372"/>
      <c r="F485" s="1371"/>
      <c r="G485" s="1371"/>
      <c r="H485" s="1371"/>
      <c r="I485" s="1371"/>
      <c r="J485" s="1371"/>
      <c r="K485" s="1371"/>
      <c r="L485" s="1371"/>
      <c r="M485" s="1038"/>
      <c r="N485" s="996"/>
      <c r="O485" s="996"/>
      <c r="P485" s="996"/>
    </row>
    <row r="486" spans="2:16" s="1201" customFormat="1" ht="15.5" hidden="1" x14ac:dyDescent="0.35">
      <c r="B486" s="1371"/>
      <c r="C486" s="1371"/>
      <c r="D486" s="1371"/>
      <c r="E486" s="1371"/>
      <c r="F486" s="1371"/>
      <c r="G486" s="1371"/>
      <c r="H486" s="1371"/>
      <c r="I486" s="1371"/>
      <c r="J486" s="1371"/>
      <c r="K486" s="1371"/>
      <c r="L486" s="1371"/>
      <c r="M486" s="1038"/>
      <c r="N486" s="996"/>
      <c r="O486" s="1062"/>
      <c r="P486" s="1062"/>
    </row>
    <row r="487" spans="2:16" s="1201" customFormat="1" ht="15.5" hidden="1" x14ac:dyDescent="0.35">
      <c r="B487" s="1037" t="s">
        <v>409</v>
      </c>
      <c r="C487" s="1037" t="s">
        <v>410</v>
      </c>
      <c r="D487" s="1371"/>
      <c r="E487" s="1371"/>
      <c r="F487" s="1371"/>
      <c r="G487" s="1371"/>
      <c r="H487" s="1371"/>
      <c r="I487" s="1371"/>
      <c r="J487" s="1371"/>
      <c r="K487" s="1371"/>
      <c r="L487" s="1371" t="s">
        <v>288</v>
      </c>
      <c r="M487" s="1038" t="s">
        <v>1317</v>
      </c>
      <c r="N487" s="996"/>
      <c r="O487" s="1062"/>
      <c r="P487" s="1062"/>
    </row>
    <row r="488" spans="2:16" s="1201" customFormat="1" ht="15.5" hidden="1" x14ac:dyDescent="0.35">
      <c r="B488" s="1371"/>
      <c r="C488" s="1371" t="s">
        <v>412</v>
      </c>
      <c r="D488" s="1371"/>
      <c r="E488" s="1371"/>
      <c r="F488" s="1371"/>
      <c r="G488" s="1371"/>
      <c r="H488" s="1371"/>
      <c r="I488" s="1371"/>
      <c r="J488" s="1371"/>
      <c r="K488" s="1371"/>
      <c r="L488" s="1371" t="s">
        <v>288</v>
      </c>
      <c r="M488" s="1038"/>
      <c r="N488" s="996"/>
      <c r="O488" s="996"/>
      <c r="P488" s="996"/>
    </row>
    <row r="489" spans="2:16" s="1201" customFormat="1" ht="15.5" hidden="1" x14ac:dyDescent="0.35">
      <c r="B489" s="1371"/>
      <c r="C489" s="1371" t="s">
        <v>413</v>
      </c>
      <c r="D489" s="1371"/>
      <c r="E489" s="1371"/>
      <c r="F489" s="1371"/>
      <c r="G489" s="1371"/>
      <c r="H489" s="1371"/>
      <c r="I489" s="1371"/>
      <c r="J489" s="1371"/>
      <c r="K489" s="1371"/>
      <c r="L489" s="1371" t="s">
        <v>288</v>
      </c>
      <c r="M489" s="1038"/>
      <c r="N489" s="996"/>
      <c r="O489" s="996"/>
      <c r="P489" s="996"/>
    </row>
    <row r="490" spans="2:16" s="1201" customFormat="1" ht="15.5" hidden="1" x14ac:dyDescent="0.35">
      <c r="B490" s="1371"/>
      <c r="C490" s="1371" t="s">
        <v>414</v>
      </c>
      <c r="D490" s="1371"/>
      <c r="E490" s="1371"/>
      <c r="F490" s="1371"/>
      <c r="G490" s="1371"/>
      <c r="H490" s="1371"/>
      <c r="I490" s="1371"/>
      <c r="J490" s="1371"/>
      <c r="K490" s="1371"/>
      <c r="L490" s="1371" t="s">
        <v>288</v>
      </c>
      <c r="M490" s="1038"/>
      <c r="N490" s="996"/>
      <c r="O490" s="996"/>
      <c r="P490" s="996"/>
    </row>
    <row r="491" spans="2:16" s="1201" customFormat="1" ht="15.5" hidden="1" x14ac:dyDescent="0.35">
      <c r="B491" s="1371"/>
      <c r="C491" s="1371"/>
      <c r="D491" s="1371"/>
      <c r="E491" s="1371"/>
      <c r="F491" s="1371"/>
      <c r="G491" s="1371"/>
      <c r="H491" s="1371"/>
      <c r="I491" s="1371"/>
      <c r="J491" s="1371"/>
      <c r="K491" s="1371"/>
      <c r="L491" s="1371"/>
      <c r="M491" s="1038"/>
      <c r="N491" s="996"/>
      <c r="O491" s="996"/>
      <c r="P491" s="996"/>
    </row>
    <row r="492" spans="2:16" s="1201" customFormat="1" ht="15.5" hidden="1" x14ac:dyDescent="0.35">
      <c r="B492" s="1371"/>
      <c r="C492" s="1039" t="s">
        <v>440</v>
      </c>
      <c r="D492" s="1085">
        <f t="shared" ref="D492:J492" si="44">SUM(D383,D426,D422)*$D$479*$D$480</f>
        <v>1.5660555610238578E-2</v>
      </c>
      <c r="E492" s="1085">
        <f t="shared" si="44"/>
        <v>2.277988022097071E-3</v>
      </c>
      <c r="F492" s="1085">
        <f t="shared" si="44"/>
        <v>9.5111144257905927E-4</v>
      </c>
      <c r="G492" s="1085">
        <f t="shared" si="44"/>
        <v>1.9671852906984465E-4</v>
      </c>
      <c r="H492" s="1085">
        <f t="shared" si="44"/>
        <v>9.6703932976212814E-4</v>
      </c>
      <c r="I492" s="1085">
        <f t="shared" si="44"/>
        <v>3.4523999999999997E-5</v>
      </c>
      <c r="J492" s="1085">
        <f t="shared" si="44"/>
        <v>1.8547199999999998E-5</v>
      </c>
      <c r="K492" s="1085">
        <f>SUM(K383,K426,K422)*$D$479*$D$480</f>
        <v>0</v>
      </c>
      <c r="L492" s="1371" t="s">
        <v>288</v>
      </c>
      <c r="M492" s="1038"/>
      <c r="N492" s="996"/>
      <c r="O492" s="996"/>
      <c r="P492" s="996"/>
    </row>
    <row r="493" spans="2:16" s="1201" customFormat="1" ht="15.5" hidden="1" x14ac:dyDescent="0.35">
      <c r="B493" s="1371"/>
      <c r="C493" s="1371"/>
      <c r="D493" s="1371"/>
      <c r="E493" s="1371"/>
      <c r="F493" s="1371"/>
      <c r="G493" s="1371"/>
      <c r="H493" s="1371"/>
      <c r="I493" s="1371"/>
      <c r="J493" s="1371"/>
      <c r="K493" s="1371"/>
      <c r="L493" s="1371"/>
      <c r="M493" s="1038"/>
      <c r="N493" s="996"/>
    </row>
    <row r="494" spans="2:16" s="1201" customFormat="1" ht="15.5" hidden="1" x14ac:dyDescent="0.35">
      <c r="B494" s="1037" t="s">
        <v>415</v>
      </c>
      <c r="C494" s="1037" t="s">
        <v>349</v>
      </c>
      <c r="D494" s="1371"/>
      <c r="E494" s="1371"/>
      <c r="F494" s="1371"/>
      <c r="G494" s="1371"/>
      <c r="H494" s="1371"/>
      <c r="I494" s="1371"/>
      <c r="J494" s="1371"/>
      <c r="K494" s="1371"/>
      <c r="L494" s="1371"/>
      <c r="M494" s="1038" t="s">
        <v>1318</v>
      </c>
      <c r="N494" s="996"/>
    </row>
    <row r="495" spans="2:16" s="1201" customFormat="1" ht="15.5" hidden="1" x14ac:dyDescent="0.35">
      <c r="B495" s="1371"/>
      <c r="C495" s="1371" t="s">
        <v>417</v>
      </c>
      <c r="D495" s="1371"/>
      <c r="E495" s="1371"/>
      <c r="F495" s="1371"/>
      <c r="G495" s="1371"/>
      <c r="H495" s="1371"/>
      <c r="I495" s="1371"/>
      <c r="J495" s="1371"/>
      <c r="K495" s="1371"/>
      <c r="L495" s="1371" t="s">
        <v>307</v>
      </c>
      <c r="M495" s="1038"/>
      <c r="N495" s="996"/>
    </row>
    <row r="496" spans="2:16" s="1201" customFormat="1" ht="15.5" hidden="1" x14ac:dyDescent="0.35">
      <c r="B496" s="1371"/>
      <c r="C496" s="1371" t="s">
        <v>1300</v>
      </c>
      <c r="D496" s="1371">
        <v>1.0999999999999999E-2</v>
      </c>
      <c r="E496" s="1371"/>
      <c r="F496" s="1371"/>
      <c r="G496" s="1371"/>
      <c r="H496" s="1371"/>
      <c r="I496" s="1371"/>
      <c r="J496" s="1371"/>
      <c r="K496" s="1371"/>
      <c r="L496" s="1371" t="s">
        <v>315</v>
      </c>
      <c r="M496" s="1038"/>
      <c r="N496" s="996"/>
    </row>
    <row r="497" spans="1:50" s="1201" customFormat="1" ht="15.5" hidden="1" x14ac:dyDescent="0.35">
      <c r="B497" s="1371"/>
      <c r="C497" s="1371"/>
      <c r="D497" s="1371"/>
      <c r="E497" s="1371"/>
      <c r="F497" s="1371"/>
      <c r="G497" s="1371"/>
      <c r="H497" s="1371"/>
      <c r="I497" s="1371"/>
      <c r="J497" s="1371"/>
      <c r="K497" s="1371"/>
      <c r="L497" s="1371"/>
      <c r="M497" s="1038"/>
      <c r="N497" s="996"/>
    </row>
    <row r="498" spans="1:50" s="1201" customFormat="1" ht="15.5" hidden="1" x14ac:dyDescent="0.35">
      <c r="B498" s="1371" t="s">
        <v>385</v>
      </c>
      <c r="C498" s="1043" t="s">
        <v>807</v>
      </c>
      <c r="D498" s="1373">
        <f>D482*$D$496*44/28</f>
        <v>2.2817142857142853E-4</v>
      </c>
      <c r="E498" s="1200"/>
      <c r="F498" s="1371"/>
      <c r="G498" s="1369"/>
      <c r="H498" s="1371"/>
      <c r="I498" s="1371"/>
      <c r="J498" s="1371"/>
      <c r="K498" s="1371"/>
      <c r="L498" s="1371" t="s">
        <v>439</v>
      </c>
      <c r="M498" s="1038"/>
      <c r="N498" s="996"/>
    </row>
    <row r="499" spans="1:50" s="1201" customFormat="1" ht="15.5" hidden="1" x14ac:dyDescent="0.35">
      <c r="B499" s="1371"/>
      <c r="C499" s="1043" t="s">
        <v>817</v>
      </c>
      <c r="D499" s="1373">
        <f>D483*$D$496*44/28</f>
        <v>0</v>
      </c>
      <c r="E499" s="1373"/>
      <c r="F499" s="1371"/>
      <c r="G499" s="1369"/>
      <c r="H499" s="1371"/>
      <c r="I499" s="1371"/>
      <c r="J499" s="1371"/>
      <c r="K499" s="1371"/>
      <c r="L499" s="1371" t="s">
        <v>439</v>
      </c>
      <c r="M499" s="1038"/>
      <c r="N499" s="996"/>
    </row>
    <row r="500" spans="1:50" s="1201" customFormat="1" ht="15.5" hidden="1" x14ac:dyDescent="0.35">
      <c r="B500" s="1371"/>
      <c r="C500" s="1043"/>
      <c r="D500" s="1373"/>
      <c r="E500" s="1372"/>
      <c r="F500" s="1371"/>
      <c r="G500" s="1369"/>
      <c r="H500" s="1371"/>
      <c r="I500" s="1371"/>
      <c r="J500" s="1371"/>
      <c r="K500" s="1371"/>
      <c r="L500" s="1371"/>
      <c r="M500" s="1038"/>
      <c r="N500" s="996"/>
    </row>
    <row r="501" spans="1:50" s="1201" customFormat="1" ht="15.5" hidden="1" x14ac:dyDescent="0.35">
      <c r="B501" s="1371"/>
      <c r="C501" s="1043"/>
      <c r="D501" s="1373"/>
      <c r="E501" s="1372"/>
      <c r="F501" s="1371"/>
      <c r="G501" s="1369"/>
      <c r="H501" s="1371"/>
      <c r="I501" s="1371"/>
      <c r="J501" s="1371"/>
      <c r="K501" s="1371"/>
      <c r="L501" s="1371"/>
      <c r="M501" s="1038"/>
      <c r="N501" s="996"/>
    </row>
    <row r="502" spans="1:50" s="1201" customFormat="1" ht="15.5" hidden="1" x14ac:dyDescent="0.35">
      <c r="B502" s="1371"/>
      <c r="C502" s="1371"/>
      <c r="D502" s="1371"/>
      <c r="E502" s="1372"/>
      <c r="F502" s="1371"/>
      <c r="G502" s="1371"/>
      <c r="H502" s="1371"/>
      <c r="I502" s="1371"/>
      <c r="J502" s="1371"/>
      <c r="K502" s="1371"/>
      <c r="L502" s="1371"/>
      <c r="M502" s="1038"/>
      <c r="N502" s="996"/>
    </row>
    <row r="503" spans="1:50" s="1201" customFormat="1" ht="15.5" hidden="1" x14ac:dyDescent="0.35">
      <c r="B503" s="1371" t="s">
        <v>390</v>
      </c>
      <c r="C503" s="1039" t="s">
        <v>440</v>
      </c>
      <c r="D503" s="1471">
        <f>D492*$D$496*44/28</f>
        <v>2.7070388983412399E-4</v>
      </c>
      <c r="E503" s="1040">
        <f t="shared" ref="E503:K503" si="45">E492*$D$496*44/28</f>
        <v>3.9376650096249365E-5</v>
      </c>
      <c r="F503" s="1040">
        <f t="shared" si="45"/>
        <v>1.6440640650295165E-5</v>
      </c>
      <c r="G503" s="1040">
        <f t="shared" si="45"/>
        <v>3.4004202882073147E-6</v>
      </c>
      <c r="H503" s="1040">
        <f t="shared" si="45"/>
        <v>1.6715965557316784E-5</v>
      </c>
      <c r="I503" s="1040">
        <f t="shared" si="45"/>
        <v>5.9677199999999991E-7</v>
      </c>
      <c r="J503" s="1040">
        <f t="shared" si="45"/>
        <v>3.2060159999999993E-7</v>
      </c>
      <c r="K503" s="1040">
        <f t="shared" si="45"/>
        <v>0</v>
      </c>
      <c r="L503" s="1371" t="s">
        <v>298</v>
      </c>
      <c r="M503" s="1038"/>
      <c r="N503" s="996"/>
    </row>
    <row r="504" spans="1:50" s="1201" customFormat="1" ht="15.5" hidden="1" x14ac:dyDescent="0.35">
      <c r="B504" s="1371"/>
      <c r="C504" s="1039"/>
      <c r="D504" s="1040"/>
      <c r="E504" s="1040"/>
      <c r="F504" s="1040"/>
      <c r="G504" s="1040"/>
      <c r="H504" s="1040"/>
      <c r="I504" s="1040"/>
      <c r="J504" s="1040"/>
      <c r="K504" s="1040"/>
      <c r="L504" s="1371"/>
      <c r="M504" s="1038"/>
      <c r="N504" s="996"/>
    </row>
    <row r="505" spans="1:50" s="1201" customFormat="1" ht="15.5" hidden="1" x14ac:dyDescent="0.35">
      <c r="B505" s="1037" t="s">
        <v>223</v>
      </c>
      <c r="C505" s="1039" t="s">
        <v>440</v>
      </c>
      <c r="D505" s="1373">
        <f>SUM(D498:D499)+SUM(D503:K503)</f>
        <v>5.7572636859762121E-4</v>
      </c>
      <c r="E505" s="1427"/>
      <c r="F505" s="1040"/>
      <c r="G505" s="1040"/>
      <c r="H505" s="1040"/>
      <c r="I505" s="1040"/>
      <c r="J505" s="1040"/>
      <c r="K505" s="1040"/>
      <c r="L505" s="1371" t="s">
        <v>439</v>
      </c>
      <c r="M505" s="1038"/>
      <c r="N505" s="996"/>
    </row>
    <row r="506" spans="1:50" s="1201" customFormat="1" ht="15.5" hidden="1" x14ac:dyDescent="0.35">
      <c r="B506" s="1037" t="s">
        <v>263</v>
      </c>
      <c r="C506" s="1086">
        <f>D505</f>
        <v>5.7572636859762121E-4</v>
      </c>
      <c r="D506" s="1040"/>
      <c r="E506" s="1040"/>
      <c r="F506" s="1040"/>
      <c r="G506" s="1040"/>
      <c r="H506" s="1040"/>
      <c r="I506" s="1040"/>
      <c r="J506" s="1040"/>
      <c r="K506" s="1040"/>
      <c r="L506" s="1371" t="s">
        <v>299</v>
      </c>
      <c r="M506" s="1038"/>
      <c r="N506" s="996"/>
    </row>
    <row r="507" spans="1:50" s="1201" customFormat="1" ht="15.5" hidden="1" x14ac:dyDescent="0.35">
      <c r="B507" s="1037" t="s">
        <v>418</v>
      </c>
      <c r="C507" s="1046">
        <f>C506*'Emission factors'!$C$5</f>
        <v>0.15256748767836961</v>
      </c>
      <c r="D507" s="1050"/>
      <c r="E507" s="1371"/>
      <c r="F507" s="1371"/>
      <c r="G507" s="1371"/>
      <c r="H507" s="1371"/>
      <c r="I507" s="1371"/>
      <c r="J507" s="1371"/>
      <c r="K507" s="1371"/>
      <c r="L507" s="1371" t="s">
        <v>265</v>
      </c>
      <c r="M507" s="1038"/>
      <c r="N507" s="996"/>
    </row>
    <row r="508" spans="1:50" s="1201" customFormat="1" ht="15.5" hidden="1" x14ac:dyDescent="0.35">
      <c r="B508" s="1037"/>
      <c r="C508" s="1046"/>
      <c r="D508" s="1050"/>
      <c r="E508" s="1371"/>
      <c r="F508" s="1371"/>
      <c r="G508" s="1371"/>
      <c r="H508" s="1371"/>
      <c r="I508" s="1371"/>
      <c r="J508" s="1371"/>
      <c r="K508" s="1371"/>
      <c r="L508" s="1371"/>
      <c r="M508" s="1038"/>
      <c r="N508" s="996"/>
    </row>
    <row r="509" spans="1:50" s="1201" customFormat="1" ht="15.5" hidden="1" x14ac:dyDescent="0.35">
      <c r="B509" s="925"/>
      <c r="C509" s="925"/>
      <c r="D509" s="925"/>
      <c r="E509" s="925"/>
      <c r="F509" s="925"/>
      <c r="G509" s="925"/>
      <c r="H509" s="925"/>
      <c r="I509" s="925"/>
      <c r="J509" s="925"/>
      <c r="K509" s="925"/>
      <c r="L509" s="925"/>
      <c r="M509" s="926"/>
      <c r="N509" s="996"/>
    </row>
    <row r="510" spans="1:50" s="1201" customFormat="1" ht="15.5" hidden="1" x14ac:dyDescent="0.35">
      <c r="K510" s="996"/>
    </row>
    <row r="511" spans="1:50" s="1201" customFormat="1" ht="18" hidden="1" x14ac:dyDescent="0.4">
      <c r="B511" s="1145"/>
      <c r="C511" s="995"/>
      <c r="D511" s="995"/>
      <c r="E511" s="995"/>
      <c r="F511" s="995"/>
      <c r="G511" s="995"/>
      <c r="H511" s="995"/>
      <c r="I511" s="995"/>
      <c r="J511" s="995"/>
      <c r="K511" s="995"/>
    </row>
    <row r="512" spans="1:50" s="1201" customFormat="1" ht="15.5" hidden="1" x14ac:dyDescent="0.35">
      <c r="A512" s="996"/>
      <c r="B512" s="995"/>
      <c r="C512" s="995"/>
      <c r="D512" s="995"/>
      <c r="E512" s="995"/>
      <c r="F512" s="995"/>
      <c r="G512" s="995"/>
      <c r="H512" s="995"/>
      <c r="I512" s="995"/>
      <c r="J512" s="995"/>
      <c r="K512" s="995"/>
      <c r="L512" s="995"/>
      <c r="M512" s="995"/>
      <c r="N512" s="995"/>
      <c r="V512" s="995"/>
      <c r="W512" s="995"/>
      <c r="X512" s="995"/>
      <c r="Y512" s="995"/>
      <c r="Z512" s="995"/>
      <c r="AA512" s="995"/>
      <c r="AB512" s="995"/>
      <c r="AC512" s="995"/>
      <c r="AD512" s="995"/>
      <c r="AE512" s="995"/>
      <c r="AF512" s="995"/>
      <c r="AG512" s="995"/>
      <c r="AH512" s="995"/>
      <c r="AI512" s="995"/>
      <c r="AJ512" s="995"/>
      <c r="AK512" s="995"/>
      <c r="AL512" s="995"/>
      <c r="AM512" s="995"/>
      <c r="AN512" s="995"/>
      <c r="AO512" s="995"/>
      <c r="AP512" s="995"/>
      <c r="AQ512" s="995"/>
      <c r="AR512" s="995"/>
      <c r="AS512" s="995"/>
      <c r="AT512" s="995"/>
      <c r="AU512" s="995"/>
      <c r="AV512" s="995"/>
      <c r="AW512" s="995"/>
      <c r="AX512" s="995"/>
    </row>
    <row r="513" spans="1:50" s="1201" customFormat="1" ht="17.5" hidden="1" x14ac:dyDescent="0.35">
      <c r="A513" s="1052"/>
      <c r="B513" s="1155" t="s">
        <v>590</v>
      </c>
      <c r="C513" s="996"/>
      <c r="D513" s="996"/>
      <c r="E513" s="996"/>
      <c r="F513" s="996"/>
      <c r="G513" s="996"/>
      <c r="H513" s="996"/>
      <c r="I513" s="995"/>
      <c r="J513" s="995"/>
      <c r="K513" s="995"/>
      <c r="L513" s="995"/>
      <c r="M513" s="995"/>
      <c r="N513" s="995"/>
      <c r="O513" s="995"/>
      <c r="P513" s="995"/>
      <c r="Q513" s="995"/>
      <c r="R513" s="995"/>
      <c r="S513" s="995"/>
      <c r="T513" s="995"/>
      <c r="U513" s="995"/>
      <c r="V513" s="995"/>
      <c r="W513" s="995"/>
      <c r="X513" s="995"/>
      <c r="Y513" s="995"/>
      <c r="Z513" s="995"/>
      <c r="AA513" s="995"/>
      <c r="AB513" s="995"/>
      <c r="AC513" s="995"/>
      <c r="AD513" s="995"/>
      <c r="AE513" s="995"/>
      <c r="AF513" s="995"/>
      <c r="AG513" s="995"/>
      <c r="AH513" s="995"/>
      <c r="AI513" s="995"/>
      <c r="AJ513" s="995"/>
      <c r="AK513" s="995"/>
      <c r="AL513" s="995"/>
      <c r="AM513" s="995"/>
      <c r="AN513" s="995"/>
      <c r="AO513" s="995"/>
      <c r="AP513" s="995"/>
      <c r="AQ513" s="995"/>
      <c r="AR513" s="995"/>
      <c r="AS513" s="995"/>
      <c r="AT513" s="995"/>
      <c r="AU513" s="995"/>
      <c r="AV513" s="995"/>
      <c r="AW513" s="995"/>
      <c r="AX513" s="995"/>
    </row>
    <row r="514" spans="1:50" s="1201" customFormat="1" ht="15.5" hidden="1" x14ac:dyDescent="0.35">
      <c r="A514" s="1052"/>
      <c r="B514" s="996"/>
      <c r="C514" s="996"/>
      <c r="D514" s="996"/>
      <c r="E514" s="996"/>
      <c r="F514" s="996"/>
      <c r="G514" s="996"/>
      <c r="H514" s="996"/>
      <c r="I514" s="995"/>
      <c r="J514" s="995"/>
      <c r="K514" s="995"/>
      <c r="L514" s="995"/>
      <c r="M514" s="995"/>
      <c r="N514" s="995"/>
      <c r="O514" s="995"/>
      <c r="P514" s="995"/>
      <c r="Q514" s="995"/>
      <c r="R514" s="995"/>
      <c r="S514" s="995"/>
      <c r="T514" s="995"/>
      <c r="U514" s="995"/>
      <c r="V514" s="995"/>
      <c r="W514" s="995"/>
      <c r="X514" s="995"/>
      <c r="Y514" s="995"/>
      <c r="Z514" s="995"/>
      <c r="AA514" s="995"/>
      <c r="AB514" s="995"/>
      <c r="AC514" s="995"/>
      <c r="AD514" s="995"/>
      <c r="AE514" s="995"/>
      <c r="AF514" s="995"/>
      <c r="AG514" s="995"/>
      <c r="AH514" s="995"/>
      <c r="AI514" s="995"/>
      <c r="AJ514" s="995"/>
      <c r="AK514" s="995"/>
      <c r="AL514" s="995"/>
      <c r="AM514" s="995"/>
      <c r="AN514" s="995"/>
      <c r="AO514" s="995"/>
      <c r="AP514" s="995"/>
      <c r="AQ514" s="995"/>
      <c r="AR514" s="995"/>
      <c r="AS514" s="995"/>
      <c r="AT514" s="995"/>
      <c r="AU514" s="995"/>
      <c r="AV514" s="995"/>
      <c r="AW514" s="995"/>
      <c r="AX514" s="995"/>
    </row>
    <row r="515" spans="1:50" s="1257" customFormat="1" ht="15.5" hidden="1" x14ac:dyDescent="0.35">
      <c r="A515" s="1052"/>
      <c r="B515" s="1428"/>
      <c r="C515" s="1428"/>
      <c r="D515" s="2596" t="s">
        <v>1481</v>
      </c>
      <c r="E515" s="2596"/>
      <c r="F515" s="2596"/>
      <c r="G515" s="2596"/>
      <c r="H515" s="1432" t="s">
        <v>1482</v>
      </c>
      <c r="I515" s="1440"/>
      <c r="J515" s="2596" t="s">
        <v>1483</v>
      </c>
      <c r="K515" s="2596"/>
      <c r="L515" s="2596"/>
      <c r="M515" s="2596"/>
      <c r="N515" s="1440"/>
      <c r="O515" s="1742" t="s">
        <v>1484</v>
      </c>
      <c r="P515" s="995"/>
      <c r="Q515" s="995"/>
      <c r="R515" s="995"/>
      <c r="S515" s="995"/>
      <c r="T515" s="995"/>
      <c r="U515" s="995"/>
    </row>
    <row r="516" spans="1:50" s="1257" customFormat="1" ht="15.5" hidden="1" x14ac:dyDescent="0.35">
      <c r="A516" s="996"/>
      <c r="B516" s="1434" t="s">
        <v>1480</v>
      </c>
      <c r="C516" s="1434" t="s">
        <v>1485</v>
      </c>
      <c r="D516" s="1435" t="s">
        <v>223</v>
      </c>
      <c r="E516" s="1435" t="s">
        <v>1475</v>
      </c>
      <c r="F516" s="1435" t="s">
        <v>610</v>
      </c>
      <c r="G516" s="1742" t="s">
        <v>611</v>
      </c>
      <c r="H516" s="1428"/>
      <c r="I516" s="1440"/>
      <c r="J516" s="1743" t="s">
        <v>223</v>
      </c>
      <c r="K516" s="1742" t="s">
        <v>1475</v>
      </c>
      <c r="L516" s="1436" t="s">
        <v>610</v>
      </c>
      <c r="M516" s="1436" t="s">
        <v>611</v>
      </c>
      <c r="N516" s="1440"/>
      <c r="O516" s="1441" t="s">
        <v>223</v>
      </c>
      <c r="P516" s="525"/>
      <c r="Q516" s="525"/>
      <c r="R516" s="525"/>
      <c r="S516" s="525"/>
      <c r="T516" s="1429"/>
      <c r="U516" s="1429"/>
    </row>
    <row r="517" spans="1:50" s="1257" customFormat="1" ht="15.5" hidden="1" x14ac:dyDescent="0.35">
      <c r="A517" s="996"/>
      <c r="B517" s="1437" t="s">
        <v>633</v>
      </c>
      <c r="C517" s="1438">
        <v>38.6</v>
      </c>
      <c r="D517" s="1438">
        <f>SUM(E517:G517)</f>
        <v>70.5</v>
      </c>
      <c r="E517" s="1431">
        <v>69.900000000000006</v>
      </c>
      <c r="F517" s="1431">
        <v>0.1</v>
      </c>
      <c r="G517" s="1431">
        <v>0.5</v>
      </c>
      <c r="H517" s="1438">
        <v>3.6</v>
      </c>
      <c r="I517" s="1440"/>
      <c r="J517" s="1741">
        <f>D517*$C517/1000</f>
        <v>2.7213000000000003</v>
      </c>
      <c r="K517" s="1741">
        <f>C517*E517/1000</f>
        <v>2.6981400000000004</v>
      </c>
      <c r="L517" s="1439">
        <f>F517*C517/1000</f>
        <v>3.8600000000000001E-3</v>
      </c>
      <c r="M517" s="1439">
        <f>G517*C517/1000</f>
        <v>1.9300000000000001E-2</v>
      </c>
      <c r="N517" s="1440"/>
      <c r="O517" s="1741">
        <f>C517*H517/1000</f>
        <v>0.13896</v>
      </c>
      <c r="P517" s="1442"/>
      <c r="Q517" s="525"/>
      <c r="R517" s="525"/>
      <c r="S517" s="525"/>
      <c r="T517" s="1429"/>
      <c r="U517" s="1429"/>
    </row>
    <row r="518" spans="1:50" s="1257" customFormat="1" ht="15.5" hidden="1" x14ac:dyDescent="0.35">
      <c r="A518" s="996"/>
      <c r="B518" s="1428"/>
      <c r="C518" s="1428"/>
      <c r="D518" s="1428"/>
      <c r="E518" s="1428"/>
      <c r="F518" s="1428"/>
      <c r="G518" s="1428"/>
      <c r="H518" s="1428"/>
      <c r="I518" s="1428"/>
      <c r="J518" s="1428"/>
      <c r="K518" s="1428"/>
      <c r="L518" s="1428"/>
      <c r="M518" s="1428"/>
      <c r="N518" s="1440"/>
      <c r="O518" s="1428"/>
      <c r="P518" s="525"/>
      <c r="Q518" s="525"/>
      <c r="R518" s="525"/>
      <c r="S518" s="525"/>
      <c r="T518" s="1429"/>
      <c r="U518" s="1429"/>
    </row>
    <row r="519" spans="1:50" s="1469" customFormat="1" ht="15.75" hidden="1" customHeight="1" x14ac:dyDescent="0.35">
      <c r="A519" s="960"/>
      <c r="B519" s="2599" t="s">
        <v>1476</v>
      </c>
      <c r="C519" s="2600" t="s">
        <v>1501</v>
      </c>
      <c r="D519" s="2600" t="s">
        <v>1477</v>
      </c>
      <c r="E519" s="2600" t="s">
        <v>1492</v>
      </c>
      <c r="F519" s="2600"/>
      <c r="G519" s="2600"/>
      <c r="H519" s="2600"/>
      <c r="I519" s="2600" t="s">
        <v>1493</v>
      </c>
      <c r="J519" s="2600"/>
      <c r="K519" s="2600"/>
      <c r="L519" s="2597" t="s">
        <v>2059</v>
      </c>
      <c r="M519" s="2597"/>
      <c r="N519" s="2597"/>
      <c r="O519" s="1428"/>
      <c r="P519" s="525"/>
      <c r="Q519" s="525"/>
      <c r="R519" s="525"/>
      <c r="S519" s="525"/>
      <c r="T519" s="1443"/>
      <c r="U519" s="1443"/>
      <c r="AH519" s="995"/>
      <c r="AI519" s="995"/>
      <c r="AJ519" s="995"/>
      <c r="AK519" s="995"/>
      <c r="AL519" s="995"/>
      <c r="AM519" s="995"/>
      <c r="AN519" s="995"/>
      <c r="AO519" s="995"/>
      <c r="AP519" s="995"/>
      <c r="AQ519" s="995"/>
      <c r="AR519" s="995"/>
      <c r="AS519" s="995"/>
      <c r="AT519" s="995"/>
      <c r="AU519" s="995"/>
      <c r="AV519" s="995"/>
      <c r="AW519" s="995"/>
      <c r="AX519" s="995"/>
    </row>
    <row r="520" spans="1:50" s="1257" customFormat="1" ht="15.75" hidden="1" customHeight="1" x14ac:dyDescent="0.35">
      <c r="A520" s="1052"/>
      <c r="B520" s="2599"/>
      <c r="C520" s="2600"/>
      <c r="D520" s="2600"/>
      <c r="E520" s="1742" t="s">
        <v>1475</v>
      </c>
      <c r="F520" s="1742" t="s">
        <v>610</v>
      </c>
      <c r="G520" s="1742" t="s">
        <v>611</v>
      </c>
      <c r="H520" s="1742" t="s">
        <v>1478</v>
      </c>
      <c r="I520" s="1742"/>
      <c r="J520" s="1742" t="s">
        <v>1478</v>
      </c>
      <c r="K520" s="1428"/>
      <c r="L520" s="1742"/>
      <c r="M520" s="1428"/>
      <c r="N520" s="1428"/>
      <c r="O520" s="1428"/>
      <c r="P520" s="1468"/>
      <c r="Q520" s="1468"/>
      <c r="R520" s="1468"/>
      <c r="S520" s="1468"/>
      <c r="T520" s="1468"/>
      <c r="U520" s="1468"/>
    </row>
    <row r="521" spans="1:50" s="1257" customFormat="1" ht="15.5" hidden="1" x14ac:dyDescent="0.35">
      <c r="A521" s="1052"/>
      <c r="B521" s="1428" t="s">
        <v>1479</v>
      </c>
      <c r="C521" s="1430">
        <f>C61</f>
        <v>15000</v>
      </c>
      <c r="D521" s="1431">
        <f>C521/1000</f>
        <v>15</v>
      </c>
      <c r="E521" s="1741">
        <f>$D$521*K517</f>
        <v>40.472100000000005</v>
      </c>
      <c r="F521" s="1741">
        <f>$D$521*L517</f>
        <v>5.79E-2</v>
      </c>
      <c r="G521" s="1741">
        <f>$D$521*M517</f>
        <v>0.28950000000000004</v>
      </c>
      <c r="H521" s="1741">
        <f>SUM(E521:G521)</f>
        <v>40.819499999999998</v>
      </c>
      <c r="I521" s="1741"/>
      <c r="J521" s="1741">
        <f>$D$521*O517</f>
        <v>2.0844</v>
      </c>
      <c r="K521" s="1428"/>
      <c r="L521" s="2595">
        <f>H521+J521</f>
        <v>42.9039</v>
      </c>
      <c r="M521" s="2595"/>
      <c r="N521" s="1428"/>
      <c r="O521" s="1428"/>
      <c r="P521" s="1429"/>
      <c r="Q521" s="1429"/>
      <c r="R521" s="1429"/>
      <c r="S521" s="1429"/>
      <c r="T521" s="1429"/>
      <c r="U521" s="1429"/>
    </row>
    <row r="522" spans="1:50" s="1257" customFormat="1" ht="15.5" hidden="1" x14ac:dyDescent="0.35">
      <c r="A522" s="1052"/>
      <c r="B522" s="1432" t="s">
        <v>223</v>
      </c>
      <c r="C522" s="1428"/>
      <c r="D522" s="1428"/>
      <c r="E522" s="1743">
        <f>SUM(E521:E521)</f>
        <v>40.472100000000005</v>
      </c>
      <c r="F522" s="1743">
        <f>SUM(F521:F521)</f>
        <v>5.79E-2</v>
      </c>
      <c r="G522" s="1743">
        <f>SUM(G521:G521)</f>
        <v>0.28950000000000004</v>
      </c>
      <c r="H522" s="1743">
        <f>SUM(H521:H521)</f>
        <v>40.819499999999998</v>
      </c>
      <c r="I522" s="1743"/>
      <c r="J522" s="1743">
        <f>SUM(J521:J521)</f>
        <v>2.0844</v>
      </c>
      <c r="K522" s="1428"/>
      <c r="L522" s="2598">
        <f>SUM(L521:L521)</f>
        <v>42.9039</v>
      </c>
      <c r="M522" s="2598"/>
      <c r="N522" s="1428"/>
      <c r="O522" s="1428"/>
      <c r="P522" s="1429"/>
      <c r="Q522" s="1429"/>
      <c r="R522" s="1429"/>
      <c r="S522" s="1429"/>
      <c r="T522" s="1429"/>
      <c r="U522" s="1429"/>
    </row>
    <row r="523" spans="1:50" s="1257" customFormat="1" ht="15.5" hidden="1" x14ac:dyDescent="0.35">
      <c r="A523" s="1052"/>
      <c r="B523" s="1432"/>
      <c r="C523" s="1428"/>
      <c r="D523" s="1428"/>
      <c r="E523" s="1433"/>
      <c r="F523" s="1433"/>
      <c r="G523" s="1433"/>
      <c r="H523" s="1433"/>
      <c r="I523" s="1433"/>
      <c r="J523" s="1433"/>
      <c r="K523" s="1428"/>
      <c r="L523" s="1428"/>
      <c r="M523" s="1428"/>
      <c r="N523" s="1428"/>
      <c r="O523" s="1428"/>
      <c r="P523" s="1429"/>
      <c r="Q523" s="1429"/>
      <c r="R523" s="1429"/>
      <c r="S523" s="1429"/>
      <c r="T523" s="1429"/>
      <c r="U523" s="1429"/>
    </row>
    <row r="524" spans="1:50" s="1201" customFormat="1" ht="15.5" hidden="1" x14ac:dyDescent="0.35">
      <c r="A524" s="996"/>
      <c r="B524" s="1444"/>
      <c r="C524" s="1445"/>
      <c r="D524" s="1445"/>
      <c r="E524" s="1446"/>
      <c r="F524" s="1446"/>
      <c r="G524" s="1446"/>
      <c r="H524" s="1445"/>
      <c r="I524" s="1445"/>
      <c r="J524" s="1446"/>
      <c r="K524" s="1446"/>
      <c r="L524" s="1446"/>
      <c r="M524" s="1446"/>
      <c r="N524" s="2035"/>
      <c r="P524" s="1429"/>
      <c r="Q524" s="1429"/>
      <c r="R524" s="1429"/>
      <c r="S524" s="1429"/>
      <c r="T524" s="1429"/>
      <c r="U524" s="1429"/>
    </row>
    <row r="525" spans="1:50" s="1201" customFormat="1" ht="15.5" hidden="1" x14ac:dyDescent="0.35">
      <c r="A525" s="996"/>
      <c r="B525" s="1158"/>
      <c r="C525" s="1457" t="s">
        <v>1500</v>
      </c>
      <c r="D525" s="1169"/>
      <c r="E525" s="1169" t="s">
        <v>1499</v>
      </c>
      <c r="F525" s="1169" t="s">
        <v>228</v>
      </c>
      <c r="G525" s="1171"/>
      <c r="H525" s="1171"/>
      <c r="I525" s="2001"/>
      <c r="J525" s="2001"/>
      <c r="K525" s="2001"/>
      <c r="O525" s="1446"/>
      <c r="P525" s="894"/>
      <c r="Q525" s="894"/>
      <c r="R525" s="894"/>
      <c r="S525" s="894"/>
      <c r="T525" s="1983"/>
      <c r="U525" s="1983"/>
    </row>
    <row r="526" spans="1:50" s="1201" customFormat="1" ht="15.75" hidden="1" customHeight="1" x14ac:dyDescent="0.35">
      <c r="A526" s="996"/>
      <c r="B526" s="1160" t="s">
        <v>1495</v>
      </c>
      <c r="C526" s="1456">
        <f>C60</f>
        <v>175000</v>
      </c>
      <c r="D526" s="1170" t="s">
        <v>1496</v>
      </c>
      <c r="E526" s="1178" t="s">
        <v>1497</v>
      </c>
      <c r="F526" s="1169" t="str">
        <f>G60</f>
        <v>State Grid</v>
      </c>
      <c r="G526" s="1746"/>
      <c r="H526" s="1458" t="s">
        <v>2010</v>
      </c>
      <c r="I526" s="2001"/>
      <c r="J526" s="2000">
        <f>G61</f>
        <v>10</v>
      </c>
      <c r="K526" s="2001"/>
    </row>
    <row r="527" spans="1:50" s="1201" customFormat="1" ht="15.75" hidden="1" customHeight="1" x14ac:dyDescent="0.35">
      <c r="A527" s="996"/>
      <c r="B527" s="1158"/>
      <c r="C527" s="1161"/>
      <c r="D527" s="1169"/>
      <c r="E527" s="1178" t="s">
        <v>1498</v>
      </c>
      <c r="F527" s="1169"/>
      <c r="G527" s="1746"/>
      <c r="H527" s="1458"/>
      <c r="I527" s="2001"/>
      <c r="J527" s="1462"/>
      <c r="K527" s="2001"/>
    </row>
    <row r="528" spans="1:50" s="1201" customFormat="1" ht="15.5" hidden="1" x14ac:dyDescent="0.35">
      <c r="A528" s="996"/>
      <c r="B528" s="1160"/>
      <c r="C528" s="1161"/>
      <c r="D528" s="1169"/>
      <c r="E528" s="1746"/>
      <c r="F528" s="1169"/>
      <c r="G528" s="1746"/>
      <c r="H528" s="1458" t="s">
        <v>1502</v>
      </c>
      <c r="I528" s="2001"/>
      <c r="J528" s="1461">
        <f>IF(F526="State Grid",(C539*(1-J526%)),0)</f>
        <v>0.91800000000000004</v>
      </c>
      <c r="K528" s="2001"/>
    </row>
    <row r="529" spans="1:33" s="1201" customFormat="1" ht="15.5" hidden="1" x14ac:dyDescent="0.35">
      <c r="A529" s="996"/>
      <c r="B529" s="1158"/>
      <c r="C529" s="1169"/>
      <c r="D529" s="1169"/>
      <c r="E529" s="1169"/>
      <c r="F529" s="1169"/>
      <c r="G529" s="1171"/>
      <c r="H529" s="1171"/>
      <c r="I529" s="2001"/>
      <c r="J529" s="2001"/>
      <c r="K529" s="2001"/>
    </row>
    <row r="530" spans="1:33" s="1201" customFormat="1" ht="15.5" hidden="1" x14ac:dyDescent="0.35">
      <c r="A530" s="996"/>
      <c r="B530" s="1172"/>
      <c r="C530" s="361"/>
      <c r="D530" s="361"/>
      <c r="E530" s="1163"/>
      <c r="F530" s="1169"/>
      <c r="G530" s="1171"/>
      <c r="H530" s="1483" t="s">
        <v>1503</v>
      </c>
      <c r="I530" s="2001"/>
      <c r="J530" s="1461">
        <f>J528*C526/1000</f>
        <v>160.65</v>
      </c>
      <c r="K530" s="2001"/>
    </row>
    <row r="531" spans="1:33" s="1201" customFormat="1" ht="15.5" hidden="1" x14ac:dyDescent="0.35">
      <c r="B531" s="368" t="s">
        <v>260</v>
      </c>
      <c r="C531" s="369" t="s">
        <v>1490</v>
      </c>
      <c r="D531" s="1448" t="s">
        <v>1491</v>
      </c>
      <c r="E531" s="370"/>
      <c r="F531" s="1169"/>
      <c r="G531" s="1171"/>
      <c r="H531" s="1458"/>
      <c r="I531" s="2001"/>
      <c r="J531" s="1462"/>
      <c r="K531" s="2001"/>
    </row>
    <row r="532" spans="1:33" s="1201" customFormat="1" ht="15.5" hidden="1" x14ac:dyDescent="0.35">
      <c r="A532" s="996">
        <v>1</v>
      </c>
      <c r="B532" s="1450" t="s">
        <v>912</v>
      </c>
      <c r="C532" s="1447">
        <v>1.02</v>
      </c>
      <c r="D532" s="1447">
        <v>0.1</v>
      </c>
      <c r="E532" s="371"/>
      <c r="F532" s="1169"/>
      <c r="G532" s="1746"/>
      <c r="H532" s="1458" t="s">
        <v>1504</v>
      </c>
      <c r="I532" s="2001"/>
      <c r="J532" s="1461">
        <f>IF(F526="State Grid",(D539*(1-J526%)),0)</f>
        <v>9.0000000000000011E-2</v>
      </c>
      <c r="K532" s="2001"/>
    </row>
    <row r="533" spans="1:33" s="1201" customFormat="1" ht="15.5" hidden="1" x14ac:dyDescent="0.35">
      <c r="A533" s="996">
        <v>2</v>
      </c>
      <c r="B533" s="1451" t="s">
        <v>917</v>
      </c>
      <c r="C533" s="1447">
        <v>0.81</v>
      </c>
      <c r="D533" s="1447">
        <v>0.09</v>
      </c>
      <c r="E533" s="371"/>
      <c r="F533" s="1169"/>
      <c r="G533" s="1171"/>
      <c r="H533" s="1458"/>
      <c r="I533" s="2001"/>
      <c r="J533" s="1461"/>
      <c r="K533" s="2001"/>
    </row>
    <row r="534" spans="1:33" s="1201" customFormat="1" ht="15.5" hidden="1" x14ac:dyDescent="0.35">
      <c r="A534" s="996">
        <v>3</v>
      </c>
      <c r="B534" s="1451" t="s">
        <v>866</v>
      </c>
      <c r="C534" s="1447">
        <v>0.15</v>
      </c>
      <c r="D534" s="1447">
        <v>0.02</v>
      </c>
      <c r="E534" s="371"/>
      <c r="F534" s="1169"/>
      <c r="G534" s="1171"/>
      <c r="H534" s="1484" t="s">
        <v>1505</v>
      </c>
      <c r="I534" s="2001"/>
      <c r="J534" s="1461">
        <f>C526*J532/1000</f>
        <v>15.750000000000002</v>
      </c>
      <c r="K534" s="2001"/>
    </row>
    <row r="535" spans="1:33" s="1201" customFormat="1" ht="15.5" hidden="1" x14ac:dyDescent="0.35">
      <c r="A535" s="996">
        <v>4</v>
      </c>
      <c r="B535" s="1451" t="s">
        <v>914</v>
      </c>
      <c r="C535" s="1447">
        <v>0.81</v>
      </c>
      <c r="D535" s="1447">
        <v>0.12</v>
      </c>
      <c r="E535" s="372"/>
      <c r="F535" s="1169"/>
      <c r="G535" s="1171"/>
      <c r="H535" s="1171"/>
      <c r="I535" s="2001"/>
      <c r="J535" s="1462"/>
      <c r="K535" s="2001"/>
    </row>
    <row r="536" spans="1:33" s="1201" customFormat="1" ht="15.5" hidden="1" x14ac:dyDescent="0.35">
      <c r="A536" s="996">
        <v>5</v>
      </c>
      <c r="B536" s="1451" t="s">
        <v>918</v>
      </c>
      <c r="C536" s="1447">
        <v>0.44</v>
      </c>
      <c r="D536" s="1447">
        <v>0.1</v>
      </c>
      <c r="E536" s="372"/>
      <c r="F536" s="1169"/>
      <c r="G536" s="1171"/>
      <c r="H536" s="1458" t="s">
        <v>1506</v>
      </c>
      <c r="I536" s="2001"/>
      <c r="J536" s="1461">
        <f>J530+J534</f>
        <v>176.4</v>
      </c>
      <c r="K536" s="2001"/>
    </row>
    <row r="537" spans="1:33" s="1201" customFormat="1" ht="15.5" hidden="1" x14ac:dyDescent="0.35">
      <c r="A537" s="996">
        <v>6</v>
      </c>
      <c r="B537" s="1452" t="s">
        <v>919</v>
      </c>
      <c r="C537" s="1447">
        <v>0.69</v>
      </c>
      <c r="D537" s="1447">
        <v>0.04</v>
      </c>
      <c r="E537" s="372"/>
      <c r="F537" s="1169"/>
      <c r="G537" s="1171"/>
      <c r="H537" s="1171"/>
      <c r="I537" s="2001"/>
      <c r="J537" s="2001"/>
      <c r="K537" s="2001"/>
    </row>
    <row r="538" spans="1:33" s="1201" customFormat="1" ht="15.5" hidden="1" x14ac:dyDescent="0.35">
      <c r="A538" s="996">
        <v>7</v>
      </c>
      <c r="B538" s="1453" t="s">
        <v>920</v>
      </c>
      <c r="C538" s="1454">
        <v>0.63</v>
      </c>
      <c r="D538" s="1454">
        <v>0.08</v>
      </c>
      <c r="E538" s="1455"/>
      <c r="F538" s="1169"/>
      <c r="G538" s="1171"/>
      <c r="H538" s="1171"/>
      <c r="I538" s="2001"/>
      <c r="J538" s="2001"/>
      <c r="K538" s="2001"/>
    </row>
    <row r="539" spans="1:33" s="1201" customFormat="1" ht="15.5" hidden="1" x14ac:dyDescent="0.35">
      <c r="A539" s="1201" t="s">
        <v>228</v>
      </c>
      <c r="B539" s="373" t="str">
        <f>VLOOKUP($D$13,$B$532:$E$538,1,FALSE)</f>
        <v>Victoria</v>
      </c>
      <c r="C539" s="1449">
        <f>VLOOKUP($D$13,$B$532:$E$538,2,FALSE)</f>
        <v>1.02</v>
      </c>
      <c r="D539" s="1449">
        <f>VLOOKUP($D$13,$B$532:$E$538,3,FALSE)</f>
        <v>0.1</v>
      </c>
      <c r="E539" s="374"/>
      <c r="F539" s="2018"/>
      <c r="G539" s="2018"/>
      <c r="H539" s="2018"/>
      <c r="I539" s="2036"/>
      <c r="J539" s="2037"/>
      <c r="K539" s="2037"/>
      <c r="L539" s="892"/>
      <c r="M539" s="892"/>
      <c r="N539" s="892"/>
      <c r="V539" s="892"/>
      <c r="W539" s="892"/>
      <c r="X539" s="892"/>
      <c r="Y539" s="892"/>
      <c r="Z539" s="892"/>
      <c r="AA539" s="892"/>
      <c r="AB539" s="892"/>
      <c r="AC539" s="892"/>
      <c r="AD539" s="892"/>
      <c r="AE539" s="892"/>
      <c r="AF539" s="892"/>
      <c r="AG539" s="892"/>
    </row>
    <row r="540" spans="1:33" s="1201" customFormat="1" ht="14" hidden="1" x14ac:dyDescent="0.3">
      <c r="A540" s="892"/>
      <c r="B540" s="892"/>
      <c r="C540" s="892"/>
      <c r="D540" s="892"/>
      <c r="E540" s="892"/>
      <c r="F540" s="892"/>
      <c r="G540" s="892"/>
      <c r="H540" s="892"/>
      <c r="I540" s="892"/>
      <c r="J540" s="892"/>
      <c r="K540" s="892"/>
      <c r="L540" s="892"/>
      <c r="M540" s="892"/>
      <c r="N540" s="892"/>
      <c r="O540" s="892"/>
      <c r="P540" s="892"/>
      <c r="Q540" s="892"/>
      <c r="R540" s="892"/>
      <c r="S540" s="892"/>
      <c r="T540" s="892"/>
      <c r="U540" s="892"/>
      <c r="V540" s="892"/>
      <c r="W540" s="892"/>
      <c r="X540" s="892"/>
      <c r="Y540" s="892"/>
      <c r="Z540" s="892"/>
      <c r="AA540" s="892"/>
      <c r="AB540" s="892"/>
      <c r="AC540" s="892"/>
      <c r="AD540" s="892"/>
      <c r="AE540" s="892"/>
      <c r="AF540" s="892"/>
      <c r="AG540" s="892"/>
    </row>
    <row r="541" spans="1:33" s="892" customFormat="1" ht="14" hidden="1" x14ac:dyDescent="0.3"/>
    <row r="542" spans="1:33" s="892" customFormat="1" ht="17.5" hidden="1" x14ac:dyDescent="0.35">
      <c r="B542" s="321" t="s">
        <v>837</v>
      </c>
    </row>
    <row r="543" spans="1:33" s="892" customFormat="1" ht="14" hidden="1" x14ac:dyDescent="0.3"/>
    <row r="544" spans="1:33" s="892" customFormat="1" ht="15.5" hidden="1" x14ac:dyDescent="0.35">
      <c r="B544" s="1464" t="s">
        <v>830</v>
      </c>
      <c r="C544" s="1199" t="s">
        <v>839</v>
      </c>
      <c r="D544" s="449" t="s">
        <v>318</v>
      </c>
      <c r="E544" s="449" t="s">
        <v>832</v>
      </c>
    </row>
    <row r="545" spans="2:17" s="892" customFormat="1" ht="15.5" hidden="1" x14ac:dyDescent="0.35">
      <c r="B545" s="449" t="s">
        <v>831</v>
      </c>
      <c r="C545" s="1423">
        <f>C64</f>
        <v>200</v>
      </c>
      <c r="D545" s="1467">
        <v>0.16</v>
      </c>
      <c r="E545" s="1466">
        <f>C545*D545</f>
        <v>32</v>
      </c>
      <c r="F545" s="892" t="s">
        <v>1520</v>
      </c>
      <c r="L545" s="2038"/>
      <c r="M545" s="2038"/>
      <c r="N545" s="2038"/>
    </row>
    <row r="546" spans="2:17" s="892" customFormat="1" ht="15.5" hidden="1" x14ac:dyDescent="0.35">
      <c r="B546" s="449" t="s">
        <v>833</v>
      </c>
      <c r="C546" s="1423">
        <f>G64</f>
        <v>0</v>
      </c>
      <c r="D546" s="1467">
        <v>0.16</v>
      </c>
      <c r="E546" s="1466">
        <f t="shared" ref="E546:E550" si="46">C546*D546</f>
        <v>0</v>
      </c>
      <c r="F546" s="892" t="s">
        <v>1520</v>
      </c>
      <c r="L546" s="2038"/>
      <c r="M546" s="2038"/>
      <c r="N546" s="2038"/>
      <c r="O546" s="2038"/>
      <c r="Q546" s="2039"/>
    </row>
    <row r="547" spans="2:17" s="892" customFormat="1" ht="15.5" hidden="1" x14ac:dyDescent="0.35">
      <c r="B547" s="449" t="s">
        <v>834</v>
      </c>
      <c r="C547" s="1423">
        <f>C66</f>
        <v>0</v>
      </c>
      <c r="D547" s="1467">
        <v>0.16</v>
      </c>
      <c r="E547" s="1466">
        <f t="shared" si="46"/>
        <v>0</v>
      </c>
      <c r="F547" s="892" t="s">
        <v>1520</v>
      </c>
      <c r="L547" s="2038"/>
      <c r="M547" s="2038"/>
      <c r="N547" s="2038"/>
      <c r="O547" s="2038"/>
      <c r="Q547" s="2039"/>
    </row>
    <row r="548" spans="2:17" s="892" customFormat="1" ht="15.5" hidden="1" x14ac:dyDescent="0.35">
      <c r="B548" s="449" t="s">
        <v>835</v>
      </c>
      <c r="C548" s="1423">
        <f>G66</f>
        <v>0</v>
      </c>
      <c r="D548" s="1467">
        <v>0.16</v>
      </c>
      <c r="E548" s="1466">
        <f t="shared" si="46"/>
        <v>0</v>
      </c>
      <c r="F548" s="892" t="s">
        <v>1520</v>
      </c>
      <c r="L548" s="2038"/>
      <c r="M548" s="2038"/>
      <c r="N548" s="2038"/>
      <c r="O548" s="2038"/>
      <c r="Q548" s="2039"/>
    </row>
    <row r="549" spans="2:17" s="892" customFormat="1" ht="15.5" hidden="1" x14ac:dyDescent="0.35">
      <c r="B549" s="449" t="s">
        <v>836</v>
      </c>
      <c r="C549" s="1423">
        <f>C68</f>
        <v>700</v>
      </c>
      <c r="D549" s="1467">
        <v>0.2</v>
      </c>
      <c r="E549" s="1466">
        <f t="shared" si="46"/>
        <v>140</v>
      </c>
      <c r="F549" s="892" t="s">
        <v>1520</v>
      </c>
      <c r="L549" s="2038"/>
      <c r="M549" s="2038"/>
      <c r="N549" s="2038"/>
      <c r="O549" s="2038"/>
      <c r="Q549" s="2039"/>
    </row>
    <row r="550" spans="2:17" s="892" customFormat="1" ht="15.5" hidden="1" x14ac:dyDescent="0.35">
      <c r="B550" s="449" t="s">
        <v>811</v>
      </c>
      <c r="C550" s="1423">
        <f>G68</f>
        <v>180</v>
      </c>
      <c r="D550" s="449">
        <v>0</v>
      </c>
      <c r="E550" s="1466">
        <f t="shared" si="46"/>
        <v>0</v>
      </c>
      <c r="L550" s="2038"/>
      <c r="M550" s="2038"/>
      <c r="N550" s="2038"/>
      <c r="O550" s="2038"/>
      <c r="Q550" s="469"/>
    </row>
    <row r="551" spans="2:17" s="892" customFormat="1" ht="15.5" hidden="1" x14ac:dyDescent="0.35">
      <c r="B551" s="449" t="s">
        <v>223</v>
      </c>
      <c r="C551" s="1199"/>
      <c r="D551" s="449"/>
      <c r="E551" s="1466">
        <f>SUM(E545:E550)</f>
        <v>172</v>
      </c>
      <c r="L551" s="2038"/>
      <c r="M551" s="2038"/>
      <c r="N551" s="2038"/>
      <c r="O551" s="2038"/>
      <c r="Q551" s="2039"/>
    </row>
    <row r="552" spans="2:17" s="892" customFormat="1" ht="15.5" hidden="1" x14ac:dyDescent="0.35">
      <c r="B552" s="1199"/>
      <c r="C552" s="1199" t="s">
        <v>1509</v>
      </c>
      <c r="D552" s="1199"/>
      <c r="E552" s="1199"/>
      <c r="O552" s="2038"/>
      <c r="Q552" s="2039"/>
    </row>
    <row r="553" spans="2:17" s="892" customFormat="1" ht="15.5" hidden="1" x14ac:dyDescent="0.35">
      <c r="B553" s="449" t="s">
        <v>840</v>
      </c>
      <c r="C553" s="1199">
        <f>IF($U$193="1",((G51*C51)+(G52*C52))/1000,(G51+G52))</f>
        <v>55</v>
      </c>
      <c r="D553" s="1481">
        <v>1.8</v>
      </c>
      <c r="E553" s="1467">
        <f>C553/0.46*D553</f>
        <v>215.21739130434781</v>
      </c>
      <c r="F553" s="892" t="s">
        <v>2052</v>
      </c>
    </row>
    <row r="554" spans="2:17" s="892" customFormat="1" ht="15.5" hidden="1" x14ac:dyDescent="0.35">
      <c r="B554" s="449" t="s">
        <v>1521</v>
      </c>
      <c r="C554" s="1199">
        <f>IF($U$193="1",((G56*$C$56)+(G57*$C$57))/1000,(G56+G57))</f>
        <v>10</v>
      </c>
      <c r="D554" s="1481">
        <v>0.2</v>
      </c>
      <c r="E554" s="1576">
        <f>C554/0.09*D554</f>
        <v>22.222222222222225</v>
      </c>
    </row>
    <row r="555" spans="2:17" s="892" customFormat="1" ht="15.5" hidden="1" x14ac:dyDescent="0.35">
      <c r="B555" s="449" t="s">
        <v>842</v>
      </c>
      <c r="C555" s="1199">
        <f>IF($U$193="1",((H56*$C$56)+(H57*$C$57))/1000,(H56+H57))</f>
        <v>3</v>
      </c>
      <c r="D555" s="1480">
        <v>0.13100000000000001</v>
      </c>
      <c r="E555" s="1576">
        <f>C555/0.5*D555</f>
        <v>0.78600000000000003</v>
      </c>
    </row>
    <row r="556" spans="2:17" s="892" customFormat="1" ht="15.5" hidden="1" x14ac:dyDescent="0.35">
      <c r="B556" s="449" t="s">
        <v>1522</v>
      </c>
      <c r="C556" s="1199">
        <f>IF($U$193="1",((I56*$C$56)+(I57*$C$57))/1000,(I56+I57))</f>
        <v>3</v>
      </c>
      <c r="D556" s="1481">
        <v>0.2</v>
      </c>
      <c r="E556" s="1576">
        <f>C556/0.11*D556</f>
        <v>5.454545454545455</v>
      </c>
    </row>
    <row r="557" spans="2:17" s="892" customFormat="1" ht="15.5" hidden="1" x14ac:dyDescent="0.35">
      <c r="B557" s="449" t="s">
        <v>838</v>
      </c>
      <c r="C557" s="1199">
        <f>IF($U$193="1",(((J56*$C$56)+(J57*$C$57))/1000),(J56+J57))</f>
        <v>150</v>
      </c>
      <c r="D557" s="1481">
        <v>2.5000000000000001E-2</v>
      </c>
      <c r="E557" s="1576">
        <f>C557*D557</f>
        <v>3.75</v>
      </c>
    </row>
    <row r="558" spans="2:17" s="892" customFormat="1" ht="15.5" hidden="1" x14ac:dyDescent="0.35">
      <c r="B558" s="449" t="s">
        <v>223</v>
      </c>
      <c r="C558" s="449"/>
      <c r="D558" s="449"/>
      <c r="E558" s="1466">
        <f>IF(C554&gt;C556,E554,E556)+E553+E555+E557</f>
        <v>241.97561352657004</v>
      </c>
      <c r="F558" s="469"/>
    </row>
    <row r="559" spans="2:17" s="892" customFormat="1" ht="15.5" hidden="1" x14ac:dyDescent="0.35">
      <c r="B559" s="449"/>
      <c r="C559" s="1199"/>
      <c r="D559" s="449"/>
      <c r="E559" s="450"/>
      <c r="F559" s="2039"/>
    </row>
    <row r="560" spans="2:17" s="892" customFormat="1" ht="15.5" hidden="1" x14ac:dyDescent="0.35">
      <c r="B560" s="1464" t="s">
        <v>1508</v>
      </c>
      <c r="C560" s="1199"/>
      <c r="D560" s="449"/>
      <c r="E560" s="450"/>
    </row>
    <row r="561" spans="2:21" s="892" customFormat="1" ht="15.5" hidden="1" x14ac:dyDescent="0.35">
      <c r="B561" s="449" t="s">
        <v>1511</v>
      </c>
      <c r="C561" s="1199">
        <f>C553/0.46</f>
        <v>119.56521739130434</v>
      </c>
      <c r="D561" s="449"/>
      <c r="E561" s="450"/>
    </row>
    <row r="562" spans="2:21" s="892" customFormat="1" ht="15.5" hidden="1" x14ac:dyDescent="0.35">
      <c r="B562" s="449" t="s">
        <v>1510</v>
      </c>
      <c r="C562" s="1199">
        <f>IF(G53="",100,G53)</f>
        <v>95</v>
      </c>
      <c r="D562" s="449"/>
      <c r="E562" s="450"/>
    </row>
    <row r="563" spans="2:21" s="892" customFormat="1" ht="15.5" hidden="1" x14ac:dyDescent="0.35">
      <c r="B563" s="449" t="s">
        <v>1512</v>
      </c>
      <c r="C563" s="1199">
        <f>C561*C562%</f>
        <v>113.58695652173913</v>
      </c>
      <c r="D563" s="449"/>
      <c r="E563" s="450"/>
    </row>
    <row r="564" spans="2:21" s="892" customFormat="1" ht="15.5" hidden="1" x14ac:dyDescent="0.35">
      <c r="B564" s="449" t="s">
        <v>1513</v>
      </c>
      <c r="C564" s="1199">
        <v>0.2</v>
      </c>
      <c r="D564" s="449"/>
      <c r="E564" s="450"/>
    </row>
    <row r="565" spans="2:21" s="892" customFormat="1" ht="15.5" hidden="1" x14ac:dyDescent="0.35">
      <c r="B565" s="449" t="s">
        <v>1514</v>
      </c>
      <c r="C565" s="1278">
        <f>C563*C564*44/12</f>
        <v>83.297101449275374</v>
      </c>
      <c r="D565" s="449"/>
      <c r="E565" s="450"/>
    </row>
    <row r="566" spans="2:21" s="892" customFormat="1" ht="15.5" hidden="1" x14ac:dyDescent="0.35">
      <c r="B566" s="449"/>
      <c r="C566" s="1199"/>
      <c r="D566" s="449"/>
      <c r="E566" s="450"/>
    </row>
    <row r="567" spans="2:21" s="892" customFormat="1" ht="15.5" hidden="1" x14ac:dyDescent="0.35">
      <c r="B567" s="1464" t="s">
        <v>1515</v>
      </c>
      <c r="C567" s="1199"/>
      <c r="D567" s="449"/>
      <c r="E567" s="450"/>
    </row>
    <row r="568" spans="2:21" s="892" customFormat="1" ht="15.5" hidden="1" x14ac:dyDescent="0.35">
      <c r="B568" s="449" t="s">
        <v>1516</v>
      </c>
      <c r="C568" s="1199">
        <f>C557</f>
        <v>150</v>
      </c>
      <c r="D568" s="449"/>
      <c r="E568" s="450"/>
    </row>
    <row r="569" spans="2:21" s="892" customFormat="1" ht="15.5" hidden="1" x14ac:dyDescent="0.35">
      <c r="B569" s="449" t="s">
        <v>1517</v>
      </c>
      <c r="C569" s="1199">
        <v>1</v>
      </c>
      <c r="D569" s="449"/>
      <c r="E569" s="450"/>
    </row>
    <row r="570" spans="2:21" s="892" customFormat="1" ht="15.5" hidden="1" x14ac:dyDescent="0.35">
      <c r="B570" s="449" t="s">
        <v>1518</v>
      </c>
      <c r="C570" s="1199">
        <v>0.12</v>
      </c>
      <c r="D570" s="449"/>
      <c r="E570" s="450"/>
    </row>
    <row r="571" spans="2:21" s="892" customFormat="1" ht="15.5" hidden="1" x14ac:dyDescent="0.35">
      <c r="B571" s="449" t="s">
        <v>1519</v>
      </c>
      <c r="C571" s="1199">
        <f>(C568*C569*C570*44/12)/1000</f>
        <v>6.6000000000000003E-2</v>
      </c>
      <c r="D571" s="1199"/>
      <c r="E571" s="450"/>
    </row>
    <row r="572" spans="2:21" s="892" customFormat="1" ht="15.5" hidden="1" x14ac:dyDescent="0.35">
      <c r="B572" s="449" t="s">
        <v>1514</v>
      </c>
      <c r="C572" s="1278">
        <f>C571*1000</f>
        <v>66</v>
      </c>
      <c r="D572" s="1199"/>
      <c r="E572" s="450"/>
    </row>
    <row r="573" spans="2:21" s="892" customFormat="1" ht="15.5" hidden="1" x14ac:dyDescent="0.35">
      <c r="B573" s="449"/>
      <c r="C573" s="1199"/>
      <c r="D573" s="449"/>
      <c r="E573" s="450"/>
    </row>
    <row r="574" spans="2:21" s="1201" customFormat="1" ht="14" hidden="1" x14ac:dyDescent="0.3">
      <c r="O574" s="892"/>
      <c r="P574" s="892"/>
      <c r="Q574" s="892"/>
      <c r="R574" s="892"/>
      <c r="S574" s="892"/>
      <c r="T574" s="892"/>
      <c r="U574" s="892"/>
    </row>
    <row r="575" spans="2:21" s="1201" customFormat="1" ht="14" hidden="1" x14ac:dyDescent="0.3"/>
    <row r="576" spans="2:21" s="1201" customFormat="1" ht="15.5" hidden="1" x14ac:dyDescent="0.35">
      <c r="B576" s="1257"/>
      <c r="C576" s="1257"/>
      <c r="D576" s="1257"/>
      <c r="E576" s="1268"/>
    </row>
    <row r="577" spans="2:21" s="1201" customFormat="1" ht="15.5" hidden="1" x14ac:dyDescent="0.35">
      <c r="B577" s="1257"/>
      <c r="C577" s="1257"/>
      <c r="D577" s="1257"/>
      <c r="E577" s="1268"/>
    </row>
    <row r="578" spans="2:21" s="1201" customFormat="1" ht="15.5" hidden="1" x14ac:dyDescent="0.35">
      <c r="B578" s="1257"/>
      <c r="C578" s="1257"/>
      <c r="D578" s="1257"/>
      <c r="E578" s="1268"/>
    </row>
    <row r="579" spans="2:21" s="892" customFormat="1" ht="17.5" hidden="1" x14ac:dyDescent="0.35">
      <c r="B579" s="321" t="s">
        <v>1570</v>
      </c>
      <c r="O579" s="1201"/>
      <c r="P579" s="1201"/>
      <c r="Q579" s="1201"/>
      <c r="R579" s="1201"/>
      <c r="S579" s="1201"/>
      <c r="T579" s="1201"/>
      <c r="U579" s="1201"/>
    </row>
    <row r="580" spans="2:21" s="892" customFormat="1" ht="14" hidden="1" x14ac:dyDescent="0.3"/>
    <row r="581" spans="2:21" s="2040" customFormat="1" hidden="1" thickBot="1" x14ac:dyDescent="0.35">
      <c r="B581" s="2582" t="s">
        <v>245</v>
      </c>
      <c r="C581" s="2583"/>
      <c r="E581" s="2582" t="s">
        <v>1571</v>
      </c>
      <c r="F581" s="2584"/>
      <c r="G581" s="2583"/>
      <c r="I581" s="2135" t="s">
        <v>1572</v>
      </c>
    </row>
    <row r="582" spans="2:21" s="2040" customFormat="1" ht="14" hidden="1" x14ac:dyDescent="0.3">
      <c r="B582" s="2041" t="s">
        <v>260</v>
      </c>
      <c r="C582" s="2042" t="str">
        <f>D13</f>
        <v>Victoria</v>
      </c>
      <c r="E582" s="2043" t="str">
        <f>CONCATENATE("Amount of carbon grown in the trees between Year ",FIXED(C589-1,0)," and Year ",FIXED(C589,0)," = ")</f>
        <v xml:space="preserve">Amount of carbon grown in the trees between Year 14 and Year 15 = </v>
      </c>
      <c r="F582" s="2044">
        <f>IF(ISERROR(F606),"",F606)</f>
        <v>0.80000000000000071</v>
      </c>
      <c r="G582" s="2045" t="s">
        <v>1574</v>
      </c>
      <c r="I582" s="2136" t="s">
        <v>1575</v>
      </c>
      <c r="Q582" s="2137" t="s">
        <v>1573</v>
      </c>
      <c r="R582" s="2138"/>
      <c r="S582" s="2138"/>
      <c r="T582" s="2138"/>
      <c r="U582" s="2139"/>
    </row>
    <row r="583" spans="2:21" s="2040" customFormat="1" ht="14" hidden="1" x14ac:dyDescent="0.3">
      <c r="B583" s="2049" t="s">
        <v>1576</v>
      </c>
      <c r="C583" s="2050" t="str">
        <f>C73</f>
        <v>South West VIC</v>
      </c>
      <c r="E583" s="2051"/>
      <c r="G583" s="2052"/>
      <c r="I583" s="2136" t="s">
        <v>1577</v>
      </c>
      <c r="Q583" s="2140"/>
      <c r="R583" s="2141"/>
      <c r="S583" s="2141"/>
      <c r="T583" s="2141"/>
      <c r="U583" s="2142"/>
    </row>
    <row r="584" spans="2:21" s="2040" customFormat="1" ht="14" hidden="1" x14ac:dyDescent="0.3">
      <c r="B584" s="2049"/>
      <c r="C584" s="2050"/>
      <c r="E584" s="2051" t="s">
        <v>1578</v>
      </c>
      <c r="F584" s="2056">
        <f>IF(ISERROR(-F582*F589),"",F582*F589)</f>
        <v>2.9360000000000026</v>
      </c>
      <c r="G584" s="2052" t="s">
        <v>1574</v>
      </c>
      <c r="I584" s="2136" t="s">
        <v>1579</v>
      </c>
      <c r="Q584" s="2140" t="s">
        <v>1572</v>
      </c>
      <c r="R584" s="2141" t="str">
        <f>CONCATENATE(C582," -- ",C583)</f>
        <v>Victoria -- South West VIC</v>
      </c>
      <c r="S584" s="2141"/>
      <c r="T584" s="2141"/>
      <c r="U584" s="2142"/>
    </row>
    <row r="585" spans="2:21" s="2040" customFormat="1" ht="14" hidden="1" x14ac:dyDescent="0.3">
      <c r="B585" s="2049" t="s">
        <v>1581</v>
      </c>
      <c r="C585" s="2050" t="str">
        <f>C75</f>
        <v>Mixed species (Environmental Plantings)</v>
      </c>
      <c r="E585" s="2051"/>
      <c r="G585" s="2052"/>
      <c r="I585" s="2136" t="s">
        <v>1582</v>
      </c>
      <c r="Q585" s="2140" t="s">
        <v>1580</v>
      </c>
      <c r="R585" s="2141" t="str">
        <f>C585</f>
        <v>Mixed species (Environmental Plantings)</v>
      </c>
      <c r="S585" s="2141"/>
      <c r="T585" s="2141"/>
      <c r="U585" s="2142"/>
    </row>
    <row r="586" spans="2:21" s="2040" customFormat="1" ht="14" hidden="1" x14ac:dyDescent="0.3">
      <c r="B586" s="2049" t="s">
        <v>1584</v>
      </c>
      <c r="C586" s="2050" t="str">
        <f>C77</f>
        <v>Red Duplex</v>
      </c>
      <c r="E586" s="2143" t="str">
        <f>CONCATENATE("Annual amount of CO2-e sequestered by trees on the ",FIXED(C588,0)," hectares = ")</f>
        <v xml:space="preserve">Annual amount of CO2-e sequestered by trees on the 10 hectares = </v>
      </c>
      <c r="F586" s="2144">
        <f>IF(ISERROR(F584*C588),0,(F584*C588))</f>
        <v>29.360000000000028</v>
      </c>
      <c r="G586" s="2145" t="str">
        <f>IF(F584&gt;0,CONCATENATE("Total tonnes CO2 sequestered in Year ",C589),"")</f>
        <v>Total tonnes CO2 sequestered in Year 15</v>
      </c>
      <c r="I586" s="2136" t="s">
        <v>1585</v>
      </c>
      <c r="Q586" s="2146" t="s">
        <v>1583</v>
      </c>
      <c r="R586" s="2147" t="str">
        <f>C586</f>
        <v>Red Duplex</v>
      </c>
      <c r="S586" s="2147"/>
      <c r="T586" s="2147"/>
      <c r="U586" s="2148"/>
    </row>
    <row r="587" spans="2:21" s="2040" customFormat="1" ht="14" hidden="1" x14ac:dyDescent="0.3">
      <c r="B587" s="2049"/>
      <c r="C587" s="2050"/>
      <c r="E587" s="2051"/>
      <c r="G587" s="2052"/>
      <c r="I587" s="2136" t="s">
        <v>1589</v>
      </c>
      <c r="Q587" s="2149" t="s">
        <v>557</v>
      </c>
      <c r="R587" s="2150" t="s">
        <v>1586</v>
      </c>
      <c r="S587" s="2150"/>
      <c r="T587" s="2150" t="s">
        <v>1587</v>
      </c>
      <c r="U587" s="2151" t="s">
        <v>1588</v>
      </c>
    </row>
    <row r="588" spans="2:21" s="2040" customFormat="1" ht="15" hidden="1" customHeight="1" x14ac:dyDescent="0.3">
      <c r="B588" s="2049" t="s">
        <v>1590</v>
      </c>
      <c r="C588" s="2050">
        <f>G77</f>
        <v>10</v>
      </c>
      <c r="E588" s="2051"/>
      <c r="G588" s="2052"/>
      <c r="I588" s="2152" t="s">
        <v>1591</v>
      </c>
      <c r="Q588" s="2153">
        <v>0</v>
      </c>
      <c r="R588" s="2154">
        <v>0</v>
      </c>
      <c r="S588" s="2154"/>
      <c r="T588" s="2154">
        <v>0</v>
      </c>
      <c r="U588" s="2155" t="str">
        <f>IF(Q588=$E$604,R588-0,"")</f>
        <v/>
      </c>
    </row>
    <row r="589" spans="2:21" s="2040" customFormat="1" ht="15.75" hidden="1" customHeight="1" x14ac:dyDescent="0.4">
      <c r="B589" s="2069" t="s">
        <v>1569</v>
      </c>
      <c r="C589" s="2070">
        <f>I77</f>
        <v>15</v>
      </c>
      <c r="E589" s="2051" t="s">
        <v>2148</v>
      </c>
      <c r="F589" s="2044">
        <v>3.67</v>
      </c>
      <c r="G589" s="2052"/>
      <c r="Q589" s="2153">
        <v>1</v>
      </c>
      <c r="R589" s="2154">
        <f t="shared" ref="R589:R620" si="47">IF($F$606&gt;0,HLOOKUP($E$601,$B$694:$HX$794,Q589+1,FALSE),0)</f>
        <v>0.28999999999999998</v>
      </c>
      <c r="S589" s="2154"/>
      <c r="T589" s="2154">
        <f>AVERAGE(T588,T590)</f>
        <v>2.5000000000000022E-2</v>
      </c>
      <c r="U589" s="2155" t="str">
        <f t="shared" ref="U589:U652" si="48">IF(Q589=$E$604,R589-0,"")</f>
        <v/>
      </c>
    </row>
    <row r="590" spans="2:21" s="2040" customFormat="1" ht="14" hidden="1" x14ac:dyDescent="0.3">
      <c r="E590" s="2051"/>
      <c r="F590" s="2071" t="s">
        <v>1592</v>
      </c>
      <c r="G590" s="2072" t="s">
        <v>1593</v>
      </c>
      <c r="Q590" s="2153">
        <v>2</v>
      </c>
      <c r="R590" s="2154">
        <f t="shared" si="47"/>
        <v>0.34</v>
      </c>
      <c r="S590" s="2154"/>
      <c r="T590" s="2154">
        <f>R590-R589</f>
        <v>5.0000000000000044E-2</v>
      </c>
      <c r="U590" s="2155" t="str">
        <f t="shared" si="48"/>
        <v/>
      </c>
    </row>
    <row r="591" spans="2:21" s="2040" customFormat="1" ht="15" hidden="1" customHeight="1" x14ac:dyDescent="0.3">
      <c r="E591" s="2156" t="s">
        <v>2060</v>
      </c>
      <c r="F591" s="2056">
        <f>IF(ISERROR(F606),"",F607)</f>
        <v>0.43905</v>
      </c>
      <c r="G591" s="2056">
        <f>IF(AND(F591&gt;0,C588&gt;0),F591*C588,0)</f>
        <v>4.3905000000000003</v>
      </c>
      <c r="Q591" s="2153">
        <v>3</v>
      </c>
      <c r="R591" s="2154">
        <f t="shared" si="47"/>
        <v>0.55000000000000004</v>
      </c>
      <c r="S591" s="2154"/>
      <c r="T591" s="2154">
        <f t="shared" ref="T591:T654" si="49">R591-R590</f>
        <v>0.21000000000000002</v>
      </c>
      <c r="U591" s="2155" t="str">
        <f t="shared" si="48"/>
        <v/>
      </c>
    </row>
    <row r="592" spans="2:21" s="2040" customFormat="1" ht="15" hidden="1" x14ac:dyDescent="0.4">
      <c r="E592" s="2073" t="s">
        <v>2149</v>
      </c>
      <c r="F592" s="2056">
        <f>IF(F591&gt;0,(F589*$F$582),"")</f>
        <v>2.9360000000000026</v>
      </c>
      <c r="G592" s="2074">
        <f>IF(G591&gt;0,(G591*$F$589),"")</f>
        <v>16.113135</v>
      </c>
      <c r="Q592" s="2153">
        <v>4</v>
      </c>
      <c r="R592" s="2154">
        <f t="shared" si="47"/>
        <v>1.06</v>
      </c>
      <c r="S592" s="2154"/>
      <c r="T592" s="2154">
        <f t="shared" si="49"/>
        <v>0.51</v>
      </c>
      <c r="U592" s="2155" t="str">
        <f t="shared" si="48"/>
        <v/>
      </c>
    </row>
    <row r="593" spans="2:21" s="2040" customFormat="1" ht="14" hidden="1" x14ac:dyDescent="0.3">
      <c r="Q593" s="2153">
        <v>5</v>
      </c>
      <c r="R593" s="2154">
        <f t="shared" si="47"/>
        <v>1.73</v>
      </c>
      <c r="S593" s="2154"/>
      <c r="T593" s="2154">
        <f t="shared" si="49"/>
        <v>0.66999999999999993</v>
      </c>
      <c r="U593" s="2155" t="str">
        <f t="shared" si="48"/>
        <v/>
      </c>
    </row>
    <row r="594" spans="2:21" s="2040" customFormat="1" ht="14" hidden="1" x14ac:dyDescent="0.3">
      <c r="Q594" s="2153">
        <v>6</v>
      </c>
      <c r="R594" s="2154">
        <f t="shared" si="47"/>
        <v>2.95</v>
      </c>
      <c r="S594" s="2154"/>
      <c r="T594" s="2154">
        <f t="shared" si="49"/>
        <v>1.2200000000000002</v>
      </c>
      <c r="U594" s="2155" t="str">
        <f t="shared" si="48"/>
        <v/>
      </c>
    </row>
    <row r="595" spans="2:21" s="2040" customFormat="1" ht="14" hidden="1" x14ac:dyDescent="0.3">
      <c r="Q595" s="2153">
        <v>7</v>
      </c>
      <c r="R595" s="2154">
        <f t="shared" si="47"/>
        <v>4.17</v>
      </c>
      <c r="S595" s="2154"/>
      <c r="T595" s="2154">
        <f t="shared" si="49"/>
        <v>1.2199999999999998</v>
      </c>
      <c r="U595" s="2155" t="str">
        <f t="shared" si="48"/>
        <v/>
      </c>
    </row>
    <row r="596" spans="2:21" s="2040" customFormat="1" ht="14" hidden="1" x14ac:dyDescent="0.3">
      <c r="B596" s="2075" t="s">
        <v>1595</v>
      </c>
      <c r="C596" s="2141"/>
      <c r="D596" s="2141"/>
      <c r="E596" s="2141"/>
      <c r="F596" s="2141"/>
      <c r="Q596" s="2153">
        <v>8</v>
      </c>
      <c r="R596" s="2154">
        <f t="shared" si="47"/>
        <v>6.04</v>
      </c>
      <c r="S596" s="2154"/>
      <c r="T596" s="2154">
        <f t="shared" si="49"/>
        <v>1.87</v>
      </c>
      <c r="U596" s="2155" t="str">
        <f t="shared" si="48"/>
        <v/>
      </c>
    </row>
    <row r="597" spans="2:21" s="2040" customFormat="1" ht="14" hidden="1" x14ac:dyDescent="0.3">
      <c r="B597" s="2157"/>
      <c r="C597" s="2158" t="s">
        <v>1596</v>
      </c>
      <c r="D597" s="2159" t="str">
        <f>C582</f>
        <v>Victoria</v>
      </c>
      <c r="E597" s="2160" t="s">
        <v>1597</v>
      </c>
      <c r="F597" s="2141"/>
      <c r="O597" s="2079"/>
      <c r="Q597" s="2153">
        <v>9</v>
      </c>
      <c r="R597" s="2154">
        <f t="shared" si="47"/>
        <v>7.74</v>
      </c>
      <c r="S597" s="2154"/>
      <c r="T597" s="2154">
        <f t="shared" si="49"/>
        <v>1.7000000000000002</v>
      </c>
      <c r="U597" s="2155" t="str">
        <f t="shared" si="48"/>
        <v/>
      </c>
    </row>
    <row r="598" spans="2:21" s="2040" customFormat="1" ht="14" hidden="1" x14ac:dyDescent="0.3">
      <c r="B598" s="2157"/>
      <c r="C598" s="2158" t="s">
        <v>1598</v>
      </c>
      <c r="D598" s="2159" t="str">
        <f>C583</f>
        <v>South West VIC</v>
      </c>
      <c r="E598" s="2161">
        <f>IF(ISERROR(VLOOKUP($D$598,$C$612:$D$629,2,FALSE)),0,VLOOKUP($D$598,$C$612:$D$629,2,FALSE))</f>
        <v>35</v>
      </c>
      <c r="F598" s="2162"/>
      <c r="O598" s="2079"/>
      <c r="Q598" s="2153">
        <v>10</v>
      </c>
      <c r="R598" s="2154">
        <f t="shared" si="47"/>
        <v>9.16</v>
      </c>
      <c r="S598" s="2154"/>
      <c r="T598" s="2154">
        <f t="shared" si="49"/>
        <v>1.42</v>
      </c>
      <c r="U598" s="2155" t="str">
        <f t="shared" si="48"/>
        <v/>
      </c>
    </row>
    <row r="599" spans="2:21" s="2040" customFormat="1" ht="14" hidden="1" x14ac:dyDescent="0.3">
      <c r="B599" s="2157"/>
      <c r="C599" s="2158" t="s">
        <v>1599</v>
      </c>
      <c r="D599" s="2163" t="str">
        <f>C585</f>
        <v>Mixed species (Environmental Plantings)</v>
      </c>
      <c r="E599" s="2164">
        <f>IF(VLOOKUP($E$598,$D$612:$M$629,5,FALSE)=D599,1,IF(VLOOKUP($E$598,$D$612:$M$629,6,FALSE)=$D599,2,IF(VLOOKUP($E$598,$D$612:$M$629,7,FALSE)=$D599,3,IF(VLOOKUP($E$598,$D$612:$M$629,8,FALSE)=$D599,4,IF(VLOOKUP($E$598,$D$612:$M$629,9,FALSE)=$D599,5,IF(VLOOKUP($E$598,$D$612:$M$629,10,FALSE)=$D599,6,0))))))</f>
        <v>1</v>
      </c>
      <c r="F599" s="2141"/>
      <c r="O599" s="2079"/>
      <c r="Q599" s="2153">
        <v>11</v>
      </c>
      <c r="R599" s="2154">
        <f t="shared" si="47"/>
        <v>10.76</v>
      </c>
      <c r="S599" s="2154"/>
      <c r="T599" s="2154">
        <f t="shared" si="49"/>
        <v>1.5999999999999996</v>
      </c>
      <c r="U599" s="2155" t="str">
        <f t="shared" si="48"/>
        <v/>
      </c>
    </row>
    <row r="600" spans="2:21" s="2040" customFormat="1" hidden="1" thickBot="1" x14ac:dyDescent="0.35">
      <c r="B600" s="2157"/>
      <c r="C600" s="2158" t="s">
        <v>1600</v>
      </c>
      <c r="D600" s="2159" t="str">
        <f>C586</f>
        <v>Red Duplex</v>
      </c>
      <c r="E600" s="2161">
        <f>IF(VLOOKUP($E$598,$D$612:$E$629,2,FALSE)=$C$586,1,IF(VLOOKUP($E$598,$D$612:$F$629,3,FALSE)=$C$586,2,0))</f>
        <v>2</v>
      </c>
      <c r="F600" s="2162"/>
      <c r="O600" s="2079"/>
      <c r="Q600" s="2153">
        <v>12</v>
      </c>
      <c r="R600" s="2154">
        <f t="shared" si="47"/>
        <v>12.31</v>
      </c>
      <c r="S600" s="2154"/>
      <c r="T600" s="2154">
        <f t="shared" si="49"/>
        <v>1.5500000000000007</v>
      </c>
      <c r="U600" s="2155" t="str">
        <f t="shared" si="48"/>
        <v/>
      </c>
    </row>
    <row r="601" spans="2:21" s="2040" customFormat="1" hidden="1" thickBot="1" x14ac:dyDescent="0.35">
      <c r="B601" s="2157"/>
      <c r="C601" s="1482"/>
      <c r="D601" s="2165" t="s">
        <v>1601</v>
      </c>
      <c r="E601" s="2166" t="str">
        <f>CONCATENATE("R",E598,"T",E599,"S",E600)</f>
        <v>R35T1S2</v>
      </c>
      <c r="F601" s="2162"/>
      <c r="O601" s="2079"/>
      <c r="Q601" s="2153">
        <v>13</v>
      </c>
      <c r="R601" s="2154">
        <f t="shared" si="47"/>
        <v>13.62</v>
      </c>
      <c r="S601" s="2154"/>
      <c r="T601" s="2154">
        <f t="shared" si="49"/>
        <v>1.3099999999999987</v>
      </c>
      <c r="U601" s="2155" t="str">
        <f t="shared" si="48"/>
        <v/>
      </c>
    </row>
    <row r="602" spans="2:21" s="2040" customFormat="1" ht="14" hidden="1" x14ac:dyDescent="0.3">
      <c r="B602" s="2157"/>
      <c r="C602" s="1482"/>
      <c r="D602" s="2167"/>
      <c r="E602" s="2168"/>
      <c r="F602" s="2162"/>
      <c r="O602" s="2079"/>
      <c r="Q602" s="2153">
        <v>14</v>
      </c>
      <c r="R602" s="2154">
        <f t="shared" si="47"/>
        <v>14.79</v>
      </c>
      <c r="S602" s="2154"/>
      <c r="T602" s="2154">
        <f t="shared" si="49"/>
        <v>1.17</v>
      </c>
      <c r="U602" s="2155" t="str">
        <f t="shared" si="48"/>
        <v/>
      </c>
    </row>
    <row r="603" spans="2:21" s="2040" customFormat="1" ht="14" hidden="1" x14ac:dyDescent="0.3">
      <c r="B603" s="2157"/>
      <c r="C603" s="2141"/>
      <c r="D603" s="2141"/>
      <c r="E603" s="2150" t="s">
        <v>1602</v>
      </c>
      <c r="F603" s="2150" t="s">
        <v>1603</v>
      </c>
      <c r="O603" s="2079"/>
      <c r="Q603" s="2153">
        <v>15</v>
      </c>
      <c r="R603" s="2154">
        <f t="shared" si="47"/>
        <v>15.59</v>
      </c>
      <c r="S603" s="2154"/>
      <c r="T603" s="2154">
        <f t="shared" si="49"/>
        <v>0.80000000000000071</v>
      </c>
      <c r="U603" s="2155">
        <f t="shared" si="48"/>
        <v>15.59</v>
      </c>
    </row>
    <row r="604" spans="2:21" s="2040" customFormat="1" ht="14" hidden="1" x14ac:dyDescent="0.3">
      <c r="B604" s="2169"/>
      <c r="C604" s="1482" t="s">
        <v>2061</v>
      </c>
      <c r="D604" s="1482"/>
      <c r="E604" s="2159">
        <f>IF(C588&gt;0,C589,0)</f>
        <v>15</v>
      </c>
      <c r="F604" s="2170">
        <f>IF($E$604&gt;0,HLOOKUP($E$601,$B$694:$HX$794,($E$604+1),FALSE),0)</f>
        <v>15.59</v>
      </c>
      <c r="O604" s="2079"/>
      <c r="Q604" s="2153">
        <v>16</v>
      </c>
      <c r="R604" s="2154">
        <f t="shared" si="47"/>
        <v>16.940000000000001</v>
      </c>
      <c r="S604" s="2154"/>
      <c r="T604" s="2154">
        <f t="shared" si="49"/>
        <v>1.3500000000000014</v>
      </c>
      <c r="U604" s="2155" t="str">
        <f t="shared" si="48"/>
        <v/>
      </c>
    </row>
    <row r="605" spans="2:21" s="2040" customFormat="1" hidden="1" thickBot="1" x14ac:dyDescent="0.35">
      <c r="B605" s="2157"/>
      <c r="C605" s="1482" t="s">
        <v>2061</v>
      </c>
      <c r="D605" s="1482"/>
      <c r="E605" s="2171">
        <f>IF(E604&gt;0,E604-1,0)</f>
        <v>14</v>
      </c>
      <c r="F605" s="2172">
        <f>IF($E$604&gt;0,HLOOKUP($E$601,$B$694:$HX$794,($E$605+1),FALSE),0)</f>
        <v>14.79</v>
      </c>
      <c r="O605" s="2079"/>
      <c r="Q605" s="2153">
        <v>17</v>
      </c>
      <c r="R605" s="2154">
        <f t="shared" si="47"/>
        <v>18.190000000000001</v>
      </c>
      <c r="S605" s="2154"/>
      <c r="T605" s="2154">
        <f t="shared" si="49"/>
        <v>1.25</v>
      </c>
      <c r="U605" s="2155" t="str">
        <f t="shared" si="48"/>
        <v/>
      </c>
    </row>
    <row r="606" spans="2:21" s="2040" customFormat="1" hidden="1" thickBot="1" x14ac:dyDescent="0.35">
      <c r="B606" s="2169"/>
      <c r="C606" s="2141"/>
      <c r="D606" s="2141"/>
      <c r="E606" s="2173" t="s">
        <v>1605</v>
      </c>
      <c r="F606" s="2174">
        <f>F604-F605</f>
        <v>0.80000000000000071</v>
      </c>
      <c r="O606" s="2079"/>
      <c r="Q606" s="2153">
        <v>18</v>
      </c>
      <c r="R606" s="2154">
        <f t="shared" si="47"/>
        <v>19.34</v>
      </c>
      <c r="S606" s="2154"/>
      <c r="T606" s="2154">
        <f t="shared" si="49"/>
        <v>1.1499999999999986</v>
      </c>
      <c r="U606" s="2155" t="str">
        <f t="shared" si="48"/>
        <v/>
      </c>
    </row>
    <row r="607" spans="2:21" s="2040" customFormat="1" ht="14" hidden="1" x14ac:dyDescent="0.3">
      <c r="B607" s="2169"/>
      <c r="C607" s="2141"/>
      <c r="D607" s="2141"/>
      <c r="E607" s="1482" t="s">
        <v>1606</v>
      </c>
      <c r="F607" s="2175">
        <f>IF(OR(ISERROR(F606),F606=0),0,AVERAGE(T589:T688))</f>
        <v>0.43905</v>
      </c>
      <c r="O607" s="2079"/>
      <c r="Q607" s="2153">
        <v>19</v>
      </c>
      <c r="R607" s="2154">
        <f t="shared" si="47"/>
        <v>20.36</v>
      </c>
      <c r="S607" s="2154"/>
      <c r="T607" s="2154">
        <f t="shared" si="49"/>
        <v>1.0199999999999996</v>
      </c>
      <c r="U607" s="2155" t="str">
        <f t="shared" si="48"/>
        <v/>
      </c>
    </row>
    <row r="608" spans="2:21" s="2040" customFormat="1" ht="14" hidden="1" x14ac:dyDescent="0.3">
      <c r="B608" s="2051"/>
      <c r="O608" s="2079"/>
      <c r="Q608" s="2153">
        <v>20</v>
      </c>
      <c r="R608" s="2154">
        <f t="shared" si="47"/>
        <v>21.27</v>
      </c>
      <c r="S608" s="2154"/>
      <c r="T608" s="2154">
        <f t="shared" si="49"/>
        <v>0.91000000000000014</v>
      </c>
      <c r="U608" s="2155" t="str">
        <f t="shared" si="48"/>
        <v/>
      </c>
    </row>
    <row r="609" spans="2:21" s="2040" customFormat="1" ht="14" hidden="1" x14ac:dyDescent="0.3">
      <c r="B609" s="2051"/>
      <c r="O609" s="2079"/>
      <c r="Q609" s="2153">
        <v>21</v>
      </c>
      <c r="R609" s="2154">
        <f t="shared" si="47"/>
        <v>22.15</v>
      </c>
      <c r="S609" s="2154"/>
      <c r="T609" s="2154">
        <f t="shared" si="49"/>
        <v>0.87999999999999901</v>
      </c>
      <c r="U609" s="2155" t="str">
        <f t="shared" si="48"/>
        <v/>
      </c>
    </row>
    <row r="610" spans="2:21" s="2040" customFormat="1" ht="14" hidden="1" x14ac:dyDescent="0.3">
      <c r="B610" s="2157" t="s">
        <v>1607</v>
      </c>
      <c r="C610" s="2141"/>
      <c r="D610" s="2176" t="s">
        <v>1608</v>
      </c>
      <c r="E610" s="2150" t="s">
        <v>1609</v>
      </c>
      <c r="F610" s="2141"/>
      <c r="G610" s="2141"/>
      <c r="H610" s="2167" t="s">
        <v>1610</v>
      </c>
      <c r="I610" s="2141"/>
      <c r="J610" s="2141"/>
      <c r="K610" s="2141"/>
      <c r="L610" s="2141"/>
      <c r="M610" s="2141"/>
      <c r="N610" s="2141"/>
      <c r="O610" s="2079"/>
      <c r="Q610" s="2153">
        <v>22</v>
      </c>
      <c r="R610" s="2154">
        <f t="shared" si="47"/>
        <v>22.91</v>
      </c>
      <c r="S610" s="2154"/>
      <c r="T610" s="2154">
        <f t="shared" si="49"/>
        <v>0.76000000000000156</v>
      </c>
      <c r="U610" s="2155" t="str">
        <f t="shared" si="48"/>
        <v/>
      </c>
    </row>
    <row r="611" spans="2:21" s="2040" customFormat="1" ht="14" hidden="1" x14ac:dyDescent="0.3">
      <c r="B611" s="2157" t="s">
        <v>1611</v>
      </c>
      <c r="C611" s="2150" t="s">
        <v>1612</v>
      </c>
      <c r="D611" s="2168" t="s">
        <v>1613</v>
      </c>
      <c r="E611" s="2150" t="s">
        <v>1614</v>
      </c>
      <c r="F611" s="2150" t="s">
        <v>1615</v>
      </c>
      <c r="G611" s="2141"/>
      <c r="H611" s="2168" t="s">
        <v>1616</v>
      </c>
      <c r="I611" s="2168" t="s">
        <v>1617</v>
      </c>
      <c r="J611" s="2168" t="s">
        <v>1618</v>
      </c>
      <c r="K611" s="2168" t="s">
        <v>1619</v>
      </c>
      <c r="L611" s="2168" t="s">
        <v>1620</v>
      </c>
      <c r="M611" s="2168" t="s">
        <v>1621</v>
      </c>
      <c r="N611" s="2177"/>
      <c r="O611" s="2079"/>
      <c r="Q611" s="2153">
        <v>23</v>
      </c>
      <c r="R611" s="2154">
        <f t="shared" si="47"/>
        <v>23.77</v>
      </c>
      <c r="S611" s="2154"/>
      <c r="T611" s="2154">
        <f t="shared" si="49"/>
        <v>0.85999999999999943</v>
      </c>
      <c r="U611" s="2155" t="str">
        <f t="shared" si="48"/>
        <v/>
      </c>
    </row>
    <row r="612" spans="2:21" s="2040" customFormat="1" ht="14" hidden="1" x14ac:dyDescent="0.3">
      <c r="B612" s="2178" t="s">
        <v>868</v>
      </c>
      <c r="C612" s="2179" t="s">
        <v>1551</v>
      </c>
      <c r="D612" s="2180">
        <v>1</v>
      </c>
      <c r="E612" s="2181" t="s">
        <v>1622</v>
      </c>
      <c r="F612" s="2182" t="s">
        <v>1623</v>
      </c>
      <c r="G612" s="2182"/>
      <c r="H612" s="2183" t="s">
        <v>1624</v>
      </c>
      <c r="I612" s="2183" t="s">
        <v>1625</v>
      </c>
      <c r="J612" s="2183" t="s">
        <v>1626</v>
      </c>
      <c r="K612" s="2183" t="s">
        <v>1627</v>
      </c>
      <c r="L612" s="2183" t="s">
        <v>1628</v>
      </c>
      <c r="M612" s="2183" t="s">
        <v>1629</v>
      </c>
      <c r="N612" s="2179"/>
      <c r="O612" s="2079"/>
      <c r="Q612" s="2153">
        <v>24</v>
      </c>
      <c r="R612" s="2154">
        <f t="shared" si="47"/>
        <v>24.58</v>
      </c>
      <c r="S612" s="2154"/>
      <c r="T612" s="2154">
        <f t="shared" si="49"/>
        <v>0.80999999999999872</v>
      </c>
      <c r="U612" s="2155" t="str">
        <f t="shared" si="48"/>
        <v/>
      </c>
    </row>
    <row r="613" spans="2:21" s="2040" customFormat="1" ht="14" hidden="1" x14ac:dyDescent="0.3">
      <c r="B613" s="2178" t="s">
        <v>913</v>
      </c>
      <c r="C613" s="2184" t="s">
        <v>1904</v>
      </c>
      <c r="D613" s="2180">
        <v>10</v>
      </c>
      <c r="E613" s="2181" t="s">
        <v>1630</v>
      </c>
      <c r="F613" s="2182" t="s">
        <v>1631</v>
      </c>
      <c r="G613" s="2182"/>
      <c r="H613" s="2183" t="s">
        <v>1624</v>
      </c>
      <c r="I613" s="2182" t="s">
        <v>1632</v>
      </c>
      <c r="J613" s="2182" t="s">
        <v>1633</v>
      </c>
      <c r="K613" s="2182" t="s">
        <v>1634</v>
      </c>
      <c r="L613" s="2182" t="s">
        <v>1635</v>
      </c>
      <c r="M613" s="2182" t="s">
        <v>1636</v>
      </c>
      <c r="N613" s="2179"/>
      <c r="O613" s="2079"/>
      <c r="Q613" s="2153">
        <v>25</v>
      </c>
      <c r="R613" s="2154">
        <f t="shared" si="47"/>
        <v>25.54</v>
      </c>
      <c r="S613" s="2154"/>
      <c r="T613" s="2154">
        <f t="shared" si="49"/>
        <v>0.96000000000000085</v>
      </c>
      <c r="U613" s="2155" t="str">
        <f t="shared" si="48"/>
        <v/>
      </c>
    </row>
    <row r="614" spans="2:21" s="2040" customFormat="1" ht="14" hidden="1" x14ac:dyDescent="0.3">
      <c r="B614" s="2185" t="s">
        <v>913</v>
      </c>
      <c r="C614" s="2186" t="s">
        <v>1905</v>
      </c>
      <c r="D614" s="2187">
        <v>11</v>
      </c>
      <c r="E614" s="2169" t="s">
        <v>1637</v>
      </c>
      <c r="F614" s="2141" t="s">
        <v>1638</v>
      </c>
      <c r="G614" s="2141"/>
      <c r="H614" s="2162" t="s">
        <v>1624</v>
      </c>
      <c r="I614" s="2141" t="s">
        <v>1639</v>
      </c>
      <c r="J614" s="2141" t="s">
        <v>1625</v>
      </c>
      <c r="K614" s="2141" t="s">
        <v>1640</v>
      </c>
      <c r="L614" s="2141" t="s">
        <v>1641</v>
      </c>
      <c r="M614" s="2141" t="s">
        <v>1642</v>
      </c>
      <c r="N614" s="2188"/>
      <c r="O614" s="2079"/>
      <c r="Q614" s="2153">
        <v>26</v>
      </c>
      <c r="R614" s="2154">
        <f t="shared" si="47"/>
        <v>26.3</v>
      </c>
      <c r="S614" s="2154"/>
      <c r="T614" s="2154">
        <f t="shared" si="49"/>
        <v>0.76000000000000156</v>
      </c>
      <c r="U614" s="2155" t="str">
        <f t="shared" si="48"/>
        <v/>
      </c>
    </row>
    <row r="615" spans="2:21" s="2040" customFormat="1" ht="14" hidden="1" x14ac:dyDescent="0.3">
      <c r="B615" s="2189" t="s">
        <v>913</v>
      </c>
      <c r="C615" s="2190" t="s">
        <v>1911</v>
      </c>
      <c r="D615" s="2187">
        <v>15</v>
      </c>
      <c r="E615" s="2169" t="s">
        <v>1637</v>
      </c>
      <c r="F615" s="2141" t="s">
        <v>1638</v>
      </c>
      <c r="G615" s="2141"/>
      <c r="H615" s="2162" t="s">
        <v>1624</v>
      </c>
      <c r="I615" s="2141" t="s">
        <v>1639</v>
      </c>
      <c r="J615" s="2141" t="s">
        <v>1625</v>
      </c>
      <c r="K615" s="2141" t="s">
        <v>1640</v>
      </c>
      <c r="L615" s="2141" t="s">
        <v>1641</v>
      </c>
      <c r="M615" s="2141" t="s">
        <v>1642</v>
      </c>
      <c r="N615" s="2188"/>
      <c r="O615" s="2079"/>
      <c r="Q615" s="2153">
        <v>27</v>
      </c>
      <c r="R615" s="2154">
        <f t="shared" si="47"/>
        <v>26.84</v>
      </c>
      <c r="S615" s="2154"/>
      <c r="T615" s="2154">
        <f t="shared" si="49"/>
        <v>0.53999999999999915</v>
      </c>
      <c r="U615" s="2155" t="str">
        <f t="shared" si="48"/>
        <v/>
      </c>
    </row>
    <row r="616" spans="2:21" s="2040" customFormat="1" ht="14" hidden="1" x14ac:dyDescent="0.3">
      <c r="B616" s="2169" t="s">
        <v>866</v>
      </c>
      <c r="C616" s="2188" t="s">
        <v>1548</v>
      </c>
      <c r="D616" s="2180">
        <v>17</v>
      </c>
      <c r="E616" s="2181" t="s">
        <v>1643</v>
      </c>
      <c r="F616" s="2182" t="s">
        <v>1644</v>
      </c>
      <c r="G616" s="2182"/>
      <c r="H616" s="2183" t="s">
        <v>1624</v>
      </c>
      <c r="I616" s="2182" t="s">
        <v>1625</v>
      </c>
      <c r="J616" s="2182" t="s">
        <v>1645</v>
      </c>
      <c r="K616" s="2182" t="s">
        <v>1641</v>
      </c>
      <c r="L616" s="2182" t="s">
        <v>1642</v>
      </c>
      <c r="M616" s="2182" t="s">
        <v>1629</v>
      </c>
      <c r="N616" s="2179"/>
      <c r="O616" s="2079"/>
      <c r="Q616" s="2153">
        <v>28</v>
      </c>
      <c r="R616" s="2154">
        <f t="shared" si="47"/>
        <v>27.45</v>
      </c>
      <c r="S616" s="2154"/>
      <c r="T616" s="2154">
        <f t="shared" si="49"/>
        <v>0.60999999999999943</v>
      </c>
      <c r="U616" s="2155" t="str">
        <f t="shared" si="48"/>
        <v/>
      </c>
    </row>
    <row r="617" spans="2:21" s="2040" customFormat="1" ht="14" hidden="1" x14ac:dyDescent="0.3">
      <c r="B617" s="2169" t="s">
        <v>866</v>
      </c>
      <c r="C617" s="2188" t="s">
        <v>1906</v>
      </c>
      <c r="D617" s="2187">
        <v>19</v>
      </c>
      <c r="E617" s="2169" t="s">
        <v>1646</v>
      </c>
      <c r="F617" s="2141" t="s">
        <v>1644</v>
      </c>
      <c r="G617" s="2141"/>
      <c r="H617" s="2162" t="s">
        <v>1624</v>
      </c>
      <c r="I617" s="2141" t="s">
        <v>1625</v>
      </c>
      <c r="J617" s="2141" t="s">
        <v>1645</v>
      </c>
      <c r="K617" s="2141" t="s">
        <v>1641</v>
      </c>
      <c r="L617" s="2141" t="s">
        <v>1642</v>
      </c>
      <c r="M617" s="2141" t="s">
        <v>1629</v>
      </c>
      <c r="N617" s="2188"/>
      <c r="O617" s="2079"/>
      <c r="Q617" s="2153">
        <v>29</v>
      </c>
      <c r="R617" s="2154">
        <f t="shared" si="47"/>
        <v>28.11</v>
      </c>
      <c r="S617" s="2154"/>
      <c r="T617" s="2154">
        <f t="shared" si="49"/>
        <v>0.66000000000000014</v>
      </c>
      <c r="U617" s="2155" t="str">
        <f t="shared" si="48"/>
        <v/>
      </c>
    </row>
    <row r="618" spans="2:21" s="2040" customFormat="1" ht="14" hidden="1" x14ac:dyDescent="0.3">
      <c r="B618" s="2169" t="s">
        <v>866</v>
      </c>
      <c r="C618" s="2188" t="s">
        <v>1544</v>
      </c>
      <c r="D618" s="2187">
        <v>20</v>
      </c>
      <c r="E618" s="2169" t="s">
        <v>1646</v>
      </c>
      <c r="F618" s="2141" t="s">
        <v>1644</v>
      </c>
      <c r="G618" s="2141"/>
      <c r="H618" s="2162" t="s">
        <v>1624</v>
      </c>
      <c r="I618" s="2141" t="s">
        <v>1625</v>
      </c>
      <c r="J618" s="2141" t="s">
        <v>1645</v>
      </c>
      <c r="K618" s="2141" t="s">
        <v>1641</v>
      </c>
      <c r="L618" s="2141" t="s">
        <v>1642</v>
      </c>
      <c r="M618" s="2141" t="s">
        <v>1629</v>
      </c>
      <c r="N618" s="2188"/>
      <c r="O618" s="2079"/>
      <c r="Q618" s="2153">
        <v>30</v>
      </c>
      <c r="R618" s="2154">
        <f t="shared" si="47"/>
        <v>28.57</v>
      </c>
      <c r="S618" s="2154"/>
      <c r="T618" s="2154">
        <f t="shared" si="49"/>
        <v>0.46000000000000085</v>
      </c>
      <c r="U618" s="2155" t="str">
        <f t="shared" si="48"/>
        <v/>
      </c>
    </row>
    <row r="619" spans="2:21" s="2040" customFormat="1" ht="14" hidden="1" x14ac:dyDescent="0.3">
      <c r="B619" s="2189" t="s">
        <v>866</v>
      </c>
      <c r="C619" s="2191" t="s">
        <v>1549</v>
      </c>
      <c r="D619" s="2192">
        <v>22</v>
      </c>
      <c r="E619" s="2169" t="s">
        <v>1646</v>
      </c>
      <c r="F619" s="2141" t="s">
        <v>1644</v>
      </c>
      <c r="G619" s="2193"/>
      <c r="H619" s="2147" t="s">
        <v>1624</v>
      </c>
      <c r="I619" s="2193" t="s">
        <v>1625</v>
      </c>
      <c r="J619" s="2193" t="s">
        <v>1645</v>
      </c>
      <c r="K619" s="2193" t="s">
        <v>1641</v>
      </c>
      <c r="L619" s="2193" t="s">
        <v>1642</v>
      </c>
      <c r="M619" s="2193" t="s">
        <v>1629</v>
      </c>
      <c r="N619" s="2191"/>
      <c r="O619" s="2079"/>
      <c r="Q619" s="2153">
        <v>31</v>
      </c>
      <c r="R619" s="2154">
        <f t="shared" si="47"/>
        <v>29.07</v>
      </c>
      <c r="S619" s="2154"/>
      <c r="T619" s="2154">
        <f t="shared" si="49"/>
        <v>0.5</v>
      </c>
      <c r="U619" s="2155" t="str">
        <f t="shared" si="48"/>
        <v/>
      </c>
    </row>
    <row r="620" spans="2:21" s="2040" customFormat="1" ht="14" hidden="1" x14ac:dyDescent="0.3">
      <c r="B620" s="2185" t="s">
        <v>867</v>
      </c>
      <c r="C620" s="2188" t="s">
        <v>1552</v>
      </c>
      <c r="D620" s="2180">
        <v>23</v>
      </c>
      <c r="E620" s="2181" t="s">
        <v>1647</v>
      </c>
      <c r="F620" s="2182" t="s">
        <v>1648</v>
      </c>
      <c r="G620" s="2182"/>
      <c r="H620" s="2183" t="s">
        <v>1624</v>
      </c>
      <c r="I620" s="2182" t="s">
        <v>1625</v>
      </c>
      <c r="J620" s="2182" t="s">
        <v>1628</v>
      </c>
      <c r="K620" s="2182" t="s">
        <v>1629</v>
      </c>
      <c r="L620" s="2182" t="s">
        <v>1629</v>
      </c>
      <c r="M620" s="2182" t="s">
        <v>1629</v>
      </c>
      <c r="N620" s="2179"/>
      <c r="O620" s="2079"/>
      <c r="Q620" s="2153">
        <v>32</v>
      </c>
      <c r="R620" s="2154">
        <f t="shared" si="47"/>
        <v>29.68</v>
      </c>
      <c r="S620" s="2154"/>
      <c r="T620" s="2154">
        <f t="shared" si="49"/>
        <v>0.60999999999999943</v>
      </c>
      <c r="U620" s="2155" t="str">
        <f t="shared" si="48"/>
        <v/>
      </c>
    </row>
    <row r="621" spans="2:21" s="2040" customFormat="1" ht="14" hidden="1" x14ac:dyDescent="0.3">
      <c r="B621" s="2189" t="s">
        <v>867</v>
      </c>
      <c r="C621" s="2191" t="s">
        <v>1907</v>
      </c>
      <c r="D621" s="2187">
        <v>24</v>
      </c>
      <c r="E621" s="2169" t="s">
        <v>1647</v>
      </c>
      <c r="F621" s="2141" t="s">
        <v>1648</v>
      </c>
      <c r="G621" s="2141"/>
      <c r="H621" s="2162" t="s">
        <v>1624</v>
      </c>
      <c r="I621" s="2141" t="s">
        <v>1625</v>
      </c>
      <c r="J621" s="2141" t="s">
        <v>1628</v>
      </c>
      <c r="K621" s="2141" t="s">
        <v>1629</v>
      </c>
      <c r="L621" s="2141" t="s">
        <v>1629</v>
      </c>
      <c r="M621" s="2141" t="s">
        <v>1629</v>
      </c>
      <c r="N621" s="2188"/>
      <c r="O621" s="2079"/>
      <c r="Q621" s="2153">
        <v>33</v>
      </c>
      <c r="R621" s="2154">
        <f t="shared" ref="R621:R652" si="50">IF($F$606&gt;0,HLOOKUP($E$601,$B$694:$HX$794,Q621+1,FALSE),0)</f>
        <v>30.16</v>
      </c>
      <c r="S621" s="2154"/>
      <c r="T621" s="2154">
        <f t="shared" si="49"/>
        <v>0.48000000000000043</v>
      </c>
      <c r="U621" s="2155" t="str">
        <f t="shared" si="48"/>
        <v/>
      </c>
    </row>
    <row r="622" spans="2:21" s="2040" customFormat="1" ht="14" hidden="1" x14ac:dyDescent="0.3">
      <c r="B622" s="2185" t="s">
        <v>912</v>
      </c>
      <c r="C622" s="2194" t="s">
        <v>1908</v>
      </c>
      <c r="D622" s="2180">
        <v>28</v>
      </c>
      <c r="E622" s="2181" t="s">
        <v>1649</v>
      </c>
      <c r="F622" s="2182" t="s">
        <v>1650</v>
      </c>
      <c r="G622" s="2182"/>
      <c r="H622" s="2183" t="s">
        <v>1624</v>
      </c>
      <c r="I622" s="2182" t="s">
        <v>1639</v>
      </c>
      <c r="J622" s="2182" t="s">
        <v>1625</v>
      </c>
      <c r="K622" s="2182" t="s">
        <v>1645</v>
      </c>
      <c r="L622" s="2182" t="s">
        <v>1651</v>
      </c>
      <c r="M622" s="2182" t="s">
        <v>1652</v>
      </c>
      <c r="N622" s="2179"/>
      <c r="O622" s="2079"/>
      <c r="Q622" s="2153">
        <v>34</v>
      </c>
      <c r="R622" s="2154">
        <f t="shared" si="50"/>
        <v>30.79</v>
      </c>
      <c r="S622" s="2154"/>
      <c r="T622" s="2154">
        <f t="shared" si="49"/>
        <v>0.62999999999999901</v>
      </c>
      <c r="U622" s="2155" t="str">
        <f t="shared" si="48"/>
        <v/>
      </c>
    </row>
    <row r="623" spans="2:21" s="2040" customFormat="1" ht="14" hidden="1" x14ac:dyDescent="0.3">
      <c r="B623" s="2185" t="s">
        <v>912</v>
      </c>
      <c r="C623" s="2141" t="s">
        <v>1909</v>
      </c>
      <c r="D623" s="2187">
        <v>30</v>
      </c>
      <c r="E623" s="2169" t="s">
        <v>1653</v>
      </c>
      <c r="F623" s="2141" t="s">
        <v>1654</v>
      </c>
      <c r="G623" s="2141"/>
      <c r="H623" s="2162" t="s">
        <v>1624</v>
      </c>
      <c r="I623" s="2141" t="s">
        <v>1639</v>
      </c>
      <c r="J623" s="2141" t="s">
        <v>1625</v>
      </c>
      <c r="K623" s="2141" t="s">
        <v>1645</v>
      </c>
      <c r="L623" s="2141" t="s">
        <v>1628</v>
      </c>
      <c r="M623" s="2141" t="s">
        <v>1629</v>
      </c>
      <c r="N623" s="2188"/>
      <c r="O623" s="2079"/>
      <c r="Q623" s="2153">
        <v>35</v>
      </c>
      <c r="R623" s="2154">
        <f t="shared" si="50"/>
        <v>31.26</v>
      </c>
      <c r="S623" s="2154"/>
      <c r="T623" s="2154">
        <f t="shared" si="49"/>
        <v>0.47000000000000242</v>
      </c>
      <c r="U623" s="2155" t="str">
        <f t="shared" si="48"/>
        <v/>
      </c>
    </row>
    <row r="624" spans="2:21" s="2040" customFormat="1" ht="14" hidden="1" x14ac:dyDescent="0.3">
      <c r="B624" s="2185" t="s">
        <v>912</v>
      </c>
      <c r="C624" s="2141" t="s">
        <v>1910</v>
      </c>
      <c r="D624" s="2187">
        <v>31</v>
      </c>
      <c r="E624" s="2169" t="s">
        <v>1653</v>
      </c>
      <c r="F624" s="2141" t="s">
        <v>1654</v>
      </c>
      <c r="G624" s="2141"/>
      <c r="H624" s="2162" t="s">
        <v>1624</v>
      </c>
      <c r="I624" s="2141" t="s">
        <v>1639</v>
      </c>
      <c r="J624" s="2141" t="s">
        <v>1625</v>
      </c>
      <c r="K624" s="2141" t="s">
        <v>1645</v>
      </c>
      <c r="L624" s="2141" t="s">
        <v>1628</v>
      </c>
      <c r="M624" s="2141" t="s">
        <v>1629</v>
      </c>
      <c r="N624" s="2188"/>
      <c r="O624" s="2079"/>
      <c r="Q624" s="2153">
        <v>36</v>
      </c>
      <c r="R624" s="2154">
        <f t="shared" si="50"/>
        <v>31.74</v>
      </c>
      <c r="S624" s="2154"/>
      <c r="T624" s="2154">
        <f t="shared" si="49"/>
        <v>0.47999999999999687</v>
      </c>
      <c r="U624" s="2155" t="str">
        <f t="shared" si="48"/>
        <v/>
      </c>
    </row>
    <row r="625" spans="2:21" s="2040" customFormat="1" ht="14" hidden="1" x14ac:dyDescent="0.3">
      <c r="B625" s="2185" t="s">
        <v>912</v>
      </c>
      <c r="C625" s="2141" t="s">
        <v>1555</v>
      </c>
      <c r="D625" s="2187">
        <v>32</v>
      </c>
      <c r="E625" s="2169" t="s">
        <v>1655</v>
      </c>
      <c r="F625" s="2141" t="s">
        <v>1650</v>
      </c>
      <c r="G625" s="2141"/>
      <c r="H625" s="2162" t="s">
        <v>1624</v>
      </c>
      <c r="I625" s="2141" t="s">
        <v>1625</v>
      </c>
      <c r="J625" s="2141" t="s">
        <v>1645</v>
      </c>
      <c r="K625" s="2141" t="s">
        <v>1628</v>
      </c>
      <c r="L625" s="2141" t="s">
        <v>1629</v>
      </c>
      <c r="M625" s="2141" t="s">
        <v>1629</v>
      </c>
      <c r="N625" s="2188"/>
      <c r="O625" s="2079"/>
      <c r="Q625" s="2153">
        <v>37</v>
      </c>
      <c r="R625" s="2154">
        <f t="shared" si="50"/>
        <v>32.18</v>
      </c>
      <c r="S625" s="2154"/>
      <c r="T625" s="2154">
        <f t="shared" si="49"/>
        <v>0.44000000000000128</v>
      </c>
      <c r="U625" s="2155" t="str">
        <f t="shared" si="48"/>
        <v/>
      </c>
    </row>
    <row r="626" spans="2:21" s="2040" customFormat="1" ht="14" hidden="1" x14ac:dyDescent="0.3">
      <c r="B626" s="2185" t="s">
        <v>912</v>
      </c>
      <c r="C626" s="2141" t="s">
        <v>1557</v>
      </c>
      <c r="D626" s="2187">
        <v>33</v>
      </c>
      <c r="E626" s="2169" t="s">
        <v>1656</v>
      </c>
      <c r="F626" s="2141" t="s">
        <v>1657</v>
      </c>
      <c r="G626" s="2141"/>
      <c r="H626" s="2162" t="s">
        <v>1624</v>
      </c>
      <c r="I626" s="2141" t="s">
        <v>1625</v>
      </c>
      <c r="J626" s="2141" t="s">
        <v>1645</v>
      </c>
      <c r="K626" s="2141" t="s">
        <v>1658</v>
      </c>
      <c r="L626" s="2141" t="s">
        <v>1628</v>
      </c>
      <c r="M626" s="2141" t="s">
        <v>1629</v>
      </c>
      <c r="N626" s="2188"/>
      <c r="Q626" s="2153">
        <v>38</v>
      </c>
      <c r="R626" s="2154">
        <f t="shared" si="50"/>
        <v>32.6</v>
      </c>
      <c r="S626" s="2154"/>
      <c r="T626" s="2154">
        <f t="shared" si="49"/>
        <v>0.42000000000000171</v>
      </c>
      <c r="U626" s="2155" t="str">
        <f t="shared" si="48"/>
        <v/>
      </c>
    </row>
    <row r="627" spans="2:21" s="2040" customFormat="1" ht="14" hidden="1" x14ac:dyDescent="0.3">
      <c r="B627" s="2189" t="s">
        <v>912</v>
      </c>
      <c r="C627" s="2193" t="s">
        <v>1556</v>
      </c>
      <c r="D627" s="2192">
        <v>35</v>
      </c>
      <c r="E627" s="2195" t="s">
        <v>1648</v>
      </c>
      <c r="F627" s="2193" t="s">
        <v>1654</v>
      </c>
      <c r="G627" s="2193"/>
      <c r="H627" s="2147" t="s">
        <v>1624</v>
      </c>
      <c r="I627" s="2193" t="s">
        <v>1639</v>
      </c>
      <c r="J627" s="2193" t="s">
        <v>1625</v>
      </c>
      <c r="K627" s="2193" t="s">
        <v>1645</v>
      </c>
      <c r="L627" s="2193" t="s">
        <v>1628</v>
      </c>
      <c r="M627" s="2193" t="s">
        <v>1629</v>
      </c>
      <c r="N627" s="2191"/>
      <c r="Q627" s="2153">
        <v>39</v>
      </c>
      <c r="R627" s="2154">
        <f t="shared" si="50"/>
        <v>33.01</v>
      </c>
      <c r="S627" s="2154"/>
      <c r="T627" s="2154">
        <f t="shared" si="49"/>
        <v>0.40999999999999659</v>
      </c>
      <c r="U627" s="2155" t="str">
        <f t="shared" si="48"/>
        <v/>
      </c>
    </row>
    <row r="628" spans="2:21" s="2040" customFormat="1" ht="14" hidden="1" x14ac:dyDescent="0.3">
      <c r="B628" s="2185" t="s">
        <v>914</v>
      </c>
      <c r="C628" s="2141" t="s">
        <v>1550</v>
      </c>
      <c r="D628" s="2180">
        <v>36</v>
      </c>
      <c r="E628" s="2181" t="s">
        <v>1659</v>
      </c>
      <c r="F628" s="2182" t="s">
        <v>1630</v>
      </c>
      <c r="G628" s="2182"/>
      <c r="H628" s="2183" t="s">
        <v>1624</v>
      </c>
      <c r="I628" s="2182" t="s">
        <v>1660</v>
      </c>
      <c r="J628" s="2182" t="s">
        <v>1661</v>
      </c>
      <c r="K628" s="2182" t="s">
        <v>1662</v>
      </c>
      <c r="L628" s="2182" t="s">
        <v>1663</v>
      </c>
      <c r="M628" s="2182" t="s">
        <v>1664</v>
      </c>
      <c r="N628" s="2179"/>
      <c r="Q628" s="2153">
        <v>40</v>
      </c>
      <c r="R628" s="2154">
        <f t="shared" si="50"/>
        <v>33.4</v>
      </c>
      <c r="S628" s="2154"/>
      <c r="T628" s="2154">
        <f t="shared" si="49"/>
        <v>0.39000000000000057</v>
      </c>
      <c r="U628" s="2155" t="str">
        <f t="shared" si="48"/>
        <v/>
      </c>
    </row>
    <row r="629" spans="2:21" s="2040" customFormat="1" ht="14" hidden="1" x14ac:dyDescent="0.3">
      <c r="B629" s="2189" t="s">
        <v>914</v>
      </c>
      <c r="C629" s="2191" t="s">
        <v>1543</v>
      </c>
      <c r="D629" s="2192">
        <v>40</v>
      </c>
      <c r="E629" s="2195" t="s">
        <v>1665</v>
      </c>
      <c r="F629" s="2193" t="s">
        <v>1666</v>
      </c>
      <c r="G629" s="2193"/>
      <c r="H629" s="2147" t="s">
        <v>1624</v>
      </c>
      <c r="I629" s="2193" t="s">
        <v>1660</v>
      </c>
      <c r="J629" s="2193" t="s">
        <v>1661</v>
      </c>
      <c r="K629" s="2193" t="s">
        <v>1662</v>
      </c>
      <c r="L629" s="2193" t="s">
        <v>1663</v>
      </c>
      <c r="M629" s="2193" t="s">
        <v>1664</v>
      </c>
      <c r="N629" s="2191"/>
      <c r="Q629" s="2153">
        <v>41</v>
      </c>
      <c r="R629" s="2154">
        <f t="shared" si="50"/>
        <v>33.78</v>
      </c>
      <c r="S629" s="2154"/>
      <c r="T629" s="2154">
        <f t="shared" si="49"/>
        <v>0.38000000000000256</v>
      </c>
      <c r="U629" s="2155" t="str">
        <f t="shared" si="48"/>
        <v/>
      </c>
    </row>
    <row r="630" spans="2:21" s="2040" customFormat="1" ht="14" hidden="1" x14ac:dyDescent="0.3">
      <c r="Q630" s="2153">
        <v>42</v>
      </c>
      <c r="R630" s="2154">
        <f t="shared" si="50"/>
        <v>34.14</v>
      </c>
      <c r="S630" s="2154"/>
      <c r="T630" s="2154">
        <f t="shared" si="49"/>
        <v>0.35999999999999943</v>
      </c>
      <c r="U630" s="2155" t="str">
        <f t="shared" si="48"/>
        <v/>
      </c>
    </row>
    <row r="631" spans="2:21" s="2040" customFormat="1" ht="14" hidden="1" x14ac:dyDescent="0.3">
      <c r="Q631" s="2153">
        <v>43</v>
      </c>
      <c r="R631" s="2154">
        <f t="shared" si="50"/>
        <v>34.5</v>
      </c>
      <c r="S631" s="2154"/>
      <c r="T631" s="2154">
        <f t="shared" si="49"/>
        <v>0.35999999999999943</v>
      </c>
      <c r="U631" s="2155" t="str">
        <f t="shared" si="48"/>
        <v/>
      </c>
    </row>
    <row r="632" spans="2:21" s="2040" customFormat="1" ht="14" hidden="1" x14ac:dyDescent="0.3">
      <c r="Q632" s="2153">
        <v>44</v>
      </c>
      <c r="R632" s="2154">
        <f t="shared" si="50"/>
        <v>34.83</v>
      </c>
      <c r="S632" s="2141"/>
      <c r="T632" s="2154">
        <f t="shared" si="49"/>
        <v>0.32999999999999829</v>
      </c>
      <c r="U632" s="2155" t="str">
        <f t="shared" si="48"/>
        <v/>
      </c>
    </row>
    <row r="633" spans="2:21" s="2040" customFormat="1" ht="14" hidden="1" x14ac:dyDescent="0.3">
      <c r="Q633" s="2153">
        <v>45</v>
      </c>
      <c r="R633" s="2154">
        <f t="shared" si="50"/>
        <v>35.159999999999997</v>
      </c>
      <c r="S633" s="2141"/>
      <c r="T633" s="2154">
        <f t="shared" si="49"/>
        <v>0.32999999999999829</v>
      </c>
      <c r="U633" s="2155" t="str">
        <f t="shared" si="48"/>
        <v/>
      </c>
    </row>
    <row r="634" spans="2:21" s="2040" customFormat="1" ht="14" hidden="1" x14ac:dyDescent="0.3">
      <c r="Q634" s="2153">
        <v>46</v>
      </c>
      <c r="R634" s="2154">
        <f t="shared" si="50"/>
        <v>35.479999999999997</v>
      </c>
      <c r="S634" s="2141"/>
      <c r="T634" s="2154">
        <f t="shared" si="49"/>
        <v>0.32000000000000028</v>
      </c>
      <c r="U634" s="2155" t="str">
        <f t="shared" si="48"/>
        <v/>
      </c>
    </row>
    <row r="635" spans="2:21" s="2040" customFormat="1" ht="14" hidden="1" x14ac:dyDescent="0.3">
      <c r="Q635" s="2153">
        <v>47</v>
      </c>
      <c r="R635" s="2154">
        <f t="shared" si="50"/>
        <v>35.78</v>
      </c>
      <c r="S635" s="2141"/>
      <c r="T635" s="2154">
        <f t="shared" si="49"/>
        <v>0.30000000000000426</v>
      </c>
      <c r="U635" s="2155" t="str">
        <f t="shared" si="48"/>
        <v/>
      </c>
    </row>
    <row r="636" spans="2:21" s="2040" customFormat="1" ht="14" hidden="1" x14ac:dyDescent="0.3">
      <c r="Q636" s="2153">
        <v>48</v>
      </c>
      <c r="R636" s="2154">
        <f t="shared" si="50"/>
        <v>36.08</v>
      </c>
      <c r="S636" s="2141"/>
      <c r="T636" s="2154">
        <f t="shared" si="49"/>
        <v>0.29999999999999716</v>
      </c>
      <c r="U636" s="2155" t="str">
        <f t="shared" si="48"/>
        <v/>
      </c>
    </row>
    <row r="637" spans="2:21" s="2040" customFormat="1" ht="14" hidden="1" x14ac:dyDescent="0.3">
      <c r="Q637" s="2153">
        <v>49</v>
      </c>
      <c r="R637" s="2154">
        <f t="shared" si="50"/>
        <v>36.36</v>
      </c>
      <c r="S637" s="2141"/>
      <c r="T637" s="2154">
        <f t="shared" si="49"/>
        <v>0.28000000000000114</v>
      </c>
      <c r="U637" s="2155" t="str">
        <f t="shared" si="48"/>
        <v/>
      </c>
    </row>
    <row r="638" spans="2:21" s="2040" customFormat="1" ht="14" hidden="1" x14ac:dyDescent="0.3">
      <c r="Q638" s="2153">
        <v>50</v>
      </c>
      <c r="R638" s="2154">
        <f t="shared" si="50"/>
        <v>36.64</v>
      </c>
      <c r="S638" s="2141"/>
      <c r="T638" s="2154">
        <f t="shared" si="49"/>
        <v>0.28000000000000114</v>
      </c>
      <c r="U638" s="2155" t="str">
        <f t="shared" si="48"/>
        <v/>
      </c>
    </row>
    <row r="639" spans="2:21" s="2040" customFormat="1" ht="14" hidden="1" x14ac:dyDescent="0.3">
      <c r="Q639" s="2153">
        <v>51</v>
      </c>
      <c r="R639" s="2154">
        <f t="shared" si="50"/>
        <v>36.909999999999997</v>
      </c>
      <c r="S639" s="2141"/>
      <c r="T639" s="2154">
        <f t="shared" si="49"/>
        <v>0.26999999999999602</v>
      </c>
      <c r="U639" s="2155" t="str">
        <f t="shared" si="48"/>
        <v/>
      </c>
    </row>
    <row r="640" spans="2:21" s="2040" customFormat="1" ht="14" hidden="1" x14ac:dyDescent="0.3">
      <c r="Q640" s="2153">
        <v>52</v>
      </c>
      <c r="R640" s="2154">
        <f t="shared" si="50"/>
        <v>37.17</v>
      </c>
      <c r="S640" s="2141"/>
      <c r="T640" s="2154">
        <f t="shared" si="49"/>
        <v>0.26000000000000512</v>
      </c>
      <c r="U640" s="2155" t="str">
        <f t="shared" si="48"/>
        <v/>
      </c>
    </row>
    <row r="641" spans="17:21" s="2040" customFormat="1" ht="14" hidden="1" x14ac:dyDescent="0.3">
      <c r="Q641" s="2153">
        <v>53</v>
      </c>
      <c r="R641" s="2154">
        <f t="shared" si="50"/>
        <v>37.42</v>
      </c>
      <c r="S641" s="2141"/>
      <c r="T641" s="2154">
        <f t="shared" si="49"/>
        <v>0.25</v>
      </c>
      <c r="U641" s="2155" t="str">
        <f t="shared" si="48"/>
        <v/>
      </c>
    </row>
    <row r="642" spans="17:21" s="2040" customFormat="1" ht="14" hidden="1" x14ac:dyDescent="0.3">
      <c r="Q642" s="2153">
        <v>54</v>
      </c>
      <c r="R642" s="2154">
        <f t="shared" si="50"/>
        <v>37.659999999999997</v>
      </c>
      <c r="S642" s="2141"/>
      <c r="T642" s="2154">
        <f t="shared" si="49"/>
        <v>0.23999999999999488</v>
      </c>
      <c r="U642" s="2155" t="str">
        <f t="shared" si="48"/>
        <v/>
      </c>
    </row>
    <row r="643" spans="17:21" s="2040" customFormat="1" ht="14" hidden="1" x14ac:dyDescent="0.3">
      <c r="Q643" s="2153">
        <v>55</v>
      </c>
      <c r="R643" s="2154">
        <f t="shared" si="50"/>
        <v>37.9</v>
      </c>
      <c r="S643" s="2141"/>
      <c r="T643" s="2154">
        <f t="shared" si="49"/>
        <v>0.24000000000000199</v>
      </c>
      <c r="U643" s="2155" t="str">
        <f t="shared" si="48"/>
        <v/>
      </c>
    </row>
    <row r="644" spans="17:21" s="2040" customFormat="1" ht="14" hidden="1" x14ac:dyDescent="0.3">
      <c r="Q644" s="2153">
        <v>56</v>
      </c>
      <c r="R644" s="2154">
        <f t="shared" si="50"/>
        <v>38.130000000000003</v>
      </c>
      <c r="S644" s="2141"/>
      <c r="T644" s="2154">
        <f t="shared" si="49"/>
        <v>0.23000000000000398</v>
      </c>
      <c r="U644" s="2155" t="str">
        <f t="shared" si="48"/>
        <v/>
      </c>
    </row>
    <row r="645" spans="17:21" s="2040" customFormat="1" ht="14" hidden="1" x14ac:dyDescent="0.3">
      <c r="Q645" s="2153">
        <v>57</v>
      </c>
      <c r="R645" s="2154">
        <f t="shared" si="50"/>
        <v>38.35</v>
      </c>
      <c r="S645" s="2141"/>
      <c r="T645" s="2154">
        <f t="shared" si="49"/>
        <v>0.21999999999999886</v>
      </c>
      <c r="U645" s="2155" t="str">
        <f t="shared" si="48"/>
        <v/>
      </c>
    </row>
    <row r="646" spans="17:21" s="2040" customFormat="1" ht="14" hidden="1" x14ac:dyDescent="0.3">
      <c r="Q646" s="2153">
        <v>58</v>
      </c>
      <c r="R646" s="2154">
        <f t="shared" si="50"/>
        <v>38.57</v>
      </c>
      <c r="S646" s="2141"/>
      <c r="T646" s="2154">
        <f t="shared" si="49"/>
        <v>0.21999999999999886</v>
      </c>
      <c r="U646" s="2155" t="str">
        <f t="shared" si="48"/>
        <v/>
      </c>
    </row>
    <row r="647" spans="17:21" s="2040" customFormat="1" ht="14" hidden="1" x14ac:dyDescent="0.3">
      <c r="Q647" s="2153">
        <v>59</v>
      </c>
      <c r="R647" s="2154">
        <f t="shared" si="50"/>
        <v>38.78</v>
      </c>
      <c r="S647" s="2141"/>
      <c r="T647" s="2154">
        <f t="shared" si="49"/>
        <v>0.21000000000000085</v>
      </c>
      <c r="U647" s="2155" t="str">
        <f t="shared" si="48"/>
        <v/>
      </c>
    </row>
    <row r="648" spans="17:21" s="2040" customFormat="1" ht="14" hidden="1" x14ac:dyDescent="0.3">
      <c r="Q648" s="2153">
        <v>60</v>
      </c>
      <c r="R648" s="2154">
        <f t="shared" si="50"/>
        <v>38.979999999999997</v>
      </c>
      <c r="S648" s="2141"/>
      <c r="T648" s="2154">
        <f t="shared" si="49"/>
        <v>0.19999999999999574</v>
      </c>
      <c r="U648" s="2155" t="str">
        <f t="shared" si="48"/>
        <v/>
      </c>
    </row>
    <row r="649" spans="17:21" s="2040" customFormat="1" ht="14" hidden="1" x14ac:dyDescent="0.3">
      <c r="Q649" s="2153">
        <v>61</v>
      </c>
      <c r="R649" s="2154">
        <f t="shared" si="50"/>
        <v>39.18</v>
      </c>
      <c r="S649" s="2141"/>
      <c r="T649" s="2154">
        <f t="shared" si="49"/>
        <v>0.20000000000000284</v>
      </c>
      <c r="U649" s="2155" t="str">
        <f t="shared" si="48"/>
        <v/>
      </c>
    </row>
    <row r="650" spans="17:21" s="2040" customFormat="1" ht="14" hidden="1" x14ac:dyDescent="0.3">
      <c r="Q650" s="2153">
        <v>62</v>
      </c>
      <c r="R650" s="2154">
        <f t="shared" si="50"/>
        <v>39.380000000000003</v>
      </c>
      <c r="S650" s="2141"/>
      <c r="T650" s="2154">
        <f t="shared" si="49"/>
        <v>0.20000000000000284</v>
      </c>
      <c r="U650" s="2155" t="str">
        <f t="shared" si="48"/>
        <v/>
      </c>
    </row>
    <row r="651" spans="17:21" s="2040" customFormat="1" ht="14" hidden="1" x14ac:dyDescent="0.3">
      <c r="Q651" s="2153">
        <v>63</v>
      </c>
      <c r="R651" s="2154">
        <f t="shared" si="50"/>
        <v>39.57</v>
      </c>
      <c r="S651" s="2141"/>
      <c r="T651" s="2154">
        <f t="shared" si="49"/>
        <v>0.18999999999999773</v>
      </c>
      <c r="U651" s="2155" t="str">
        <f t="shared" si="48"/>
        <v/>
      </c>
    </row>
    <row r="652" spans="17:21" s="2040" customFormat="1" ht="14" hidden="1" x14ac:dyDescent="0.3">
      <c r="Q652" s="2153">
        <v>64</v>
      </c>
      <c r="R652" s="2154">
        <f t="shared" si="50"/>
        <v>39.75</v>
      </c>
      <c r="S652" s="2141"/>
      <c r="T652" s="2154">
        <f t="shared" si="49"/>
        <v>0.17999999999999972</v>
      </c>
      <c r="U652" s="2155" t="str">
        <f t="shared" si="48"/>
        <v/>
      </c>
    </row>
    <row r="653" spans="17:21" s="2040" customFormat="1" ht="14" hidden="1" x14ac:dyDescent="0.3">
      <c r="Q653" s="2153">
        <v>65</v>
      </c>
      <c r="R653" s="2154">
        <f t="shared" ref="R653:R684" si="51">IF($F$606&gt;0,HLOOKUP($E$601,$B$694:$HX$794,Q653+1,FALSE),0)</f>
        <v>39.93</v>
      </c>
      <c r="S653" s="2141"/>
      <c r="T653" s="2154">
        <f t="shared" si="49"/>
        <v>0.17999999999999972</v>
      </c>
      <c r="U653" s="2155" t="str">
        <f t="shared" ref="U653:U661" si="52">IF(Q653=$E$604,R653-0,"")</f>
        <v/>
      </c>
    </row>
    <row r="654" spans="17:21" s="2040" customFormat="1" ht="14" hidden="1" x14ac:dyDescent="0.3">
      <c r="Q654" s="2153">
        <v>66</v>
      </c>
      <c r="R654" s="2154">
        <f t="shared" si="51"/>
        <v>40.1</v>
      </c>
      <c r="S654" s="2141"/>
      <c r="T654" s="2154">
        <f t="shared" si="49"/>
        <v>0.17000000000000171</v>
      </c>
      <c r="U654" s="2155" t="str">
        <f t="shared" si="52"/>
        <v/>
      </c>
    </row>
    <row r="655" spans="17:21" s="2040" customFormat="1" ht="14" hidden="1" x14ac:dyDescent="0.3">
      <c r="Q655" s="2153">
        <v>67</v>
      </c>
      <c r="R655" s="2154">
        <f t="shared" si="51"/>
        <v>40.270000000000003</v>
      </c>
      <c r="S655" s="2141"/>
      <c r="T655" s="2154">
        <f t="shared" ref="T655:T688" si="53">R655-R654</f>
        <v>0.17000000000000171</v>
      </c>
      <c r="U655" s="2155" t="str">
        <f t="shared" si="52"/>
        <v/>
      </c>
    </row>
    <row r="656" spans="17:21" s="2040" customFormat="1" ht="14" hidden="1" x14ac:dyDescent="0.3">
      <c r="Q656" s="2153">
        <v>68</v>
      </c>
      <c r="R656" s="2154">
        <f t="shared" si="51"/>
        <v>40.44</v>
      </c>
      <c r="S656" s="2141"/>
      <c r="T656" s="2154">
        <f t="shared" si="53"/>
        <v>0.1699999999999946</v>
      </c>
      <c r="U656" s="2155" t="str">
        <f t="shared" si="52"/>
        <v/>
      </c>
    </row>
    <row r="657" spans="17:21" s="2040" customFormat="1" ht="14" hidden="1" x14ac:dyDescent="0.3">
      <c r="Q657" s="2153">
        <v>69</v>
      </c>
      <c r="R657" s="2154">
        <f t="shared" si="51"/>
        <v>40.6</v>
      </c>
      <c r="S657" s="2141"/>
      <c r="T657" s="2154">
        <f t="shared" si="53"/>
        <v>0.16000000000000369</v>
      </c>
      <c r="U657" s="2155" t="str">
        <f t="shared" si="52"/>
        <v/>
      </c>
    </row>
    <row r="658" spans="17:21" s="2040" customFormat="1" ht="14" hidden="1" x14ac:dyDescent="0.3">
      <c r="Q658" s="2153">
        <v>70</v>
      </c>
      <c r="R658" s="2154">
        <f t="shared" si="51"/>
        <v>40.76</v>
      </c>
      <c r="S658" s="2141"/>
      <c r="T658" s="2154">
        <f t="shared" si="53"/>
        <v>0.15999999999999659</v>
      </c>
      <c r="U658" s="2155" t="str">
        <f t="shared" si="52"/>
        <v/>
      </c>
    </row>
    <row r="659" spans="17:21" s="2040" customFormat="1" ht="14" hidden="1" x14ac:dyDescent="0.3">
      <c r="Q659" s="2153">
        <v>71</v>
      </c>
      <c r="R659" s="2154">
        <f t="shared" si="51"/>
        <v>40.909999999999997</v>
      </c>
      <c r="S659" s="2141"/>
      <c r="T659" s="2154">
        <f t="shared" si="53"/>
        <v>0.14999999999999858</v>
      </c>
      <c r="U659" s="2155" t="str">
        <f t="shared" si="52"/>
        <v/>
      </c>
    </row>
    <row r="660" spans="17:21" s="2040" customFormat="1" ht="14" hidden="1" x14ac:dyDescent="0.3">
      <c r="Q660" s="2153">
        <v>72</v>
      </c>
      <c r="R660" s="2154">
        <f t="shared" si="51"/>
        <v>41.06</v>
      </c>
      <c r="S660" s="2141"/>
      <c r="T660" s="2154">
        <f t="shared" si="53"/>
        <v>0.15000000000000568</v>
      </c>
      <c r="U660" s="2155" t="str">
        <f t="shared" si="52"/>
        <v/>
      </c>
    </row>
    <row r="661" spans="17:21" s="2040" customFormat="1" ht="14" hidden="1" x14ac:dyDescent="0.3">
      <c r="Q661" s="2153">
        <v>73</v>
      </c>
      <c r="R661" s="2154">
        <f t="shared" si="51"/>
        <v>41.21</v>
      </c>
      <c r="T661" s="2154">
        <f t="shared" si="53"/>
        <v>0.14999999999999858</v>
      </c>
      <c r="U661" s="2155" t="str">
        <f t="shared" si="52"/>
        <v/>
      </c>
    </row>
    <row r="662" spans="17:21" s="2040" customFormat="1" ht="14" hidden="1" x14ac:dyDescent="0.3">
      <c r="Q662" s="2153">
        <v>74</v>
      </c>
      <c r="R662" s="2154">
        <f t="shared" si="51"/>
        <v>41.35</v>
      </c>
      <c r="T662" s="2154">
        <f t="shared" si="53"/>
        <v>0.14000000000000057</v>
      </c>
      <c r="U662" s="2115"/>
    </row>
    <row r="663" spans="17:21" s="2040" customFormat="1" ht="14" hidden="1" x14ac:dyDescent="0.3">
      <c r="Q663" s="2153">
        <v>75</v>
      </c>
      <c r="R663" s="2154">
        <f t="shared" si="51"/>
        <v>41.49</v>
      </c>
      <c r="T663" s="2154">
        <f t="shared" si="53"/>
        <v>0.14000000000000057</v>
      </c>
      <c r="U663" s="2115"/>
    </row>
    <row r="664" spans="17:21" s="2040" customFormat="1" ht="14" hidden="1" x14ac:dyDescent="0.3">
      <c r="Q664" s="2153">
        <v>76</v>
      </c>
      <c r="R664" s="2154">
        <f t="shared" si="51"/>
        <v>41.63</v>
      </c>
      <c r="T664" s="2154">
        <f t="shared" si="53"/>
        <v>0.14000000000000057</v>
      </c>
      <c r="U664" s="2115"/>
    </row>
    <row r="665" spans="17:21" s="2040" customFormat="1" ht="14" hidden="1" x14ac:dyDescent="0.3">
      <c r="Q665" s="2153">
        <v>77</v>
      </c>
      <c r="R665" s="2154">
        <f t="shared" si="51"/>
        <v>41.76</v>
      </c>
      <c r="T665" s="2154">
        <f t="shared" si="53"/>
        <v>0.12999999999999545</v>
      </c>
      <c r="U665" s="2115"/>
    </row>
    <row r="666" spans="17:21" s="2040" customFormat="1" ht="14" hidden="1" x14ac:dyDescent="0.3">
      <c r="Q666" s="2153">
        <v>78</v>
      </c>
      <c r="R666" s="2154">
        <f t="shared" si="51"/>
        <v>41.89</v>
      </c>
      <c r="T666" s="2154">
        <f t="shared" si="53"/>
        <v>0.13000000000000256</v>
      </c>
      <c r="U666" s="2115"/>
    </row>
    <row r="667" spans="17:21" s="2040" customFormat="1" ht="14" hidden="1" x14ac:dyDescent="0.3">
      <c r="Q667" s="2153">
        <v>79</v>
      </c>
      <c r="R667" s="2154">
        <f t="shared" si="51"/>
        <v>42.02</v>
      </c>
      <c r="T667" s="2154">
        <f t="shared" si="53"/>
        <v>0.13000000000000256</v>
      </c>
      <c r="U667" s="2115"/>
    </row>
    <row r="668" spans="17:21" s="2040" customFormat="1" ht="14" hidden="1" x14ac:dyDescent="0.3">
      <c r="Q668" s="2153">
        <v>80</v>
      </c>
      <c r="R668" s="2154">
        <f t="shared" si="51"/>
        <v>42.14</v>
      </c>
      <c r="T668" s="2154">
        <f t="shared" si="53"/>
        <v>0.11999999999999744</v>
      </c>
      <c r="U668" s="2115"/>
    </row>
    <row r="669" spans="17:21" s="2040" customFormat="1" ht="14" hidden="1" x14ac:dyDescent="0.3">
      <c r="Q669" s="2153">
        <v>81</v>
      </c>
      <c r="R669" s="2154">
        <f t="shared" si="51"/>
        <v>42.27</v>
      </c>
      <c r="T669" s="2154">
        <f t="shared" si="53"/>
        <v>0.13000000000000256</v>
      </c>
      <c r="U669" s="2115"/>
    </row>
    <row r="670" spans="17:21" s="2040" customFormat="1" ht="14" hidden="1" x14ac:dyDescent="0.3">
      <c r="Q670" s="2153">
        <v>82</v>
      </c>
      <c r="R670" s="2154">
        <f t="shared" si="51"/>
        <v>42.39</v>
      </c>
      <c r="T670" s="2154">
        <f t="shared" si="53"/>
        <v>0.11999999999999744</v>
      </c>
      <c r="U670" s="2115"/>
    </row>
    <row r="671" spans="17:21" s="2040" customFormat="1" ht="14" hidden="1" x14ac:dyDescent="0.3">
      <c r="Q671" s="2153">
        <v>83</v>
      </c>
      <c r="R671" s="2154">
        <f t="shared" si="51"/>
        <v>42.5</v>
      </c>
      <c r="T671" s="2154">
        <f t="shared" si="53"/>
        <v>0.10999999999999943</v>
      </c>
      <c r="U671" s="2115"/>
    </row>
    <row r="672" spans="17:21" s="2040" customFormat="1" ht="14" hidden="1" x14ac:dyDescent="0.3">
      <c r="Q672" s="2153">
        <v>84</v>
      </c>
      <c r="R672" s="2154">
        <f t="shared" si="51"/>
        <v>42.62</v>
      </c>
      <c r="T672" s="2154">
        <f t="shared" si="53"/>
        <v>0.11999999999999744</v>
      </c>
      <c r="U672" s="2115"/>
    </row>
    <row r="673" spans="17:21" s="2040" customFormat="1" ht="14" hidden="1" x14ac:dyDescent="0.3">
      <c r="Q673" s="2153">
        <v>85</v>
      </c>
      <c r="R673" s="2154">
        <f t="shared" si="51"/>
        <v>42.73</v>
      </c>
      <c r="T673" s="2154">
        <f t="shared" si="53"/>
        <v>0.10999999999999943</v>
      </c>
      <c r="U673" s="2115"/>
    </row>
    <row r="674" spans="17:21" s="2040" customFormat="1" ht="14" hidden="1" x14ac:dyDescent="0.3">
      <c r="Q674" s="2153">
        <v>86</v>
      </c>
      <c r="R674" s="2154">
        <f t="shared" si="51"/>
        <v>42.84</v>
      </c>
      <c r="T674" s="2154">
        <f t="shared" si="53"/>
        <v>0.11000000000000654</v>
      </c>
      <c r="U674" s="2115"/>
    </row>
    <row r="675" spans="17:21" s="2040" customFormat="1" ht="14" hidden="1" x14ac:dyDescent="0.3">
      <c r="Q675" s="2153">
        <v>87</v>
      </c>
      <c r="R675" s="2154">
        <f t="shared" si="51"/>
        <v>42.95</v>
      </c>
      <c r="T675" s="2154">
        <f t="shared" si="53"/>
        <v>0.10999999999999943</v>
      </c>
      <c r="U675" s="2115"/>
    </row>
    <row r="676" spans="17:21" s="2040" customFormat="1" ht="14" hidden="1" x14ac:dyDescent="0.3">
      <c r="Q676" s="2153">
        <v>88</v>
      </c>
      <c r="R676" s="2154">
        <f t="shared" si="51"/>
        <v>43.05</v>
      </c>
      <c r="T676" s="2154">
        <f t="shared" si="53"/>
        <v>9.9999999999994316E-2</v>
      </c>
      <c r="U676" s="2115"/>
    </row>
    <row r="677" spans="17:21" s="2040" customFormat="1" ht="14" hidden="1" x14ac:dyDescent="0.3">
      <c r="Q677" s="2153">
        <v>89</v>
      </c>
      <c r="R677" s="2154">
        <f t="shared" si="51"/>
        <v>43.16</v>
      </c>
      <c r="T677" s="2154">
        <f t="shared" si="53"/>
        <v>0.10999999999999943</v>
      </c>
      <c r="U677" s="2115"/>
    </row>
    <row r="678" spans="17:21" s="2040" customFormat="1" ht="14" hidden="1" x14ac:dyDescent="0.3">
      <c r="Q678" s="2153">
        <v>90</v>
      </c>
      <c r="R678" s="2154">
        <f t="shared" si="51"/>
        <v>43.26</v>
      </c>
      <c r="T678" s="2154">
        <f t="shared" si="53"/>
        <v>0.10000000000000142</v>
      </c>
      <c r="U678" s="2115"/>
    </row>
    <row r="679" spans="17:21" s="2040" customFormat="1" ht="14" hidden="1" x14ac:dyDescent="0.3">
      <c r="Q679" s="2153">
        <v>91</v>
      </c>
      <c r="R679" s="2154">
        <f t="shared" si="51"/>
        <v>43.36</v>
      </c>
      <c r="T679" s="2154">
        <f t="shared" si="53"/>
        <v>0.10000000000000142</v>
      </c>
      <c r="U679" s="2115"/>
    </row>
    <row r="680" spans="17:21" s="2040" customFormat="1" ht="14" hidden="1" x14ac:dyDescent="0.3">
      <c r="Q680" s="2153">
        <v>92</v>
      </c>
      <c r="R680" s="2154">
        <f t="shared" si="51"/>
        <v>43.45</v>
      </c>
      <c r="T680" s="2154">
        <f t="shared" si="53"/>
        <v>9.0000000000003411E-2</v>
      </c>
      <c r="U680" s="2115"/>
    </row>
    <row r="681" spans="17:21" s="2040" customFormat="1" ht="14" hidden="1" x14ac:dyDescent="0.3">
      <c r="Q681" s="2153">
        <v>93</v>
      </c>
      <c r="R681" s="2154">
        <f t="shared" si="51"/>
        <v>43.55</v>
      </c>
      <c r="T681" s="2154">
        <f t="shared" si="53"/>
        <v>9.9999999999994316E-2</v>
      </c>
      <c r="U681" s="2115"/>
    </row>
    <row r="682" spans="17:21" s="2040" customFormat="1" ht="14" hidden="1" x14ac:dyDescent="0.3">
      <c r="Q682" s="2153">
        <v>94</v>
      </c>
      <c r="R682" s="2154">
        <f t="shared" si="51"/>
        <v>43.64</v>
      </c>
      <c r="T682" s="2154">
        <f t="shared" si="53"/>
        <v>9.0000000000003411E-2</v>
      </c>
      <c r="U682" s="2115"/>
    </row>
    <row r="683" spans="17:21" s="2040" customFormat="1" ht="14" hidden="1" x14ac:dyDescent="0.3">
      <c r="Q683" s="2153">
        <v>95</v>
      </c>
      <c r="R683" s="2154">
        <f t="shared" si="51"/>
        <v>43.74</v>
      </c>
      <c r="T683" s="2154">
        <f t="shared" si="53"/>
        <v>0.10000000000000142</v>
      </c>
      <c r="U683" s="2115"/>
    </row>
    <row r="684" spans="17:21" s="2040" customFormat="1" ht="14" hidden="1" x14ac:dyDescent="0.3">
      <c r="Q684" s="2153">
        <v>96</v>
      </c>
      <c r="R684" s="2154">
        <f t="shared" si="51"/>
        <v>43.83</v>
      </c>
      <c r="T684" s="2154">
        <f t="shared" si="53"/>
        <v>8.9999999999996305E-2</v>
      </c>
      <c r="U684" s="2115"/>
    </row>
    <row r="685" spans="17:21" s="2040" customFormat="1" ht="14" hidden="1" x14ac:dyDescent="0.3">
      <c r="Q685" s="2153">
        <v>97</v>
      </c>
      <c r="R685" s="2154">
        <f t="shared" ref="R685:R688" si="54">IF($F$606&gt;0,HLOOKUP($E$601,$B$694:$HX$794,Q685+1,FALSE),0)</f>
        <v>43.91</v>
      </c>
      <c r="T685" s="2154">
        <f t="shared" si="53"/>
        <v>7.9999999999998295E-2</v>
      </c>
      <c r="U685" s="2115"/>
    </row>
    <row r="686" spans="17:21" s="2040" customFormat="1" ht="14" hidden="1" x14ac:dyDescent="0.3">
      <c r="Q686" s="2153">
        <v>98</v>
      </c>
      <c r="R686" s="2154">
        <f t="shared" si="54"/>
        <v>44</v>
      </c>
      <c r="T686" s="2154">
        <f t="shared" si="53"/>
        <v>9.0000000000003411E-2</v>
      </c>
      <c r="U686" s="2115"/>
    </row>
    <row r="687" spans="17:21" s="2040" customFormat="1" ht="14" hidden="1" x14ac:dyDescent="0.3">
      <c r="Q687" s="2153">
        <v>99</v>
      </c>
      <c r="R687" s="2154">
        <f t="shared" si="54"/>
        <v>44.09</v>
      </c>
      <c r="T687" s="2154">
        <f t="shared" si="53"/>
        <v>9.0000000000003411E-2</v>
      </c>
      <c r="U687" s="2115"/>
    </row>
    <row r="688" spans="17:21" s="2040" customFormat="1" hidden="1" thickBot="1" x14ac:dyDescent="0.35">
      <c r="Q688" s="2196">
        <v>100</v>
      </c>
      <c r="R688" s="2197">
        <f t="shared" si="54"/>
        <v>44.17</v>
      </c>
      <c r="S688" s="2198"/>
      <c r="T688" s="2197">
        <f t="shared" si="53"/>
        <v>7.9999999999998295E-2</v>
      </c>
      <c r="U688" s="2119"/>
    </row>
    <row r="689" spans="2:232" s="2040" customFormat="1" ht="14" hidden="1" x14ac:dyDescent="0.3"/>
    <row r="690" spans="2:232" s="2040" customFormat="1" ht="14" hidden="1" x14ac:dyDescent="0.3"/>
    <row r="691" spans="2:232" s="2040" customFormat="1" ht="14" hidden="1" x14ac:dyDescent="0.3">
      <c r="B691" s="2199" t="s">
        <v>1667</v>
      </c>
    </row>
    <row r="692" spans="2:232" s="2040" customFormat="1" ht="14" hidden="1" x14ac:dyDescent="0.3">
      <c r="B692" s="2181"/>
      <c r="C692" s="2200">
        <v>1</v>
      </c>
      <c r="D692" s="2200">
        <v>1</v>
      </c>
      <c r="E692" s="2200">
        <v>1</v>
      </c>
      <c r="F692" s="2200">
        <v>1</v>
      </c>
      <c r="G692" s="2200">
        <v>1</v>
      </c>
      <c r="H692" s="2200">
        <v>1</v>
      </c>
      <c r="I692" s="2200">
        <v>1</v>
      </c>
      <c r="J692" s="2200">
        <v>1</v>
      </c>
      <c r="K692" s="2200">
        <v>1</v>
      </c>
      <c r="L692" s="2200">
        <v>1</v>
      </c>
      <c r="M692" s="2200">
        <v>1</v>
      </c>
      <c r="N692" s="2200">
        <v>1</v>
      </c>
      <c r="O692" s="2200">
        <v>10</v>
      </c>
      <c r="P692" s="2200">
        <v>10</v>
      </c>
      <c r="Q692" s="2200">
        <v>10</v>
      </c>
      <c r="R692" s="2200">
        <v>10</v>
      </c>
      <c r="S692" s="2200">
        <v>10</v>
      </c>
      <c r="T692" s="2200">
        <v>10</v>
      </c>
      <c r="U692" s="2200">
        <v>10</v>
      </c>
      <c r="V692" s="2200">
        <v>10</v>
      </c>
      <c r="W692" s="2200">
        <v>10</v>
      </c>
      <c r="X692" s="2200">
        <v>10</v>
      </c>
      <c r="Y692" s="2200">
        <v>10</v>
      </c>
      <c r="Z692" s="2200">
        <v>10</v>
      </c>
      <c r="AA692" s="2200">
        <v>10</v>
      </c>
      <c r="AB692" s="2200">
        <v>10</v>
      </c>
      <c r="AC692" s="2200">
        <v>10</v>
      </c>
      <c r="AD692" s="2200">
        <v>10</v>
      </c>
      <c r="AE692" s="2200">
        <v>10</v>
      </c>
      <c r="AF692" s="2200">
        <v>10</v>
      </c>
      <c r="AG692" s="2200">
        <v>10</v>
      </c>
      <c r="AH692" s="2200">
        <v>10</v>
      </c>
      <c r="AI692" s="2200">
        <v>10</v>
      </c>
      <c r="AJ692" s="2200">
        <v>10</v>
      </c>
      <c r="AK692" s="2200">
        <v>10</v>
      </c>
      <c r="AL692" s="2200">
        <v>10</v>
      </c>
      <c r="AM692" s="2200">
        <v>11</v>
      </c>
      <c r="AN692" s="2200">
        <v>11</v>
      </c>
      <c r="AO692" s="2200">
        <v>11</v>
      </c>
      <c r="AP692" s="2200">
        <v>11</v>
      </c>
      <c r="AQ692" s="2200">
        <v>11</v>
      </c>
      <c r="AR692" s="2200">
        <v>11</v>
      </c>
      <c r="AS692" s="2200">
        <v>11</v>
      </c>
      <c r="AT692" s="2200">
        <v>11</v>
      </c>
      <c r="AU692" s="2200">
        <v>11</v>
      </c>
      <c r="AV692" s="2200">
        <v>11</v>
      </c>
      <c r="AW692" s="2200">
        <v>11</v>
      </c>
      <c r="AX692" s="2200">
        <v>11</v>
      </c>
      <c r="AY692" s="2200">
        <v>11</v>
      </c>
      <c r="AZ692" s="2200">
        <v>11</v>
      </c>
      <c r="BA692" s="2122">
        <v>15</v>
      </c>
      <c r="BB692" s="2122">
        <v>15</v>
      </c>
      <c r="BC692" s="2122">
        <v>15</v>
      </c>
      <c r="BD692" s="2122">
        <v>15</v>
      </c>
      <c r="BE692" s="2122">
        <v>15</v>
      </c>
      <c r="BF692" s="2122">
        <v>15</v>
      </c>
      <c r="BG692" s="2122">
        <v>15</v>
      </c>
      <c r="BH692" s="2122">
        <v>15</v>
      </c>
      <c r="BI692" s="2122">
        <v>15</v>
      </c>
      <c r="BJ692" s="2122">
        <v>15</v>
      </c>
      <c r="BK692" s="2122">
        <v>15</v>
      </c>
      <c r="BL692" s="2122">
        <v>15</v>
      </c>
      <c r="BM692" s="2122">
        <v>17</v>
      </c>
      <c r="BN692" s="2122">
        <v>17</v>
      </c>
      <c r="BO692" s="2122">
        <v>17</v>
      </c>
      <c r="BP692" s="2122">
        <v>17</v>
      </c>
      <c r="BQ692" s="2122">
        <v>17</v>
      </c>
      <c r="BR692" s="2122">
        <v>17</v>
      </c>
      <c r="BS692" s="2122">
        <v>17</v>
      </c>
      <c r="BT692" s="2122">
        <v>17</v>
      </c>
      <c r="BU692" s="2122">
        <v>17</v>
      </c>
      <c r="BV692" s="2122">
        <v>17</v>
      </c>
      <c r="BW692" s="2122">
        <v>17</v>
      </c>
      <c r="BX692" s="2122">
        <v>17</v>
      </c>
      <c r="BY692" s="2122">
        <v>19</v>
      </c>
      <c r="BZ692" s="2122">
        <v>19</v>
      </c>
      <c r="CA692" s="2122">
        <v>19</v>
      </c>
      <c r="CB692" s="2122">
        <v>19</v>
      </c>
      <c r="CC692" s="2122">
        <v>19</v>
      </c>
      <c r="CD692" s="2122">
        <v>19</v>
      </c>
      <c r="CE692" s="2122">
        <v>19</v>
      </c>
      <c r="CF692" s="2122">
        <v>19</v>
      </c>
      <c r="CG692" s="2122">
        <v>19</v>
      </c>
      <c r="CH692" s="2122">
        <v>19</v>
      </c>
      <c r="CI692" s="2122">
        <v>19</v>
      </c>
      <c r="CJ692" s="2122">
        <v>19</v>
      </c>
      <c r="CK692" s="2122">
        <v>20</v>
      </c>
      <c r="CL692" s="2122">
        <v>20</v>
      </c>
      <c r="CM692" s="2122">
        <v>20</v>
      </c>
      <c r="CN692" s="2122">
        <v>20</v>
      </c>
      <c r="CO692" s="2122">
        <v>20</v>
      </c>
      <c r="CP692" s="2122">
        <v>20</v>
      </c>
      <c r="CQ692" s="2122">
        <v>20</v>
      </c>
      <c r="CR692" s="2122">
        <v>20</v>
      </c>
      <c r="CS692" s="2122">
        <v>20</v>
      </c>
      <c r="CT692" s="2122">
        <v>20</v>
      </c>
      <c r="CU692" s="2122">
        <v>20</v>
      </c>
      <c r="CV692" s="2122">
        <v>20</v>
      </c>
      <c r="CW692" s="2122">
        <v>22</v>
      </c>
      <c r="CX692" s="2122">
        <v>22</v>
      </c>
      <c r="CY692" s="2122">
        <v>22</v>
      </c>
      <c r="CZ692" s="2122">
        <v>22</v>
      </c>
      <c r="DA692" s="2122">
        <v>22</v>
      </c>
      <c r="DB692" s="2122">
        <v>22</v>
      </c>
      <c r="DC692" s="2122">
        <v>22</v>
      </c>
      <c r="DD692" s="2122">
        <v>22</v>
      </c>
      <c r="DE692" s="2122">
        <v>22</v>
      </c>
      <c r="DF692" s="2122">
        <v>22</v>
      </c>
      <c r="DG692" s="2122">
        <v>22</v>
      </c>
      <c r="DH692" s="2122">
        <v>22</v>
      </c>
      <c r="DI692" s="2122">
        <v>23</v>
      </c>
      <c r="DJ692" s="2122">
        <v>23</v>
      </c>
      <c r="DK692" s="2122">
        <v>23</v>
      </c>
      <c r="DL692" s="2122">
        <v>23</v>
      </c>
      <c r="DM692" s="2122">
        <v>23</v>
      </c>
      <c r="DN692" s="2122">
        <v>23</v>
      </c>
      <c r="DO692" s="2122">
        <v>23</v>
      </c>
      <c r="DP692" s="2122">
        <v>23</v>
      </c>
      <c r="DQ692" s="2122">
        <v>23</v>
      </c>
      <c r="DR692" s="2122">
        <v>23</v>
      </c>
      <c r="DS692" s="2122">
        <v>23</v>
      </c>
      <c r="DT692" s="2122">
        <v>23</v>
      </c>
      <c r="DU692" s="2122">
        <v>24</v>
      </c>
      <c r="DV692" s="2122">
        <v>24</v>
      </c>
      <c r="DW692" s="2122">
        <v>24</v>
      </c>
      <c r="DX692" s="2122">
        <v>24</v>
      </c>
      <c r="DY692" s="2122">
        <v>24</v>
      </c>
      <c r="DZ692" s="2122">
        <v>24</v>
      </c>
      <c r="EA692" s="2122">
        <v>24</v>
      </c>
      <c r="EB692" s="2122">
        <v>24</v>
      </c>
      <c r="EC692" s="2122">
        <v>24</v>
      </c>
      <c r="ED692" s="2122">
        <v>24</v>
      </c>
      <c r="EE692" s="2122">
        <v>24</v>
      </c>
      <c r="EF692" s="2122">
        <v>24</v>
      </c>
      <c r="EG692" s="2122">
        <v>28</v>
      </c>
      <c r="EH692" s="2122">
        <v>28</v>
      </c>
      <c r="EI692" s="2122">
        <v>28</v>
      </c>
      <c r="EJ692" s="2122">
        <v>28</v>
      </c>
      <c r="EK692" s="2122">
        <v>28</v>
      </c>
      <c r="EL692" s="2122">
        <v>28</v>
      </c>
      <c r="EM692" s="2122">
        <v>28</v>
      </c>
      <c r="EN692" s="2122">
        <v>28</v>
      </c>
      <c r="EO692" s="2122">
        <v>28</v>
      </c>
      <c r="EP692" s="2122">
        <v>28</v>
      </c>
      <c r="EQ692" s="2122">
        <v>28</v>
      </c>
      <c r="ER692" s="2122">
        <v>28</v>
      </c>
      <c r="ES692" s="2122">
        <v>30</v>
      </c>
      <c r="ET692" s="2122">
        <v>30</v>
      </c>
      <c r="EU692" s="2122">
        <v>30</v>
      </c>
      <c r="EV692" s="2122">
        <v>30</v>
      </c>
      <c r="EW692" s="2122">
        <v>30</v>
      </c>
      <c r="EX692" s="2122">
        <v>30</v>
      </c>
      <c r="EY692" s="2122">
        <v>30</v>
      </c>
      <c r="EZ692" s="2122">
        <v>30</v>
      </c>
      <c r="FA692" s="2122">
        <v>30</v>
      </c>
      <c r="FB692" s="2122">
        <v>30</v>
      </c>
      <c r="FC692" s="2122">
        <v>30</v>
      </c>
      <c r="FD692" s="2122">
        <v>30</v>
      </c>
      <c r="FE692" s="2122">
        <v>31</v>
      </c>
      <c r="FF692" s="2122">
        <v>31</v>
      </c>
      <c r="FG692" s="2122">
        <v>31</v>
      </c>
      <c r="FH692" s="2122">
        <v>31</v>
      </c>
      <c r="FI692" s="2122">
        <v>31</v>
      </c>
      <c r="FJ692" s="2122">
        <v>31</v>
      </c>
      <c r="FK692" s="2122">
        <v>31</v>
      </c>
      <c r="FL692" s="2122">
        <v>31</v>
      </c>
      <c r="FM692" s="2122">
        <v>31</v>
      </c>
      <c r="FN692" s="2122">
        <v>31</v>
      </c>
      <c r="FO692" s="2122">
        <v>31</v>
      </c>
      <c r="FP692" s="2122">
        <v>31</v>
      </c>
      <c r="FQ692" s="2122">
        <v>32</v>
      </c>
      <c r="FR692" s="2122">
        <v>32</v>
      </c>
      <c r="FS692" s="2122">
        <v>32</v>
      </c>
      <c r="FT692" s="2122">
        <v>32</v>
      </c>
      <c r="FU692" s="2122">
        <v>32</v>
      </c>
      <c r="FV692" s="2122">
        <v>32</v>
      </c>
      <c r="FW692" s="2122">
        <v>32</v>
      </c>
      <c r="FX692" s="2122">
        <v>32</v>
      </c>
      <c r="FY692" s="2122">
        <v>32</v>
      </c>
      <c r="FZ692" s="2122">
        <v>32</v>
      </c>
      <c r="GA692" s="2122">
        <v>32</v>
      </c>
      <c r="GB692" s="2122">
        <v>32</v>
      </c>
      <c r="GC692" s="2122">
        <v>33</v>
      </c>
      <c r="GD692" s="2122">
        <v>33</v>
      </c>
      <c r="GE692" s="2122">
        <v>33</v>
      </c>
      <c r="GF692" s="2122">
        <v>33</v>
      </c>
      <c r="GG692" s="2122">
        <v>33</v>
      </c>
      <c r="GH692" s="2122">
        <v>33</v>
      </c>
      <c r="GI692" s="2122">
        <v>33</v>
      </c>
      <c r="GJ692" s="2122">
        <v>33</v>
      </c>
      <c r="GK692" s="2122">
        <v>33</v>
      </c>
      <c r="GL692" s="2122">
        <v>33</v>
      </c>
      <c r="GM692" s="2122">
        <v>33</v>
      </c>
      <c r="GN692" s="2122">
        <v>33</v>
      </c>
      <c r="GO692" s="2122">
        <v>35</v>
      </c>
      <c r="GP692" s="2122">
        <v>35</v>
      </c>
      <c r="GQ692" s="2122">
        <v>35</v>
      </c>
      <c r="GR692" s="2122">
        <v>35</v>
      </c>
      <c r="GS692" s="2122">
        <v>35</v>
      </c>
      <c r="GT692" s="2122">
        <v>35</v>
      </c>
      <c r="GU692" s="2122">
        <v>35</v>
      </c>
      <c r="GV692" s="2122">
        <v>35</v>
      </c>
      <c r="GW692" s="2122">
        <v>35</v>
      </c>
      <c r="GX692" s="2122">
        <v>35</v>
      </c>
      <c r="GY692" s="2122">
        <v>35</v>
      </c>
      <c r="GZ692" s="2122">
        <v>35</v>
      </c>
      <c r="HA692" s="2122">
        <v>36</v>
      </c>
      <c r="HB692" s="2122">
        <v>36</v>
      </c>
      <c r="HC692" s="2122">
        <v>36</v>
      </c>
      <c r="HD692" s="2122">
        <v>36</v>
      </c>
      <c r="HE692" s="2122">
        <v>36</v>
      </c>
      <c r="HF692" s="2122">
        <v>36</v>
      </c>
      <c r="HG692" s="2122">
        <v>36</v>
      </c>
      <c r="HH692" s="2122">
        <v>36</v>
      </c>
      <c r="HI692" s="2122">
        <v>36</v>
      </c>
      <c r="HJ692" s="2122">
        <v>36</v>
      </c>
      <c r="HK692" s="2122">
        <v>36</v>
      </c>
      <c r="HL692" s="2122">
        <v>36</v>
      </c>
      <c r="HM692" s="2122">
        <v>40</v>
      </c>
      <c r="HN692" s="2122">
        <v>40</v>
      </c>
      <c r="HO692" s="2122">
        <v>40</v>
      </c>
      <c r="HP692" s="2122">
        <v>40</v>
      </c>
      <c r="HQ692" s="2122">
        <v>40</v>
      </c>
      <c r="HR692" s="2122">
        <v>40</v>
      </c>
      <c r="HS692" s="2122">
        <v>40</v>
      </c>
      <c r="HT692" s="2122">
        <v>40</v>
      </c>
      <c r="HU692" s="2122">
        <v>40</v>
      </c>
      <c r="HV692" s="2122">
        <v>40</v>
      </c>
      <c r="HW692" s="2122">
        <v>40</v>
      </c>
      <c r="HX692" s="2122">
        <v>40</v>
      </c>
    </row>
    <row r="693" spans="2:232" s="2040" customFormat="1" ht="14" hidden="1" x14ac:dyDescent="0.3">
      <c r="B693" s="2124" t="s">
        <v>1668</v>
      </c>
      <c r="C693" s="2201" t="s">
        <v>1579</v>
      </c>
      <c r="D693" s="2201" t="s">
        <v>1579</v>
      </c>
      <c r="E693" s="2201" t="s">
        <v>1579</v>
      </c>
      <c r="F693" s="2201" t="s">
        <v>1579</v>
      </c>
      <c r="G693" s="2201" t="s">
        <v>1579</v>
      </c>
      <c r="H693" s="2201" t="s">
        <v>1579</v>
      </c>
      <c r="I693" s="2201" t="s">
        <v>1579</v>
      </c>
      <c r="J693" s="2201" t="s">
        <v>1579</v>
      </c>
      <c r="K693" s="2201" t="s">
        <v>1579</v>
      </c>
      <c r="L693" s="2201" t="s">
        <v>1579</v>
      </c>
      <c r="M693" s="2201" t="s">
        <v>1579</v>
      </c>
      <c r="N693" s="2201" t="s">
        <v>1579</v>
      </c>
      <c r="O693" s="2201" t="s">
        <v>1575</v>
      </c>
      <c r="P693" s="2201" t="s">
        <v>1575</v>
      </c>
      <c r="Q693" s="2201" t="s">
        <v>1575</v>
      </c>
      <c r="R693" s="2201" t="s">
        <v>1575</v>
      </c>
      <c r="S693" s="2201" t="s">
        <v>1575</v>
      </c>
      <c r="T693" s="2201" t="s">
        <v>1575</v>
      </c>
      <c r="U693" s="2201" t="s">
        <v>1575</v>
      </c>
      <c r="V693" s="2201" t="s">
        <v>1575</v>
      </c>
      <c r="W693" s="2201" t="s">
        <v>1575</v>
      </c>
      <c r="X693" s="2201" t="s">
        <v>1575</v>
      </c>
      <c r="Y693" s="2201" t="s">
        <v>1575</v>
      </c>
      <c r="Z693" s="2201" t="s">
        <v>1575</v>
      </c>
      <c r="AA693" s="2201" t="s">
        <v>1575</v>
      </c>
      <c r="AB693" s="2201" t="s">
        <v>1575</v>
      </c>
      <c r="AC693" s="2201" t="s">
        <v>1575</v>
      </c>
      <c r="AD693" s="2201" t="s">
        <v>1575</v>
      </c>
      <c r="AE693" s="2201" t="s">
        <v>1575</v>
      </c>
      <c r="AF693" s="2201" t="s">
        <v>1575</v>
      </c>
      <c r="AG693" s="2201" t="s">
        <v>1575</v>
      </c>
      <c r="AH693" s="2201" t="s">
        <v>1575</v>
      </c>
      <c r="AI693" s="2201" t="s">
        <v>1575</v>
      </c>
      <c r="AJ693" s="2201" t="s">
        <v>1575</v>
      </c>
      <c r="AK693" s="2201" t="s">
        <v>1575</v>
      </c>
      <c r="AL693" s="2201" t="s">
        <v>1575</v>
      </c>
      <c r="AM693" s="2201" t="s">
        <v>1575</v>
      </c>
      <c r="AN693" s="2201" t="s">
        <v>1575</v>
      </c>
      <c r="AO693" s="2201" t="s">
        <v>1575</v>
      </c>
      <c r="AP693" s="2201" t="s">
        <v>1575</v>
      </c>
      <c r="AQ693" s="2201" t="s">
        <v>1575</v>
      </c>
      <c r="AR693" s="2201" t="s">
        <v>1575</v>
      </c>
      <c r="AS693" s="2201" t="s">
        <v>1575</v>
      </c>
      <c r="AT693" s="2201" t="s">
        <v>1575</v>
      </c>
      <c r="AU693" s="2201" t="s">
        <v>1575</v>
      </c>
      <c r="AV693" s="2201" t="s">
        <v>1575</v>
      </c>
      <c r="AW693" s="2201" t="s">
        <v>1575</v>
      </c>
      <c r="AX693" s="2201" t="s">
        <v>1575</v>
      </c>
      <c r="AY693" s="2201" t="s">
        <v>1575</v>
      </c>
      <c r="AZ693" s="2201" t="s">
        <v>1575</v>
      </c>
      <c r="BA693" s="2123" t="s">
        <v>1575</v>
      </c>
      <c r="BB693" s="2123" t="s">
        <v>1575</v>
      </c>
      <c r="BC693" s="2123" t="s">
        <v>1575</v>
      </c>
      <c r="BD693" s="2123" t="s">
        <v>1575</v>
      </c>
      <c r="BE693" s="2123" t="s">
        <v>1575</v>
      </c>
      <c r="BF693" s="2123" t="s">
        <v>1575</v>
      </c>
      <c r="BG693" s="2123" t="s">
        <v>1575</v>
      </c>
      <c r="BH693" s="2123" t="s">
        <v>1575</v>
      </c>
      <c r="BI693" s="2123" t="s">
        <v>1575</v>
      </c>
      <c r="BJ693" s="2123" t="s">
        <v>1575</v>
      </c>
      <c r="BK693" s="2123" t="s">
        <v>1575</v>
      </c>
      <c r="BL693" s="2123" t="s">
        <v>1575</v>
      </c>
      <c r="BM693" s="2123" t="s">
        <v>1669</v>
      </c>
      <c r="BN693" s="2123" t="s">
        <v>1669</v>
      </c>
      <c r="BO693" s="2123" t="s">
        <v>1669</v>
      </c>
      <c r="BP693" s="2123" t="s">
        <v>1669</v>
      </c>
      <c r="BQ693" s="2123" t="s">
        <v>1669</v>
      </c>
      <c r="BR693" s="2123" t="s">
        <v>1669</v>
      </c>
      <c r="BS693" s="2123" t="s">
        <v>1669</v>
      </c>
      <c r="BT693" s="2123" t="s">
        <v>1669</v>
      </c>
      <c r="BU693" s="2123" t="s">
        <v>1669</v>
      </c>
      <c r="BV693" s="2123" t="s">
        <v>1669</v>
      </c>
      <c r="BW693" s="2123" t="s">
        <v>1669</v>
      </c>
      <c r="BX693" s="2123" t="s">
        <v>1669</v>
      </c>
      <c r="BY693" s="2123" t="s">
        <v>1669</v>
      </c>
      <c r="BZ693" s="2123" t="s">
        <v>1669</v>
      </c>
      <c r="CA693" s="2123" t="s">
        <v>1669</v>
      </c>
      <c r="CB693" s="2123" t="s">
        <v>1669</v>
      </c>
      <c r="CC693" s="2123" t="s">
        <v>1669</v>
      </c>
      <c r="CD693" s="2123" t="s">
        <v>1669</v>
      </c>
      <c r="CE693" s="2123" t="s">
        <v>1669</v>
      </c>
      <c r="CF693" s="2123" t="s">
        <v>1669</v>
      </c>
      <c r="CG693" s="2123" t="s">
        <v>1669</v>
      </c>
      <c r="CH693" s="2123" t="s">
        <v>1669</v>
      </c>
      <c r="CI693" s="2123" t="s">
        <v>1669</v>
      </c>
      <c r="CJ693" s="2123" t="s">
        <v>1669</v>
      </c>
      <c r="CK693" s="2123" t="s">
        <v>1669</v>
      </c>
      <c r="CL693" s="2123" t="s">
        <v>1669</v>
      </c>
      <c r="CM693" s="2123" t="s">
        <v>1669</v>
      </c>
      <c r="CN693" s="2123" t="s">
        <v>1669</v>
      </c>
      <c r="CO693" s="2123" t="s">
        <v>1669</v>
      </c>
      <c r="CP693" s="2123" t="s">
        <v>1669</v>
      </c>
      <c r="CQ693" s="2123" t="s">
        <v>1669</v>
      </c>
      <c r="CR693" s="2123" t="s">
        <v>1669</v>
      </c>
      <c r="CS693" s="2123" t="s">
        <v>1669</v>
      </c>
      <c r="CT693" s="2123" t="s">
        <v>1669</v>
      </c>
      <c r="CU693" s="2123" t="s">
        <v>1669</v>
      </c>
      <c r="CV693" s="2123" t="s">
        <v>1669</v>
      </c>
      <c r="CW693" s="2123" t="s">
        <v>1669</v>
      </c>
      <c r="CX693" s="2123" t="s">
        <v>1669</v>
      </c>
      <c r="CY693" s="2123" t="s">
        <v>1669</v>
      </c>
      <c r="CZ693" s="2123" t="s">
        <v>1669</v>
      </c>
      <c r="DA693" s="2123" t="s">
        <v>1669</v>
      </c>
      <c r="DB693" s="2123" t="s">
        <v>1669</v>
      </c>
      <c r="DC693" s="2123" t="s">
        <v>1669</v>
      </c>
      <c r="DD693" s="2123" t="s">
        <v>1669</v>
      </c>
      <c r="DE693" s="2123" t="s">
        <v>1669</v>
      </c>
      <c r="DF693" s="2123" t="s">
        <v>1669</v>
      </c>
      <c r="DG693" s="2123" t="s">
        <v>1669</v>
      </c>
      <c r="DH693" s="2123" t="s">
        <v>1669</v>
      </c>
      <c r="DI693" s="2123" t="s">
        <v>1582</v>
      </c>
      <c r="DJ693" s="2123" t="s">
        <v>1582</v>
      </c>
      <c r="DK693" s="2123" t="s">
        <v>1582</v>
      </c>
      <c r="DL693" s="2123" t="s">
        <v>1582</v>
      </c>
      <c r="DM693" s="2123" t="s">
        <v>1582</v>
      </c>
      <c r="DN693" s="2123" t="s">
        <v>1582</v>
      </c>
      <c r="DO693" s="2123" t="s">
        <v>1582</v>
      </c>
      <c r="DP693" s="2123" t="s">
        <v>1582</v>
      </c>
      <c r="DQ693" s="2123" t="s">
        <v>1582</v>
      </c>
      <c r="DR693" s="2123" t="s">
        <v>1582</v>
      </c>
      <c r="DS693" s="2123" t="s">
        <v>1582</v>
      </c>
      <c r="DT693" s="2123" t="s">
        <v>1582</v>
      </c>
      <c r="DU693" s="2123" t="s">
        <v>1582</v>
      </c>
      <c r="DV693" s="2123" t="s">
        <v>1582</v>
      </c>
      <c r="DW693" s="2123" t="s">
        <v>1582</v>
      </c>
      <c r="DX693" s="2123" t="s">
        <v>1582</v>
      </c>
      <c r="DY693" s="2123" t="s">
        <v>1582</v>
      </c>
      <c r="DZ693" s="2123" t="s">
        <v>1582</v>
      </c>
      <c r="EA693" s="2123" t="s">
        <v>1582</v>
      </c>
      <c r="EB693" s="2123" t="s">
        <v>1582</v>
      </c>
      <c r="EC693" s="2123" t="s">
        <v>1582</v>
      </c>
      <c r="ED693" s="2123" t="s">
        <v>1582</v>
      </c>
      <c r="EE693" s="2123" t="s">
        <v>1582</v>
      </c>
      <c r="EF693" s="2123" t="s">
        <v>1582</v>
      </c>
      <c r="EG693" s="2123" t="s">
        <v>1670</v>
      </c>
      <c r="EH693" s="2123" t="s">
        <v>1670</v>
      </c>
      <c r="EI693" s="2123" t="s">
        <v>1670</v>
      </c>
      <c r="EJ693" s="2123" t="s">
        <v>1670</v>
      </c>
      <c r="EK693" s="2123" t="s">
        <v>1670</v>
      </c>
      <c r="EL693" s="2123" t="s">
        <v>1670</v>
      </c>
      <c r="EM693" s="2123" t="s">
        <v>1670</v>
      </c>
      <c r="EN693" s="2123" t="s">
        <v>1670</v>
      </c>
      <c r="EO693" s="2123" t="s">
        <v>1670</v>
      </c>
      <c r="EP693" s="2123" t="s">
        <v>1670</v>
      </c>
      <c r="EQ693" s="2123" t="s">
        <v>1670</v>
      </c>
      <c r="ER693" s="2123" t="s">
        <v>1670</v>
      </c>
      <c r="ES693" s="2123" t="s">
        <v>1670</v>
      </c>
      <c r="ET693" s="2123" t="s">
        <v>1670</v>
      </c>
      <c r="EU693" s="2123" t="s">
        <v>1670</v>
      </c>
      <c r="EV693" s="2123" t="s">
        <v>1670</v>
      </c>
      <c r="EW693" s="2123" t="s">
        <v>1670</v>
      </c>
      <c r="EX693" s="2123" t="s">
        <v>1670</v>
      </c>
      <c r="EY693" s="2123" t="s">
        <v>1670</v>
      </c>
      <c r="EZ693" s="2123" t="s">
        <v>1670</v>
      </c>
      <c r="FA693" s="2123" t="s">
        <v>1670</v>
      </c>
      <c r="FB693" s="2123" t="s">
        <v>1670</v>
      </c>
      <c r="FC693" s="2123" t="s">
        <v>1670</v>
      </c>
      <c r="FD693" s="2123" t="s">
        <v>1670</v>
      </c>
      <c r="FE693" s="2123" t="s">
        <v>1670</v>
      </c>
      <c r="FF693" s="2123" t="s">
        <v>1670</v>
      </c>
      <c r="FG693" s="2123" t="s">
        <v>1670</v>
      </c>
      <c r="FH693" s="2123" t="s">
        <v>1670</v>
      </c>
      <c r="FI693" s="2123" t="s">
        <v>1670</v>
      </c>
      <c r="FJ693" s="2123" t="s">
        <v>1670</v>
      </c>
      <c r="FK693" s="2123" t="s">
        <v>1670</v>
      </c>
      <c r="FL693" s="2123" t="s">
        <v>1670</v>
      </c>
      <c r="FM693" s="2123" t="s">
        <v>1670</v>
      </c>
      <c r="FN693" s="2123" t="s">
        <v>1670</v>
      </c>
      <c r="FO693" s="2123" t="s">
        <v>1670</v>
      </c>
      <c r="FP693" s="2123" t="s">
        <v>1670</v>
      </c>
      <c r="FQ693" s="2123" t="s">
        <v>1670</v>
      </c>
      <c r="FR693" s="2123" t="s">
        <v>1670</v>
      </c>
      <c r="FS693" s="2123" t="s">
        <v>1670</v>
      </c>
      <c r="FT693" s="2123" t="s">
        <v>1670</v>
      </c>
      <c r="FU693" s="2123" t="s">
        <v>1670</v>
      </c>
      <c r="FV693" s="2123" t="s">
        <v>1670</v>
      </c>
      <c r="FW693" s="2123" t="s">
        <v>1670</v>
      </c>
      <c r="FX693" s="2123" t="s">
        <v>1670</v>
      </c>
      <c r="FY693" s="2123" t="s">
        <v>1670</v>
      </c>
      <c r="FZ693" s="2123" t="s">
        <v>1670</v>
      </c>
      <c r="GA693" s="2123" t="s">
        <v>1670</v>
      </c>
      <c r="GB693" s="2123" t="s">
        <v>1670</v>
      </c>
      <c r="GC693" s="2123" t="s">
        <v>1670</v>
      </c>
      <c r="GD693" s="2123" t="s">
        <v>1670</v>
      </c>
      <c r="GE693" s="2123" t="s">
        <v>1670</v>
      </c>
      <c r="GF693" s="2123" t="s">
        <v>1670</v>
      </c>
      <c r="GG693" s="2123" t="s">
        <v>1670</v>
      </c>
      <c r="GH693" s="2123" t="s">
        <v>1670</v>
      </c>
      <c r="GI693" s="2123" t="s">
        <v>1670</v>
      </c>
      <c r="GJ693" s="2123" t="s">
        <v>1670</v>
      </c>
      <c r="GK693" s="2123" t="s">
        <v>1670</v>
      </c>
      <c r="GL693" s="2123" t="s">
        <v>1670</v>
      </c>
      <c r="GM693" s="2123" t="s">
        <v>1670</v>
      </c>
      <c r="GN693" s="2123" t="s">
        <v>1670</v>
      </c>
      <c r="GO693" s="2123" t="s">
        <v>1670</v>
      </c>
      <c r="GP693" s="2123" t="s">
        <v>1670</v>
      </c>
      <c r="GQ693" s="2123" t="s">
        <v>1670</v>
      </c>
      <c r="GR693" s="2123" t="s">
        <v>1670</v>
      </c>
      <c r="GS693" s="2123" t="s">
        <v>1670</v>
      </c>
      <c r="GT693" s="2123" t="s">
        <v>1670</v>
      </c>
      <c r="GU693" s="2123" t="s">
        <v>1670</v>
      </c>
      <c r="GV693" s="2123" t="s">
        <v>1670</v>
      </c>
      <c r="GW693" s="2123" t="s">
        <v>1670</v>
      </c>
      <c r="GX693" s="2123" t="s">
        <v>1670</v>
      </c>
      <c r="GY693" s="2123" t="s">
        <v>1670</v>
      </c>
      <c r="GZ693" s="2123" t="s">
        <v>1670</v>
      </c>
      <c r="HA693" s="2123" t="s">
        <v>1671</v>
      </c>
      <c r="HB693" s="2123" t="s">
        <v>1671</v>
      </c>
      <c r="HC693" s="2123" t="s">
        <v>1671</v>
      </c>
      <c r="HD693" s="2123" t="s">
        <v>1671</v>
      </c>
      <c r="HE693" s="2123" t="s">
        <v>1671</v>
      </c>
      <c r="HF693" s="2123" t="s">
        <v>1671</v>
      </c>
      <c r="HG693" s="2123" t="s">
        <v>1671</v>
      </c>
      <c r="HH693" s="2123" t="s">
        <v>1671</v>
      </c>
      <c r="HI693" s="2123" t="s">
        <v>1671</v>
      </c>
      <c r="HJ693" s="2123" t="s">
        <v>1671</v>
      </c>
      <c r="HK693" s="2123" t="s">
        <v>1671</v>
      </c>
      <c r="HL693" s="2123" t="s">
        <v>1671</v>
      </c>
      <c r="HM693" s="2123" t="s">
        <v>1671</v>
      </c>
      <c r="HN693" s="2123" t="s">
        <v>1671</v>
      </c>
      <c r="HO693" s="2123" t="s">
        <v>1671</v>
      </c>
      <c r="HP693" s="2123" t="s">
        <v>1671</v>
      </c>
      <c r="HQ693" s="2123" t="s">
        <v>1671</v>
      </c>
      <c r="HR693" s="2123" t="s">
        <v>1671</v>
      </c>
      <c r="HS693" s="2123" t="s">
        <v>1671</v>
      </c>
      <c r="HT693" s="2123" t="s">
        <v>1671</v>
      </c>
      <c r="HU693" s="2123" t="s">
        <v>1671</v>
      </c>
      <c r="HV693" s="2123" t="s">
        <v>1671</v>
      </c>
      <c r="HW693" s="2123" t="s">
        <v>1671</v>
      </c>
      <c r="HX693" s="2123" t="s">
        <v>1671</v>
      </c>
    </row>
    <row r="694" spans="2:232" s="2040" customFormat="1" ht="14" hidden="1" x14ac:dyDescent="0.3">
      <c r="B694" s="2124" t="s">
        <v>1602</v>
      </c>
      <c r="C694" s="2202" t="s">
        <v>1672</v>
      </c>
      <c r="D694" s="2202" t="s">
        <v>1673</v>
      </c>
      <c r="E694" s="2202" t="s">
        <v>1674</v>
      </c>
      <c r="F694" s="2202" t="s">
        <v>1675</v>
      </c>
      <c r="G694" s="2202" t="s">
        <v>1676</v>
      </c>
      <c r="H694" s="2202" t="s">
        <v>1677</v>
      </c>
      <c r="I694" s="2202" t="s">
        <v>1678</v>
      </c>
      <c r="J694" s="2202" t="s">
        <v>1679</v>
      </c>
      <c r="K694" s="2202" t="s">
        <v>1680</v>
      </c>
      <c r="L694" s="2202" t="s">
        <v>1681</v>
      </c>
      <c r="M694" s="2202" t="s">
        <v>1682</v>
      </c>
      <c r="N694" s="2202" t="s">
        <v>1683</v>
      </c>
      <c r="O694" s="2202" t="s">
        <v>1684</v>
      </c>
      <c r="P694" s="2202" t="s">
        <v>1685</v>
      </c>
      <c r="Q694" s="2202" t="s">
        <v>1686</v>
      </c>
      <c r="R694" s="2202" t="s">
        <v>1687</v>
      </c>
      <c r="S694" s="2202" t="s">
        <v>1688</v>
      </c>
      <c r="T694" s="2202" t="s">
        <v>1689</v>
      </c>
      <c r="U694" s="2202" t="s">
        <v>1690</v>
      </c>
      <c r="V694" s="2202" t="s">
        <v>1691</v>
      </c>
      <c r="W694" s="2202" t="s">
        <v>1692</v>
      </c>
      <c r="X694" s="2202" t="s">
        <v>1693</v>
      </c>
      <c r="Y694" s="2202" t="s">
        <v>1694</v>
      </c>
      <c r="Z694" s="2202" t="s">
        <v>1695</v>
      </c>
      <c r="AA694" s="2202" t="s">
        <v>1696</v>
      </c>
      <c r="AB694" s="2202" t="s">
        <v>1697</v>
      </c>
      <c r="AC694" s="2202" t="s">
        <v>1698</v>
      </c>
      <c r="AD694" s="2202" t="s">
        <v>1699</v>
      </c>
      <c r="AE694" s="2202" t="s">
        <v>1700</v>
      </c>
      <c r="AF694" s="2202" t="s">
        <v>1701</v>
      </c>
      <c r="AG694" s="2202" t="s">
        <v>1702</v>
      </c>
      <c r="AH694" s="2202" t="s">
        <v>1703</v>
      </c>
      <c r="AI694" s="2202" t="s">
        <v>1704</v>
      </c>
      <c r="AJ694" s="2202" t="s">
        <v>1705</v>
      </c>
      <c r="AK694" s="2202" t="s">
        <v>1706</v>
      </c>
      <c r="AL694" s="2202" t="s">
        <v>1707</v>
      </c>
      <c r="AM694" s="2202" t="s">
        <v>1708</v>
      </c>
      <c r="AN694" s="2202" t="s">
        <v>1709</v>
      </c>
      <c r="AO694" s="2202" t="s">
        <v>1710</v>
      </c>
      <c r="AP694" s="2202" t="s">
        <v>1711</v>
      </c>
      <c r="AQ694" s="2202" t="s">
        <v>1712</v>
      </c>
      <c r="AR694" s="2202" t="s">
        <v>1713</v>
      </c>
      <c r="AS694" s="2202" t="s">
        <v>1714</v>
      </c>
      <c r="AT694" s="2202" t="s">
        <v>1715</v>
      </c>
      <c r="AU694" s="2202" t="s">
        <v>1716</v>
      </c>
      <c r="AV694" s="2202" t="s">
        <v>1717</v>
      </c>
      <c r="AW694" s="2202" t="s">
        <v>1718</v>
      </c>
      <c r="AX694" s="2202" t="s">
        <v>1719</v>
      </c>
      <c r="AY694" s="2202" t="s">
        <v>1720</v>
      </c>
      <c r="AZ694" s="2202" t="s">
        <v>1721</v>
      </c>
      <c r="BA694" s="2123" t="s">
        <v>1722</v>
      </c>
      <c r="BB694" s="2123" t="s">
        <v>1723</v>
      </c>
      <c r="BC694" s="2123" t="s">
        <v>1724</v>
      </c>
      <c r="BD694" s="2123" t="s">
        <v>1725</v>
      </c>
      <c r="BE694" s="2123" t="s">
        <v>1726</v>
      </c>
      <c r="BF694" s="2123" t="s">
        <v>1727</v>
      </c>
      <c r="BG694" s="2123" t="s">
        <v>1728</v>
      </c>
      <c r="BH694" s="2123" t="s">
        <v>1729</v>
      </c>
      <c r="BI694" s="2123" t="s">
        <v>1730</v>
      </c>
      <c r="BJ694" s="2123" t="s">
        <v>1731</v>
      </c>
      <c r="BK694" s="2123" t="s">
        <v>1732</v>
      </c>
      <c r="BL694" s="2123" t="s">
        <v>1733</v>
      </c>
      <c r="BM694" s="2123" t="s">
        <v>1734</v>
      </c>
      <c r="BN694" s="2123" t="s">
        <v>1735</v>
      </c>
      <c r="BO694" s="2123" t="s">
        <v>1736</v>
      </c>
      <c r="BP694" s="2123" t="s">
        <v>1737</v>
      </c>
      <c r="BQ694" s="2123" t="s">
        <v>1738</v>
      </c>
      <c r="BR694" s="2123" t="s">
        <v>1739</v>
      </c>
      <c r="BS694" s="2123" t="s">
        <v>1740</v>
      </c>
      <c r="BT694" s="2123" t="s">
        <v>1741</v>
      </c>
      <c r="BU694" s="2123" t="s">
        <v>1742</v>
      </c>
      <c r="BV694" s="2123" t="s">
        <v>1743</v>
      </c>
      <c r="BW694" s="2123" t="s">
        <v>1744</v>
      </c>
      <c r="BX694" s="2123" t="s">
        <v>1745</v>
      </c>
      <c r="BY694" s="2123" t="s">
        <v>1746</v>
      </c>
      <c r="BZ694" s="2123" t="s">
        <v>1747</v>
      </c>
      <c r="CA694" s="2123" t="s">
        <v>1748</v>
      </c>
      <c r="CB694" s="2123" t="s">
        <v>1749</v>
      </c>
      <c r="CC694" s="2123" t="s">
        <v>1750</v>
      </c>
      <c r="CD694" s="2123" t="s">
        <v>1751</v>
      </c>
      <c r="CE694" s="2123" t="s">
        <v>1752</v>
      </c>
      <c r="CF694" s="2123" t="s">
        <v>1753</v>
      </c>
      <c r="CG694" s="2123" t="s">
        <v>1754</v>
      </c>
      <c r="CH694" s="2123" t="s">
        <v>1755</v>
      </c>
      <c r="CI694" s="2123" t="s">
        <v>1756</v>
      </c>
      <c r="CJ694" s="2123" t="s">
        <v>1757</v>
      </c>
      <c r="CK694" s="2123" t="s">
        <v>1758</v>
      </c>
      <c r="CL694" s="2123" t="s">
        <v>1759</v>
      </c>
      <c r="CM694" s="2123" t="s">
        <v>1760</v>
      </c>
      <c r="CN694" s="2123" t="s">
        <v>1761</v>
      </c>
      <c r="CO694" s="2123" t="s">
        <v>1762</v>
      </c>
      <c r="CP694" s="2123" t="s">
        <v>1763</v>
      </c>
      <c r="CQ694" s="2123" t="s">
        <v>1764</v>
      </c>
      <c r="CR694" s="2123" t="s">
        <v>1765</v>
      </c>
      <c r="CS694" s="2123" t="s">
        <v>1766</v>
      </c>
      <c r="CT694" s="2123" t="s">
        <v>1767</v>
      </c>
      <c r="CU694" s="2123" t="s">
        <v>1768</v>
      </c>
      <c r="CV694" s="2123" t="s">
        <v>1769</v>
      </c>
      <c r="CW694" s="2123" t="s">
        <v>1770</v>
      </c>
      <c r="CX694" s="2123" t="s">
        <v>1771</v>
      </c>
      <c r="CY694" s="2123" t="s">
        <v>1772</v>
      </c>
      <c r="CZ694" s="2123" t="s">
        <v>1773</v>
      </c>
      <c r="DA694" s="2123" t="s">
        <v>1774</v>
      </c>
      <c r="DB694" s="2123" t="s">
        <v>1775</v>
      </c>
      <c r="DC694" s="2123" t="s">
        <v>1776</v>
      </c>
      <c r="DD694" s="2123" t="s">
        <v>1777</v>
      </c>
      <c r="DE694" s="2123" t="s">
        <v>1778</v>
      </c>
      <c r="DF694" s="2123" t="s">
        <v>1779</v>
      </c>
      <c r="DG694" s="2123" t="s">
        <v>1780</v>
      </c>
      <c r="DH694" s="2123" t="s">
        <v>1781</v>
      </c>
      <c r="DI694" s="2123" t="s">
        <v>1782</v>
      </c>
      <c r="DJ694" s="2123" t="s">
        <v>1783</v>
      </c>
      <c r="DK694" s="2123" t="s">
        <v>1784</v>
      </c>
      <c r="DL694" s="2123" t="s">
        <v>1785</v>
      </c>
      <c r="DM694" s="2123" t="s">
        <v>1786</v>
      </c>
      <c r="DN694" s="2123" t="s">
        <v>1787</v>
      </c>
      <c r="DO694" s="2123" t="s">
        <v>1788</v>
      </c>
      <c r="DP694" s="2123" t="s">
        <v>1789</v>
      </c>
      <c r="DQ694" s="2123" t="s">
        <v>1790</v>
      </c>
      <c r="DR694" s="2123" t="s">
        <v>1791</v>
      </c>
      <c r="DS694" s="2123" t="s">
        <v>1792</v>
      </c>
      <c r="DT694" s="2123" t="s">
        <v>1793</v>
      </c>
      <c r="DU694" s="2123" t="s">
        <v>1794</v>
      </c>
      <c r="DV694" s="2123" t="s">
        <v>1795</v>
      </c>
      <c r="DW694" s="2123" t="s">
        <v>1796</v>
      </c>
      <c r="DX694" s="2123" t="s">
        <v>1797</v>
      </c>
      <c r="DY694" s="2123" t="s">
        <v>1798</v>
      </c>
      <c r="DZ694" s="2123" t="s">
        <v>1799</v>
      </c>
      <c r="EA694" s="2123" t="s">
        <v>1800</v>
      </c>
      <c r="EB694" s="2123" t="s">
        <v>1801</v>
      </c>
      <c r="EC694" s="2123" t="s">
        <v>1802</v>
      </c>
      <c r="ED694" s="2123" t="s">
        <v>1803</v>
      </c>
      <c r="EE694" s="2123" t="s">
        <v>1804</v>
      </c>
      <c r="EF694" s="2123" t="s">
        <v>1805</v>
      </c>
      <c r="EG694" s="2123" t="s">
        <v>1806</v>
      </c>
      <c r="EH694" s="2123" t="s">
        <v>1807</v>
      </c>
      <c r="EI694" s="2123" t="s">
        <v>1808</v>
      </c>
      <c r="EJ694" s="2123" t="s">
        <v>1809</v>
      </c>
      <c r="EK694" s="2123" t="s">
        <v>1810</v>
      </c>
      <c r="EL694" s="2123" t="s">
        <v>1811</v>
      </c>
      <c r="EM694" s="2123" t="s">
        <v>1812</v>
      </c>
      <c r="EN694" s="2123" t="s">
        <v>1813</v>
      </c>
      <c r="EO694" s="2123" t="s">
        <v>1814</v>
      </c>
      <c r="EP694" s="2123" t="s">
        <v>1815</v>
      </c>
      <c r="EQ694" s="2123" t="s">
        <v>1816</v>
      </c>
      <c r="ER694" s="2123" t="s">
        <v>1817</v>
      </c>
      <c r="ES694" s="2123" t="s">
        <v>1818</v>
      </c>
      <c r="ET694" s="2123" t="s">
        <v>1819</v>
      </c>
      <c r="EU694" s="2123" t="s">
        <v>1820</v>
      </c>
      <c r="EV694" s="2123" t="s">
        <v>1821</v>
      </c>
      <c r="EW694" s="2123" t="s">
        <v>1822</v>
      </c>
      <c r="EX694" s="2123" t="s">
        <v>1823</v>
      </c>
      <c r="EY694" s="2123" t="s">
        <v>1824</v>
      </c>
      <c r="EZ694" s="2123" t="s">
        <v>1825</v>
      </c>
      <c r="FA694" s="2123" t="s">
        <v>1826</v>
      </c>
      <c r="FB694" s="2123" t="s">
        <v>1827</v>
      </c>
      <c r="FC694" s="2123" t="s">
        <v>1828</v>
      </c>
      <c r="FD694" s="2123" t="s">
        <v>1829</v>
      </c>
      <c r="FE694" s="2123" t="s">
        <v>1830</v>
      </c>
      <c r="FF694" s="2123" t="s">
        <v>1831</v>
      </c>
      <c r="FG694" s="2123" t="s">
        <v>1832</v>
      </c>
      <c r="FH694" s="2123" t="s">
        <v>1833</v>
      </c>
      <c r="FI694" s="2123" t="s">
        <v>1834</v>
      </c>
      <c r="FJ694" s="2123" t="s">
        <v>1835</v>
      </c>
      <c r="FK694" s="2123" t="s">
        <v>1836</v>
      </c>
      <c r="FL694" s="2123" t="s">
        <v>1837</v>
      </c>
      <c r="FM694" s="2123" t="s">
        <v>1838</v>
      </c>
      <c r="FN694" s="2123" t="s">
        <v>1839</v>
      </c>
      <c r="FO694" s="2123" t="s">
        <v>1840</v>
      </c>
      <c r="FP694" s="2123" t="s">
        <v>1841</v>
      </c>
      <c r="FQ694" s="2123" t="s">
        <v>1842</v>
      </c>
      <c r="FR694" s="2123" t="s">
        <v>1843</v>
      </c>
      <c r="FS694" s="2123" t="s">
        <v>1844</v>
      </c>
      <c r="FT694" s="2123" t="s">
        <v>1845</v>
      </c>
      <c r="FU694" s="2123" t="s">
        <v>1846</v>
      </c>
      <c r="FV694" s="2123" t="s">
        <v>1847</v>
      </c>
      <c r="FW694" s="2123" t="s">
        <v>1848</v>
      </c>
      <c r="FX694" s="2123" t="s">
        <v>1849</v>
      </c>
      <c r="FY694" s="2123" t="s">
        <v>1850</v>
      </c>
      <c r="FZ694" s="2123" t="s">
        <v>1851</v>
      </c>
      <c r="GA694" s="2123" t="s">
        <v>1852</v>
      </c>
      <c r="GB694" s="2123" t="s">
        <v>1853</v>
      </c>
      <c r="GC694" s="2123" t="s">
        <v>1854</v>
      </c>
      <c r="GD694" s="2123" t="s">
        <v>1855</v>
      </c>
      <c r="GE694" s="2123" t="s">
        <v>1856</v>
      </c>
      <c r="GF694" s="2123" t="s">
        <v>1857</v>
      </c>
      <c r="GG694" s="2123" t="s">
        <v>1858</v>
      </c>
      <c r="GH694" s="2123" t="s">
        <v>1859</v>
      </c>
      <c r="GI694" s="2123" t="s">
        <v>1860</v>
      </c>
      <c r="GJ694" s="2123" t="s">
        <v>1861</v>
      </c>
      <c r="GK694" s="2123" t="s">
        <v>1862</v>
      </c>
      <c r="GL694" s="2123" t="s">
        <v>1863</v>
      </c>
      <c r="GM694" s="2123" t="s">
        <v>1864</v>
      </c>
      <c r="GN694" s="2123" t="s">
        <v>1865</v>
      </c>
      <c r="GO694" s="2123" t="s">
        <v>1866</v>
      </c>
      <c r="GP694" s="2123" t="s">
        <v>1867</v>
      </c>
      <c r="GQ694" s="2123" t="s">
        <v>1868</v>
      </c>
      <c r="GR694" s="2123" t="s">
        <v>1869</v>
      </c>
      <c r="GS694" s="2123" t="s">
        <v>1870</v>
      </c>
      <c r="GT694" s="2123" t="s">
        <v>1871</v>
      </c>
      <c r="GU694" s="2123" t="s">
        <v>1872</v>
      </c>
      <c r="GV694" s="2123" t="s">
        <v>1873</v>
      </c>
      <c r="GW694" s="2123" t="s">
        <v>1874</v>
      </c>
      <c r="GX694" s="2123" t="s">
        <v>1875</v>
      </c>
      <c r="GY694" s="2123" t="s">
        <v>1876</v>
      </c>
      <c r="GZ694" s="2123" t="s">
        <v>1877</v>
      </c>
      <c r="HA694" s="2123" t="s">
        <v>1878</v>
      </c>
      <c r="HB694" s="2123" t="s">
        <v>1879</v>
      </c>
      <c r="HC694" s="2123" t="s">
        <v>1880</v>
      </c>
      <c r="HD694" s="2123" t="s">
        <v>1881</v>
      </c>
      <c r="HE694" s="2123" t="s">
        <v>1882</v>
      </c>
      <c r="HF694" s="2123" t="s">
        <v>1883</v>
      </c>
      <c r="HG694" s="2123" t="s">
        <v>1884</v>
      </c>
      <c r="HH694" s="2123" t="s">
        <v>1885</v>
      </c>
      <c r="HI694" s="2123" t="s">
        <v>1886</v>
      </c>
      <c r="HJ694" s="2123" t="s">
        <v>1887</v>
      </c>
      <c r="HK694" s="2123" t="s">
        <v>1888</v>
      </c>
      <c r="HL694" s="2123" t="s">
        <v>1889</v>
      </c>
      <c r="HM694" s="2123" t="s">
        <v>1890</v>
      </c>
      <c r="HN694" s="2123" t="s">
        <v>1891</v>
      </c>
      <c r="HO694" s="2123" t="s">
        <v>1892</v>
      </c>
      <c r="HP694" s="2123" t="s">
        <v>1893</v>
      </c>
      <c r="HQ694" s="2123" t="s">
        <v>1894</v>
      </c>
      <c r="HR694" s="2123" t="s">
        <v>1895</v>
      </c>
      <c r="HS694" s="2123" t="s">
        <v>1896</v>
      </c>
      <c r="HT694" s="2123" t="s">
        <v>1897</v>
      </c>
      <c r="HU694" s="2123" t="s">
        <v>1898</v>
      </c>
      <c r="HV694" s="2123" t="s">
        <v>1899</v>
      </c>
      <c r="HW694" s="2123" t="s">
        <v>1900</v>
      </c>
      <c r="HX694" s="2123" t="s">
        <v>1901</v>
      </c>
    </row>
    <row r="695" spans="2:232" s="2040" customFormat="1" ht="14" hidden="1" x14ac:dyDescent="0.3">
      <c r="B695" s="2203">
        <v>1</v>
      </c>
      <c r="C695" s="2204">
        <v>0.28999999999999998</v>
      </c>
      <c r="D695" s="2204">
        <v>0.28999999999999998</v>
      </c>
      <c r="E695" s="2204">
        <v>0.28999999999999998</v>
      </c>
      <c r="F695" s="2204">
        <v>0.28999999999999998</v>
      </c>
      <c r="G695" s="2204">
        <v>0.33</v>
      </c>
      <c r="H695" s="2204">
        <v>0.33</v>
      </c>
      <c r="I695" s="2204">
        <v>0.31</v>
      </c>
      <c r="J695" s="2204">
        <v>0.31</v>
      </c>
      <c r="K695" s="2204">
        <v>0.31</v>
      </c>
      <c r="L695" s="2204">
        <v>0.31</v>
      </c>
      <c r="M695" s="2204"/>
      <c r="N695" s="2204"/>
      <c r="O695" s="2204">
        <v>0.28999999999999998</v>
      </c>
      <c r="P695" s="2204">
        <v>0.28999999999999998</v>
      </c>
      <c r="Q695" s="2204">
        <v>0.28999999999999998</v>
      </c>
      <c r="R695" s="2204">
        <v>0.28999999999999998</v>
      </c>
      <c r="S695" s="2204">
        <v>0.28999999999999998</v>
      </c>
      <c r="T695" s="2204">
        <v>0.28999999999999998</v>
      </c>
      <c r="U695" s="2204">
        <v>0.28999999999999998</v>
      </c>
      <c r="V695" s="2204">
        <v>0.28999999999999998</v>
      </c>
      <c r="W695" s="2204">
        <v>0.28999999999999998</v>
      </c>
      <c r="X695" s="2204">
        <v>0.28999999999999998</v>
      </c>
      <c r="Y695" s="2204">
        <v>0.28999999999999998</v>
      </c>
      <c r="Z695" s="2204">
        <v>0.28999999999999998</v>
      </c>
      <c r="AA695" s="2204">
        <v>0.28999999999999998</v>
      </c>
      <c r="AB695" s="2204">
        <v>0.28999999999999998</v>
      </c>
      <c r="AC695" s="2204">
        <v>0.28999999999999998</v>
      </c>
      <c r="AD695" s="2204">
        <v>0.28999999999999998</v>
      </c>
      <c r="AE695" s="2204">
        <v>0.31</v>
      </c>
      <c r="AF695" s="2204">
        <v>0.31</v>
      </c>
      <c r="AG695" s="2204">
        <v>0.31</v>
      </c>
      <c r="AH695" s="2204">
        <v>0.31</v>
      </c>
      <c r="AI695" s="2204">
        <v>0.31</v>
      </c>
      <c r="AJ695" s="2204">
        <v>0.31</v>
      </c>
      <c r="AK695" s="2204">
        <v>0.31</v>
      </c>
      <c r="AL695" s="2204">
        <v>0.31</v>
      </c>
      <c r="AM695" s="2204">
        <v>0.28999999999999998</v>
      </c>
      <c r="AN695" s="2204">
        <v>0.28999999999999998</v>
      </c>
      <c r="AO695" s="2204">
        <v>0.28999999999999998</v>
      </c>
      <c r="AP695" s="2204">
        <v>0.28999999999999998</v>
      </c>
      <c r="AQ695" s="2204">
        <v>0.28999999999999998</v>
      </c>
      <c r="AR695" s="2204">
        <v>0.28999999999999998</v>
      </c>
      <c r="AS695" s="2204">
        <v>0.28999999999999998</v>
      </c>
      <c r="AT695" s="2204">
        <v>0.28999999999999998</v>
      </c>
      <c r="AU695" s="2204">
        <v>0.28999999999999998</v>
      </c>
      <c r="AV695" s="2204">
        <v>0.28999999999999998</v>
      </c>
      <c r="AW695" s="2204">
        <v>0.31</v>
      </c>
      <c r="AX695" s="2204">
        <v>0.31</v>
      </c>
      <c r="AY695" s="2204">
        <v>0.31</v>
      </c>
      <c r="AZ695" s="2204">
        <v>0.31</v>
      </c>
      <c r="BA695" s="2123">
        <v>0.28999999999999998</v>
      </c>
      <c r="BB695" s="2123">
        <v>0.28999999999999998</v>
      </c>
      <c r="BC695" s="2123">
        <v>0.28999999999999998</v>
      </c>
      <c r="BD695" s="2123">
        <v>0.28999999999999998</v>
      </c>
      <c r="BE695" s="2123">
        <v>0.28999999999999998</v>
      </c>
      <c r="BF695" s="2123">
        <v>0.28999999999999998</v>
      </c>
      <c r="BG695" s="2123">
        <v>0.28999999999999998</v>
      </c>
      <c r="BH695" s="2123">
        <v>0.28999999999999998</v>
      </c>
      <c r="BI695" s="2123">
        <v>0.31</v>
      </c>
      <c r="BJ695" s="2123">
        <v>0.31</v>
      </c>
      <c r="BK695" s="2123">
        <v>0.31</v>
      </c>
      <c r="BL695" s="2123">
        <v>0.31</v>
      </c>
      <c r="BM695" s="2123">
        <v>0.28999999999999998</v>
      </c>
      <c r="BN695" s="2123">
        <v>0.28999999999999998</v>
      </c>
      <c r="BO695" s="2123">
        <v>0.3</v>
      </c>
      <c r="BP695" s="2123">
        <v>0.3</v>
      </c>
      <c r="BQ695" s="2123">
        <v>0.3</v>
      </c>
      <c r="BR695" s="2123">
        <v>0.3</v>
      </c>
      <c r="BS695" s="2123">
        <v>0.31</v>
      </c>
      <c r="BT695" s="2123">
        <v>0.31</v>
      </c>
      <c r="BU695" s="2123">
        <v>0.31</v>
      </c>
      <c r="BV695" s="2123">
        <v>0.31</v>
      </c>
      <c r="BW695" s="2123">
        <v>0.31</v>
      </c>
      <c r="BX695" s="2123">
        <v>0.31</v>
      </c>
      <c r="BY695" s="2123">
        <v>0.28999999999999998</v>
      </c>
      <c r="BZ695" s="2123">
        <v>0.28999999999999998</v>
      </c>
      <c r="CA695" s="2123">
        <v>0.3</v>
      </c>
      <c r="CB695" s="2123">
        <v>0.3</v>
      </c>
      <c r="CC695" s="2123">
        <v>0.28999999999999998</v>
      </c>
      <c r="CD695" s="2123">
        <v>0.28999999999999998</v>
      </c>
      <c r="CE695" s="2123">
        <v>0.31</v>
      </c>
      <c r="CF695" s="2123">
        <v>0.31</v>
      </c>
      <c r="CG695" s="2123"/>
      <c r="CH695" s="2123"/>
      <c r="CI695" s="2123"/>
      <c r="CJ695" s="2123"/>
      <c r="CK695" s="2123">
        <v>2.29</v>
      </c>
      <c r="CL695" s="2123">
        <v>2.29</v>
      </c>
      <c r="CM695" s="2123">
        <v>0.5</v>
      </c>
      <c r="CN695" s="2123">
        <v>0.5</v>
      </c>
      <c r="CO695" s="2123">
        <v>0.34</v>
      </c>
      <c r="CP695" s="2123">
        <v>0.34</v>
      </c>
      <c r="CQ695" s="2123">
        <v>0.34</v>
      </c>
      <c r="CR695" s="2123">
        <v>0.34</v>
      </c>
      <c r="CS695" s="2123"/>
      <c r="CT695" s="2123"/>
      <c r="CU695" s="2123"/>
      <c r="CV695" s="2123"/>
      <c r="CW695" s="2123">
        <v>0.28999999999999998</v>
      </c>
      <c r="CX695" s="2123">
        <v>0.28999999999999998</v>
      </c>
      <c r="CY695" s="2123">
        <v>0.43</v>
      </c>
      <c r="CZ695" s="2123">
        <v>0.43</v>
      </c>
      <c r="DA695" s="2123">
        <v>0.43</v>
      </c>
      <c r="DB695" s="2123">
        <v>0.43</v>
      </c>
      <c r="DC695" s="2123">
        <v>0.33</v>
      </c>
      <c r="DD695" s="2123">
        <v>0.33</v>
      </c>
      <c r="DE695" s="2123">
        <v>0.33</v>
      </c>
      <c r="DF695" s="2123">
        <v>0.33</v>
      </c>
      <c r="DG695" s="2123"/>
      <c r="DH695" s="2123"/>
      <c r="DI695" s="2123">
        <v>0.28999999999999998</v>
      </c>
      <c r="DJ695" s="2123">
        <v>0.28999999999999998</v>
      </c>
      <c r="DK695" s="2123">
        <v>0.28999999999999998</v>
      </c>
      <c r="DL695" s="2123">
        <v>0.28999999999999998</v>
      </c>
      <c r="DM695" s="2123">
        <v>0.28999999999999998</v>
      </c>
      <c r="DN695" s="2123">
        <v>0.28999999999999998</v>
      </c>
      <c r="DO695" s="2123"/>
      <c r="DP695" s="2123"/>
      <c r="DQ695" s="2123"/>
      <c r="DR695" s="2123"/>
      <c r="DS695" s="2123"/>
      <c r="DT695" s="2123"/>
      <c r="DU695" s="2123">
        <v>0.28999999999999998</v>
      </c>
      <c r="DV695" s="2123">
        <v>0.28999999999999998</v>
      </c>
      <c r="DW695" s="2123">
        <v>0.28999999999999998</v>
      </c>
      <c r="DX695" s="2123">
        <v>0.28999999999999998</v>
      </c>
      <c r="DY695" s="2123">
        <v>0.28999999999999998</v>
      </c>
      <c r="DZ695" s="2123">
        <v>0.28999999999999998</v>
      </c>
      <c r="EA695" s="2123"/>
      <c r="EB695" s="2123"/>
      <c r="EC695" s="2123"/>
      <c r="ED695" s="2123"/>
      <c r="EE695" s="2123"/>
      <c r="EF695" s="2123"/>
      <c r="EG695" s="2123">
        <v>0.28999999999999998</v>
      </c>
      <c r="EH695" s="2123">
        <v>0.28999999999999998</v>
      </c>
      <c r="EI695" s="2123">
        <v>0.28999999999999998</v>
      </c>
      <c r="EJ695" s="2123">
        <v>0.28999999999999998</v>
      </c>
      <c r="EK695" s="2123">
        <v>0.28999999999999998</v>
      </c>
      <c r="EL695" s="2123">
        <v>0.28999999999999998</v>
      </c>
      <c r="EM695" s="2123">
        <v>0.28999999999999998</v>
      </c>
      <c r="EN695" s="2123">
        <v>0.28999999999999998</v>
      </c>
      <c r="EO695" s="2123">
        <v>0.31</v>
      </c>
      <c r="EP695" s="2123">
        <v>0.31</v>
      </c>
      <c r="EQ695" s="2123">
        <v>0.31</v>
      </c>
      <c r="ER695" s="2123">
        <v>0.28999999999999998</v>
      </c>
      <c r="ES695" s="2123">
        <v>0.28999999999999998</v>
      </c>
      <c r="ET695" s="2123">
        <v>0.28999999999999998</v>
      </c>
      <c r="EU695" s="2123">
        <v>0.3</v>
      </c>
      <c r="EV695" s="2123">
        <v>0.3</v>
      </c>
      <c r="EW695" s="2123">
        <v>0.3</v>
      </c>
      <c r="EX695" s="2123">
        <v>0.3</v>
      </c>
      <c r="EY695" s="2129">
        <f>AVERAGE(EU695,EW695)</f>
        <v>0.3</v>
      </c>
      <c r="EZ695" s="2129">
        <f>AVERAGE(EV695,EX695)</f>
        <v>0.3</v>
      </c>
      <c r="FA695" s="2123">
        <v>0.31</v>
      </c>
      <c r="FB695" s="2123">
        <v>0.31</v>
      </c>
      <c r="FC695" s="2123"/>
      <c r="FD695" s="2123"/>
      <c r="FE695" s="2123">
        <v>0.28999999999999998</v>
      </c>
      <c r="FF695" s="2123">
        <v>0.28999999999999998</v>
      </c>
      <c r="FG695" s="2123">
        <v>0.3</v>
      </c>
      <c r="FH695" s="2123">
        <v>0.3</v>
      </c>
      <c r="FI695" s="2123">
        <v>0.3</v>
      </c>
      <c r="FJ695" s="2123">
        <v>0.3</v>
      </c>
      <c r="FK695" s="2123">
        <v>0.3</v>
      </c>
      <c r="FL695" s="2123">
        <v>0.3</v>
      </c>
      <c r="FM695" s="2123">
        <v>0.31</v>
      </c>
      <c r="FN695" s="2123">
        <v>0.31</v>
      </c>
      <c r="FO695" s="2123"/>
      <c r="FP695" s="2123"/>
      <c r="FQ695" s="2123">
        <v>0.28999999999999998</v>
      </c>
      <c r="FR695" s="2123">
        <v>0.28999999999999998</v>
      </c>
      <c r="FS695" s="2123">
        <v>0.31</v>
      </c>
      <c r="FT695" s="2123">
        <v>0.31</v>
      </c>
      <c r="FU695" s="2123">
        <v>0.31</v>
      </c>
      <c r="FV695" s="2123">
        <v>0.31</v>
      </c>
      <c r="FW695" s="2123">
        <v>0.32</v>
      </c>
      <c r="FX695" s="2123">
        <v>0.32</v>
      </c>
      <c r="FY695" s="2123"/>
      <c r="FZ695" s="2123"/>
      <c r="GA695" s="2123"/>
      <c r="GB695" s="2123"/>
      <c r="GC695" s="2123">
        <v>0.28999999999999998</v>
      </c>
      <c r="GD695" s="2123">
        <v>0.28999999999999998</v>
      </c>
      <c r="GE695" s="2123">
        <v>0.36</v>
      </c>
      <c r="GF695" s="2123">
        <v>0.36</v>
      </c>
      <c r="GG695" s="2123">
        <v>0.36</v>
      </c>
      <c r="GH695" s="2123">
        <v>0.36</v>
      </c>
      <c r="GI695" s="2123">
        <v>0.28999999999999998</v>
      </c>
      <c r="GJ695" s="2123">
        <v>0.28999999999999998</v>
      </c>
      <c r="GK695" s="2123">
        <v>0.31</v>
      </c>
      <c r="GL695" s="2123">
        <v>0.31</v>
      </c>
      <c r="GM695" s="2123"/>
      <c r="GN695" s="2123"/>
      <c r="GO695" s="2123">
        <v>0.28999999999999998</v>
      </c>
      <c r="GP695" s="2123">
        <v>0.28999999999999998</v>
      </c>
      <c r="GQ695" s="2123">
        <v>0.28999999999999998</v>
      </c>
      <c r="GR695" s="2123">
        <v>0.28999999999999998</v>
      </c>
      <c r="GS695" s="2123">
        <v>0.28999999999999998</v>
      </c>
      <c r="GT695" s="2123">
        <v>0.28999999999999998</v>
      </c>
      <c r="GU695" s="2123">
        <v>0.28999999999999998</v>
      </c>
      <c r="GV695" s="2123">
        <v>0.28999999999999998</v>
      </c>
      <c r="GW695" s="2123">
        <v>0.31</v>
      </c>
      <c r="GX695" s="2123">
        <v>0.31</v>
      </c>
      <c r="GY695" s="2123"/>
      <c r="GZ695" s="2123"/>
      <c r="HA695" s="2123">
        <v>0.28999999999999998</v>
      </c>
      <c r="HB695" s="2123">
        <v>0.28999999999999998</v>
      </c>
      <c r="HC695" s="2123">
        <v>0.31</v>
      </c>
      <c r="HD695" s="2123">
        <v>0.31</v>
      </c>
      <c r="HE695" s="2123">
        <v>0.28999999999999998</v>
      </c>
      <c r="HF695" s="2123">
        <v>0.28999999999999998</v>
      </c>
      <c r="HG695" s="2123">
        <v>0.28999999999999998</v>
      </c>
      <c r="HH695" s="2123">
        <v>0.28999999999999998</v>
      </c>
      <c r="HI695" s="2123">
        <v>0.28999999999999998</v>
      </c>
      <c r="HJ695" s="2123">
        <v>0.28999999999999998</v>
      </c>
      <c r="HK695" s="2123">
        <v>0.31</v>
      </c>
      <c r="HL695" s="2123">
        <v>0.31</v>
      </c>
      <c r="HM695" s="2123">
        <v>0.28999999999999998</v>
      </c>
      <c r="HN695" s="2123">
        <v>0.28999999999999998</v>
      </c>
      <c r="HO695" s="2123">
        <v>0.31</v>
      </c>
      <c r="HP695" s="2123">
        <v>0.31</v>
      </c>
      <c r="HQ695" s="2123">
        <v>0.28999999999999998</v>
      </c>
      <c r="HR695" s="2123">
        <v>0.28999999999999998</v>
      </c>
      <c r="HS695" s="2123">
        <v>0.28999999999999998</v>
      </c>
      <c r="HT695" s="2123">
        <v>0.28999999999999998</v>
      </c>
      <c r="HU695" s="2123">
        <v>0.28999999999999998</v>
      </c>
      <c r="HV695" s="2123">
        <v>0.28999999999999998</v>
      </c>
      <c r="HW695" s="2123">
        <v>0.31</v>
      </c>
      <c r="HX695" s="2123">
        <v>0.31</v>
      </c>
    </row>
    <row r="696" spans="2:232" s="2040" customFormat="1" ht="14" hidden="1" x14ac:dyDescent="0.3">
      <c r="B696" s="2203">
        <v>2</v>
      </c>
      <c r="C696" s="2204">
        <v>0.34</v>
      </c>
      <c r="D696" s="2204">
        <v>0.34</v>
      </c>
      <c r="E696" s="2204">
        <v>0.7</v>
      </c>
      <c r="F696" s="2204">
        <v>0.7</v>
      </c>
      <c r="G696" s="2204">
        <v>0.56999999999999995</v>
      </c>
      <c r="H696" s="2204">
        <v>0.56999999999999995</v>
      </c>
      <c r="I696" s="2204">
        <v>0.35</v>
      </c>
      <c r="J696" s="2204">
        <v>0.35</v>
      </c>
      <c r="K696" s="2204">
        <v>0.43</v>
      </c>
      <c r="L696" s="2204">
        <v>0.43</v>
      </c>
      <c r="M696" s="2204"/>
      <c r="N696" s="2204"/>
      <c r="O696" s="2204">
        <v>0.43</v>
      </c>
      <c r="P696" s="2204">
        <v>0.43</v>
      </c>
      <c r="Q696" s="2204">
        <v>0.59</v>
      </c>
      <c r="R696" s="2204">
        <v>0.44</v>
      </c>
      <c r="S696" s="2204">
        <v>0.33999999999999997</v>
      </c>
      <c r="T696" s="2204">
        <v>0.34</v>
      </c>
      <c r="U696" s="2204">
        <v>0.34</v>
      </c>
      <c r="V696" s="2204">
        <v>0.34</v>
      </c>
      <c r="W696" s="2204">
        <v>0.34</v>
      </c>
      <c r="X696" s="2204">
        <v>0.34</v>
      </c>
      <c r="Y696" s="2204">
        <v>0.34</v>
      </c>
      <c r="Z696" s="2204">
        <v>0.34</v>
      </c>
      <c r="AA696" s="2204">
        <v>0.34</v>
      </c>
      <c r="AB696" s="2204">
        <v>0.34</v>
      </c>
      <c r="AC696" s="2204">
        <v>0.34</v>
      </c>
      <c r="AD696" s="2204">
        <v>0.34</v>
      </c>
      <c r="AE696" s="2204">
        <v>0.37</v>
      </c>
      <c r="AF696" s="2204">
        <v>0.36</v>
      </c>
      <c r="AG696" s="2204">
        <v>0.37</v>
      </c>
      <c r="AH696" s="2204">
        <v>0.37</v>
      </c>
      <c r="AI696" s="2204">
        <v>0.36</v>
      </c>
      <c r="AJ696" s="2204">
        <v>0.36</v>
      </c>
      <c r="AK696" s="2204">
        <v>0.47</v>
      </c>
      <c r="AL696" s="2204">
        <v>0.47</v>
      </c>
      <c r="AM696" s="2204">
        <v>0.37</v>
      </c>
      <c r="AN696" s="2204">
        <v>0.36</v>
      </c>
      <c r="AO696" s="2204">
        <v>0.36</v>
      </c>
      <c r="AP696" s="2204">
        <v>0.36</v>
      </c>
      <c r="AQ696" s="2204">
        <v>0.36</v>
      </c>
      <c r="AR696" s="2204">
        <v>0.36</v>
      </c>
      <c r="AS696" s="2204">
        <v>0.4</v>
      </c>
      <c r="AT696" s="2204">
        <v>0.4</v>
      </c>
      <c r="AU696" s="2204">
        <v>0.4</v>
      </c>
      <c r="AV696" s="2204">
        <v>0.42</v>
      </c>
      <c r="AW696" s="2204">
        <v>0.34</v>
      </c>
      <c r="AX696" s="2204">
        <v>0.34</v>
      </c>
      <c r="AY696" s="2204">
        <v>0.35</v>
      </c>
      <c r="AZ696" s="2204">
        <v>0.35</v>
      </c>
      <c r="BA696" s="2123">
        <v>0.33</v>
      </c>
      <c r="BB696" s="2123">
        <v>0.33</v>
      </c>
      <c r="BC696" s="2123">
        <v>0.3</v>
      </c>
      <c r="BD696" s="2123">
        <v>0.3</v>
      </c>
      <c r="BE696" s="2123">
        <v>0.34</v>
      </c>
      <c r="BF696" s="2123">
        <v>0.34</v>
      </c>
      <c r="BG696" s="2123">
        <v>0.3</v>
      </c>
      <c r="BH696" s="2123">
        <v>0.3</v>
      </c>
      <c r="BI696" s="2123">
        <v>0.31</v>
      </c>
      <c r="BJ696" s="2123">
        <v>0.31</v>
      </c>
      <c r="BK696" s="2123">
        <v>0.31</v>
      </c>
      <c r="BL696" s="2123">
        <v>0.31</v>
      </c>
      <c r="BM696" s="2123">
        <v>0.35</v>
      </c>
      <c r="BN696" s="2123">
        <v>0.35</v>
      </c>
      <c r="BO696" s="2123">
        <v>0.56999999999999995</v>
      </c>
      <c r="BP696" s="2123">
        <v>0.56999999999999995</v>
      </c>
      <c r="BQ696" s="2123">
        <v>0.56999999999999995</v>
      </c>
      <c r="BR696" s="2123">
        <v>0.56999999999999995</v>
      </c>
      <c r="BS696" s="2123">
        <v>0.41</v>
      </c>
      <c r="BT696" s="2123">
        <v>0.41</v>
      </c>
      <c r="BU696" s="2123">
        <v>0.41</v>
      </c>
      <c r="BV696" s="2123">
        <v>0.41</v>
      </c>
      <c r="BW696" s="2123">
        <v>0.41</v>
      </c>
      <c r="BX696" s="2123">
        <v>0.41</v>
      </c>
      <c r="BY696" s="2123">
        <v>0.35</v>
      </c>
      <c r="BZ696" s="2123">
        <v>0.35</v>
      </c>
      <c r="CA696" s="2123">
        <v>0.53</v>
      </c>
      <c r="CB696" s="2123">
        <v>0.53</v>
      </c>
      <c r="CC696" s="2123">
        <v>0.39</v>
      </c>
      <c r="CD696" s="2123">
        <v>0.39</v>
      </c>
      <c r="CE696" s="2123">
        <v>0.4</v>
      </c>
      <c r="CF696" s="2123">
        <v>0.4</v>
      </c>
      <c r="CG696" s="2123"/>
      <c r="CH696" s="2123"/>
      <c r="CI696" s="2123"/>
      <c r="CJ696" s="2123"/>
      <c r="CK696" s="2123">
        <v>4.47</v>
      </c>
      <c r="CL696" s="2123">
        <v>4.47</v>
      </c>
      <c r="CM696" s="2123">
        <v>2.78</v>
      </c>
      <c r="CN696" s="2123">
        <v>2.78</v>
      </c>
      <c r="CO696" s="2123">
        <v>1.2</v>
      </c>
      <c r="CP696" s="2123">
        <v>1.2</v>
      </c>
      <c r="CQ696" s="2123">
        <v>1.2</v>
      </c>
      <c r="CR696" s="2123">
        <v>1.2</v>
      </c>
      <c r="CS696" s="2123"/>
      <c r="CT696" s="2123"/>
      <c r="CU696" s="2123"/>
      <c r="CV696" s="2123"/>
      <c r="CW696" s="2123">
        <v>0.41</v>
      </c>
      <c r="CX696" s="2123">
        <v>0.41</v>
      </c>
      <c r="CY696" s="2123">
        <v>2.17</v>
      </c>
      <c r="CZ696" s="2123">
        <v>2.17</v>
      </c>
      <c r="DA696" s="2123">
        <v>2.17</v>
      </c>
      <c r="DB696" s="2123">
        <v>2.17</v>
      </c>
      <c r="DC696" s="2123">
        <v>0.99</v>
      </c>
      <c r="DD696" s="2123">
        <v>0.99</v>
      </c>
      <c r="DE696" s="2123">
        <v>0.99</v>
      </c>
      <c r="DF696" s="2123">
        <v>0.99</v>
      </c>
      <c r="DG696" s="2123"/>
      <c r="DH696" s="2123"/>
      <c r="DI696" s="2123">
        <v>0.32</v>
      </c>
      <c r="DJ696" s="2123">
        <v>0.32</v>
      </c>
      <c r="DK696" s="2123">
        <v>0.32</v>
      </c>
      <c r="DL696" s="2123">
        <v>0.32</v>
      </c>
      <c r="DM696" s="2123">
        <v>0.32</v>
      </c>
      <c r="DN696" s="2123">
        <v>0.32</v>
      </c>
      <c r="DO696" s="2123"/>
      <c r="DP696" s="2123"/>
      <c r="DQ696" s="2123"/>
      <c r="DR696" s="2123"/>
      <c r="DS696" s="2123"/>
      <c r="DT696" s="2123"/>
      <c r="DU696" s="2123">
        <v>0.31</v>
      </c>
      <c r="DV696" s="2123">
        <v>0.31</v>
      </c>
      <c r="DW696" s="2123">
        <v>0.28999999999999998</v>
      </c>
      <c r="DX696" s="2123">
        <v>0.28999999999999998</v>
      </c>
      <c r="DY696" s="2123">
        <v>0.28999999999999998</v>
      </c>
      <c r="DZ696" s="2123">
        <v>0.28999999999999998</v>
      </c>
      <c r="EA696" s="2123"/>
      <c r="EB696" s="2123"/>
      <c r="EC696" s="2123"/>
      <c r="ED696" s="2123"/>
      <c r="EE696" s="2123"/>
      <c r="EF696" s="2123"/>
      <c r="EG696" s="2123">
        <v>0.31</v>
      </c>
      <c r="EH696" s="2123">
        <v>0.32</v>
      </c>
      <c r="EI696" s="2123">
        <v>0.3</v>
      </c>
      <c r="EJ696" s="2123">
        <v>0.3</v>
      </c>
      <c r="EK696" s="2123">
        <v>0.3</v>
      </c>
      <c r="EL696" s="2123">
        <v>0.3</v>
      </c>
      <c r="EM696" s="2123">
        <v>0.3</v>
      </c>
      <c r="EN696" s="2123">
        <v>0.3</v>
      </c>
      <c r="EO696" s="2123">
        <v>0.31</v>
      </c>
      <c r="EP696" s="2123">
        <v>0.31</v>
      </c>
      <c r="EQ696" s="2123">
        <v>0.31</v>
      </c>
      <c r="ER696" s="2123">
        <v>0.3</v>
      </c>
      <c r="ES696" s="2123">
        <v>0.35</v>
      </c>
      <c r="ET696" s="2123">
        <v>0.35</v>
      </c>
      <c r="EU696" s="2123">
        <v>0.42</v>
      </c>
      <c r="EV696" s="2123">
        <v>0.42</v>
      </c>
      <c r="EW696" s="2123">
        <v>0.4</v>
      </c>
      <c r="EX696" s="2123">
        <v>0.4</v>
      </c>
      <c r="EY696" s="2129">
        <f t="shared" ref="EY696:EZ759" si="55">AVERAGE(EU696,EW696)</f>
        <v>0.41000000000000003</v>
      </c>
      <c r="EZ696" s="2129">
        <f t="shared" si="55"/>
        <v>0.41000000000000003</v>
      </c>
      <c r="FA696" s="2123">
        <v>0.45</v>
      </c>
      <c r="FB696" s="2123">
        <v>0.45</v>
      </c>
      <c r="FC696" s="2123"/>
      <c r="FD696" s="2123"/>
      <c r="FE696" s="2123">
        <v>0.34</v>
      </c>
      <c r="FF696" s="2123">
        <v>0.34</v>
      </c>
      <c r="FG696" s="2123">
        <v>0.39</v>
      </c>
      <c r="FH696" s="2123">
        <v>0.39</v>
      </c>
      <c r="FI696" s="2123">
        <v>0.39</v>
      </c>
      <c r="FJ696" s="2123">
        <v>0.39</v>
      </c>
      <c r="FK696" s="2123">
        <v>0.37</v>
      </c>
      <c r="FL696" s="2123">
        <v>0.37</v>
      </c>
      <c r="FM696" s="2123">
        <v>0.39</v>
      </c>
      <c r="FN696" s="2123">
        <v>0.39</v>
      </c>
      <c r="FO696" s="2123"/>
      <c r="FP696" s="2123"/>
      <c r="FQ696" s="2123">
        <v>0.41</v>
      </c>
      <c r="FR696" s="2123">
        <v>0.41</v>
      </c>
      <c r="FS696" s="2123">
        <v>0.64</v>
      </c>
      <c r="FT696" s="2123">
        <v>0.64</v>
      </c>
      <c r="FU696" s="2123">
        <v>0.64</v>
      </c>
      <c r="FV696" s="2123">
        <v>0.64</v>
      </c>
      <c r="FW696" s="2123">
        <v>0.67</v>
      </c>
      <c r="FX696" s="2123">
        <v>0.67</v>
      </c>
      <c r="FY696" s="2123"/>
      <c r="FZ696" s="2123"/>
      <c r="GA696" s="2123"/>
      <c r="GB696" s="2123"/>
      <c r="GC696" s="2123">
        <v>0.37</v>
      </c>
      <c r="GD696" s="2123">
        <v>0.37</v>
      </c>
      <c r="GE696" s="2123">
        <v>1.31</v>
      </c>
      <c r="GF696" s="2123">
        <v>1.31</v>
      </c>
      <c r="GG696" s="2123">
        <v>1.31</v>
      </c>
      <c r="GH696" s="2123">
        <v>1.31</v>
      </c>
      <c r="GI696" s="2123">
        <v>0.3</v>
      </c>
      <c r="GJ696" s="2123">
        <v>0.3</v>
      </c>
      <c r="GK696" s="2123">
        <v>0.43</v>
      </c>
      <c r="GL696" s="2123">
        <v>0.43</v>
      </c>
      <c r="GM696" s="2123"/>
      <c r="GN696" s="2123"/>
      <c r="GO696" s="2123">
        <v>0.34</v>
      </c>
      <c r="GP696" s="2123">
        <v>0.34</v>
      </c>
      <c r="GQ696" s="2123">
        <v>0.31</v>
      </c>
      <c r="GR696" s="2123">
        <v>0.31</v>
      </c>
      <c r="GS696" s="2123">
        <v>0.31</v>
      </c>
      <c r="GT696" s="2123">
        <v>0.3</v>
      </c>
      <c r="GU696" s="2123">
        <v>0.3</v>
      </c>
      <c r="GV696" s="2123">
        <v>0.3</v>
      </c>
      <c r="GW696" s="2123">
        <v>0.38</v>
      </c>
      <c r="GX696" s="2123">
        <v>0.38</v>
      </c>
      <c r="GY696" s="2123"/>
      <c r="GZ696" s="2123"/>
      <c r="HA696" s="2123">
        <v>0.32</v>
      </c>
      <c r="HB696" s="2123">
        <v>0.32</v>
      </c>
      <c r="HC696" s="2123">
        <v>0.31</v>
      </c>
      <c r="HD696" s="2123">
        <v>0.31</v>
      </c>
      <c r="HE696" s="2123">
        <v>0.3</v>
      </c>
      <c r="HF696" s="2123">
        <v>0.3</v>
      </c>
      <c r="HG696" s="2123">
        <v>0.3</v>
      </c>
      <c r="HH696" s="2123">
        <v>0.3</v>
      </c>
      <c r="HI696" s="2123">
        <v>0.3</v>
      </c>
      <c r="HJ696" s="2123">
        <v>0.3</v>
      </c>
      <c r="HK696" s="2123">
        <v>0.31</v>
      </c>
      <c r="HL696" s="2123">
        <v>0.31</v>
      </c>
      <c r="HM696" s="2123">
        <v>0.34</v>
      </c>
      <c r="HN696" s="2123">
        <v>0.34</v>
      </c>
      <c r="HO696" s="2123">
        <v>0.31</v>
      </c>
      <c r="HP696" s="2123">
        <v>0.31</v>
      </c>
      <c r="HQ696" s="2123">
        <v>0.3</v>
      </c>
      <c r="HR696" s="2123">
        <v>0.3</v>
      </c>
      <c r="HS696" s="2123">
        <v>0.3</v>
      </c>
      <c r="HT696" s="2123">
        <v>0.3</v>
      </c>
      <c r="HU696" s="2123">
        <v>0.3</v>
      </c>
      <c r="HV696" s="2123">
        <v>0.3</v>
      </c>
      <c r="HW696" s="2123">
        <v>0.31</v>
      </c>
      <c r="HX696" s="2123">
        <v>0.31</v>
      </c>
    </row>
    <row r="697" spans="2:232" s="2040" customFormat="1" ht="14" hidden="1" x14ac:dyDescent="0.3">
      <c r="B697" s="2203">
        <v>3</v>
      </c>
      <c r="C697" s="2204">
        <v>0.55000000000000004</v>
      </c>
      <c r="D697" s="2204">
        <v>0.55000000000000004</v>
      </c>
      <c r="E697" s="2204">
        <v>1.39</v>
      </c>
      <c r="F697" s="2204">
        <v>1.39</v>
      </c>
      <c r="G697" s="2204">
        <v>1.31</v>
      </c>
      <c r="H697" s="2204">
        <v>1.31</v>
      </c>
      <c r="I697" s="2204">
        <v>0.57999999999999996</v>
      </c>
      <c r="J697" s="2204">
        <v>0.57999999999999996</v>
      </c>
      <c r="K697" s="2204">
        <v>0.9</v>
      </c>
      <c r="L697" s="2204">
        <v>0.9</v>
      </c>
      <c r="M697" s="2204"/>
      <c r="N697" s="2204"/>
      <c r="O697" s="2204">
        <v>1.08</v>
      </c>
      <c r="P697" s="2204">
        <v>1.08</v>
      </c>
      <c r="Q697" s="2204">
        <v>2.4900000000000002</v>
      </c>
      <c r="R697" s="2204">
        <v>1.0900000000000001</v>
      </c>
      <c r="S697" s="2204">
        <v>0.6399999999999999</v>
      </c>
      <c r="T697" s="2204">
        <v>0.64</v>
      </c>
      <c r="U697" s="2204">
        <v>0.62</v>
      </c>
      <c r="V697" s="2204">
        <v>0.62</v>
      </c>
      <c r="W697" s="2204">
        <v>0.64</v>
      </c>
      <c r="X697" s="2204">
        <v>0.64</v>
      </c>
      <c r="Y697" s="2204">
        <v>0.62</v>
      </c>
      <c r="Z697" s="2204">
        <v>0.64</v>
      </c>
      <c r="AA697" s="2204">
        <v>0.64</v>
      </c>
      <c r="AB697" s="2204">
        <v>0.64</v>
      </c>
      <c r="AC697" s="2204">
        <v>0.62</v>
      </c>
      <c r="AD697" s="2204">
        <v>0.62</v>
      </c>
      <c r="AE697" s="2204">
        <v>0.79</v>
      </c>
      <c r="AF697" s="2204">
        <v>0.78</v>
      </c>
      <c r="AG697" s="2204">
        <v>0.79</v>
      </c>
      <c r="AH697" s="2204">
        <v>0.79</v>
      </c>
      <c r="AI697" s="2204">
        <v>0.78</v>
      </c>
      <c r="AJ697" s="2204">
        <v>0.78</v>
      </c>
      <c r="AK697" s="2204">
        <v>1.19</v>
      </c>
      <c r="AL697" s="2204">
        <v>1.19</v>
      </c>
      <c r="AM697" s="2204">
        <v>0.72</v>
      </c>
      <c r="AN697" s="2204">
        <v>0.69</v>
      </c>
      <c r="AO697" s="2204">
        <v>0.69</v>
      </c>
      <c r="AP697" s="2204">
        <v>0.69</v>
      </c>
      <c r="AQ697" s="2204">
        <v>1.1000000000000001</v>
      </c>
      <c r="AR697" s="2204">
        <v>1.1000000000000001</v>
      </c>
      <c r="AS697" s="2204">
        <v>0.88</v>
      </c>
      <c r="AT697" s="2204">
        <v>0.88</v>
      </c>
      <c r="AU697" s="2204">
        <v>0.88</v>
      </c>
      <c r="AV697" s="2204">
        <v>0.97</v>
      </c>
      <c r="AW697" s="2204">
        <v>0.62</v>
      </c>
      <c r="AX697" s="2204">
        <v>0.62</v>
      </c>
      <c r="AY697" s="2204">
        <v>0.64</v>
      </c>
      <c r="AZ697" s="2204">
        <v>0.64</v>
      </c>
      <c r="BA697" s="2123">
        <v>0.5</v>
      </c>
      <c r="BB697" s="2123">
        <v>0.5</v>
      </c>
      <c r="BC697" s="2123">
        <v>0.31</v>
      </c>
      <c r="BD697" s="2123">
        <v>0.31</v>
      </c>
      <c r="BE697" s="2123">
        <v>0.49</v>
      </c>
      <c r="BF697" s="2123">
        <v>0.49</v>
      </c>
      <c r="BG697" s="2123">
        <v>0.31</v>
      </c>
      <c r="BH697" s="2123">
        <v>0.31</v>
      </c>
      <c r="BI697" s="2123">
        <v>0.31</v>
      </c>
      <c r="BJ697" s="2123">
        <v>0.31</v>
      </c>
      <c r="BK697" s="2123">
        <v>0.31</v>
      </c>
      <c r="BL697" s="2123">
        <v>0.31</v>
      </c>
      <c r="BM697" s="2123">
        <v>0.61</v>
      </c>
      <c r="BN697" s="2123">
        <v>0.61</v>
      </c>
      <c r="BO697" s="2123">
        <v>1.36</v>
      </c>
      <c r="BP697" s="2123">
        <v>1.36</v>
      </c>
      <c r="BQ697" s="2123">
        <v>1.36</v>
      </c>
      <c r="BR697" s="2123">
        <v>1.36</v>
      </c>
      <c r="BS697" s="2123">
        <v>0.82</v>
      </c>
      <c r="BT697" s="2123">
        <v>0.82</v>
      </c>
      <c r="BU697" s="2123">
        <v>0.82</v>
      </c>
      <c r="BV697" s="2123">
        <v>0.82</v>
      </c>
      <c r="BW697" s="2123">
        <v>0.82</v>
      </c>
      <c r="BX697" s="2123">
        <v>0.82</v>
      </c>
      <c r="BY697" s="2123">
        <v>0.57999999999999996</v>
      </c>
      <c r="BZ697" s="2123">
        <v>0.57999999999999996</v>
      </c>
      <c r="CA697" s="2123">
        <v>1.22</v>
      </c>
      <c r="CB697" s="2123">
        <v>1.22</v>
      </c>
      <c r="CC697" s="2123">
        <v>0.84</v>
      </c>
      <c r="CD697" s="2123">
        <v>0.84</v>
      </c>
      <c r="CE697" s="2123">
        <v>0.77</v>
      </c>
      <c r="CF697" s="2123">
        <v>0.77</v>
      </c>
      <c r="CG697" s="2123"/>
      <c r="CH697" s="2123"/>
      <c r="CI697" s="2123"/>
      <c r="CJ697" s="2123"/>
      <c r="CK697" s="2123">
        <v>7.49</v>
      </c>
      <c r="CL697" s="2123">
        <v>7.49</v>
      </c>
      <c r="CM697" s="2123">
        <v>7.09</v>
      </c>
      <c r="CN697" s="2123">
        <v>7.09</v>
      </c>
      <c r="CO697" s="2123">
        <v>3.44</v>
      </c>
      <c r="CP697" s="2123">
        <v>3.44</v>
      </c>
      <c r="CQ697" s="2123">
        <v>3.44</v>
      </c>
      <c r="CR697" s="2123">
        <v>3.44</v>
      </c>
      <c r="CS697" s="2123"/>
      <c r="CT697" s="2123"/>
      <c r="CU697" s="2123"/>
      <c r="CV697" s="2123"/>
      <c r="CW697" s="2123">
        <v>0.95</v>
      </c>
      <c r="CX697" s="2123">
        <v>0.95</v>
      </c>
      <c r="CY697" s="2123">
        <v>5.67</v>
      </c>
      <c r="CZ697" s="2123">
        <v>5.67</v>
      </c>
      <c r="DA697" s="2123">
        <v>5.67</v>
      </c>
      <c r="DB697" s="2123">
        <v>5.67</v>
      </c>
      <c r="DC697" s="2123">
        <v>2.8</v>
      </c>
      <c r="DD697" s="2123">
        <v>2.8</v>
      </c>
      <c r="DE697" s="2123">
        <v>2.8</v>
      </c>
      <c r="DF697" s="2123">
        <v>2.8</v>
      </c>
      <c r="DG697" s="2123"/>
      <c r="DH697" s="2123"/>
      <c r="DI697" s="2123">
        <v>0.46</v>
      </c>
      <c r="DJ697" s="2123">
        <v>0.46</v>
      </c>
      <c r="DK697" s="2123">
        <v>0.46</v>
      </c>
      <c r="DL697" s="2123">
        <v>0.46</v>
      </c>
      <c r="DM697" s="2123">
        <v>0.46</v>
      </c>
      <c r="DN697" s="2123">
        <v>0.46</v>
      </c>
      <c r="DO697" s="2123"/>
      <c r="DP697" s="2123"/>
      <c r="DQ697" s="2123"/>
      <c r="DR697" s="2123"/>
      <c r="DS697" s="2123"/>
      <c r="DT697" s="2123"/>
      <c r="DU697" s="2123">
        <v>0.37</v>
      </c>
      <c r="DV697" s="2123">
        <v>0.37</v>
      </c>
      <c r="DW697" s="2123">
        <v>0.3</v>
      </c>
      <c r="DX697" s="2123">
        <v>0.3</v>
      </c>
      <c r="DY697" s="2123">
        <v>0.3</v>
      </c>
      <c r="DZ697" s="2123">
        <v>0.3</v>
      </c>
      <c r="EA697" s="2123"/>
      <c r="EB697" s="2123"/>
      <c r="EC697" s="2123"/>
      <c r="ED697" s="2123"/>
      <c r="EE697" s="2123"/>
      <c r="EF697" s="2123"/>
      <c r="EG697" s="2123">
        <v>0.38</v>
      </c>
      <c r="EH697" s="2123">
        <v>0.55000000000000004</v>
      </c>
      <c r="EI697" s="2123">
        <v>0.3</v>
      </c>
      <c r="EJ697" s="2123">
        <v>0.3</v>
      </c>
      <c r="EK697" s="2123">
        <v>0.3</v>
      </c>
      <c r="EL697" s="2123">
        <v>0.3</v>
      </c>
      <c r="EM697" s="2123">
        <v>0.31</v>
      </c>
      <c r="EN697" s="2123">
        <v>0.31</v>
      </c>
      <c r="EO697" s="2123">
        <v>0.32</v>
      </c>
      <c r="EP697" s="2123">
        <v>0.32</v>
      </c>
      <c r="EQ697" s="2123">
        <v>0.32</v>
      </c>
      <c r="ER697" s="2123">
        <v>0.31</v>
      </c>
      <c r="ES697" s="2123">
        <v>0.65</v>
      </c>
      <c r="ET697" s="2123">
        <v>0.65</v>
      </c>
      <c r="EU697" s="2123">
        <v>0.98</v>
      </c>
      <c r="EV697" s="2123">
        <v>0.98</v>
      </c>
      <c r="EW697" s="2123">
        <v>0.88</v>
      </c>
      <c r="EX697" s="2123">
        <v>0.88</v>
      </c>
      <c r="EY697" s="2129">
        <f t="shared" si="55"/>
        <v>0.92999999999999994</v>
      </c>
      <c r="EZ697" s="2129">
        <f t="shared" si="55"/>
        <v>0.92999999999999994</v>
      </c>
      <c r="FA697" s="2123">
        <v>1.06</v>
      </c>
      <c r="FB697" s="2123">
        <v>1.06</v>
      </c>
      <c r="FC697" s="2123"/>
      <c r="FD697" s="2123"/>
      <c r="FE697" s="2123">
        <v>0.6</v>
      </c>
      <c r="FF697" s="2123">
        <v>0.6</v>
      </c>
      <c r="FG697" s="2123">
        <v>0.8</v>
      </c>
      <c r="FH697" s="2123">
        <v>0.8</v>
      </c>
      <c r="FI697" s="2123">
        <v>0.8</v>
      </c>
      <c r="FJ697" s="2123">
        <v>0.8</v>
      </c>
      <c r="FK697" s="2123">
        <v>0.74</v>
      </c>
      <c r="FL697" s="2123">
        <v>0.74</v>
      </c>
      <c r="FM697" s="2123">
        <v>0.79</v>
      </c>
      <c r="FN697" s="2123">
        <v>0.79</v>
      </c>
      <c r="FO697" s="2123"/>
      <c r="FP697" s="2123"/>
      <c r="FQ697" s="2123">
        <v>0.93</v>
      </c>
      <c r="FR697" s="2123">
        <v>0.93</v>
      </c>
      <c r="FS697" s="2123">
        <v>1.65</v>
      </c>
      <c r="FT697" s="2123">
        <v>1.65</v>
      </c>
      <c r="FU697" s="2123">
        <v>1.65</v>
      </c>
      <c r="FV697" s="2123">
        <v>1.65</v>
      </c>
      <c r="FW697" s="2123">
        <v>1.72</v>
      </c>
      <c r="FX697" s="2123">
        <v>1.72</v>
      </c>
      <c r="FY697" s="2123"/>
      <c r="FZ697" s="2123"/>
      <c r="GA697" s="2123"/>
      <c r="GB697" s="2123"/>
      <c r="GC697" s="2123">
        <v>0.79</v>
      </c>
      <c r="GD697" s="2123">
        <v>0.79</v>
      </c>
      <c r="GE697" s="2123">
        <v>3.67</v>
      </c>
      <c r="GF697" s="2123">
        <v>3.67</v>
      </c>
      <c r="GG697" s="2123">
        <v>3.67</v>
      </c>
      <c r="GH697" s="2123">
        <v>3.67</v>
      </c>
      <c r="GI697" s="2123">
        <v>0.37</v>
      </c>
      <c r="GJ697" s="2123">
        <v>0.37</v>
      </c>
      <c r="GK697" s="2123">
        <v>0.97</v>
      </c>
      <c r="GL697" s="2123">
        <v>0.97</v>
      </c>
      <c r="GM697" s="2123"/>
      <c r="GN697" s="2123"/>
      <c r="GO697" s="2123">
        <v>0.55000000000000004</v>
      </c>
      <c r="GP697" s="2123">
        <v>0.55000000000000004</v>
      </c>
      <c r="GQ697" s="2123">
        <v>0.35</v>
      </c>
      <c r="GR697" s="2123">
        <v>0.35</v>
      </c>
      <c r="GS697" s="2123">
        <v>0.35</v>
      </c>
      <c r="GT697" s="2123">
        <v>0.34</v>
      </c>
      <c r="GU697" s="2123">
        <v>0.34</v>
      </c>
      <c r="GV697" s="2123">
        <v>0.34</v>
      </c>
      <c r="GW697" s="2123">
        <v>0.71</v>
      </c>
      <c r="GX697" s="2123">
        <v>0.71</v>
      </c>
      <c r="GY697" s="2123"/>
      <c r="GZ697" s="2123"/>
      <c r="HA697" s="2123">
        <v>0.46</v>
      </c>
      <c r="HB697" s="2123">
        <v>0.46</v>
      </c>
      <c r="HC697" s="2123">
        <v>0.31</v>
      </c>
      <c r="HD697" s="2123">
        <v>0.31</v>
      </c>
      <c r="HE697" s="2123">
        <v>0.31</v>
      </c>
      <c r="HF697" s="2123">
        <v>0.31</v>
      </c>
      <c r="HG697" s="2123">
        <v>0.31</v>
      </c>
      <c r="HH697" s="2123">
        <v>0.31</v>
      </c>
      <c r="HI697" s="2123">
        <v>0.31</v>
      </c>
      <c r="HJ697" s="2123">
        <v>0.31</v>
      </c>
      <c r="HK697" s="2123">
        <v>0.32</v>
      </c>
      <c r="HL697" s="2123">
        <v>0.32</v>
      </c>
      <c r="HM697" s="2123">
        <v>0.52</v>
      </c>
      <c r="HN697" s="2123">
        <v>0.52</v>
      </c>
      <c r="HO697" s="2123">
        <v>0.31</v>
      </c>
      <c r="HP697" s="2123">
        <v>0.31</v>
      </c>
      <c r="HQ697" s="2123">
        <v>0.33</v>
      </c>
      <c r="HR697" s="2123">
        <v>0.33</v>
      </c>
      <c r="HS697" s="2123">
        <v>0.33</v>
      </c>
      <c r="HT697" s="2123">
        <v>0.33</v>
      </c>
      <c r="HU697" s="2123">
        <v>0.33</v>
      </c>
      <c r="HV697" s="2123">
        <v>0.33</v>
      </c>
      <c r="HW697" s="2123">
        <v>0.32</v>
      </c>
      <c r="HX697" s="2123">
        <v>0.32</v>
      </c>
    </row>
    <row r="698" spans="2:232" s="2040" customFormat="1" ht="14" hidden="1" x14ac:dyDescent="0.3">
      <c r="B698" s="2203">
        <v>4</v>
      </c>
      <c r="C698" s="2204">
        <v>1.04</v>
      </c>
      <c r="D698" s="2204">
        <v>1.04</v>
      </c>
      <c r="E698" s="2204">
        <v>2.35</v>
      </c>
      <c r="F698" s="2204">
        <v>2.35</v>
      </c>
      <c r="G698" s="2204">
        <v>2.78</v>
      </c>
      <c r="H698" s="2204">
        <v>2.78</v>
      </c>
      <c r="I698" s="2204">
        <v>1.22</v>
      </c>
      <c r="J698" s="2204">
        <v>1.22</v>
      </c>
      <c r="K698" s="2204">
        <v>2.13</v>
      </c>
      <c r="L698" s="2204">
        <v>2.13</v>
      </c>
      <c r="M698" s="2204"/>
      <c r="N698" s="2204"/>
      <c r="O698" s="2204">
        <v>2.6</v>
      </c>
      <c r="P698" s="2204">
        <v>2.6</v>
      </c>
      <c r="Q698" s="2204">
        <v>4.88</v>
      </c>
      <c r="R698" s="2204">
        <v>2.6</v>
      </c>
      <c r="S698" s="2204">
        <v>1.4699999999999998</v>
      </c>
      <c r="T698" s="2204">
        <v>1.47</v>
      </c>
      <c r="U698" s="2204">
        <v>1.43</v>
      </c>
      <c r="V698" s="2204">
        <v>1.43</v>
      </c>
      <c r="W698" s="2204">
        <v>1.47</v>
      </c>
      <c r="X698" s="2204">
        <v>1.47</v>
      </c>
      <c r="Y698" s="2204">
        <v>1.43</v>
      </c>
      <c r="Z698" s="2204">
        <v>1.47</v>
      </c>
      <c r="AA698" s="2204">
        <v>1.47</v>
      </c>
      <c r="AB698" s="2204">
        <v>1.47</v>
      </c>
      <c r="AC698" s="2204">
        <v>1.43</v>
      </c>
      <c r="AD698" s="2204">
        <v>1.43</v>
      </c>
      <c r="AE698" s="2204">
        <v>2.06</v>
      </c>
      <c r="AF698" s="2204">
        <v>2.02</v>
      </c>
      <c r="AG698" s="2204">
        <v>2.06</v>
      </c>
      <c r="AH698" s="2204">
        <v>2.06</v>
      </c>
      <c r="AI698" s="2204">
        <v>2.02</v>
      </c>
      <c r="AJ698" s="2204">
        <v>2.02</v>
      </c>
      <c r="AK698" s="2204">
        <v>2.91</v>
      </c>
      <c r="AL698" s="2204">
        <v>2.91</v>
      </c>
      <c r="AM698" s="2204">
        <v>1.53</v>
      </c>
      <c r="AN698" s="2204">
        <v>1.46</v>
      </c>
      <c r="AO698" s="2204">
        <v>1.46</v>
      </c>
      <c r="AP698" s="2204">
        <v>1.46</v>
      </c>
      <c r="AQ698" s="2204">
        <v>3.65</v>
      </c>
      <c r="AR698" s="2204">
        <v>3.65</v>
      </c>
      <c r="AS698" s="2204">
        <v>2.08</v>
      </c>
      <c r="AT698" s="2204">
        <v>2.08</v>
      </c>
      <c r="AU698" s="2204">
        <v>2.08</v>
      </c>
      <c r="AV698" s="2204">
        <v>2.29</v>
      </c>
      <c r="AW698" s="2204">
        <v>1.51</v>
      </c>
      <c r="AX698" s="2204">
        <v>1.51</v>
      </c>
      <c r="AY698" s="2204">
        <v>1.55</v>
      </c>
      <c r="AZ698" s="2204">
        <v>1.55</v>
      </c>
      <c r="BA698" s="2123">
        <v>0.94</v>
      </c>
      <c r="BB698" s="2123">
        <v>0.94</v>
      </c>
      <c r="BC698" s="2123">
        <v>0.36</v>
      </c>
      <c r="BD698" s="2123">
        <v>0.36</v>
      </c>
      <c r="BE698" s="2123">
        <v>0.8</v>
      </c>
      <c r="BF698" s="2123">
        <v>0.8</v>
      </c>
      <c r="BG698" s="2123">
        <v>0.36</v>
      </c>
      <c r="BH698" s="2123">
        <v>0.36</v>
      </c>
      <c r="BI698" s="2123">
        <v>0.35</v>
      </c>
      <c r="BJ698" s="2123">
        <v>0.35</v>
      </c>
      <c r="BK698" s="2123">
        <v>0.35</v>
      </c>
      <c r="BL698" s="2123">
        <v>0.35</v>
      </c>
      <c r="BM698" s="2123">
        <v>1.2</v>
      </c>
      <c r="BN698" s="2123">
        <v>1.2</v>
      </c>
      <c r="BO698" s="2123">
        <v>2.97</v>
      </c>
      <c r="BP698" s="2123">
        <v>2.97</v>
      </c>
      <c r="BQ698" s="2123">
        <v>2.97</v>
      </c>
      <c r="BR698" s="2123">
        <v>2.97</v>
      </c>
      <c r="BS698" s="2123">
        <v>1.83</v>
      </c>
      <c r="BT698" s="2123">
        <v>1.83</v>
      </c>
      <c r="BU698" s="2123">
        <v>1.83</v>
      </c>
      <c r="BV698" s="2123">
        <v>1.83</v>
      </c>
      <c r="BW698" s="2123">
        <v>1.83</v>
      </c>
      <c r="BX698" s="2123">
        <v>1.83</v>
      </c>
      <c r="BY698" s="2123">
        <v>1.1100000000000001</v>
      </c>
      <c r="BZ698" s="2123">
        <v>1.1100000000000001</v>
      </c>
      <c r="CA698" s="2123">
        <v>2.65</v>
      </c>
      <c r="CB698" s="2123">
        <v>2.65</v>
      </c>
      <c r="CC698" s="2123">
        <v>1.95</v>
      </c>
      <c r="CD698" s="2123">
        <v>1.95</v>
      </c>
      <c r="CE698" s="2123">
        <v>1.68</v>
      </c>
      <c r="CF698" s="2123">
        <v>1.68</v>
      </c>
      <c r="CG698" s="2123"/>
      <c r="CH698" s="2123"/>
      <c r="CI698" s="2123"/>
      <c r="CJ698" s="2123"/>
      <c r="CK698" s="2123">
        <v>11.26</v>
      </c>
      <c r="CL698" s="2123">
        <v>11.26</v>
      </c>
      <c r="CM698" s="2123">
        <v>13.8</v>
      </c>
      <c r="CN698" s="2123">
        <v>13.8</v>
      </c>
      <c r="CO698" s="2123">
        <v>7.65</v>
      </c>
      <c r="CP698" s="2123">
        <v>7.65</v>
      </c>
      <c r="CQ698" s="2123">
        <v>7.65</v>
      </c>
      <c r="CR698" s="2123">
        <v>7.65</v>
      </c>
      <c r="CS698" s="2123"/>
      <c r="CT698" s="2123"/>
      <c r="CU698" s="2123"/>
      <c r="CV698" s="2123"/>
      <c r="CW698" s="2123">
        <v>2.19</v>
      </c>
      <c r="CX698" s="2123">
        <v>2.19</v>
      </c>
      <c r="CY698" s="2123">
        <v>11.3</v>
      </c>
      <c r="CZ698" s="2123">
        <v>11.3</v>
      </c>
      <c r="DA698" s="2123">
        <v>11.3</v>
      </c>
      <c r="DB698" s="2123">
        <v>11.3</v>
      </c>
      <c r="DC698" s="2123">
        <v>6.34</v>
      </c>
      <c r="DD698" s="2123">
        <v>6.34</v>
      </c>
      <c r="DE698" s="2123">
        <v>6.34</v>
      </c>
      <c r="DF698" s="2123">
        <v>6.34</v>
      </c>
      <c r="DG698" s="2123"/>
      <c r="DH698" s="2123"/>
      <c r="DI698" s="2123">
        <v>0.79</v>
      </c>
      <c r="DJ698" s="2123">
        <v>0.79</v>
      </c>
      <c r="DK698" s="2123">
        <v>0.79</v>
      </c>
      <c r="DL698" s="2123">
        <v>0.79</v>
      </c>
      <c r="DM698" s="2123">
        <v>0.79</v>
      </c>
      <c r="DN698" s="2123">
        <v>0.79</v>
      </c>
      <c r="DO698" s="2123"/>
      <c r="DP698" s="2123"/>
      <c r="DQ698" s="2123"/>
      <c r="DR698" s="2123"/>
      <c r="DS698" s="2123"/>
      <c r="DT698" s="2123"/>
      <c r="DU698" s="2123">
        <v>0.51</v>
      </c>
      <c r="DV698" s="2123">
        <v>0.51</v>
      </c>
      <c r="DW698" s="2123">
        <v>0.35</v>
      </c>
      <c r="DX698" s="2123">
        <v>0.35</v>
      </c>
      <c r="DY698" s="2123">
        <v>0.35</v>
      </c>
      <c r="DZ698" s="2123">
        <v>0.35</v>
      </c>
      <c r="EA698" s="2123"/>
      <c r="EB698" s="2123"/>
      <c r="EC698" s="2123"/>
      <c r="ED698" s="2123"/>
      <c r="EE698" s="2123"/>
      <c r="EF698" s="2123"/>
      <c r="EG698" s="2123">
        <v>0.54</v>
      </c>
      <c r="EH698" s="2123">
        <v>0.81</v>
      </c>
      <c r="EI698" s="2123">
        <v>0.33</v>
      </c>
      <c r="EJ698" s="2123">
        <v>0.33</v>
      </c>
      <c r="EK698" s="2123">
        <v>0.33</v>
      </c>
      <c r="EL698" s="2123">
        <v>0.33</v>
      </c>
      <c r="EM698" s="2123">
        <v>0.36</v>
      </c>
      <c r="EN698" s="2123">
        <v>0.36</v>
      </c>
      <c r="EO698" s="2123">
        <v>0.35</v>
      </c>
      <c r="EP698" s="2123">
        <v>0.35</v>
      </c>
      <c r="EQ698" s="2123">
        <v>0.35</v>
      </c>
      <c r="ER698" s="2123">
        <v>0.35</v>
      </c>
      <c r="ES698" s="2123">
        <v>1.29</v>
      </c>
      <c r="ET698" s="2123">
        <v>1.29</v>
      </c>
      <c r="EU698" s="2123">
        <v>2.19</v>
      </c>
      <c r="EV698" s="2123">
        <v>2.19</v>
      </c>
      <c r="EW698" s="2123">
        <v>1.97</v>
      </c>
      <c r="EX698" s="2123">
        <v>1.97</v>
      </c>
      <c r="EY698" s="2129">
        <f t="shared" si="55"/>
        <v>2.08</v>
      </c>
      <c r="EZ698" s="2129">
        <f t="shared" si="55"/>
        <v>2.08</v>
      </c>
      <c r="FA698" s="2123">
        <v>2.39</v>
      </c>
      <c r="FB698" s="2123">
        <v>2.39</v>
      </c>
      <c r="FC698" s="2123"/>
      <c r="FD698" s="2123"/>
      <c r="FE698" s="2123">
        <v>1.03</v>
      </c>
      <c r="FF698" s="2123">
        <v>1.03</v>
      </c>
      <c r="FG698" s="2123">
        <v>1.54</v>
      </c>
      <c r="FH698" s="2123">
        <v>1.54</v>
      </c>
      <c r="FI698" s="2123">
        <v>1.54</v>
      </c>
      <c r="FJ698" s="2123">
        <v>1.54</v>
      </c>
      <c r="FK698" s="2123">
        <v>1.42</v>
      </c>
      <c r="FL698" s="2123">
        <v>1.42</v>
      </c>
      <c r="FM698" s="2123">
        <v>1.52</v>
      </c>
      <c r="FN698" s="2123">
        <v>1.52</v>
      </c>
      <c r="FO698" s="2123"/>
      <c r="FP698" s="2123"/>
      <c r="FQ698" s="2123">
        <v>2.35</v>
      </c>
      <c r="FR698" s="2123">
        <v>2.35</v>
      </c>
      <c r="FS698" s="2123">
        <v>4.08</v>
      </c>
      <c r="FT698" s="2123">
        <v>4.08</v>
      </c>
      <c r="FU698" s="2123">
        <v>4.08</v>
      </c>
      <c r="FV698" s="2123">
        <v>4.08</v>
      </c>
      <c r="FW698" s="2123">
        <v>4.25</v>
      </c>
      <c r="FX698" s="2123">
        <v>4.25</v>
      </c>
      <c r="FY698" s="2123"/>
      <c r="FZ698" s="2123"/>
      <c r="GA698" s="2123"/>
      <c r="GB698" s="2123"/>
      <c r="GC698" s="2123">
        <v>1.61</v>
      </c>
      <c r="GD698" s="2123">
        <v>1.61</v>
      </c>
      <c r="GE698" s="2123">
        <v>7.09</v>
      </c>
      <c r="GF698" s="2123">
        <v>7.09</v>
      </c>
      <c r="GG698" s="2123">
        <v>7.09</v>
      </c>
      <c r="GH698" s="2123">
        <v>7.09</v>
      </c>
      <c r="GI698" s="2123">
        <v>0.57999999999999996</v>
      </c>
      <c r="GJ698" s="2123">
        <v>0.57999999999999996</v>
      </c>
      <c r="GK698" s="2123">
        <v>2.0699999999999998</v>
      </c>
      <c r="GL698" s="2123">
        <v>2.0699999999999998</v>
      </c>
      <c r="GM698" s="2123"/>
      <c r="GN698" s="2123"/>
      <c r="GO698" s="2123">
        <v>1.06</v>
      </c>
      <c r="GP698" s="2123">
        <v>1.06</v>
      </c>
      <c r="GQ698" s="2123">
        <v>0.48</v>
      </c>
      <c r="GR698" s="2123">
        <v>0.48</v>
      </c>
      <c r="GS698" s="2123">
        <v>0.48</v>
      </c>
      <c r="GT698" s="2123">
        <v>0.46</v>
      </c>
      <c r="GU698" s="2123">
        <v>0.46</v>
      </c>
      <c r="GV698" s="2123">
        <v>0.46</v>
      </c>
      <c r="GW698" s="2123">
        <v>1.53</v>
      </c>
      <c r="GX698" s="2123">
        <v>1.53</v>
      </c>
      <c r="GY698" s="2123"/>
      <c r="GZ698" s="2123"/>
      <c r="HA698" s="2123">
        <v>0.76</v>
      </c>
      <c r="HB698" s="2123">
        <v>0.76</v>
      </c>
      <c r="HC698" s="2123">
        <v>0.33</v>
      </c>
      <c r="HD698" s="2123">
        <v>0.33</v>
      </c>
      <c r="HE698" s="2123">
        <v>0.36</v>
      </c>
      <c r="HF698" s="2123">
        <v>0.36</v>
      </c>
      <c r="HG698" s="2123">
        <v>0.36</v>
      </c>
      <c r="HH698" s="2123">
        <v>0.36</v>
      </c>
      <c r="HI698" s="2123">
        <v>0.36</v>
      </c>
      <c r="HJ698" s="2123">
        <v>0.36</v>
      </c>
      <c r="HK698" s="2123">
        <v>0.35</v>
      </c>
      <c r="HL698" s="2123">
        <v>0.35</v>
      </c>
      <c r="HM698" s="2123">
        <v>0.95</v>
      </c>
      <c r="HN698" s="2123">
        <v>0.95</v>
      </c>
      <c r="HO698" s="2123">
        <v>0.34</v>
      </c>
      <c r="HP698" s="2123">
        <v>0.34</v>
      </c>
      <c r="HQ698" s="2123">
        <v>0.4</v>
      </c>
      <c r="HR698" s="2123">
        <v>0.4</v>
      </c>
      <c r="HS698" s="2123">
        <v>0.4</v>
      </c>
      <c r="HT698" s="2123">
        <v>0.4</v>
      </c>
      <c r="HU698" s="2123">
        <v>0.4</v>
      </c>
      <c r="HV698" s="2123">
        <v>0.4</v>
      </c>
      <c r="HW698" s="2123">
        <v>0.38</v>
      </c>
      <c r="HX698" s="2123">
        <v>0.38</v>
      </c>
    </row>
    <row r="699" spans="2:232" s="2040" customFormat="1" ht="14" hidden="1" x14ac:dyDescent="0.3">
      <c r="B699" s="2203">
        <v>5</v>
      </c>
      <c r="C699" s="2204">
        <v>1.85</v>
      </c>
      <c r="D699" s="2204">
        <v>1.85</v>
      </c>
      <c r="E699" s="2204">
        <v>3.59</v>
      </c>
      <c r="F699" s="2204">
        <v>3.59</v>
      </c>
      <c r="G699" s="2204">
        <v>5.0999999999999996</v>
      </c>
      <c r="H699" s="2204">
        <v>5.0999999999999996</v>
      </c>
      <c r="I699" s="2204">
        <v>2.4300000000000002</v>
      </c>
      <c r="J699" s="2204">
        <v>2.4300000000000002</v>
      </c>
      <c r="K699" s="2204">
        <v>4.6500000000000004</v>
      </c>
      <c r="L699" s="2204">
        <v>4.6500000000000004</v>
      </c>
      <c r="M699" s="2204"/>
      <c r="N699" s="2204"/>
      <c r="O699" s="2204">
        <v>5.1100000000000003</v>
      </c>
      <c r="P699" s="2204">
        <v>5.1100000000000003</v>
      </c>
      <c r="Q699" s="2204">
        <v>8.2200000000000006</v>
      </c>
      <c r="R699" s="2204">
        <v>5.12</v>
      </c>
      <c r="S699" s="2204">
        <v>3.13</v>
      </c>
      <c r="T699" s="2204">
        <v>3.13</v>
      </c>
      <c r="U699" s="2204">
        <v>3.03</v>
      </c>
      <c r="V699" s="2204">
        <v>3.03</v>
      </c>
      <c r="W699" s="2204">
        <v>3.13</v>
      </c>
      <c r="X699" s="2204">
        <v>3.13</v>
      </c>
      <c r="Y699" s="2204">
        <v>3.03</v>
      </c>
      <c r="Z699" s="2204">
        <v>3.13</v>
      </c>
      <c r="AA699" s="2204">
        <v>3.13</v>
      </c>
      <c r="AB699" s="2204">
        <v>3.13</v>
      </c>
      <c r="AC699" s="2204">
        <v>3.03</v>
      </c>
      <c r="AD699" s="2204">
        <v>3.03</v>
      </c>
      <c r="AE699" s="2204">
        <v>4.5599999999999996</v>
      </c>
      <c r="AF699" s="2204">
        <v>4.45</v>
      </c>
      <c r="AG699" s="2204">
        <v>4.5599999999999996</v>
      </c>
      <c r="AH699" s="2204">
        <v>4.5599999999999996</v>
      </c>
      <c r="AI699" s="2204">
        <v>4.45</v>
      </c>
      <c r="AJ699" s="2204">
        <v>4.45</v>
      </c>
      <c r="AK699" s="2204">
        <v>5.93</v>
      </c>
      <c r="AL699" s="2204">
        <v>5.93</v>
      </c>
      <c r="AM699" s="2204">
        <v>2.87</v>
      </c>
      <c r="AN699" s="2204">
        <v>2.74</v>
      </c>
      <c r="AO699" s="2204">
        <v>2.74</v>
      </c>
      <c r="AP699" s="2204">
        <v>2.74</v>
      </c>
      <c r="AQ699" s="2204">
        <v>5.64</v>
      </c>
      <c r="AR699" s="2204">
        <v>5.64</v>
      </c>
      <c r="AS699" s="2204">
        <v>4.2300000000000004</v>
      </c>
      <c r="AT699" s="2204">
        <v>4.2300000000000004</v>
      </c>
      <c r="AU699" s="2204">
        <v>4.2300000000000004</v>
      </c>
      <c r="AV699" s="2204">
        <v>4.62</v>
      </c>
      <c r="AW699" s="2204">
        <v>3.3</v>
      </c>
      <c r="AX699" s="2204">
        <v>3.3</v>
      </c>
      <c r="AY699" s="2204">
        <v>3.37</v>
      </c>
      <c r="AZ699" s="2204">
        <v>3.37</v>
      </c>
      <c r="BA699" s="2123">
        <v>1.76</v>
      </c>
      <c r="BB699" s="2123">
        <v>1.76</v>
      </c>
      <c r="BC699" s="2123">
        <v>0.45</v>
      </c>
      <c r="BD699" s="2123">
        <v>0.45</v>
      </c>
      <c r="BE699" s="2123">
        <v>1.28</v>
      </c>
      <c r="BF699" s="2123">
        <v>1.28</v>
      </c>
      <c r="BG699" s="2123">
        <v>0.47</v>
      </c>
      <c r="BH699" s="2123">
        <v>0.47</v>
      </c>
      <c r="BI699" s="2123">
        <v>0.43</v>
      </c>
      <c r="BJ699" s="2123">
        <v>0.43</v>
      </c>
      <c r="BK699" s="2123">
        <v>0.43</v>
      </c>
      <c r="BL699" s="2123">
        <v>0.43</v>
      </c>
      <c r="BM699" s="2123">
        <v>2.17</v>
      </c>
      <c r="BN699" s="2123">
        <v>2.17</v>
      </c>
      <c r="BO699" s="2123">
        <v>5.5</v>
      </c>
      <c r="BP699" s="2123">
        <v>5.5</v>
      </c>
      <c r="BQ699" s="2123">
        <v>5.5</v>
      </c>
      <c r="BR699" s="2123">
        <v>5.5</v>
      </c>
      <c r="BS699" s="2123">
        <v>3.62</v>
      </c>
      <c r="BT699" s="2123">
        <v>3.62</v>
      </c>
      <c r="BU699" s="2123">
        <v>3.62</v>
      </c>
      <c r="BV699" s="2123">
        <v>3.62</v>
      </c>
      <c r="BW699" s="2123">
        <v>3.62</v>
      </c>
      <c r="BX699" s="2123">
        <v>3.62</v>
      </c>
      <c r="BY699" s="2123">
        <v>2</v>
      </c>
      <c r="BZ699" s="2123">
        <v>2</v>
      </c>
      <c r="CA699" s="2123">
        <v>4.93</v>
      </c>
      <c r="CB699" s="2123">
        <v>4.93</v>
      </c>
      <c r="CC699" s="2123">
        <v>3.88</v>
      </c>
      <c r="CD699" s="2123">
        <v>3.88</v>
      </c>
      <c r="CE699" s="2123">
        <v>3.35</v>
      </c>
      <c r="CF699" s="2123">
        <v>3.35</v>
      </c>
      <c r="CG699" s="2123"/>
      <c r="CH699" s="2123"/>
      <c r="CI699" s="2123"/>
      <c r="CJ699" s="2123"/>
      <c r="CK699" s="2123">
        <v>15.65</v>
      </c>
      <c r="CL699" s="2123">
        <v>15.65</v>
      </c>
      <c r="CM699" s="2123">
        <v>22.62</v>
      </c>
      <c r="CN699" s="2123">
        <v>22.62</v>
      </c>
      <c r="CO699" s="2123">
        <v>13.95</v>
      </c>
      <c r="CP699" s="2123">
        <v>13.95</v>
      </c>
      <c r="CQ699" s="2123">
        <v>13.95</v>
      </c>
      <c r="CR699" s="2123">
        <v>13.95</v>
      </c>
      <c r="CS699" s="2123"/>
      <c r="CT699" s="2123"/>
      <c r="CU699" s="2123"/>
      <c r="CV699" s="2123"/>
      <c r="CW699" s="2123">
        <v>4.25</v>
      </c>
      <c r="CX699" s="2123">
        <v>4.25</v>
      </c>
      <c r="CY699" s="2123">
        <v>18.899999999999999</v>
      </c>
      <c r="CZ699" s="2123">
        <v>18.899999999999999</v>
      </c>
      <c r="DA699" s="2123">
        <v>18.899999999999999</v>
      </c>
      <c r="DB699" s="2123">
        <v>18.899999999999999</v>
      </c>
      <c r="DC699" s="2123">
        <v>11.75</v>
      </c>
      <c r="DD699" s="2123">
        <v>11.75</v>
      </c>
      <c r="DE699" s="2123">
        <v>11.75</v>
      </c>
      <c r="DF699" s="2123">
        <v>11.75</v>
      </c>
      <c r="DG699" s="2123"/>
      <c r="DH699" s="2123"/>
      <c r="DI699" s="2123">
        <v>1.32</v>
      </c>
      <c r="DJ699" s="2123">
        <v>1.32</v>
      </c>
      <c r="DK699" s="2123">
        <v>1.32</v>
      </c>
      <c r="DL699" s="2123">
        <v>1.32</v>
      </c>
      <c r="DM699" s="2123">
        <v>1.32</v>
      </c>
      <c r="DN699" s="2123">
        <v>1.32</v>
      </c>
      <c r="DO699" s="2123"/>
      <c r="DP699" s="2123"/>
      <c r="DQ699" s="2123"/>
      <c r="DR699" s="2123"/>
      <c r="DS699" s="2123"/>
      <c r="DT699" s="2123"/>
      <c r="DU699" s="2123">
        <v>0.75</v>
      </c>
      <c r="DV699" s="2123">
        <v>0.75</v>
      </c>
      <c r="DW699" s="2123">
        <v>0.44</v>
      </c>
      <c r="DX699" s="2123">
        <v>0.44</v>
      </c>
      <c r="DY699" s="2123">
        <v>0.44</v>
      </c>
      <c r="DZ699" s="2123">
        <v>0.44</v>
      </c>
      <c r="EA699" s="2123"/>
      <c r="EB699" s="2123"/>
      <c r="EC699" s="2123"/>
      <c r="ED699" s="2123"/>
      <c r="EE699" s="2123"/>
      <c r="EF699" s="2123"/>
      <c r="EG699" s="2123">
        <v>0.76</v>
      </c>
      <c r="EH699" s="2123">
        <v>1.1100000000000001</v>
      </c>
      <c r="EI699" s="2123">
        <v>0.37</v>
      </c>
      <c r="EJ699" s="2123">
        <v>0.37</v>
      </c>
      <c r="EK699" s="2123">
        <v>0.37</v>
      </c>
      <c r="EL699" s="2123">
        <v>0.37</v>
      </c>
      <c r="EM699" s="2123">
        <v>0.42</v>
      </c>
      <c r="EN699" s="2123">
        <v>0.42</v>
      </c>
      <c r="EO699" s="2123">
        <v>0.4</v>
      </c>
      <c r="EP699" s="2123">
        <v>0.4</v>
      </c>
      <c r="EQ699" s="2123">
        <v>0.4</v>
      </c>
      <c r="ER699" s="2123">
        <v>0.42</v>
      </c>
      <c r="ES699" s="2123">
        <v>1.98</v>
      </c>
      <c r="ET699" s="2123">
        <v>1.98</v>
      </c>
      <c r="EU699" s="2123">
        <v>3.6</v>
      </c>
      <c r="EV699" s="2123">
        <v>3.6</v>
      </c>
      <c r="EW699" s="2123">
        <v>3.27</v>
      </c>
      <c r="EX699" s="2123">
        <v>3.27</v>
      </c>
      <c r="EY699" s="2129">
        <f t="shared" si="55"/>
        <v>3.4350000000000001</v>
      </c>
      <c r="EZ699" s="2129">
        <f t="shared" si="55"/>
        <v>3.4350000000000001</v>
      </c>
      <c r="FA699" s="2123">
        <v>3.92</v>
      </c>
      <c r="FB699" s="2123">
        <v>3.92</v>
      </c>
      <c r="FC699" s="2123"/>
      <c r="FD699" s="2123"/>
      <c r="FE699" s="2123">
        <v>1.73</v>
      </c>
      <c r="FF699" s="2123">
        <v>1.73</v>
      </c>
      <c r="FG699" s="2123">
        <v>2.83</v>
      </c>
      <c r="FH699" s="2123">
        <v>2.83</v>
      </c>
      <c r="FI699" s="2123">
        <v>2.83</v>
      </c>
      <c r="FJ699" s="2123">
        <v>2.83</v>
      </c>
      <c r="FK699" s="2123">
        <v>2.64</v>
      </c>
      <c r="FL699" s="2123">
        <v>2.64</v>
      </c>
      <c r="FM699" s="2123">
        <v>2.82</v>
      </c>
      <c r="FN699" s="2123">
        <v>2.82</v>
      </c>
      <c r="FO699" s="2123"/>
      <c r="FP699" s="2123"/>
      <c r="FQ699" s="2123">
        <v>3.81</v>
      </c>
      <c r="FR699" s="2123">
        <v>3.81</v>
      </c>
      <c r="FS699" s="2123">
        <v>6.46</v>
      </c>
      <c r="FT699" s="2123">
        <v>6.46</v>
      </c>
      <c r="FU699" s="2123">
        <v>6.46</v>
      </c>
      <c r="FV699" s="2123">
        <v>6.46</v>
      </c>
      <c r="FW699" s="2123">
        <v>6.72</v>
      </c>
      <c r="FX699" s="2123">
        <v>6.72</v>
      </c>
      <c r="FY699" s="2123"/>
      <c r="FZ699" s="2123"/>
      <c r="GA699" s="2123"/>
      <c r="GB699" s="2123"/>
      <c r="GC699" s="2123">
        <v>2.71</v>
      </c>
      <c r="GD699" s="2123">
        <v>2.71</v>
      </c>
      <c r="GE699" s="2123">
        <v>10.9</v>
      </c>
      <c r="GF699" s="2123">
        <v>10.9</v>
      </c>
      <c r="GG699" s="2123">
        <v>10.9</v>
      </c>
      <c r="GH699" s="2123">
        <v>10.9</v>
      </c>
      <c r="GI699" s="2123">
        <v>0.95</v>
      </c>
      <c r="GJ699" s="2123">
        <v>0.95</v>
      </c>
      <c r="GK699" s="2123">
        <v>3.61</v>
      </c>
      <c r="GL699" s="2123">
        <v>3.61</v>
      </c>
      <c r="GM699" s="2123"/>
      <c r="GN699" s="2123"/>
      <c r="GO699" s="2123">
        <v>1.73</v>
      </c>
      <c r="GP699" s="2123">
        <v>1.73</v>
      </c>
      <c r="GQ699" s="2123">
        <v>0.71</v>
      </c>
      <c r="GR699" s="2123">
        <v>0.71</v>
      </c>
      <c r="GS699" s="2123">
        <v>0.71</v>
      </c>
      <c r="GT699" s="2123">
        <v>0.66</v>
      </c>
      <c r="GU699" s="2123">
        <v>0.66</v>
      </c>
      <c r="GV699" s="2123">
        <v>0.66</v>
      </c>
      <c r="GW699" s="2123">
        <v>3.03</v>
      </c>
      <c r="GX699" s="2123">
        <v>3.03</v>
      </c>
      <c r="GY699" s="2123"/>
      <c r="GZ699" s="2123"/>
      <c r="HA699" s="2123">
        <v>1.27</v>
      </c>
      <c r="HB699" s="2123">
        <v>1.27</v>
      </c>
      <c r="HC699" s="2123">
        <v>0.37</v>
      </c>
      <c r="HD699" s="2123">
        <v>0.37</v>
      </c>
      <c r="HE699" s="2123">
        <v>0.45</v>
      </c>
      <c r="HF699" s="2123">
        <v>0.45</v>
      </c>
      <c r="HG699" s="2123">
        <v>0.45</v>
      </c>
      <c r="HH699" s="2123">
        <v>0.45</v>
      </c>
      <c r="HI699" s="2123">
        <v>0.45</v>
      </c>
      <c r="HJ699" s="2123">
        <v>0.45</v>
      </c>
      <c r="HK699" s="2123">
        <v>0.42</v>
      </c>
      <c r="HL699" s="2123">
        <v>0.42</v>
      </c>
      <c r="HM699" s="2123">
        <v>1.67</v>
      </c>
      <c r="HN699" s="2123">
        <v>1.67</v>
      </c>
      <c r="HO699" s="2123">
        <v>0.42</v>
      </c>
      <c r="HP699" s="2123">
        <v>0.42</v>
      </c>
      <c r="HQ699" s="2123">
        <v>0.54</v>
      </c>
      <c r="HR699" s="2123">
        <v>0.54</v>
      </c>
      <c r="HS699" s="2123">
        <v>0.54</v>
      </c>
      <c r="HT699" s="2123">
        <v>0.54</v>
      </c>
      <c r="HU699" s="2123">
        <v>0.54</v>
      </c>
      <c r="HV699" s="2123">
        <v>0.54</v>
      </c>
      <c r="HW699" s="2123">
        <v>0.5</v>
      </c>
      <c r="HX699" s="2123">
        <v>0.5</v>
      </c>
    </row>
    <row r="700" spans="2:232" s="2040" customFormat="1" ht="14" hidden="1" x14ac:dyDescent="0.3">
      <c r="B700" s="2203">
        <v>6</v>
      </c>
      <c r="C700" s="2204">
        <v>2.96</v>
      </c>
      <c r="D700" s="2204">
        <v>2.96</v>
      </c>
      <c r="E700" s="2204">
        <v>5.0999999999999996</v>
      </c>
      <c r="F700" s="2204">
        <v>5.0999999999999996</v>
      </c>
      <c r="G700" s="2204">
        <v>8.27</v>
      </c>
      <c r="H700" s="2204">
        <v>8.27</v>
      </c>
      <c r="I700" s="2204">
        <v>4.3099999999999996</v>
      </c>
      <c r="J700" s="2204">
        <v>4.3099999999999996</v>
      </c>
      <c r="K700" s="2204">
        <v>8.39</v>
      </c>
      <c r="L700" s="2204">
        <v>8.39</v>
      </c>
      <c r="M700" s="2204"/>
      <c r="N700" s="2204"/>
      <c r="O700" s="2204">
        <v>8.6</v>
      </c>
      <c r="P700" s="2204">
        <v>8.6</v>
      </c>
      <c r="Q700" s="2204">
        <v>12.42</v>
      </c>
      <c r="R700" s="2204">
        <v>8.61</v>
      </c>
      <c r="S700" s="2204">
        <v>5.76</v>
      </c>
      <c r="T700" s="2204">
        <v>5.76</v>
      </c>
      <c r="U700" s="2204">
        <v>5.56</v>
      </c>
      <c r="V700" s="2204">
        <v>5.56</v>
      </c>
      <c r="W700" s="2204">
        <v>5.76</v>
      </c>
      <c r="X700" s="2204">
        <v>5.76</v>
      </c>
      <c r="Y700" s="2204">
        <v>5.56</v>
      </c>
      <c r="Z700" s="2204">
        <v>5.76</v>
      </c>
      <c r="AA700" s="2204">
        <v>5.76</v>
      </c>
      <c r="AB700" s="2204">
        <v>5.76</v>
      </c>
      <c r="AC700" s="2204">
        <v>5.56</v>
      </c>
      <c r="AD700" s="2204">
        <v>5.56</v>
      </c>
      <c r="AE700" s="2204">
        <v>8.4600000000000009</v>
      </c>
      <c r="AF700" s="2204">
        <v>8.24</v>
      </c>
      <c r="AG700" s="2204">
        <v>8.4600000000000009</v>
      </c>
      <c r="AH700" s="2204">
        <v>8.4600000000000009</v>
      </c>
      <c r="AI700" s="2204">
        <v>8.24</v>
      </c>
      <c r="AJ700" s="2204">
        <v>8.24</v>
      </c>
      <c r="AK700" s="2204">
        <v>10.31</v>
      </c>
      <c r="AL700" s="2204">
        <v>10.31</v>
      </c>
      <c r="AM700" s="2204">
        <v>4.72</v>
      </c>
      <c r="AN700" s="2204">
        <v>4.5199999999999996</v>
      </c>
      <c r="AO700" s="2204">
        <v>4.5199999999999996</v>
      </c>
      <c r="AP700" s="2204">
        <v>4.5199999999999996</v>
      </c>
      <c r="AQ700" s="2204">
        <v>8.0299999999999994</v>
      </c>
      <c r="AR700" s="2204">
        <v>8.0299999999999994</v>
      </c>
      <c r="AS700" s="2204">
        <v>7.4</v>
      </c>
      <c r="AT700" s="2204">
        <v>7.4</v>
      </c>
      <c r="AU700" s="2204">
        <v>7.4</v>
      </c>
      <c r="AV700" s="2204">
        <v>8.02</v>
      </c>
      <c r="AW700" s="2204">
        <v>6.15</v>
      </c>
      <c r="AX700" s="2204">
        <v>6.15</v>
      </c>
      <c r="AY700" s="2204">
        <v>6.25</v>
      </c>
      <c r="AZ700" s="2204">
        <v>6.25</v>
      </c>
      <c r="BA700" s="2123">
        <v>2.99</v>
      </c>
      <c r="BB700" s="2123">
        <v>2.99</v>
      </c>
      <c r="BC700" s="2123">
        <v>0.59</v>
      </c>
      <c r="BD700" s="2123">
        <v>0.59</v>
      </c>
      <c r="BE700" s="2123">
        <v>1.93</v>
      </c>
      <c r="BF700" s="2123">
        <v>1.93</v>
      </c>
      <c r="BG700" s="2123">
        <v>0.65</v>
      </c>
      <c r="BH700" s="2123">
        <v>0.65</v>
      </c>
      <c r="BI700" s="2123">
        <v>0.57999999999999996</v>
      </c>
      <c r="BJ700" s="2123">
        <v>0.57999999999999996</v>
      </c>
      <c r="BK700" s="2123">
        <v>0.57999999999999996</v>
      </c>
      <c r="BL700" s="2123">
        <v>0.57999999999999996</v>
      </c>
      <c r="BM700" s="2123">
        <v>3.53</v>
      </c>
      <c r="BN700" s="2123">
        <v>3.53</v>
      </c>
      <c r="BO700" s="2123">
        <v>8.9499999999999993</v>
      </c>
      <c r="BP700" s="2123">
        <v>8.9499999999999993</v>
      </c>
      <c r="BQ700" s="2123">
        <v>8.9499999999999993</v>
      </c>
      <c r="BR700" s="2123">
        <v>8.9499999999999993</v>
      </c>
      <c r="BS700" s="2123">
        <v>6.32</v>
      </c>
      <c r="BT700" s="2123">
        <v>6.32</v>
      </c>
      <c r="BU700" s="2123">
        <v>6.32</v>
      </c>
      <c r="BV700" s="2123">
        <v>6.32</v>
      </c>
      <c r="BW700" s="2123">
        <v>6.32</v>
      </c>
      <c r="BX700" s="2123">
        <v>6.32</v>
      </c>
      <c r="BY700" s="2123">
        <v>3.23</v>
      </c>
      <c r="BZ700" s="2123">
        <v>3.23</v>
      </c>
      <c r="CA700" s="2123">
        <v>8.07</v>
      </c>
      <c r="CB700" s="2123">
        <v>8.07</v>
      </c>
      <c r="CC700" s="2123">
        <v>6.69</v>
      </c>
      <c r="CD700" s="2123">
        <v>6.69</v>
      </c>
      <c r="CE700" s="2123">
        <v>5.87</v>
      </c>
      <c r="CF700" s="2123">
        <v>5.87</v>
      </c>
      <c r="CG700" s="2123"/>
      <c r="CH700" s="2123"/>
      <c r="CI700" s="2123"/>
      <c r="CJ700" s="2123"/>
      <c r="CK700" s="2123">
        <v>20.55</v>
      </c>
      <c r="CL700" s="2123">
        <v>20.55</v>
      </c>
      <c r="CM700" s="2123">
        <v>33.11</v>
      </c>
      <c r="CN700" s="2123">
        <v>33.11</v>
      </c>
      <c r="CO700" s="2123">
        <v>22.19</v>
      </c>
      <c r="CP700" s="2123">
        <v>22.19</v>
      </c>
      <c r="CQ700" s="2123">
        <v>22.19</v>
      </c>
      <c r="CR700" s="2123">
        <v>22.19</v>
      </c>
      <c r="CS700" s="2123"/>
      <c r="CT700" s="2123"/>
      <c r="CU700" s="2123"/>
      <c r="CV700" s="2123"/>
      <c r="CW700" s="2123">
        <v>7.1</v>
      </c>
      <c r="CX700" s="2123">
        <v>7.1</v>
      </c>
      <c r="CY700" s="2123">
        <v>28.08</v>
      </c>
      <c r="CZ700" s="2123">
        <v>28.08</v>
      </c>
      <c r="DA700" s="2123">
        <v>28.08</v>
      </c>
      <c r="DB700" s="2123">
        <v>28.08</v>
      </c>
      <c r="DC700" s="2123">
        <v>18.97</v>
      </c>
      <c r="DD700" s="2123">
        <v>18.97</v>
      </c>
      <c r="DE700" s="2123">
        <v>18.97</v>
      </c>
      <c r="DF700" s="2123">
        <v>18.97</v>
      </c>
      <c r="DG700" s="2123"/>
      <c r="DH700" s="2123"/>
      <c r="DI700" s="2123">
        <v>2.0699999999999998</v>
      </c>
      <c r="DJ700" s="2123">
        <v>2.0699999999999998</v>
      </c>
      <c r="DK700" s="2123">
        <v>2.0699999999999998</v>
      </c>
      <c r="DL700" s="2123">
        <v>2.0699999999999998</v>
      </c>
      <c r="DM700" s="2123">
        <v>2.0699999999999998</v>
      </c>
      <c r="DN700" s="2123">
        <v>2.0699999999999998</v>
      </c>
      <c r="DO700" s="2123"/>
      <c r="DP700" s="2123"/>
      <c r="DQ700" s="2123"/>
      <c r="DR700" s="2123"/>
      <c r="DS700" s="2123"/>
      <c r="DT700" s="2123"/>
      <c r="DU700" s="2123">
        <v>1.08</v>
      </c>
      <c r="DV700" s="2123">
        <v>1.08</v>
      </c>
      <c r="DW700" s="2123">
        <v>0.59</v>
      </c>
      <c r="DX700" s="2123">
        <v>0.59</v>
      </c>
      <c r="DY700" s="2123">
        <v>0.59</v>
      </c>
      <c r="DZ700" s="2123">
        <v>0.59</v>
      </c>
      <c r="EA700" s="2123"/>
      <c r="EB700" s="2123"/>
      <c r="EC700" s="2123"/>
      <c r="ED700" s="2123"/>
      <c r="EE700" s="2123"/>
      <c r="EF700" s="2123"/>
      <c r="EG700" s="2123">
        <v>1.32</v>
      </c>
      <c r="EH700" s="2123">
        <v>1.82</v>
      </c>
      <c r="EI700" s="2123">
        <v>0.5</v>
      </c>
      <c r="EJ700" s="2123">
        <v>0.5</v>
      </c>
      <c r="EK700" s="2123">
        <v>0.49</v>
      </c>
      <c r="EL700" s="2123">
        <v>0.49</v>
      </c>
      <c r="EM700" s="2123">
        <v>0.62</v>
      </c>
      <c r="EN700" s="2123">
        <v>0.62</v>
      </c>
      <c r="EO700" s="2123">
        <v>0.56000000000000005</v>
      </c>
      <c r="EP700" s="2123">
        <v>0.56000000000000005</v>
      </c>
      <c r="EQ700" s="2123">
        <v>0.56000000000000005</v>
      </c>
      <c r="ER700" s="2123">
        <v>0.6</v>
      </c>
      <c r="ES700" s="2123">
        <v>4.3099999999999996</v>
      </c>
      <c r="ET700" s="2123">
        <v>4.3099999999999996</v>
      </c>
      <c r="EU700" s="2123">
        <v>8.66</v>
      </c>
      <c r="EV700" s="2123">
        <v>8.66</v>
      </c>
      <c r="EW700" s="2123">
        <v>7.97</v>
      </c>
      <c r="EX700" s="2123">
        <v>7.97</v>
      </c>
      <c r="EY700" s="2129">
        <f t="shared" si="55"/>
        <v>8.3149999999999995</v>
      </c>
      <c r="EZ700" s="2129">
        <f t="shared" si="55"/>
        <v>8.3149999999999995</v>
      </c>
      <c r="FA700" s="2123">
        <v>9.39</v>
      </c>
      <c r="FB700" s="2123">
        <v>9.39</v>
      </c>
      <c r="FC700" s="2123"/>
      <c r="FD700" s="2123"/>
      <c r="FE700" s="2123">
        <v>3.57</v>
      </c>
      <c r="FF700" s="2123">
        <v>3.57</v>
      </c>
      <c r="FG700" s="2123">
        <v>6.49</v>
      </c>
      <c r="FH700" s="2123">
        <v>6.49</v>
      </c>
      <c r="FI700" s="2123">
        <v>6.49</v>
      </c>
      <c r="FJ700" s="2123">
        <v>6.49</v>
      </c>
      <c r="FK700" s="2123">
        <v>6.11</v>
      </c>
      <c r="FL700" s="2123">
        <v>6.11</v>
      </c>
      <c r="FM700" s="2123">
        <v>6.52</v>
      </c>
      <c r="FN700" s="2123">
        <v>6.52</v>
      </c>
      <c r="FO700" s="2123"/>
      <c r="FP700" s="2123"/>
      <c r="FQ700" s="2123">
        <v>6.94</v>
      </c>
      <c r="FR700" s="2123">
        <v>6.94</v>
      </c>
      <c r="FS700" s="2123">
        <v>11.48</v>
      </c>
      <c r="FT700" s="2123">
        <v>11.48</v>
      </c>
      <c r="FU700" s="2123">
        <v>11.48</v>
      </c>
      <c r="FV700" s="2123">
        <v>11.48</v>
      </c>
      <c r="FW700" s="2123">
        <v>11.93</v>
      </c>
      <c r="FX700" s="2123">
        <v>11.93</v>
      </c>
      <c r="FY700" s="2123"/>
      <c r="FZ700" s="2123"/>
      <c r="GA700" s="2123"/>
      <c r="GB700" s="2123"/>
      <c r="GC700" s="2123">
        <v>4.9000000000000004</v>
      </c>
      <c r="GD700" s="2123">
        <v>4.9000000000000004</v>
      </c>
      <c r="GE700" s="2123">
        <v>17.690000000000001</v>
      </c>
      <c r="GF700" s="2123">
        <v>17.690000000000001</v>
      </c>
      <c r="GG700" s="2123">
        <v>17.690000000000001</v>
      </c>
      <c r="GH700" s="2123">
        <v>17.690000000000001</v>
      </c>
      <c r="GI700" s="2123">
        <v>1.91</v>
      </c>
      <c r="GJ700" s="2123">
        <v>1.91</v>
      </c>
      <c r="GK700" s="2123">
        <v>6.9</v>
      </c>
      <c r="GL700" s="2123">
        <v>6.9</v>
      </c>
      <c r="GM700" s="2123"/>
      <c r="GN700" s="2123"/>
      <c r="GO700" s="2123">
        <v>2.95</v>
      </c>
      <c r="GP700" s="2123">
        <v>2.95</v>
      </c>
      <c r="GQ700" s="2123">
        <v>1.06</v>
      </c>
      <c r="GR700" s="2123">
        <v>1.06</v>
      </c>
      <c r="GS700" s="2123">
        <v>1.06</v>
      </c>
      <c r="GT700" s="2123">
        <v>0.99</v>
      </c>
      <c r="GU700" s="2123">
        <v>0.99</v>
      </c>
      <c r="GV700" s="2123">
        <v>0.99</v>
      </c>
      <c r="GW700" s="2123">
        <v>5.31</v>
      </c>
      <c r="GX700" s="2123">
        <v>5.31</v>
      </c>
      <c r="GY700" s="2123"/>
      <c r="GZ700" s="2123"/>
      <c r="HA700" s="2123">
        <v>1.97</v>
      </c>
      <c r="HB700" s="2123">
        <v>1.97</v>
      </c>
      <c r="HC700" s="2123">
        <v>0.46</v>
      </c>
      <c r="HD700" s="2123">
        <v>0.46</v>
      </c>
      <c r="HE700" s="2123">
        <v>0.59</v>
      </c>
      <c r="HF700" s="2123">
        <v>0.59</v>
      </c>
      <c r="HG700" s="2123">
        <v>0.59</v>
      </c>
      <c r="HH700" s="2123">
        <v>0.59</v>
      </c>
      <c r="HI700" s="2123">
        <v>0.59</v>
      </c>
      <c r="HJ700" s="2123">
        <v>0.59</v>
      </c>
      <c r="HK700" s="2123">
        <v>0.55000000000000004</v>
      </c>
      <c r="HL700" s="2123">
        <v>0.55000000000000004</v>
      </c>
      <c r="HM700" s="2123">
        <v>2.65</v>
      </c>
      <c r="HN700" s="2123">
        <v>2.65</v>
      </c>
      <c r="HO700" s="2123">
        <v>0.56000000000000005</v>
      </c>
      <c r="HP700" s="2123">
        <v>0.56000000000000005</v>
      </c>
      <c r="HQ700" s="2123">
        <v>0.77</v>
      </c>
      <c r="HR700" s="2123">
        <v>0.77</v>
      </c>
      <c r="HS700" s="2123">
        <v>0.77</v>
      </c>
      <c r="HT700" s="2123">
        <v>0.77</v>
      </c>
      <c r="HU700" s="2123">
        <v>0.77</v>
      </c>
      <c r="HV700" s="2123">
        <v>0.77</v>
      </c>
      <c r="HW700" s="2123">
        <v>0.7</v>
      </c>
      <c r="HX700" s="2123">
        <v>0.7</v>
      </c>
    </row>
    <row r="701" spans="2:232" s="2040" customFormat="1" ht="14" hidden="1" x14ac:dyDescent="0.3">
      <c r="B701" s="2203">
        <v>7</v>
      </c>
      <c r="C701" s="2204">
        <v>4.3499999999999996</v>
      </c>
      <c r="D701" s="2204">
        <v>4.3499999999999996</v>
      </c>
      <c r="E701" s="2204">
        <v>6.8</v>
      </c>
      <c r="F701" s="2204">
        <v>6.8</v>
      </c>
      <c r="G701" s="2204">
        <v>12.24</v>
      </c>
      <c r="H701" s="2204">
        <v>12.24</v>
      </c>
      <c r="I701" s="2204">
        <v>7.11</v>
      </c>
      <c r="J701" s="2204">
        <v>7.11</v>
      </c>
      <c r="K701" s="2204">
        <v>13.24</v>
      </c>
      <c r="L701" s="2204">
        <v>13.24</v>
      </c>
      <c r="M701" s="2204"/>
      <c r="N701" s="2204"/>
      <c r="O701" s="2204">
        <v>12.96</v>
      </c>
      <c r="P701" s="2204">
        <v>12.96</v>
      </c>
      <c r="Q701" s="2204">
        <v>17.3</v>
      </c>
      <c r="R701" s="2204">
        <v>12.96</v>
      </c>
      <c r="S701" s="2204">
        <v>9.41</v>
      </c>
      <c r="T701" s="2204">
        <v>9.41</v>
      </c>
      <c r="U701" s="2204">
        <v>9.08</v>
      </c>
      <c r="V701" s="2204">
        <v>9.08</v>
      </c>
      <c r="W701" s="2204">
        <v>9.41</v>
      </c>
      <c r="X701" s="2204">
        <v>9.41</v>
      </c>
      <c r="Y701" s="2204">
        <v>9.08</v>
      </c>
      <c r="Z701" s="2204">
        <v>9.41</v>
      </c>
      <c r="AA701" s="2204">
        <v>9.41</v>
      </c>
      <c r="AB701" s="2204">
        <v>9.41</v>
      </c>
      <c r="AC701" s="2204">
        <v>9.08</v>
      </c>
      <c r="AD701" s="2204">
        <v>9.08</v>
      </c>
      <c r="AE701" s="2204">
        <v>13.76</v>
      </c>
      <c r="AF701" s="2204">
        <v>13.39</v>
      </c>
      <c r="AG701" s="2204">
        <v>13.76</v>
      </c>
      <c r="AH701" s="2204">
        <v>13.76</v>
      </c>
      <c r="AI701" s="2204">
        <v>13.39</v>
      </c>
      <c r="AJ701" s="2204">
        <v>13.39</v>
      </c>
      <c r="AK701" s="2204">
        <v>16.02</v>
      </c>
      <c r="AL701" s="2204">
        <v>16.02</v>
      </c>
      <c r="AM701" s="2204">
        <v>7.03</v>
      </c>
      <c r="AN701" s="2204">
        <v>6.73</v>
      </c>
      <c r="AO701" s="2204">
        <v>6.73</v>
      </c>
      <c r="AP701" s="2204">
        <v>6.73</v>
      </c>
      <c r="AQ701" s="2204">
        <v>10.76</v>
      </c>
      <c r="AR701" s="2204">
        <v>10.76</v>
      </c>
      <c r="AS701" s="2204">
        <v>11.58</v>
      </c>
      <c r="AT701" s="2204">
        <v>11.58</v>
      </c>
      <c r="AU701" s="2204">
        <v>11.58</v>
      </c>
      <c r="AV701" s="2204">
        <v>12.46</v>
      </c>
      <c r="AW701" s="2204">
        <v>10.07</v>
      </c>
      <c r="AX701" s="2204">
        <v>10.07</v>
      </c>
      <c r="AY701" s="2204">
        <v>10.199999999999999</v>
      </c>
      <c r="AZ701" s="2204">
        <v>10.199999999999999</v>
      </c>
      <c r="BA701" s="2123">
        <v>4.6500000000000004</v>
      </c>
      <c r="BB701" s="2123">
        <v>4.6500000000000004</v>
      </c>
      <c r="BC701" s="2123">
        <v>0.85</v>
      </c>
      <c r="BD701" s="2123">
        <v>0.85</v>
      </c>
      <c r="BE701" s="2123">
        <v>2.73</v>
      </c>
      <c r="BF701" s="2123">
        <v>2.73</v>
      </c>
      <c r="BG701" s="2123">
        <v>0.9</v>
      </c>
      <c r="BH701" s="2123">
        <v>0.9</v>
      </c>
      <c r="BI701" s="2123">
        <v>0.8</v>
      </c>
      <c r="BJ701" s="2123">
        <v>0.8</v>
      </c>
      <c r="BK701" s="2123">
        <v>0.8</v>
      </c>
      <c r="BL701" s="2123">
        <v>0.8</v>
      </c>
      <c r="BM701" s="2123">
        <v>5.21</v>
      </c>
      <c r="BN701" s="2123">
        <v>5.21</v>
      </c>
      <c r="BO701" s="2123">
        <v>13.24</v>
      </c>
      <c r="BP701" s="2123">
        <v>13.24</v>
      </c>
      <c r="BQ701" s="2123">
        <v>13.24</v>
      </c>
      <c r="BR701" s="2123">
        <v>13.24</v>
      </c>
      <c r="BS701" s="2123">
        <v>9.91</v>
      </c>
      <c r="BT701" s="2123">
        <v>9.91</v>
      </c>
      <c r="BU701" s="2123">
        <v>9.91</v>
      </c>
      <c r="BV701" s="2123">
        <v>9.91</v>
      </c>
      <c r="BW701" s="2123">
        <v>9.91</v>
      </c>
      <c r="BX701" s="2123">
        <v>9.91</v>
      </c>
      <c r="BY701" s="2123">
        <v>4.76</v>
      </c>
      <c r="BZ701" s="2123">
        <v>4.76</v>
      </c>
      <c r="CA701" s="2123">
        <v>12</v>
      </c>
      <c r="CB701" s="2123">
        <v>12</v>
      </c>
      <c r="CC701" s="2123">
        <v>10.35</v>
      </c>
      <c r="CD701" s="2123">
        <v>10.35</v>
      </c>
      <c r="CE701" s="2123">
        <v>9.25</v>
      </c>
      <c r="CF701" s="2123">
        <v>9.25</v>
      </c>
      <c r="CG701" s="2123"/>
      <c r="CH701" s="2123"/>
      <c r="CI701" s="2123"/>
      <c r="CJ701" s="2123"/>
      <c r="CK701" s="2123">
        <v>25.38</v>
      </c>
      <c r="CL701" s="2123">
        <v>25.38</v>
      </c>
      <c r="CM701" s="2123">
        <v>44.41</v>
      </c>
      <c r="CN701" s="2123">
        <v>44.41</v>
      </c>
      <c r="CO701" s="2123">
        <v>32.15</v>
      </c>
      <c r="CP701" s="2123">
        <v>32.15</v>
      </c>
      <c r="CQ701" s="2123">
        <v>32.15</v>
      </c>
      <c r="CR701" s="2123">
        <v>32.15</v>
      </c>
      <c r="CS701" s="2123"/>
      <c r="CT701" s="2123"/>
      <c r="CU701" s="2123"/>
      <c r="CV701" s="2123"/>
      <c r="CW701" s="2123">
        <v>10.66</v>
      </c>
      <c r="CX701" s="2123">
        <v>10.66</v>
      </c>
      <c r="CY701" s="2123">
        <v>38.57</v>
      </c>
      <c r="CZ701" s="2123">
        <v>38.57</v>
      </c>
      <c r="DA701" s="2123">
        <v>38.57</v>
      </c>
      <c r="DB701" s="2123">
        <v>38.57</v>
      </c>
      <c r="DC701" s="2123">
        <v>27.79</v>
      </c>
      <c r="DD701" s="2123">
        <v>27.79</v>
      </c>
      <c r="DE701" s="2123">
        <v>27.79</v>
      </c>
      <c r="DF701" s="2123">
        <v>27.79</v>
      </c>
      <c r="DG701" s="2123"/>
      <c r="DH701" s="2123"/>
      <c r="DI701" s="2123">
        <v>3</v>
      </c>
      <c r="DJ701" s="2123">
        <v>3</v>
      </c>
      <c r="DK701" s="2123">
        <v>3</v>
      </c>
      <c r="DL701" s="2123">
        <v>3</v>
      </c>
      <c r="DM701" s="2123">
        <v>3</v>
      </c>
      <c r="DN701" s="2123">
        <v>3</v>
      </c>
      <c r="DO701" s="2123"/>
      <c r="DP701" s="2123"/>
      <c r="DQ701" s="2123"/>
      <c r="DR701" s="2123"/>
      <c r="DS701" s="2123"/>
      <c r="DT701" s="2123"/>
      <c r="DU701" s="2123">
        <v>1.49</v>
      </c>
      <c r="DV701" s="2123">
        <v>1.49</v>
      </c>
      <c r="DW701" s="2123">
        <v>0.81</v>
      </c>
      <c r="DX701" s="2123">
        <v>0.81</v>
      </c>
      <c r="DY701" s="2123">
        <v>0.81</v>
      </c>
      <c r="DZ701" s="2123">
        <v>0.81</v>
      </c>
      <c r="EA701" s="2123"/>
      <c r="EB701" s="2123"/>
      <c r="EC701" s="2123"/>
      <c r="ED701" s="2123"/>
      <c r="EE701" s="2123"/>
      <c r="EF701" s="2123"/>
      <c r="EG701" s="2123">
        <v>1.94</v>
      </c>
      <c r="EH701" s="2123">
        <v>2.54</v>
      </c>
      <c r="EI701" s="2123">
        <v>0.67</v>
      </c>
      <c r="EJ701" s="2123">
        <v>0.67</v>
      </c>
      <c r="EK701" s="2123">
        <v>0.65</v>
      </c>
      <c r="EL701" s="2123">
        <v>0.65</v>
      </c>
      <c r="EM701" s="2123">
        <v>0.85</v>
      </c>
      <c r="EN701" s="2123">
        <v>0.85</v>
      </c>
      <c r="EO701" s="2123">
        <v>0.75</v>
      </c>
      <c r="EP701" s="2123">
        <v>0.75</v>
      </c>
      <c r="EQ701" s="2123">
        <v>0.76</v>
      </c>
      <c r="ER701" s="2123">
        <v>0.83</v>
      </c>
      <c r="ES701" s="2123">
        <v>6.55</v>
      </c>
      <c r="ET701" s="2123">
        <v>6.55</v>
      </c>
      <c r="EU701" s="2123">
        <v>13.86</v>
      </c>
      <c r="EV701" s="2123">
        <v>13.86</v>
      </c>
      <c r="EW701" s="2123">
        <v>12.85</v>
      </c>
      <c r="EX701" s="2123">
        <v>12.85</v>
      </c>
      <c r="EY701" s="2129">
        <f t="shared" si="55"/>
        <v>13.355</v>
      </c>
      <c r="EZ701" s="2129">
        <f t="shared" si="55"/>
        <v>13.355</v>
      </c>
      <c r="FA701" s="2123">
        <v>14.99</v>
      </c>
      <c r="FB701" s="2123">
        <v>14.99</v>
      </c>
      <c r="FC701" s="2123"/>
      <c r="FD701" s="2123"/>
      <c r="FE701" s="2123">
        <v>5.43</v>
      </c>
      <c r="FF701" s="2123">
        <v>5.43</v>
      </c>
      <c r="FG701" s="2123">
        <v>10.48</v>
      </c>
      <c r="FH701" s="2123">
        <v>10.48</v>
      </c>
      <c r="FI701" s="2123">
        <v>10.48</v>
      </c>
      <c r="FJ701" s="2123">
        <v>10.48</v>
      </c>
      <c r="FK701" s="2123">
        <v>9.94</v>
      </c>
      <c r="FL701" s="2123">
        <v>9.94</v>
      </c>
      <c r="FM701" s="2123">
        <v>10.57</v>
      </c>
      <c r="FN701" s="2123">
        <v>10.57</v>
      </c>
      <c r="FO701" s="2123"/>
      <c r="FP701" s="2123"/>
      <c r="FQ701" s="2123">
        <v>10.66</v>
      </c>
      <c r="FR701" s="2123">
        <v>10.66</v>
      </c>
      <c r="FS701" s="2123">
        <v>17.47</v>
      </c>
      <c r="FT701" s="2123">
        <v>17.47</v>
      </c>
      <c r="FU701" s="2123">
        <v>17.47</v>
      </c>
      <c r="FV701" s="2123">
        <v>17.47</v>
      </c>
      <c r="FW701" s="2123">
        <v>18.13</v>
      </c>
      <c r="FX701" s="2123">
        <v>18.13</v>
      </c>
      <c r="FY701" s="2123"/>
      <c r="FZ701" s="2123"/>
      <c r="GA701" s="2123"/>
      <c r="GB701" s="2123"/>
      <c r="GC701" s="2123">
        <v>7.18</v>
      </c>
      <c r="GD701" s="2123">
        <v>7.18</v>
      </c>
      <c r="GE701" s="2123">
        <v>24.26</v>
      </c>
      <c r="GF701" s="2123">
        <v>24.26</v>
      </c>
      <c r="GG701" s="2123">
        <v>24.26</v>
      </c>
      <c r="GH701" s="2123">
        <v>24.26</v>
      </c>
      <c r="GI701" s="2123">
        <v>3.14</v>
      </c>
      <c r="GJ701" s="2123">
        <v>3.14</v>
      </c>
      <c r="GK701" s="2123">
        <v>10.53</v>
      </c>
      <c r="GL701" s="2123">
        <v>10.53</v>
      </c>
      <c r="GM701" s="2123"/>
      <c r="GN701" s="2123"/>
      <c r="GO701" s="2123">
        <v>4.17</v>
      </c>
      <c r="GP701" s="2123">
        <v>4.17</v>
      </c>
      <c r="GQ701" s="2123">
        <v>1.55</v>
      </c>
      <c r="GR701" s="2123">
        <v>1.55</v>
      </c>
      <c r="GS701" s="2123">
        <v>1.55</v>
      </c>
      <c r="GT701" s="2123">
        <v>1.43</v>
      </c>
      <c r="GU701" s="2123">
        <v>1.43</v>
      </c>
      <c r="GV701" s="2123">
        <v>1.43</v>
      </c>
      <c r="GW701" s="2123">
        <v>8.3800000000000008</v>
      </c>
      <c r="GX701" s="2123">
        <v>8.3800000000000008</v>
      </c>
      <c r="GY701" s="2123"/>
      <c r="GZ701" s="2123"/>
      <c r="HA701" s="2123">
        <v>2.84</v>
      </c>
      <c r="HB701" s="2123">
        <v>2.84</v>
      </c>
      <c r="HC701" s="2123">
        <v>0.6</v>
      </c>
      <c r="HD701" s="2123">
        <v>0.6</v>
      </c>
      <c r="HE701" s="2123">
        <v>0.8</v>
      </c>
      <c r="HF701" s="2123">
        <v>0.8</v>
      </c>
      <c r="HG701" s="2123">
        <v>0.8</v>
      </c>
      <c r="HH701" s="2123">
        <v>0.8</v>
      </c>
      <c r="HI701" s="2123">
        <v>0.8</v>
      </c>
      <c r="HJ701" s="2123">
        <v>0.8</v>
      </c>
      <c r="HK701" s="2123">
        <v>0.75</v>
      </c>
      <c r="HL701" s="2123">
        <v>0.75</v>
      </c>
      <c r="HM701" s="2123">
        <v>3.88</v>
      </c>
      <c r="HN701" s="2123">
        <v>3.88</v>
      </c>
      <c r="HO701" s="2123">
        <v>0.77</v>
      </c>
      <c r="HP701" s="2123">
        <v>0.77</v>
      </c>
      <c r="HQ701" s="2123">
        <v>1.1000000000000001</v>
      </c>
      <c r="HR701" s="2123">
        <v>1.1000000000000001</v>
      </c>
      <c r="HS701" s="2123">
        <v>1.1000000000000001</v>
      </c>
      <c r="HT701" s="2123">
        <v>1.1000000000000001</v>
      </c>
      <c r="HU701" s="2123">
        <v>1.1000000000000001</v>
      </c>
      <c r="HV701" s="2123">
        <v>1.1000000000000001</v>
      </c>
      <c r="HW701" s="2123">
        <v>1</v>
      </c>
      <c r="HX701" s="2123">
        <v>1</v>
      </c>
    </row>
    <row r="702" spans="2:232" s="2040" customFormat="1" ht="14" hidden="1" x14ac:dyDescent="0.3">
      <c r="B702" s="2203">
        <v>8</v>
      </c>
      <c r="C702" s="2204">
        <v>5.97</v>
      </c>
      <c r="D702" s="2204">
        <v>5.97</v>
      </c>
      <c r="E702" s="2204">
        <v>8.6</v>
      </c>
      <c r="F702" s="2204">
        <v>8.6</v>
      </c>
      <c r="G702" s="2204">
        <v>16.93</v>
      </c>
      <c r="H702" s="2204">
        <v>16.93</v>
      </c>
      <c r="I702" s="2204">
        <v>11.18</v>
      </c>
      <c r="J702" s="2204">
        <v>11.18</v>
      </c>
      <c r="K702" s="2204">
        <v>19.54</v>
      </c>
      <c r="L702" s="2204">
        <v>19.54</v>
      </c>
      <c r="M702" s="2204"/>
      <c r="N702" s="2204"/>
      <c r="O702" s="2204">
        <v>18.03</v>
      </c>
      <c r="P702" s="2204">
        <v>18.03</v>
      </c>
      <c r="Q702" s="2204">
        <v>22.78</v>
      </c>
      <c r="R702" s="2204">
        <v>18.04</v>
      </c>
      <c r="S702" s="2204">
        <v>14.07</v>
      </c>
      <c r="T702" s="2204">
        <v>14.07</v>
      </c>
      <c r="U702" s="2204">
        <v>13.58</v>
      </c>
      <c r="V702" s="2204">
        <v>13.58</v>
      </c>
      <c r="W702" s="2204">
        <v>14.07</v>
      </c>
      <c r="X702" s="2204">
        <v>14.07</v>
      </c>
      <c r="Y702" s="2204">
        <v>13.58</v>
      </c>
      <c r="Z702" s="2204">
        <v>14.07</v>
      </c>
      <c r="AA702" s="2204">
        <v>14.07</v>
      </c>
      <c r="AB702" s="2204">
        <v>14.07</v>
      </c>
      <c r="AC702" s="2204">
        <v>13.58</v>
      </c>
      <c r="AD702" s="2204">
        <v>13.58</v>
      </c>
      <c r="AE702" s="2204">
        <v>20.350000000000001</v>
      </c>
      <c r="AF702" s="2204">
        <v>19.8</v>
      </c>
      <c r="AG702" s="2204">
        <v>20.350000000000001</v>
      </c>
      <c r="AH702" s="2204">
        <v>20.350000000000001</v>
      </c>
      <c r="AI702" s="2204">
        <v>19.8</v>
      </c>
      <c r="AJ702" s="2204">
        <v>19.8</v>
      </c>
      <c r="AK702" s="2204">
        <v>22.93</v>
      </c>
      <c r="AL702" s="2204">
        <v>22.93</v>
      </c>
      <c r="AM702" s="2204">
        <v>9.7100000000000009</v>
      </c>
      <c r="AN702" s="2204">
        <v>9.31</v>
      </c>
      <c r="AO702" s="2204">
        <v>9.31</v>
      </c>
      <c r="AP702" s="2204">
        <v>9.31</v>
      </c>
      <c r="AQ702" s="2204">
        <v>13.62</v>
      </c>
      <c r="AR702" s="2204">
        <v>13.62</v>
      </c>
      <c r="AS702" s="2204">
        <v>16.71</v>
      </c>
      <c r="AT702" s="2204">
        <v>16.71</v>
      </c>
      <c r="AU702" s="2204">
        <v>16.71</v>
      </c>
      <c r="AV702" s="2204">
        <v>17.86</v>
      </c>
      <c r="AW702" s="2204">
        <v>14.68</v>
      </c>
      <c r="AX702" s="2204">
        <v>14.68</v>
      </c>
      <c r="AY702" s="2204">
        <v>14.93</v>
      </c>
      <c r="AZ702" s="2204">
        <v>14.93</v>
      </c>
      <c r="BA702" s="2123">
        <v>6.7</v>
      </c>
      <c r="BB702" s="2123">
        <v>6.7</v>
      </c>
      <c r="BC702" s="2123">
        <v>1.19</v>
      </c>
      <c r="BD702" s="2123">
        <v>1.19</v>
      </c>
      <c r="BE702" s="2123">
        <v>3.65</v>
      </c>
      <c r="BF702" s="2123">
        <v>3.65</v>
      </c>
      <c r="BG702" s="2123">
        <v>1.24</v>
      </c>
      <c r="BH702" s="2123">
        <v>1.24</v>
      </c>
      <c r="BI702" s="2123">
        <v>1.1100000000000001</v>
      </c>
      <c r="BJ702" s="2123">
        <v>1.1100000000000001</v>
      </c>
      <c r="BK702" s="2123">
        <v>1.1100000000000001</v>
      </c>
      <c r="BL702" s="2123">
        <v>1.1100000000000001</v>
      </c>
      <c r="BM702" s="2123">
        <v>7.17</v>
      </c>
      <c r="BN702" s="2123">
        <v>7.17</v>
      </c>
      <c r="BO702" s="2123">
        <v>18.28</v>
      </c>
      <c r="BP702" s="2123">
        <v>18.28</v>
      </c>
      <c r="BQ702" s="2123">
        <v>18.28</v>
      </c>
      <c r="BR702" s="2123">
        <v>18.28</v>
      </c>
      <c r="BS702" s="2123">
        <v>14.37</v>
      </c>
      <c r="BT702" s="2123">
        <v>14.37</v>
      </c>
      <c r="BU702" s="2123">
        <v>14.37</v>
      </c>
      <c r="BV702" s="2123">
        <v>14.37</v>
      </c>
      <c r="BW702" s="2123">
        <v>14.37</v>
      </c>
      <c r="BX702" s="2123">
        <v>14.37</v>
      </c>
      <c r="BY702" s="2123">
        <v>6.54</v>
      </c>
      <c r="BZ702" s="2123">
        <v>6.54</v>
      </c>
      <c r="CA702" s="2123">
        <v>16.64</v>
      </c>
      <c r="CB702" s="2123">
        <v>16.64</v>
      </c>
      <c r="CC702" s="2123">
        <v>14.76</v>
      </c>
      <c r="CD702" s="2123">
        <v>14.76</v>
      </c>
      <c r="CE702" s="2123">
        <v>13.48</v>
      </c>
      <c r="CF702" s="2123">
        <v>13.48</v>
      </c>
      <c r="CG702" s="2123"/>
      <c r="CH702" s="2123"/>
      <c r="CI702" s="2123"/>
      <c r="CJ702" s="2123"/>
      <c r="CK702" s="2123">
        <v>30.06</v>
      </c>
      <c r="CL702" s="2123">
        <v>30.06</v>
      </c>
      <c r="CM702" s="2123">
        <v>55.41</v>
      </c>
      <c r="CN702" s="2123">
        <v>55.41</v>
      </c>
      <c r="CO702" s="2123">
        <v>43.54</v>
      </c>
      <c r="CP702" s="2123">
        <v>43.54</v>
      </c>
      <c r="CQ702" s="2123">
        <v>43.54</v>
      </c>
      <c r="CR702" s="2123">
        <v>43.54</v>
      </c>
      <c r="CS702" s="2123"/>
      <c r="CT702" s="2123"/>
      <c r="CU702" s="2123"/>
      <c r="CV702" s="2123"/>
      <c r="CW702" s="2123">
        <v>14.8</v>
      </c>
      <c r="CX702" s="2123">
        <v>14.8</v>
      </c>
      <c r="CY702" s="2123">
        <v>48.91</v>
      </c>
      <c r="CZ702" s="2123">
        <v>48.91</v>
      </c>
      <c r="DA702" s="2123">
        <v>48.91</v>
      </c>
      <c r="DB702" s="2123">
        <v>48.91</v>
      </c>
      <c r="DC702" s="2123">
        <v>38</v>
      </c>
      <c r="DD702" s="2123">
        <v>38</v>
      </c>
      <c r="DE702" s="2123">
        <v>38</v>
      </c>
      <c r="DF702" s="2123">
        <v>38</v>
      </c>
      <c r="DG702" s="2123"/>
      <c r="DH702" s="2123"/>
      <c r="DI702" s="2123">
        <v>4.08</v>
      </c>
      <c r="DJ702" s="2123">
        <v>4.08</v>
      </c>
      <c r="DK702" s="2123">
        <v>4.08</v>
      </c>
      <c r="DL702" s="2123">
        <v>4.08</v>
      </c>
      <c r="DM702" s="2123">
        <v>4.08</v>
      </c>
      <c r="DN702" s="2123">
        <v>4.08</v>
      </c>
      <c r="DO702" s="2123"/>
      <c r="DP702" s="2123"/>
      <c r="DQ702" s="2123"/>
      <c r="DR702" s="2123"/>
      <c r="DS702" s="2123"/>
      <c r="DT702" s="2123"/>
      <c r="DU702" s="2123">
        <v>1.96</v>
      </c>
      <c r="DV702" s="2123">
        <v>1.96</v>
      </c>
      <c r="DW702" s="2123">
        <v>1.0900000000000001</v>
      </c>
      <c r="DX702" s="2123">
        <v>1.0900000000000001</v>
      </c>
      <c r="DY702" s="2123">
        <v>1.0900000000000001</v>
      </c>
      <c r="DZ702" s="2123">
        <v>1.0900000000000001</v>
      </c>
      <c r="EA702" s="2123"/>
      <c r="EB702" s="2123"/>
      <c r="EC702" s="2123"/>
      <c r="ED702" s="2123"/>
      <c r="EE702" s="2123"/>
      <c r="EF702" s="2123"/>
      <c r="EG702" s="2123">
        <v>2.63</v>
      </c>
      <c r="EH702" s="2123">
        <v>3.3</v>
      </c>
      <c r="EI702" s="2123">
        <v>0.87</v>
      </c>
      <c r="EJ702" s="2123">
        <v>0.87</v>
      </c>
      <c r="EK702" s="2123">
        <v>0.85</v>
      </c>
      <c r="EL702" s="2123">
        <v>0.85</v>
      </c>
      <c r="EM702" s="2123">
        <v>1.1299999999999999</v>
      </c>
      <c r="EN702" s="2123">
        <v>1.1299999999999999</v>
      </c>
      <c r="EO702" s="2123">
        <v>0.98</v>
      </c>
      <c r="EP702" s="2123">
        <v>0.98</v>
      </c>
      <c r="EQ702" s="2123">
        <v>1</v>
      </c>
      <c r="ER702" s="2123">
        <v>1.1000000000000001</v>
      </c>
      <c r="ES702" s="2123">
        <v>9.15</v>
      </c>
      <c r="ET702" s="2123">
        <v>9.15</v>
      </c>
      <c r="EU702" s="2123">
        <v>20.239999999999998</v>
      </c>
      <c r="EV702" s="2123">
        <v>20.239999999999998</v>
      </c>
      <c r="EW702" s="2123">
        <v>18.89</v>
      </c>
      <c r="EX702" s="2123">
        <v>18.89</v>
      </c>
      <c r="EY702" s="2129">
        <f t="shared" si="55"/>
        <v>19.564999999999998</v>
      </c>
      <c r="EZ702" s="2129">
        <f t="shared" si="55"/>
        <v>19.564999999999998</v>
      </c>
      <c r="FA702" s="2123">
        <v>21.81</v>
      </c>
      <c r="FB702" s="2123">
        <v>21.81</v>
      </c>
      <c r="FC702" s="2123"/>
      <c r="FD702" s="2123"/>
      <c r="FE702" s="2123">
        <v>7.51</v>
      </c>
      <c r="FF702" s="2123">
        <v>7.51</v>
      </c>
      <c r="FG702" s="2123">
        <v>15.25</v>
      </c>
      <c r="FH702" s="2123">
        <v>15.25</v>
      </c>
      <c r="FI702" s="2123">
        <v>15.25</v>
      </c>
      <c r="FJ702" s="2123">
        <v>15.25</v>
      </c>
      <c r="FK702" s="2123">
        <v>14.56</v>
      </c>
      <c r="FL702" s="2123">
        <v>14.56</v>
      </c>
      <c r="FM702" s="2123">
        <v>15.42</v>
      </c>
      <c r="FN702" s="2123">
        <v>15.42</v>
      </c>
      <c r="FO702" s="2123"/>
      <c r="FP702" s="2123"/>
      <c r="FQ702" s="2123">
        <v>14.48</v>
      </c>
      <c r="FR702" s="2123">
        <v>14.48</v>
      </c>
      <c r="FS702" s="2123">
        <v>23.67</v>
      </c>
      <c r="FT702" s="2123">
        <v>23.67</v>
      </c>
      <c r="FU702" s="2123">
        <v>23.67</v>
      </c>
      <c r="FV702" s="2123">
        <v>23.67</v>
      </c>
      <c r="FW702" s="2123">
        <v>24.53</v>
      </c>
      <c r="FX702" s="2123">
        <v>24.53</v>
      </c>
      <c r="FY702" s="2123"/>
      <c r="FZ702" s="2123"/>
      <c r="GA702" s="2123"/>
      <c r="GB702" s="2123"/>
      <c r="GC702" s="2123">
        <v>10.07</v>
      </c>
      <c r="GD702" s="2123">
        <v>10.07</v>
      </c>
      <c r="GE702" s="2123">
        <v>31.77</v>
      </c>
      <c r="GF702" s="2123">
        <v>31.77</v>
      </c>
      <c r="GG702" s="2123">
        <v>31.77</v>
      </c>
      <c r="GH702" s="2123">
        <v>31.77</v>
      </c>
      <c r="GI702" s="2123">
        <v>4.97</v>
      </c>
      <c r="GJ702" s="2123">
        <v>4.97</v>
      </c>
      <c r="GK702" s="2123">
        <v>15.36</v>
      </c>
      <c r="GL702" s="2123">
        <v>15.36</v>
      </c>
      <c r="GM702" s="2123"/>
      <c r="GN702" s="2123"/>
      <c r="GO702" s="2123">
        <v>6.04</v>
      </c>
      <c r="GP702" s="2123">
        <v>6.04</v>
      </c>
      <c r="GQ702" s="2123">
        <v>2.15</v>
      </c>
      <c r="GR702" s="2123">
        <v>2.15</v>
      </c>
      <c r="GS702" s="2123">
        <v>2.15</v>
      </c>
      <c r="GT702" s="2123">
        <v>2</v>
      </c>
      <c r="GU702" s="2123">
        <v>2</v>
      </c>
      <c r="GV702" s="2123">
        <v>2</v>
      </c>
      <c r="GW702" s="2123">
        <v>12.22</v>
      </c>
      <c r="GX702" s="2123">
        <v>12.22</v>
      </c>
      <c r="GY702" s="2123"/>
      <c r="GZ702" s="2123"/>
      <c r="HA702" s="2123">
        <v>3.86</v>
      </c>
      <c r="HB702" s="2123">
        <v>3.86</v>
      </c>
      <c r="HC702" s="2123">
        <v>0.79</v>
      </c>
      <c r="HD702" s="2123">
        <v>0.79</v>
      </c>
      <c r="HE702" s="2123">
        <v>1.08</v>
      </c>
      <c r="HF702" s="2123">
        <v>1.08</v>
      </c>
      <c r="HG702" s="2123">
        <v>1.08</v>
      </c>
      <c r="HH702" s="2123">
        <v>1.08</v>
      </c>
      <c r="HI702" s="2123">
        <v>1.08</v>
      </c>
      <c r="HJ702" s="2123">
        <v>1.08</v>
      </c>
      <c r="HK702" s="2123">
        <v>1.01</v>
      </c>
      <c r="HL702" s="2123">
        <v>1.01</v>
      </c>
      <c r="HM702" s="2123">
        <v>5.31</v>
      </c>
      <c r="HN702" s="2123">
        <v>5.31</v>
      </c>
      <c r="HO702" s="2123">
        <v>1.07</v>
      </c>
      <c r="HP702" s="2123">
        <v>1.07</v>
      </c>
      <c r="HQ702" s="2123">
        <v>1.53</v>
      </c>
      <c r="HR702" s="2123">
        <v>1.53</v>
      </c>
      <c r="HS702" s="2123">
        <v>1.53</v>
      </c>
      <c r="HT702" s="2123">
        <v>1.53</v>
      </c>
      <c r="HU702" s="2123">
        <v>1.53</v>
      </c>
      <c r="HV702" s="2123">
        <v>1.53</v>
      </c>
      <c r="HW702" s="2123">
        <v>1.39</v>
      </c>
      <c r="HX702" s="2123">
        <v>1.39</v>
      </c>
    </row>
    <row r="703" spans="2:232" s="2040" customFormat="1" ht="14" hidden="1" x14ac:dyDescent="0.3">
      <c r="B703" s="2203">
        <v>9</v>
      </c>
      <c r="C703" s="2204">
        <v>7.77</v>
      </c>
      <c r="D703" s="2204">
        <v>7.77</v>
      </c>
      <c r="E703" s="2204">
        <v>10.34</v>
      </c>
      <c r="F703" s="2204">
        <v>10.34</v>
      </c>
      <c r="G703" s="2204">
        <v>22.21</v>
      </c>
      <c r="H703" s="2204">
        <v>22.21</v>
      </c>
      <c r="I703" s="2204">
        <v>16.11</v>
      </c>
      <c r="J703" s="2204">
        <v>16.11</v>
      </c>
      <c r="K703" s="2204">
        <v>26.76</v>
      </c>
      <c r="L703" s="2204">
        <v>26.76</v>
      </c>
      <c r="M703" s="2204"/>
      <c r="N703" s="2204"/>
      <c r="O703" s="2204">
        <v>23.68</v>
      </c>
      <c r="P703" s="2204">
        <v>23.68</v>
      </c>
      <c r="Q703" s="2204">
        <v>28.36</v>
      </c>
      <c r="R703" s="2204">
        <v>23.69</v>
      </c>
      <c r="S703" s="2204">
        <v>19.670000000000002</v>
      </c>
      <c r="T703" s="2204">
        <v>19.670000000000002</v>
      </c>
      <c r="U703" s="2204">
        <v>18.98</v>
      </c>
      <c r="V703" s="2204">
        <v>18.98</v>
      </c>
      <c r="W703" s="2204">
        <v>19.670000000000002</v>
      </c>
      <c r="X703" s="2204">
        <v>19.670000000000002</v>
      </c>
      <c r="Y703" s="2204">
        <v>18.98</v>
      </c>
      <c r="Z703" s="2204">
        <v>19.670000000000002</v>
      </c>
      <c r="AA703" s="2204">
        <v>19.670000000000002</v>
      </c>
      <c r="AB703" s="2204">
        <v>19.670000000000002</v>
      </c>
      <c r="AC703" s="2204">
        <v>18.98</v>
      </c>
      <c r="AD703" s="2204">
        <v>18.98</v>
      </c>
      <c r="AE703" s="2204">
        <v>28.09</v>
      </c>
      <c r="AF703" s="2204">
        <v>27.32</v>
      </c>
      <c r="AG703" s="2204">
        <v>28.09</v>
      </c>
      <c r="AH703" s="2204">
        <v>28.09</v>
      </c>
      <c r="AI703" s="2204">
        <v>27.32</v>
      </c>
      <c r="AJ703" s="2204">
        <v>27.32</v>
      </c>
      <c r="AK703" s="2204">
        <v>30.88</v>
      </c>
      <c r="AL703" s="2204">
        <v>30.88</v>
      </c>
      <c r="AM703" s="2204">
        <v>12.7</v>
      </c>
      <c r="AN703" s="2204">
        <v>12.19</v>
      </c>
      <c r="AO703" s="2204">
        <v>12.19</v>
      </c>
      <c r="AP703" s="2204">
        <v>12.19</v>
      </c>
      <c r="AQ703" s="2204">
        <v>16.41</v>
      </c>
      <c r="AR703" s="2204">
        <v>16.41</v>
      </c>
      <c r="AS703" s="2204">
        <v>22.67</v>
      </c>
      <c r="AT703" s="2204">
        <v>22.67</v>
      </c>
      <c r="AU703" s="2204">
        <v>22.67</v>
      </c>
      <c r="AV703" s="2204">
        <v>24.1</v>
      </c>
      <c r="AW703" s="2204">
        <v>20.51</v>
      </c>
      <c r="AX703" s="2204">
        <v>20.51</v>
      </c>
      <c r="AY703" s="2204">
        <v>20.78</v>
      </c>
      <c r="AZ703" s="2204">
        <v>20.78</v>
      </c>
      <c r="BA703" s="2123">
        <v>9.1</v>
      </c>
      <c r="BB703" s="2123">
        <v>9.1</v>
      </c>
      <c r="BC703" s="2123">
        <v>1.6</v>
      </c>
      <c r="BD703" s="2123">
        <v>1.6</v>
      </c>
      <c r="BE703" s="2123">
        <v>4.67</v>
      </c>
      <c r="BF703" s="2123">
        <v>4.67</v>
      </c>
      <c r="BG703" s="2123">
        <v>1.65</v>
      </c>
      <c r="BH703" s="2123">
        <v>1.65</v>
      </c>
      <c r="BI703" s="2123">
        <v>1.5</v>
      </c>
      <c r="BJ703" s="2123">
        <v>1.5</v>
      </c>
      <c r="BK703" s="2123">
        <v>1.5</v>
      </c>
      <c r="BL703" s="2123">
        <v>1.5</v>
      </c>
      <c r="BM703" s="2123">
        <v>9.35</v>
      </c>
      <c r="BN703" s="2123">
        <v>9.35</v>
      </c>
      <c r="BO703" s="2123">
        <v>23.95</v>
      </c>
      <c r="BP703" s="2123">
        <v>23.95</v>
      </c>
      <c r="BQ703" s="2123">
        <v>23.95</v>
      </c>
      <c r="BR703" s="2123">
        <v>23.95</v>
      </c>
      <c r="BS703" s="2123">
        <v>19.62</v>
      </c>
      <c r="BT703" s="2123">
        <v>19.62</v>
      </c>
      <c r="BU703" s="2123">
        <v>19.62</v>
      </c>
      <c r="BV703" s="2123">
        <v>19.62</v>
      </c>
      <c r="BW703" s="2123">
        <v>19.62</v>
      </c>
      <c r="BX703" s="2123">
        <v>19.62</v>
      </c>
      <c r="BY703" s="2123">
        <v>8.52</v>
      </c>
      <c r="BZ703" s="2123">
        <v>8.52</v>
      </c>
      <c r="CA703" s="2123">
        <v>21.88</v>
      </c>
      <c r="CB703" s="2123">
        <v>21.88</v>
      </c>
      <c r="CC703" s="2123">
        <v>19.84</v>
      </c>
      <c r="CD703" s="2123">
        <v>19.84</v>
      </c>
      <c r="CE703" s="2123">
        <v>18.47</v>
      </c>
      <c r="CF703" s="2123">
        <v>18.47</v>
      </c>
      <c r="CG703" s="2123"/>
      <c r="CH703" s="2123"/>
      <c r="CI703" s="2123"/>
      <c r="CJ703" s="2123"/>
      <c r="CK703" s="2123">
        <v>34.56</v>
      </c>
      <c r="CL703" s="2123">
        <v>34.56</v>
      </c>
      <c r="CM703" s="2123">
        <v>65.94</v>
      </c>
      <c r="CN703" s="2123">
        <v>65.94</v>
      </c>
      <c r="CO703" s="2123">
        <v>55.67</v>
      </c>
      <c r="CP703" s="2123">
        <v>55.67</v>
      </c>
      <c r="CQ703" s="2123">
        <v>55.67</v>
      </c>
      <c r="CR703" s="2123">
        <v>55.67</v>
      </c>
      <c r="CS703" s="2123"/>
      <c r="CT703" s="2123"/>
      <c r="CU703" s="2123"/>
      <c r="CV703" s="2123"/>
      <c r="CW703" s="2123">
        <v>19.41</v>
      </c>
      <c r="CX703" s="2123">
        <v>19.41</v>
      </c>
      <c r="CY703" s="2123">
        <v>58.91</v>
      </c>
      <c r="CZ703" s="2123">
        <v>58.91</v>
      </c>
      <c r="DA703" s="2123">
        <v>58.91</v>
      </c>
      <c r="DB703" s="2123">
        <v>58.91</v>
      </c>
      <c r="DC703" s="2123">
        <v>49.36</v>
      </c>
      <c r="DD703" s="2123">
        <v>49.36</v>
      </c>
      <c r="DE703" s="2123">
        <v>49.36</v>
      </c>
      <c r="DF703" s="2123">
        <v>49.36</v>
      </c>
      <c r="DG703" s="2123"/>
      <c r="DH703" s="2123"/>
      <c r="DI703" s="2123">
        <v>5.29</v>
      </c>
      <c r="DJ703" s="2123">
        <v>5.29</v>
      </c>
      <c r="DK703" s="2123">
        <v>5.29</v>
      </c>
      <c r="DL703" s="2123">
        <v>5.29</v>
      </c>
      <c r="DM703" s="2123">
        <v>5.29</v>
      </c>
      <c r="DN703" s="2123">
        <v>5.29</v>
      </c>
      <c r="DO703" s="2123"/>
      <c r="DP703" s="2123"/>
      <c r="DQ703" s="2123"/>
      <c r="DR703" s="2123"/>
      <c r="DS703" s="2123"/>
      <c r="DT703" s="2123"/>
      <c r="DU703" s="2123">
        <v>2.5</v>
      </c>
      <c r="DV703" s="2123">
        <v>2.5</v>
      </c>
      <c r="DW703" s="2123">
        <v>1.43</v>
      </c>
      <c r="DX703" s="2123">
        <v>1.43</v>
      </c>
      <c r="DY703" s="2123">
        <v>1.43</v>
      </c>
      <c r="DZ703" s="2123">
        <v>1.43</v>
      </c>
      <c r="EA703" s="2123"/>
      <c r="EB703" s="2123"/>
      <c r="EC703" s="2123"/>
      <c r="ED703" s="2123"/>
      <c r="EE703" s="2123"/>
      <c r="EF703" s="2123"/>
      <c r="EG703" s="2123">
        <v>3.14</v>
      </c>
      <c r="EH703" s="2123">
        <v>3.8</v>
      </c>
      <c r="EI703" s="2123">
        <v>1.04</v>
      </c>
      <c r="EJ703" s="2123">
        <v>1.04</v>
      </c>
      <c r="EK703" s="2123">
        <v>1.01</v>
      </c>
      <c r="EL703" s="2123">
        <v>1.01</v>
      </c>
      <c r="EM703" s="2123">
        <v>1.35</v>
      </c>
      <c r="EN703" s="2123">
        <v>1.35</v>
      </c>
      <c r="EO703" s="2123">
        <v>1.17</v>
      </c>
      <c r="EP703" s="2123">
        <v>1.17</v>
      </c>
      <c r="EQ703" s="2123">
        <v>1.2</v>
      </c>
      <c r="ER703" s="2123">
        <v>1.31</v>
      </c>
      <c r="ES703" s="2123">
        <v>10.59</v>
      </c>
      <c r="ET703" s="2123">
        <v>10.59</v>
      </c>
      <c r="EU703" s="2123">
        <v>23.96</v>
      </c>
      <c r="EV703" s="2123">
        <v>23.96</v>
      </c>
      <c r="EW703" s="2123">
        <v>22.44</v>
      </c>
      <c r="EX703" s="2123">
        <v>22.44</v>
      </c>
      <c r="EY703" s="2129">
        <f t="shared" si="55"/>
        <v>23.200000000000003</v>
      </c>
      <c r="EZ703" s="2129">
        <f t="shared" si="55"/>
        <v>23.200000000000003</v>
      </c>
      <c r="FA703" s="2123">
        <v>25.77</v>
      </c>
      <c r="FB703" s="2123">
        <v>25.77</v>
      </c>
      <c r="FC703" s="2123"/>
      <c r="FD703" s="2123"/>
      <c r="FE703" s="2123">
        <v>8.86</v>
      </c>
      <c r="FF703" s="2123">
        <v>8.86</v>
      </c>
      <c r="FG703" s="2123">
        <v>18.52</v>
      </c>
      <c r="FH703" s="2123">
        <v>18.52</v>
      </c>
      <c r="FI703" s="2123">
        <v>18.52</v>
      </c>
      <c r="FJ703" s="2123">
        <v>18.52</v>
      </c>
      <c r="FK703" s="2123">
        <v>17.73</v>
      </c>
      <c r="FL703" s="2123">
        <v>17.73</v>
      </c>
      <c r="FM703" s="2123">
        <v>18.739999999999998</v>
      </c>
      <c r="FN703" s="2123">
        <v>18.739999999999998</v>
      </c>
      <c r="FO703" s="2123"/>
      <c r="FP703" s="2123"/>
      <c r="FQ703" s="2123">
        <v>18.54</v>
      </c>
      <c r="FR703" s="2123">
        <v>18.54</v>
      </c>
      <c r="FS703" s="2123">
        <v>30.34</v>
      </c>
      <c r="FT703" s="2123">
        <v>30.34</v>
      </c>
      <c r="FU703" s="2123">
        <v>30.34</v>
      </c>
      <c r="FV703" s="2123">
        <v>30.34</v>
      </c>
      <c r="FW703" s="2123">
        <v>31.4</v>
      </c>
      <c r="FX703" s="2123">
        <v>31.4</v>
      </c>
      <c r="FY703" s="2123"/>
      <c r="FZ703" s="2123"/>
      <c r="GA703" s="2123"/>
      <c r="GB703" s="2123"/>
      <c r="GC703" s="2123">
        <v>13.23</v>
      </c>
      <c r="GD703" s="2123">
        <v>13.23</v>
      </c>
      <c r="GE703" s="2123">
        <v>38.96</v>
      </c>
      <c r="GF703" s="2123">
        <v>38.96</v>
      </c>
      <c r="GG703" s="2123">
        <v>38.96</v>
      </c>
      <c r="GH703" s="2123">
        <v>38.96</v>
      </c>
      <c r="GI703" s="2123">
        <v>7.29</v>
      </c>
      <c r="GJ703" s="2123">
        <v>7.29</v>
      </c>
      <c r="GK703" s="2123">
        <v>20.91</v>
      </c>
      <c r="GL703" s="2123">
        <v>20.91</v>
      </c>
      <c r="GM703" s="2123"/>
      <c r="GN703" s="2123"/>
      <c r="GO703" s="2123">
        <v>7.74</v>
      </c>
      <c r="GP703" s="2123">
        <v>7.74</v>
      </c>
      <c r="GQ703" s="2123">
        <v>2.88</v>
      </c>
      <c r="GR703" s="2123">
        <v>2.88</v>
      </c>
      <c r="GS703" s="2123">
        <v>2.88</v>
      </c>
      <c r="GT703" s="2123">
        <v>2.69</v>
      </c>
      <c r="GU703" s="2123">
        <v>2.69</v>
      </c>
      <c r="GV703" s="2123">
        <v>2.69</v>
      </c>
      <c r="GW703" s="2123">
        <v>16.77</v>
      </c>
      <c r="GX703" s="2123">
        <v>16.77</v>
      </c>
      <c r="GY703" s="2123"/>
      <c r="GZ703" s="2123"/>
      <c r="HA703" s="2123">
        <v>4.99</v>
      </c>
      <c r="HB703" s="2123">
        <v>4.99</v>
      </c>
      <c r="HC703" s="2123">
        <v>1.04</v>
      </c>
      <c r="HD703" s="2123">
        <v>1.04</v>
      </c>
      <c r="HE703" s="2123">
        <v>1.43</v>
      </c>
      <c r="HF703" s="2123">
        <v>1.43</v>
      </c>
      <c r="HG703" s="2123">
        <v>1.43</v>
      </c>
      <c r="HH703" s="2123">
        <v>1.43</v>
      </c>
      <c r="HI703" s="2123">
        <v>1.43</v>
      </c>
      <c r="HJ703" s="2123">
        <v>1.43</v>
      </c>
      <c r="HK703" s="2123">
        <v>1.34</v>
      </c>
      <c r="HL703" s="2123">
        <v>1.34</v>
      </c>
      <c r="HM703" s="2123">
        <v>6.9</v>
      </c>
      <c r="HN703" s="2123">
        <v>6.9</v>
      </c>
      <c r="HO703" s="2123">
        <v>1.45</v>
      </c>
      <c r="HP703" s="2123">
        <v>1.45</v>
      </c>
      <c r="HQ703" s="2123">
        <v>2.06</v>
      </c>
      <c r="HR703" s="2123">
        <v>2.06</v>
      </c>
      <c r="HS703" s="2123">
        <v>2.06</v>
      </c>
      <c r="HT703" s="2123">
        <v>2.06</v>
      </c>
      <c r="HU703" s="2123">
        <v>2.06</v>
      </c>
      <c r="HV703" s="2123">
        <v>2.06</v>
      </c>
      <c r="HW703" s="2123">
        <v>1.89</v>
      </c>
      <c r="HX703" s="2123">
        <v>1.89</v>
      </c>
    </row>
    <row r="704" spans="2:232" s="2040" customFormat="1" ht="14" hidden="1" x14ac:dyDescent="0.3">
      <c r="B704" s="2203">
        <v>10</v>
      </c>
      <c r="C704" s="2204">
        <v>9.5500000000000007</v>
      </c>
      <c r="D704" s="2204">
        <v>9.5500000000000007</v>
      </c>
      <c r="E704" s="2204">
        <v>12.03</v>
      </c>
      <c r="F704" s="2204">
        <v>12.03</v>
      </c>
      <c r="G704" s="2204">
        <v>28.02</v>
      </c>
      <c r="H704" s="2204">
        <v>28.02</v>
      </c>
      <c r="I704" s="2204">
        <v>21.77</v>
      </c>
      <c r="J704" s="2204">
        <v>21.77</v>
      </c>
      <c r="K704" s="2204">
        <v>33.58</v>
      </c>
      <c r="L704" s="2204">
        <v>33.58</v>
      </c>
      <c r="M704" s="2204"/>
      <c r="N704" s="2204"/>
      <c r="O704" s="2204">
        <v>29.26</v>
      </c>
      <c r="P704" s="2204">
        <v>29.26</v>
      </c>
      <c r="Q704" s="2204">
        <v>33.770000000000003</v>
      </c>
      <c r="R704" s="2204">
        <v>29.27</v>
      </c>
      <c r="S704" s="2204">
        <v>26.12</v>
      </c>
      <c r="T704" s="2204">
        <v>26.12</v>
      </c>
      <c r="U704" s="2204">
        <v>25.2</v>
      </c>
      <c r="V704" s="2204">
        <v>25.2</v>
      </c>
      <c r="W704" s="2204">
        <v>26.12</v>
      </c>
      <c r="X704" s="2204">
        <v>26.12</v>
      </c>
      <c r="Y704" s="2204">
        <v>25.2</v>
      </c>
      <c r="Z704" s="2204">
        <v>26.12</v>
      </c>
      <c r="AA704" s="2204">
        <v>26.12</v>
      </c>
      <c r="AB704" s="2204">
        <v>26.12</v>
      </c>
      <c r="AC704" s="2204">
        <v>25.2</v>
      </c>
      <c r="AD704" s="2204">
        <v>25.2</v>
      </c>
      <c r="AE704" s="2204">
        <v>36.81</v>
      </c>
      <c r="AF704" s="2204">
        <v>35.79</v>
      </c>
      <c r="AG704" s="2204">
        <v>36.81</v>
      </c>
      <c r="AH704" s="2204">
        <v>36.81</v>
      </c>
      <c r="AI704" s="2204">
        <v>35.79</v>
      </c>
      <c r="AJ704" s="2204">
        <v>35.79</v>
      </c>
      <c r="AK704" s="2204">
        <v>39.72</v>
      </c>
      <c r="AL704" s="2204">
        <v>39.72</v>
      </c>
      <c r="AM704" s="2204">
        <v>15.65</v>
      </c>
      <c r="AN704" s="2204">
        <v>15.03</v>
      </c>
      <c r="AO704" s="2204">
        <v>15.03</v>
      </c>
      <c r="AP704" s="2204">
        <v>15.03</v>
      </c>
      <c r="AQ704" s="2204">
        <v>19.11</v>
      </c>
      <c r="AR704" s="2204">
        <v>19.11</v>
      </c>
      <c r="AS704" s="2204">
        <v>29.34</v>
      </c>
      <c r="AT704" s="2204">
        <v>29.34</v>
      </c>
      <c r="AU704" s="2204">
        <v>29.34</v>
      </c>
      <c r="AV704" s="2204">
        <v>31.06</v>
      </c>
      <c r="AW704" s="2204">
        <v>27.12</v>
      </c>
      <c r="AX704" s="2204">
        <v>27.12</v>
      </c>
      <c r="AY704" s="2204">
        <v>27.41</v>
      </c>
      <c r="AZ704" s="2204">
        <v>27.41</v>
      </c>
      <c r="BA704" s="2123">
        <v>11.82</v>
      </c>
      <c r="BB704" s="2123">
        <v>11.82</v>
      </c>
      <c r="BC704" s="2123">
        <v>2.09</v>
      </c>
      <c r="BD704" s="2123">
        <v>2.09</v>
      </c>
      <c r="BE704" s="2123">
        <v>5.67</v>
      </c>
      <c r="BF704" s="2123">
        <v>5.67</v>
      </c>
      <c r="BG704" s="2123">
        <v>2.14</v>
      </c>
      <c r="BH704" s="2123">
        <v>2.14</v>
      </c>
      <c r="BI704" s="2123">
        <v>1.97</v>
      </c>
      <c r="BJ704" s="2123">
        <v>1.97</v>
      </c>
      <c r="BK704" s="2123">
        <v>1.97</v>
      </c>
      <c r="BL704" s="2123">
        <v>1.97</v>
      </c>
      <c r="BM704" s="2123">
        <v>11.51</v>
      </c>
      <c r="BN704" s="2123">
        <v>11.51</v>
      </c>
      <c r="BO704" s="2123">
        <v>29.99</v>
      </c>
      <c r="BP704" s="2123">
        <v>29.99</v>
      </c>
      <c r="BQ704" s="2123">
        <v>29.99</v>
      </c>
      <c r="BR704" s="2123">
        <v>29.99</v>
      </c>
      <c r="BS704" s="2123">
        <v>25.56</v>
      </c>
      <c r="BT704" s="2123">
        <v>25.56</v>
      </c>
      <c r="BU704" s="2123">
        <v>25.56</v>
      </c>
      <c r="BV704" s="2123">
        <v>25.56</v>
      </c>
      <c r="BW704" s="2123">
        <v>25.56</v>
      </c>
      <c r="BX704" s="2123">
        <v>25.56</v>
      </c>
      <c r="BY704" s="2123">
        <v>10.47</v>
      </c>
      <c r="BZ704" s="2123">
        <v>10.47</v>
      </c>
      <c r="CA704" s="2123">
        <v>27.6</v>
      </c>
      <c r="CB704" s="2123">
        <v>27.6</v>
      </c>
      <c r="CC704" s="2123">
        <v>25.48</v>
      </c>
      <c r="CD704" s="2123">
        <v>25.48</v>
      </c>
      <c r="CE704" s="2123">
        <v>24.14</v>
      </c>
      <c r="CF704" s="2123">
        <v>24.14</v>
      </c>
      <c r="CG704" s="2123"/>
      <c r="CH704" s="2123"/>
      <c r="CI704" s="2123"/>
      <c r="CJ704" s="2123"/>
      <c r="CK704" s="2123">
        <v>38.840000000000003</v>
      </c>
      <c r="CL704" s="2123">
        <v>38.840000000000003</v>
      </c>
      <c r="CM704" s="2123">
        <v>75.930000000000007</v>
      </c>
      <c r="CN704" s="2123">
        <v>75.930000000000007</v>
      </c>
      <c r="CO704" s="2123">
        <v>67.599999999999994</v>
      </c>
      <c r="CP704" s="2123">
        <v>67.599999999999994</v>
      </c>
      <c r="CQ704" s="2123">
        <v>67.599999999999994</v>
      </c>
      <c r="CR704" s="2123">
        <v>67.599999999999994</v>
      </c>
      <c r="CS704" s="2123"/>
      <c r="CT704" s="2123"/>
      <c r="CU704" s="2123"/>
      <c r="CV704" s="2123"/>
      <c r="CW704" s="2123">
        <v>23.96</v>
      </c>
      <c r="CX704" s="2123">
        <v>23.96</v>
      </c>
      <c r="CY704" s="2123">
        <v>68.45</v>
      </c>
      <c r="CZ704" s="2123">
        <v>68.45</v>
      </c>
      <c r="DA704" s="2123">
        <v>68.45</v>
      </c>
      <c r="DB704" s="2123">
        <v>68.45</v>
      </c>
      <c r="DC704" s="2123">
        <v>60.65</v>
      </c>
      <c r="DD704" s="2123">
        <v>60.65</v>
      </c>
      <c r="DE704" s="2123">
        <v>60.65</v>
      </c>
      <c r="DF704" s="2123">
        <v>60.65</v>
      </c>
      <c r="DG704" s="2123"/>
      <c r="DH704" s="2123"/>
      <c r="DI704" s="2123">
        <v>6.48</v>
      </c>
      <c r="DJ704" s="2123">
        <v>6.48</v>
      </c>
      <c r="DK704" s="2123">
        <v>6.48</v>
      </c>
      <c r="DL704" s="2123">
        <v>6.48</v>
      </c>
      <c r="DM704" s="2123">
        <v>6.48</v>
      </c>
      <c r="DN704" s="2123">
        <v>6.48</v>
      </c>
      <c r="DO704" s="2123"/>
      <c r="DP704" s="2123"/>
      <c r="DQ704" s="2123"/>
      <c r="DR704" s="2123"/>
      <c r="DS704" s="2123"/>
      <c r="DT704" s="2123"/>
      <c r="DU704" s="2123">
        <v>3.02</v>
      </c>
      <c r="DV704" s="2123">
        <v>3.02</v>
      </c>
      <c r="DW704" s="2123">
        <v>1.81</v>
      </c>
      <c r="DX704" s="2123">
        <v>1.81</v>
      </c>
      <c r="DY704" s="2123">
        <v>1.81</v>
      </c>
      <c r="DZ704" s="2123">
        <v>1.81</v>
      </c>
      <c r="EA704" s="2123"/>
      <c r="EB704" s="2123"/>
      <c r="EC704" s="2123"/>
      <c r="ED704" s="2123"/>
      <c r="EE704" s="2123"/>
      <c r="EF704" s="2123"/>
      <c r="EG704" s="2123">
        <v>3.61</v>
      </c>
      <c r="EH704" s="2123">
        <v>4.26</v>
      </c>
      <c r="EI704" s="2123">
        <v>1.23</v>
      </c>
      <c r="EJ704" s="2123">
        <v>1.23</v>
      </c>
      <c r="EK704" s="2123">
        <v>1.2</v>
      </c>
      <c r="EL704" s="2123">
        <v>1.2</v>
      </c>
      <c r="EM704" s="2123">
        <v>1.59</v>
      </c>
      <c r="EN704" s="2123">
        <v>1.59</v>
      </c>
      <c r="EO704" s="2123">
        <v>1.38</v>
      </c>
      <c r="EP704" s="2123">
        <v>1.38</v>
      </c>
      <c r="EQ704" s="2123">
        <v>1.41</v>
      </c>
      <c r="ER704" s="2123">
        <v>1.55</v>
      </c>
      <c r="ES704" s="2123">
        <v>12.4</v>
      </c>
      <c r="ET704" s="2123">
        <v>12.4</v>
      </c>
      <c r="EU704" s="2123">
        <v>29.34</v>
      </c>
      <c r="EV704" s="2123">
        <v>29.34</v>
      </c>
      <c r="EW704" s="2123">
        <v>27.59</v>
      </c>
      <c r="EX704" s="2123">
        <v>27.59</v>
      </c>
      <c r="EY704" s="2129">
        <f t="shared" si="55"/>
        <v>28.465</v>
      </c>
      <c r="EZ704" s="2129">
        <f t="shared" si="55"/>
        <v>28.465</v>
      </c>
      <c r="FA704" s="2123">
        <v>31.47</v>
      </c>
      <c r="FB704" s="2123">
        <v>31.47</v>
      </c>
      <c r="FC704" s="2123"/>
      <c r="FD704" s="2123"/>
      <c r="FE704" s="2123">
        <v>10.25</v>
      </c>
      <c r="FF704" s="2123">
        <v>10.25</v>
      </c>
      <c r="FG704" s="2123">
        <v>22.39</v>
      </c>
      <c r="FH704" s="2123">
        <v>22.39</v>
      </c>
      <c r="FI704" s="2123">
        <v>22.39</v>
      </c>
      <c r="FJ704" s="2123">
        <v>22.39</v>
      </c>
      <c r="FK704" s="2123">
        <v>21.52</v>
      </c>
      <c r="FL704" s="2123">
        <v>21.52</v>
      </c>
      <c r="FM704" s="2123">
        <v>22.69</v>
      </c>
      <c r="FN704" s="2123">
        <v>22.69</v>
      </c>
      <c r="FO704" s="2123"/>
      <c r="FP704" s="2123"/>
      <c r="FQ704" s="2123">
        <v>22.59</v>
      </c>
      <c r="FR704" s="2123">
        <v>22.59</v>
      </c>
      <c r="FS704" s="2123">
        <v>37.57</v>
      </c>
      <c r="FT704" s="2123">
        <v>37.57</v>
      </c>
      <c r="FU704" s="2123">
        <v>37.57</v>
      </c>
      <c r="FV704" s="2123">
        <v>37.57</v>
      </c>
      <c r="FW704" s="2123">
        <v>38.68</v>
      </c>
      <c r="FX704" s="2123">
        <v>38.68</v>
      </c>
      <c r="FY704" s="2123"/>
      <c r="FZ704" s="2123"/>
      <c r="GA704" s="2123"/>
      <c r="GB704" s="2123"/>
      <c r="GC704" s="2123">
        <v>16.079999999999998</v>
      </c>
      <c r="GD704" s="2123">
        <v>16.079999999999998</v>
      </c>
      <c r="GE704" s="2123">
        <v>45.3</v>
      </c>
      <c r="GF704" s="2123">
        <v>45.3</v>
      </c>
      <c r="GG704" s="2123">
        <v>45.3</v>
      </c>
      <c r="GH704" s="2123">
        <v>45.3</v>
      </c>
      <c r="GI704" s="2123">
        <v>9.8699999999999992</v>
      </c>
      <c r="GJ704" s="2123">
        <v>9.8699999999999992</v>
      </c>
      <c r="GK704" s="2123">
        <v>26.62</v>
      </c>
      <c r="GL704" s="2123">
        <v>26.62</v>
      </c>
      <c r="GM704" s="2123"/>
      <c r="GN704" s="2123"/>
      <c r="GO704" s="2123">
        <v>9.16</v>
      </c>
      <c r="GP704" s="2123">
        <v>9.16</v>
      </c>
      <c r="GQ704" s="2123">
        <v>3.72</v>
      </c>
      <c r="GR704" s="2123">
        <v>3.72</v>
      </c>
      <c r="GS704" s="2123">
        <v>3.72</v>
      </c>
      <c r="GT704" s="2123">
        <v>3.47</v>
      </c>
      <c r="GU704" s="2123">
        <v>3.47</v>
      </c>
      <c r="GV704" s="2123">
        <v>3.47</v>
      </c>
      <c r="GW704" s="2123">
        <v>21.96</v>
      </c>
      <c r="GX704" s="2123">
        <v>21.96</v>
      </c>
      <c r="GY704" s="2123"/>
      <c r="GZ704" s="2123"/>
      <c r="HA704" s="2123">
        <v>6.11</v>
      </c>
      <c r="HB704" s="2123">
        <v>6.11</v>
      </c>
      <c r="HC704" s="2123">
        <v>1.35</v>
      </c>
      <c r="HD704" s="2123">
        <v>1.35</v>
      </c>
      <c r="HE704" s="2123">
        <v>1.84</v>
      </c>
      <c r="HF704" s="2123">
        <v>1.84</v>
      </c>
      <c r="HG704" s="2123">
        <v>1.84</v>
      </c>
      <c r="HH704" s="2123">
        <v>1.84</v>
      </c>
      <c r="HI704" s="2123">
        <v>1.84</v>
      </c>
      <c r="HJ704" s="2123">
        <v>1.84</v>
      </c>
      <c r="HK704" s="2123">
        <v>1.73</v>
      </c>
      <c r="HL704" s="2123">
        <v>1.73</v>
      </c>
      <c r="HM704" s="2123">
        <v>8.4700000000000006</v>
      </c>
      <c r="HN704" s="2123">
        <v>8.4700000000000006</v>
      </c>
      <c r="HO704" s="2123">
        <v>1.93</v>
      </c>
      <c r="HP704" s="2123">
        <v>1.93</v>
      </c>
      <c r="HQ704" s="2123">
        <v>2.68</v>
      </c>
      <c r="HR704" s="2123">
        <v>2.68</v>
      </c>
      <c r="HS704" s="2123">
        <v>2.68</v>
      </c>
      <c r="HT704" s="2123">
        <v>2.68</v>
      </c>
      <c r="HU704" s="2123">
        <v>2.68</v>
      </c>
      <c r="HV704" s="2123">
        <v>2.68</v>
      </c>
      <c r="HW704" s="2123">
        <v>2.4900000000000002</v>
      </c>
      <c r="HX704" s="2123">
        <v>2.4900000000000002</v>
      </c>
    </row>
    <row r="705" spans="2:232" s="2040" customFormat="1" ht="14" hidden="1" x14ac:dyDescent="0.3">
      <c r="B705" s="2203">
        <v>11</v>
      </c>
      <c r="C705" s="2204">
        <v>11.27</v>
      </c>
      <c r="D705" s="2204">
        <v>11.27</v>
      </c>
      <c r="E705" s="2204">
        <v>13.63</v>
      </c>
      <c r="F705" s="2204">
        <v>13.63</v>
      </c>
      <c r="G705" s="2204">
        <v>33.9</v>
      </c>
      <c r="H705" s="2204">
        <v>33.9</v>
      </c>
      <c r="I705" s="2204">
        <v>28.02</v>
      </c>
      <c r="J705" s="2204">
        <v>28.02</v>
      </c>
      <c r="K705" s="2204">
        <v>40.25</v>
      </c>
      <c r="L705" s="2204">
        <v>40.25</v>
      </c>
      <c r="M705" s="2204"/>
      <c r="N705" s="2204"/>
      <c r="O705" s="2204">
        <v>34.67</v>
      </c>
      <c r="P705" s="2204">
        <v>34.67</v>
      </c>
      <c r="Q705" s="2204">
        <v>38.97</v>
      </c>
      <c r="R705" s="2204">
        <v>34.68</v>
      </c>
      <c r="S705" s="2204">
        <v>33.31</v>
      </c>
      <c r="T705" s="2204">
        <v>33.31</v>
      </c>
      <c r="U705" s="2204">
        <v>32.15</v>
      </c>
      <c r="V705" s="2204">
        <v>32.15</v>
      </c>
      <c r="W705" s="2204">
        <v>33.31</v>
      </c>
      <c r="X705" s="2204">
        <v>33.31</v>
      </c>
      <c r="Y705" s="2204">
        <v>32.15</v>
      </c>
      <c r="Z705" s="2204">
        <v>33.31</v>
      </c>
      <c r="AA705" s="2204">
        <v>33.31</v>
      </c>
      <c r="AB705" s="2204">
        <v>33.31</v>
      </c>
      <c r="AC705" s="2204">
        <v>32.15</v>
      </c>
      <c r="AD705" s="2204">
        <v>32.15</v>
      </c>
      <c r="AE705" s="2204">
        <v>46.24</v>
      </c>
      <c r="AF705" s="2204">
        <v>44.97</v>
      </c>
      <c r="AG705" s="2204">
        <v>46.24</v>
      </c>
      <c r="AH705" s="2204">
        <v>46.24</v>
      </c>
      <c r="AI705" s="2204">
        <v>44.97</v>
      </c>
      <c r="AJ705" s="2204">
        <v>44.97</v>
      </c>
      <c r="AK705" s="2204">
        <v>48.87</v>
      </c>
      <c r="AL705" s="2204">
        <v>48.87</v>
      </c>
      <c r="AM705" s="2204">
        <v>18.510000000000002</v>
      </c>
      <c r="AN705" s="2204">
        <v>17.78</v>
      </c>
      <c r="AO705" s="2204">
        <v>17.78</v>
      </c>
      <c r="AP705" s="2204">
        <v>17.78</v>
      </c>
      <c r="AQ705" s="2204">
        <v>21.67</v>
      </c>
      <c r="AR705" s="2204">
        <v>21.67</v>
      </c>
      <c r="AS705" s="2204">
        <v>36.58</v>
      </c>
      <c r="AT705" s="2204">
        <v>36.58</v>
      </c>
      <c r="AU705" s="2204">
        <v>36.58</v>
      </c>
      <c r="AV705" s="2204">
        <v>38.590000000000003</v>
      </c>
      <c r="AW705" s="2204">
        <v>34.4</v>
      </c>
      <c r="AX705" s="2204">
        <v>34.4</v>
      </c>
      <c r="AY705" s="2204">
        <v>34.71</v>
      </c>
      <c r="AZ705" s="2204">
        <v>34.71</v>
      </c>
      <c r="BA705" s="2123">
        <v>14.81</v>
      </c>
      <c r="BB705" s="2123">
        <v>14.81</v>
      </c>
      <c r="BC705" s="2123">
        <v>2.64</v>
      </c>
      <c r="BD705" s="2123">
        <v>2.64</v>
      </c>
      <c r="BE705" s="2123">
        <v>6.65</v>
      </c>
      <c r="BF705" s="2123">
        <v>6.65</v>
      </c>
      <c r="BG705" s="2123">
        <v>2.69</v>
      </c>
      <c r="BH705" s="2123">
        <v>2.69</v>
      </c>
      <c r="BI705" s="2123">
        <v>2.5</v>
      </c>
      <c r="BJ705" s="2123">
        <v>2.5</v>
      </c>
      <c r="BK705" s="2123">
        <v>2.5</v>
      </c>
      <c r="BL705" s="2123">
        <v>2.5</v>
      </c>
      <c r="BM705" s="2123">
        <v>13.59</v>
      </c>
      <c r="BN705" s="2123">
        <v>13.59</v>
      </c>
      <c r="BO705" s="2123">
        <v>35.950000000000003</v>
      </c>
      <c r="BP705" s="2123">
        <v>35.950000000000003</v>
      </c>
      <c r="BQ705" s="2123">
        <v>35.950000000000003</v>
      </c>
      <c r="BR705" s="2123">
        <v>35.950000000000003</v>
      </c>
      <c r="BS705" s="2123">
        <v>32.119999999999997</v>
      </c>
      <c r="BT705" s="2123">
        <v>32.119999999999997</v>
      </c>
      <c r="BU705" s="2123">
        <v>32.119999999999997</v>
      </c>
      <c r="BV705" s="2123">
        <v>32.119999999999997</v>
      </c>
      <c r="BW705" s="2123">
        <v>32.119999999999997</v>
      </c>
      <c r="BX705" s="2123">
        <v>32.119999999999997</v>
      </c>
      <c r="BY705" s="2123">
        <v>12.37</v>
      </c>
      <c r="BZ705" s="2123">
        <v>12.37</v>
      </c>
      <c r="CA705" s="2123">
        <v>33.25</v>
      </c>
      <c r="CB705" s="2123">
        <v>33.25</v>
      </c>
      <c r="CC705" s="2123">
        <v>31.26</v>
      </c>
      <c r="CD705" s="2123">
        <v>31.26</v>
      </c>
      <c r="CE705" s="2123">
        <v>30.43</v>
      </c>
      <c r="CF705" s="2123">
        <v>30.43</v>
      </c>
      <c r="CG705" s="2123"/>
      <c r="CH705" s="2123"/>
      <c r="CI705" s="2123"/>
      <c r="CJ705" s="2123"/>
      <c r="CK705" s="2123">
        <v>42.91</v>
      </c>
      <c r="CL705" s="2123">
        <v>42.91</v>
      </c>
      <c r="CM705" s="2123">
        <v>85.35</v>
      </c>
      <c r="CN705" s="2123">
        <v>85.35</v>
      </c>
      <c r="CO705" s="2123">
        <v>79.23</v>
      </c>
      <c r="CP705" s="2123">
        <v>79.23</v>
      </c>
      <c r="CQ705" s="2123">
        <v>79.23</v>
      </c>
      <c r="CR705" s="2123">
        <v>79.23</v>
      </c>
      <c r="CS705" s="2123"/>
      <c r="CT705" s="2123"/>
      <c r="CU705" s="2123"/>
      <c r="CV705" s="2123"/>
      <c r="CW705" s="2123">
        <v>28.37</v>
      </c>
      <c r="CX705" s="2123">
        <v>28.37</v>
      </c>
      <c r="CY705" s="2123">
        <v>77.510000000000005</v>
      </c>
      <c r="CZ705" s="2123">
        <v>77.510000000000005</v>
      </c>
      <c r="DA705" s="2123">
        <v>77.510000000000005</v>
      </c>
      <c r="DB705" s="2123">
        <v>77.510000000000005</v>
      </c>
      <c r="DC705" s="2123">
        <v>71.709999999999994</v>
      </c>
      <c r="DD705" s="2123">
        <v>71.709999999999994</v>
      </c>
      <c r="DE705" s="2123">
        <v>71.709999999999994</v>
      </c>
      <c r="DF705" s="2123">
        <v>71.709999999999994</v>
      </c>
      <c r="DG705" s="2123"/>
      <c r="DH705" s="2123"/>
      <c r="DI705" s="2123">
        <v>7.64</v>
      </c>
      <c r="DJ705" s="2123">
        <v>7.64</v>
      </c>
      <c r="DK705" s="2123">
        <v>7.64</v>
      </c>
      <c r="DL705" s="2123">
        <v>7.64</v>
      </c>
      <c r="DM705" s="2123">
        <v>7.64</v>
      </c>
      <c r="DN705" s="2123">
        <v>7.64</v>
      </c>
      <c r="DO705" s="2123"/>
      <c r="DP705" s="2123"/>
      <c r="DQ705" s="2123"/>
      <c r="DR705" s="2123"/>
      <c r="DS705" s="2123"/>
      <c r="DT705" s="2123"/>
      <c r="DU705" s="2123">
        <v>3.53</v>
      </c>
      <c r="DV705" s="2123">
        <v>3.53</v>
      </c>
      <c r="DW705" s="2123">
        <v>2.2400000000000002</v>
      </c>
      <c r="DX705" s="2123">
        <v>2.2400000000000002</v>
      </c>
      <c r="DY705" s="2123">
        <v>2.2400000000000002</v>
      </c>
      <c r="DZ705" s="2123">
        <v>2.2400000000000002</v>
      </c>
      <c r="EA705" s="2123"/>
      <c r="EB705" s="2123"/>
      <c r="EC705" s="2123"/>
      <c r="ED705" s="2123"/>
      <c r="EE705" s="2123"/>
      <c r="EF705" s="2123"/>
      <c r="EG705" s="2123">
        <v>4.24</v>
      </c>
      <c r="EH705" s="2123">
        <v>4.87</v>
      </c>
      <c r="EI705" s="2123">
        <v>1.52</v>
      </c>
      <c r="EJ705" s="2123">
        <v>1.52</v>
      </c>
      <c r="EK705" s="2123">
        <v>1.48</v>
      </c>
      <c r="EL705" s="2123">
        <v>1.48</v>
      </c>
      <c r="EM705" s="2123">
        <v>1.97</v>
      </c>
      <c r="EN705" s="2123">
        <v>1.97</v>
      </c>
      <c r="EO705" s="2123">
        <v>1.7</v>
      </c>
      <c r="EP705" s="2123">
        <v>1.7</v>
      </c>
      <c r="EQ705" s="2123">
        <v>1.74</v>
      </c>
      <c r="ER705" s="2123">
        <v>1.91</v>
      </c>
      <c r="ES705" s="2123">
        <v>15.13</v>
      </c>
      <c r="ET705" s="2123">
        <v>15.13</v>
      </c>
      <c r="EU705" s="2123">
        <v>38.54</v>
      </c>
      <c r="EV705" s="2123">
        <v>38.54</v>
      </c>
      <c r="EW705" s="2123">
        <v>36.43</v>
      </c>
      <c r="EX705" s="2123">
        <v>36.43</v>
      </c>
      <c r="EY705" s="2129">
        <f t="shared" si="55"/>
        <v>37.484999999999999</v>
      </c>
      <c r="EZ705" s="2129">
        <f t="shared" si="55"/>
        <v>37.484999999999999</v>
      </c>
      <c r="FA705" s="2123">
        <v>41.17</v>
      </c>
      <c r="FB705" s="2123">
        <v>41.17</v>
      </c>
      <c r="FC705" s="2123"/>
      <c r="FD705" s="2123"/>
      <c r="FE705" s="2123">
        <v>12.35</v>
      </c>
      <c r="FF705" s="2123">
        <v>12.35</v>
      </c>
      <c r="FG705" s="2123">
        <v>29.07</v>
      </c>
      <c r="FH705" s="2123">
        <v>29.07</v>
      </c>
      <c r="FI705" s="2123">
        <v>29.07</v>
      </c>
      <c r="FJ705" s="2123">
        <v>29.07</v>
      </c>
      <c r="FK705" s="2123">
        <v>28.06</v>
      </c>
      <c r="FL705" s="2123">
        <v>28.06</v>
      </c>
      <c r="FM705" s="2123">
        <v>29.5</v>
      </c>
      <c r="FN705" s="2123">
        <v>29.5</v>
      </c>
      <c r="FO705" s="2123"/>
      <c r="FP705" s="2123"/>
      <c r="FQ705" s="2123">
        <v>27.35</v>
      </c>
      <c r="FR705" s="2123">
        <v>27.35</v>
      </c>
      <c r="FS705" s="2123">
        <v>46.21</v>
      </c>
      <c r="FT705" s="2123">
        <v>46.21</v>
      </c>
      <c r="FU705" s="2123">
        <v>46.21</v>
      </c>
      <c r="FV705" s="2123">
        <v>46.21</v>
      </c>
      <c r="FW705" s="2123">
        <v>47.39</v>
      </c>
      <c r="FX705" s="2123">
        <v>47.39</v>
      </c>
      <c r="FY705" s="2123"/>
      <c r="FZ705" s="2123"/>
      <c r="GA705" s="2123"/>
      <c r="GB705" s="2123"/>
      <c r="GC705" s="2123">
        <v>19.45</v>
      </c>
      <c r="GD705" s="2123">
        <v>19.45</v>
      </c>
      <c r="GE705" s="2123">
        <v>52.69</v>
      </c>
      <c r="GF705" s="2123">
        <v>52.69</v>
      </c>
      <c r="GG705" s="2123">
        <v>52.69</v>
      </c>
      <c r="GH705" s="2123">
        <v>52.69</v>
      </c>
      <c r="GI705" s="2123">
        <v>13.55</v>
      </c>
      <c r="GJ705" s="2123">
        <v>13.55</v>
      </c>
      <c r="GK705" s="2123">
        <v>34.270000000000003</v>
      </c>
      <c r="GL705" s="2123">
        <v>34.270000000000003</v>
      </c>
      <c r="GM705" s="2123"/>
      <c r="GN705" s="2123"/>
      <c r="GO705" s="2123">
        <v>10.76</v>
      </c>
      <c r="GP705" s="2123">
        <v>10.76</v>
      </c>
      <c r="GQ705" s="2123">
        <v>4.6500000000000004</v>
      </c>
      <c r="GR705" s="2123">
        <v>4.6500000000000004</v>
      </c>
      <c r="GS705" s="2123">
        <v>4.6500000000000004</v>
      </c>
      <c r="GT705" s="2123">
        <v>4.3499999999999996</v>
      </c>
      <c r="GU705" s="2123">
        <v>4.3499999999999996</v>
      </c>
      <c r="GV705" s="2123">
        <v>4.3499999999999996</v>
      </c>
      <c r="GW705" s="2123">
        <v>27.71</v>
      </c>
      <c r="GX705" s="2123">
        <v>27.71</v>
      </c>
      <c r="GY705" s="2123"/>
      <c r="GZ705" s="2123"/>
      <c r="HA705" s="2123">
        <v>7.19</v>
      </c>
      <c r="HB705" s="2123">
        <v>7.19</v>
      </c>
      <c r="HC705" s="2123">
        <v>1.72</v>
      </c>
      <c r="HD705" s="2123">
        <v>1.72</v>
      </c>
      <c r="HE705" s="2123">
        <v>2.2999999999999998</v>
      </c>
      <c r="HF705" s="2123">
        <v>2.2999999999999998</v>
      </c>
      <c r="HG705" s="2123">
        <v>2.2999999999999998</v>
      </c>
      <c r="HH705" s="2123">
        <v>2.2999999999999998</v>
      </c>
      <c r="HI705" s="2123">
        <v>2.2999999999999998</v>
      </c>
      <c r="HJ705" s="2123">
        <v>2.2999999999999998</v>
      </c>
      <c r="HK705" s="2123">
        <v>2.19</v>
      </c>
      <c r="HL705" s="2123">
        <v>2.19</v>
      </c>
      <c r="HM705" s="2123">
        <v>10</v>
      </c>
      <c r="HN705" s="2123">
        <v>10</v>
      </c>
      <c r="HO705" s="2123">
        <v>2.48</v>
      </c>
      <c r="HP705" s="2123">
        <v>2.48</v>
      </c>
      <c r="HQ705" s="2123">
        <v>3.38</v>
      </c>
      <c r="HR705" s="2123">
        <v>3.38</v>
      </c>
      <c r="HS705" s="2123">
        <v>3.38</v>
      </c>
      <c r="HT705" s="2123">
        <v>3.38</v>
      </c>
      <c r="HU705" s="2123">
        <v>3.38</v>
      </c>
      <c r="HV705" s="2123">
        <v>3.38</v>
      </c>
      <c r="HW705" s="2123">
        <v>3.17</v>
      </c>
      <c r="HX705" s="2123">
        <v>3.17</v>
      </c>
    </row>
    <row r="706" spans="2:232" s="2040" customFormat="1" ht="14" hidden="1" x14ac:dyDescent="0.3">
      <c r="B706" s="2203">
        <v>12</v>
      </c>
      <c r="C706" s="2204">
        <v>12.93</v>
      </c>
      <c r="D706" s="2204">
        <v>12.93</v>
      </c>
      <c r="E706" s="2204">
        <v>15.16</v>
      </c>
      <c r="F706" s="2204">
        <v>15.16</v>
      </c>
      <c r="G706" s="2204">
        <v>39.68</v>
      </c>
      <c r="H706" s="2204">
        <v>39.68</v>
      </c>
      <c r="I706" s="2204">
        <v>33.72</v>
      </c>
      <c r="J706" s="2204">
        <v>33.72</v>
      </c>
      <c r="K706" s="2204">
        <v>46.7</v>
      </c>
      <c r="L706" s="2204">
        <v>46.7</v>
      </c>
      <c r="M706" s="2204"/>
      <c r="N706" s="2204"/>
      <c r="O706" s="2204">
        <v>39.869999999999997</v>
      </c>
      <c r="P706" s="2204">
        <v>39.869999999999997</v>
      </c>
      <c r="Q706" s="2204">
        <v>43.91</v>
      </c>
      <c r="R706" s="2204">
        <v>39.880000000000003</v>
      </c>
      <c r="S706" s="2204">
        <v>41.160000000000004</v>
      </c>
      <c r="T706" s="2204">
        <v>41.16</v>
      </c>
      <c r="U706" s="2204">
        <v>39.72</v>
      </c>
      <c r="V706" s="2204">
        <v>39.72</v>
      </c>
      <c r="W706" s="2204">
        <v>41.16</v>
      </c>
      <c r="X706" s="2204">
        <v>41.16</v>
      </c>
      <c r="Y706" s="2204">
        <v>39.72</v>
      </c>
      <c r="Z706" s="2204">
        <v>41.16</v>
      </c>
      <c r="AA706" s="2204">
        <v>41.16</v>
      </c>
      <c r="AB706" s="2204">
        <v>41.16</v>
      </c>
      <c r="AC706" s="2204">
        <v>39.72</v>
      </c>
      <c r="AD706" s="2204">
        <v>39.72</v>
      </c>
      <c r="AE706" s="2204">
        <v>55.57</v>
      </c>
      <c r="AF706" s="2204">
        <v>54.04</v>
      </c>
      <c r="AG706" s="2204">
        <v>55.57</v>
      </c>
      <c r="AH706" s="2204">
        <v>55.57</v>
      </c>
      <c r="AI706" s="2204">
        <v>54.04</v>
      </c>
      <c r="AJ706" s="2204">
        <v>54.04</v>
      </c>
      <c r="AK706" s="2204">
        <v>57.87</v>
      </c>
      <c r="AL706" s="2204">
        <v>57.87</v>
      </c>
      <c r="AM706" s="2204">
        <v>21.26</v>
      </c>
      <c r="AN706" s="2204">
        <v>20.420000000000002</v>
      </c>
      <c r="AO706" s="2204">
        <v>20.420000000000002</v>
      </c>
      <c r="AP706" s="2204">
        <v>20.420000000000002</v>
      </c>
      <c r="AQ706" s="2204">
        <v>24.12</v>
      </c>
      <c r="AR706" s="2204">
        <v>24.12</v>
      </c>
      <c r="AS706" s="2204">
        <v>43.75</v>
      </c>
      <c r="AT706" s="2204">
        <v>43.75</v>
      </c>
      <c r="AU706" s="2204">
        <v>43.75</v>
      </c>
      <c r="AV706" s="2204">
        <v>46.01</v>
      </c>
      <c r="AW706" s="2204">
        <v>41.71</v>
      </c>
      <c r="AX706" s="2204">
        <v>41.71</v>
      </c>
      <c r="AY706" s="2204">
        <v>42.02</v>
      </c>
      <c r="AZ706" s="2204">
        <v>42.02</v>
      </c>
      <c r="BA706" s="2123">
        <v>17.87</v>
      </c>
      <c r="BB706" s="2123">
        <v>17.87</v>
      </c>
      <c r="BC706" s="2123">
        <v>3.25</v>
      </c>
      <c r="BD706" s="2123">
        <v>3.25</v>
      </c>
      <c r="BE706" s="2123">
        <v>7.59</v>
      </c>
      <c r="BF706" s="2123">
        <v>7.59</v>
      </c>
      <c r="BG706" s="2123">
        <v>3.31</v>
      </c>
      <c r="BH706" s="2123">
        <v>3.31</v>
      </c>
      <c r="BI706" s="2123">
        <v>3.1</v>
      </c>
      <c r="BJ706" s="2123">
        <v>3.1</v>
      </c>
      <c r="BK706" s="2123">
        <v>3.1</v>
      </c>
      <c r="BL706" s="2123">
        <v>3.1</v>
      </c>
      <c r="BM706" s="2123">
        <v>15.6</v>
      </c>
      <c r="BN706" s="2123">
        <v>15.6</v>
      </c>
      <c r="BO706" s="2123">
        <v>41.76</v>
      </c>
      <c r="BP706" s="2123">
        <v>41.76</v>
      </c>
      <c r="BQ706" s="2123">
        <v>41.76</v>
      </c>
      <c r="BR706" s="2123">
        <v>41.76</v>
      </c>
      <c r="BS706" s="2123">
        <v>39.06</v>
      </c>
      <c r="BT706" s="2123">
        <v>39.06</v>
      </c>
      <c r="BU706" s="2123">
        <v>39.06</v>
      </c>
      <c r="BV706" s="2123">
        <v>39.06</v>
      </c>
      <c r="BW706" s="2123">
        <v>39.06</v>
      </c>
      <c r="BX706" s="2123">
        <v>39.06</v>
      </c>
      <c r="BY706" s="2123">
        <v>14.18</v>
      </c>
      <c r="BZ706" s="2123">
        <v>14.18</v>
      </c>
      <c r="CA706" s="2123">
        <v>38.770000000000003</v>
      </c>
      <c r="CB706" s="2123">
        <v>38.770000000000003</v>
      </c>
      <c r="CC706" s="2123">
        <v>36.94</v>
      </c>
      <c r="CD706" s="2123">
        <v>36.94</v>
      </c>
      <c r="CE706" s="2123">
        <v>37.19</v>
      </c>
      <c r="CF706" s="2123">
        <v>37.19</v>
      </c>
      <c r="CG706" s="2123"/>
      <c r="CH706" s="2123"/>
      <c r="CI706" s="2123"/>
      <c r="CJ706" s="2123"/>
      <c r="CK706" s="2123">
        <v>46.77</v>
      </c>
      <c r="CL706" s="2123">
        <v>46.77</v>
      </c>
      <c r="CM706" s="2123">
        <v>94.2</v>
      </c>
      <c r="CN706" s="2123">
        <v>94.2</v>
      </c>
      <c r="CO706" s="2123">
        <v>90.43</v>
      </c>
      <c r="CP706" s="2123">
        <v>90.43</v>
      </c>
      <c r="CQ706" s="2123">
        <v>90.43</v>
      </c>
      <c r="CR706" s="2123">
        <v>90.43</v>
      </c>
      <c r="CS706" s="2123"/>
      <c r="CT706" s="2123"/>
      <c r="CU706" s="2123"/>
      <c r="CV706" s="2123"/>
      <c r="CW706" s="2123">
        <v>32.61</v>
      </c>
      <c r="CX706" s="2123">
        <v>32.61</v>
      </c>
      <c r="CY706" s="2123">
        <v>86.06</v>
      </c>
      <c r="CZ706" s="2123">
        <v>86.06</v>
      </c>
      <c r="DA706" s="2123">
        <v>86.06</v>
      </c>
      <c r="DB706" s="2123">
        <v>86.06</v>
      </c>
      <c r="DC706" s="2123">
        <v>82.43</v>
      </c>
      <c r="DD706" s="2123">
        <v>82.43</v>
      </c>
      <c r="DE706" s="2123">
        <v>82.43</v>
      </c>
      <c r="DF706" s="2123">
        <v>82.43</v>
      </c>
      <c r="DG706" s="2123"/>
      <c r="DH706" s="2123"/>
      <c r="DI706" s="2123">
        <v>8.75</v>
      </c>
      <c r="DJ706" s="2123">
        <v>8.75</v>
      </c>
      <c r="DK706" s="2123">
        <v>8.75</v>
      </c>
      <c r="DL706" s="2123">
        <v>8.75</v>
      </c>
      <c r="DM706" s="2123">
        <v>8.75</v>
      </c>
      <c r="DN706" s="2123">
        <v>8.75</v>
      </c>
      <c r="DO706" s="2123"/>
      <c r="DP706" s="2123"/>
      <c r="DQ706" s="2123"/>
      <c r="DR706" s="2123"/>
      <c r="DS706" s="2123"/>
      <c r="DT706" s="2123"/>
      <c r="DU706" s="2123">
        <v>4.0199999999999996</v>
      </c>
      <c r="DV706" s="2123">
        <v>4.0199999999999996</v>
      </c>
      <c r="DW706" s="2123">
        <v>2.67</v>
      </c>
      <c r="DX706" s="2123">
        <v>2.67</v>
      </c>
      <c r="DY706" s="2123">
        <v>2.67</v>
      </c>
      <c r="DZ706" s="2123">
        <v>2.67</v>
      </c>
      <c r="EA706" s="2123"/>
      <c r="EB706" s="2123"/>
      <c r="EC706" s="2123"/>
      <c r="ED706" s="2123"/>
      <c r="EE706" s="2123"/>
      <c r="EF706" s="2123"/>
      <c r="EG706" s="2123">
        <v>4.84</v>
      </c>
      <c r="EH706" s="2123">
        <v>5.44</v>
      </c>
      <c r="EI706" s="2123">
        <v>1.85</v>
      </c>
      <c r="EJ706" s="2123">
        <v>1.85</v>
      </c>
      <c r="EK706" s="2123">
        <v>1.8</v>
      </c>
      <c r="EL706" s="2123">
        <v>1.8</v>
      </c>
      <c r="EM706" s="2123">
        <v>2.37</v>
      </c>
      <c r="EN706" s="2123">
        <v>2.37</v>
      </c>
      <c r="EO706" s="2123">
        <v>2.06</v>
      </c>
      <c r="EP706" s="2123">
        <v>2.06</v>
      </c>
      <c r="EQ706" s="2123">
        <v>2.11</v>
      </c>
      <c r="ER706" s="2123">
        <v>2.2999999999999998</v>
      </c>
      <c r="ES706" s="2123">
        <v>17.09</v>
      </c>
      <c r="ET706" s="2123">
        <v>17.09</v>
      </c>
      <c r="EU706" s="2123">
        <v>45.92</v>
      </c>
      <c r="EV706" s="2123">
        <v>45.92</v>
      </c>
      <c r="EW706" s="2123">
        <v>43.54</v>
      </c>
      <c r="EX706" s="2123">
        <v>43.54</v>
      </c>
      <c r="EY706" s="2129">
        <f t="shared" si="55"/>
        <v>44.730000000000004</v>
      </c>
      <c r="EZ706" s="2129">
        <f t="shared" si="55"/>
        <v>44.730000000000004</v>
      </c>
      <c r="FA706" s="2123">
        <v>48.55</v>
      </c>
      <c r="FB706" s="2123">
        <v>48.55</v>
      </c>
      <c r="FC706" s="2123"/>
      <c r="FD706" s="2123"/>
      <c r="FE706" s="2123">
        <v>13.95</v>
      </c>
      <c r="FF706" s="2123">
        <v>13.95</v>
      </c>
      <c r="FG706" s="2123">
        <v>34.79</v>
      </c>
      <c r="FH706" s="2123">
        <v>34.79</v>
      </c>
      <c r="FI706" s="2123">
        <v>34.79</v>
      </c>
      <c r="FJ706" s="2123">
        <v>34.79</v>
      </c>
      <c r="FK706" s="2123">
        <v>33.69</v>
      </c>
      <c r="FL706" s="2123">
        <v>33.69</v>
      </c>
      <c r="FM706" s="2123">
        <v>35.29</v>
      </c>
      <c r="FN706" s="2123">
        <v>35.29</v>
      </c>
      <c r="FO706" s="2123"/>
      <c r="FP706" s="2123"/>
      <c r="FQ706" s="2123">
        <v>29.9</v>
      </c>
      <c r="FR706" s="2123">
        <v>29.9</v>
      </c>
      <c r="FS706" s="2123">
        <v>50.91</v>
      </c>
      <c r="FT706" s="2123">
        <v>50.91</v>
      </c>
      <c r="FU706" s="2123">
        <v>50.91</v>
      </c>
      <c r="FV706" s="2123">
        <v>50.91</v>
      </c>
      <c r="FW706" s="2123">
        <v>52.12</v>
      </c>
      <c r="FX706" s="2123">
        <v>52.12</v>
      </c>
      <c r="FY706" s="2123"/>
      <c r="FZ706" s="2123"/>
      <c r="GA706" s="2123"/>
      <c r="GB706" s="2123"/>
      <c r="GC706" s="2123">
        <v>22.11</v>
      </c>
      <c r="GD706" s="2123">
        <v>22.11</v>
      </c>
      <c r="GE706" s="2123">
        <v>58.44</v>
      </c>
      <c r="GF706" s="2123">
        <v>58.44</v>
      </c>
      <c r="GG706" s="2123">
        <v>58.44</v>
      </c>
      <c r="GH706" s="2123">
        <v>58.44</v>
      </c>
      <c r="GI706" s="2123">
        <v>16.98</v>
      </c>
      <c r="GJ706" s="2123">
        <v>16.98</v>
      </c>
      <c r="GK706" s="2123">
        <v>40.68</v>
      </c>
      <c r="GL706" s="2123">
        <v>40.68</v>
      </c>
      <c r="GM706" s="2123"/>
      <c r="GN706" s="2123"/>
      <c r="GO706" s="2123">
        <v>12.31</v>
      </c>
      <c r="GP706" s="2123">
        <v>12.31</v>
      </c>
      <c r="GQ706" s="2123">
        <v>5.66</v>
      </c>
      <c r="GR706" s="2123">
        <v>5.66</v>
      </c>
      <c r="GS706" s="2123">
        <v>5.66</v>
      </c>
      <c r="GT706" s="2123">
        <v>5.31</v>
      </c>
      <c r="GU706" s="2123">
        <v>5.31</v>
      </c>
      <c r="GV706" s="2123">
        <v>5.31</v>
      </c>
      <c r="GW706" s="2123">
        <v>33.94</v>
      </c>
      <c r="GX706" s="2123">
        <v>33.94</v>
      </c>
      <c r="GY706" s="2123"/>
      <c r="GZ706" s="2123"/>
      <c r="HA706" s="2123">
        <v>8.23</v>
      </c>
      <c r="HB706" s="2123">
        <v>8.23</v>
      </c>
      <c r="HC706" s="2123">
        <v>2.14</v>
      </c>
      <c r="HD706" s="2123">
        <v>2.14</v>
      </c>
      <c r="HE706" s="2123">
        <v>2.82</v>
      </c>
      <c r="HF706" s="2123">
        <v>2.82</v>
      </c>
      <c r="HG706" s="2123">
        <v>2.82</v>
      </c>
      <c r="HH706" s="2123">
        <v>2.82</v>
      </c>
      <c r="HI706" s="2123">
        <v>2.82</v>
      </c>
      <c r="HJ706" s="2123">
        <v>2.82</v>
      </c>
      <c r="HK706" s="2123">
        <v>2.7</v>
      </c>
      <c r="HL706" s="2123">
        <v>2.7</v>
      </c>
      <c r="HM706" s="2123">
        <v>11.46</v>
      </c>
      <c r="HN706" s="2123">
        <v>11.46</v>
      </c>
      <c r="HO706" s="2123">
        <v>3.11</v>
      </c>
      <c r="HP706" s="2123">
        <v>3.11</v>
      </c>
      <c r="HQ706" s="2123">
        <v>4.16</v>
      </c>
      <c r="HR706" s="2123">
        <v>4.16</v>
      </c>
      <c r="HS706" s="2123">
        <v>4.16</v>
      </c>
      <c r="HT706" s="2123">
        <v>4.16</v>
      </c>
      <c r="HU706" s="2123">
        <v>4.16</v>
      </c>
      <c r="HV706" s="2123">
        <v>4.16</v>
      </c>
      <c r="HW706" s="2123">
        <v>3.93</v>
      </c>
      <c r="HX706" s="2123">
        <v>3.93</v>
      </c>
    </row>
    <row r="707" spans="2:232" s="2040" customFormat="1" ht="14" hidden="1" x14ac:dyDescent="0.3">
      <c r="B707" s="2203">
        <v>13</v>
      </c>
      <c r="C707" s="2204">
        <v>14.5</v>
      </c>
      <c r="D707" s="2204">
        <v>14.5</v>
      </c>
      <c r="E707" s="2204">
        <v>16.62</v>
      </c>
      <c r="F707" s="2204">
        <v>16.62</v>
      </c>
      <c r="G707" s="2204">
        <v>45.31</v>
      </c>
      <c r="H707" s="2204">
        <v>45.31</v>
      </c>
      <c r="I707" s="2204">
        <v>38.81</v>
      </c>
      <c r="J707" s="2204">
        <v>38.81</v>
      </c>
      <c r="K707" s="2204">
        <v>52.89</v>
      </c>
      <c r="L707" s="2204">
        <v>52.89</v>
      </c>
      <c r="M707" s="2204"/>
      <c r="N707" s="2204"/>
      <c r="O707" s="2204">
        <v>44.81</v>
      </c>
      <c r="P707" s="2204">
        <v>44.81</v>
      </c>
      <c r="Q707" s="2204">
        <v>48.61</v>
      </c>
      <c r="R707" s="2204">
        <v>44.82</v>
      </c>
      <c r="S707" s="2204">
        <v>49.220000000000006</v>
      </c>
      <c r="T707" s="2204">
        <v>49.22</v>
      </c>
      <c r="U707" s="2204">
        <v>47.5</v>
      </c>
      <c r="V707" s="2204">
        <v>47.5</v>
      </c>
      <c r="W707" s="2204">
        <v>49.22</v>
      </c>
      <c r="X707" s="2204">
        <v>49.22</v>
      </c>
      <c r="Y707" s="2204">
        <v>47.5</v>
      </c>
      <c r="Z707" s="2204">
        <v>49.22</v>
      </c>
      <c r="AA707" s="2204">
        <v>49.22</v>
      </c>
      <c r="AB707" s="2204">
        <v>49.22</v>
      </c>
      <c r="AC707" s="2204">
        <v>47.5</v>
      </c>
      <c r="AD707" s="2204">
        <v>47.5</v>
      </c>
      <c r="AE707" s="2204">
        <v>64.709999999999994</v>
      </c>
      <c r="AF707" s="2204">
        <v>62.92</v>
      </c>
      <c r="AG707" s="2204">
        <v>64.709999999999994</v>
      </c>
      <c r="AH707" s="2204">
        <v>64.709999999999994</v>
      </c>
      <c r="AI707" s="2204">
        <v>62.92</v>
      </c>
      <c r="AJ707" s="2204">
        <v>62.92</v>
      </c>
      <c r="AK707" s="2204">
        <v>66.650000000000006</v>
      </c>
      <c r="AL707" s="2204">
        <v>66.650000000000006</v>
      </c>
      <c r="AM707" s="2204">
        <v>23.86</v>
      </c>
      <c r="AN707" s="2204">
        <v>22.93</v>
      </c>
      <c r="AO707" s="2204">
        <v>22.93</v>
      </c>
      <c r="AP707" s="2204">
        <v>22.93</v>
      </c>
      <c r="AQ707" s="2204">
        <v>26.45</v>
      </c>
      <c r="AR707" s="2204">
        <v>26.45</v>
      </c>
      <c r="AS707" s="2204">
        <v>50.78</v>
      </c>
      <c r="AT707" s="2204">
        <v>50.78</v>
      </c>
      <c r="AU707" s="2204">
        <v>50.78</v>
      </c>
      <c r="AV707" s="2204">
        <v>53.28</v>
      </c>
      <c r="AW707" s="2204">
        <v>48.89</v>
      </c>
      <c r="AX707" s="2204">
        <v>48.89</v>
      </c>
      <c r="AY707" s="2204">
        <v>49.19</v>
      </c>
      <c r="AZ707" s="2204">
        <v>49.19</v>
      </c>
      <c r="BA707" s="2123">
        <v>20.89</v>
      </c>
      <c r="BB707" s="2123">
        <v>20.89</v>
      </c>
      <c r="BC707" s="2123">
        <v>3.92</v>
      </c>
      <c r="BD707" s="2123">
        <v>3.92</v>
      </c>
      <c r="BE707" s="2123">
        <v>8.49</v>
      </c>
      <c r="BF707" s="2123">
        <v>8.49</v>
      </c>
      <c r="BG707" s="2123">
        <v>3.97</v>
      </c>
      <c r="BH707" s="2123">
        <v>3.97</v>
      </c>
      <c r="BI707" s="2123">
        <v>3.76</v>
      </c>
      <c r="BJ707" s="2123">
        <v>3.76</v>
      </c>
      <c r="BK707" s="2123">
        <v>3.76</v>
      </c>
      <c r="BL707" s="2123">
        <v>3.76</v>
      </c>
      <c r="BM707" s="2123">
        <v>17.5</v>
      </c>
      <c r="BN707" s="2123">
        <v>17.5</v>
      </c>
      <c r="BO707" s="2123">
        <v>47.39</v>
      </c>
      <c r="BP707" s="2123">
        <v>47.39</v>
      </c>
      <c r="BQ707" s="2123">
        <v>47.39</v>
      </c>
      <c r="BR707" s="2123">
        <v>47.39</v>
      </c>
      <c r="BS707" s="2123">
        <v>45.92</v>
      </c>
      <c r="BT707" s="2123">
        <v>45.92</v>
      </c>
      <c r="BU707" s="2123">
        <v>45.92</v>
      </c>
      <c r="BV707" s="2123">
        <v>45.92</v>
      </c>
      <c r="BW707" s="2123">
        <v>45.92</v>
      </c>
      <c r="BX707" s="2123">
        <v>45.92</v>
      </c>
      <c r="BY707" s="2123">
        <v>15.91</v>
      </c>
      <c r="BZ707" s="2123">
        <v>15.91</v>
      </c>
      <c r="CA707" s="2123">
        <v>44.14</v>
      </c>
      <c r="CB707" s="2123">
        <v>44.14</v>
      </c>
      <c r="CC707" s="2123">
        <v>42.47</v>
      </c>
      <c r="CD707" s="2123">
        <v>42.47</v>
      </c>
      <c r="CE707" s="2123">
        <v>43.9</v>
      </c>
      <c r="CF707" s="2123">
        <v>43.9</v>
      </c>
      <c r="CG707" s="2123"/>
      <c r="CH707" s="2123"/>
      <c r="CI707" s="2123"/>
      <c r="CJ707" s="2123"/>
      <c r="CK707" s="2123">
        <v>50.44</v>
      </c>
      <c r="CL707" s="2123">
        <v>50.44</v>
      </c>
      <c r="CM707" s="2123">
        <v>102.51</v>
      </c>
      <c r="CN707" s="2123">
        <v>102.51</v>
      </c>
      <c r="CO707" s="2123">
        <v>101.18</v>
      </c>
      <c r="CP707" s="2123">
        <v>101.18</v>
      </c>
      <c r="CQ707" s="2123">
        <v>101.18</v>
      </c>
      <c r="CR707" s="2123">
        <v>101.18</v>
      </c>
      <c r="CS707" s="2123"/>
      <c r="CT707" s="2123"/>
      <c r="CU707" s="2123"/>
      <c r="CV707" s="2123"/>
      <c r="CW707" s="2123">
        <v>36.630000000000003</v>
      </c>
      <c r="CX707" s="2123">
        <v>36.630000000000003</v>
      </c>
      <c r="CY707" s="2123">
        <v>94.12</v>
      </c>
      <c r="CZ707" s="2123">
        <v>94.12</v>
      </c>
      <c r="DA707" s="2123">
        <v>94.12</v>
      </c>
      <c r="DB707" s="2123">
        <v>94.12</v>
      </c>
      <c r="DC707" s="2123">
        <v>92.75</v>
      </c>
      <c r="DD707" s="2123">
        <v>92.75</v>
      </c>
      <c r="DE707" s="2123">
        <v>92.75</v>
      </c>
      <c r="DF707" s="2123">
        <v>92.75</v>
      </c>
      <c r="DG707" s="2123"/>
      <c r="DH707" s="2123"/>
      <c r="DI707" s="2123">
        <v>9.8000000000000007</v>
      </c>
      <c r="DJ707" s="2123">
        <v>9.8000000000000007</v>
      </c>
      <c r="DK707" s="2123">
        <v>9.8000000000000007</v>
      </c>
      <c r="DL707" s="2123">
        <v>9.8000000000000007</v>
      </c>
      <c r="DM707" s="2123">
        <v>9.8000000000000007</v>
      </c>
      <c r="DN707" s="2123">
        <v>9.8000000000000007</v>
      </c>
      <c r="DO707" s="2123"/>
      <c r="DP707" s="2123"/>
      <c r="DQ707" s="2123"/>
      <c r="DR707" s="2123"/>
      <c r="DS707" s="2123"/>
      <c r="DT707" s="2123"/>
      <c r="DU707" s="2123">
        <v>4.4800000000000004</v>
      </c>
      <c r="DV707" s="2123">
        <v>4.4800000000000004</v>
      </c>
      <c r="DW707" s="2123">
        <v>3.1</v>
      </c>
      <c r="DX707" s="2123">
        <v>3.1</v>
      </c>
      <c r="DY707" s="2123">
        <v>3.1</v>
      </c>
      <c r="DZ707" s="2123">
        <v>3.1</v>
      </c>
      <c r="EA707" s="2123"/>
      <c r="EB707" s="2123"/>
      <c r="EC707" s="2123"/>
      <c r="ED707" s="2123"/>
      <c r="EE707" s="2123"/>
      <c r="EF707" s="2123"/>
      <c r="EG707" s="2123">
        <v>5.35</v>
      </c>
      <c r="EH707" s="2123">
        <v>5.92</v>
      </c>
      <c r="EI707" s="2123">
        <v>2.16</v>
      </c>
      <c r="EJ707" s="2123">
        <v>2.16</v>
      </c>
      <c r="EK707" s="2123">
        <v>2.11</v>
      </c>
      <c r="EL707" s="2123">
        <v>2.11</v>
      </c>
      <c r="EM707" s="2123">
        <v>2.75</v>
      </c>
      <c r="EN707" s="2123">
        <v>2.75</v>
      </c>
      <c r="EO707" s="2123">
        <v>2.4</v>
      </c>
      <c r="EP707" s="2123">
        <v>2.4</v>
      </c>
      <c r="EQ707" s="2123">
        <v>2.46</v>
      </c>
      <c r="ER707" s="2123">
        <v>2.66</v>
      </c>
      <c r="ES707" s="2123">
        <v>19.09</v>
      </c>
      <c r="ET707" s="2123">
        <v>19.09</v>
      </c>
      <c r="EU707" s="2123">
        <v>53.81</v>
      </c>
      <c r="EV707" s="2123">
        <v>53.81</v>
      </c>
      <c r="EW707" s="2123">
        <v>51.17</v>
      </c>
      <c r="EX707" s="2123">
        <v>51.17</v>
      </c>
      <c r="EY707" s="2129">
        <f t="shared" si="55"/>
        <v>52.49</v>
      </c>
      <c r="EZ707" s="2129">
        <f t="shared" si="55"/>
        <v>52.49</v>
      </c>
      <c r="FA707" s="2123">
        <v>56.42</v>
      </c>
      <c r="FB707" s="2123">
        <v>56.42</v>
      </c>
      <c r="FC707" s="2123"/>
      <c r="FD707" s="2123"/>
      <c r="FE707" s="2123">
        <v>15.51</v>
      </c>
      <c r="FF707" s="2123">
        <v>15.51</v>
      </c>
      <c r="FG707" s="2123">
        <v>40.700000000000003</v>
      </c>
      <c r="FH707" s="2123">
        <v>40.700000000000003</v>
      </c>
      <c r="FI707" s="2123">
        <v>40.700000000000003</v>
      </c>
      <c r="FJ707" s="2123">
        <v>40.700000000000003</v>
      </c>
      <c r="FK707" s="2123">
        <v>39.520000000000003</v>
      </c>
      <c r="FL707" s="2123">
        <v>39.520000000000003</v>
      </c>
      <c r="FM707" s="2123">
        <v>41.19</v>
      </c>
      <c r="FN707" s="2123">
        <v>41.19</v>
      </c>
      <c r="FO707" s="2123"/>
      <c r="FP707" s="2123"/>
      <c r="FQ707" s="2123">
        <v>33.630000000000003</v>
      </c>
      <c r="FR707" s="2123">
        <v>33.630000000000003</v>
      </c>
      <c r="FS707" s="2123">
        <v>57.94</v>
      </c>
      <c r="FT707" s="2123">
        <v>57.94</v>
      </c>
      <c r="FU707" s="2123">
        <v>57.94</v>
      </c>
      <c r="FV707" s="2123">
        <v>57.94</v>
      </c>
      <c r="FW707" s="2123">
        <v>59.19</v>
      </c>
      <c r="FX707" s="2123">
        <v>59.19</v>
      </c>
      <c r="FY707" s="2123"/>
      <c r="FZ707" s="2123"/>
      <c r="GA707" s="2123"/>
      <c r="GB707" s="2123"/>
      <c r="GC707" s="2123">
        <v>24.98</v>
      </c>
      <c r="GD707" s="2123">
        <v>24.98</v>
      </c>
      <c r="GE707" s="2123">
        <v>64.64</v>
      </c>
      <c r="GF707" s="2123">
        <v>64.64</v>
      </c>
      <c r="GG707" s="2123">
        <v>64.64</v>
      </c>
      <c r="GH707" s="2123">
        <v>64.64</v>
      </c>
      <c r="GI707" s="2123">
        <v>21.31</v>
      </c>
      <c r="GJ707" s="2123">
        <v>21.31</v>
      </c>
      <c r="GK707" s="2123">
        <v>47.88</v>
      </c>
      <c r="GL707" s="2123">
        <v>47.88</v>
      </c>
      <c r="GM707" s="2123"/>
      <c r="GN707" s="2123"/>
      <c r="GO707" s="2123">
        <v>13.62</v>
      </c>
      <c r="GP707" s="2123">
        <v>13.62</v>
      </c>
      <c r="GQ707" s="2123">
        <v>6.73</v>
      </c>
      <c r="GR707" s="2123">
        <v>6.73</v>
      </c>
      <c r="GS707" s="2123">
        <v>6.73</v>
      </c>
      <c r="GT707" s="2123">
        <v>6.33</v>
      </c>
      <c r="GU707" s="2123">
        <v>6.33</v>
      </c>
      <c r="GV707" s="2123">
        <v>6.33</v>
      </c>
      <c r="GW707" s="2123">
        <v>40.14</v>
      </c>
      <c r="GX707" s="2123">
        <v>40.14</v>
      </c>
      <c r="GY707" s="2123"/>
      <c r="GZ707" s="2123"/>
      <c r="HA707" s="2123">
        <v>9.2200000000000006</v>
      </c>
      <c r="HB707" s="2123">
        <v>9.2200000000000006</v>
      </c>
      <c r="HC707" s="2123">
        <v>2.6</v>
      </c>
      <c r="HD707" s="2123">
        <v>2.6</v>
      </c>
      <c r="HE707" s="2123">
        <v>3.39</v>
      </c>
      <c r="HF707" s="2123">
        <v>3.39</v>
      </c>
      <c r="HG707" s="2123">
        <v>3.39</v>
      </c>
      <c r="HH707" s="2123">
        <v>3.39</v>
      </c>
      <c r="HI707" s="2123">
        <v>3.39</v>
      </c>
      <c r="HJ707" s="2123">
        <v>3.39</v>
      </c>
      <c r="HK707" s="2123">
        <v>3.26</v>
      </c>
      <c r="HL707" s="2123">
        <v>3.26</v>
      </c>
      <c r="HM707" s="2123">
        <v>12.85</v>
      </c>
      <c r="HN707" s="2123">
        <v>12.85</v>
      </c>
      <c r="HO707" s="2123">
        <v>3.81</v>
      </c>
      <c r="HP707" s="2123">
        <v>3.81</v>
      </c>
      <c r="HQ707" s="2123">
        <v>5.01</v>
      </c>
      <c r="HR707" s="2123">
        <v>5.01</v>
      </c>
      <c r="HS707" s="2123">
        <v>5.01</v>
      </c>
      <c r="HT707" s="2123">
        <v>5.01</v>
      </c>
      <c r="HU707" s="2123">
        <v>5.01</v>
      </c>
      <c r="HV707" s="2123">
        <v>5.01</v>
      </c>
      <c r="HW707" s="2123">
        <v>4.76</v>
      </c>
      <c r="HX707" s="2123">
        <v>4.76</v>
      </c>
    </row>
    <row r="708" spans="2:232" s="2040" customFormat="1" ht="14" hidden="1" x14ac:dyDescent="0.3">
      <c r="B708" s="2203">
        <v>14</v>
      </c>
      <c r="C708" s="2204">
        <v>15.99</v>
      </c>
      <c r="D708" s="2204">
        <v>15.99</v>
      </c>
      <c r="E708" s="2204">
        <v>18</v>
      </c>
      <c r="F708" s="2204">
        <v>18</v>
      </c>
      <c r="G708" s="2204">
        <v>50.76</v>
      </c>
      <c r="H708" s="2204">
        <v>50.76</v>
      </c>
      <c r="I708" s="2204">
        <v>43.78</v>
      </c>
      <c r="J708" s="2204">
        <v>43.78</v>
      </c>
      <c r="K708" s="2204">
        <v>58.81</v>
      </c>
      <c r="L708" s="2204">
        <v>58.81</v>
      </c>
      <c r="M708" s="2204"/>
      <c r="N708" s="2204"/>
      <c r="O708" s="2204">
        <v>49.51</v>
      </c>
      <c r="P708" s="2204">
        <v>49.51</v>
      </c>
      <c r="Q708" s="2204">
        <v>53.08</v>
      </c>
      <c r="R708" s="2204">
        <v>49.52</v>
      </c>
      <c r="S708" s="2204">
        <v>57.180000000000007</v>
      </c>
      <c r="T708" s="2204">
        <v>57.18</v>
      </c>
      <c r="U708" s="2204">
        <v>55.18</v>
      </c>
      <c r="V708" s="2204">
        <v>55.18</v>
      </c>
      <c r="W708" s="2204">
        <v>57.18</v>
      </c>
      <c r="X708" s="2204">
        <v>57.18</v>
      </c>
      <c r="Y708" s="2204">
        <v>55.18</v>
      </c>
      <c r="Z708" s="2204">
        <v>57.18</v>
      </c>
      <c r="AA708" s="2204">
        <v>57.18</v>
      </c>
      <c r="AB708" s="2204">
        <v>57.18</v>
      </c>
      <c r="AC708" s="2204">
        <v>55.18</v>
      </c>
      <c r="AD708" s="2204">
        <v>55.18</v>
      </c>
      <c r="AE708" s="2204">
        <v>73.59</v>
      </c>
      <c r="AF708" s="2204">
        <v>71.56</v>
      </c>
      <c r="AG708" s="2204">
        <v>73.59</v>
      </c>
      <c r="AH708" s="2204">
        <v>73.59</v>
      </c>
      <c r="AI708" s="2204">
        <v>71.56</v>
      </c>
      <c r="AJ708" s="2204">
        <v>71.56</v>
      </c>
      <c r="AK708" s="2204">
        <v>75.17</v>
      </c>
      <c r="AL708" s="2204">
        <v>75.17</v>
      </c>
      <c r="AM708" s="2204">
        <v>26.34</v>
      </c>
      <c r="AN708" s="2204">
        <v>25.32</v>
      </c>
      <c r="AO708" s="2204">
        <v>25.32</v>
      </c>
      <c r="AP708" s="2204">
        <v>25.32</v>
      </c>
      <c r="AQ708" s="2204">
        <v>28.66</v>
      </c>
      <c r="AR708" s="2204">
        <v>28.66</v>
      </c>
      <c r="AS708" s="2204">
        <v>57.63</v>
      </c>
      <c r="AT708" s="2204">
        <v>57.63</v>
      </c>
      <c r="AU708" s="2204">
        <v>57.63</v>
      </c>
      <c r="AV708" s="2204">
        <v>60.3</v>
      </c>
      <c r="AW708" s="2204">
        <v>55.89</v>
      </c>
      <c r="AX708" s="2204">
        <v>55.89</v>
      </c>
      <c r="AY708" s="2204">
        <v>56.18</v>
      </c>
      <c r="AZ708" s="2204">
        <v>56.18</v>
      </c>
      <c r="BA708" s="2123">
        <v>23.84</v>
      </c>
      <c r="BB708" s="2123">
        <v>23.84</v>
      </c>
      <c r="BC708" s="2123">
        <v>4.6100000000000003</v>
      </c>
      <c r="BD708" s="2123">
        <v>4.6100000000000003</v>
      </c>
      <c r="BE708" s="2123">
        <v>9.35</v>
      </c>
      <c r="BF708" s="2123">
        <v>9.35</v>
      </c>
      <c r="BG708" s="2123">
        <v>4.66</v>
      </c>
      <c r="BH708" s="2123">
        <v>4.66</v>
      </c>
      <c r="BI708" s="2123">
        <v>4.45</v>
      </c>
      <c r="BJ708" s="2123">
        <v>4.45</v>
      </c>
      <c r="BK708" s="2123">
        <v>4.45</v>
      </c>
      <c r="BL708" s="2123">
        <v>4.45</v>
      </c>
      <c r="BM708" s="2123">
        <v>19.309999999999999</v>
      </c>
      <c r="BN708" s="2123">
        <v>19.309999999999999</v>
      </c>
      <c r="BO708" s="2123">
        <v>52.82</v>
      </c>
      <c r="BP708" s="2123">
        <v>52.82</v>
      </c>
      <c r="BQ708" s="2123">
        <v>52.82</v>
      </c>
      <c r="BR708" s="2123">
        <v>52.82</v>
      </c>
      <c r="BS708" s="2123">
        <v>52.67</v>
      </c>
      <c r="BT708" s="2123">
        <v>52.67</v>
      </c>
      <c r="BU708" s="2123">
        <v>52.67</v>
      </c>
      <c r="BV708" s="2123">
        <v>52.67</v>
      </c>
      <c r="BW708" s="2123">
        <v>52.67</v>
      </c>
      <c r="BX708" s="2123">
        <v>52.67</v>
      </c>
      <c r="BY708" s="2123">
        <v>17.55</v>
      </c>
      <c r="BZ708" s="2123">
        <v>17.55</v>
      </c>
      <c r="CA708" s="2123">
        <v>49.33</v>
      </c>
      <c r="CB708" s="2123">
        <v>49.33</v>
      </c>
      <c r="CC708" s="2123">
        <v>47.83</v>
      </c>
      <c r="CD708" s="2123">
        <v>47.83</v>
      </c>
      <c r="CE708" s="2123">
        <v>50.51</v>
      </c>
      <c r="CF708" s="2123">
        <v>50.51</v>
      </c>
      <c r="CG708" s="2123"/>
      <c r="CH708" s="2123"/>
      <c r="CI708" s="2123"/>
      <c r="CJ708" s="2123"/>
      <c r="CK708" s="2123">
        <v>53.91</v>
      </c>
      <c r="CL708" s="2123">
        <v>53.91</v>
      </c>
      <c r="CM708" s="2123">
        <v>110.29</v>
      </c>
      <c r="CN708" s="2123">
        <v>110.29</v>
      </c>
      <c r="CO708" s="2123">
        <v>111.45</v>
      </c>
      <c r="CP708" s="2123">
        <v>111.45</v>
      </c>
      <c r="CQ708" s="2123">
        <v>111.45</v>
      </c>
      <c r="CR708" s="2123">
        <v>111.45</v>
      </c>
      <c r="CS708" s="2123"/>
      <c r="CT708" s="2123"/>
      <c r="CU708" s="2123"/>
      <c r="CV708" s="2123"/>
      <c r="CW708" s="2123">
        <v>40.46</v>
      </c>
      <c r="CX708" s="2123">
        <v>40.46</v>
      </c>
      <c r="CY708" s="2123">
        <v>101.7</v>
      </c>
      <c r="CZ708" s="2123">
        <v>101.7</v>
      </c>
      <c r="DA708" s="2123">
        <v>101.7</v>
      </c>
      <c r="DB708" s="2123">
        <v>101.7</v>
      </c>
      <c r="DC708" s="2123">
        <v>102.65</v>
      </c>
      <c r="DD708" s="2123">
        <v>102.65</v>
      </c>
      <c r="DE708" s="2123">
        <v>102.65</v>
      </c>
      <c r="DF708" s="2123">
        <v>102.65</v>
      </c>
      <c r="DG708" s="2123"/>
      <c r="DH708" s="2123"/>
      <c r="DI708" s="2123">
        <v>10.81</v>
      </c>
      <c r="DJ708" s="2123">
        <v>10.81</v>
      </c>
      <c r="DK708" s="2123">
        <v>10.81</v>
      </c>
      <c r="DL708" s="2123">
        <v>10.81</v>
      </c>
      <c r="DM708" s="2123">
        <v>10.81</v>
      </c>
      <c r="DN708" s="2123">
        <v>10.81</v>
      </c>
      <c r="DO708" s="2123"/>
      <c r="DP708" s="2123"/>
      <c r="DQ708" s="2123"/>
      <c r="DR708" s="2123"/>
      <c r="DS708" s="2123"/>
      <c r="DT708" s="2123"/>
      <c r="DU708" s="2123">
        <v>4.93</v>
      </c>
      <c r="DV708" s="2123">
        <v>4.93</v>
      </c>
      <c r="DW708" s="2123">
        <v>3.52</v>
      </c>
      <c r="DX708" s="2123">
        <v>3.52</v>
      </c>
      <c r="DY708" s="2123">
        <v>3.52</v>
      </c>
      <c r="DZ708" s="2123">
        <v>3.52</v>
      </c>
      <c r="EA708" s="2123"/>
      <c r="EB708" s="2123"/>
      <c r="EC708" s="2123"/>
      <c r="ED708" s="2123"/>
      <c r="EE708" s="2123"/>
      <c r="EF708" s="2123"/>
      <c r="EG708" s="2123">
        <v>5.78</v>
      </c>
      <c r="EH708" s="2123">
        <v>6.33</v>
      </c>
      <c r="EI708" s="2123">
        <v>2.46</v>
      </c>
      <c r="EJ708" s="2123">
        <v>2.46</v>
      </c>
      <c r="EK708" s="2123">
        <v>2.41</v>
      </c>
      <c r="EL708" s="2123">
        <v>2.41</v>
      </c>
      <c r="EM708" s="2123">
        <v>3.08</v>
      </c>
      <c r="EN708" s="2123">
        <v>3.08</v>
      </c>
      <c r="EO708" s="2123">
        <v>2.71</v>
      </c>
      <c r="EP708" s="2123">
        <v>2.71</v>
      </c>
      <c r="EQ708" s="2123">
        <v>2.77</v>
      </c>
      <c r="ER708" s="2123">
        <v>2.98</v>
      </c>
      <c r="ES708" s="2123">
        <v>20.78</v>
      </c>
      <c r="ET708" s="2123">
        <v>20.78</v>
      </c>
      <c r="EU708" s="2123">
        <v>60.63</v>
      </c>
      <c r="EV708" s="2123">
        <v>60.63</v>
      </c>
      <c r="EW708" s="2123">
        <v>57.82</v>
      </c>
      <c r="EX708" s="2123">
        <v>57.82</v>
      </c>
      <c r="EY708" s="2129">
        <f t="shared" si="55"/>
        <v>59.225000000000001</v>
      </c>
      <c r="EZ708" s="2129">
        <f t="shared" si="55"/>
        <v>59.225000000000001</v>
      </c>
      <c r="FA708" s="2123">
        <v>63.26</v>
      </c>
      <c r="FB708" s="2123">
        <v>63.26</v>
      </c>
      <c r="FC708" s="2123"/>
      <c r="FD708" s="2123"/>
      <c r="FE708" s="2123">
        <v>16.95</v>
      </c>
      <c r="FF708" s="2123">
        <v>16.95</v>
      </c>
      <c r="FG708" s="2123">
        <v>46.31</v>
      </c>
      <c r="FH708" s="2123">
        <v>46.31</v>
      </c>
      <c r="FI708" s="2123">
        <v>46.31</v>
      </c>
      <c r="FJ708" s="2123">
        <v>46.31</v>
      </c>
      <c r="FK708" s="2123">
        <v>45.09</v>
      </c>
      <c r="FL708" s="2123">
        <v>45.09</v>
      </c>
      <c r="FM708" s="2123">
        <v>46.81</v>
      </c>
      <c r="FN708" s="2123">
        <v>46.81</v>
      </c>
      <c r="FO708" s="2123"/>
      <c r="FP708" s="2123"/>
      <c r="FQ708" s="2123">
        <v>37.159999999999997</v>
      </c>
      <c r="FR708" s="2123">
        <v>37.159999999999997</v>
      </c>
      <c r="FS708" s="2123">
        <v>64.7</v>
      </c>
      <c r="FT708" s="2123">
        <v>64.7</v>
      </c>
      <c r="FU708" s="2123">
        <v>64.7</v>
      </c>
      <c r="FV708" s="2123">
        <v>64.7</v>
      </c>
      <c r="FW708" s="2123">
        <v>65.98</v>
      </c>
      <c r="FX708" s="2123">
        <v>65.98</v>
      </c>
      <c r="FY708" s="2123"/>
      <c r="FZ708" s="2123"/>
      <c r="GA708" s="2123"/>
      <c r="GB708" s="2123"/>
      <c r="GC708" s="2123">
        <v>27.05</v>
      </c>
      <c r="GD708" s="2123">
        <v>27.05</v>
      </c>
      <c r="GE708" s="2123">
        <v>69.08</v>
      </c>
      <c r="GF708" s="2123">
        <v>69.08</v>
      </c>
      <c r="GG708" s="2123">
        <v>69.08</v>
      </c>
      <c r="GH708" s="2123">
        <v>69.08</v>
      </c>
      <c r="GI708" s="2123">
        <v>24.89</v>
      </c>
      <c r="GJ708" s="2123">
        <v>24.89</v>
      </c>
      <c r="GK708" s="2123">
        <v>53.22</v>
      </c>
      <c r="GL708" s="2123">
        <v>53.22</v>
      </c>
      <c r="GM708" s="2123"/>
      <c r="GN708" s="2123"/>
      <c r="GO708" s="2123">
        <v>14.79</v>
      </c>
      <c r="GP708" s="2123">
        <v>14.79</v>
      </c>
      <c r="GQ708" s="2123">
        <v>7.78</v>
      </c>
      <c r="GR708" s="2123">
        <v>7.78</v>
      </c>
      <c r="GS708" s="2123">
        <v>7.78</v>
      </c>
      <c r="GT708" s="2123">
        <v>7.34</v>
      </c>
      <c r="GU708" s="2123">
        <v>7.34</v>
      </c>
      <c r="GV708" s="2123">
        <v>7.34</v>
      </c>
      <c r="GW708" s="2123">
        <v>46.26</v>
      </c>
      <c r="GX708" s="2123">
        <v>46.26</v>
      </c>
      <c r="GY708" s="2123"/>
      <c r="GZ708" s="2123"/>
      <c r="HA708" s="2123">
        <v>10.16</v>
      </c>
      <c r="HB708" s="2123">
        <v>10.16</v>
      </c>
      <c r="HC708" s="2123">
        <v>3.11</v>
      </c>
      <c r="HD708" s="2123">
        <v>3.11</v>
      </c>
      <c r="HE708" s="2123">
        <v>4</v>
      </c>
      <c r="HF708" s="2123">
        <v>4</v>
      </c>
      <c r="HG708" s="2123">
        <v>4</v>
      </c>
      <c r="HH708" s="2123">
        <v>4</v>
      </c>
      <c r="HI708" s="2123">
        <v>4</v>
      </c>
      <c r="HJ708" s="2123">
        <v>4</v>
      </c>
      <c r="HK708" s="2123">
        <v>3.87</v>
      </c>
      <c r="HL708" s="2123">
        <v>3.87</v>
      </c>
      <c r="HM708" s="2123">
        <v>14.17</v>
      </c>
      <c r="HN708" s="2123">
        <v>14.17</v>
      </c>
      <c r="HO708" s="2123">
        <v>4.57</v>
      </c>
      <c r="HP708" s="2123">
        <v>4.57</v>
      </c>
      <c r="HQ708" s="2123">
        <v>5.91</v>
      </c>
      <c r="HR708" s="2123">
        <v>5.91</v>
      </c>
      <c r="HS708" s="2123">
        <v>5.91</v>
      </c>
      <c r="HT708" s="2123">
        <v>5.91</v>
      </c>
      <c r="HU708" s="2123">
        <v>5.91</v>
      </c>
      <c r="HV708" s="2123">
        <v>5.91</v>
      </c>
      <c r="HW708" s="2123">
        <v>5.65</v>
      </c>
      <c r="HX708" s="2123">
        <v>5.65</v>
      </c>
    </row>
    <row r="709" spans="2:232" s="2040" customFormat="1" ht="14" hidden="1" x14ac:dyDescent="0.3">
      <c r="B709" s="2203">
        <v>15</v>
      </c>
      <c r="C709" s="2204">
        <v>17.41</v>
      </c>
      <c r="D709" s="2204">
        <v>17.41</v>
      </c>
      <c r="E709" s="2204">
        <v>19.309999999999999</v>
      </c>
      <c r="F709" s="2204">
        <v>19.309999999999999</v>
      </c>
      <c r="G709" s="2204">
        <v>56.03</v>
      </c>
      <c r="H709" s="2204">
        <v>56.03</v>
      </c>
      <c r="I709" s="2204">
        <v>48.62</v>
      </c>
      <c r="J709" s="2204">
        <v>48.62</v>
      </c>
      <c r="K709" s="2204">
        <v>64.45</v>
      </c>
      <c r="L709" s="2204">
        <v>64.45</v>
      </c>
      <c r="M709" s="2204"/>
      <c r="N709" s="2204"/>
      <c r="O709" s="2204">
        <v>53.98</v>
      </c>
      <c r="P709" s="2204">
        <v>53.98</v>
      </c>
      <c r="Q709" s="2204">
        <v>57.31</v>
      </c>
      <c r="R709" s="2204">
        <v>53.98</v>
      </c>
      <c r="S709" s="2204">
        <v>64.990000000000009</v>
      </c>
      <c r="T709" s="2204">
        <v>64.989999999999995</v>
      </c>
      <c r="U709" s="2204">
        <v>62.72</v>
      </c>
      <c r="V709" s="2204">
        <v>62.72</v>
      </c>
      <c r="W709" s="2204">
        <v>64.989999999999995</v>
      </c>
      <c r="X709" s="2204">
        <v>64.989999999999995</v>
      </c>
      <c r="Y709" s="2204">
        <v>62.72</v>
      </c>
      <c r="Z709" s="2204">
        <v>64.989999999999995</v>
      </c>
      <c r="AA709" s="2204">
        <v>64.989999999999995</v>
      </c>
      <c r="AB709" s="2204">
        <v>64.989999999999995</v>
      </c>
      <c r="AC709" s="2204">
        <v>62.72</v>
      </c>
      <c r="AD709" s="2204">
        <v>62.72</v>
      </c>
      <c r="AE709" s="2204">
        <v>82.18</v>
      </c>
      <c r="AF709" s="2204">
        <v>79.91</v>
      </c>
      <c r="AG709" s="2204">
        <v>82.18</v>
      </c>
      <c r="AH709" s="2204">
        <v>82.18</v>
      </c>
      <c r="AI709" s="2204">
        <v>79.91</v>
      </c>
      <c r="AJ709" s="2204">
        <v>79.91</v>
      </c>
      <c r="AK709" s="2204">
        <v>83.39</v>
      </c>
      <c r="AL709" s="2204">
        <v>83.39</v>
      </c>
      <c r="AM709" s="2204">
        <v>28.7</v>
      </c>
      <c r="AN709" s="2204">
        <v>27.59</v>
      </c>
      <c r="AO709" s="2204">
        <v>27.59</v>
      </c>
      <c r="AP709" s="2204">
        <v>27.59</v>
      </c>
      <c r="AQ709" s="2204">
        <v>30.75</v>
      </c>
      <c r="AR709" s="2204">
        <v>30.75</v>
      </c>
      <c r="AS709" s="2204">
        <v>64.260000000000005</v>
      </c>
      <c r="AT709" s="2204">
        <v>64.260000000000005</v>
      </c>
      <c r="AU709" s="2204">
        <v>64.260000000000005</v>
      </c>
      <c r="AV709" s="2204">
        <v>67.08</v>
      </c>
      <c r="AW709" s="2204">
        <v>62.67</v>
      </c>
      <c r="AX709" s="2204">
        <v>62.67</v>
      </c>
      <c r="AY709" s="2204">
        <v>62.96</v>
      </c>
      <c r="AZ709" s="2204">
        <v>62.96</v>
      </c>
      <c r="BA709" s="2123">
        <v>26.71</v>
      </c>
      <c r="BB709" s="2123">
        <v>26.71</v>
      </c>
      <c r="BC709" s="2123">
        <v>5.3</v>
      </c>
      <c r="BD709" s="2123">
        <v>5.3</v>
      </c>
      <c r="BE709" s="2123">
        <v>10.18</v>
      </c>
      <c r="BF709" s="2123">
        <v>10.18</v>
      </c>
      <c r="BG709" s="2123">
        <v>5.35</v>
      </c>
      <c r="BH709" s="2123">
        <v>5.35</v>
      </c>
      <c r="BI709" s="2123">
        <v>5.14</v>
      </c>
      <c r="BJ709" s="2123">
        <v>5.14</v>
      </c>
      <c r="BK709" s="2123">
        <v>5.14</v>
      </c>
      <c r="BL709" s="2123">
        <v>5.14</v>
      </c>
      <c r="BM709" s="2123">
        <v>21.02</v>
      </c>
      <c r="BN709" s="2123">
        <v>21.02</v>
      </c>
      <c r="BO709" s="2123">
        <v>58.04</v>
      </c>
      <c r="BP709" s="2123">
        <v>58.04</v>
      </c>
      <c r="BQ709" s="2123">
        <v>58.04</v>
      </c>
      <c r="BR709" s="2123">
        <v>58.04</v>
      </c>
      <c r="BS709" s="2123">
        <v>59.27</v>
      </c>
      <c r="BT709" s="2123">
        <v>59.27</v>
      </c>
      <c r="BU709" s="2123">
        <v>59.27</v>
      </c>
      <c r="BV709" s="2123">
        <v>59.27</v>
      </c>
      <c r="BW709" s="2123">
        <v>59.27</v>
      </c>
      <c r="BX709" s="2123">
        <v>59.27</v>
      </c>
      <c r="BY709" s="2123">
        <v>19.11</v>
      </c>
      <c r="BZ709" s="2123">
        <v>19.11</v>
      </c>
      <c r="CA709" s="2123">
        <v>54.32</v>
      </c>
      <c r="CB709" s="2123">
        <v>54.32</v>
      </c>
      <c r="CC709" s="2123">
        <v>52.99</v>
      </c>
      <c r="CD709" s="2123">
        <v>52.99</v>
      </c>
      <c r="CE709" s="2123">
        <v>56.98</v>
      </c>
      <c r="CF709" s="2123">
        <v>56.98</v>
      </c>
      <c r="CG709" s="2123"/>
      <c r="CH709" s="2123"/>
      <c r="CI709" s="2123"/>
      <c r="CJ709" s="2123"/>
      <c r="CK709" s="2123">
        <v>57.2</v>
      </c>
      <c r="CL709" s="2123">
        <v>57.2</v>
      </c>
      <c r="CM709" s="2123">
        <v>117.58</v>
      </c>
      <c r="CN709" s="2123">
        <v>117.58</v>
      </c>
      <c r="CO709" s="2123">
        <v>121.23</v>
      </c>
      <c r="CP709" s="2123">
        <v>121.23</v>
      </c>
      <c r="CQ709" s="2123">
        <v>121.23</v>
      </c>
      <c r="CR709" s="2123">
        <v>121.23</v>
      </c>
      <c r="CS709" s="2123"/>
      <c r="CT709" s="2123"/>
      <c r="CU709" s="2123"/>
      <c r="CV709" s="2123"/>
      <c r="CW709" s="2123">
        <v>44.1</v>
      </c>
      <c r="CX709" s="2123">
        <v>44.1</v>
      </c>
      <c r="CY709" s="2123">
        <v>108.82</v>
      </c>
      <c r="CZ709" s="2123">
        <v>108.82</v>
      </c>
      <c r="DA709" s="2123">
        <v>108.82</v>
      </c>
      <c r="DB709" s="2123">
        <v>108.82</v>
      </c>
      <c r="DC709" s="2123">
        <v>112.11</v>
      </c>
      <c r="DD709" s="2123">
        <v>112.11</v>
      </c>
      <c r="DE709" s="2123">
        <v>112.11</v>
      </c>
      <c r="DF709" s="2123">
        <v>112.11</v>
      </c>
      <c r="DG709" s="2123"/>
      <c r="DH709" s="2123"/>
      <c r="DI709" s="2123">
        <v>11.76</v>
      </c>
      <c r="DJ709" s="2123">
        <v>11.76</v>
      </c>
      <c r="DK709" s="2123">
        <v>11.76</v>
      </c>
      <c r="DL709" s="2123">
        <v>11.76</v>
      </c>
      <c r="DM709" s="2123">
        <v>11.76</v>
      </c>
      <c r="DN709" s="2123">
        <v>11.76</v>
      </c>
      <c r="DO709" s="2123"/>
      <c r="DP709" s="2123"/>
      <c r="DQ709" s="2123"/>
      <c r="DR709" s="2123"/>
      <c r="DS709" s="2123"/>
      <c r="DT709" s="2123"/>
      <c r="DU709" s="2123">
        <v>5.35</v>
      </c>
      <c r="DV709" s="2123">
        <v>5.35</v>
      </c>
      <c r="DW709" s="2123">
        <v>3.93</v>
      </c>
      <c r="DX709" s="2123">
        <v>3.93</v>
      </c>
      <c r="DY709" s="2123">
        <v>3.93</v>
      </c>
      <c r="DZ709" s="2123">
        <v>3.93</v>
      </c>
      <c r="EA709" s="2123"/>
      <c r="EB709" s="2123"/>
      <c r="EC709" s="2123"/>
      <c r="ED709" s="2123"/>
      <c r="EE709" s="2123"/>
      <c r="EF709" s="2123"/>
      <c r="EG709" s="2123">
        <v>5.95</v>
      </c>
      <c r="EH709" s="2123">
        <v>6.49</v>
      </c>
      <c r="EI709" s="2123">
        <v>2.59</v>
      </c>
      <c r="EJ709" s="2123">
        <v>2.59</v>
      </c>
      <c r="EK709" s="2123">
        <v>2.5299999999999998</v>
      </c>
      <c r="EL709" s="2123">
        <v>2.5299999999999998</v>
      </c>
      <c r="EM709" s="2123">
        <v>3.22</v>
      </c>
      <c r="EN709" s="2123">
        <v>3.22</v>
      </c>
      <c r="EO709" s="2123">
        <v>2.84</v>
      </c>
      <c r="EP709" s="2123">
        <v>2.84</v>
      </c>
      <c r="EQ709" s="2123">
        <v>2.91</v>
      </c>
      <c r="ER709" s="2123">
        <v>3.12</v>
      </c>
      <c r="ES709" s="2123">
        <v>21.76</v>
      </c>
      <c r="ET709" s="2123">
        <v>21.76</v>
      </c>
      <c r="EU709" s="2123">
        <v>64.709999999999994</v>
      </c>
      <c r="EV709" s="2123">
        <v>64.709999999999994</v>
      </c>
      <c r="EW709" s="2123">
        <v>61.8</v>
      </c>
      <c r="EX709" s="2123">
        <v>61.8</v>
      </c>
      <c r="EY709" s="2129">
        <f t="shared" si="55"/>
        <v>63.254999999999995</v>
      </c>
      <c r="EZ709" s="2129">
        <f t="shared" si="55"/>
        <v>63.254999999999995</v>
      </c>
      <c r="FA709" s="2123">
        <v>67.33</v>
      </c>
      <c r="FB709" s="2123">
        <v>67.33</v>
      </c>
      <c r="FC709" s="2123"/>
      <c r="FD709" s="2123"/>
      <c r="FE709" s="2123">
        <v>17.79</v>
      </c>
      <c r="FF709" s="2123">
        <v>17.79</v>
      </c>
      <c r="FG709" s="2123">
        <v>49.7</v>
      </c>
      <c r="FH709" s="2123">
        <v>49.7</v>
      </c>
      <c r="FI709" s="2123">
        <v>49.7</v>
      </c>
      <c r="FJ709" s="2123">
        <v>49.7</v>
      </c>
      <c r="FK709" s="2123">
        <v>48.47</v>
      </c>
      <c r="FL709" s="2123">
        <v>48.47</v>
      </c>
      <c r="FM709" s="2123">
        <v>50.22</v>
      </c>
      <c r="FN709" s="2123">
        <v>50.22</v>
      </c>
      <c r="FO709" s="2123"/>
      <c r="FP709" s="2123"/>
      <c r="FQ709" s="2123">
        <v>40.06</v>
      </c>
      <c r="FR709" s="2123">
        <v>40.06</v>
      </c>
      <c r="FS709" s="2123">
        <v>70.31</v>
      </c>
      <c r="FT709" s="2123">
        <v>70.31</v>
      </c>
      <c r="FU709" s="2123">
        <v>70.31</v>
      </c>
      <c r="FV709" s="2123">
        <v>70.31</v>
      </c>
      <c r="FW709" s="2123">
        <v>71.599999999999994</v>
      </c>
      <c r="FX709" s="2123">
        <v>71.599999999999994</v>
      </c>
      <c r="FY709" s="2123"/>
      <c r="FZ709" s="2123"/>
      <c r="GA709" s="2123"/>
      <c r="GB709" s="2123"/>
      <c r="GC709" s="2123">
        <v>28.94</v>
      </c>
      <c r="GD709" s="2123">
        <v>28.94</v>
      </c>
      <c r="GE709" s="2123">
        <v>73.13</v>
      </c>
      <c r="GF709" s="2123">
        <v>73.13</v>
      </c>
      <c r="GG709" s="2123">
        <v>73.13</v>
      </c>
      <c r="GH709" s="2123">
        <v>73.13</v>
      </c>
      <c r="GI709" s="2123">
        <v>28.61</v>
      </c>
      <c r="GJ709" s="2123">
        <v>28.61</v>
      </c>
      <c r="GK709" s="2123">
        <v>58.25</v>
      </c>
      <c r="GL709" s="2123">
        <v>58.25</v>
      </c>
      <c r="GM709" s="2123"/>
      <c r="GN709" s="2123"/>
      <c r="GO709" s="2123">
        <v>15.59</v>
      </c>
      <c r="GP709" s="2123">
        <v>15.59</v>
      </c>
      <c r="GQ709" s="2123">
        <v>8.82</v>
      </c>
      <c r="GR709" s="2123">
        <v>8.82</v>
      </c>
      <c r="GS709" s="2123">
        <v>8.82</v>
      </c>
      <c r="GT709" s="2123">
        <v>8.34</v>
      </c>
      <c r="GU709" s="2123">
        <v>8.34</v>
      </c>
      <c r="GV709" s="2123">
        <v>8.34</v>
      </c>
      <c r="GW709" s="2123">
        <v>52.25</v>
      </c>
      <c r="GX709" s="2123">
        <v>52.25</v>
      </c>
      <c r="GY709" s="2123"/>
      <c r="GZ709" s="2123"/>
      <c r="HA709" s="2123">
        <v>11.05</v>
      </c>
      <c r="HB709" s="2123">
        <v>11.05</v>
      </c>
      <c r="HC709" s="2123">
        <v>3.66</v>
      </c>
      <c r="HD709" s="2123">
        <v>3.66</v>
      </c>
      <c r="HE709" s="2123">
        <v>4.62</v>
      </c>
      <c r="HF709" s="2123">
        <v>4.62</v>
      </c>
      <c r="HG709" s="2123">
        <v>4.62</v>
      </c>
      <c r="HH709" s="2123">
        <v>4.62</v>
      </c>
      <c r="HI709" s="2123">
        <v>4.62</v>
      </c>
      <c r="HJ709" s="2123">
        <v>4.62</v>
      </c>
      <c r="HK709" s="2123">
        <v>4.5</v>
      </c>
      <c r="HL709" s="2123">
        <v>4.5</v>
      </c>
      <c r="HM709" s="2123">
        <v>15.42</v>
      </c>
      <c r="HN709" s="2123">
        <v>15.42</v>
      </c>
      <c r="HO709" s="2123">
        <v>5.38</v>
      </c>
      <c r="HP709" s="2123">
        <v>5.38</v>
      </c>
      <c r="HQ709" s="2123">
        <v>6.81</v>
      </c>
      <c r="HR709" s="2123">
        <v>6.81</v>
      </c>
      <c r="HS709" s="2123">
        <v>6.81</v>
      </c>
      <c r="HT709" s="2123">
        <v>6.81</v>
      </c>
      <c r="HU709" s="2123">
        <v>6.81</v>
      </c>
      <c r="HV709" s="2123">
        <v>6.81</v>
      </c>
      <c r="HW709" s="2123">
        <v>6.55</v>
      </c>
      <c r="HX709" s="2123">
        <v>6.55</v>
      </c>
    </row>
    <row r="710" spans="2:232" s="2040" customFormat="1" ht="14" hidden="1" x14ac:dyDescent="0.3">
      <c r="B710" s="2203">
        <v>16</v>
      </c>
      <c r="C710" s="2204">
        <v>18.75</v>
      </c>
      <c r="D710" s="2204">
        <v>18.75</v>
      </c>
      <c r="E710" s="2204">
        <v>20.54</v>
      </c>
      <c r="F710" s="2204">
        <v>20.54</v>
      </c>
      <c r="G710" s="2204">
        <v>61.1</v>
      </c>
      <c r="H710" s="2204">
        <v>61.1</v>
      </c>
      <c r="I710" s="2204">
        <v>53.31</v>
      </c>
      <c r="J710" s="2204">
        <v>53.31</v>
      </c>
      <c r="K710" s="2204">
        <v>69.81</v>
      </c>
      <c r="L710" s="2204">
        <v>69.81</v>
      </c>
      <c r="M710" s="2204"/>
      <c r="N710" s="2204"/>
      <c r="O710" s="2204">
        <v>58.21</v>
      </c>
      <c r="P710" s="2204">
        <v>58.21</v>
      </c>
      <c r="Q710" s="2204">
        <v>61.32</v>
      </c>
      <c r="R710" s="2204">
        <v>58.22</v>
      </c>
      <c r="S710" s="2204">
        <v>72.610000000000014</v>
      </c>
      <c r="T710" s="2204">
        <v>72.61</v>
      </c>
      <c r="U710" s="2204">
        <v>70.08</v>
      </c>
      <c r="V710" s="2204">
        <v>70.08</v>
      </c>
      <c r="W710" s="2204">
        <v>72.61</v>
      </c>
      <c r="X710" s="2204">
        <v>72.61</v>
      </c>
      <c r="Y710" s="2204">
        <v>70.08</v>
      </c>
      <c r="Z710" s="2204">
        <v>72.61</v>
      </c>
      <c r="AA710" s="2204">
        <v>72.61</v>
      </c>
      <c r="AB710" s="2204">
        <v>72.61</v>
      </c>
      <c r="AC710" s="2204">
        <v>70.08</v>
      </c>
      <c r="AD710" s="2204">
        <v>70.08</v>
      </c>
      <c r="AE710" s="2204">
        <v>90.46</v>
      </c>
      <c r="AF710" s="2204">
        <v>87.96</v>
      </c>
      <c r="AG710" s="2204">
        <v>90.46</v>
      </c>
      <c r="AH710" s="2204">
        <v>90.46</v>
      </c>
      <c r="AI710" s="2204">
        <v>87.96</v>
      </c>
      <c r="AJ710" s="2204">
        <v>87.96</v>
      </c>
      <c r="AK710" s="2204">
        <v>91.3</v>
      </c>
      <c r="AL710" s="2204">
        <v>91.3</v>
      </c>
      <c r="AM710" s="2204">
        <v>30.93</v>
      </c>
      <c r="AN710" s="2204">
        <v>29.75</v>
      </c>
      <c r="AO710" s="2204">
        <v>29.75</v>
      </c>
      <c r="AP710" s="2204">
        <v>29.75</v>
      </c>
      <c r="AQ710" s="2204">
        <v>32.74</v>
      </c>
      <c r="AR710" s="2204">
        <v>32.74</v>
      </c>
      <c r="AS710" s="2204">
        <v>70.67</v>
      </c>
      <c r="AT710" s="2204">
        <v>70.67</v>
      </c>
      <c r="AU710" s="2204">
        <v>70.67</v>
      </c>
      <c r="AV710" s="2204">
        <v>73.63</v>
      </c>
      <c r="AW710" s="2204">
        <v>69.23</v>
      </c>
      <c r="AX710" s="2204">
        <v>69.23</v>
      </c>
      <c r="AY710" s="2204">
        <v>69.510000000000005</v>
      </c>
      <c r="AZ710" s="2204">
        <v>69.510000000000005</v>
      </c>
      <c r="BA710" s="2123">
        <v>29.49</v>
      </c>
      <c r="BB710" s="2123">
        <v>29.49</v>
      </c>
      <c r="BC710" s="2123">
        <v>5.97</v>
      </c>
      <c r="BD710" s="2123">
        <v>5.97</v>
      </c>
      <c r="BE710" s="2123">
        <v>10.96</v>
      </c>
      <c r="BF710" s="2123">
        <v>10.96</v>
      </c>
      <c r="BG710" s="2123">
        <v>6.02</v>
      </c>
      <c r="BH710" s="2123">
        <v>6.02</v>
      </c>
      <c r="BI710" s="2123">
        <v>5.82</v>
      </c>
      <c r="BJ710" s="2123">
        <v>5.82</v>
      </c>
      <c r="BK710" s="2123">
        <v>5.82</v>
      </c>
      <c r="BL710" s="2123">
        <v>5.82</v>
      </c>
      <c r="BM710" s="2123">
        <v>22.65</v>
      </c>
      <c r="BN710" s="2123">
        <v>22.65</v>
      </c>
      <c r="BO710" s="2123">
        <v>63.04</v>
      </c>
      <c r="BP710" s="2123">
        <v>63.04</v>
      </c>
      <c r="BQ710" s="2123">
        <v>63.04</v>
      </c>
      <c r="BR710" s="2123">
        <v>63.04</v>
      </c>
      <c r="BS710" s="2123">
        <v>65.680000000000007</v>
      </c>
      <c r="BT710" s="2123">
        <v>65.680000000000007</v>
      </c>
      <c r="BU710" s="2123">
        <v>65.680000000000007</v>
      </c>
      <c r="BV710" s="2123">
        <v>65.680000000000007</v>
      </c>
      <c r="BW710" s="2123">
        <v>65.680000000000007</v>
      </c>
      <c r="BX710" s="2123">
        <v>65.680000000000007</v>
      </c>
      <c r="BY710" s="2123">
        <v>20.59</v>
      </c>
      <c r="BZ710" s="2123">
        <v>20.59</v>
      </c>
      <c r="CA710" s="2123">
        <v>59.11</v>
      </c>
      <c r="CB710" s="2123">
        <v>59.11</v>
      </c>
      <c r="CC710" s="2123">
        <v>57.95</v>
      </c>
      <c r="CD710" s="2123">
        <v>57.95</v>
      </c>
      <c r="CE710" s="2123">
        <v>63.28</v>
      </c>
      <c r="CF710" s="2123">
        <v>63.28</v>
      </c>
      <c r="CG710" s="2123"/>
      <c r="CH710" s="2123"/>
      <c r="CI710" s="2123"/>
      <c r="CJ710" s="2123"/>
      <c r="CK710" s="2123">
        <v>60.31</v>
      </c>
      <c r="CL710" s="2123">
        <v>60.31</v>
      </c>
      <c r="CM710" s="2123">
        <v>124.42</v>
      </c>
      <c r="CN710" s="2123">
        <v>124.42</v>
      </c>
      <c r="CO710" s="2123">
        <v>130.54</v>
      </c>
      <c r="CP710" s="2123">
        <v>130.54</v>
      </c>
      <c r="CQ710" s="2123">
        <v>130.54</v>
      </c>
      <c r="CR710" s="2123">
        <v>130.54</v>
      </c>
      <c r="CS710" s="2123"/>
      <c r="CT710" s="2123"/>
      <c r="CU710" s="2123"/>
      <c r="CV710" s="2123"/>
      <c r="CW710" s="2123">
        <v>47.55</v>
      </c>
      <c r="CX710" s="2123">
        <v>47.55</v>
      </c>
      <c r="CY710" s="2123">
        <v>115.52</v>
      </c>
      <c r="CZ710" s="2123">
        <v>115.52</v>
      </c>
      <c r="DA710" s="2123">
        <v>115.52</v>
      </c>
      <c r="DB710" s="2123">
        <v>115.52</v>
      </c>
      <c r="DC710" s="2123">
        <v>121.14</v>
      </c>
      <c r="DD710" s="2123">
        <v>121.14</v>
      </c>
      <c r="DE710" s="2123">
        <v>121.14</v>
      </c>
      <c r="DF710" s="2123">
        <v>121.14</v>
      </c>
      <c r="DG710" s="2123"/>
      <c r="DH710" s="2123"/>
      <c r="DI710" s="2123">
        <v>12.66</v>
      </c>
      <c r="DJ710" s="2123">
        <v>12.66</v>
      </c>
      <c r="DK710" s="2123">
        <v>12.66</v>
      </c>
      <c r="DL710" s="2123">
        <v>12.66</v>
      </c>
      <c r="DM710" s="2123">
        <v>12.66</v>
      </c>
      <c r="DN710" s="2123">
        <v>12.66</v>
      </c>
      <c r="DO710" s="2123"/>
      <c r="DP710" s="2123"/>
      <c r="DQ710" s="2123"/>
      <c r="DR710" s="2123"/>
      <c r="DS710" s="2123"/>
      <c r="DT710" s="2123"/>
      <c r="DU710" s="2123">
        <v>5.74</v>
      </c>
      <c r="DV710" s="2123">
        <v>5.74</v>
      </c>
      <c r="DW710" s="2123">
        <v>4.32</v>
      </c>
      <c r="DX710" s="2123">
        <v>4.32</v>
      </c>
      <c r="DY710" s="2123">
        <v>4.32</v>
      </c>
      <c r="DZ710" s="2123">
        <v>4.32</v>
      </c>
      <c r="EA710" s="2123"/>
      <c r="EB710" s="2123"/>
      <c r="EC710" s="2123"/>
      <c r="ED710" s="2123"/>
      <c r="EE710" s="2123"/>
      <c r="EF710" s="2123"/>
      <c r="EG710" s="2123">
        <v>6.46</v>
      </c>
      <c r="EH710" s="2123">
        <v>6.98</v>
      </c>
      <c r="EI710" s="2123">
        <v>2.98</v>
      </c>
      <c r="EJ710" s="2123">
        <v>2.98</v>
      </c>
      <c r="EK710" s="2123">
        <v>2.93</v>
      </c>
      <c r="EL710" s="2123">
        <v>2.93</v>
      </c>
      <c r="EM710" s="2123">
        <v>3.65</v>
      </c>
      <c r="EN710" s="2123">
        <v>3.65</v>
      </c>
      <c r="EO710" s="2123">
        <v>3.24</v>
      </c>
      <c r="EP710" s="2123">
        <v>3.24</v>
      </c>
      <c r="EQ710" s="2123">
        <v>3.32</v>
      </c>
      <c r="ER710" s="2123">
        <v>3.53</v>
      </c>
      <c r="ES710" s="2123">
        <v>23.47</v>
      </c>
      <c r="ET710" s="2123">
        <v>23.47</v>
      </c>
      <c r="EU710" s="2123">
        <v>72.010000000000005</v>
      </c>
      <c r="EV710" s="2123">
        <v>72.010000000000005</v>
      </c>
      <c r="EW710" s="2123">
        <v>68.94</v>
      </c>
      <c r="EX710" s="2123">
        <v>68.94</v>
      </c>
      <c r="EY710" s="2129">
        <f t="shared" si="55"/>
        <v>70.474999999999994</v>
      </c>
      <c r="EZ710" s="2129">
        <f t="shared" si="55"/>
        <v>70.474999999999994</v>
      </c>
      <c r="FA710" s="2123">
        <v>74.599999999999994</v>
      </c>
      <c r="FB710" s="2123">
        <v>74.599999999999994</v>
      </c>
      <c r="FC710" s="2123"/>
      <c r="FD710" s="2123"/>
      <c r="FE710" s="2123">
        <v>19.38</v>
      </c>
      <c r="FF710" s="2123">
        <v>19.38</v>
      </c>
      <c r="FG710" s="2123">
        <v>56.27</v>
      </c>
      <c r="FH710" s="2123">
        <v>56.27</v>
      </c>
      <c r="FI710" s="2123">
        <v>56.27</v>
      </c>
      <c r="FJ710" s="2123">
        <v>56.27</v>
      </c>
      <c r="FK710" s="2123">
        <v>55.01</v>
      </c>
      <c r="FL710" s="2123">
        <v>55.01</v>
      </c>
      <c r="FM710" s="2123">
        <v>56.8</v>
      </c>
      <c r="FN710" s="2123">
        <v>56.8</v>
      </c>
      <c r="FO710" s="2123"/>
      <c r="FP710" s="2123"/>
      <c r="FQ710" s="2123">
        <v>43</v>
      </c>
      <c r="FR710" s="2123">
        <v>43</v>
      </c>
      <c r="FS710" s="2123">
        <v>76.06</v>
      </c>
      <c r="FT710" s="2123">
        <v>76.06</v>
      </c>
      <c r="FU710" s="2123">
        <v>76.06</v>
      </c>
      <c r="FV710" s="2123">
        <v>76.06</v>
      </c>
      <c r="FW710" s="2123">
        <v>77.37</v>
      </c>
      <c r="FX710" s="2123">
        <v>77.37</v>
      </c>
      <c r="FY710" s="2123"/>
      <c r="FZ710" s="2123"/>
      <c r="GA710" s="2123"/>
      <c r="GB710" s="2123"/>
      <c r="GC710" s="2123">
        <v>31.36</v>
      </c>
      <c r="GD710" s="2123">
        <v>31.36</v>
      </c>
      <c r="GE710" s="2123">
        <v>78.260000000000005</v>
      </c>
      <c r="GF710" s="2123">
        <v>78.260000000000005</v>
      </c>
      <c r="GG710" s="2123">
        <v>78.260000000000005</v>
      </c>
      <c r="GH710" s="2123">
        <v>78.260000000000005</v>
      </c>
      <c r="GI710" s="2123">
        <v>33.9</v>
      </c>
      <c r="GJ710" s="2123">
        <v>33.9</v>
      </c>
      <c r="GK710" s="2123">
        <v>64.81</v>
      </c>
      <c r="GL710" s="2123">
        <v>64.81</v>
      </c>
      <c r="GM710" s="2123"/>
      <c r="GN710" s="2123"/>
      <c r="GO710" s="2123">
        <v>16.940000000000001</v>
      </c>
      <c r="GP710" s="2123">
        <v>16.940000000000001</v>
      </c>
      <c r="GQ710" s="2123">
        <v>9.83</v>
      </c>
      <c r="GR710" s="2123">
        <v>9.83</v>
      </c>
      <c r="GS710" s="2123">
        <v>9.83</v>
      </c>
      <c r="GT710" s="2123">
        <v>9.31</v>
      </c>
      <c r="GU710" s="2123">
        <v>9.31</v>
      </c>
      <c r="GV710" s="2123">
        <v>9.31</v>
      </c>
      <c r="GW710" s="2123">
        <v>58.09</v>
      </c>
      <c r="GX710" s="2123">
        <v>58.09</v>
      </c>
      <c r="GY710" s="2123"/>
      <c r="GZ710" s="2123"/>
      <c r="HA710" s="2123">
        <v>11.9</v>
      </c>
      <c r="HB710" s="2123">
        <v>11.9</v>
      </c>
      <c r="HC710" s="2123">
        <v>4.24</v>
      </c>
      <c r="HD710" s="2123">
        <v>4.24</v>
      </c>
      <c r="HE710" s="2123">
        <v>5.24</v>
      </c>
      <c r="HF710" s="2123">
        <v>5.24</v>
      </c>
      <c r="HG710" s="2123">
        <v>5.24</v>
      </c>
      <c r="HH710" s="2123">
        <v>5.24</v>
      </c>
      <c r="HI710" s="2123">
        <v>5.24</v>
      </c>
      <c r="HJ710" s="2123">
        <v>5.24</v>
      </c>
      <c r="HK710" s="2123">
        <v>5.12</v>
      </c>
      <c r="HL710" s="2123">
        <v>5.12</v>
      </c>
      <c r="HM710" s="2123">
        <v>16.61</v>
      </c>
      <c r="HN710" s="2123">
        <v>16.61</v>
      </c>
      <c r="HO710" s="2123">
        <v>6.22</v>
      </c>
      <c r="HP710" s="2123">
        <v>6.22</v>
      </c>
      <c r="HQ710" s="2123">
        <v>7.7</v>
      </c>
      <c r="HR710" s="2123">
        <v>7.7</v>
      </c>
      <c r="HS710" s="2123">
        <v>7.7</v>
      </c>
      <c r="HT710" s="2123">
        <v>7.7</v>
      </c>
      <c r="HU710" s="2123">
        <v>7.7</v>
      </c>
      <c r="HV710" s="2123">
        <v>7.7</v>
      </c>
      <c r="HW710" s="2123">
        <v>7.45</v>
      </c>
      <c r="HX710" s="2123">
        <v>7.45</v>
      </c>
    </row>
    <row r="711" spans="2:232" s="2040" customFormat="1" ht="14" hidden="1" x14ac:dyDescent="0.3">
      <c r="B711" s="2203">
        <v>17</v>
      </c>
      <c r="C711" s="2204">
        <v>20.03</v>
      </c>
      <c r="D711" s="2204">
        <v>20.03</v>
      </c>
      <c r="E711" s="2204">
        <v>21.72</v>
      </c>
      <c r="F711" s="2204">
        <v>21.72</v>
      </c>
      <c r="G711" s="2204">
        <v>65.97</v>
      </c>
      <c r="H711" s="2204">
        <v>65.97</v>
      </c>
      <c r="I711" s="2204">
        <v>57.85</v>
      </c>
      <c r="J711" s="2204">
        <v>57.85</v>
      </c>
      <c r="K711" s="2204">
        <v>74.91</v>
      </c>
      <c r="L711" s="2204">
        <v>74.91</v>
      </c>
      <c r="M711" s="2204"/>
      <c r="N711" s="2204"/>
      <c r="O711" s="2204">
        <v>62.22</v>
      </c>
      <c r="P711" s="2204">
        <v>62.22</v>
      </c>
      <c r="Q711" s="2204">
        <v>65.11</v>
      </c>
      <c r="R711" s="2204">
        <v>62.22</v>
      </c>
      <c r="S711" s="2204">
        <v>80.030000000000015</v>
      </c>
      <c r="T711" s="2204">
        <v>80.03</v>
      </c>
      <c r="U711" s="2204">
        <v>77.23</v>
      </c>
      <c r="V711" s="2204">
        <v>77.23</v>
      </c>
      <c r="W711" s="2204">
        <v>80.03</v>
      </c>
      <c r="X711" s="2204">
        <v>80.03</v>
      </c>
      <c r="Y711" s="2204">
        <v>77.23</v>
      </c>
      <c r="Z711" s="2204">
        <v>80.03</v>
      </c>
      <c r="AA711" s="2204">
        <v>80.03</v>
      </c>
      <c r="AB711" s="2204">
        <v>80.03</v>
      </c>
      <c r="AC711" s="2204">
        <v>77.23</v>
      </c>
      <c r="AD711" s="2204">
        <v>77.23</v>
      </c>
      <c r="AE711" s="2204">
        <v>98.42</v>
      </c>
      <c r="AF711" s="2204">
        <v>95.69</v>
      </c>
      <c r="AG711" s="2204">
        <v>98.42</v>
      </c>
      <c r="AH711" s="2204">
        <v>98.42</v>
      </c>
      <c r="AI711" s="2204">
        <v>95.69</v>
      </c>
      <c r="AJ711" s="2204">
        <v>95.69</v>
      </c>
      <c r="AK711" s="2204">
        <v>98.9</v>
      </c>
      <c r="AL711" s="2204">
        <v>98.9</v>
      </c>
      <c r="AM711" s="2204">
        <v>33.04</v>
      </c>
      <c r="AN711" s="2204">
        <v>31.79</v>
      </c>
      <c r="AO711" s="2204">
        <v>31.79</v>
      </c>
      <c r="AP711" s="2204">
        <v>31.79</v>
      </c>
      <c r="AQ711" s="2204">
        <v>34.61</v>
      </c>
      <c r="AR711" s="2204">
        <v>34.61</v>
      </c>
      <c r="AS711" s="2204">
        <v>76.83</v>
      </c>
      <c r="AT711" s="2204">
        <v>76.83</v>
      </c>
      <c r="AU711" s="2204">
        <v>76.83</v>
      </c>
      <c r="AV711" s="2204">
        <v>79.92</v>
      </c>
      <c r="AW711" s="2204">
        <v>75.53</v>
      </c>
      <c r="AX711" s="2204">
        <v>75.53</v>
      </c>
      <c r="AY711" s="2204">
        <v>75.81</v>
      </c>
      <c r="AZ711" s="2204">
        <v>75.81</v>
      </c>
      <c r="BA711" s="2123">
        <v>32.17</v>
      </c>
      <c r="BB711" s="2123">
        <v>32.17</v>
      </c>
      <c r="BC711" s="2123">
        <v>6.63</v>
      </c>
      <c r="BD711" s="2123">
        <v>6.63</v>
      </c>
      <c r="BE711" s="2123">
        <v>11.7</v>
      </c>
      <c r="BF711" s="2123">
        <v>11.7</v>
      </c>
      <c r="BG711" s="2123">
        <v>6.69</v>
      </c>
      <c r="BH711" s="2123">
        <v>6.69</v>
      </c>
      <c r="BI711" s="2123">
        <v>6.48</v>
      </c>
      <c r="BJ711" s="2123">
        <v>6.48</v>
      </c>
      <c r="BK711" s="2123">
        <v>6.48</v>
      </c>
      <c r="BL711" s="2123">
        <v>6.48</v>
      </c>
      <c r="BM711" s="2123">
        <v>24.2</v>
      </c>
      <c r="BN711" s="2123">
        <v>24.2</v>
      </c>
      <c r="BO711" s="2123">
        <v>67.819999999999993</v>
      </c>
      <c r="BP711" s="2123">
        <v>67.819999999999993</v>
      </c>
      <c r="BQ711" s="2123">
        <v>67.819999999999993</v>
      </c>
      <c r="BR711" s="2123">
        <v>67.819999999999993</v>
      </c>
      <c r="BS711" s="2123">
        <v>71.900000000000006</v>
      </c>
      <c r="BT711" s="2123">
        <v>71.900000000000006</v>
      </c>
      <c r="BU711" s="2123">
        <v>71.900000000000006</v>
      </c>
      <c r="BV711" s="2123">
        <v>71.900000000000006</v>
      </c>
      <c r="BW711" s="2123">
        <v>71.900000000000006</v>
      </c>
      <c r="BX711" s="2123">
        <v>71.900000000000006</v>
      </c>
      <c r="BY711" s="2123">
        <v>21.99</v>
      </c>
      <c r="BZ711" s="2123">
        <v>21.99</v>
      </c>
      <c r="CA711" s="2123">
        <v>63.7</v>
      </c>
      <c r="CB711" s="2123">
        <v>63.7</v>
      </c>
      <c r="CC711" s="2123">
        <v>62.7</v>
      </c>
      <c r="CD711" s="2123">
        <v>62.7</v>
      </c>
      <c r="CE711" s="2123">
        <v>69.400000000000006</v>
      </c>
      <c r="CF711" s="2123">
        <v>69.400000000000006</v>
      </c>
      <c r="CG711" s="2123"/>
      <c r="CH711" s="2123"/>
      <c r="CI711" s="2123"/>
      <c r="CJ711" s="2123"/>
      <c r="CK711" s="2123">
        <v>63.25</v>
      </c>
      <c r="CL711" s="2123">
        <v>63.25</v>
      </c>
      <c r="CM711" s="2123">
        <v>130.84</v>
      </c>
      <c r="CN711" s="2123">
        <v>130.84</v>
      </c>
      <c r="CO711" s="2123">
        <v>139.38999999999999</v>
      </c>
      <c r="CP711" s="2123">
        <v>139.38999999999999</v>
      </c>
      <c r="CQ711" s="2123">
        <v>139.38999999999999</v>
      </c>
      <c r="CR711" s="2123">
        <v>139.38999999999999</v>
      </c>
      <c r="CS711" s="2123"/>
      <c r="CT711" s="2123"/>
      <c r="CU711" s="2123"/>
      <c r="CV711" s="2123"/>
      <c r="CW711" s="2123">
        <v>50.81</v>
      </c>
      <c r="CX711" s="2123">
        <v>50.81</v>
      </c>
      <c r="CY711" s="2123">
        <v>121.83</v>
      </c>
      <c r="CZ711" s="2123">
        <v>121.83</v>
      </c>
      <c r="DA711" s="2123">
        <v>121.83</v>
      </c>
      <c r="DB711" s="2123">
        <v>121.83</v>
      </c>
      <c r="DC711" s="2123">
        <v>129.75</v>
      </c>
      <c r="DD711" s="2123">
        <v>129.75</v>
      </c>
      <c r="DE711" s="2123">
        <v>129.75</v>
      </c>
      <c r="DF711" s="2123">
        <v>129.75</v>
      </c>
      <c r="DG711" s="2123"/>
      <c r="DH711" s="2123"/>
      <c r="DI711" s="2123">
        <v>13.52</v>
      </c>
      <c r="DJ711" s="2123">
        <v>13.52</v>
      </c>
      <c r="DK711" s="2123">
        <v>13.52</v>
      </c>
      <c r="DL711" s="2123">
        <v>13.52</v>
      </c>
      <c r="DM711" s="2123">
        <v>13.52</v>
      </c>
      <c r="DN711" s="2123">
        <v>13.52</v>
      </c>
      <c r="DO711" s="2123"/>
      <c r="DP711" s="2123"/>
      <c r="DQ711" s="2123"/>
      <c r="DR711" s="2123"/>
      <c r="DS711" s="2123"/>
      <c r="DT711" s="2123"/>
      <c r="DU711" s="2123">
        <v>6.12</v>
      </c>
      <c r="DV711" s="2123">
        <v>6.12</v>
      </c>
      <c r="DW711" s="2123">
        <v>4.7</v>
      </c>
      <c r="DX711" s="2123">
        <v>4.7</v>
      </c>
      <c r="DY711" s="2123">
        <v>4.7</v>
      </c>
      <c r="DZ711" s="2123">
        <v>4.7</v>
      </c>
      <c r="EA711" s="2123"/>
      <c r="EB711" s="2123"/>
      <c r="EC711" s="2123"/>
      <c r="ED711" s="2123"/>
      <c r="EE711" s="2123"/>
      <c r="EF711" s="2123"/>
      <c r="EG711" s="2123">
        <v>6.73</v>
      </c>
      <c r="EH711" s="2123">
        <v>7.23</v>
      </c>
      <c r="EI711" s="2123">
        <v>3.19</v>
      </c>
      <c r="EJ711" s="2123">
        <v>3.19</v>
      </c>
      <c r="EK711" s="2123">
        <v>3.14</v>
      </c>
      <c r="EL711" s="2123">
        <v>3.14</v>
      </c>
      <c r="EM711" s="2123">
        <v>3.87</v>
      </c>
      <c r="EN711" s="2123">
        <v>3.87</v>
      </c>
      <c r="EO711" s="2123">
        <v>3.45</v>
      </c>
      <c r="EP711" s="2123">
        <v>3.45</v>
      </c>
      <c r="EQ711" s="2123">
        <v>3.54</v>
      </c>
      <c r="ER711" s="2123">
        <v>3.74</v>
      </c>
      <c r="ES711" s="2123">
        <v>24.9</v>
      </c>
      <c r="ET711" s="2123">
        <v>24.9</v>
      </c>
      <c r="EU711" s="2123">
        <v>78.22</v>
      </c>
      <c r="EV711" s="2123">
        <v>78.22</v>
      </c>
      <c r="EW711" s="2123">
        <v>75.02</v>
      </c>
      <c r="EX711" s="2123">
        <v>75.02</v>
      </c>
      <c r="EY711" s="2129">
        <f t="shared" si="55"/>
        <v>76.62</v>
      </c>
      <c r="EZ711" s="2129">
        <f t="shared" si="55"/>
        <v>76.62</v>
      </c>
      <c r="FA711" s="2123">
        <v>80.77</v>
      </c>
      <c r="FB711" s="2123">
        <v>80.77</v>
      </c>
      <c r="FC711" s="2123"/>
      <c r="FD711" s="2123"/>
      <c r="FE711" s="2123">
        <v>20.5</v>
      </c>
      <c r="FF711" s="2123">
        <v>20.5</v>
      </c>
      <c r="FG711" s="2123">
        <v>61.02</v>
      </c>
      <c r="FH711" s="2123">
        <v>61.02</v>
      </c>
      <c r="FI711" s="2123">
        <v>61.02</v>
      </c>
      <c r="FJ711" s="2123">
        <v>61.02</v>
      </c>
      <c r="FK711" s="2123">
        <v>59.75</v>
      </c>
      <c r="FL711" s="2123">
        <v>59.75</v>
      </c>
      <c r="FM711" s="2123">
        <v>61.57</v>
      </c>
      <c r="FN711" s="2123">
        <v>61.57</v>
      </c>
      <c r="FO711" s="2123"/>
      <c r="FP711" s="2123"/>
      <c r="FQ711" s="2123">
        <v>46.36</v>
      </c>
      <c r="FR711" s="2123">
        <v>46.36</v>
      </c>
      <c r="FS711" s="2123">
        <v>82.7</v>
      </c>
      <c r="FT711" s="2123">
        <v>82.7</v>
      </c>
      <c r="FU711" s="2123">
        <v>82.7</v>
      </c>
      <c r="FV711" s="2123">
        <v>82.7</v>
      </c>
      <c r="FW711" s="2123">
        <v>84.01</v>
      </c>
      <c r="FX711" s="2123">
        <v>84.01</v>
      </c>
      <c r="FY711" s="2123"/>
      <c r="FZ711" s="2123"/>
      <c r="GA711" s="2123"/>
      <c r="GB711" s="2123"/>
      <c r="GC711" s="2123">
        <v>33.659999999999997</v>
      </c>
      <c r="GD711" s="2123">
        <v>33.659999999999997</v>
      </c>
      <c r="GE711" s="2123">
        <v>83.11</v>
      </c>
      <c r="GF711" s="2123">
        <v>83.11</v>
      </c>
      <c r="GG711" s="2123">
        <v>83.11</v>
      </c>
      <c r="GH711" s="2123">
        <v>83.11</v>
      </c>
      <c r="GI711" s="2123">
        <v>39.17</v>
      </c>
      <c r="GJ711" s="2123">
        <v>39.17</v>
      </c>
      <c r="GK711" s="2123">
        <v>71.16</v>
      </c>
      <c r="GL711" s="2123">
        <v>71.16</v>
      </c>
      <c r="GM711" s="2123"/>
      <c r="GN711" s="2123"/>
      <c r="GO711" s="2123">
        <v>18.190000000000001</v>
      </c>
      <c r="GP711" s="2123">
        <v>18.190000000000001</v>
      </c>
      <c r="GQ711" s="2123">
        <v>10.82</v>
      </c>
      <c r="GR711" s="2123">
        <v>10.82</v>
      </c>
      <c r="GS711" s="2123">
        <v>10.82</v>
      </c>
      <c r="GT711" s="2123">
        <v>10.26</v>
      </c>
      <c r="GU711" s="2123">
        <v>10.26</v>
      </c>
      <c r="GV711" s="2123">
        <v>10.26</v>
      </c>
      <c r="GW711" s="2123">
        <v>63.76</v>
      </c>
      <c r="GX711" s="2123">
        <v>63.76</v>
      </c>
      <c r="GY711" s="2123"/>
      <c r="GZ711" s="2123"/>
      <c r="HA711" s="2123">
        <v>12.7</v>
      </c>
      <c r="HB711" s="2123">
        <v>12.7</v>
      </c>
      <c r="HC711" s="2123">
        <v>4.82</v>
      </c>
      <c r="HD711" s="2123">
        <v>4.82</v>
      </c>
      <c r="HE711" s="2123">
        <v>5.85</v>
      </c>
      <c r="HF711" s="2123">
        <v>5.85</v>
      </c>
      <c r="HG711" s="2123">
        <v>5.85</v>
      </c>
      <c r="HH711" s="2123">
        <v>5.85</v>
      </c>
      <c r="HI711" s="2123">
        <v>5.85</v>
      </c>
      <c r="HJ711" s="2123">
        <v>5.85</v>
      </c>
      <c r="HK711" s="2123">
        <v>5.74</v>
      </c>
      <c r="HL711" s="2123">
        <v>5.74</v>
      </c>
      <c r="HM711" s="2123">
        <v>17.73</v>
      </c>
      <c r="HN711" s="2123">
        <v>17.73</v>
      </c>
      <c r="HO711" s="2123">
        <v>7.06</v>
      </c>
      <c r="HP711" s="2123">
        <v>7.06</v>
      </c>
      <c r="HQ711" s="2123">
        <v>8.57</v>
      </c>
      <c r="HR711" s="2123">
        <v>8.57</v>
      </c>
      <c r="HS711" s="2123">
        <v>8.57</v>
      </c>
      <c r="HT711" s="2123">
        <v>8.57</v>
      </c>
      <c r="HU711" s="2123">
        <v>8.57</v>
      </c>
      <c r="HV711" s="2123">
        <v>8.57</v>
      </c>
      <c r="HW711" s="2123">
        <v>8.33</v>
      </c>
      <c r="HX711" s="2123">
        <v>8.33</v>
      </c>
    </row>
    <row r="712" spans="2:232" s="2040" customFormat="1" ht="14" hidden="1" x14ac:dyDescent="0.3">
      <c r="B712" s="2203">
        <v>18</v>
      </c>
      <c r="C712" s="2204">
        <v>21.23</v>
      </c>
      <c r="D712" s="2204">
        <v>21.23</v>
      </c>
      <c r="E712" s="2204">
        <v>22.83</v>
      </c>
      <c r="F712" s="2204">
        <v>22.83</v>
      </c>
      <c r="G712" s="2204">
        <v>70.63</v>
      </c>
      <c r="H712" s="2204">
        <v>70.63</v>
      </c>
      <c r="I712" s="2204">
        <v>62.23</v>
      </c>
      <c r="J712" s="2204">
        <v>62.23</v>
      </c>
      <c r="K712" s="2204">
        <v>79.28</v>
      </c>
      <c r="L712" s="2204">
        <v>79.28</v>
      </c>
      <c r="M712" s="2204"/>
      <c r="N712" s="2204"/>
      <c r="O712" s="2204">
        <v>66.010000000000005</v>
      </c>
      <c r="P712" s="2204">
        <v>66.010000000000005</v>
      </c>
      <c r="Q712" s="2204">
        <v>68.709999999999994</v>
      </c>
      <c r="R712" s="2204">
        <v>66.02</v>
      </c>
      <c r="S712" s="2204">
        <v>87.210000000000008</v>
      </c>
      <c r="T712" s="2204">
        <v>87.21</v>
      </c>
      <c r="U712" s="2204">
        <v>84.16</v>
      </c>
      <c r="V712" s="2204">
        <v>84.16</v>
      </c>
      <c r="W712" s="2204">
        <v>87.21</v>
      </c>
      <c r="X712" s="2204">
        <v>87.21</v>
      </c>
      <c r="Y712" s="2204">
        <v>84.16</v>
      </c>
      <c r="Z712" s="2204">
        <v>87.21</v>
      </c>
      <c r="AA712" s="2204">
        <v>87.21</v>
      </c>
      <c r="AB712" s="2204">
        <v>87.21</v>
      </c>
      <c r="AC712" s="2204">
        <v>84.16</v>
      </c>
      <c r="AD712" s="2204">
        <v>84.16</v>
      </c>
      <c r="AE712" s="2204">
        <v>106.05</v>
      </c>
      <c r="AF712" s="2204">
        <v>103.11</v>
      </c>
      <c r="AG712" s="2204">
        <v>106.05</v>
      </c>
      <c r="AH712" s="2204">
        <v>106.05</v>
      </c>
      <c r="AI712" s="2204">
        <v>103.11</v>
      </c>
      <c r="AJ712" s="2204">
        <v>103.11</v>
      </c>
      <c r="AK712" s="2204">
        <v>106.18</v>
      </c>
      <c r="AL712" s="2204">
        <v>106.18</v>
      </c>
      <c r="AM712" s="2204">
        <v>35.049999999999997</v>
      </c>
      <c r="AN712" s="2204">
        <v>33.72</v>
      </c>
      <c r="AO712" s="2204">
        <v>33.72</v>
      </c>
      <c r="AP712" s="2204">
        <v>33.72</v>
      </c>
      <c r="AQ712" s="2204">
        <v>36.39</v>
      </c>
      <c r="AR712" s="2204">
        <v>36.39</v>
      </c>
      <c r="AS712" s="2204">
        <v>82.76</v>
      </c>
      <c r="AT712" s="2204">
        <v>82.76</v>
      </c>
      <c r="AU712" s="2204">
        <v>82.76</v>
      </c>
      <c r="AV712" s="2204">
        <v>85.97</v>
      </c>
      <c r="AW712" s="2204">
        <v>81.59</v>
      </c>
      <c r="AX712" s="2204">
        <v>81.59</v>
      </c>
      <c r="AY712" s="2204">
        <v>81.86</v>
      </c>
      <c r="AZ712" s="2204">
        <v>81.86</v>
      </c>
      <c r="BA712" s="2123">
        <v>34.76</v>
      </c>
      <c r="BB712" s="2123">
        <v>34.76</v>
      </c>
      <c r="BC712" s="2123">
        <v>7.28</v>
      </c>
      <c r="BD712" s="2123">
        <v>7.28</v>
      </c>
      <c r="BE712" s="2123">
        <v>12.41</v>
      </c>
      <c r="BF712" s="2123">
        <v>12.41</v>
      </c>
      <c r="BG712" s="2123">
        <v>7.33</v>
      </c>
      <c r="BH712" s="2123">
        <v>7.33</v>
      </c>
      <c r="BI712" s="2123">
        <v>7.13</v>
      </c>
      <c r="BJ712" s="2123">
        <v>7.13</v>
      </c>
      <c r="BK712" s="2123">
        <v>7.13</v>
      </c>
      <c r="BL712" s="2123">
        <v>7.13</v>
      </c>
      <c r="BM712" s="2123">
        <v>25.66</v>
      </c>
      <c r="BN712" s="2123">
        <v>25.66</v>
      </c>
      <c r="BO712" s="2123">
        <v>72.39</v>
      </c>
      <c r="BP712" s="2123">
        <v>72.39</v>
      </c>
      <c r="BQ712" s="2123">
        <v>72.39</v>
      </c>
      <c r="BR712" s="2123">
        <v>72.39</v>
      </c>
      <c r="BS712" s="2123">
        <v>77.91</v>
      </c>
      <c r="BT712" s="2123">
        <v>77.91</v>
      </c>
      <c r="BU712" s="2123">
        <v>77.91</v>
      </c>
      <c r="BV712" s="2123">
        <v>77.91</v>
      </c>
      <c r="BW712" s="2123">
        <v>77.91</v>
      </c>
      <c r="BX712" s="2123">
        <v>77.91</v>
      </c>
      <c r="BY712" s="2123">
        <v>23.32</v>
      </c>
      <c r="BZ712" s="2123">
        <v>23.32</v>
      </c>
      <c r="CA712" s="2123">
        <v>68.09</v>
      </c>
      <c r="CB712" s="2123">
        <v>68.09</v>
      </c>
      <c r="CC712" s="2123">
        <v>67.260000000000005</v>
      </c>
      <c r="CD712" s="2123">
        <v>67.260000000000005</v>
      </c>
      <c r="CE712" s="2123">
        <v>75.33</v>
      </c>
      <c r="CF712" s="2123">
        <v>75.33</v>
      </c>
      <c r="CG712" s="2123"/>
      <c r="CH712" s="2123"/>
      <c r="CI712" s="2123"/>
      <c r="CJ712" s="2123"/>
      <c r="CK712" s="2123">
        <v>66.05</v>
      </c>
      <c r="CL712" s="2123">
        <v>66.05</v>
      </c>
      <c r="CM712" s="2123">
        <v>136.87</v>
      </c>
      <c r="CN712" s="2123">
        <v>136.87</v>
      </c>
      <c r="CO712" s="2123">
        <v>147.81</v>
      </c>
      <c r="CP712" s="2123">
        <v>147.81</v>
      </c>
      <c r="CQ712" s="2123">
        <v>147.81</v>
      </c>
      <c r="CR712" s="2123">
        <v>147.81</v>
      </c>
      <c r="CS712" s="2123"/>
      <c r="CT712" s="2123"/>
      <c r="CU712" s="2123"/>
      <c r="CV712" s="2123"/>
      <c r="CW712" s="2123">
        <v>53.9</v>
      </c>
      <c r="CX712" s="2123">
        <v>53.9</v>
      </c>
      <c r="CY712" s="2123">
        <v>127.76</v>
      </c>
      <c r="CZ712" s="2123">
        <v>127.76</v>
      </c>
      <c r="DA712" s="2123">
        <v>127.76</v>
      </c>
      <c r="DB712" s="2123">
        <v>127.76</v>
      </c>
      <c r="DC712" s="2123">
        <v>137.94999999999999</v>
      </c>
      <c r="DD712" s="2123">
        <v>137.94999999999999</v>
      </c>
      <c r="DE712" s="2123">
        <v>137.94999999999999</v>
      </c>
      <c r="DF712" s="2123">
        <v>137.94999999999999</v>
      </c>
      <c r="DG712" s="2123"/>
      <c r="DH712" s="2123"/>
      <c r="DI712" s="2123">
        <v>14.33</v>
      </c>
      <c r="DJ712" s="2123">
        <v>14.33</v>
      </c>
      <c r="DK712" s="2123">
        <v>14.33</v>
      </c>
      <c r="DL712" s="2123">
        <v>14.33</v>
      </c>
      <c r="DM712" s="2123">
        <v>14.33</v>
      </c>
      <c r="DN712" s="2123">
        <v>14.33</v>
      </c>
      <c r="DO712" s="2123"/>
      <c r="DP712" s="2123"/>
      <c r="DQ712" s="2123"/>
      <c r="DR712" s="2123"/>
      <c r="DS712" s="2123"/>
      <c r="DT712" s="2123"/>
      <c r="DU712" s="2123">
        <v>6.48</v>
      </c>
      <c r="DV712" s="2123">
        <v>6.48</v>
      </c>
      <c r="DW712" s="2123">
        <v>5.0599999999999996</v>
      </c>
      <c r="DX712" s="2123">
        <v>5.0599999999999996</v>
      </c>
      <c r="DY712" s="2123">
        <v>5.0599999999999996</v>
      </c>
      <c r="DZ712" s="2123">
        <v>5.0599999999999996</v>
      </c>
      <c r="EA712" s="2123"/>
      <c r="EB712" s="2123"/>
      <c r="EC712" s="2123"/>
      <c r="ED712" s="2123"/>
      <c r="EE712" s="2123"/>
      <c r="EF712" s="2123"/>
      <c r="EG712" s="2123">
        <v>7.08</v>
      </c>
      <c r="EH712" s="2123">
        <v>7.56</v>
      </c>
      <c r="EI712" s="2123">
        <v>3.49</v>
      </c>
      <c r="EJ712" s="2123">
        <v>3.49</v>
      </c>
      <c r="EK712" s="2123">
        <v>3.43</v>
      </c>
      <c r="EL712" s="2123">
        <v>3.43</v>
      </c>
      <c r="EM712" s="2123">
        <v>4.18</v>
      </c>
      <c r="EN712" s="2123">
        <v>4.18</v>
      </c>
      <c r="EO712" s="2123">
        <v>3.74</v>
      </c>
      <c r="EP712" s="2123">
        <v>3.74</v>
      </c>
      <c r="EQ712" s="2123">
        <v>3.84</v>
      </c>
      <c r="ER712" s="2123">
        <v>4.04</v>
      </c>
      <c r="ES712" s="2123">
        <v>26.15</v>
      </c>
      <c r="ET712" s="2123">
        <v>26.15</v>
      </c>
      <c r="EU712" s="2123">
        <v>83.82</v>
      </c>
      <c r="EV712" s="2123">
        <v>83.82</v>
      </c>
      <c r="EW712" s="2123">
        <v>80.510000000000005</v>
      </c>
      <c r="EX712" s="2123">
        <v>80.510000000000005</v>
      </c>
      <c r="EY712" s="2129">
        <f t="shared" si="55"/>
        <v>82.164999999999992</v>
      </c>
      <c r="EZ712" s="2129">
        <f t="shared" si="55"/>
        <v>82.164999999999992</v>
      </c>
      <c r="FA712" s="2123">
        <v>86.32</v>
      </c>
      <c r="FB712" s="2123">
        <v>86.32</v>
      </c>
      <c r="FC712" s="2123"/>
      <c r="FD712" s="2123"/>
      <c r="FE712" s="2123">
        <v>21.79</v>
      </c>
      <c r="FF712" s="2123">
        <v>21.79</v>
      </c>
      <c r="FG712" s="2123">
        <v>66.62</v>
      </c>
      <c r="FH712" s="2123">
        <v>66.62</v>
      </c>
      <c r="FI712" s="2123">
        <v>66.62</v>
      </c>
      <c r="FJ712" s="2123">
        <v>66.62</v>
      </c>
      <c r="FK712" s="2123">
        <v>65.34</v>
      </c>
      <c r="FL712" s="2123">
        <v>65.34</v>
      </c>
      <c r="FM712" s="2123">
        <v>67.180000000000007</v>
      </c>
      <c r="FN712" s="2123">
        <v>67.180000000000007</v>
      </c>
      <c r="FO712" s="2123"/>
      <c r="FP712" s="2123"/>
      <c r="FQ712" s="2123">
        <v>49.4</v>
      </c>
      <c r="FR712" s="2123">
        <v>49.4</v>
      </c>
      <c r="FS712" s="2123">
        <v>88.77</v>
      </c>
      <c r="FT712" s="2123">
        <v>88.77</v>
      </c>
      <c r="FU712" s="2123">
        <v>88.77</v>
      </c>
      <c r="FV712" s="2123">
        <v>88.77</v>
      </c>
      <c r="FW712" s="2123">
        <v>90.08</v>
      </c>
      <c r="FX712" s="2123">
        <v>90.08</v>
      </c>
      <c r="FY712" s="2123"/>
      <c r="FZ712" s="2123"/>
      <c r="GA712" s="2123"/>
      <c r="GB712" s="2123"/>
      <c r="GC712" s="2123">
        <v>35.79</v>
      </c>
      <c r="GD712" s="2123">
        <v>35.79</v>
      </c>
      <c r="GE712" s="2123">
        <v>87.61</v>
      </c>
      <c r="GF712" s="2123">
        <v>87.61</v>
      </c>
      <c r="GG712" s="2123">
        <v>87.61</v>
      </c>
      <c r="GH712" s="2123">
        <v>87.61</v>
      </c>
      <c r="GI712" s="2123">
        <v>44.31</v>
      </c>
      <c r="GJ712" s="2123">
        <v>44.31</v>
      </c>
      <c r="GK712" s="2123">
        <v>77.19</v>
      </c>
      <c r="GL712" s="2123">
        <v>77.19</v>
      </c>
      <c r="GM712" s="2123"/>
      <c r="GN712" s="2123"/>
      <c r="GO712" s="2123">
        <v>19.34</v>
      </c>
      <c r="GP712" s="2123">
        <v>19.34</v>
      </c>
      <c r="GQ712" s="2123">
        <v>11.78</v>
      </c>
      <c r="GR712" s="2123">
        <v>11.78</v>
      </c>
      <c r="GS712" s="2123">
        <v>11.78</v>
      </c>
      <c r="GT712" s="2123">
        <v>11.19</v>
      </c>
      <c r="GU712" s="2123">
        <v>11.19</v>
      </c>
      <c r="GV712" s="2123">
        <v>11.19</v>
      </c>
      <c r="GW712" s="2123">
        <v>69.260000000000005</v>
      </c>
      <c r="GX712" s="2123">
        <v>69.260000000000005</v>
      </c>
      <c r="GY712" s="2123"/>
      <c r="GZ712" s="2123"/>
      <c r="HA712" s="2123">
        <v>13.45</v>
      </c>
      <c r="HB712" s="2123">
        <v>13.45</v>
      </c>
      <c r="HC712" s="2123">
        <v>5.4</v>
      </c>
      <c r="HD712" s="2123">
        <v>5.4</v>
      </c>
      <c r="HE712" s="2123">
        <v>6.45</v>
      </c>
      <c r="HF712" s="2123">
        <v>6.45</v>
      </c>
      <c r="HG712" s="2123">
        <v>6.45</v>
      </c>
      <c r="HH712" s="2123">
        <v>6.45</v>
      </c>
      <c r="HI712" s="2123">
        <v>6.45</v>
      </c>
      <c r="HJ712" s="2123">
        <v>6.45</v>
      </c>
      <c r="HK712" s="2123">
        <v>6.34</v>
      </c>
      <c r="HL712" s="2123">
        <v>6.34</v>
      </c>
      <c r="HM712" s="2123">
        <v>18.8</v>
      </c>
      <c r="HN712" s="2123">
        <v>18.8</v>
      </c>
      <c r="HO712" s="2123">
        <v>7.88</v>
      </c>
      <c r="HP712" s="2123">
        <v>7.88</v>
      </c>
      <c r="HQ712" s="2123">
        <v>9.42</v>
      </c>
      <c r="HR712" s="2123">
        <v>9.42</v>
      </c>
      <c r="HS712" s="2123">
        <v>9.42</v>
      </c>
      <c r="HT712" s="2123">
        <v>9.42</v>
      </c>
      <c r="HU712" s="2123">
        <v>9.42</v>
      </c>
      <c r="HV712" s="2123">
        <v>9.42</v>
      </c>
      <c r="HW712" s="2123">
        <v>9.19</v>
      </c>
      <c r="HX712" s="2123">
        <v>9.19</v>
      </c>
    </row>
    <row r="713" spans="2:232" s="2040" customFormat="1" ht="14" hidden="1" x14ac:dyDescent="0.3">
      <c r="B713" s="2203">
        <v>19</v>
      </c>
      <c r="C713" s="2204">
        <v>22.37</v>
      </c>
      <c r="D713" s="2204">
        <v>22.37</v>
      </c>
      <c r="E713" s="2204">
        <v>23.88</v>
      </c>
      <c r="F713" s="2204">
        <v>23.88</v>
      </c>
      <c r="G713" s="2204">
        <v>75.11</v>
      </c>
      <c r="H713" s="2204">
        <v>75.11</v>
      </c>
      <c r="I713" s="2204">
        <v>66.44</v>
      </c>
      <c r="J713" s="2204">
        <v>66.44</v>
      </c>
      <c r="K713" s="2204">
        <v>83.14</v>
      </c>
      <c r="L713" s="2204">
        <v>83.14</v>
      </c>
      <c r="M713" s="2204"/>
      <c r="N713" s="2204"/>
      <c r="O713" s="2204">
        <v>69.61</v>
      </c>
      <c r="P713" s="2204">
        <v>69.61</v>
      </c>
      <c r="Q713" s="2204">
        <v>72.11</v>
      </c>
      <c r="R713" s="2204">
        <v>69.61</v>
      </c>
      <c r="S713" s="2204">
        <v>94.16</v>
      </c>
      <c r="T713" s="2204">
        <v>94.16</v>
      </c>
      <c r="U713" s="2204">
        <v>90.87</v>
      </c>
      <c r="V713" s="2204">
        <v>90.87</v>
      </c>
      <c r="W713" s="2204">
        <v>94.16</v>
      </c>
      <c r="X713" s="2204">
        <v>94.16</v>
      </c>
      <c r="Y713" s="2204">
        <v>90.87</v>
      </c>
      <c r="Z713" s="2204">
        <v>94.16</v>
      </c>
      <c r="AA713" s="2204">
        <v>94.16</v>
      </c>
      <c r="AB713" s="2204">
        <v>94.16</v>
      </c>
      <c r="AC713" s="2204">
        <v>90.87</v>
      </c>
      <c r="AD713" s="2204">
        <v>90.87</v>
      </c>
      <c r="AE713" s="2204">
        <v>113.37</v>
      </c>
      <c r="AF713" s="2204">
        <v>110.21</v>
      </c>
      <c r="AG713" s="2204">
        <v>113.37</v>
      </c>
      <c r="AH713" s="2204">
        <v>113.37</v>
      </c>
      <c r="AI713" s="2204">
        <v>110.21</v>
      </c>
      <c r="AJ713" s="2204">
        <v>110.21</v>
      </c>
      <c r="AK713" s="2204">
        <v>113.15</v>
      </c>
      <c r="AL713" s="2204">
        <v>113.15</v>
      </c>
      <c r="AM713" s="2204">
        <v>36.94</v>
      </c>
      <c r="AN713" s="2204">
        <v>35.54</v>
      </c>
      <c r="AO713" s="2204">
        <v>35.54</v>
      </c>
      <c r="AP713" s="2204">
        <v>35.54</v>
      </c>
      <c r="AQ713" s="2204">
        <v>38.08</v>
      </c>
      <c r="AR713" s="2204">
        <v>38.08</v>
      </c>
      <c r="AS713" s="2204">
        <v>88.45</v>
      </c>
      <c r="AT713" s="2204">
        <v>88.45</v>
      </c>
      <c r="AU713" s="2204">
        <v>88.45</v>
      </c>
      <c r="AV713" s="2204">
        <v>91.76</v>
      </c>
      <c r="AW713" s="2204">
        <v>87.4</v>
      </c>
      <c r="AX713" s="2204">
        <v>87.4</v>
      </c>
      <c r="AY713" s="2204">
        <v>87.67</v>
      </c>
      <c r="AZ713" s="2204">
        <v>87.67</v>
      </c>
      <c r="BA713" s="2123">
        <v>37.25</v>
      </c>
      <c r="BB713" s="2123">
        <v>37.25</v>
      </c>
      <c r="BC713" s="2123">
        <v>7.91</v>
      </c>
      <c r="BD713" s="2123">
        <v>7.91</v>
      </c>
      <c r="BE713" s="2123">
        <v>13.08</v>
      </c>
      <c r="BF713" s="2123">
        <v>13.08</v>
      </c>
      <c r="BG713" s="2123">
        <v>7.96</v>
      </c>
      <c r="BH713" s="2123">
        <v>7.96</v>
      </c>
      <c r="BI713" s="2123">
        <v>7.76</v>
      </c>
      <c r="BJ713" s="2123">
        <v>7.76</v>
      </c>
      <c r="BK713" s="2123">
        <v>7.76</v>
      </c>
      <c r="BL713" s="2123">
        <v>7.76</v>
      </c>
      <c r="BM713" s="2123">
        <v>27.04</v>
      </c>
      <c r="BN713" s="2123">
        <v>27.04</v>
      </c>
      <c r="BO713" s="2123">
        <v>76.760000000000005</v>
      </c>
      <c r="BP713" s="2123">
        <v>76.760000000000005</v>
      </c>
      <c r="BQ713" s="2123">
        <v>76.760000000000005</v>
      </c>
      <c r="BR713" s="2123">
        <v>76.760000000000005</v>
      </c>
      <c r="BS713" s="2123">
        <v>83.71</v>
      </c>
      <c r="BT713" s="2123">
        <v>83.71</v>
      </c>
      <c r="BU713" s="2123">
        <v>83.71</v>
      </c>
      <c r="BV713" s="2123">
        <v>83.71</v>
      </c>
      <c r="BW713" s="2123">
        <v>83.71</v>
      </c>
      <c r="BX713" s="2123">
        <v>83.71</v>
      </c>
      <c r="BY713" s="2123">
        <v>24.57</v>
      </c>
      <c r="BZ713" s="2123">
        <v>24.57</v>
      </c>
      <c r="CA713" s="2123">
        <v>72.290000000000006</v>
      </c>
      <c r="CB713" s="2123">
        <v>72.290000000000006</v>
      </c>
      <c r="CC713" s="2123">
        <v>71.61</v>
      </c>
      <c r="CD713" s="2123">
        <v>71.61</v>
      </c>
      <c r="CE713" s="2123">
        <v>81.06</v>
      </c>
      <c r="CF713" s="2123">
        <v>81.06</v>
      </c>
      <c r="CG713" s="2123"/>
      <c r="CH713" s="2123"/>
      <c r="CI713" s="2123"/>
      <c r="CJ713" s="2123"/>
      <c r="CK713" s="2123">
        <v>68.7</v>
      </c>
      <c r="CL713" s="2123">
        <v>68.7</v>
      </c>
      <c r="CM713" s="2123">
        <v>142.53</v>
      </c>
      <c r="CN713" s="2123">
        <v>142.53</v>
      </c>
      <c r="CO713" s="2123">
        <v>155.80000000000001</v>
      </c>
      <c r="CP713" s="2123">
        <v>155.80000000000001</v>
      </c>
      <c r="CQ713" s="2123">
        <v>155.80000000000001</v>
      </c>
      <c r="CR713" s="2123">
        <v>155.80000000000001</v>
      </c>
      <c r="CS713" s="2123"/>
      <c r="CT713" s="2123"/>
      <c r="CU713" s="2123"/>
      <c r="CV713" s="2123"/>
      <c r="CW713" s="2123">
        <v>56.83</v>
      </c>
      <c r="CX713" s="2123">
        <v>56.83</v>
      </c>
      <c r="CY713" s="2123">
        <v>133.35</v>
      </c>
      <c r="CZ713" s="2123">
        <v>133.35</v>
      </c>
      <c r="DA713" s="2123">
        <v>133.35</v>
      </c>
      <c r="DB713" s="2123">
        <v>133.35</v>
      </c>
      <c r="DC713" s="2123">
        <v>145.76</v>
      </c>
      <c r="DD713" s="2123">
        <v>145.76</v>
      </c>
      <c r="DE713" s="2123">
        <v>145.76</v>
      </c>
      <c r="DF713" s="2123">
        <v>145.76</v>
      </c>
      <c r="DG713" s="2123"/>
      <c r="DH713" s="2123"/>
      <c r="DI713" s="2123">
        <v>15.1</v>
      </c>
      <c r="DJ713" s="2123">
        <v>15.1</v>
      </c>
      <c r="DK713" s="2123">
        <v>15.1</v>
      </c>
      <c r="DL713" s="2123">
        <v>15.1</v>
      </c>
      <c r="DM713" s="2123">
        <v>15.1</v>
      </c>
      <c r="DN713" s="2123">
        <v>15.1</v>
      </c>
      <c r="DO713" s="2123"/>
      <c r="DP713" s="2123"/>
      <c r="DQ713" s="2123"/>
      <c r="DR713" s="2123"/>
      <c r="DS713" s="2123"/>
      <c r="DT713" s="2123"/>
      <c r="DU713" s="2123">
        <v>6.82</v>
      </c>
      <c r="DV713" s="2123">
        <v>6.82</v>
      </c>
      <c r="DW713" s="2123">
        <v>5.41</v>
      </c>
      <c r="DX713" s="2123">
        <v>5.41</v>
      </c>
      <c r="DY713" s="2123">
        <v>5.41</v>
      </c>
      <c r="DZ713" s="2123">
        <v>5.41</v>
      </c>
      <c r="EA713" s="2123"/>
      <c r="EB713" s="2123"/>
      <c r="EC713" s="2123"/>
      <c r="ED713" s="2123"/>
      <c r="EE713" s="2123"/>
      <c r="EF713" s="2123"/>
      <c r="EG713" s="2123">
        <v>7.49</v>
      </c>
      <c r="EH713" s="2123">
        <v>7.95</v>
      </c>
      <c r="EI713" s="2123">
        <v>3.84</v>
      </c>
      <c r="EJ713" s="2123">
        <v>3.84</v>
      </c>
      <c r="EK713" s="2123">
        <v>3.78</v>
      </c>
      <c r="EL713" s="2123">
        <v>3.78</v>
      </c>
      <c r="EM713" s="2123">
        <v>4.55</v>
      </c>
      <c r="EN713" s="2123">
        <v>4.55</v>
      </c>
      <c r="EO713" s="2123">
        <v>4.09</v>
      </c>
      <c r="EP713" s="2123">
        <v>4.09</v>
      </c>
      <c r="EQ713" s="2123">
        <v>4.2</v>
      </c>
      <c r="ER713" s="2123">
        <v>4.4000000000000004</v>
      </c>
      <c r="ES713" s="2123">
        <v>27.43</v>
      </c>
      <c r="ET713" s="2123">
        <v>27.43</v>
      </c>
      <c r="EU713" s="2123">
        <v>89.65</v>
      </c>
      <c r="EV713" s="2123">
        <v>89.65</v>
      </c>
      <c r="EW713" s="2123">
        <v>86.23</v>
      </c>
      <c r="EX713" s="2123">
        <v>86.23</v>
      </c>
      <c r="EY713" s="2129">
        <f t="shared" si="55"/>
        <v>87.94</v>
      </c>
      <c r="EZ713" s="2129">
        <f t="shared" si="55"/>
        <v>87.94</v>
      </c>
      <c r="FA713" s="2123">
        <v>92.09</v>
      </c>
      <c r="FB713" s="2123">
        <v>92.09</v>
      </c>
      <c r="FC713" s="2123"/>
      <c r="FD713" s="2123"/>
      <c r="FE713" s="2123">
        <v>22.94</v>
      </c>
      <c r="FF713" s="2123">
        <v>22.94</v>
      </c>
      <c r="FG713" s="2123">
        <v>71.7</v>
      </c>
      <c r="FH713" s="2123">
        <v>71.7</v>
      </c>
      <c r="FI713" s="2123">
        <v>71.7</v>
      </c>
      <c r="FJ713" s="2123">
        <v>71.7</v>
      </c>
      <c r="FK713" s="2123">
        <v>70.42</v>
      </c>
      <c r="FL713" s="2123">
        <v>70.42</v>
      </c>
      <c r="FM713" s="2123">
        <v>72.27</v>
      </c>
      <c r="FN713" s="2123">
        <v>72.27</v>
      </c>
      <c r="FO713" s="2123"/>
      <c r="FP713" s="2123"/>
      <c r="FQ713" s="2123">
        <v>51.52</v>
      </c>
      <c r="FR713" s="2123">
        <v>51.52</v>
      </c>
      <c r="FS713" s="2123">
        <v>93.04</v>
      </c>
      <c r="FT713" s="2123">
        <v>93.04</v>
      </c>
      <c r="FU713" s="2123">
        <v>93.04</v>
      </c>
      <c r="FV713" s="2123">
        <v>93.04</v>
      </c>
      <c r="FW713" s="2123">
        <v>94.35</v>
      </c>
      <c r="FX713" s="2123">
        <v>94.35</v>
      </c>
      <c r="FY713" s="2123"/>
      <c r="FZ713" s="2123"/>
      <c r="GA713" s="2123"/>
      <c r="GB713" s="2123"/>
      <c r="GC713" s="2123">
        <v>37.6</v>
      </c>
      <c r="GD713" s="2123">
        <v>37.6</v>
      </c>
      <c r="GE713" s="2123">
        <v>91.42</v>
      </c>
      <c r="GF713" s="2123">
        <v>91.42</v>
      </c>
      <c r="GG713" s="2123">
        <v>91.42</v>
      </c>
      <c r="GH713" s="2123">
        <v>91.42</v>
      </c>
      <c r="GI713" s="2123">
        <v>48.85</v>
      </c>
      <c r="GJ713" s="2123">
        <v>48.85</v>
      </c>
      <c r="GK713" s="2123">
        <v>82.39</v>
      </c>
      <c r="GL713" s="2123">
        <v>82.39</v>
      </c>
      <c r="GM713" s="2123"/>
      <c r="GN713" s="2123"/>
      <c r="GO713" s="2123">
        <v>20.36</v>
      </c>
      <c r="GP713" s="2123">
        <v>20.36</v>
      </c>
      <c r="GQ713" s="2123">
        <v>12.71</v>
      </c>
      <c r="GR713" s="2123">
        <v>12.71</v>
      </c>
      <c r="GS713" s="2123">
        <v>12.71</v>
      </c>
      <c r="GT713" s="2123">
        <v>12.09</v>
      </c>
      <c r="GU713" s="2123">
        <v>12.09</v>
      </c>
      <c r="GV713" s="2123">
        <v>12.09</v>
      </c>
      <c r="GW713" s="2123">
        <v>74.569999999999993</v>
      </c>
      <c r="GX713" s="2123">
        <v>74.569999999999993</v>
      </c>
      <c r="GY713" s="2123"/>
      <c r="GZ713" s="2123"/>
      <c r="HA713" s="2123">
        <v>14.17</v>
      </c>
      <c r="HB713" s="2123">
        <v>14.17</v>
      </c>
      <c r="HC713" s="2123">
        <v>5.97</v>
      </c>
      <c r="HD713" s="2123">
        <v>5.97</v>
      </c>
      <c r="HE713" s="2123">
        <v>7.03</v>
      </c>
      <c r="HF713" s="2123">
        <v>7.03</v>
      </c>
      <c r="HG713" s="2123">
        <v>7.03</v>
      </c>
      <c r="HH713" s="2123">
        <v>7.03</v>
      </c>
      <c r="HI713" s="2123">
        <v>7.03</v>
      </c>
      <c r="HJ713" s="2123">
        <v>7.03</v>
      </c>
      <c r="HK713" s="2123">
        <v>6.94</v>
      </c>
      <c r="HL713" s="2123">
        <v>6.94</v>
      </c>
      <c r="HM713" s="2123">
        <v>19.809999999999999</v>
      </c>
      <c r="HN713" s="2123">
        <v>19.809999999999999</v>
      </c>
      <c r="HO713" s="2123">
        <v>8.6999999999999993</v>
      </c>
      <c r="HP713" s="2123">
        <v>8.6999999999999993</v>
      </c>
      <c r="HQ713" s="2123">
        <v>10.26</v>
      </c>
      <c r="HR713" s="2123">
        <v>10.26</v>
      </c>
      <c r="HS713" s="2123">
        <v>10.26</v>
      </c>
      <c r="HT713" s="2123">
        <v>10.26</v>
      </c>
      <c r="HU713" s="2123">
        <v>10.26</v>
      </c>
      <c r="HV713" s="2123">
        <v>10.26</v>
      </c>
      <c r="HW713" s="2123">
        <v>10.039999999999999</v>
      </c>
      <c r="HX713" s="2123">
        <v>10.039999999999999</v>
      </c>
    </row>
    <row r="714" spans="2:232" s="2040" customFormat="1" ht="14" hidden="1" x14ac:dyDescent="0.3">
      <c r="B714" s="2203">
        <v>20</v>
      </c>
      <c r="C714" s="2204">
        <v>23.46</v>
      </c>
      <c r="D714" s="2204">
        <v>23.46</v>
      </c>
      <c r="E714" s="2204">
        <v>24.88</v>
      </c>
      <c r="F714" s="2204">
        <v>24.88</v>
      </c>
      <c r="G714" s="2204">
        <v>79.39</v>
      </c>
      <c r="H714" s="2204">
        <v>79.39</v>
      </c>
      <c r="I714" s="2204">
        <v>70.510000000000005</v>
      </c>
      <c r="J714" s="2204">
        <v>70.510000000000005</v>
      </c>
      <c r="K714" s="2204">
        <v>86.83</v>
      </c>
      <c r="L714" s="2204">
        <v>86.83</v>
      </c>
      <c r="M714" s="2204"/>
      <c r="N714" s="2204"/>
      <c r="O714" s="2204">
        <v>73.010000000000005</v>
      </c>
      <c r="P714" s="2204">
        <v>73.010000000000005</v>
      </c>
      <c r="Q714" s="2204">
        <v>75.34</v>
      </c>
      <c r="R714" s="2204">
        <v>73.02</v>
      </c>
      <c r="S714" s="2204">
        <v>100.87</v>
      </c>
      <c r="T714" s="2204">
        <v>100.87</v>
      </c>
      <c r="U714" s="2204">
        <v>97.35</v>
      </c>
      <c r="V714" s="2204">
        <v>97.35</v>
      </c>
      <c r="W714" s="2204">
        <v>100.87</v>
      </c>
      <c r="X714" s="2204">
        <v>100.87</v>
      </c>
      <c r="Y714" s="2204">
        <v>97.35</v>
      </c>
      <c r="Z714" s="2204">
        <v>100.87</v>
      </c>
      <c r="AA714" s="2204">
        <v>100.87</v>
      </c>
      <c r="AB714" s="2204">
        <v>100.87</v>
      </c>
      <c r="AC714" s="2204">
        <v>97.35</v>
      </c>
      <c r="AD714" s="2204">
        <v>97.35</v>
      </c>
      <c r="AE714" s="2204">
        <v>120.37</v>
      </c>
      <c r="AF714" s="2204">
        <v>117.01</v>
      </c>
      <c r="AG714" s="2204">
        <v>120.37</v>
      </c>
      <c r="AH714" s="2204">
        <v>120.37</v>
      </c>
      <c r="AI714" s="2204">
        <v>117.01</v>
      </c>
      <c r="AJ714" s="2204">
        <v>117.01</v>
      </c>
      <c r="AK714" s="2204">
        <v>119.82</v>
      </c>
      <c r="AL714" s="2204">
        <v>119.82</v>
      </c>
      <c r="AM714" s="2204">
        <v>38.74</v>
      </c>
      <c r="AN714" s="2204">
        <v>37.28</v>
      </c>
      <c r="AO714" s="2204">
        <v>37.28</v>
      </c>
      <c r="AP714" s="2204">
        <v>37.28</v>
      </c>
      <c r="AQ714" s="2204">
        <v>39.67</v>
      </c>
      <c r="AR714" s="2204">
        <v>39.67</v>
      </c>
      <c r="AS714" s="2204">
        <v>93.9</v>
      </c>
      <c r="AT714" s="2204">
        <v>93.9</v>
      </c>
      <c r="AU714" s="2204">
        <v>93.9</v>
      </c>
      <c r="AV714" s="2204">
        <v>97.32</v>
      </c>
      <c r="AW714" s="2204">
        <v>92.98</v>
      </c>
      <c r="AX714" s="2204">
        <v>92.98</v>
      </c>
      <c r="AY714" s="2204">
        <v>93.23</v>
      </c>
      <c r="AZ714" s="2204">
        <v>93.23</v>
      </c>
      <c r="BA714" s="2123">
        <v>39.64</v>
      </c>
      <c r="BB714" s="2123">
        <v>39.64</v>
      </c>
      <c r="BC714" s="2123">
        <v>8.52</v>
      </c>
      <c r="BD714" s="2123">
        <v>8.52</v>
      </c>
      <c r="BE714" s="2123">
        <v>13.71</v>
      </c>
      <c r="BF714" s="2123">
        <v>13.71</v>
      </c>
      <c r="BG714" s="2123">
        <v>8.57</v>
      </c>
      <c r="BH714" s="2123">
        <v>8.57</v>
      </c>
      <c r="BI714" s="2123">
        <v>8.3800000000000008</v>
      </c>
      <c r="BJ714" s="2123">
        <v>8.3800000000000008</v>
      </c>
      <c r="BK714" s="2123">
        <v>8.3800000000000008</v>
      </c>
      <c r="BL714" s="2123">
        <v>8.3800000000000008</v>
      </c>
      <c r="BM714" s="2123">
        <v>28.35</v>
      </c>
      <c r="BN714" s="2123">
        <v>28.35</v>
      </c>
      <c r="BO714" s="2123">
        <v>80.92</v>
      </c>
      <c r="BP714" s="2123">
        <v>80.92</v>
      </c>
      <c r="BQ714" s="2123">
        <v>80.92</v>
      </c>
      <c r="BR714" s="2123">
        <v>80.92</v>
      </c>
      <c r="BS714" s="2123">
        <v>89.3</v>
      </c>
      <c r="BT714" s="2123">
        <v>89.3</v>
      </c>
      <c r="BU714" s="2123">
        <v>89.3</v>
      </c>
      <c r="BV714" s="2123">
        <v>89.3</v>
      </c>
      <c r="BW714" s="2123">
        <v>89.3</v>
      </c>
      <c r="BX714" s="2123">
        <v>89.3</v>
      </c>
      <c r="BY714" s="2123">
        <v>25.76</v>
      </c>
      <c r="BZ714" s="2123">
        <v>25.76</v>
      </c>
      <c r="CA714" s="2123">
        <v>76.3</v>
      </c>
      <c r="CB714" s="2123">
        <v>76.3</v>
      </c>
      <c r="CC714" s="2123">
        <v>75.77</v>
      </c>
      <c r="CD714" s="2123">
        <v>75.77</v>
      </c>
      <c r="CE714" s="2123">
        <v>86.58</v>
      </c>
      <c r="CF714" s="2123">
        <v>86.58</v>
      </c>
      <c r="CG714" s="2123"/>
      <c r="CH714" s="2123"/>
      <c r="CI714" s="2123"/>
      <c r="CJ714" s="2123"/>
      <c r="CK714" s="2123">
        <v>71.209999999999994</v>
      </c>
      <c r="CL714" s="2123">
        <v>71.209999999999994</v>
      </c>
      <c r="CM714" s="2123">
        <v>147.87</v>
      </c>
      <c r="CN714" s="2123">
        <v>147.87</v>
      </c>
      <c r="CO714" s="2123">
        <v>163.4</v>
      </c>
      <c r="CP714" s="2123">
        <v>163.4</v>
      </c>
      <c r="CQ714" s="2123">
        <v>163.4</v>
      </c>
      <c r="CR714" s="2123">
        <v>163.4</v>
      </c>
      <c r="CS714" s="2123"/>
      <c r="CT714" s="2123"/>
      <c r="CU714" s="2123"/>
      <c r="CV714" s="2123"/>
      <c r="CW714" s="2123">
        <v>59.6</v>
      </c>
      <c r="CX714" s="2123">
        <v>59.6</v>
      </c>
      <c r="CY714" s="2123">
        <v>138.63</v>
      </c>
      <c r="CZ714" s="2123">
        <v>138.63</v>
      </c>
      <c r="DA714" s="2123">
        <v>138.63</v>
      </c>
      <c r="DB714" s="2123">
        <v>138.63</v>
      </c>
      <c r="DC714" s="2123">
        <v>153.19</v>
      </c>
      <c r="DD714" s="2123">
        <v>153.19</v>
      </c>
      <c r="DE714" s="2123">
        <v>153.19</v>
      </c>
      <c r="DF714" s="2123">
        <v>153.19</v>
      </c>
      <c r="DG714" s="2123"/>
      <c r="DH714" s="2123"/>
      <c r="DI714" s="2123">
        <v>15.82</v>
      </c>
      <c r="DJ714" s="2123">
        <v>15.82</v>
      </c>
      <c r="DK714" s="2123">
        <v>15.82</v>
      </c>
      <c r="DL714" s="2123">
        <v>15.82</v>
      </c>
      <c r="DM714" s="2123">
        <v>15.82</v>
      </c>
      <c r="DN714" s="2123">
        <v>15.82</v>
      </c>
      <c r="DO714" s="2123"/>
      <c r="DP714" s="2123"/>
      <c r="DQ714" s="2123"/>
      <c r="DR714" s="2123"/>
      <c r="DS714" s="2123"/>
      <c r="DT714" s="2123"/>
      <c r="DU714" s="2123">
        <v>7.14</v>
      </c>
      <c r="DV714" s="2123">
        <v>7.14</v>
      </c>
      <c r="DW714" s="2123">
        <v>5.74</v>
      </c>
      <c r="DX714" s="2123">
        <v>5.74</v>
      </c>
      <c r="DY714" s="2123">
        <v>5.74</v>
      </c>
      <c r="DZ714" s="2123">
        <v>5.74</v>
      </c>
      <c r="EA714" s="2123"/>
      <c r="EB714" s="2123"/>
      <c r="EC714" s="2123"/>
      <c r="ED714" s="2123"/>
      <c r="EE714" s="2123"/>
      <c r="EF714" s="2123"/>
      <c r="EG714" s="2123">
        <v>7.88</v>
      </c>
      <c r="EH714" s="2123">
        <v>8.32</v>
      </c>
      <c r="EI714" s="2123">
        <v>4.18</v>
      </c>
      <c r="EJ714" s="2123">
        <v>4.18</v>
      </c>
      <c r="EK714" s="2123">
        <v>4.12</v>
      </c>
      <c r="EL714" s="2123">
        <v>4.12</v>
      </c>
      <c r="EM714" s="2123">
        <v>4.9000000000000004</v>
      </c>
      <c r="EN714" s="2123">
        <v>4.9000000000000004</v>
      </c>
      <c r="EO714" s="2123">
        <v>4.43</v>
      </c>
      <c r="EP714" s="2123">
        <v>4.43</v>
      </c>
      <c r="EQ714" s="2123">
        <v>4.55</v>
      </c>
      <c r="ER714" s="2123">
        <v>4.74</v>
      </c>
      <c r="ES714" s="2123">
        <v>28.61</v>
      </c>
      <c r="ET714" s="2123">
        <v>28.61</v>
      </c>
      <c r="EU714" s="2123">
        <v>95.07</v>
      </c>
      <c r="EV714" s="2123">
        <v>95.07</v>
      </c>
      <c r="EW714" s="2123">
        <v>91.55</v>
      </c>
      <c r="EX714" s="2123">
        <v>91.55</v>
      </c>
      <c r="EY714" s="2129">
        <f t="shared" si="55"/>
        <v>93.31</v>
      </c>
      <c r="EZ714" s="2129">
        <f t="shared" si="55"/>
        <v>93.31</v>
      </c>
      <c r="FA714" s="2123">
        <v>97.45</v>
      </c>
      <c r="FB714" s="2123">
        <v>97.45</v>
      </c>
      <c r="FC714" s="2123"/>
      <c r="FD714" s="2123"/>
      <c r="FE714" s="2123">
        <v>23.96</v>
      </c>
      <c r="FF714" s="2123">
        <v>23.96</v>
      </c>
      <c r="FG714" s="2123">
        <v>76.290000000000006</v>
      </c>
      <c r="FH714" s="2123">
        <v>76.290000000000006</v>
      </c>
      <c r="FI714" s="2123">
        <v>76.290000000000006</v>
      </c>
      <c r="FJ714" s="2123">
        <v>76.290000000000006</v>
      </c>
      <c r="FK714" s="2123">
        <v>75.010000000000005</v>
      </c>
      <c r="FL714" s="2123">
        <v>75.010000000000005</v>
      </c>
      <c r="FM714" s="2123">
        <v>76.87</v>
      </c>
      <c r="FN714" s="2123">
        <v>76.87</v>
      </c>
      <c r="FO714" s="2123"/>
      <c r="FP714" s="2123"/>
      <c r="FQ714" s="2123">
        <v>53.95</v>
      </c>
      <c r="FR714" s="2123">
        <v>53.95</v>
      </c>
      <c r="FS714" s="2123">
        <v>97.97</v>
      </c>
      <c r="FT714" s="2123">
        <v>97.97</v>
      </c>
      <c r="FU714" s="2123">
        <v>97.97</v>
      </c>
      <c r="FV714" s="2123">
        <v>97.97</v>
      </c>
      <c r="FW714" s="2123">
        <v>99.28</v>
      </c>
      <c r="FX714" s="2123">
        <v>99.28</v>
      </c>
      <c r="FY714" s="2123"/>
      <c r="FZ714" s="2123"/>
      <c r="GA714" s="2123"/>
      <c r="GB714" s="2123"/>
      <c r="GC714" s="2123">
        <v>39.520000000000003</v>
      </c>
      <c r="GD714" s="2123">
        <v>39.520000000000003</v>
      </c>
      <c r="GE714" s="2123">
        <v>95.43</v>
      </c>
      <c r="GF714" s="2123">
        <v>95.43</v>
      </c>
      <c r="GG714" s="2123">
        <v>95.43</v>
      </c>
      <c r="GH714" s="2123">
        <v>95.43</v>
      </c>
      <c r="GI714" s="2123">
        <v>53.82</v>
      </c>
      <c r="GJ714" s="2123">
        <v>53.82</v>
      </c>
      <c r="GK714" s="2123">
        <v>87.97</v>
      </c>
      <c r="GL714" s="2123">
        <v>87.97</v>
      </c>
      <c r="GM714" s="2123"/>
      <c r="GN714" s="2123"/>
      <c r="GO714" s="2123">
        <v>21.27</v>
      </c>
      <c r="GP714" s="2123">
        <v>21.27</v>
      </c>
      <c r="GQ714" s="2123">
        <v>13.61</v>
      </c>
      <c r="GR714" s="2123">
        <v>13.61</v>
      </c>
      <c r="GS714" s="2123">
        <v>13.61</v>
      </c>
      <c r="GT714" s="2123">
        <v>12.95</v>
      </c>
      <c r="GU714" s="2123">
        <v>12.95</v>
      </c>
      <c r="GV714" s="2123">
        <v>12.95</v>
      </c>
      <c r="GW714" s="2123">
        <v>79.7</v>
      </c>
      <c r="GX714" s="2123">
        <v>79.7</v>
      </c>
      <c r="GY714" s="2123"/>
      <c r="GZ714" s="2123"/>
      <c r="HA714" s="2123">
        <v>14.85</v>
      </c>
      <c r="HB714" s="2123">
        <v>14.85</v>
      </c>
      <c r="HC714" s="2123">
        <v>6.52</v>
      </c>
      <c r="HD714" s="2123">
        <v>6.52</v>
      </c>
      <c r="HE714" s="2123">
        <v>7.6</v>
      </c>
      <c r="HF714" s="2123">
        <v>7.6</v>
      </c>
      <c r="HG714" s="2123">
        <v>7.6</v>
      </c>
      <c r="HH714" s="2123">
        <v>7.6</v>
      </c>
      <c r="HI714" s="2123">
        <v>7.6</v>
      </c>
      <c r="HJ714" s="2123">
        <v>7.6</v>
      </c>
      <c r="HK714" s="2123">
        <v>7.52</v>
      </c>
      <c r="HL714" s="2123">
        <v>7.52</v>
      </c>
      <c r="HM714" s="2123">
        <v>20.76</v>
      </c>
      <c r="HN714" s="2123">
        <v>20.76</v>
      </c>
      <c r="HO714" s="2123">
        <v>9.49</v>
      </c>
      <c r="HP714" s="2123">
        <v>9.49</v>
      </c>
      <c r="HQ714" s="2123">
        <v>11.07</v>
      </c>
      <c r="HR714" s="2123">
        <v>11.07</v>
      </c>
      <c r="HS714" s="2123">
        <v>11.07</v>
      </c>
      <c r="HT714" s="2123">
        <v>11.07</v>
      </c>
      <c r="HU714" s="2123">
        <v>11.07</v>
      </c>
      <c r="HV714" s="2123">
        <v>11.07</v>
      </c>
      <c r="HW714" s="2123">
        <v>10.86</v>
      </c>
      <c r="HX714" s="2123">
        <v>10.86</v>
      </c>
    </row>
    <row r="715" spans="2:232" s="2040" customFormat="1" ht="14" hidden="1" x14ac:dyDescent="0.3">
      <c r="B715" s="2203">
        <v>21</v>
      </c>
      <c r="C715" s="2204">
        <v>24.48</v>
      </c>
      <c r="D715" s="2204">
        <v>24.48</v>
      </c>
      <c r="E715" s="2204">
        <v>25.82</v>
      </c>
      <c r="F715" s="2204">
        <v>25.82</v>
      </c>
      <c r="G715" s="2204">
        <v>83.5</v>
      </c>
      <c r="H715" s="2204">
        <v>83.5</v>
      </c>
      <c r="I715" s="2204">
        <v>74.41</v>
      </c>
      <c r="J715" s="2204">
        <v>74.41</v>
      </c>
      <c r="K715" s="2204">
        <v>90.37</v>
      </c>
      <c r="L715" s="2204">
        <v>90.37</v>
      </c>
      <c r="M715" s="2204"/>
      <c r="N715" s="2204"/>
      <c r="O715" s="2204">
        <v>76.239999999999995</v>
      </c>
      <c r="P715" s="2204">
        <v>76.239999999999995</v>
      </c>
      <c r="Q715" s="2204">
        <v>78.400000000000006</v>
      </c>
      <c r="R715" s="2204">
        <v>76.25</v>
      </c>
      <c r="S715" s="2204">
        <v>107.35</v>
      </c>
      <c r="T715" s="2204">
        <v>107.35</v>
      </c>
      <c r="U715" s="2204">
        <v>103.6</v>
      </c>
      <c r="V715" s="2204">
        <v>103.6</v>
      </c>
      <c r="W715" s="2204">
        <v>107.35</v>
      </c>
      <c r="X715" s="2204">
        <v>107.35</v>
      </c>
      <c r="Y715" s="2204">
        <v>103.6</v>
      </c>
      <c r="Z715" s="2204">
        <v>107.35</v>
      </c>
      <c r="AA715" s="2204">
        <v>107.35</v>
      </c>
      <c r="AB715" s="2204">
        <v>107.35</v>
      </c>
      <c r="AC715" s="2204">
        <v>103.6</v>
      </c>
      <c r="AD715" s="2204">
        <v>103.6</v>
      </c>
      <c r="AE715" s="2204">
        <v>127.06</v>
      </c>
      <c r="AF715" s="2204">
        <v>123.51</v>
      </c>
      <c r="AG715" s="2204">
        <v>127.06</v>
      </c>
      <c r="AH715" s="2204">
        <v>127.06</v>
      </c>
      <c r="AI715" s="2204">
        <v>123.51</v>
      </c>
      <c r="AJ715" s="2204">
        <v>123.51</v>
      </c>
      <c r="AK715" s="2204">
        <v>126.2</v>
      </c>
      <c r="AL715" s="2204">
        <v>126.2</v>
      </c>
      <c r="AM715" s="2204">
        <v>40.44</v>
      </c>
      <c r="AN715" s="2204">
        <v>38.92</v>
      </c>
      <c r="AO715" s="2204">
        <v>38.92</v>
      </c>
      <c r="AP715" s="2204">
        <v>38.92</v>
      </c>
      <c r="AQ715" s="2204">
        <v>41.19</v>
      </c>
      <c r="AR715" s="2204">
        <v>41.19</v>
      </c>
      <c r="AS715" s="2204">
        <v>99.13</v>
      </c>
      <c r="AT715" s="2204">
        <v>99.13</v>
      </c>
      <c r="AU715" s="2204">
        <v>99.13</v>
      </c>
      <c r="AV715" s="2204">
        <v>102.63</v>
      </c>
      <c r="AW715" s="2204">
        <v>98.31</v>
      </c>
      <c r="AX715" s="2204">
        <v>98.31</v>
      </c>
      <c r="AY715" s="2204">
        <v>98.56</v>
      </c>
      <c r="AZ715" s="2204">
        <v>98.56</v>
      </c>
      <c r="BA715" s="2123">
        <v>41.93</v>
      </c>
      <c r="BB715" s="2123">
        <v>41.93</v>
      </c>
      <c r="BC715" s="2123">
        <v>9.11</v>
      </c>
      <c r="BD715" s="2123">
        <v>9.11</v>
      </c>
      <c r="BE715" s="2123">
        <v>14.32</v>
      </c>
      <c r="BF715" s="2123">
        <v>14.32</v>
      </c>
      <c r="BG715" s="2123">
        <v>9.16</v>
      </c>
      <c r="BH715" s="2123">
        <v>9.16</v>
      </c>
      <c r="BI715" s="2123">
        <v>8.98</v>
      </c>
      <c r="BJ715" s="2123">
        <v>8.98</v>
      </c>
      <c r="BK715" s="2123">
        <v>8.98</v>
      </c>
      <c r="BL715" s="2123">
        <v>8.98</v>
      </c>
      <c r="BM715" s="2123">
        <v>29.59</v>
      </c>
      <c r="BN715" s="2123">
        <v>29.59</v>
      </c>
      <c r="BO715" s="2123">
        <v>84.9</v>
      </c>
      <c r="BP715" s="2123">
        <v>84.9</v>
      </c>
      <c r="BQ715" s="2123">
        <v>84.9</v>
      </c>
      <c r="BR715" s="2123">
        <v>84.9</v>
      </c>
      <c r="BS715" s="2123">
        <v>94.69</v>
      </c>
      <c r="BT715" s="2123">
        <v>94.69</v>
      </c>
      <c r="BU715" s="2123">
        <v>94.69</v>
      </c>
      <c r="BV715" s="2123">
        <v>94.69</v>
      </c>
      <c r="BW715" s="2123">
        <v>94.69</v>
      </c>
      <c r="BX715" s="2123">
        <v>94.69</v>
      </c>
      <c r="BY715" s="2123">
        <v>26.89</v>
      </c>
      <c r="BZ715" s="2123">
        <v>26.89</v>
      </c>
      <c r="CA715" s="2123">
        <v>80.13</v>
      </c>
      <c r="CB715" s="2123">
        <v>80.13</v>
      </c>
      <c r="CC715" s="2123">
        <v>79.75</v>
      </c>
      <c r="CD715" s="2123">
        <v>79.75</v>
      </c>
      <c r="CE715" s="2123">
        <v>91.91</v>
      </c>
      <c r="CF715" s="2123">
        <v>91.91</v>
      </c>
      <c r="CG715" s="2123"/>
      <c r="CH715" s="2123"/>
      <c r="CI715" s="2123"/>
      <c r="CJ715" s="2123"/>
      <c r="CK715" s="2123">
        <v>73.599999999999994</v>
      </c>
      <c r="CL715" s="2123">
        <v>73.599999999999994</v>
      </c>
      <c r="CM715" s="2123">
        <v>152.88999999999999</v>
      </c>
      <c r="CN715" s="2123">
        <v>152.88999999999999</v>
      </c>
      <c r="CO715" s="2123">
        <v>170.62</v>
      </c>
      <c r="CP715" s="2123">
        <v>170.62</v>
      </c>
      <c r="CQ715" s="2123">
        <v>170.62</v>
      </c>
      <c r="CR715" s="2123">
        <v>170.62</v>
      </c>
      <c r="CS715" s="2123"/>
      <c r="CT715" s="2123"/>
      <c r="CU715" s="2123"/>
      <c r="CV715" s="2123"/>
      <c r="CW715" s="2123">
        <v>62.23</v>
      </c>
      <c r="CX715" s="2123">
        <v>62.23</v>
      </c>
      <c r="CY715" s="2123">
        <v>143.6</v>
      </c>
      <c r="CZ715" s="2123">
        <v>143.6</v>
      </c>
      <c r="DA715" s="2123">
        <v>143.6</v>
      </c>
      <c r="DB715" s="2123">
        <v>143.6</v>
      </c>
      <c r="DC715" s="2123">
        <v>160.27000000000001</v>
      </c>
      <c r="DD715" s="2123">
        <v>160.27000000000001</v>
      </c>
      <c r="DE715" s="2123">
        <v>160.27000000000001</v>
      </c>
      <c r="DF715" s="2123">
        <v>160.27000000000001</v>
      </c>
      <c r="DG715" s="2123"/>
      <c r="DH715" s="2123"/>
      <c r="DI715" s="2123">
        <v>16.510000000000002</v>
      </c>
      <c r="DJ715" s="2123">
        <v>16.510000000000002</v>
      </c>
      <c r="DK715" s="2123">
        <v>16.510000000000002</v>
      </c>
      <c r="DL715" s="2123">
        <v>16.510000000000002</v>
      </c>
      <c r="DM715" s="2123">
        <v>16.510000000000002</v>
      </c>
      <c r="DN715" s="2123">
        <v>16.510000000000002</v>
      </c>
      <c r="DO715" s="2123"/>
      <c r="DP715" s="2123"/>
      <c r="DQ715" s="2123"/>
      <c r="DR715" s="2123"/>
      <c r="DS715" s="2123"/>
      <c r="DT715" s="2123"/>
      <c r="DU715" s="2123">
        <v>7.44</v>
      </c>
      <c r="DV715" s="2123">
        <v>7.44</v>
      </c>
      <c r="DW715" s="2123">
        <v>6.06</v>
      </c>
      <c r="DX715" s="2123">
        <v>6.06</v>
      </c>
      <c r="DY715" s="2123">
        <v>6.06</v>
      </c>
      <c r="DZ715" s="2123">
        <v>6.06</v>
      </c>
      <c r="EA715" s="2123"/>
      <c r="EB715" s="2123"/>
      <c r="EC715" s="2123"/>
      <c r="ED715" s="2123"/>
      <c r="EE715" s="2123"/>
      <c r="EF715" s="2123"/>
      <c r="EG715" s="2123">
        <v>8.23</v>
      </c>
      <c r="EH715" s="2123">
        <v>8.65</v>
      </c>
      <c r="EI715" s="2123">
        <v>4.49</v>
      </c>
      <c r="EJ715" s="2123">
        <v>4.49</v>
      </c>
      <c r="EK715" s="2123">
        <v>4.4400000000000004</v>
      </c>
      <c r="EL715" s="2123">
        <v>4.4400000000000004</v>
      </c>
      <c r="EM715" s="2123">
        <v>5.23</v>
      </c>
      <c r="EN715" s="2123">
        <v>5.23</v>
      </c>
      <c r="EO715" s="2123">
        <v>4.74</v>
      </c>
      <c r="EP715" s="2123">
        <v>4.74</v>
      </c>
      <c r="EQ715" s="2123">
        <v>4.87</v>
      </c>
      <c r="ER715" s="2123">
        <v>5.0599999999999996</v>
      </c>
      <c r="ES715" s="2123">
        <v>30.04</v>
      </c>
      <c r="ET715" s="2123">
        <v>30.04</v>
      </c>
      <c r="EU715" s="2123">
        <v>101.82</v>
      </c>
      <c r="EV715" s="2123">
        <v>101.82</v>
      </c>
      <c r="EW715" s="2123">
        <v>98.19</v>
      </c>
      <c r="EX715" s="2123">
        <v>98.19</v>
      </c>
      <c r="EY715" s="2129">
        <f>AVERAGE(EU715,EW715)</f>
        <v>100.005</v>
      </c>
      <c r="EZ715" s="2129">
        <f t="shared" si="55"/>
        <v>100.005</v>
      </c>
      <c r="FA715" s="2123">
        <v>104.11</v>
      </c>
      <c r="FB715" s="2123">
        <v>104.11</v>
      </c>
      <c r="FC715" s="2123"/>
      <c r="FD715" s="2123"/>
      <c r="FE715" s="2123">
        <v>25.26</v>
      </c>
      <c r="FF715" s="2123">
        <v>25.26</v>
      </c>
      <c r="FG715" s="2123">
        <v>82.28</v>
      </c>
      <c r="FH715" s="2123">
        <v>82.28</v>
      </c>
      <c r="FI715" s="2123">
        <v>82.28</v>
      </c>
      <c r="FJ715" s="2123">
        <v>82.28</v>
      </c>
      <c r="FK715" s="2123">
        <v>81.010000000000005</v>
      </c>
      <c r="FL715" s="2123">
        <v>81.010000000000005</v>
      </c>
      <c r="FM715" s="2123">
        <v>82.87</v>
      </c>
      <c r="FN715" s="2123">
        <v>82.87</v>
      </c>
      <c r="FO715" s="2123"/>
      <c r="FP715" s="2123"/>
      <c r="FQ715" s="2123">
        <v>56.47</v>
      </c>
      <c r="FR715" s="2123">
        <v>56.47</v>
      </c>
      <c r="FS715" s="2123">
        <v>103.12</v>
      </c>
      <c r="FT715" s="2123">
        <v>103.12</v>
      </c>
      <c r="FU715" s="2123">
        <v>103.12</v>
      </c>
      <c r="FV715" s="2123">
        <v>103.12</v>
      </c>
      <c r="FW715" s="2123">
        <v>104.43</v>
      </c>
      <c r="FX715" s="2123">
        <v>104.43</v>
      </c>
      <c r="FY715" s="2123"/>
      <c r="FZ715" s="2123"/>
      <c r="GA715" s="2123"/>
      <c r="GB715" s="2123"/>
      <c r="GC715" s="2123">
        <v>41.38</v>
      </c>
      <c r="GD715" s="2123">
        <v>41.38</v>
      </c>
      <c r="GE715" s="2123">
        <v>99.34</v>
      </c>
      <c r="GF715" s="2123">
        <v>99.34</v>
      </c>
      <c r="GG715" s="2123">
        <v>99.34</v>
      </c>
      <c r="GH715" s="2123">
        <v>99.34</v>
      </c>
      <c r="GI715" s="2123">
        <v>58.84</v>
      </c>
      <c r="GJ715" s="2123">
        <v>58.84</v>
      </c>
      <c r="GK715" s="2123">
        <v>93.5</v>
      </c>
      <c r="GL715" s="2123">
        <v>93.5</v>
      </c>
      <c r="GM715" s="2123"/>
      <c r="GN715" s="2123"/>
      <c r="GO715" s="2123">
        <v>22.15</v>
      </c>
      <c r="GP715" s="2123">
        <v>22.15</v>
      </c>
      <c r="GQ715" s="2123">
        <v>14.48</v>
      </c>
      <c r="GR715" s="2123">
        <v>14.48</v>
      </c>
      <c r="GS715" s="2123">
        <v>14.48</v>
      </c>
      <c r="GT715" s="2123">
        <v>13.8</v>
      </c>
      <c r="GU715" s="2123">
        <v>13.8</v>
      </c>
      <c r="GV715" s="2123">
        <v>13.8</v>
      </c>
      <c r="GW715" s="2123">
        <v>84.65</v>
      </c>
      <c r="GX715" s="2123">
        <v>84.65</v>
      </c>
      <c r="GY715" s="2123"/>
      <c r="GZ715" s="2123"/>
      <c r="HA715" s="2123">
        <v>15.5</v>
      </c>
      <c r="HB715" s="2123">
        <v>15.5</v>
      </c>
      <c r="HC715" s="2123">
        <v>7.07</v>
      </c>
      <c r="HD715" s="2123">
        <v>7.07</v>
      </c>
      <c r="HE715" s="2123">
        <v>8.16</v>
      </c>
      <c r="HF715" s="2123">
        <v>8.16</v>
      </c>
      <c r="HG715" s="2123">
        <v>8.16</v>
      </c>
      <c r="HH715" s="2123">
        <v>8.16</v>
      </c>
      <c r="HI715" s="2123">
        <v>8.16</v>
      </c>
      <c r="HJ715" s="2123">
        <v>8.16</v>
      </c>
      <c r="HK715" s="2123">
        <v>8.08</v>
      </c>
      <c r="HL715" s="2123">
        <v>8.08</v>
      </c>
      <c r="HM715" s="2123">
        <v>21.67</v>
      </c>
      <c r="HN715" s="2123">
        <v>21.67</v>
      </c>
      <c r="HO715" s="2123">
        <v>10.27</v>
      </c>
      <c r="HP715" s="2123">
        <v>10.27</v>
      </c>
      <c r="HQ715" s="2123">
        <v>11.86</v>
      </c>
      <c r="HR715" s="2123">
        <v>11.86</v>
      </c>
      <c r="HS715" s="2123">
        <v>11.86</v>
      </c>
      <c r="HT715" s="2123">
        <v>11.86</v>
      </c>
      <c r="HU715" s="2123">
        <v>11.86</v>
      </c>
      <c r="HV715" s="2123">
        <v>11.86</v>
      </c>
      <c r="HW715" s="2123">
        <v>11.66</v>
      </c>
      <c r="HX715" s="2123">
        <v>11.66</v>
      </c>
    </row>
    <row r="716" spans="2:232" s="2040" customFormat="1" ht="14" hidden="1" x14ac:dyDescent="0.3">
      <c r="B716" s="2203">
        <v>22</v>
      </c>
      <c r="C716" s="2204">
        <v>25.45</v>
      </c>
      <c r="D716" s="2204">
        <v>25.45</v>
      </c>
      <c r="E716" s="2204">
        <v>26.72</v>
      </c>
      <c r="F716" s="2204">
        <v>26.72</v>
      </c>
      <c r="G716" s="2204">
        <v>87.43</v>
      </c>
      <c r="H716" s="2204">
        <v>87.43</v>
      </c>
      <c r="I716" s="2204">
        <v>78.17</v>
      </c>
      <c r="J716" s="2204">
        <v>78.17</v>
      </c>
      <c r="K716" s="2204">
        <v>93.76</v>
      </c>
      <c r="L716" s="2204">
        <v>93.76</v>
      </c>
      <c r="M716" s="2204"/>
      <c r="N716" s="2204"/>
      <c r="O716" s="2204">
        <v>79.3</v>
      </c>
      <c r="P716" s="2204">
        <v>79.3</v>
      </c>
      <c r="Q716" s="2204">
        <v>81.3</v>
      </c>
      <c r="R716" s="2204">
        <v>79.31</v>
      </c>
      <c r="S716" s="2204">
        <v>113.59</v>
      </c>
      <c r="T716" s="2204">
        <v>113.59</v>
      </c>
      <c r="U716" s="2204">
        <v>109.63</v>
      </c>
      <c r="V716" s="2204">
        <v>109.63</v>
      </c>
      <c r="W716" s="2204">
        <v>113.59</v>
      </c>
      <c r="X716" s="2204">
        <v>113.59</v>
      </c>
      <c r="Y716" s="2204">
        <v>109.63</v>
      </c>
      <c r="Z716" s="2204">
        <v>113.59</v>
      </c>
      <c r="AA716" s="2204">
        <v>113.59</v>
      </c>
      <c r="AB716" s="2204">
        <v>113.59</v>
      </c>
      <c r="AC716" s="2204">
        <v>109.63</v>
      </c>
      <c r="AD716" s="2204">
        <v>109.63</v>
      </c>
      <c r="AE716" s="2204">
        <v>133.47</v>
      </c>
      <c r="AF716" s="2204">
        <v>129.72999999999999</v>
      </c>
      <c r="AG716" s="2204">
        <v>133.47</v>
      </c>
      <c r="AH716" s="2204">
        <v>133.47</v>
      </c>
      <c r="AI716" s="2204">
        <v>129.72999999999999</v>
      </c>
      <c r="AJ716" s="2204">
        <v>129.72999999999999</v>
      </c>
      <c r="AK716" s="2204">
        <v>132.30000000000001</v>
      </c>
      <c r="AL716" s="2204">
        <v>132.30000000000001</v>
      </c>
      <c r="AM716" s="2204">
        <v>42.05</v>
      </c>
      <c r="AN716" s="2204">
        <v>40.47</v>
      </c>
      <c r="AO716" s="2204">
        <v>40.47</v>
      </c>
      <c r="AP716" s="2204">
        <v>40.47</v>
      </c>
      <c r="AQ716" s="2204">
        <v>42.63</v>
      </c>
      <c r="AR716" s="2204">
        <v>42.63</v>
      </c>
      <c r="AS716" s="2204">
        <v>104.13</v>
      </c>
      <c r="AT716" s="2204">
        <v>104.13</v>
      </c>
      <c r="AU716" s="2204">
        <v>104.13</v>
      </c>
      <c r="AV716" s="2204">
        <v>107.73</v>
      </c>
      <c r="AW716" s="2204">
        <v>103.42</v>
      </c>
      <c r="AX716" s="2204">
        <v>103.42</v>
      </c>
      <c r="AY716" s="2204">
        <v>103.66</v>
      </c>
      <c r="AZ716" s="2204">
        <v>103.66</v>
      </c>
      <c r="BA716" s="2123">
        <v>44.13</v>
      </c>
      <c r="BB716" s="2123">
        <v>44.13</v>
      </c>
      <c r="BC716" s="2123">
        <v>9.68</v>
      </c>
      <c r="BD716" s="2123">
        <v>9.68</v>
      </c>
      <c r="BE716" s="2123">
        <v>14.89</v>
      </c>
      <c r="BF716" s="2123">
        <v>14.89</v>
      </c>
      <c r="BG716" s="2123">
        <v>9.74</v>
      </c>
      <c r="BH716" s="2123">
        <v>9.74</v>
      </c>
      <c r="BI716" s="2123">
        <v>9.5500000000000007</v>
      </c>
      <c r="BJ716" s="2123">
        <v>9.5500000000000007</v>
      </c>
      <c r="BK716" s="2123">
        <v>9.5500000000000007</v>
      </c>
      <c r="BL716" s="2123">
        <v>9.5500000000000007</v>
      </c>
      <c r="BM716" s="2123">
        <v>30.77</v>
      </c>
      <c r="BN716" s="2123">
        <v>30.77</v>
      </c>
      <c r="BO716" s="2123">
        <v>88.7</v>
      </c>
      <c r="BP716" s="2123">
        <v>88.7</v>
      </c>
      <c r="BQ716" s="2123">
        <v>88.7</v>
      </c>
      <c r="BR716" s="2123">
        <v>88.7</v>
      </c>
      <c r="BS716" s="2123">
        <v>99.88</v>
      </c>
      <c r="BT716" s="2123">
        <v>99.88</v>
      </c>
      <c r="BU716" s="2123">
        <v>99.88</v>
      </c>
      <c r="BV716" s="2123">
        <v>99.88</v>
      </c>
      <c r="BW716" s="2123">
        <v>99.88</v>
      </c>
      <c r="BX716" s="2123">
        <v>99.88</v>
      </c>
      <c r="BY716" s="2123">
        <v>27.96</v>
      </c>
      <c r="BZ716" s="2123">
        <v>27.96</v>
      </c>
      <c r="CA716" s="2123">
        <v>83.8</v>
      </c>
      <c r="CB716" s="2123">
        <v>83.8</v>
      </c>
      <c r="CC716" s="2123">
        <v>83.55</v>
      </c>
      <c r="CD716" s="2123">
        <v>83.55</v>
      </c>
      <c r="CE716" s="2123">
        <v>97.04</v>
      </c>
      <c r="CF716" s="2123">
        <v>97.04</v>
      </c>
      <c r="CG716" s="2123"/>
      <c r="CH716" s="2123"/>
      <c r="CI716" s="2123"/>
      <c r="CJ716" s="2123"/>
      <c r="CK716" s="2123">
        <v>75.87</v>
      </c>
      <c r="CL716" s="2123">
        <v>75.87</v>
      </c>
      <c r="CM716" s="2123">
        <v>157.63999999999999</v>
      </c>
      <c r="CN716" s="2123">
        <v>157.63999999999999</v>
      </c>
      <c r="CO716" s="2123">
        <v>177.49</v>
      </c>
      <c r="CP716" s="2123">
        <v>177.49</v>
      </c>
      <c r="CQ716" s="2123">
        <v>177.49</v>
      </c>
      <c r="CR716" s="2123">
        <v>177.49</v>
      </c>
      <c r="CS716" s="2123"/>
      <c r="CT716" s="2123"/>
      <c r="CU716" s="2123"/>
      <c r="CV716" s="2123"/>
      <c r="CW716" s="2123">
        <v>64.72</v>
      </c>
      <c r="CX716" s="2123">
        <v>64.72</v>
      </c>
      <c r="CY716" s="2123">
        <v>148.31</v>
      </c>
      <c r="CZ716" s="2123">
        <v>148.31</v>
      </c>
      <c r="DA716" s="2123">
        <v>148.31</v>
      </c>
      <c r="DB716" s="2123">
        <v>148.31</v>
      </c>
      <c r="DC716" s="2123">
        <v>167.01</v>
      </c>
      <c r="DD716" s="2123">
        <v>167.01</v>
      </c>
      <c r="DE716" s="2123">
        <v>167.01</v>
      </c>
      <c r="DF716" s="2123">
        <v>167.01</v>
      </c>
      <c r="DG716" s="2123"/>
      <c r="DH716" s="2123"/>
      <c r="DI716" s="2123">
        <v>17.170000000000002</v>
      </c>
      <c r="DJ716" s="2123">
        <v>17.170000000000002</v>
      </c>
      <c r="DK716" s="2123">
        <v>17.170000000000002</v>
      </c>
      <c r="DL716" s="2123">
        <v>17.170000000000002</v>
      </c>
      <c r="DM716" s="2123">
        <v>17.170000000000002</v>
      </c>
      <c r="DN716" s="2123">
        <v>17.170000000000002</v>
      </c>
      <c r="DO716" s="2123"/>
      <c r="DP716" s="2123"/>
      <c r="DQ716" s="2123"/>
      <c r="DR716" s="2123"/>
      <c r="DS716" s="2123"/>
      <c r="DT716" s="2123"/>
      <c r="DU716" s="2123">
        <v>7.73</v>
      </c>
      <c r="DV716" s="2123">
        <v>7.73</v>
      </c>
      <c r="DW716" s="2123">
        <v>6.36</v>
      </c>
      <c r="DX716" s="2123">
        <v>6.36</v>
      </c>
      <c r="DY716" s="2123">
        <v>6.36</v>
      </c>
      <c r="DZ716" s="2123">
        <v>6.36</v>
      </c>
      <c r="EA716" s="2123"/>
      <c r="EB716" s="2123"/>
      <c r="EC716" s="2123"/>
      <c r="ED716" s="2123"/>
      <c r="EE716" s="2123"/>
      <c r="EF716" s="2123"/>
      <c r="EG716" s="2123">
        <v>8.49</v>
      </c>
      <c r="EH716" s="2123">
        <v>8.9</v>
      </c>
      <c r="EI716" s="2123">
        <v>4.7300000000000004</v>
      </c>
      <c r="EJ716" s="2123">
        <v>4.7300000000000004</v>
      </c>
      <c r="EK716" s="2123">
        <v>4.68</v>
      </c>
      <c r="EL716" s="2123">
        <v>4.68</v>
      </c>
      <c r="EM716" s="2123">
        <v>5.47</v>
      </c>
      <c r="EN716" s="2123">
        <v>5.47</v>
      </c>
      <c r="EO716" s="2123">
        <v>4.9800000000000004</v>
      </c>
      <c r="EP716" s="2123">
        <v>4.9800000000000004</v>
      </c>
      <c r="EQ716" s="2123">
        <v>5.1100000000000003</v>
      </c>
      <c r="ER716" s="2123">
        <v>5.29</v>
      </c>
      <c r="ES716" s="2123">
        <v>31.32</v>
      </c>
      <c r="ET716" s="2123">
        <v>31.32</v>
      </c>
      <c r="EU716" s="2123">
        <v>107.91</v>
      </c>
      <c r="EV716" s="2123">
        <v>107.91</v>
      </c>
      <c r="EW716" s="2123">
        <v>104.17</v>
      </c>
      <c r="EX716" s="2123">
        <v>104.17</v>
      </c>
      <c r="EY716" s="2129">
        <f t="shared" si="55"/>
        <v>106.03999999999999</v>
      </c>
      <c r="EZ716" s="2129">
        <f t="shared" si="55"/>
        <v>106.03999999999999</v>
      </c>
      <c r="FA716" s="2123">
        <v>110.1</v>
      </c>
      <c r="FB716" s="2123">
        <v>110.1</v>
      </c>
      <c r="FC716" s="2123"/>
      <c r="FD716" s="2123"/>
      <c r="FE716" s="2123">
        <v>26.27</v>
      </c>
      <c r="FF716" s="2123">
        <v>26.27</v>
      </c>
      <c r="FG716" s="2123">
        <v>86.98</v>
      </c>
      <c r="FH716" s="2123">
        <v>86.98</v>
      </c>
      <c r="FI716" s="2123">
        <v>86.98</v>
      </c>
      <c r="FJ716" s="2123">
        <v>86.98</v>
      </c>
      <c r="FK716" s="2123">
        <v>85.72</v>
      </c>
      <c r="FL716" s="2123">
        <v>85.72</v>
      </c>
      <c r="FM716" s="2123">
        <v>87.58</v>
      </c>
      <c r="FN716" s="2123">
        <v>87.58</v>
      </c>
      <c r="FO716" s="2123"/>
      <c r="FP716" s="2123"/>
      <c r="FQ716" s="2123">
        <v>58.54</v>
      </c>
      <c r="FR716" s="2123">
        <v>58.54</v>
      </c>
      <c r="FS716" s="2123">
        <v>107.39</v>
      </c>
      <c r="FT716" s="2123">
        <v>107.39</v>
      </c>
      <c r="FU716" s="2123">
        <v>107.39</v>
      </c>
      <c r="FV716" s="2123">
        <v>107.39</v>
      </c>
      <c r="FW716" s="2123">
        <v>108.68</v>
      </c>
      <c r="FX716" s="2123">
        <v>108.68</v>
      </c>
      <c r="FY716" s="2123"/>
      <c r="FZ716" s="2123"/>
      <c r="GA716" s="2123"/>
      <c r="GB716" s="2123"/>
      <c r="GC716" s="2123">
        <v>42.91</v>
      </c>
      <c r="GD716" s="2123">
        <v>42.91</v>
      </c>
      <c r="GE716" s="2123">
        <v>102.53</v>
      </c>
      <c r="GF716" s="2123">
        <v>102.53</v>
      </c>
      <c r="GG716" s="2123">
        <v>102.53</v>
      </c>
      <c r="GH716" s="2123">
        <v>102.53</v>
      </c>
      <c r="GI716" s="2123">
        <v>63.08</v>
      </c>
      <c r="GJ716" s="2123">
        <v>63.08</v>
      </c>
      <c r="GK716" s="2123">
        <v>98.09</v>
      </c>
      <c r="GL716" s="2123">
        <v>98.09</v>
      </c>
      <c r="GM716" s="2123"/>
      <c r="GN716" s="2123"/>
      <c r="GO716" s="2123">
        <v>22.91</v>
      </c>
      <c r="GP716" s="2123">
        <v>22.91</v>
      </c>
      <c r="GQ716" s="2123">
        <v>15.32</v>
      </c>
      <c r="GR716" s="2123">
        <v>15.32</v>
      </c>
      <c r="GS716" s="2123">
        <v>15.32</v>
      </c>
      <c r="GT716" s="2123">
        <v>14.61</v>
      </c>
      <c r="GU716" s="2123">
        <v>14.61</v>
      </c>
      <c r="GV716" s="2123">
        <v>14.61</v>
      </c>
      <c r="GW716" s="2123">
        <v>89.42</v>
      </c>
      <c r="GX716" s="2123">
        <v>89.42</v>
      </c>
      <c r="GY716" s="2123"/>
      <c r="GZ716" s="2123"/>
      <c r="HA716" s="2123">
        <v>16.11</v>
      </c>
      <c r="HB716" s="2123">
        <v>16.11</v>
      </c>
      <c r="HC716" s="2123">
        <v>7.6</v>
      </c>
      <c r="HD716" s="2123">
        <v>7.6</v>
      </c>
      <c r="HE716" s="2123">
        <v>8.6999999999999993</v>
      </c>
      <c r="HF716" s="2123">
        <v>8.6999999999999993</v>
      </c>
      <c r="HG716" s="2123">
        <v>8.6999999999999993</v>
      </c>
      <c r="HH716" s="2123">
        <v>8.6999999999999993</v>
      </c>
      <c r="HI716" s="2123">
        <v>8.6999999999999993</v>
      </c>
      <c r="HJ716" s="2123">
        <v>8.6999999999999993</v>
      </c>
      <c r="HK716" s="2123">
        <v>8.6300000000000008</v>
      </c>
      <c r="HL716" s="2123">
        <v>8.6300000000000008</v>
      </c>
      <c r="HM716" s="2123">
        <v>22.53</v>
      </c>
      <c r="HN716" s="2123">
        <v>22.53</v>
      </c>
      <c r="HO716" s="2123">
        <v>11.03</v>
      </c>
      <c r="HP716" s="2123">
        <v>11.03</v>
      </c>
      <c r="HQ716" s="2123">
        <v>12.63</v>
      </c>
      <c r="HR716" s="2123">
        <v>12.63</v>
      </c>
      <c r="HS716" s="2123">
        <v>12.63</v>
      </c>
      <c r="HT716" s="2123">
        <v>12.63</v>
      </c>
      <c r="HU716" s="2123">
        <v>12.63</v>
      </c>
      <c r="HV716" s="2123">
        <v>12.63</v>
      </c>
      <c r="HW716" s="2123">
        <v>12.44</v>
      </c>
      <c r="HX716" s="2123">
        <v>12.44</v>
      </c>
    </row>
    <row r="717" spans="2:232" s="2040" customFormat="1" ht="14" hidden="1" x14ac:dyDescent="0.3">
      <c r="B717" s="2203">
        <v>23</v>
      </c>
      <c r="C717" s="2204">
        <v>26.37</v>
      </c>
      <c r="D717" s="2204">
        <v>26.37</v>
      </c>
      <c r="E717" s="2204">
        <v>27.57</v>
      </c>
      <c r="F717" s="2204">
        <v>27.57</v>
      </c>
      <c r="G717" s="2204">
        <v>91.19</v>
      </c>
      <c r="H717" s="2204">
        <v>91.19</v>
      </c>
      <c r="I717" s="2204">
        <v>81.790000000000006</v>
      </c>
      <c r="J717" s="2204">
        <v>81.790000000000006</v>
      </c>
      <c r="K717" s="2204">
        <v>97</v>
      </c>
      <c r="L717" s="2204">
        <v>97</v>
      </c>
      <c r="M717" s="2204"/>
      <c r="N717" s="2204"/>
      <c r="O717" s="2204">
        <v>82.2</v>
      </c>
      <c r="P717" s="2204">
        <v>82.2</v>
      </c>
      <c r="Q717" s="2204">
        <v>84.06</v>
      </c>
      <c r="R717" s="2204">
        <v>82.21</v>
      </c>
      <c r="S717" s="2204">
        <v>119.6</v>
      </c>
      <c r="T717" s="2204">
        <v>119.6</v>
      </c>
      <c r="U717" s="2204">
        <v>115.43</v>
      </c>
      <c r="V717" s="2204">
        <v>115.43</v>
      </c>
      <c r="W717" s="2204">
        <v>119.6</v>
      </c>
      <c r="X717" s="2204">
        <v>119.6</v>
      </c>
      <c r="Y717" s="2204">
        <v>115.43</v>
      </c>
      <c r="Z717" s="2204">
        <v>119.6</v>
      </c>
      <c r="AA717" s="2204">
        <v>119.6</v>
      </c>
      <c r="AB717" s="2204">
        <v>119.6</v>
      </c>
      <c r="AC717" s="2204">
        <v>115.43</v>
      </c>
      <c r="AD717" s="2204">
        <v>115.43</v>
      </c>
      <c r="AE717" s="2204">
        <v>139.59</v>
      </c>
      <c r="AF717" s="2204">
        <v>135.68</v>
      </c>
      <c r="AG717" s="2204">
        <v>139.59</v>
      </c>
      <c r="AH717" s="2204">
        <v>139.59</v>
      </c>
      <c r="AI717" s="2204">
        <v>135.68</v>
      </c>
      <c r="AJ717" s="2204">
        <v>135.68</v>
      </c>
      <c r="AK717" s="2204">
        <v>138.13999999999999</v>
      </c>
      <c r="AL717" s="2204">
        <v>138.13999999999999</v>
      </c>
      <c r="AM717" s="2204">
        <v>43.58</v>
      </c>
      <c r="AN717" s="2204">
        <v>41.95</v>
      </c>
      <c r="AO717" s="2204">
        <v>41.95</v>
      </c>
      <c r="AP717" s="2204">
        <v>41.95</v>
      </c>
      <c r="AQ717" s="2204">
        <v>44</v>
      </c>
      <c r="AR717" s="2204">
        <v>44</v>
      </c>
      <c r="AS717" s="2204">
        <v>108.93</v>
      </c>
      <c r="AT717" s="2204">
        <v>108.93</v>
      </c>
      <c r="AU717" s="2204">
        <v>108.93</v>
      </c>
      <c r="AV717" s="2204">
        <v>112.6</v>
      </c>
      <c r="AW717" s="2204">
        <v>108.31</v>
      </c>
      <c r="AX717" s="2204">
        <v>108.31</v>
      </c>
      <c r="AY717" s="2204">
        <v>108.55</v>
      </c>
      <c r="AZ717" s="2204">
        <v>108.55</v>
      </c>
      <c r="BA717" s="2123">
        <v>46.25</v>
      </c>
      <c r="BB717" s="2123">
        <v>46.25</v>
      </c>
      <c r="BC717" s="2123">
        <v>10.24</v>
      </c>
      <c r="BD717" s="2123">
        <v>10.24</v>
      </c>
      <c r="BE717" s="2123">
        <v>15.44</v>
      </c>
      <c r="BF717" s="2123">
        <v>15.44</v>
      </c>
      <c r="BG717" s="2123">
        <v>10.29</v>
      </c>
      <c r="BH717" s="2123">
        <v>10.29</v>
      </c>
      <c r="BI717" s="2123">
        <v>10.11</v>
      </c>
      <c r="BJ717" s="2123">
        <v>10.11</v>
      </c>
      <c r="BK717" s="2123">
        <v>10.11</v>
      </c>
      <c r="BL717" s="2123">
        <v>10.11</v>
      </c>
      <c r="BM717" s="2123">
        <v>31.88</v>
      </c>
      <c r="BN717" s="2123">
        <v>31.88</v>
      </c>
      <c r="BO717" s="2123">
        <v>92.33</v>
      </c>
      <c r="BP717" s="2123">
        <v>92.33</v>
      </c>
      <c r="BQ717" s="2123">
        <v>92.33</v>
      </c>
      <c r="BR717" s="2123">
        <v>92.33</v>
      </c>
      <c r="BS717" s="2123">
        <v>104.87</v>
      </c>
      <c r="BT717" s="2123">
        <v>104.87</v>
      </c>
      <c r="BU717" s="2123">
        <v>104.87</v>
      </c>
      <c r="BV717" s="2123">
        <v>104.87</v>
      </c>
      <c r="BW717" s="2123">
        <v>104.87</v>
      </c>
      <c r="BX717" s="2123">
        <v>104.87</v>
      </c>
      <c r="BY717" s="2123">
        <v>28.97</v>
      </c>
      <c r="BZ717" s="2123">
        <v>28.97</v>
      </c>
      <c r="CA717" s="2123">
        <v>87.3</v>
      </c>
      <c r="CB717" s="2123">
        <v>87.3</v>
      </c>
      <c r="CC717" s="2123">
        <v>87.18</v>
      </c>
      <c r="CD717" s="2123">
        <v>87.18</v>
      </c>
      <c r="CE717" s="2123">
        <v>101.99</v>
      </c>
      <c r="CF717" s="2123">
        <v>101.99</v>
      </c>
      <c r="CG717" s="2123"/>
      <c r="CH717" s="2123"/>
      <c r="CI717" s="2123"/>
      <c r="CJ717" s="2123"/>
      <c r="CK717" s="2123">
        <v>78.03</v>
      </c>
      <c r="CL717" s="2123">
        <v>78.03</v>
      </c>
      <c r="CM717" s="2123">
        <v>162.12</v>
      </c>
      <c r="CN717" s="2123">
        <v>162.12</v>
      </c>
      <c r="CO717" s="2123">
        <v>184.03</v>
      </c>
      <c r="CP717" s="2123">
        <v>184.03</v>
      </c>
      <c r="CQ717" s="2123">
        <v>184.03</v>
      </c>
      <c r="CR717" s="2123">
        <v>184.03</v>
      </c>
      <c r="CS717" s="2123"/>
      <c r="CT717" s="2123"/>
      <c r="CU717" s="2123"/>
      <c r="CV717" s="2123"/>
      <c r="CW717" s="2123">
        <v>67.09</v>
      </c>
      <c r="CX717" s="2123">
        <v>67.09</v>
      </c>
      <c r="CY717" s="2123">
        <v>152.76</v>
      </c>
      <c r="CZ717" s="2123">
        <v>152.76</v>
      </c>
      <c r="DA717" s="2123">
        <v>152.76</v>
      </c>
      <c r="DB717" s="2123">
        <v>152.76</v>
      </c>
      <c r="DC717" s="2123">
        <v>173.44</v>
      </c>
      <c r="DD717" s="2123">
        <v>173.44</v>
      </c>
      <c r="DE717" s="2123">
        <v>173.44</v>
      </c>
      <c r="DF717" s="2123">
        <v>173.44</v>
      </c>
      <c r="DG717" s="2123"/>
      <c r="DH717" s="2123"/>
      <c r="DI717" s="2123">
        <v>17.79</v>
      </c>
      <c r="DJ717" s="2123">
        <v>17.79</v>
      </c>
      <c r="DK717" s="2123">
        <v>17.79</v>
      </c>
      <c r="DL717" s="2123">
        <v>17.79</v>
      </c>
      <c r="DM717" s="2123">
        <v>17.79</v>
      </c>
      <c r="DN717" s="2123">
        <v>17.79</v>
      </c>
      <c r="DO717" s="2123"/>
      <c r="DP717" s="2123"/>
      <c r="DQ717" s="2123"/>
      <c r="DR717" s="2123"/>
      <c r="DS717" s="2123"/>
      <c r="DT717" s="2123"/>
      <c r="DU717" s="2123">
        <v>8</v>
      </c>
      <c r="DV717" s="2123">
        <v>8</v>
      </c>
      <c r="DW717" s="2123">
        <v>6.65</v>
      </c>
      <c r="DX717" s="2123">
        <v>6.65</v>
      </c>
      <c r="DY717" s="2123">
        <v>6.65</v>
      </c>
      <c r="DZ717" s="2123">
        <v>6.65</v>
      </c>
      <c r="EA717" s="2123"/>
      <c r="EB717" s="2123"/>
      <c r="EC717" s="2123"/>
      <c r="ED717" s="2123"/>
      <c r="EE717" s="2123"/>
      <c r="EF717" s="2123"/>
      <c r="EG717" s="2123">
        <v>8.76</v>
      </c>
      <c r="EH717" s="2123">
        <v>9.15</v>
      </c>
      <c r="EI717" s="2123">
        <v>4.99</v>
      </c>
      <c r="EJ717" s="2123">
        <v>4.99</v>
      </c>
      <c r="EK717" s="2123">
        <v>4.93</v>
      </c>
      <c r="EL717" s="2123">
        <v>4.93</v>
      </c>
      <c r="EM717" s="2123">
        <v>5.74</v>
      </c>
      <c r="EN717" s="2123">
        <v>5.74</v>
      </c>
      <c r="EO717" s="2123">
        <v>5.23</v>
      </c>
      <c r="EP717" s="2123">
        <v>5.23</v>
      </c>
      <c r="EQ717" s="2123">
        <v>5.37</v>
      </c>
      <c r="ER717" s="2123">
        <v>5.55</v>
      </c>
      <c r="ES717" s="2123">
        <v>32.380000000000003</v>
      </c>
      <c r="ET717" s="2123">
        <v>32.380000000000003</v>
      </c>
      <c r="EU717" s="2123">
        <v>113.05</v>
      </c>
      <c r="EV717" s="2123">
        <v>113.05</v>
      </c>
      <c r="EW717" s="2123">
        <v>109.23</v>
      </c>
      <c r="EX717" s="2123">
        <v>109.23</v>
      </c>
      <c r="EY717" s="2129">
        <f t="shared" si="55"/>
        <v>111.14</v>
      </c>
      <c r="EZ717" s="2129">
        <f t="shared" si="55"/>
        <v>111.14</v>
      </c>
      <c r="FA717" s="2123">
        <v>115.16</v>
      </c>
      <c r="FB717" s="2123">
        <v>115.16</v>
      </c>
      <c r="FC717" s="2123"/>
      <c r="FD717" s="2123"/>
      <c r="FE717" s="2123">
        <v>27.43</v>
      </c>
      <c r="FF717" s="2123">
        <v>27.43</v>
      </c>
      <c r="FG717" s="2123">
        <v>92.45</v>
      </c>
      <c r="FH717" s="2123">
        <v>92.45</v>
      </c>
      <c r="FI717" s="2123">
        <v>92.45</v>
      </c>
      <c r="FJ717" s="2123">
        <v>92.45</v>
      </c>
      <c r="FK717" s="2123">
        <v>91.19</v>
      </c>
      <c r="FL717" s="2123">
        <v>91.19</v>
      </c>
      <c r="FM717" s="2123">
        <v>93.05</v>
      </c>
      <c r="FN717" s="2123">
        <v>93.05</v>
      </c>
      <c r="FO717" s="2123"/>
      <c r="FP717" s="2123"/>
      <c r="FQ717" s="2123">
        <v>60.91</v>
      </c>
      <c r="FR717" s="2123">
        <v>60.91</v>
      </c>
      <c r="FS717" s="2123">
        <v>112.32</v>
      </c>
      <c r="FT717" s="2123">
        <v>112.32</v>
      </c>
      <c r="FU717" s="2123">
        <v>112.32</v>
      </c>
      <c r="FV717" s="2123">
        <v>112.32</v>
      </c>
      <c r="FW717" s="2123">
        <v>113.6</v>
      </c>
      <c r="FX717" s="2123">
        <v>113.6</v>
      </c>
      <c r="FY717" s="2123"/>
      <c r="FZ717" s="2123"/>
      <c r="GA717" s="2123"/>
      <c r="GB717" s="2123"/>
      <c r="GC717" s="2123">
        <v>44.44</v>
      </c>
      <c r="GD717" s="2123">
        <v>44.44</v>
      </c>
      <c r="GE717" s="2123">
        <v>105.72</v>
      </c>
      <c r="GF717" s="2123">
        <v>105.72</v>
      </c>
      <c r="GG717" s="2123">
        <v>105.72</v>
      </c>
      <c r="GH717" s="2123">
        <v>105.72</v>
      </c>
      <c r="GI717" s="2123">
        <v>67.44</v>
      </c>
      <c r="GJ717" s="2123">
        <v>67.44</v>
      </c>
      <c r="GK717" s="2123">
        <v>102.73</v>
      </c>
      <c r="GL717" s="2123">
        <v>102.73</v>
      </c>
      <c r="GM717" s="2123"/>
      <c r="GN717" s="2123"/>
      <c r="GO717" s="2123">
        <v>23.77</v>
      </c>
      <c r="GP717" s="2123">
        <v>23.77</v>
      </c>
      <c r="GQ717" s="2123">
        <v>16.13</v>
      </c>
      <c r="GR717" s="2123">
        <v>16.13</v>
      </c>
      <c r="GS717" s="2123">
        <v>16.13</v>
      </c>
      <c r="GT717" s="2123">
        <v>15.39</v>
      </c>
      <c r="GU717" s="2123">
        <v>15.39</v>
      </c>
      <c r="GV717" s="2123">
        <v>15.39</v>
      </c>
      <c r="GW717" s="2123">
        <v>94.01</v>
      </c>
      <c r="GX717" s="2123">
        <v>94.01</v>
      </c>
      <c r="GY717" s="2123"/>
      <c r="GZ717" s="2123"/>
      <c r="HA717" s="2123">
        <v>16.690000000000001</v>
      </c>
      <c r="HB717" s="2123">
        <v>16.690000000000001</v>
      </c>
      <c r="HC717" s="2123">
        <v>8.1199999999999992</v>
      </c>
      <c r="HD717" s="2123">
        <v>8.1199999999999992</v>
      </c>
      <c r="HE717" s="2123">
        <v>9.2200000000000006</v>
      </c>
      <c r="HF717" s="2123">
        <v>9.2200000000000006</v>
      </c>
      <c r="HG717" s="2123">
        <v>9.2200000000000006</v>
      </c>
      <c r="HH717" s="2123">
        <v>9.2200000000000006</v>
      </c>
      <c r="HI717" s="2123">
        <v>9.2200000000000006</v>
      </c>
      <c r="HJ717" s="2123">
        <v>9.2200000000000006</v>
      </c>
      <c r="HK717" s="2123">
        <v>9.16</v>
      </c>
      <c r="HL717" s="2123">
        <v>9.16</v>
      </c>
      <c r="HM717" s="2123">
        <v>23.34</v>
      </c>
      <c r="HN717" s="2123">
        <v>23.34</v>
      </c>
      <c r="HO717" s="2123">
        <v>11.77</v>
      </c>
      <c r="HP717" s="2123">
        <v>11.77</v>
      </c>
      <c r="HQ717" s="2123">
        <v>13.38</v>
      </c>
      <c r="HR717" s="2123">
        <v>13.38</v>
      </c>
      <c r="HS717" s="2123">
        <v>13.38</v>
      </c>
      <c r="HT717" s="2123">
        <v>13.38</v>
      </c>
      <c r="HU717" s="2123">
        <v>13.38</v>
      </c>
      <c r="HV717" s="2123">
        <v>13.38</v>
      </c>
      <c r="HW717" s="2123">
        <v>13.2</v>
      </c>
      <c r="HX717" s="2123">
        <v>13.2</v>
      </c>
    </row>
    <row r="718" spans="2:232" s="2040" customFormat="1" ht="14" hidden="1" x14ac:dyDescent="0.3">
      <c r="B718" s="2203">
        <v>24</v>
      </c>
      <c r="C718" s="2204">
        <v>27.25</v>
      </c>
      <c r="D718" s="2204">
        <v>27.25</v>
      </c>
      <c r="E718" s="2204">
        <v>28.39</v>
      </c>
      <c r="F718" s="2204">
        <v>28.39</v>
      </c>
      <c r="G718" s="2204">
        <v>94.79</v>
      </c>
      <c r="H718" s="2204">
        <v>94.79</v>
      </c>
      <c r="I718" s="2204">
        <v>85.26</v>
      </c>
      <c r="J718" s="2204">
        <v>85.26</v>
      </c>
      <c r="K718" s="2204">
        <v>100.11</v>
      </c>
      <c r="L718" s="2204">
        <v>100.11</v>
      </c>
      <c r="M718" s="2204"/>
      <c r="N718" s="2204"/>
      <c r="O718" s="2204">
        <v>84.96</v>
      </c>
      <c r="P718" s="2204">
        <v>84.96</v>
      </c>
      <c r="Q718" s="2204">
        <v>86.68</v>
      </c>
      <c r="R718" s="2204">
        <v>84.97</v>
      </c>
      <c r="S718" s="2204">
        <v>125.39</v>
      </c>
      <c r="T718" s="2204">
        <v>125.39</v>
      </c>
      <c r="U718" s="2204">
        <v>121.02</v>
      </c>
      <c r="V718" s="2204">
        <v>121.02</v>
      </c>
      <c r="W718" s="2204">
        <v>125.39</v>
      </c>
      <c r="X718" s="2204">
        <v>125.39</v>
      </c>
      <c r="Y718" s="2204">
        <v>121.02</v>
      </c>
      <c r="Z718" s="2204">
        <v>125.39</v>
      </c>
      <c r="AA718" s="2204">
        <v>125.39</v>
      </c>
      <c r="AB718" s="2204">
        <v>125.39</v>
      </c>
      <c r="AC718" s="2204">
        <v>121.02</v>
      </c>
      <c r="AD718" s="2204">
        <v>121.02</v>
      </c>
      <c r="AE718" s="2204">
        <v>145.46</v>
      </c>
      <c r="AF718" s="2204">
        <v>141.38</v>
      </c>
      <c r="AG718" s="2204">
        <v>145.46</v>
      </c>
      <c r="AH718" s="2204">
        <v>145.46</v>
      </c>
      <c r="AI718" s="2204">
        <v>141.38</v>
      </c>
      <c r="AJ718" s="2204">
        <v>141.38</v>
      </c>
      <c r="AK718" s="2204">
        <v>143.72</v>
      </c>
      <c r="AL718" s="2204">
        <v>143.72</v>
      </c>
      <c r="AM718" s="2204">
        <v>45.03</v>
      </c>
      <c r="AN718" s="2204">
        <v>43.35</v>
      </c>
      <c r="AO718" s="2204">
        <v>43.35</v>
      </c>
      <c r="AP718" s="2204">
        <v>43.35</v>
      </c>
      <c r="AQ718" s="2204">
        <v>45.3</v>
      </c>
      <c r="AR718" s="2204">
        <v>45.3</v>
      </c>
      <c r="AS718" s="2204">
        <v>113.53</v>
      </c>
      <c r="AT718" s="2204">
        <v>113.53</v>
      </c>
      <c r="AU718" s="2204">
        <v>113.53</v>
      </c>
      <c r="AV718" s="2204">
        <v>117.27</v>
      </c>
      <c r="AW718" s="2204">
        <v>113</v>
      </c>
      <c r="AX718" s="2204">
        <v>113</v>
      </c>
      <c r="AY718" s="2204">
        <v>113.23</v>
      </c>
      <c r="AZ718" s="2204">
        <v>113.23</v>
      </c>
      <c r="BA718" s="2123">
        <v>48.28</v>
      </c>
      <c r="BB718" s="2123">
        <v>48.28</v>
      </c>
      <c r="BC718" s="2123">
        <v>10.78</v>
      </c>
      <c r="BD718" s="2123">
        <v>10.78</v>
      </c>
      <c r="BE718" s="2123">
        <v>15.96</v>
      </c>
      <c r="BF718" s="2123">
        <v>15.96</v>
      </c>
      <c r="BG718" s="2123">
        <v>10.83</v>
      </c>
      <c r="BH718" s="2123">
        <v>10.83</v>
      </c>
      <c r="BI718" s="2123">
        <v>10.65</v>
      </c>
      <c r="BJ718" s="2123">
        <v>10.65</v>
      </c>
      <c r="BK718" s="2123">
        <v>10.65</v>
      </c>
      <c r="BL718" s="2123">
        <v>10.65</v>
      </c>
      <c r="BM718" s="2123">
        <v>32.94</v>
      </c>
      <c r="BN718" s="2123">
        <v>32.94</v>
      </c>
      <c r="BO718" s="2123">
        <v>95.8</v>
      </c>
      <c r="BP718" s="2123">
        <v>95.8</v>
      </c>
      <c r="BQ718" s="2123">
        <v>95.8</v>
      </c>
      <c r="BR718" s="2123">
        <v>95.8</v>
      </c>
      <c r="BS718" s="2123">
        <v>109.67</v>
      </c>
      <c r="BT718" s="2123">
        <v>109.67</v>
      </c>
      <c r="BU718" s="2123">
        <v>109.67</v>
      </c>
      <c r="BV718" s="2123">
        <v>109.67</v>
      </c>
      <c r="BW718" s="2123">
        <v>109.67</v>
      </c>
      <c r="BX718" s="2123">
        <v>109.67</v>
      </c>
      <c r="BY718" s="2123">
        <v>29.93</v>
      </c>
      <c r="BZ718" s="2123">
        <v>29.93</v>
      </c>
      <c r="CA718" s="2123">
        <v>90.65</v>
      </c>
      <c r="CB718" s="2123">
        <v>90.65</v>
      </c>
      <c r="CC718" s="2123">
        <v>90.65</v>
      </c>
      <c r="CD718" s="2123">
        <v>90.65</v>
      </c>
      <c r="CE718" s="2123">
        <v>106.75</v>
      </c>
      <c r="CF718" s="2123">
        <v>106.75</v>
      </c>
      <c r="CG718" s="2123"/>
      <c r="CH718" s="2123"/>
      <c r="CI718" s="2123"/>
      <c r="CJ718" s="2123"/>
      <c r="CK718" s="2123">
        <v>80.09</v>
      </c>
      <c r="CL718" s="2123">
        <v>80.09</v>
      </c>
      <c r="CM718" s="2123">
        <v>166.36</v>
      </c>
      <c r="CN718" s="2123">
        <v>166.36</v>
      </c>
      <c r="CO718" s="2123">
        <v>190.25</v>
      </c>
      <c r="CP718" s="2123">
        <v>190.25</v>
      </c>
      <c r="CQ718" s="2123">
        <v>190.25</v>
      </c>
      <c r="CR718" s="2123">
        <v>190.25</v>
      </c>
      <c r="CS718" s="2123"/>
      <c r="CT718" s="2123"/>
      <c r="CU718" s="2123"/>
      <c r="CV718" s="2123"/>
      <c r="CW718" s="2123">
        <v>69.33</v>
      </c>
      <c r="CX718" s="2123">
        <v>69.33</v>
      </c>
      <c r="CY718" s="2123">
        <v>156.97</v>
      </c>
      <c r="CZ718" s="2123">
        <v>156.97</v>
      </c>
      <c r="DA718" s="2123">
        <v>156.97</v>
      </c>
      <c r="DB718" s="2123">
        <v>156.97</v>
      </c>
      <c r="DC718" s="2123">
        <v>179.57</v>
      </c>
      <c r="DD718" s="2123">
        <v>179.57</v>
      </c>
      <c r="DE718" s="2123">
        <v>179.57</v>
      </c>
      <c r="DF718" s="2123">
        <v>179.57</v>
      </c>
      <c r="DG718" s="2123"/>
      <c r="DH718" s="2123"/>
      <c r="DI718" s="2123">
        <v>18.38</v>
      </c>
      <c r="DJ718" s="2123">
        <v>18.38</v>
      </c>
      <c r="DK718" s="2123">
        <v>18.38</v>
      </c>
      <c r="DL718" s="2123">
        <v>18.38</v>
      </c>
      <c r="DM718" s="2123">
        <v>18.38</v>
      </c>
      <c r="DN718" s="2123">
        <v>18.38</v>
      </c>
      <c r="DO718" s="2123"/>
      <c r="DP718" s="2123"/>
      <c r="DQ718" s="2123"/>
      <c r="DR718" s="2123"/>
      <c r="DS718" s="2123"/>
      <c r="DT718" s="2123"/>
      <c r="DU718" s="2123">
        <v>8.26</v>
      </c>
      <c r="DV718" s="2123">
        <v>8.26</v>
      </c>
      <c r="DW718" s="2123">
        <v>6.93</v>
      </c>
      <c r="DX718" s="2123">
        <v>6.93</v>
      </c>
      <c r="DY718" s="2123">
        <v>6.93</v>
      </c>
      <c r="DZ718" s="2123">
        <v>6.93</v>
      </c>
      <c r="EA718" s="2123"/>
      <c r="EB718" s="2123"/>
      <c r="EC718" s="2123"/>
      <c r="ED718" s="2123"/>
      <c r="EE718" s="2123"/>
      <c r="EF718" s="2123"/>
      <c r="EG718" s="2123">
        <v>8.9700000000000006</v>
      </c>
      <c r="EH718" s="2123">
        <v>9.35</v>
      </c>
      <c r="EI718" s="2123">
        <v>5.19</v>
      </c>
      <c r="EJ718" s="2123">
        <v>5.19</v>
      </c>
      <c r="EK718" s="2123">
        <v>5.13</v>
      </c>
      <c r="EL718" s="2123">
        <v>5.13</v>
      </c>
      <c r="EM718" s="2123">
        <v>5.94</v>
      </c>
      <c r="EN718" s="2123">
        <v>5.94</v>
      </c>
      <c r="EO718" s="2123">
        <v>5.43</v>
      </c>
      <c r="EP718" s="2123">
        <v>5.43</v>
      </c>
      <c r="EQ718" s="2123">
        <v>5.58</v>
      </c>
      <c r="ER718" s="2123">
        <v>5.74</v>
      </c>
      <c r="ES718" s="2123">
        <v>33.409999999999997</v>
      </c>
      <c r="ET718" s="2123">
        <v>33.409999999999997</v>
      </c>
      <c r="EU718" s="2123">
        <v>118.09</v>
      </c>
      <c r="EV718" s="2123">
        <v>118.09</v>
      </c>
      <c r="EW718" s="2123">
        <v>114.18</v>
      </c>
      <c r="EX718" s="2123">
        <v>114.18</v>
      </c>
      <c r="EY718" s="2129">
        <f t="shared" si="55"/>
        <v>116.13500000000001</v>
      </c>
      <c r="EZ718" s="2129">
        <f t="shared" si="55"/>
        <v>116.13500000000001</v>
      </c>
      <c r="FA718" s="2123">
        <v>120.1</v>
      </c>
      <c r="FB718" s="2123">
        <v>120.1</v>
      </c>
      <c r="FC718" s="2123"/>
      <c r="FD718" s="2123"/>
      <c r="FE718" s="2123">
        <v>28.29</v>
      </c>
      <c r="FF718" s="2123">
        <v>28.29</v>
      </c>
      <c r="FG718" s="2123">
        <v>96.55</v>
      </c>
      <c r="FH718" s="2123">
        <v>96.55</v>
      </c>
      <c r="FI718" s="2123">
        <v>96.55</v>
      </c>
      <c r="FJ718" s="2123">
        <v>96.55</v>
      </c>
      <c r="FK718" s="2123">
        <v>95.31</v>
      </c>
      <c r="FL718" s="2123">
        <v>95.31</v>
      </c>
      <c r="FM718" s="2123">
        <v>97.15</v>
      </c>
      <c r="FN718" s="2123">
        <v>97.15</v>
      </c>
      <c r="FO718" s="2123"/>
      <c r="FP718" s="2123"/>
      <c r="FQ718" s="2123">
        <v>63.14</v>
      </c>
      <c r="FR718" s="2123">
        <v>63.14</v>
      </c>
      <c r="FS718" s="2123">
        <v>116.98</v>
      </c>
      <c r="FT718" s="2123">
        <v>116.98</v>
      </c>
      <c r="FU718" s="2123">
        <v>116.98</v>
      </c>
      <c r="FV718" s="2123">
        <v>116.98</v>
      </c>
      <c r="FW718" s="2123">
        <v>118.25</v>
      </c>
      <c r="FX718" s="2123">
        <v>118.25</v>
      </c>
      <c r="FY718" s="2123"/>
      <c r="FZ718" s="2123"/>
      <c r="GA718" s="2123"/>
      <c r="GB718" s="2123"/>
      <c r="GC718" s="2123">
        <v>45.88</v>
      </c>
      <c r="GD718" s="2123">
        <v>45.88</v>
      </c>
      <c r="GE718" s="2123">
        <v>108.72</v>
      </c>
      <c r="GF718" s="2123">
        <v>108.72</v>
      </c>
      <c r="GG718" s="2123">
        <v>108.72</v>
      </c>
      <c r="GH718" s="2123">
        <v>108.72</v>
      </c>
      <c r="GI718" s="2123">
        <v>71.64</v>
      </c>
      <c r="GJ718" s="2123">
        <v>71.64</v>
      </c>
      <c r="GK718" s="2123">
        <v>107.15</v>
      </c>
      <c r="GL718" s="2123">
        <v>107.15</v>
      </c>
      <c r="GM718" s="2123"/>
      <c r="GN718" s="2123"/>
      <c r="GO718" s="2123">
        <v>24.58</v>
      </c>
      <c r="GP718" s="2123">
        <v>24.58</v>
      </c>
      <c r="GQ718" s="2123">
        <v>16.91</v>
      </c>
      <c r="GR718" s="2123">
        <v>16.91</v>
      </c>
      <c r="GS718" s="2123">
        <v>16.91</v>
      </c>
      <c r="GT718" s="2123">
        <v>16.149999999999999</v>
      </c>
      <c r="GU718" s="2123">
        <v>16.149999999999999</v>
      </c>
      <c r="GV718" s="2123">
        <v>16.149999999999999</v>
      </c>
      <c r="GW718" s="2123">
        <v>98.43</v>
      </c>
      <c r="GX718" s="2123">
        <v>98.43</v>
      </c>
      <c r="GY718" s="2123"/>
      <c r="GZ718" s="2123"/>
      <c r="HA718" s="2123">
        <v>17.239999999999998</v>
      </c>
      <c r="HB718" s="2123">
        <v>17.239999999999998</v>
      </c>
      <c r="HC718" s="2123">
        <v>8.6300000000000008</v>
      </c>
      <c r="HD718" s="2123">
        <v>8.6300000000000008</v>
      </c>
      <c r="HE718" s="2123">
        <v>9.73</v>
      </c>
      <c r="HF718" s="2123">
        <v>9.73</v>
      </c>
      <c r="HG718" s="2123">
        <v>9.73</v>
      </c>
      <c r="HH718" s="2123">
        <v>9.73</v>
      </c>
      <c r="HI718" s="2123">
        <v>9.73</v>
      </c>
      <c r="HJ718" s="2123">
        <v>9.73</v>
      </c>
      <c r="HK718" s="2123">
        <v>9.68</v>
      </c>
      <c r="HL718" s="2123">
        <v>9.68</v>
      </c>
      <c r="HM718" s="2123">
        <v>24.12</v>
      </c>
      <c r="HN718" s="2123">
        <v>24.12</v>
      </c>
      <c r="HO718" s="2123">
        <v>12.49</v>
      </c>
      <c r="HP718" s="2123">
        <v>12.49</v>
      </c>
      <c r="HQ718" s="2123">
        <v>14.1</v>
      </c>
      <c r="HR718" s="2123">
        <v>14.1</v>
      </c>
      <c r="HS718" s="2123">
        <v>14.1</v>
      </c>
      <c r="HT718" s="2123">
        <v>14.1</v>
      </c>
      <c r="HU718" s="2123">
        <v>14.1</v>
      </c>
      <c r="HV718" s="2123">
        <v>14.1</v>
      </c>
      <c r="HW718" s="2123">
        <v>13.93</v>
      </c>
      <c r="HX718" s="2123">
        <v>13.93</v>
      </c>
    </row>
    <row r="719" spans="2:232" s="2040" customFormat="1" ht="14" hidden="1" x14ac:dyDescent="0.3">
      <c r="B719" s="2203">
        <v>25</v>
      </c>
      <c r="C719" s="2204">
        <v>28.08</v>
      </c>
      <c r="D719" s="2204">
        <v>28.08</v>
      </c>
      <c r="E719" s="2204">
        <v>29.16</v>
      </c>
      <c r="F719" s="2204">
        <v>29.16</v>
      </c>
      <c r="G719" s="2204">
        <v>98.24</v>
      </c>
      <c r="H719" s="2204">
        <v>98.24</v>
      </c>
      <c r="I719" s="2204">
        <v>88.6</v>
      </c>
      <c r="J719" s="2204">
        <v>88.6</v>
      </c>
      <c r="K719" s="2204">
        <v>103.1</v>
      </c>
      <c r="L719" s="2204">
        <v>103.1</v>
      </c>
      <c r="M719" s="2204"/>
      <c r="N719" s="2204"/>
      <c r="O719" s="2204">
        <v>87.58</v>
      </c>
      <c r="P719" s="2204">
        <v>87.58</v>
      </c>
      <c r="Q719" s="2204">
        <v>89.18</v>
      </c>
      <c r="R719" s="2204">
        <v>87.59</v>
      </c>
      <c r="S719" s="2204">
        <v>130.96</v>
      </c>
      <c r="T719" s="2204">
        <v>130.96</v>
      </c>
      <c r="U719" s="2204">
        <v>126.4</v>
      </c>
      <c r="V719" s="2204">
        <v>126.4</v>
      </c>
      <c r="W719" s="2204">
        <v>130.96</v>
      </c>
      <c r="X719" s="2204">
        <v>130.96</v>
      </c>
      <c r="Y719" s="2204">
        <v>126.4</v>
      </c>
      <c r="Z719" s="2204">
        <v>130.96</v>
      </c>
      <c r="AA719" s="2204">
        <v>130.96</v>
      </c>
      <c r="AB719" s="2204">
        <v>130.96</v>
      </c>
      <c r="AC719" s="2204">
        <v>126.4</v>
      </c>
      <c r="AD719" s="2204">
        <v>126.4</v>
      </c>
      <c r="AE719" s="2204">
        <v>151.07</v>
      </c>
      <c r="AF719" s="2204">
        <v>146.82</v>
      </c>
      <c r="AG719" s="2204">
        <v>151.07</v>
      </c>
      <c r="AH719" s="2204">
        <v>151.07</v>
      </c>
      <c r="AI719" s="2204">
        <v>146.82</v>
      </c>
      <c r="AJ719" s="2204">
        <v>146.82</v>
      </c>
      <c r="AK719" s="2204">
        <v>149.07</v>
      </c>
      <c r="AL719" s="2204">
        <v>149.07</v>
      </c>
      <c r="AM719" s="2204">
        <v>46.42</v>
      </c>
      <c r="AN719" s="2204">
        <v>44.69</v>
      </c>
      <c r="AO719" s="2204">
        <v>44.69</v>
      </c>
      <c r="AP719" s="2204">
        <v>44.69</v>
      </c>
      <c r="AQ719" s="2204">
        <v>46.53</v>
      </c>
      <c r="AR719" s="2204">
        <v>46.53</v>
      </c>
      <c r="AS719" s="2204">
        <v>117.94</v>
      </c>
      <c r="AT719" s="2204">
        <v>117.94</v>
      </c>
      <c r="AU719" s="2204">
        <v>117.94</v>
      </c>
      <c r="AV719" s="2204">
        <v>121.75</v>
      </c>
      <c r="AW719" s="2204">
        <v>117.48</v>
      </c>
      <c r="AX719" s="2204">
        <v>117.48</v>
      </c>
      <c r="AY719" s="2204">
        <v>117.71</v>
      </c>
      <c r="AZ719" s="2204">
        <v>117.71</v>
      </c>
      <c r="BA719" s="2123">
        <v>50.23</v>
      </c>
      <c r="BB719" s="2123">
        <v>50.23</v>
      </c>
      <c r="BC719" s="2123">
        <v>11.29</v>
      </c>
      <c r="BD719" s="2123">
        <v>11.29</v>
      </c>
      <c r="BE719" s="2123">
        <v>16.45</v>
      </c>
      <c r="BF719" s="2123">
        <v>16.45</v>
      </c>
      <c r="BG719" s="2123">
        <v>11.34</v>
      </c>
      <c r="BH719" s="2123">
        <v>11.34</v>
      </c>
      <c r="BI719" s="2123">
        <v>11.17</v>
      </c>
      <c r="BJ719" s="2123">
        <v>11.17</v>
      </c>
      <c r="BK719" s="2123">
        <v>11.17</v>
      </c>
      <c r="BL719" s="2123">
        <v>11.17</v>
      </c>
      <c r="BM719" s="2123">
        <v>33.950000000000003</v>
      </c>
      <c r="BN719" s="2123">
        <v>33.950000000000003</v>
      </c>
      <c r="BO719" s="2123">
        <v>99.11</v>
      </c>
      <c r="BP719" s="2123">
        <v>99.11</v>
      </c>
      <c r="BQ719" s="2123">
        <v>99.11</v>
      </c>
      <c r="BR719" s="2123">
        <v>99.11</v>
      </c>
      <c r="BS719" s="2123">
        <v>114.28</v>
      </c>
      <c r="BT719" s="2123">
        <v>114.28</v>
      </c>
      <c r="BU719" s="2123">
        <v>114.28</v>
      </c>
      <c r="BV719" s="2123">
        <v>114.28</v>
      </c>
      <c r="BW719" s="2123">
        <v>114.28</v>
      </c>
      <c r="BX719" s="2123">
        <v>114.28</v>
      </c>
      <c r="BY719" s="2123">
        <v>30.85</v>
      </c>
      <c r="BZ719" s="2123">
        <v>30.85</v>
      </c>
      <c r="CA719" s="2123">
        <v>93.85</v>
      </c>
      <c r="CB719" s="2123">
        <v>93.85</v>
      </c>
      <c r="CC719" s="2123">
        <v>93.97</v>
      </c>
      <c r="CD719" s="2123">
        <v>93.97</v>
      </c>
      <c r="CE719" s="2123">
        <v>111.33</v>
      </c>
      <c r="CF719" s="2123">
        <v>111.33</v>
      </c>
      <c r="CG719" s="2123"/>
      <c r="CH719" s="2123"/>
      <c r="CI719" s="2123"/>
      <c r="CJ719" s="2123"/>
      <c r="CK719" s="2123">
        <v>82.05</v>
      </c>
      <c r="CL719" s="2123">
        <v>82.05</v>
      </c>
      <c r="CM719" s="2123">
        <v>170.37</v>
      </c>
      <c r="CN719" s="2123">
        <v>170.37</v>
      </c>
      <c r="CO719" s="2123">
        <v>196.19</v>
      </c>
      <c r="CP719" s="2123">
        <v>196.19</v>
      </c>
      <c r="CQ719" s="2123">
        <v>196.19</v>
      </c>
      <c r="CR719" s="2123">
        <v>196.19</v>
      </c>
      <c r="CS719" s="2123"/>
      <c r="CT719" s="2123"/>
      <c r="CU719" s="2123"/>
      <c r="CV719" s="2123"/>
      <c r="CW719" s="2123">
        <v>71.47</v>
      </c>
      <c r="CX719" s="2123">
        <v>71.47</v>
      </c>
      <c r="CY719" s="2123">
        <v>160.97</v>
      </c>
      <c r="CZ719" s="2123">
        <v>160.97</v>
      </c>
      <c r="DA719" s="2123">
        <v>160.97</v>
      </c>
      <c r="DB719" s="2123">
        <v>160.97</v>
      </c>
      <c r="DC719" s="2123">
        <v>185.42</v>
      </c>
      <c r="DD719" s="2123">
        <v>185.42</v>
      </c>
      <c r="DE719" s="2123">
        <v>185.42</v>
      </c>
      <c r="DF719" s="2123">
        <v>185.42</v>
      </c>
      <c r="DG719" s="2123"/>
      <c r="DH719" s="2123"/>
      <c r="DI719" s="2123">
        <v>18.940000000000001</v>
      </c>
      <c r="DJ719" s="2123">
        <v>18.940000000000001</v>
      </c>
      <c r="DK719" s="2123">
        <v>18.940000000000001</v>
      </c>
      <c r="DL719" s="2123">
        <v>18.940000000000001</v>
      </c>
      <c r="DM719" s="2123">
        <v>18.940000000000001</v>
      </c>
      <c r="DN719" s="2123">
        <v>18.940000000000001</v>
      </c>
      <c r="DO719" s="2123"/>
      <c r="DP719" s="2123"/>
      <c r="DQ719" s="2123"/>
      <c r="DR719" s="2123"/>
      <c r="DS719" s="2123"/>
      <c r="DT719" s="2123"/>
      <c r="DU719" s="2123">
        <v>8.51</v>
      </c>
      <c r="DV719" s="2123">
        <v>8.51</v>
      </c>
      <c r="DW719" s="2123">
        <v>7.2</v>
      </c>
      <c r="DX719" s="2123">
        <v>7.2</v>
      </c>
      <c r="DY719" s="2123">
        <v>7.2</v>
      </c>
      <c r="DZ719" s="2123">
        <v>7.2</v>
      </c>
      <c r="EA719" s="2123"/>
      <c r="EB719" s="2123"/>
      <c r="EC719" s="2123"/>
      <c r="ED719" s="2123"/>
      <c r="EE719" s="2123"/>
      <c r="EF719" s="2123"/>
      <c r="EG719" s="2123">
        <v>9.31</v>
      </c>
      <c r="EH719" s="2123">
        <v>9.67</v>
      </c>
      <c r="EI719" s="2123">
        <v>5.52</v>
      </c>
      <c r="EJ719" s="2123">
        <v>5.52</v>
      </c>
      <c r="EK719" s="2123">
        <v>5.47</v>
      </c>
      <c r="EL719" s="2123">
        <v>5.47</v>
      </c>
      <c r="EM719" s="2123">
        <v>6.28</v>
      </c>
      <c r="EN719" s="2123">
        <v>6.28</v>
      </c>
      <c r="EO719" s="2123">
        <v>5.75</v>
      </c>
      <c r="EP719" s="2123">
        <v>5.75</v>
      </c>
      <c r="EQ719" s="2123">
        <v>5.91</v>
      </c>
      <c r="ER719" s="2123">
        <v>6.07</v>
      </c>
      <c r="ES719" s="2123">
        <v>34.68</v>
      </c>
      <c r="ET719" s="2123">
        <v>34.68</v>
      </c>
      <c r="EU719" s="2123">
        <v>124.4</v>
      </c>
      <c r="EV719" s="2123">
        <v>124.4</v>
      </c>
      <c r="EW719" s="2123">
        <v>120.41</v>
      </c>
      <c r="EX719" s="2123">
        <v>120.41</v>
      </c>
      <c r="EY719" s="2129">
        <f t="shared" si="55"/>
        <v>122.405</v>
      </c>
      <c r="EZ719" s="2129">
        <f t="shared" si="55"/>
        <v>122.405</v>
      </c>
      <c r="FA719" s="2123">
        <v>126.3</v>
      </c>
      <c r="FB719" s="2123">
        <v>126.3</v>
      </c>
      <c r="FC719" s="2123"/>
      <c r="FD719" s="2123"/>
      <c r="FE719" s="2123">
        <v>29.42</v>
      </c>
      <c r="FF719" s="2123">
        <v>29.42</v>
      </c>
      <c r="FG719" s="2123">
        <v>102.07</v>
      </c>
      <c r="FH719" s="2123">
        <v>102.07</v>
      </c>
      <c r="FI719" s="2123">
        <v>102.07</v>
      </c>
      <c r="FJ719" s="2123">
        <v>102.07</v>
      </c>
      <c r="FK719" s="2123">
        <v>100.85</v>
      </c>
      <c r="FL719" s="2123">
        <v>100.85</v>
      </c>
      <c r="FM719" s="2123">
        <v>102.68</v>
      </c>
      <c r="FN719" s="2123">
        <v>102.68</v>
      </c>
      <c r="FO719" s="2123"/>
      <c r="FP719" s="2123"/>
      <c r="FQ719" s="2123">
        <v>65.78</v>
      </c>
      <c r="FR719" s="2123">
        <v>65.78</v>
      </c>
      <c r="FS719" s="2123">
        <v>122.51</v>
      </c>
      <c r="FT719" s="2123">
        <v>122.51</v>
      </c>
      <c r="FU719" s="2123">
        <v>122.51</v>
      </c>
      <c r="FV719" s="2123">
        <v>122.51</v>
      </c>
      <c r="FW719" s="2123">
        <v>123.76</v>
      </c>
      <c r="FX719" s="2123">
        <v>123.76</v>
      </c>
      <c r="FY719" s="2123"/>
      <c r="FZ719" s="2123"/>
      <c r="GA719" s="2123"/>
      <c r="GB719" s="2123"/>
      <c r="GC719" s="2123">
        <v>47.42</v>
      </c>
      <c r="GD719" s="2123">
        <v>47.42</v>
      </c>
      <c r="GE719" s="2123">
        <v>111.93</v>
      </c>
      <c r="GF719" s="2123">
        <v>111.93</v>
      </c>
      <c r="GG719" s="2123">
        <v>111.93</v>
      </c>
      <c r="GH719" s="2123">
        <v>111.93</v>
      </c>
      <c r="GI719" s="2123">
        <v>76.28</v>
      </c>
      <c r="GJ719" s="2123">
        <v>76.28</v>
      </c>
      <c r="GK719" s="2123">
        <v>111.95</v>
      </c>
      <c r="GL719" s="2123">
        <v>111.95</v>
      </c>
      <c r="GM719" s="2123"/>
      <c r="GN719" s="2123"/>
      <c r="GO719" s="2123">
        <v>25.54</v>
      </c>
      <c r="GP719" s="2123">
        <v>25.54</v>
      </c>
      <c r="GQ719" s="2123">
        <v>17.670000000000002</v>
      </c>
      <c r="GR719" s="2123">
        <v>17.670000000000002</v>
      </c>
      <c r="GS719" s="2123">
        <v>17.670000000000002</v>
      </c>
      <c r="GT719" s="2123">
        <v>16.88</v>
      </c>
      <c r="GU719" s="2123">
        <v>16.88</v>
      </c>
      <c r="GV719" s="2123">
        <v>16.88</v>
      </c>
      <c r="GW719" s="2123">
        <v>102.69</v>
      </c>
      <c r="GX719" s="2123">
        <v>102.69</v>
      </c>
      <c r="GY719" s="2123"/>
      <c r="GZ719" s="2123"/>
      <c r="HA719" s="2123">
        <v>17.760000000000002</v>
      </c>
      <c r="HB719" s="2123">
        <v>17.760000000000002</v>
      </c>
      <c r="HC719" s="2123">
        <v>9.1300000000000008</v>
      </c>
      <c r="HD719" s="2123">
        <v>9.1300000000000008</v>
      </c>
      <c r="HE719" s="2123">
        <v>10.23</v>
      </c>
      <c r="HF719" s="2123">
        <v>10.23</v>
      </c>
      <c r="HG719" s="2123">
        <v>10.23</v>
      </c>
      <c r="HH719" s="2123">
        <v>10.23</v>
      </c>
      <c r="HI719" s="2123">
        <v>10.23</v>
      </c>
      <c r="HJ719" s="2123">
        <v>10.23</v>
      </c>
      <c r="HK719" s="2123">
        <v>10.18</v>
      </c>
      <c r="HL719" s="2123">
        <v>10.18</v>
      </c>
      <c r="HM719" s="2123">
        <v>24.85</v>
      </c>
      <c r="HN719" s="2123">
        <v>24.85</v>
      </c>
      <c r="HO719" s="2123">
        <v>13.19</v>
      </c>
      <c r="HP719" s="2123">
        <v>13.19</v>
      </c>
      <c r="HQ719" s="2123">
        <v>14.8</v>
      </c>
      <c r="HR719" s="2123">
        <v>14.8</v>
      </c>
      <c r="HS719" s="2123">
        <v>14.8</v>
      </c>
      <c r="HT719" s="2123">
        <v>14.8</v>
      </c>
      <c r="HU719" s="2123">
        <v>14.8</v>
      </c>
      <c r="HV719" s="2123">
        <v>14.8</v>
      </c>
      <c r="HW719" s="2123">
        <v>14.64</v>
      </c>
      <c r="HX719" s="2123">
        <v>14.64</v>
      </c>
    </row>
    <row r="720" spans="2:232" s="2040" customFormat="1" ht="14" hidden="1" x14ac:dyDescent="0.3">
      <c r="B720" s="2203">
        <v>26</v>
      </c>
      <c r="C720" s="2204">
        <v>28.87</v>
      </c>
      <c r="D720" s="2204">
        <v>28.87</v>
      </c>
      <c r="E720" s="2204">
        <v>29.9</v>
      </c>
      <c r="F720" s="2204">
        <v>29.9</v>
      </c>
      <c r="G720" s="2204">
        <v>101.54</v>
      </c>
      <c r="H720" s="2204">
        <v>101.54</v>
      </c>
      <c r="I720" s="2204">
        <v>91.81</v>
      </c>
      <c r="J720" s="2204">
        <v>91.81</v>
      </c>
      <c r="K720" s="2204">
        <v>105.96</v>
      </c>
      <c r="L720" s="2204">
        <v>105.96</v>
      </c>
      <c r="M720" s="2204"/>
      <c r="N720" s="2204"/>
      <c r="O720" s="2204">
        <v>90.08</v>
      </c>
      <c r="P720" s="2204">
        <v>90.08</v>
      </c>
      <c r="Q720" s="2204">
        <v>91.55</v>
      </c>
      <c r="R720" s="2204">
        <v>90.09</v>
      </c>
      <c r="S720" s="2204">
        <v>136.33000000000001</v>
      </c>
      <c r="T720" s="2204">
        <v>136.33000000000001</v>
      </c>
      <c r="U720" s="2204">
        <v>131.58000000000001</v>
      </c>
      <c r="V720" s="2204">
        <v>131.58000000000001</v>
      </c>
      <c r="W720" s="2204">
        <v>136.33000000000001</v>
      </c>
      <c r="X720" s="2204">
        <v>136.33000000000001</v>
      </c>
      <c r="Y720" s="2204">
        <v>131.58000000000001</v>
      </c>
      <c r="Z720" s="2204">
        <v>136.33000000000001</v>
      </c>
      <c r="AA720" s="2204">
        <v>136.33000000000001</v>
      </c>
      <c r="AB720" s="2204">
        <v>136.33000000000001</v>
      </c>
      <c r="AC720" s="2204">
        <v>131.58000000000001</v>
      </c>
      <c r="AD720" s="2204">
        <v>131.58000000000001</v>
      </c>
      <c r="AE720" s="2204">
        <v>156.44</v>
      </c>
      <c r="AF720" s="2204">
        <v>152.04</v>
      </c>
      <c r="AG720" s="2204">
        <v>156.44</v>
      </c>
      <c r="AH720" s="2204">
        <v>156.44</v>
      </c>
      <c r="AI720" s="2204">
        <v>152.04</v>
      </c>
      <c r="AJ720" s="2204">
        <v>152.04</v>
      </c>
      <c r="AK720" s="2204">
        <v>154.19</v>
      </c>
      <c r="AL720" s="2204">
        <v>154.19</v>
      </c>
      <c r="AM720" s="2204">
        <v>47.73</v>
      </c>
      <c r="AN720" s="2204">
        <v>45.96</v>
      </c>
      <c r="AO720" s="2204">
        <v>45.96</v>
      </c>
      <c r="AP720" s="2204">
        <v>45.96</v>
      </c>
      <c r="AQ720" s="2204">
        <v>47.71</v>
      </c>
      <c r="AR720" s="2204">
        <v>47.71</v>
      </c>
      <c r="AS720" s="2204">
        <v>122.17</v>
      </c>
      <c r="AT720" s="2204">
        <v>122.17</v>
      </c>
      <c r="AU720" s="2204">
        <v>122.17</v>
      </c>
      <c r="AV720" s="2204">
        <v>126.03</v>
      </c>
      <c r="AW720" s="2204">
        <v>121.78</v>
      </c>
      <c r="AX720" s="2204">
        <v>121.78</v>
      </c>
      <c r="AY720" s="2204">
        <v>122</v>
      </c>
      <c r="AZ720" s="2204">
        <v>122</v>
      </c>
      <c r="BA720" s="2123">
        <v>52.1</v>
      </c>
      <c r="BB720" s="2123">
        <v>52.1</v>
      </c>
      <c r="BC720" s="2123">
        <v>11.79</v>
      </c>
      <c r="BD720" s="2123">
        <v>11.79</v>
      </c>
      <c r="BE720" s="2123">
        <v>16.93</v>
      </c>
      <c r="BF720" s="2123">
        <v>16.93</v>
      </c>
      <c r="BG720" s="2123">
        <v>11.85</v>
      </c>
      <c r="BH720" s="2123">
        <v>11.85</v>
      </c>
      <c r="BI720" s="2123">
        <v>11.68</v>
      </c>
      <c r="BJ720" s="2123">
        <v>11.68</v>
      </c>
      <c r="BK720" s="2123">
        <v>11.68</v>
      </c>
      <c r="BL720" s="2123">
        <v>11.68</v>
      </c>
      <c r="BM720" s="2123">
        <v>34.909999999999997</v>
      </c>
      <c r="BN720" s="2123">
        <v>34.909999999999997</v>
      </c>
      <c r="BO720" s="2123">
        <v>102.29</v>
      </c>
      <c r="BP720" s="2123">
        <v>102.29</v>
      </c>
      <c r="BQ720" s="2123">
        <v>102.29</v>
      </c>
      <c r="BR720" s="2123">
        <v>102.29</v>
      </c>
      <c r="BS720" s="2123">
        <v>118.72</v>
      </c>
      <c r="BT720" s="2123">
        <v>118.72</v>
      </c>
      <c r="BU720" s="2123">
        <v>118.72</v>
      </c>
      <c r="BV720" s="2123">
        <v>118.72</v>
      </c>
      <c r="BW720" s="2123">
        <v>118.72</v>
      </c>
      <c r="BX720" s="2123">
        <v>118.72</v>
      </c>
      <c r="BY720" s="2123">
        <v>31.72</v>
      </c>
      <c r="BZ720" s="2123">
        <v>31.72</v>
      </c>
      <c r="CA720" s="2123">
        <v>96.92</v>
      </c>
      <c r="CB720" s="2123">
        <v>96.92</v>
      </c>
      <c r="CC720" s="2123">
        <v>97.15</v>
      </c>
      <c r="CD720" s="2123">
        <v>97.15</v>
      </c>
      <c r="CE720" s="2123">
        <v>115.74</v>
      </c>
      <c r="CF720" s="2123">
        <v>115.74</v>
      </c>
      <c r="CG720" s="2123"/>
      <c r="CH720" s="2123"/>
      <c r="CI720" s="2123"/>
      <c r="CJ720" s="2123"/>
      <c r="CK720" s="2123">
        <v>83.92</v>
      </c>
      <c r="CL720" s="2123">
        <v>83.92</v>
      </c>
      <c r="CM720" s="2123">
        <v>174.18</v>
      </c>
      <c r="CN720" s="2123">
        <v>174.18</v>
      </c>
      <c r="CO720" s="2123">
        <v>201.84</v>
      </c>
      <c r="CP720" s="2123">
        <v>201.84</v>
      </c>
      <c r="CQ720" s="2123">
        <v>201.84</v>
      </c>
      <c r="CR720" s="2123">
        <v>201.84</v>
      </c>
      <c r="CS720" s="2123"/>
      <c r="CT720" s="2123"/>
      <c r="CU720" s="2123"/>
      <c r="CV720" s="2123"/>
      <c r="CW720" s="2123">
        <v>73.5</v>
      </c>
      <c r="CX720" s="2123">
        <v>73.5</v>
      </c>
      <c r="CY720" s="2123">
        <v>164.77</v>
      </c>
      <c r="CZ720" s="2123">
        <v>164.77</v>
      </c>
      <c r="DA720" s="2123">
        <v>164.77</v>
      </c>
      <c r="DB720" s="2123">
        <v>164.77</v>
      </c>
      <c r="DC720" s="2123">
        <v>191</v>
      </c>
      <c r="DD720" s="2123">
        <v>191</v>
      </c>
      <c r="DE720" s="2123">
        <v>191</v>
      </c>
      <c r="DF720" s="2123">
        <v>191</v>
      </c>
      <c r="DG720" s="2123"/>
      <c r="DH720" s="2123"/>
      <c r="DI720" s="2123">
        <v>19.47</v>
      </c>
      <c r="DJ720" s="2123">
        <v>19.47</v>
      </c>
      <c r="DK720" s="2123">
        <v>19.47</v>
      </c>
      <c r="DL720" s="2123">
        <v>19.47</v>
      </c>
      <c r="DM720" s="2123">
        <v>19.47</v>
      </c>
      <c r="DN720" s="2123">
        <v>19.47</v>
      </c>
      <c r="DO720" s="2123"/>
      <c r="DP720" s="2123"/>
      <c r="DQ720" s="2123"/>
      <c r="DR720" s="2123"/>
      <c r="DS720" s="2123"/>
      <c r="DT720" s="2123"/>
      <c r="DU720" s="2123">
        <v>8.74</v>
      </c>
      <c r="DV720" s="2123">
        <v>8.74</v>
      </c>
      <c r="DW720" s="2123">
        <v>7.45</v>
      </c>
      <c r="DX720" s="2123">
        <v>7.45</v>
      </c>
      <c r="DY720" s="2123">
        <v>7.45</v>
      </c>
      <c r="DZ720" s="2123">
        <v>7.45</v>
      </c>
      <c r="EA720" s="2123"/>
      <c r="EB720" s="2123"/>
      <c r="EC720" s="2123"/>
      <c r="ED720" s="2123"/>
      <c r="EE720" s="2123"/>
      <c r="EF720" s="2123"/>
      <c r="EG720" s="2123">
        <v>9.58</v>
      </c>
      <c r="EH720" s="2123">
        <v>9.93</v>
      </c>
      <c r="EI720" s="2123">
        <v>5.79</v>
      </c>
      <c r="EJ720" s="2123">
        <v>5.79</v>
      </c>
      <c r="EK720" s="2123">
        <v>5.74</v>
      </c>
      <c r="EL720" s="2123">
        <v>5.74</v>
      </c>
      <c r="EM720" s="2123">
        <v>6.56</v>
      </c>
      <c r="EN720" s="2123">
        <v>6.56</v>
      </c>
      <c r="EO720" s="2123">
        <v>6.02</v>
      </c>
      <c r="EP720" s="2123">
        <v>6.02</v>
      </c>
      <c r="EQ720" s="2123">
        <v>6.19</v>
      </c>
      <c r="ER720" s="2123">
        <v>6.34</v>
      </c>
      <c r="ES720" s="2123">
        <v>36.090000000000003</v>
      </c>
      <c r="ET720" s="2123">
        <v>36.090000000000003</v>
      </c>
      <c r="EU720" s="2123">
        <v>131.47999999999999</v>
      </c>
      <c r="EV720" s="2123">
        <v>131.47999999999999</v>
      </c>
      <c r="EW720" s="2123">
        <v>127.39</v>
      </c>
      <c r="EX720" s="2123">
        <v>127.39</v>
      </c>
      <c r="EY720" s="2129">
        <f t="shared" si="55"/>
        <v>129.435</v>
      </c>
      <c r="EZ720" s="2129">
        <f t="shared" si="55"/>
        <v>129.435</v>
      </c>
      <c r="FA720" s="2123">
        <v>133.22999999999999</v>
      </c>
      <c r="FB720" s="2123">
        <v>133.22999999999999</v>
      </c>
      <c r="FC720" s="2123"/>
      <c r="FD720" s="2123"/>
      <c r="FE720" s="2123">
        <v>30.44</v>
      </c>
      <c r="FF720" s="2123">
        <v>30.44</v>
      </c>
      <c r="FG720" s="2123">
        <v>107.08</v>
      </c>
      <c r="FH720" s="2123">
        <v>107.08</v>
      </c>
      <c r="FI720" s="2123">
        <v>107.08</v>
      </c>
      <c r="FJ720" s="2123">
        <v>107.08</v>
      </c>
      <c r="FK720" s="2123">
        <v>105.88</v>
      </c>
      <c r="FL720" s="2123">
        <v>105.88</v>
      </c>
      <c r="FM720" s="2123">
        <v>107.69</v>
      </c>
      <c r="FN720" s="2123">
        <v>107.69</v>
      </c>
      <c r="FO720" s="2123"/>
      <c r="FP720" s="2123"/>
      <c r="FQ720" s="2123">
        <v>68.099999999999994</v>
      </c>
      <c r="FR720" s="2123">
        <v>68.099999999999994</v>
      </c>
      <c r="FS720" s="2123">
        <v>127.4</v>
      </c>
      <c r="FT720" s="2123">
        <v>127.4</v>
      </c>
      <c r="FU720" s="2123">
        <v>127.4</v>
      </c>
      <c r="FV720" s="2123">
        <v>127.4</v>
      </c>
      <c r="FW720" s="2123">
        <v>128.63</v>
      </c>
      <c r="FX720" s="2123">
        <v>128.63</v>
      </c>
      <c r="FY720" s="2123"/>
      <c r="FZ720" s="2123"/>
      <c r="GA720" s="2123"/>
      <c r="GB720" s="2123"/>
      <c r="GC720" s="2123">
        <v>48.89</v>
      </c>
      <c r="GD720" s="2123">
        <v>48.89</v>
      </c>
      <c r="GE720" s="2123">
        <v>114.99</v>
      </c>
      <c r="GF720" s="2123">
        <v>114.99</v>
      </c>
      <c r="GG720" s="2123">
        <v>114.99</v>
      </c>
      <c r="GH720" s="2123">
        <v>114.99</v>
      </c>
      <c r="GI720" s="2123">
        <v>80.790000000000006</v>
      </c>
      <c r="GJ720" s="2123">
        <v>80.790000000000006</v>
      </c>
      <c r="GK720" s="2123">
        <v>116.55</v>
      </c>
      <c r="GL720" s="2123">
        <v>116.55</v>
      </c>
      <c r="GM720" s="2123"/>
      <c r="GN720" s="2123"/>
      <c r="GO720" s="2123">
        <v>26.3</v>
      </c>
      <c r="GP720" s="2123">
        <v>26.3</v>
      </c>
      <c r="GQ720" s="2123">
        <v>18.399999999999999</v>
      </c>
      <c r="GR720" s="2123">
        <v>18.399999999999999</v>
      </c>
      <c r="GS720" s="2123">
        <v>18.399999999999999</v>
      </c>
      <c r="GT720" s="2123">
        <v>17.59</v>
      </c>
      <c r="GU720" s="2123">
        <v>17.59</v>
      </c>
      <c r="GV720" s="2123">
        <v>17.59</v>
      </c>
      <c r="GW720" s="2123">
        <v>106.79</v>
      </c>
      <c r="GX720" s="2123">
        <v>106.79</v>
      </c>
      <c r="GY720" s="2123"/>
      <c r="GZ720" s="2123"/>
      <c r="HA720" s="2123">
        <v>18.260000000000002</v>
      </c>
      <c r="HB720" s="2123">
        <v>18.260000000000002</v>
      </c>
      <c r="HC720" s="2123">
        <v>9.61</v>
      </c>
      <c r="HD720" s="2123">
        <v>9.61</v>
      </c>
      <c r="HE720" s="2123">
        <v>10.71</v>
      </c>
      <c r="HF720" s="2123">
        <v>10.71</v>
      </c>
      <c r="HG720" s="2123">
        <v>10.71</v>
      </c>
      <c r="HH720" s="2123">
        <v>10.71</v>
      </c>
      <c r="HI720" s="2123">
        <v>10.71</v>
      </c>
      <c r="HJ720" s="2123">
        <v>10.71</v>
      </c>
      <c r="HK720" s="2123">
        <v>10.67</v>
      </c>
      <c r="HL720" s="2123">
        <v>10.67</v>
      </c>
      <c r="HM720" s="2123">
        <v>25.55</v>
      </c>
      <c r="HN720" s="2123">
        <v>25.55</v>
      </c>
      <c r="HO720" s="2123">
        <v>13.87</v>
      </c>
      <c r="HP720" s="2123">
        <v>13.87</v>
      </c>
      <c r="HQ720" s="2123">
        <v>15.48</v>
      </c>
      <c r="HR720" s="2123">
        <v>15.48</v>
      </c>
      <c r="HS720" s="2123">
        <v>15.48</v>
      </c>
      <c r="HT720" s="2123">
        <v>15.48</v>
      </c>
      <c r="HU720" s="2123">
        <v>15.48</v>
      </c>
      <c r="HV720" s="2123">
        <v>15.48</v>
      </c>
      <c r="HW720" s="2123">
        <v>15.33</v>
      </c>
      <c r="HX720" s="2123">
        <v>15.33</v>
      </c>
    </row>
    <row r="721" spans="2:232" s="2040" customFormat="1" ht="14" hidden="1" x14ac:dyDescent="0.3">
      <c r="B721" s="2203">
        <v>27</v>
      </c>
      <c r="C721" s="2204">
        <v>29.63</v>
      </c>
      <c r="D721" s="2204">
        <v>29.63</v>
      </c>
      <c r="E721" s="2204">
        <v>30.6</v>
      </c>
      <c r="F721" s="2204">
        <v>30.6</v>
      </c>
      <c r="G721" s="2204">
        <v>104.71</v>
      </c>
      <c r="H721" s="2204">
        <v>104.71</v>
      </c>
      <c r="I721" s="2204">
        <v>94.91</v>
      </c>
      <c r="J721" s="2204">
        <v>94.91</v>
      </c>
      <c r="K721" s="2204">
        <v>108.7</v>
      </c>
      <c r="L721" s="2204">
        <v>108.7</v>
      </c>
      <c r="M721" s="2204"/>
      <c r="N721" s="2204"/>
      <c r="O721" s="2204">
        <v>92.45</v>
      </c>
      <c r="P721" s="2204">
        <v>92.45</v>
      </c>
      <c r="Q721" s="2204">
        <v>93.82</v>
      </c>
      <c r="R721" s="2204">
        <v>92.46</v>
      </c>
      <c r="S721" s="2204">
        <v>141.5</v>
      </c>
      <c r="T721" s="2204">
        <v>141.5</v>
      </c>
      <c r="U721" s="2204">
        <v>136.57</v>
      </c>
      <c r="V721" s="2204">
        <v>136.57</v>
      </c>
      <c r="W721" s="2204">
        <v>141.5</v>
      </c>
      <c r="X721" s="2204">
        <v>141.5</v>
      </c>
      <c r="Y721" s="2204">
        <v>136.57</v>
      </c>
      <c r="Z721" s="2204">
        <v>141.5</v>
      </c>
      <c r="AA721" s="2204">
        <v>141.5</v>
      </c>
      <c r="AB721" s="2204">
        <v>141.5</v>
      </c>
      <c r="AC721" s="2204">
        <v>136.57</v>
      </c>
      <c r="AD721" s="2204">
        <v>136.57</v>
      </c>
      <c r="AE721" s="2204">
        <v>161.58000000000001</v>
      </c>
      <c r="AF721" s="2204">
        <v>157.03</v>
      </c>
      <c r="AG721" s="2204">
        <v>161.58000000000001</v>
      </c>
      <c r="AH721" s="2204">
        <v>161.58000000000001</v>
      </c>
      <c r="AI721" s="2204">
        <v>157.03</v>
      </c>
      <c r="AJ721" s="2204">
        <v>157.03</v>
      </c>
      <c r="AK721" s="2204">
        <v>159.09</v>
      </c>
      <c r="AL721" s="2204">
        <v>159.09</v>
      </c>
      <c r="AM721" s="2204">
        <v>48.98</v>
      </c>
      <c r="AN721" s="2204">
        <v>47.16</v>
      </c>
      <c r="AO721" s="2204">
        <v>47.16</v>
      </c>
      <c r="AP721" s="2204">
        <v>47.16</v>
      </c>
      <c r="AQ721" s="2204">
        <v>48.84</v>
      </c>
      <c r="AR721" s="2204">
        <v>48.84</v>
      </c>
      <c r="AS721" s="2204">
        <v>126.22</v>
      </c>
      <c r="AT721" s="2204">
        <v>126.22</v>
      </c>
      <c r="AU721" s="2204">
        <v>126.22</v>
      </c>
      <c r="AV721" s="2204">
        <v>130.13999999999999</v>
      </c>
      <c r="AW721" s="2204">
        <v>125.9</v>
      </c>
      <c r="AX721" s="2204">
        <v>125.9</v>
      </c>
      <c r="AY721" s="2204">
        <v>126.11</v>
      </c>
      <c r="AZ721" s="2204">
        <v>126.11</v>
      </c>
      <c r="BA721" s="2123">
        <v>53.89</v>
      </c>
      <c r="BB721" s="2123">
        <v>53.89</v>
      </c>
      <c r="BC721" s="2123">
        <v>12.28</v>
      </c>
      <c r="BD721" s="2123">
        <v>12.28</v>
      </c>
      <c r="BE721" s="2123">
        <v>17.38</v>
      </c>
      <c r="BF721" s="2123">
        <v>17.38</v>
      </c>
      <c r="BG721" s="2123">
        <v>12.33</v>
      </c>
      <c r="BH721" s="2123">
        <v>12.33</v>
      </c>
      <c r="BI721" s="2123">
        <v>12.16</v>
      </c>
      <c r="BJ721" s="2123">
        <v>12.16</v>
      </c>
      <c r="BK721" s="2123">
        <v>12.16</v>
      </c>
      <c r="BL721" s="2123">
        <v>12.16</v>
      </c>
      <c r="BM721" s="2123">
        <v>35.83</v>
      </c>
      <c r="BN721" s="2123">
        <v>35.83</v>
      </c>
      <c r="BO721" s="2123">
        <v>105.32</v>
      </c>
      <c r="BP721" s="2123">
        <v>105.32</v>
      </c>
      <c r="BQ721" s="2123">
        <v>105.32</v>
      </c>
      <c r="BR721" s="2123">
        <v>105.32</v>
      </c>
      <c r="BS721" s="2123">
        <v>122.99</v>
      </c>
      <c r="BT721" s="2123">
        <v>122.99</v>
      </c>
      <c r="BU721" s="2123">
        <v>122.99</v>
      </c>
      <c r="BV721" s="2123">
        <v>122.99</v>
      </c>
      <c r="BW721" s="2123">
        <v>122.99</v>
      </c>
      <c r="BX721" s="2123">
        <v>122.99</v>
      </c>
      <c r="BY721" s="2123">
        <v>32.549999999999997</v>
      </c>
      <c r="BZ721" s="2123">
        <v>32.549999999999997</v>
      </c>
      <c r="CA721" s="2123">
        <v>99.85</v>
      </c>
      <c r="CB721" s="2123">
        <v>99.85</v>
      </c>
      <c r="CC721" s="2123">
        <v>100.2</v>
      </c>
      <c r="CD721" s="2123">
        <v>100.2</v>
      </c>
      <c r="CE721" s="2123">
        <v>119.98</v>
      </c>
      <c r="CF721" s="2123">
        <v>119.98</v>
      </c>
      <c r="CG721" s="2123"/>
      <c r="CH721" s="2123"/>
      <c r="CI721" s="2123"/>
      <c r="CJ721" s="2123"/>
      <c r="CK721" s="2123">
        <v>85.7</v>
      </c>
      <c r="CL721" s="2123">
        <v>85.7</v>
      </c>
      <c r="CM721" s="2123">
        <v>177.8</v>
      </c>
      <c r="CN721" s="2123">
        <v>177.8</v>
      </c>
      <c r="CO721" s="2123">
        <v>207.25</v>
      </c>
      <c r="CP721" s="2123">
        <v>207.25</v>
      </c>
      <c r="CQ721" s="2123">
        <v>207.25</v>
      </c>
      <c r="CR721" s="2123">
        <v>207.25</v>
      </c>
      <c r="CS721" s="2123"/>
      <c r="CT721" s="2123"/>
      <c r="CU721" s="2123"/>
      <c r="CV721" s="2123"/>
      <c r="CW721" s="2123">
        <v>75.44</v>
      </c>
      <c r="CX721" s="2123">
        <v>75.44</v>
      </c>
      <c r="CY721" s="2123">
        <v>168.38</v>
      </c>
      <c r="CZ721" s="2123">
        <v>168.38</v>
      </c>
      <c r="DA721" s="2123">
        <v>168.38</v>
      </c>
      <c r="DB721" s="2123">
        <v>168.38</v>
      </c>
      <c r="DC721" s="2123">
        <v>196.34</v>
      </c>
      <c r="DD721" s="2123">
        <v>196.34</v>
      </c>
      <c r="DE721" s="2123">
        <v>196.34</v>
      </c>
      <c r="DF721" s="2123">
        <v>196.34</v>
      </c>
      <c r="DG721" s="2123"/>
      <c r="DH721" s="2123"/>
      <c r="DI721" s="2123">
        <v>19.98</v>
      </c>
      <c r="DJ721" s="2123">
        <v>19.98</v>
      </c>
      <c r="DK721" s="2123">
        <v>19.98</v>
      </c>
      <c r="DL721" s="2123">
        <v>19.98</v>
      </c>
      <c r="DM721" s="2123">
        <v>19.98</v>
      </c>
      <c r="DN721" s="2123">
        <v>19.98</v>
      </c>
      <c r="DO721" s="2123"/>
      <c r="DP721" s="2123"/>
      <c r="DQ721" s="2123"/>
      <c r="DR721" s="2123"/>
      <c r="DS721" s="2123"/>
      <c r="DT721" s="2123"/>
      <c r="DU721" s="2123">
        <v>8.9700000000000006</v>
      </c>
      <c r="DV721" s="2123">
        <v>8.9700000000000006</v>
      </c>
      <c r="DW721" s="2123">
        <v>7.7</v>
      </c>
      <c r="DX721" s="2123">
        <v>7.7</v>
      </c>
      <c r="DY721" s="2123">
        <v>7.7</v>
      </c>
      <c r="DZ721" s="2123">
        <v>7.7</v>
      </c>
      <c r="EA721" s="2123"/>
      <c r="EB721" s="2123"/>
      <c r="EC721" s="2123"/>
      <c r="ED721" s="2123"/>
      <c r="EE721" s="2123"/>
      <c r="EF721" s="2123"/>
      <c r="EG721" s="2123">
        <v>9.7100000000000009</v>
      </c>
      <c r="EH721" s="2123">
        <v>10.06</v>
      </c>
      <c r="EI721" s="2123">
        <v>5.93</v>
      </c>
      <c r="EJ721" s="2123">
        <v>5.93</v>
      </c>
      <c r="EK721" s="2123">
        <v>5.88</v>
      </c>
      <c r="EL721" s="2123">
        <v>5.88</v>
      </c>
      <c r="EM721" s="2123">
        <v>6.69</v>
      </c>
      <c r="EN721" s="2123">
        <v>6.69</v>
      </c>
      <c r="EO721" s="2123">
        <v>6.15</v>
      </c>
      <c r="EP721" s="2123">
        <v>6.15</v>
      </c>
      <c r="EQ721" s="2123">
        <v>6.32</v>
      </c>
      <c r="ER721" s="2123">
        <v>6.47</v>
      </c>
      <c r="ES721" s="2123">
        <v>36.630000000000003</v>
      </c>
      <c r="ET721" s="2123">
        <v>36.630000000000003</v>
      </c>
      <c r="EU721" s="2123">
        <v>134.18</v>
      </c>
      <c r="EV721" s="2123">
        <v>134.18</v>
      </c>
      <c r="EW721" s="2123">
        <v>130.04</v>
      </c>
      <c r="EX721" s="2123">
        <v>130.04</v>
      </c>
      <c r="EY721" s="2129">
        <f t="shared" si="55"/>
        <v>132.11000000000001</v>
      </c>
      <c r="EZ721" s="2129">
        <f t="shared" si="55"/>
        <v>132.11000000000001</v>
      </c>
      <c r="FA721" s="2123">
        <v>135.87</v>
      </c>
      <c r="FB721" s="2123">
        <v>135.87</v>
      </c>
      <c r="FC721" s="2123"/>
      <c r="FD721" s="2123"/>
      <c r="FE721" s="2123">
        <v>31.05</v>
      </c>
      <c r="FF721" s="2123">
        <v>31.05</v>
      </c>
      <c r="FG721" s="2123">
        <v>110.08</v>
      </c>
      <c r="FH721" s="2123">
        <v>110.08</v>
      </c>
      <c r="FI721" s="2123">
        <v>110.08</v>
      </c>
      <c r="FJ721" s="2123">
        <v>110.08</v>
      </c>
      <c r="FK721" s="2123">
        <v>108.89</v>
      </c>
      <c r="FL721" s="2123">
        <v>108.89</v>
      </c>
      <c r="FM721" s="2123">
        <v>110.69</v>
      </c>
      <c r="FN721" s="2123">
        <v>110.69</v>
      </c>
      <c r="FO721" s="2123"/>
      <c r="FP721" s="2123"/>
      <c r="FQ721" s="2123">
        <v>70.010000000000005</v>
      </c>
      <c r="FR721" s="2123">
        <v>70.010000000000005</v>
      </c>
      <c r="FS721" s="2123">
        <v>131.46</v>
      </c>
      <c r="FT721" s="2123">
        <v>131.46</v>
      </c>
      <c r="FU721" s="2123">
        <v>131.46</v>
      </c>
      <c r="FV721" s="2123">
        <v>131.46</v>
      </c>
      <c r="FW721" s="2123">
        <v>132.66999999999999</v>
      </c>
      <c r="FX721" s="2123">
        <v>132.66999999999999</v>
      </c>
      <c r="FY721" s="2123"/>
      <c r="FZ721" s="2123"/>
      <c r="GA721" s="2123"/>
      <c r="GB721" s="2123"/>
      <c r="GC721" s="2123">
        <v>50.25</v>
      </c>
      <c r="GD721" s="2123">
        <v>50.25</v>
      </c>
      <c r="GE721" s="2123">
        <v>117.83</v>
      </c>
      <c r="GF721" s="2123">
        <v>117.83</v>
      </c>
      <c r="GG721" s="2123">
        <v>117.83</v>
      </c>
      <c r="GH721" s="2123">
        <v>117.83</v>
      </c>
      <c r="GI721" s="2123">
        <v>85.07</v>
      </c>
      <c r="GJ721" s="2123">
        <v>85.07</v>
      </c>
      <c r="GK721" s="2123">
        <v>120.87</v>
      </c>
      <c r="GL721" s="2123">
        <v>120.87</v>
      </c>
      <c r="GM721" s="2123"/>
      <c r="GN721" s="2123"/>
      <c r="GO721" s="2123">
        <v>26.84</v>
      </c>
      <c r="GP721" s="2123">
        <v>26.84</v>
      </c>
      <c r="GQ721" s="2123">
        <v>19.100000000000001</v>
      </c>
      <c r="GR721" s="2123">
        <v>19.100000000000001</v>
      </c>
      <c r="GS721" s="2123">
        <v>19.100000000000001</v>
      </c>
      <c r="GT721" s="2123">
        <v>18.27</v>
      </c>
      <c r="GU721" s="2123">
        <v>18.27</v>
      </c>
      <c r="GV721" s="2123">
        <v>18.27</v>
      </c>
      <c r="GW721" s="2123">
        <v>110.74</v>
      </c>
      <c r="GX721" s="2123">
        <v>110.74</v>
      </c>
      <c r="GY721" s="2123"/>
      <c r="GZ721" s="2123"/>
      <c r="HA721" s="2123">
        <v>18.73</v>
      </c>
      <c r="HB721" s="2123">
        <v>18.73</v>
      </c>
      <c r="HC721" s="2123">
        <v>10.08</v>
      </c>
      <c r="HD721" s="2123">
        <v>10.08</v>
      </c>
      <c r="HE721" s="2123">
        <v>11.18</v>
      </c>
      <c r="HF721" s="2123">
        <v>11.18</v>
      </c>
      <c r="HG721" s="2123">
        <v>11.18</v>
      </c>
      <c r="HH721" s="2123">
        <v>11.18</v>
      </c>
      <c r="HI721" s="2123">
        <v>11.18</v>
      </c>
      <c r="HJ721" s="2123">
        <v>11.18</v>
      </c>
      <c r="HK721" s="2123">
        <v>11.14</v>
      </c>
      <c r="HL721" s="2123">
        <v>11.14</v>
      </c>
      <c r="HM721" s="2123">
        <v>26.22</v>
      </c>
      <c r="HN721" s="2123">
        <v>26.22</v>
      </c>
      <c r="HO721" s="2123">
        <v>14.53</v>
      </c>
      <c r="HP721" s="2123">
        <v>14.53</v>
      </c>
      <c r="HQ721" s="2123">
        <v>16.13</v>
      </c>
      <c r="HR721" s="2123">
        <v>16.13</v>
      </c>
      <c r="HS721" s="2123">
        <v>16.13</v>
      </c>
      <c r="HT721" s="2123">
        <v>16.13</v>
      </c>
      <c r="HU721" s="2123">
        <v>16.13</v>
      </c>
      <c r="HV721" s="2123">
        <v>16.13</v>
      </c>
      <c r="HW721" s="2123">
        <v>15.99</v>
      </c>
      <c r="HX721" s="2123">
        <v>15.99</v>
      </c>
    </row>
    <row r="722" spans="2:232" s="2040" customFormat="1" ht="14" hidden="1" x14ac:dyDescent="0.3">
      <c r="B722" s="2203">
        <v>28</v>
      </c>
      <c r="C722" s="2204">
        <v>30.35</v>
      </c>
      <c r="D722" s="2204">
        <v>30.35</v>
      </c>
      <c r="E722" s="2204">
        <v>31.27</v>
      </c>
      <c r="F722" s="2204">
        <v>31.27</v>
      </c>
      <c r="G722" s="2204">
        <v>107.75</v>
      </c>
      <c r="H722" s="2204">
        <v>107.75</v>
      </c>
      <c r="I722" s="2204">
        <v>97.88</v>
      </c>
      <c r="J722" s="2204">
        <v>97.88</v>
      </c>
      <c r="K722" s="2204">
        <v>111.34</v>
      </c>
      <c r="L722" s="2204">
        <v>111.34</v>
      </c>
      <c r="M722" s="2204"/>
      <c r="N722" s="2204"/>
      <c r="O722" s="2204">
        <v>94.72</v>
      </c>
      <c r="P722" s="2204">
        <v>94.72</v>
      </c>
      <c r="Q722" s="2204">
        <v>95.98</v>
      </c>
      <c r="R722" s="2204">
        <v>94.73</v>
      </c>
      <c r="S722" s="2204">
        <v>146.47999999999999</v>
      </c>
      <c r="T722" s="2204">
        <v>146.47999999999999</v>
      </c>
      <c r="U722" s="2204">
        <v>141.38</v>
      </c>
      <c r="V722" s="2204">
        <v>141.38</v>
      </c>
      <c r="W722" s="2204">
        <v>146.47999999999999</v>
      </c>
      <c r="X722" s="2204">
        <v>146.47999999999999</v>
      </c>
      <c r="Y722" s="2204">
        <v>141.38</v>
      </c>
      <c r="Z722" s="2204">
        <v>146.47999999999999</v>
      </c>
      <c r="AA722" s="2204">
        <v>146.47999999999999</v>
      </c>
      <c r="AB722" s="2204">
        <v>146.47999999999999</v>
      </c>
      <c r="AC722" s="2204">
        <v>141.38</v>
      </c>
      <c r="AD722" s="2204">
        <v>141.38</v>
      </c>
      <c r="AE722" s="2204">
        <v>166.51</v>
      </c>
      <c r="AF722" s="2204">
        <v>161.82</v>
      </c>
      <c r="AG722" s="2204">
        <v>166.51</v>
      </c>
      <c r="AH722" s="2204">
        <v>166.51</v>
      </c>
      <c r="AI722" s="2204">
        <v>161.82</v>
      </c>
      <c r="AJ722" s="2204">
        <v>161.82</v>
      </c>
      <c r="AK722" s="2204">
        <v>163.79</v>
      </c>
      <c r="AL722" s="2204">
        <v>163.79</v>
      </c>
      <c r="AM722" s="2204">
        <v>50.18</v>
      </c>
      <c r="AN722" s="2204">
        <v>48.31</v>
      </c>
      <c r="AO722" s="2204">
        <v>48.31</v>
      </c>
      <c r="AP722" s="2204">
        <v>48.31</v>
      </c>
      <c r="AQ722" s="2204">
        <v>49.91</v>
      </c>
      <c r="AR722" s="2204">
        <v>49.91</v>
      </c>
      <c r="AS722" s="2204">
        <v>130.11000000000001</v>
      </c>
      <c r="AT722" s="2204">
        <v>130.11000000000001</v>
      </c>
      <c r="AU722" s="2204">
        <v>130.11000000000001</v>
      </c>
      <c r="AV722" s="2204">
        <v>134.08000000000001</v>
      </c>
      <c r="AW722" s="2204">
        <v>129.85</v>
      </c>
      <c r="AX722" s="2204">
        <v>129.85</v>
      </c>
      <c r="AY722" s="2204">
        <v>130.06</v>
      </c>
      <c r="AZ722" s="2204">
        <v>130.06</v>
      </c>
      <c r="BA722" s="2123">
        <v>55.62</v>
      </c>
      <c r="BB722" s="2123">
        <v>55.62</v>
      </c>
      <c r="BC722" s="2123">
        <v>12.74</v>
      </c>
      <c r="BD722" s="2123">
        <v>12.74</v>
      </c>
      <c r="BE722" s="2123">
        <v>17.809999999999999</v>
      </c>
      <c r="BF722" s="2123">
        <v>17.809999999999999</v>
      </c>
      <c r="BG722" s="2123">
        <v>12.8</v>
      </c>
      <c r="BH722" s="2123">
        <v>12.8</v>
      </c>
      <c r="BI722" s="2123">
        <v>12.63</v>
      </c>
      <c r="BJ722" s="2123">
        <v>12.63</v>
      </c>
      <c r="BK722" s="2123">
        <v>12.63</v>
      </c>
      <c r="BL722" s="2123">
        <v>12.63</v>
      </c>
      <c r="BM722" s="2123">
        <v>36.700000000000003</v>
      </c>
      <c r="BN722" s="2123">
        <v>36.700000000000003</v>
      </c>
      <c r="BO722" s="2123">
        <v>108.23</v>
      </c>
      <c r="BP722" s="2123">
        <v>108.23</v>
      </c>
      <c r="BQ722" s="2123">
        <v>108.23</v>
      </c>
      <c r="BR722" s="2123">
        <v>108.23</v>
      </c>
      <c r="BS722" s="2123">
        <v>127.11</v>
      </c>
      <c r="BT722" s="2123">
        <v>127.11</v>
      </c>
      <c r="BU722" s="2123">
        <v>127.11</v>
      </c>
      <c r="BV722" s="2123">
        <v>127.11</v>
      </c>
      <c r="BW722" s="2123">
        <v>127.11</v>
      </c>
      <c r="BX722" s="2123">
        <v>127.11</v>
      </c>
      <c r="BY722" s="2123">
        <v>33.340000000000003</v>
      </c>
      <c r="BZ722" s="2123">
        <v>33.340000000000003</v>
      </c>
      <c r="CA722" s="2123">
        <v>102.67</v>
      </c>
      <c r="CB722" s="2123">
        <v>102.67</v>
      </c>
      <c r="CC722" s="2123">
        <v>103.11</v>
      </c>
      <c r="CD722" s="2123">
        <v>103.11</v>
      </c>
      <c r="CE722" s="2123">
        <v>124.07</v>
      </c>
      <c r="CF722" s="2123">
        <v>124.07</v>
      </c>
      <c r="CG722" s="2123"/>
      <c r="CH722" s="2123"/>
      <c r="CI722" s="2123"/>
      <c r="CJ722" s="2123"/>
      <c r="CK722" s="2123">
        <v>87.41</v>
      </c>
      <c r="CL722" s="2123">
        <v>87.41</v>
      </c>
      <c r="CM722" s="2123">
        <v>181.24</v>
      </c>
      <c r="CN722" s="2123">
        <v>181.24</v>
      </c>
      <c r="CO722" s="2123">
        <v>212.4</v>
      </c>
      <c r="CP722" s="2123">
        <v>212.4</v>
      </c>
      <c r="CQ722" s="2123">
        <v>212.4</v>
      </c>
      <c r="CR722" s="2123">
        <v>212.4</v>
      </c>
      <c r="CS722" s="2123"/>
      <c r="CT722" s="2123"/>
      <c r="CU722" s="2123"/>
      <c r="CV722" s="2123"/>
      <c r="CW722" s="2123">
        <v>77.28</v>
      </c>
      <c r="CX722" s="2123">
        <v>77.28</v>
      </c>
      <c r="CY722" s="2123">
        <v>171.81</v>
      </c>
      <c r="CZ722" s="2123">
        <v>171.81</v>
      </c>
      <c r="DA722" s="2123">
        <v>171.81</v>
      </c>
      <c r="DB722" s="2123">
        <v>171.81</v>
      </c>
      <c r="DC722" s="2123">
        <v>201.44</v>
      </c>
      <c r="DD722" s="2123">
        <v>201.44</v>
      </c>
      <c r="DE722" s="2123">
        <v>201.44</v>
      </c>
      <c r="DF722" s="2123">
        <v>201.44</v>
      </c>
      <c r="DG722" s="2123"/>
      <c r="DH722" s="2123"/>
      <c r="DI722" s="2123">
        <v>20.46</v>
      </c>
      <c r="DJ722" s="2123">
        <v>20.46</v>
      </c>
      <c r="DK722" s="2123">
        <v>20.46</v>
      </c>
      <c r="DL722" s="2123">
        <v>20.46</v>
      </c>
      <c r="DM722" s="2123">
        <v>20.46</v>
      </c>
      <c r="DN722" s="2123">
        <v>20.46</v>
      </c>
      <c r="DO722" s="2123"/>
      <c r="DP722" s="2123"/>
      <c r="DQ722" s="2123"/>
      <c r="DR722" s="2123"/>
      <c r="DS722" s="2123"/>
      <c r="DT722" s="2123"/>
      <c r="DU722" s="2123">
        <v>9.18</v>
      </c>
      <c r="DV722" s="2123">
        <v>9.18</v>
      </c>
      <c r="DW722" s="2123">
        <v>7.93</v>
      </c>
      <c r="DX722" s="2123">
        <v>7.93</v>
      </c>
      <c r="DY722" s="2123">
        <v>7.93</v>
      </c>
      <c r="DZ722" s="2123">
        <v>7.93</v>
      </c>
      <c r="EA722" s="2123"/>
      <c r="EB722" s="2123"/>
      <c r="EC722" s="2123"/>
      <c r="ED722" s="2123"/>
      <c r="EE722" s="2123"/>
      <c r="EF722" s="2123"/>
      <c r="EG722" s="2123">
        <v>9.94</v>
      </c>
      <c r="EH722" s="2123">
        <v>10.28</v>
      </c>
      <c r="EI722" s="2123">
        <v>6.16</v>
      </c>
      <c r="EJ722" s="2123">
        <v>6.16</v>
      </c>
      <c r="EK722" s="2123">
        <v>6.11</v>
      </c>
      <c r="EL722" s="2123">
        <v>6.11</v>
      </c>
      <c r="EM722" s="2123">
        <v>6.93</v>
      </c>
      <c r="EN722" s="2123">
        <v>6.93</v>
      </c>
      <c r="EO722" s="2123">
        <v>6.38</v>
      </c>
      <c r="EP722" s="2123">
        <v>6.38</v>
      </c>
      <c r="EQ722" s="2123">
        <v>6.56</v>
      </c>
      <c r="ER722" s="2123">
        <v>6.7</v>
      </c>
      <c r="ES722" s="2123">
        <v>37.44</v>
      </c>
      <c r="ET722" s="2123">
        <v>37.44</v>
      </c>
      <c r="EU722" s="2123">
        <v>138.35</v>
      </c>
      <c r="EV722" s="2123">
        <v>138.35</v>
      </c>
      <c r="EW722" s="2123">
        <v>134.16</v>
      </c>
      <c r="EX722" s="2123">
        <v>134.16</v>
      </c>
      <c r="EY722" s="2129">
        <f t="shared" si="55"/>
        <v>136.255</v>
      </c>
      <c r="EZ722" s="2129">
        <f t="shared" si="55"/>
        <v>136.255</v>
      </c>
      <c r="FA722" s="2123">
        <v>139.94999999999999</v>
      </c>
      <c r="FB722" s="2123">
        <v>139.94999999999999</v>
      </c>
      <c r="FC722" s="2123"/>
      <c r="FD722" s="2123"/>
      <c r="FE722" s="2123">
        <v>31.77</v>
      </c>
      <c r="FF722" s="2123">
        <v>31.77</v>
      </c>
      <c r="FG722" s="2123">
        <v>113.71</v>
      </c>
      <c r="FH722" s="2123">
        <v>113.71</v>
      </c>
      <c r="FI722" s="2123">
        <v>113.71</v>
      </c>
      <c r="FJ722" s="2123">
        <v>113.71</v>
      </c>
      <c r="FK722" s="2123">
        <v>112.54</v>
      </c>
      <c r="FL722" s="2123">
        <v>112.54</v>
      </c>
      <c r="FM722" s="2123">
        <v>114.32</v>
      </c>
      <c r="FN722" s="2123">
        <v>114.32</v>
      </c>
      <c r="FO722" s="2123"/>
      <c r="FP722" s="2123"/>
      <c r="FQ722" s="2123">
        <v>72.14</v>
      </c>
      <c r="FR722" s="2123">
        <v>72.14</v>
      </c>
      <c r="FS722" s="2123">
        <v>136.02000000000001</v>
      </c>
      <c r="FT722" s="2123">
        <v>136.02000000000001</v>
      </c>
      <c r="FU722" s="2123">
        <v>136.02000000000001</v>
      </c>
      <c r="FV722" s="2123">
        <v>136.02000000000001</v>
      </c>
      <c r="FW722" s="2123">
        <v>137.19999999999999</v>
      </c>
      <c r="FX722" s="2123">
        <v>137.19999999999999</v>
      </c>
      <c r="FY722" s="2123"/>
      <c r="FZ722" s="2123"/>
      <c r="GA722" s="2123"/>
      <c r="GB722" s="2123"/>
      <c r="GC722" s="2123">
        <v>51.6</v>
      </c>
      <c r="GD722" s="2123">
        <v>51.6</v>
      </c>
      <c r="GE722" s="2123">
        <v>120.64</v>
      </c>
      <c r="GF722" s="2123">
        <v>120.64</v>
      </c>
      <c r="GG722" s="2123">
        <v>120.64</v>
      </c>
      <c r="GH722" s="2123">
        <v>120.64</v>
      </c>
      <c r="GI722" s="2123">
        <v>89.4</v>
      </c>
      <c r="GJ722" s="2123">
        <v>89.4</v>
      </c>
      <c r="GK722" s="2123">
        <v>125.2</v>
      </c>
      <c r="GL722" s="2123">
        <v>125.2</v>
      </c>
      <c r="GM722" s="2123"/>
      <c r="GN722" s="2123"/>
      <c r="GO722" s="2123">
        <v>27.45</v>
      </c>
      <c r="GP722" s="2123">
        <v>27.45</v>
      </c>
      <c r="GQ722" s="2123">
        <v>19.77</v>
      </c>
      <c r="GR722" s="2123">
        <v>19.77</v>
      </c>
      <c r="GS722" s="2123">
        <v>19.77</v>
      </c>
      <c r="GT722" s="2123">
        <v>18.920000000000002</v>
      </c>
      <c r="GU722" s="2123">
        <v>18.920000000000002</v>
      </c>
      <c r="GV722" s="2123">
        <v>18.920000000000002</v>
      </c>
      <c r="GW722" s="2123">
        <v>114.55</v>
      </c>
      <c r="GX722" s="2123">
        <v>114.55</v>
      </c>
      <c r="GY722" s="2123"/>
      <c r="GZ722" s="2123"/>
      <c r="HA722" s="2123">
        <v>19.18</v>
      </c>
      <c r="HB722" s="2123">
        <v>19.18</v>
      </c>
      <c r="HC722" s="2123">
        <v>10.53</v>
      </c>
      <c r="HD722" s="2123">
        <v>10.53</v>
      </c>
      <c r="HE722" s="2123">
        <v>11.63</v>
      </c>
      <c r="HF722" s="2123">
        <v>11.63</v>
      </c>
      <c r="HG722" s="2123">
        <v>11.63</v>
      </c>
      <c r="HH722" s="2123">
        <v>11.63</v>
      </c>
      <c r="HI722" s="2123">
        <v>11.63</v>
      </c>
      <c r="HJ722" s="2123">
        <v>11.63</v>
      </c>
      <c r="HK722" s="2123">
        <v>11.6</v>
      </c>
      <c r="HL722" s="2123">
        <v>11.6</v>
      </c>
      <c r="HM722" s="2123">
        <v>26.86</v>
      </c>
      <c r="HN722" s="2123">
        <v>26.86</v>
      </c>
      <c r="HO722" s="2123">
        <v>15.17</v>
      </c>
      <c r="HP722" s="2123">
        <v>15.17</v>
      </c>
      <c r="HQ722" s="2123">
        <v>16.77</v>
      </c>
      <c r="HR722" s="2123">
        <v>16.77</v>
      </c>
      <c r="HS722" s="2123">
        <v>16.77</v>
      </c>
      <c r="HT722" s="2123">
        <v>16.77</v>
      </c>
      <c r="HU722" s="2123">
        <v>16.77</v>
      </c>
      <c r="HV722" s="2123">
        <v>16.77</v>
      </c>
      <c r="HW722" s="2123">
        <v>16.63</v>
      </c>
      <c r="HX722" s="2123">
        <v>16.63</v>
      </c>
    </row>
    <row r="723" spans="2:232" s="2040" customFormat="1" ht="14" hidden="1" x14ac:dyDescent="0.3">
      <c r="B723" s="2203">
        <v>29</v>
      </c>
      <c r="C723" s="2204">
        <v>31.03</v>
      </c>
      <c r="D723" s="2204">
        <v>31.03</v>
      </c>
      <c r="E723" s="2204">
        <v>31.91</v>
      </c>
      <c r="F723" s="2204">
        <v>31.91</v>
      </c>
      <c r="G723" s="2204">
        <v>110.67</v>
      </c>
      <c r="H723" s="2204">
        <v>110.67</v>
      </c>
      <c r="I723" s="2204">
        <v>100.74</v>
      </c>
      <c r="J723" s="2204">
        <v>100.74</v>
      </c>
      <c r="K723" s="2204">
        <v>113.88</v>
      </c>
      <c r="L723" s="2204">
        <v>113.88</v>
      </c>
      <c r="M723" s="2204"/>
      <c r="N723" s="2204"/>
      <c r="O723" s="2204">
        <v>96.88</v>
      </c>
      <c r="P723" s="2204">
        <v>96.88</v>
      </c>
      <c r="Q723" s="2204">
        <v>98.04</v>
      </c>
      <c r="R723" s="2204">
        <v>96.89</v>
      </c>
      <c r="S723" s="2204">
        <v>151.28</v>
      </c>
      <c r="T723" s="2204">
        <v>151.28</v>
      </c>
      <c r="U723" s="2204">
        <v>146.01</v>
      </c>
      <c r="V723" s="2204">
        <v>146.01</v>
      </c>
      <c r="W723" s="2204">
        <v>151.28</v>
      </c>
      <c r="X723" s="2204">
        <v>151.28</v>
      </c>
      <c r="Y723" s="2204">
        <v>146.01</v>
      </c>
      <c r="Z723" s="2204">
        <v>151.28</v>
      </c>
      <c r="AA723" s="2204">
        <v>151.28</v>
      </c>
      <c r="AB723" s="2204">
        <v>151.28</v>
      </c>
      <c r="AC723" s="2204">
        <v>146.01</v>
      </c>
      <c r="AD723" s="2204">
        <v>146.01</v>
      </c>
      <c r="AE723" s="2204">
        <v>171.24</v>
      </c>
      <c r="AF723" s="2204">
        <v>166.4</v>
      </c>
      <c r="AG723" s="2204">
        <v>171.24</v>
      </c>
      <c r="AH723" s="2204">
        <v>171.24</v>
      </c>
      <c r="AI723" s="2204">
        <v>166.4</v>
      </c>
      <c r="AJ723" s="2204">
        <v>166.4</v>
      </c>
      <c r="AK723" s="2204">
        <v>168.29</v>
      </c>
      <c r="AL723" s="2204">
        <v>168.29</v>
      </c>
      <c r="AM723" s="2204">
        <v>51.31</v>
      </c>
      <c r="AN723" s="2204">
        <v>49.41</v>
      </c>
      <c r="AO723" s="2204">
        <v>49.41</v>
      </c>
      <c r="AP723" s="2204">
        <v>49.41</v>
      </c>
      <c r="AQ723" s="2204">
        <v>50.93</v>
      </c>
      <c r="AR723" s="2204">
        <v>50.93</v>
      </c>
      <c r="AS723" s="2204">
        <v>133.85</v>
      </c>
      <c r="AT723" s="2204">
        <v>133.85</v>
      </c>
      <c r="AU723" s="2204">
        <v>133.85</v>
      </c>
      <c r="AV723" s="2204">
        <v>137.87</v>
      </c>
      <c r="AW723" s="2204">
        <v>133.63999999999999</v>
      </c>
      <c r="AX723" s="2204">
        <v>133.63999999999999</v>
      </c>
      <c r="AY723" s="2204">
        <v>133.84</v>
      </c>
      <c r="AZ723" s="2204">
        <v>133.84</v>
      </c>
      <c r="BA723" s="2123">
        <v>57.27</v>
      </c>
      <c r="BB723" s="2123">
        <v>57.27</v>
      </c>
      <c r="BC723" s="2123">
        <v>13.2</v>
      </c>
      <c r="BD723" s="2123">
        <v>13.2</v>
      </c>
      <c r="BE723" s="2123">
        <v>18.22</v>
      </c>
      <c r="BF723" s="2123">
        <v>18.22</v>
      </c>
      <c r="BG723" s="2123">
        <v>13.25</v>
      </c>
      <c r="BH723" s="2123">
        <v>13.25</v>
      </c>
      <c r="BI723" s="2123">
        <v>13.08</v>
      </c>
      <c r="BJ723" s="2123">
        <v>13.08</v>
      </c>
      <c r="BK723" s="2123">
        <v>13.08</v>
      </c>
      <c r="BL723" s="2123">
        <v>13.08</v>
      </c>
      <c r="BM723" s="2123">
        <v>37.53</v>
      </c>
      <c r="BN723" s="2123">
        <v>37.53</v>
      </c>
      <c r="BO723" s="2123">
        <v>111.02</v>
      </c>
      <c r="BP723" s="2123">
        <v>111.02</v>
      </c>
      <c r="BQ723" s="2123">
        <v>111.02</v>
      </c>
      <c r="BR723" s="2123">
        <v>111.02</v>
      </c>
      <c r="BS723" s="2123">
        <v>131.06</v>
      </c>
      <c r="BT723" s="2123">
        <v>131.06</v>
      </c>
      <c r="BU723" s="2123">
        <v>131.06</v>
      </c>
      <c r="BV723" s="2123">
        <v>131.06</v>
      </c>
      <c r="BW723" s="2123">
        <v>131.06</v>
      </c>
      <c r="BX723" s="2123">
        <v>131.06</v>
      </c>
      <c r="BY723" s="2123">
        <v>34.1</v>
      </c>
      <c r="BZ723" s="2123">
        <v>34.1</v>
      </c>
      <c r="CA723" s="2123">
        <v>105.36</v>
      </c>
      <c r="CB723" s="2123">
        <v>105.36</v>
      </c>
      <c r="CC723" s="2123">
        <v>105.9</v>
      </c>
      <c r="CD723" s="2123">
        <v>105.9</v>
      </c>
      <c r="CE723" s="2123">
        <v>128</v>
      </c>
      <c r="CF723" s="2123">
        <v>128</v>
      </c>
      <c r="CG723" s="2123"/>
      <c r="CH723" s="2123"/>
      <c r="CI723" s="2123"/>
      <c r="CJ723" s="2123"/>
      <c r="CK723" s="2123">
        <v>89.04</v>
      </c>
      <c r="CL723" s="2123">
        <v>89.04</v>
      </c>
      <c r="CM723" s="2123">
        <v>184.51</v>
      </c>
      <c r="CN723" s="2123">
        <v>184.51</v>
      </c>
      <c r="CO723" s="2123">
        <v>217.34</v>
      </c>
      <c r="CP723" s="2123">
        <v>217.34</v>
      </c>
      <c r="CQ723" s="2123">
        <v>217.34</v>
      </c>
      <c r="CR723" s="2123">
        <v>217.34</v>
      </c>
      <c r="CS723" s="2123"/>
      <c r="CT723" s="2123"/>
      <c r="CU723" s="2123"/>
      <c r="CV723" s="2123"/>
      <c r="CW723" s="2123">
        <v>79.040000000000006</v>
      </c>
      <c r="CX723" s="2123">
        <v>79.040000000000006</v>
      </c>
      <c r="CY723" s="2123">
        <v>175.08</v>
      </c>
      <c r="CZ723" s="2123">
        <v>175.08</v>
      </c>
      <c r="DA723" s="2123">
        <v>175.08</v>
      </c>
      <c r="DB723" s="2123">
        <v>175.08</v>
      </c>
      <c r="DC723" s="2123">
        <v>206.32</v>
      </c>
      <c r="DD723" s="2123">
        <v>206.32</v>
      </c>
      <c r="DE723" s="2123">
        <v>206.32</v>
      </c>
      <c r="DF723" s="2123">
        <v>206.32</v>
      </c>
      <c r="DG723" s="2123"/>
      <c r="DH723" s="2123"/>
      <c r="DI723" s="2123">
        <v>20.92</v>
      </c>
      <c r="DJ723" s="2123">
        <v>20.92</v>
      </c>
      <c r="DK723" s="2123">
        <v>20.92</v>
      </c>
      <c r="DL723" s="2123">
        <v>20.92</v>
      </c>
      <c r="DM723" s="2123">
        <v>20.92</v>
      </c>
      <c r="DN723" s="2123">
        <v>20.92</v>
      </c>
      <c r="DO723" s="2123"/>
      <c r="DP723" s="2123"/>
      <c r="DQ723" s="2123"/>
      <c r="DR723" s="2123"/>
      <c r="DS723" s="2123"/>
      <c r="DT723" s="2123"/>
      <c r="DU723" s="2123">
        <v>9.3800000000000008</v>
      </c>
      <c r="DV723" s="2123">
        <v>9.3800000000000008</v>
      </c>
      <c r="DW723" s="2123">
        <v>8.15</v>
      </c>
      <c r="DX723" s="2123">
        <v>8.15</v>
      </c>
      <c r="DY723" s="2123">
        <v>8.15</v>
      </c>
      <c r="DZ723" s="2123">
        <v>8.15</v>
      </c>
      <c r="EA723" s="2123"/>
      <c r="EB723" s="2123"/>
      <c r="EC723" s="2123"/>
      <c r="ED723" s="2123"/>
      <c r="EE723" s="2123"/>
      <c r="EF723" s="2123"/>
      <c r="EG723" s="2123">
        <v>10.14</v>
      </c>
      <c r="EH723" s="2123">
        <v>10.47</v>
      </c>
      <c r="EI723" s="2123">
        <v>6.37</v>
      </c>
      <c r="EJ723" s="2123">
        <v>6.37</v>
      </c>
      <c r="EK723" s="2123">
        <v>6.32</v>
      </c>
      <c r="EL723" s="2123">
        <v>6.32</v>
      </c>
      <c r="EM723" s="2123">
        <v>7.14</v>
      </c>
      <c r="EN723" s="2123">
        <v>7.14</v>
      </c>
      <c r="EO723" s="2123">
        <v>6.58</v>
      </c>
      <c r="EP723" s="2123">
        <v>6.58</v>
      </c>
      <c r="EQ723" s="2123">
        <v>6.77</v>
      </c>
      <c r="ER723" s="2123">
        <v>6.9</v>
      </c>
      <c r="ES723" s="2123">
        <v>38.36</v>
      </c>
      <c r="ET723" s="2123">
        <v>38.36</v>
      </c>
      <c r="EU723" s="2123">
        <v>143.1</v>
      </c>
      <c r="EV723" s="2123">
        <v>143.1</v>
      </c>
      <c r="EW723" s="2123">
        <v>138.85</v>
      </c>
      <c r="EX723" s="2123">
        <v>138.85</v>
      </c>
      <c r="EY723" s="2129">
        <f t="shared" si="55"/>
        <v>140.97499999999999</v>
      </c>
      <c r="EZ723" s="2129">
        <f t="shared" si="55"/>
        <v>140.97499999999999</v>
      </c>
      <c r="FA723" s="2123">
        <v>144.59</v>
      </c>
      <c r="FB723" s="2123">
        <v>144.59</v>
      </c>
      <c r="FC723" s="2123"/>
      <c r="FD723" s="2123"/>
      <c r="FE723" s="2123">
        <v>32.590000000000003</v>
      </c>
      <c r="FF723" s="2123">
        <v>32.590000000000003</v>
      </c>
      <c r="FG723" s="2123">
        <v>117.87</v>
      </c>
      <c r="FH723" s="2123">
        <v>117.87</v>
      </c>
      <c r="FI723" s="2123">
        <v>117.87</v>
      </c>
      <c r="FJ723" s="2123">
        <v>117.87</v>
      </c>
      <c r="FK723" s="2123">
        <v>116.72</v>
      </c>
      <c r="FL723" s="2123">
        <v>116.72</v>
      </c>
      <c r="FM723" s="2123">
        <v>118.48</v>
      </c>
      <c r="FN723" s="2123">
        <v>118.48</v>
      </c>
      <c r="FO723" s="2123"/>
      <c r="FP723" s="2123"/>
      <c r="FQ723" s="2123">
        <v>73.83</v>
      </c>
      <c r="FR723" s="2123">
        <v>73.83</v>
      </c>
      <c r="FS723" s="2123">
        <v>139.63</v>
      </c>
      <c r="FT723" s="2123">
        <v>139.63</v>
      </c>
      <c r="FU723" s="2123">
        <v>139.63</v>
      </c>
      <c r="FV723" s="2123">
        <v>139.63</v>
      </c>
      <c r="FW723" s="2123">
        <v>140.79</v>
      </c>
      <c r="FX723" s="2123">
        <v>140.79</v>
      </c>
      <c r="FY723" s="2123"/>
      <c r="FZ723" s="2123"/>
      <c r="GA723" s="2123"/>
      <c r="GB723" s="2123"/>
      <c r="GC723" s="2123">
        <v>52.82</v>
      </c>
      <c r="GD723" s="2123">
        <v>52.82</v>
      </c>
      <c r="GE723" s="2123">
        <v>123.16</v>
      </c>
      <c r="GF723" s="2123">
        <v>123.16</v>
      </c>
      <c r="GG723" s="2123">
        <v>123.16</v>
      </c>
      <c r="GH723" s="2123">
        <v>123.16</v>
      </c>
      <c r="GI723" s="2123">
        <v>93.36</v>
      </c>
      <c r="GJ723" s="2123">
        <v>93.36</v>
      </c>
      <c r="GK723" s="2123">
        <v>129.11000000000001</v>
      </c>
      <c r="GL723" s="2123">
        <v>129.11000000000001</v>
      </c>
      <c r="GM723" s="2123"/>
      <c r="GN723" s="2123"/>
      <c r="GO723" s="2123">
        <v>28.11</v>
      </c>
      <c r="GP723" s="2123">
        <v>28.11</v>
      </c>
      <c r="GQ723" s="2123">
        <v>20.43</v>
      </c>
      <c r="GR723" s="2123">
        <v>20.43</v>
      </c>
      <c r="GS723" s="2123">
        <v>20.43</v>
      </c>
      <c r="GT723" s="2123">
        <v>19.559999999999999</v>
      </c>
      <c r="GU723" s="2123">
        <v>19.559999999999999</v>
      </c>
      <c r="GV723" s="2123">
        <v>19.559999999999999</v>
      </c>
      <c r="GW723" s="2123">
        <v>118.21</v>
      </c>
      <c r="GX723" s="2123">
        <v>118.21</v>
      </c>
      <c r="GY723" s="2123"/>
      <c r="GZ723" s="2123"/>
      <c r="HA723" s="2123">
        <v>19.61</v>
      </c>
      <c r="HB723" s="2123">
        <v>19.61</v>
      </c>
      <c r="HC723" s="2123">
        <v>10.97</v>
      </c>
      <c r="HD723" s="2123">
        <v>10.97</v>
      </c>
      <c r="HE723" s="2123">
        <v>12.06</v>
      </c>
      <c r="HF723" s="2123">
        <v>12.06</v>
      </c>
      <c r="HG723" s="2123">
        <v>12.06</v>
      </c>
      <c r="HH723" s="2123">
        <v>12.06</v>
      </c>
      <c r="HI723" s="2123">
        <v>12.06</v>
      </c>
      <c r="HJ723" s="2123">
        <v>12.06</v>
      </c>
      <c r="HK723" s="2123">
        <v>12.04</v>
      </c>
      <c r="HL723" s="2123">
        <v>12.04</v>
      </c>
      <c r="HM723" s="2123">
        <v>27.46</v>
      </c>
      <c r="HN723" s="2123">
        <v>27.46</v>
      </c>
      <c r="HO723" s="2123">
        <v>15.8</v>
      </c>
      <c r="HP723" s="2123">
        <v>15.8</v>
      </c>
      <c r="HQ723" s="2123">
        <v>17.38</v>
      </c>
      <c r="HR723" s="2123">
        <v>17.38</v>
      </c>
      <c r="HS723" s="2123">
        <v>17.38</v>
      </c>
      <c r="HT723" s="2123">
        <v>17.38</v>
      </c>
      <c r="HU723" s="2123">
        <v>17.38</v>
      </c>
      <c r="HV723" s="2123">
        <v>17.38</v>
      </c>
      <c r="HW723" s="2123">
        <v>17.260000000000002</v>
      </c>
      <c r="HX723" s="2123">
        <v>17.260000000000002</v>
      </c>
    </row>
    <row r="724" spans="2:232" s="2040" customFormat="1" ht="14" hidden="1" x14ac:dyDescent="0.3">
      <c r="B724" s="2203">
        <v>30</v>
      </c>
      <c r="C724" s="2204">
        <v>31.69</v>
      </c>
      <c r="D724" s="2204">
        <v>31.69</v>
      </c>
      <c r="E724" s="2204">
        <v>32.520000000000003</v>
      </c>
      <c r="F724" s="2204">
        <v>32.520000000000003</v>
      </c>
      <c r="G724" s="2204">
        <v>113.47</v>
      </c>
      <c r="H724" s="2204">
        <v>113.47</v>
      </c>
      <c r="I724" s="2204">
        <v>103.5</v>
      </c>
      <c r="J724" s="2204">
        <v>103.5</v>
      </c>
      <c r="K724" s="2204">
        <v>116.31</v>
      </c>
      <c r="L724" s="2204">
        <v>116.31</v>
      </c>
      <c r="M724" s="2204"/>
      <c r="N724" s="2204"/>
      <c r="O724" s="2204">
        <v>98.94</v>
      </c>
      <c r="P724" s="2204">
        <v>98.94</v>
      </c>
      <c r="Q724" s="2204">
        <v>100.01</v>
      </c>
      <c r="R724" s="2204">
        <v>98.95</v>
      </c>
      <c r="S724" s="2204">
        <v>155.9</v>
      </c>
      <c r="T724" s="2204">
        <v>155.9</v>
      </c>
      <c r="U724" s="2204">
        <v>150.47</v>
      </c>
      <c r="V724" s="2204">
        <v>150.47</v>
      </c>
      <c r="W724" s="2204">
        <v>155.9</v>
      </c>
      <c r="X724" s="2204">
        <v>155.9</v>
      </c>
      <c r="Y724" s="2204">
        <v>150.47</v>
      </c>
      <c r="Z724" s="2204">
        <v>155.9</v>
      </c>
      <c r="AA724" s="2204">
        <v>155.9</v>
      </c>
      <c r="AB724" s="2204">
        <v>155.9</v>
      </c>
      <c r="AC724" s="2204">
        <v>150.47</v>
      </c>
      <c r="AD724" s="2204">
        <v>150.47</v>
      </c>
      <c r="AE724" s="2204">
        <v>175.77</v>
      </c>
      <c r="AF724" s="2204">
        <v>170.8</v>
      </c>
      <c r="AG724" s="2204">
        <v>175.77</v>
      </c>
      <c r="AH724" s="2204">
        <v>175.77</v>
      </c>
      <c r="AI724" s="2204">
        <v>170.8</v>
      </c>
      <c r="AJ724" s="2204">
        <v>170.8</v>
      </c>
      <c r="AK724" s="2204">
        <v>172.61</v>
      </c>
      <c r="AL724" s="2204">
        <v>172.61</v>
      </c>
      <c r="AM724" s="2204">
        <v>52.4</v>
      </c>
      <c r="AN724" s="2204">
        <v>50.46</v>
      </c>
      <c r="AO724" s="2204">
        <v>50.46</v>
      </c>
      <c r="AP724" s="2204">
        <v>50.46</v>
      </c>
      <c r="AQ724" s="2204">
        <v>51.91</v>
      </c>
      <c r="AR724" s="2204">
        <v>51.91</v>
      </c>
      <c r="AS724" s="2204">
        <v>137.43</v>
      </c>
      <c r="AT724" s="2204">
        <v>137.43</v>
      </c>
      <c r="AU724" s="2204">
        <v>137.43</v>
      </c>
      <c r="AV724" s="2204">
        <v>141.5</v>
      </c>
      <c r="AW724" s="2204">
        <v>137.27000000000001</v>
      </c>
      <c r="AX724" s="2204">
        <v>137.27000000000001</v>
      </c>
      <c r="AY724" s="2204">
        <v>137.47</v>
      </c>
      <c r="AZ724" s="2204">
        <v>137.47</v>
      </c>
      <c r="BA724" s="2123">
        <v>58.87</v>
      </c>
      <c r="BB724" s="2123">
        <v>58.87</v>
      </c>
      <c r="BC724" s="2123">
        <v>13.63</v>
      </c>
      <c r="BD724" s="2123">
        <v>13.63</v>
      </c>
      <c r="BE724" s="2123">
        <v>18.61</v>
      </c>
      <c r="BF724" s="2123">
        <v>18.61</v>
      </c>
      <c r="BG724" s="2123">
        <v>13.68</v>
      </c>
      <c r="BH724" s="2123">
        <v>13.68</v>
      </c>
      <c r="BI724" s="2123">
        <v>13.52</v>
      </c>
      <c r="BJ724" s="2123">
        <v>13.52</v>
      </c>
      <c r="BK724" s="2123">
        <v>13.52</v>
      </c>
      <c r="BL724" s="2123">
        <v>13.52</v>
      </c>
      <c r="BM724" s="2123">
        <v>38.32</v>
      </c>
      <c r="BN724" s="2123">
        <v>38.32</v>
      </c>
      <c r="BO724" s="2123">
        <v>113.69</v>
      </c>
      <c r="BP724" s="2123">
        <v>113.69</v>
      </c>
      <c r="BQ724" s="2123">
        <v>113.69</v>
      </c>
      <c r="BR724" s="2123">
        <v>113.69</v>
      </c>
      <c r="BS724" s="2123">
        <v>134.87</v>
      </c>
      <c r="BT724" s="2123">
        <v>134.87</v>
      </c>
      <c r="BU724" s="2123">
        <v>134.87</v>
      </c>
      <c r="BV724" s="2123">
        <v>134.87</v>
      </c>
      <c r="BW724" s="2123">
        <v>134.87</v>
      </c>
      <c r="BX724" s="2123">
        <v>134.87</v>
      </c>
      <c r="BY724" s="2123">
        <v>34.82</v>
      </c>
      <c r="BZ724" s="2123">
        <v>34.82</v>
      </c>
      <c r="CA724" s="2123">
        <v>107.95</v>
      </c>
      <c r="CB724" s="2123">
        <v>107.95</v>
      </c>
      <c r="CC724" s="2123">
        <v>108.58</v>
      </c>
      <c r="CD724" s="2123">
        <v>108.58</v>
      </c>
      <c r="CE724" s="2123">
        <v>131.79</v>
      </c>
      <c r="CF724" s="2123">
        <v>131.79</v>
      </c>
      <c r="CG724" s="2123"/>
      <c r="CH724" s="2123"/>
      <c r="CI724" s="2123"/>
      <c r="CJ724" s="2123"/>
      <c r="CK724" s="2123">
        <v>90.6</v>
      </c>
      <c r="CL724" s="2123">
        <v>90.6</v>
      </c>
      <c r="CM724" s="2123">
        <v>187.62</v>
      </c>
      <c r="CN724" s="2123">
        <v>187.62</v>
      </c>
      <c r="CO724" s="2123">
        <v>222.05</v>
      </c>
      <c r="CP724" s="2123">
        <v>222.05</v>
      </c>
      <c r="CQ724" s="2123">
        <v>222.05</v>
      </c>
      <c r="CR724" s="2123">
        <v>222.05</v>
      </c>
      <c r="CS724" s="2123"/>
      <c r="CT724" s="2123"/>
      <c r="CU724" s="2123"/>
      <c r="CV724" s="2123"/>
      <c r="CW724" s="2123">
        <v>80.72</v>
      </c>
      <c r="CX724" s="2123">
        <v>80.72</v>
      </c>
      <c r="CY724" s="2123">
        <v>178.2</v>
      </c>
      <c r="CZ724" s="2123">
        <v>178.2</v>
      </c>
      <c r="DA724" s="2123">
        <v>178.2</v>
      </c>
      <c r="DB724" s="2123">
        <v>178.2</v>
      </c>
      <c r="DC724" s="2123">
        <v>211</v>
      </c>
      <c r="DD724" s="2123">
        <v>211</v>
      </c>
      <c r="DE724" s="2123">
        <v>211</v>
      </c>
      <c r="DF724" s="2123">
        <v>211</v>
      </c>
      <c r="DG724" s="2123"/>
      <c r="DH724" s="2123"/>
      <c r="DI724" s="2123">
        <v>21.36</v>
      </c>
      <c r="DJ724" s="2123">
        <v>21.36</v>
      </c>
      <c r="DK724" s="2123">
        <v>21.36</v>
      </c>
      <c r="DL724" s="2123">
        <v>21.36</v>
      </c>
      <c r="DM724" s="2123">
        <v>21.36</v>
      </c>
      <c r="DN724" s="2123">
        <v>21.36</v>
      </c>
      <c r="DO724" s="2123"/>
      <c r="DP724" s="2123"/>
      <c r="DQ724" s="2123"/>
      <c r="DR724" s="2123"/>
      <c r="DS724" s="2123"/>
      <c r="DT724" s="2123"/>
      <c r="DU724" s="2123">
        <v>9.58</v>
      </c>
      <c r="DV724" s="2123">
        <v>9.58</v>
      </c>
      <c r="DW724" s="2123">
        <v>8.3699999999999992</v>
      </c>
      <c r="DX724" s="2123">
        <v>8.3699999999999992</v>
      </c>
      <c r="DY724" s="2123">
        <v>8.3699999999999992</v>
      </c>
      <c r="DZ724" s="2123">
        <v>8.3699999999999992</v>
      </c>
      <c r="EA724" s="2123"/>
      <c r="EB724" s="2123"/>
      <c r="EC724" s="2123"/>
      <c r="ED724" s="2123"/>
      <c r="EE724" s="2123"/>
      <c r="EF724" s="2123"/>
      <c r="EG724" s="2123">
        <v>10.29</v>
      </c>
      <c r="EH724" s="2123">
        <v>10.61</v>
      </c>
      <c r="EI724" s="2123">
        <v>6.53</v>
      </c>
      <c r="EJ724" s="2123">
        <v>6.53</v>
      </c>
      <c r="EK724" s="2123">
        <v>6.48</v>
      </c>
      <c r="EL724" s="2123">
        <v>6.48</v>
      </c>
      <c r="EM724" s="2123">
        <v>7.3</v>
      </c>
      <c r="EN724" s="2123">
        <v>7.3</v>
      </c>
      <c r="EO724" s="2123">
        <v>6.74</v>
      </c>
      <c r="EP724" s="2123">
        <v>6.74</v>
      </c>
      <c r="EQ724" s="2123">
        <v>6.92</v>
      </c>
      <c r="ER724" s="2123">
        <v>7.05</v>
      </c>
      <c r="ES724" s="2123">
        <v>39.090000000000003</v>
      </c>
      <c r="ET724" s="2123">
        <v>39.090000000000003</v>
      </c>
      <c r="EU724" s="2123">
        <v>146.88999999999999</v>
      </c>
      <c r="EV724" s="2123">
        <v>146.88999999999999</v>
      </c>
      <c r="EW724" s="2123">
        <v>142.59</v>
      </c>
      <c r="EX724" s="2123">
        <v>142.59</v>
      </c>
      <c r="EY724" s="2129">
        <f t="shared" si="55"/>
        <v>144.74</v>
      </c>
      <c r="EZ724" s="2129">
        <f t="shared" si="55"/>
        <v>144.74</v>
      </c>
      <c r="FA724" s="2123">
        <v>148.29</v>
      </c>
      <c r="FB724" s="2123">
        <v>148.29</v>
      </c>
      <c r="FC724" s="2123"/>
      <c r="FD724" s="2123"/>
      <c r="FE724" s="2123">
        <v>33.229999999999997</v>
      </c>
      <c r="FF724" s="2123">
        <v>33.229999999999997</v>
      </c>
      <c r="FG724" s="2123">
        <v>121.12</v>
      </c>
      <c r="FH724" s="2123">
        <v>121.12</v>
      </c>
      <c r="FI724" s="2123">
        <v>121.12</v>
      </c>
      <c r="FJ724" s="2123">
        <v>121.12</v>
      </c>
      <c r="FK724" s="2123">
        <v>120</v>
      </c>
      <c r="FL724" s="2123">
        <v>120</v>
      </c>
      <c r="FM724" s="2123">
        <v>121.73</v>
      </c>
      <c r="FN724" s="2123">
        <v>121.73</v>
      </c>
      <c r="FO724" s="2123"/>
      <c r="FP724" s="2123"/>
      <c r="FQ724" s="2123">
        <v>75.260000000000005</v>
      </c>
      <c r="FR724" s="2123">
        <v>75.260000000000005</v>
      </c>
      <c r="FS724" s="2123">
        <v>142.69999999999999</v>
      </c>
      <c r="FT724" s="2123">
        <v>142.69999999999999</v>
      </c>
      <c r="FU724" s="2123">
        <v>142.69999999999999</v>
      </c>
      <c r="FV724" s="2123">
        <v>142.69999999999999</v>
      </c>
      <c r="FW724" s="2123">
        <v>143.85</v>
      </c>
      <c r="FX724" s="2123">
        <v>143.85</v>
      </c>
      <c r="FY724" s="2123"/>
      <c r="FZ724" s="2123"/>
      <c r="GA724" s="2123"/>
      <c r="GB724" s="2123"/>
      <c r="GC724" s="2123">
        <v>53.75</v>
      </c>
      <c r="GD724" s="2123">
        <v>53.75</v>
      </c>
      <c r="GE724" s="2123">
        <v>125.09</v>
      </c>
      <c r="GF724" s="2123">
        <v>125.09</v>
      </c>
      <c r="GG724" s="2123">
        <v>125.09</v>
      </c>
      <c r="GH724" s="2123">
        <v>125.09</v>
      </c>
      <c r="GI724" s="2123">
        <v>96.45</v>
      </c>
      <c r="GJ724" s="2123">
        <v>96.45</v>
      </c>
      <c r="GK724" s="2123">
        <v>132.13</v>
      </c>
      <c r="GL724" s="2123">
        <v>132.13</v>
      </c>
      <c r="GM724" s="2123"/>
      <c r="GN724" s="2123"/>
      <c r="GO724" s="2123">
        <v>28.57</v>
      </c>
      <c r="GP724" s="2123">
        <v>28.57</v>
      </c>
      <c r="GQ724" s="2123">
        <v>21.06</v>
      </c>
      <c r="GR724" s="2123">
        <v>21.06</v>
      </c>
      <c r="GS724" s="2123">
        <v>21.06</v>
      </c>
      <c r="GT724" s="2123">
        <v>20.170000000000002</v>
      </c>
      <c r="GU724" s="2123">
        <v>20.170000000000002</v>
      </c>
      <c r="GV724" s="2123">
        <v>20.170000000000002</v>
      </c>
      <c r="GW724" s="2123">
        <v>121.74</v>
      </c>
      <c r="GX724" s="2123">
        <v>121.74</v>
      </c>
      <c r="GY724" s="2123"/>
      <c r="GZ724" s="2123"/>
      <c r="HA724" s="2123">
        <v>20.03</v>
      </c>
      <c r="HB724" s="2123">
        <v>20.03</v>
      </c>
      <c r="HC724" s="2123">
        <v>11.4</v>
      </c>
      <c r="HD724" s="2123">
        <v>11.4</v>
      </c>
      <c r="HE724" s="2123">
        <v>12.48</v>
      </c>
      <c r="HF724" s="2123">
        <v>12.48</v>
      </c>
      <c r="HG724" s="2123">
        <v>12.48</v>
      </c>
      <c r="HH724" s="2123">
        <v>12.48</v>
      </c>
      <c r="HI724" s="2123">
        <v>12.48</v>
      </c>
      <c r="HJ724" s="2123">
        <v>12.48</v>
      </c>
      <c r="HK724" s="2123">
        <v>12.47</v>
      </c>
      <c r="HL724" s="2123">
        <v>12.47</v>
      </c>
      <c r="HM724" s="2123">
        <v>28.04</v>
      </c>
      <c r="HN724" s="2123">
        <v>28.04</v>
      </c>
      <c r="HO724" s="2123">
        <v>16.399999999999999</v>
      </c>
      <c r="HP724" s="2123">
        <v>16.399999999999999</v>
      </c>
      <c r="HQ724" s="2123">
        <v>17.97</v>
      </c>
      <c r="HR724" s="2123">
        <v>17.97</v>
      </c>
      <c r="HS724" s="2123">
        <v>17.97</v>
      </c>
      <c r="HT724" s="2123">
        <v>17.97</v>
      </c>
      <c r="HU724" s="2123">
        <v>17.97</v>
      </c>
      <c r="HV724" s="2123">
        <v>17.97</v>
      </c>
      <c r="HW724" s="2123">
        <v>17.86</v>
      </c>
      <c r="HX724" s="2123">
        <v>17.86</v>
      </c>
    </row>
    <row r="725" spans="2:232" s="2040" customFormat="1" ht="14" hidden="1" x14ac:dyDescent="0.3">
      <c r="B725" s="2203">
        <v>31</v>
      </c>
      <c r="C725" s="2204">
        <v>32.31</v>
      </c>
      <c r="D725" s="2204">
        <v>32.31</v>
      </c>
      <c r="E725" s="2204">
        <v>33.1</v>
      </c>
      <c r="F725" s="2204">
        <v>33.1</v>
      </c>
      <c r="G725" s="2204">
        <v>116.17</v>
      </c>
      <c r="H725" s="2204">
        <v>116.17</v>
      </c>
      <c r="I725" s="2204">
        <v>106.15</v>
      </c>
      <c r="J725" s="2204">
        <v>106.15</v>
      </c>
      <c r="K725" s="2204">
        <v>118.66</v>
      </c>
      <c r="L725" s="2204">
        <v>118.66</v>
      </c>
      <c r="M725" s="2204"/>
      <c r="N725" s="2204"/>
      <c r="O725" s="2204">
        <v>100.91</v>
      </c>
      <c r="P725" s="2204">
        <v>100.91</v>
      </c>
      <c r="Q725" s="2204">
        <v>101.89</v>
      </c>
      <c r="R725" s="2204">
        <v>100.92</v>
      </c>
      <c r="S725" s="2204">
        <v>160.35</v>
      </c>
      <c r="T725" s="2204">
        <v>160.35</v>
      </c>
      <c r="U725" s="2204">
        <v>154.77000000000001</v>
      </c>
      <c r="V725" s="2204">
        <v>154.77000000000001</v>
      </c>
      <c r="W725" s="2204">
        <v>160.35</v>
      </c>
      <c r="X725" s="2204">
        <v>160.35</v>
      </c>
      <c r="Y725" s="2204">
        <v>154.77000000000001</v>
      </c>
      <c r="Z725" s="2204">
        <v>160.35</v>
      </c>
      <c r="AA725" s="2204">
        <v>160.35</v>
      </c>
      <c r="AB725" s="2204">
        <v>160.35</v>
      </c>
      <c r="AC725" s="2204">
        <v>154.77000000000001</v>
      </c>
      <c r="AD725" s="2204">
        <v>154.77000000000001</v>
      </c>
      <c r="AE725" s="2204">
        <v>180.12</v>
      </c>
      <c r="AF725" s="2204">
        <v>175.02</v>
      </c>
      <c r="AG725" s="2204">
        <v>180.12</v>
      </c>
      <c r="AH725" s="2204">
        <v>180.12</v>
      </c>
      <c r="AI725" s="2204">
        <v>175.02</v>
      </c>
      <c r="AJ725" s="2204">
        <v>175.02</v>
      </c>
      <c r="AK725" s="2204">
        <v>176.76</v>
      </c>
      <c r="AL725" s="2204">
        <v>176.76</v>
      </c>
      <c r="AM725" s="2204">
        <v>53.44</v>
      </c>
      <c r="AN725" s="2204">
        <v>51.46</v>
      </c>
      <c r="AO725" s="2204">
        <v>51.46</v>
      </c>
      <c r="AP725" s="2204">
        <v>51.46</v>
      </c>
      <c r="AQ725" s="2204">
        <v>52.85</v>
      </c>
      <c r="AR725" s="2204">
        <v>52.85</v>
      </c>
      <c r="AS725" s="2204">
        <v>140.88</v>
      </c>
      <c r="AT725" s="2204">
        <v>140.88</v>
      </c>
      <c r="AU725" s="2204">
        <v>140.88</v>
      </c>
      <c r="AV725" s="2204">
        <v>144.97999999999999</v>
      </c>
      <c r="AW725" s="2204">
        <v>140.76</v>
      </c>
      <c r="AX725" s="2204">
        <v>140.76</v>
      </c>
      <c r="AY725" s="2204">
        <v>140.96</v>
      </c>
      <c r="AZ725" s="2204">
        <v>140.96</v>
      </c>
      <c r="BA725" s="2123">
        <v>60.4</v>
      </c>
      <c r="BB725" s="2123">
        <v>60.4</v>
      </c>
      <c r="BC725" s="2123">
        <v>14.05</v>
      </c>
      <c r="BD725" s="2123">
        <v>14.05</v>
      </c>
      <c r="BE725" s="2123">
        <v>18.989999999999998</v>
      </c>
      <c r="BF725" s="2123">
        <v>18.989999999999998</v>
      </c>
      <c r="BG725" s="2123">
        <v>14.1</v>
      </c>
      <c r="BH725" s="2123">
        <v>14.1</v>
      </c>
      <c r="BI725" s="2123">
        <v>13.94</v>
      </c>
      <c r="BJ725" s="2123">
        <v>13.94</v>
      </c>
      <c r="BK725" s="2123">
        <v>13.94</v>
      </c>
      <c r="BL725" s="2123">
        <v>13.94</v>
      </c>
      <c r="BM725" s="2123">
        <v>39.08</v>
      </c>
      <c r="BN725" s="2123">
        <v>39.08</v>
      </c>
      <c r="BO725" s="2123">
        <v>116.25</v>
      </c>
      <c r="BP725" s="2123">
        <v>116.25</v>
      </c>
      <c r="BQ725" s="2123">
        <v>116.25</v>
      </c>
      <c r="BR725" s="2123">
        <v>116.25</v>
      </c>
      <c r="BS725" s="2123">
        <v>138.54</v>
      </c>
      <c r="BT725" s="2123">
        <v>138.54</v>
      </c>
      <c r="BU725" s="2123">
        <v>138.54</v>
      </c>
      <c r="BV725" s="2123">
        <v>138.54</v>
      </c>
      <c r="BW725" s="2123">
        <v>138.54</v>
      </c>
      <c r="BX725" s="2123">
        <v>138.54</v>
      </c>
      <c r="BY725" s="2123">
        <v>35.5</v>
      </c>
      <c r="BZ725" s="2123">
        <v>35.5</v>
      </c>
      <c r="CA725" s="2123">
        <v>110.43</v>
      </c>
      <c r="CB725" s="2123">
        <v>110.43</v>
      </c>
      <c r="CC725" s="2123">
        <v>111.15</v>
      </c>
      <c r="CD725" s="2123">
        <v>111.15</v>
      </c>
      <c r="CE725" s="2123">
        <v>135.44999999999999</v>
      </c>
      <c r="CF725" s="2123">
        <v>135.44999999999999</v>
      </c>
      <c r="CG725" s="2123"/>
      <c r="CH725" s="2123"/>
      <c r="CI725" s="2123"/>
      <c r="CJ725" s="2123"/>
      <c r="CK725" s="2123">
        <v>92.1</v>
      </c>
      <c r="CL725" s="2123">
        <v>92.1</v>
      </c>
      <c r="CM725" s="2123">
        <v>190.59</v>
      </c>
      <c r="CN725" s="2123">
        <v>190.59</v>
      </c>
      <c r="CO725" s="2123">
        <v>226.57</v>
      </c>
      <c r="CP725" s="2123">
        <v>226.57</v>
      </c>
      <c r="CQ725" s="2123">
        <v>226.57</v>
      </c>
      <c r="CR725" s="2123">
        <v>226.57</v>
      </c>
      <c r="CS725" s="2123"/>
      <c r="CT725" s="2123"/>
      <c r="CU725" s="2123"/>
      <c r="CV725" s="2123"/>
      <c r="CW725" s="2123">
        <v>82.32</v>
      </c>
      <c r="CX725" s="2123">
        <v>82.32</v>
      </c>
      <c r="CY725" s="2123">
        <v>181.18</v>
      </c>
      <c r="CZ725" s="2123">
        <v>181.18</v>
      </c>
      <c r="DA725" s="2123">
        <v>181.18</v>
      </c>
      <c r="DB725" s="2123">
        <v>181.18</v>
      </c>
      <c r="DC725" s="2123">
        <v>215.47</v>
      </c>
      <c r="DD725" s="2123">
        <v>215.47</v>
      </c>
      <c r="DE725" s="2123">
        <v>215.47</v>
      </c>
      <c r="DF725" s="2123">
        <v>215.47</v>
      </c>
      <c r="DG725" s="2123"/>
      <c r="DH725" s="2123"/>
      <c r="DI725" s="2123">
        <v>21.78</v>
      </c>
      <c r="DJ725" s="2123">
        <v>21.78</v>
      </c>
      <c r="DK725" s="2123">
        <v>21.78</v>
      </c>
      <c r="DL725" s="2123">
        <v>21.78</v>
      </c>
      <c r="DM725" s="2123">
        <v>21.78</v>
      </c>
      <c r="DN725" s="2123">
        <v>21.78</v>
      </c>
      <c r="DO725" s="2123"/>
      <c r="DP725" s="2123"/>
      <c r="DQ725" s="2123"/>
      <c r="DR725" s="2123"/>
      <c r="DS725" s="2123"/>
      <c r="DT725" s="2123"/>
      <c r="DU725" s="2123">
        <v>9.76</v>
      </c>
      <c r="DV725" s="2123">
        <v>9.76</v>
      </c>
      <c r="DW725" s="2123">
        <v>8.58</v>
      </c>
      <c r="DX725" s="2123">
        <v>8.58</v>
      </c>
      <c r="DY725" s="2123">
        <v>8.58</v>
      </c>
      <c r="DZ725" s="2123">
        <v>8.58</v>
      </c>
      <c r="EA725" s="2123"/>
      <c r="EB725" s="2123"/>
      <c r="EC725" s="2123"/>
      <c r="ED725" s="2123"/>
      <c r="EE725" s="2123"/>
      <c r="EF725" s="2123"/>
      <c r="EG725" s="2123">
        <v>10.49</v>
      </c>
      <c r="EH725" s="2123">
        <v>10.8</v>
      </c>
      <c r="EI725" s="2123">
        <v>6.75</v>
      </c>
      <c r="EJ725" s="2123">
        <v>6.75</v>
      </c>
      <c r="EK725" s="2123">
        <v>6.7</v>
      </c>
      <c r="EL725" s="2123">
        <v>6.7</v>
      </c>
      <c r="EM725" s="2123">
        <v>7.51</v>
      </c>
      <c r="EN725" s="2123">
        <v>7.51</v>
      </c>
      <c r="EO725" s="2123">
        <v>6.95</v>
      </c>
      <c r="EP725" s="2123">
        <v>6.95</v>
      </c>
      <c r="EQ725" s="2123">
        <v>7.14</v>
      </c>
      <c r="ER725" s="2123">
        <v>7.26</v>
      </c>
      <c r="ES725" s="2123">
        <v>39.909999999999997</v>
      </c>
      <c r="ET725" s="2123">
        <v>39.909999999999997</v>
      </c>
      <c r="EU725" s="2123">
        <v>151.19999999999999</v>
      </c>
      <c r="EV725" s="2123">
        <v>151.19999999999999</v>
      </c>
      <c r="EW725" s="2123">
        <v>146.85</v>
      </c>
      <c r="EX725" s="2123">
        <v>146.85</v>
      </c>
      <c r="EY725" s="2129">
        <f t="shared" si="55"/>
        <v>149.02499999999998</v>
      </c>
      <c r="EZ725" s="2129">
        <f t="shared" si="55"/>
        <v>149.02499999999998</v>
      </c>
      <c r="FA725" s="2123">
        <v>152.49</v>
      </c>
      <c r="FB725" s="2123">
        <v>152.49</v>
      </c>
      <c r="FC725" s="2123"/>
      <c r="FD725" s="2123"/>
      <c r="FE725" s="2123">
        <v>33.94</v>
      </c>
      <c r="FF725" s="2123">
        <v>33.94</v>
      </c>
      <c r="FG725" s="2123">
        <v>124.81</v>
      </c>
      <c r="FH725" s="2123">
        <v>124.81</v>
      </c>
      <c r="FI725" s="2123">
        <v>124.81</v>
      </c>
      <c r="FJ725" s="2123">
        <v>124.81</v>
      </c>
      <c r="FK725" s="2123">
        <v>123.71</v>
      </c>
      <c r="FL725" s="2123">
        <v>123.71</v>
      </c>
      <c r="FM725" s="2123">
        <v>125.42</v>
      </c>
      <c r="FN725" s="2123">
        <v>125.42</v>
      </c>
      <c r="FO725" s="2123"/>
      <c r="FP725" s="2123"/>
      <c r="FQ725" s="2123">
        <v>76.63</v>
      </c>
      <c r="FR725" s="2123">
        <v>76.63</v>
      </c>
      <c r="FS725" s="2123">
        <v>145.66999999999999</v>
      </c>
      <c r="FT725" s="2123">
        <v>145.66999999999999</v>
      </c>
      <c r="FU725" s="2123">
        <v>145.66999999999999</v>
      </c>
      <c r="FV725" s="2123">
        <v>145.66999999999999</v>
      </c>
      <c r="FW725" s="2123">
        <v>146.80000000000001</v>
      </c>
      <c r="FX725" s="2123">
        <v>146.80000000000001</v>
      </c>
      <c r="FY725" s="2123"/>
      <c r="FZ725" s="2123"/>
      <c r="GA725" s="2123"/>
      <c r="GB725" s="2123"/>
      <c r="GC725" s="2123">
        <v>54.9</v>
      </c>
      <c r="GD725" s="2123">
        <v>54.9</v>
      </c>
      <c r="GE725" s="2123">
        <v>127.5</v>
      </c>
      <c r="GF725" s="2123">
        <v>127.5</v>
      </c>
      <c r="GG725" s="2123">
        <v>127.5</v>
      </c>
      <c r="GH725" s="2123">
        <v>127.5</v>
      </c>
      <c r="GI725" s="2123">
        <v>100.36</v>
      </c>
      <c r="GJ725" s="2123">
        <v>100.36</v>
      </c>
      <c r="GK725" s="2123">
        <v>135.91999999999999</v>
      </c>
      <c r="GL725" s="2123">
        <v>135.91999999999999</v>
      </c>
      <c r="GM725" s="2123"/>
      <c r="GN725" s="2123"/>
      <c r="GO725" s="2123">
        <v>29.07</v>
      </c>
      <c r="GP725" s="2123">
        <v>29.07</v>
      </c>
      <c r="GQ725" s="2123">
        <v>21.66</v>
      </c>
      <c r="GR725" s="2123">
        <v>21.66</v>
      </c>
      <c r="GS725" s="2123">
        <v>21.66</v>
      </c>
      <c r="GT725" s="2123">
        <v>20.76</v>
      </c>
      <c r="GU725" s="2123">
        <v>20.76</v>
      </c>
      <c r="GV725" s="2123">
        <v>20.76</v>
      </c>
      <c r="GW725" s="2123">
        <v>125.14</v>
      </c>
      <c r="GX725" s="2123">
        <v>125.14</v>
      </c>
      <c r="GY725" s="2123"/>
      <c r="GZ725" s="2123"/>
      <c r="HA725" s="2123">
        <v>20.420000000000002</v>
      </c>
      <c r="HB725" s="2123">
        <v>20.420000000000002</v>
      </c>
      <c r="HC725" s="2123">
        <v>11.82</v>
      </c>
      <c r="HD725" s="2123">
        <v>11.82</v>
      </c>
      <c r="HE725" s="2123">
        <v>12.89</v>
      </c>
      <c r="HF725" s="2123">
        <v>12.89</v>
      </c>
      <c r="HG725" s="2123">
        <v>12.89</v>
      </c>
      <c r="HH725" s="2123">
        <v>12.89</v>
      </c>
      <c r="HI725" s="2123">
        <v>12.89</v>
      </c>
      <c r="HJ725" s="2123">
        <v>12.89</v>
      </c>
      <c r="HK725" s="2123">
        <v>12.88</v>
      </c>
      <c r="HL725" s="2123">
        <v>13.14</v>
      </c>
      <c r="HM725" s="2123">
        <v>28.59</v>
      </c>
      <c r="HN725" s="2123">
        <v>28.59</v>
      </c>
      <c r="HO725" s="2123">
        <v>16.989999999999998</v>
      </c>
      <c r="HP725" s="2123">
        <v>16.989999999999998</v>
      </c>
      <c r="HQ725" s="2123">
        <v>18.55</v>
      </c>
      <c r="HR725" s="2123">
        <v>18.55</v>
      </c>
      <c r="HS725" s="2123">
        <v>18.55</v>
      </c>
      <c r="HT725" s="2123">
        <v>18.55</v>
      </c>
      <c r="HU725" s="2123">
        <v>18.55</v>
      </c>
      <c r="HV725" s="2123">
        <v>18.55</v>
      </c>
      <c r="HW725" s="2123">
        <v>18.440000000000001</v>
      </c>
      <c r="HX725" s="2123">
        <v>18.440000000000001</v>
      </c>
    </row>
    <row r="726" spans="2:232" s="2040" customFormat="1" ht="14" hidden="1" x14ac:dyDescent="0.3">
      <c r="B726" s="2203">
        <v>32</v>
      </c>
      <c r="C726" s="2204">
        <v>32.909999999999997</v>
      </c>
      <c r="D726" s="2204">
        <v>32.909999999999997</v>
      </c>
      <c r="E726" s="2204">
        <v>33.659999999999997</v>
      </c>
      <c r="F726" s="2204">
        <v>33.659999999999997</v>
      </c>
      <c r="G726" s="2204">
        <v>118.76</v>
      </c>
      <c r="H726" s="2204">
        <v>118.76</v>
      </c>
      <c r="I726" s="2204">
        <v>108.71</v>
      </c>
      <c r="J726" s="2204">
        <v>108.71</v>
      </c>
      <c r="K726" s="2204">
        <v>120.91</v>
      </c>
      <c r="L726" s="2204">
        <v>120.91</v>
      </c>
      <c r="M726" s="2204"/>
      <c r="N726" s="2204"/>
      <c r="O726" s="2204">
        <v>102.8</v>
      </c>
      <c r="P726" s="2204">
        <v>102.8</v>
      </c>
      <c r="Q726" s="2204">
        <v>103.7</v>
      </c>
      <c r="R726" s="2204">
        <v>102.8</v>
      </c>
      <c r="S726" s="2204">
        <v>164.64</v>
      </c>
      <c r="T726" s="2204">
        <v>164.64</v>
      </c>
      <c r="U726" s="2204">
        <v>158.91</v>
      </c>
      <c r="V726" s="2204">
        <v>158.91</v>
      </c>
      <c r="W726" s="2204">
        <v>164.64</v>
      </c>
      <c r="X726" s="2204">
        <v>164.64</v>
      </c>
      <c r="Y726" s="2204">
        <v>158.91</v>
      </c>
      <c r="Z726" s="2204">
        <v>164.64</v>
      </c>
      <c r="AA726" s="2204">
        <v>164.64</v>
      </c>
      <c r="AB726" s="2204">
        <v>164.64</v>
      </c>
      <c r="AC726" s="2204">
        <v>158.91</v>
      </c>
      <c r="AD726" s="2204">
        <v>158.91</v>
      </c>
      <c r="AE726" s="2204">
        <v>184.29</v>
      </c>
      <c r="AF726" s="2204">
        <v>179.08</v>
      </c>
      <c r="AG726" s="2204">
        <v>184.29</v>
      </c>
      <c r="AH726" s="2204">
        <v>184.29</v>
      </c>
      <c r="AI726" s="2204">
        <v>179.08</v>
      </c>
      <c r="AJ726" s="2204">
        <v>179.08</v>
      </c>
      <c r="AK726" s="2204">
        <v>180.74</v>
      </c>
      <c r="AL726" s="2204">
        <v>180.74</v>
      </c>
      <c r="AM726" s="2204">
        <v>54.43</v>
      </c>
      <c r="AN726" s="2204">
        <v>52.42</v>
      </c>
      <c r="AO726" s="2204">
        <v>52.42</v>
      </c>
      <c r="AP726" s="2204">
        <v>52.42</v>
      </c>
      <c r="AQ726" s="2204">
        <v>53.75</v>
      </c>
      <c r="AR726" s="2204">
        <v>53.75</v>
      </c>
      <c r="AS726" s="2204">
        <v>144.19</v>
      </c>
      <c r="AT726" s="2204">
        <v>144.19</v>
      </c>
      <c r="AU726" s="2204">
        <v>144.19</v>
      </c>
      <c r="AV726" s="2204">
        <v>148.33000000000001</v>
      </c>
      <c r="AW726" s="2204">
        <v>144.11000000000001</v>
      </c>
      <c r="AX726" s="2204">
        <v>144.11000000000001</v>
      </c>
      <c r="AY726" s="2204">
        <v>144.31</v>
      </c>
      <c r="AZ726" s="2204">
        <v>144.31</v>
      </c>
      <c r="BA726" s="2123">
        <v>61.88</v>
      </c>
      <c r="BB726" s="2123">
        <v>61.88</v>
      </c>
      <c r="BC726" s="2123">
        <v>14.46</v>
      </c>
      <c r="BD726" s="2123">
        <v>15</v>
      </c>
      <c r="BE726" s="2123">
        <v>19.350000000000001</v>
      </c>
      <c r="BF726" s="2123">
        <v>19.350000000000001</v>
      </c>
      <c r="BG726" s="2123">
        <v>14.51</v>
      </c>
      <c r="BH726" s="2123">
        <v>14.51</v>
      </c>
      <c r="BI726" s="2123">
        <v>14.35</v>
      </c>
      <c r="BJ726" s="2123">
        <v>14.35</v>
      </c>
      <c r="BK726" s="2123">
        <v>14.35</v>
      </c>
      <c r="BL726" s="2123">
        <v>14.35</v>
      </c>
      <c r="BM726" s="2123">
        <v>39.799999999999997</v>
      </c>
      <c r="BN726" s="2123">
        <v>39.799999999999997</v>
      </c>
      <c r="BO726" s="2123">
        <v>118.71</v>
      </c>
      <c r="BP726" s="2123">
        <v>118.71</v>
      </c>
      <c r="BQ726" s="2123">
        <v>118.71</v>
      </c>
      <c r="BR726" s="2123">
        <v>118.71</v>
      </c>
      <c r="BS726" s="2123">
        <v>142.08000000000001</v>
      </c>
      <c r="BT726" s="2123">
        <v>142.08000000000001</v>
      </c>
      <c r="BU726" s="2123">
        <v>142.08000000000001</v>
      </c>
      <c r="BV726" s="2123">
        <v>142.08000000000001</v>
      </c>
      <c r="BW726" s="2123">
        <v>142.08000000000001</v>
      </c>
      <c r="BX726" s="2123">
        <v>142.08000000000001</v>
      </c>
      <c r="BY726" s="2123">
        <v>36.159999999999997</v>
      </c>
      <c r="BZ726" s="2123">
        <v>36.159999999999997</v>
      </c>
      <c r="CA726" s="2123">
        <v>112.82</v>
      </c>
      <c r="CB726" s="2123">
        <v>112.82</v>
      </c>
      <c r="CC726" s="2123">
        <v>113.62</v>
      </c>
      <c r="CD726" s="2123">
        <v>113.62</v>
      </c>
      <c r="CE726" s="2123">
        <v>138.97</v>
      </c>
      <c r="CF726" s="2123">
        <v>138.97</v>
      </c>
      <c r="CG726" s="2123"/>
      <c r="CH726" s="2123"/>
      <c r="CI726" s="2123"/>
      <c r="CJ726" s="2123"/>
      <c r="CK726" s="2123">
        <v>93.53</v>
      </c>
      <c r="CL726" s="2123">
        <v>93.53</v>
      </c>
      <c r="CM726" s="2123">
        <v>193.43</v>
      </c>
      <c r="CN726" s="2123">
        <v>193.43</v>
      </c>
      <c r="CO726" s="2123">
        <v>230.9</v>
      </c>
      <c r="CP726" s="2123">
        <v>230.9</v>
      </c>
      <c r="CQ726" s="2123">
        <v>230.9</v>
      </c>
      <c r="CR726" s="2123">
        <v>230.9</v>
      </c>
      <c r="CS726" s="2123"/>
      <c r="CT726" s="2123"/>
      <c r="CU726" s="2123"/>
      <c r="CV726" s="2123"/>
      <c r="CW726" s="2123">
        <v>83.86</v>
      </c>
      <c r="CX726" s="2123">
        <v>83.86</v>
      </c>
      <c r="CY726" s="2123">
        <v>184.02</v>
      </c>
      <c r="CZ726" s="2123">
        <v>184.02</v>
      </c>
      <c r="DA726" s="2123">
        <v>184.02</v>
      </c>
      <c r="DB726" s="2123">
        <v>184.02</v>
      </c>
      <c r="DC726" s="2123">
        <v>219.77</v>
      </c>
      <c r="DD726" s="2123">
        <v>219.77</v>
      </c>
      <c r="DE726" s="2123">
        <v>219.77</v>
      </c>
      <c r="DF726" s="2123">
        <v>219.77</v>
      </c>
      <c r="DG726" s="2123"/>
      <c r="DH726" s="2123"/>
      <c r="DI726" s="2123">
        <v>22.18</v>
      </c>
      <c r="DJ726" s="2123">
        <v>22.18</v>
      </c>
      <c r="DK726" s="2123">
        <v>22.18</v>
      </c>
      <c r="DL726" s="2123">
        <v>22.18</v>
      </c>
      <c r="DM726" s="2123">
        <v>22.18</v>
      </c>
      <c r="DN726" s="2123">
        <v>22.18</v>
      </c>
      <c r="DO726" s="2123"/>
      <c r="DP726" s="2123"/>
      <c r="DQ726" s="2123"/>
      <c r="DR726" s="2123"/>
      <c r="DS726" s="2123"/>
      <c r="DT726" s="2123"/>
      <c r="DU726" s="2123">
        <v>9.94</v>
      </c>
      <c r="DV726" s="2123">
        <v>9.94</v>
      </c>
      <c r="DW726" s="2123">
        <v>8.77</v>
      </c>
      <c r="DX726" s="2123">
        <v>8.77</v>
      </c>
      <c r="DY726" s="2123">
        <v>8.77</v>
      </c>
      <c r="DZ726" s="2123">
        <v>8.77</v>
      </c>
      <c r="EA726" s="2123"/>
      <c r="EB726" s="2123"/>
      <c r="EC726" s="2123"/>
      <c r="ED726" s="2123"/>
      <c r="EE726" s="2123"/>
      <c r="EF726" s="2123"/>
      <c r="EG726" s="2123">
        <v>10.69</v>
      </c>
      <c r="EH726" s="2123">
        <v>11</v>
      </c>
      <c r="EI726" s="2123">
        <v>6.97</v>
      </c>
      <c r="EJ726" s="2123">
        <v>6.97</v>
      </c>
      <c r="EK726" s="2123">
        <v>6.93</v>
      </c>
      <c r="EL726" s="2123">
        <v>6.93</v>
      </c>
      <c r="EM726" s="2123">
        <v>7.73</v>
      </c>
      <c r="EN726" s="2123">
        <v>7.73</v>
      </c>
      <c r="EO726" s="2123">
        <v>7.16</v>
      </c>
      <c r="EP726" s="2123">
        <v>7.16</v>
      </c>
      <c r="EQ726" s="2123">
        <v>7.36</v>
      </c>
      <c r="ER726" s="2123">
        <v>7.47</v>
      </c>
      <c r="ES726" s="2123">
        <v>40.71</v>
      </c>
      <c r="ET726" s="2123">
        <v>40.71</v>
      </c>
      <c r="EU726" s="2123">
        <v>155.41999999999999</v>
      </c>
      <c r="EV726" s="2123">
        <v>155.41999999999999</v>
      </c>
      <c r="EW726" s="2123">
        <v>151.02000000000001</v>
      </c>
      <c r="EX726" s="2123">
        <v>151.02000000000001</v>
      </c>
      <c r="EY726" s="2129">
        <f t="shared" si="55"/>
        <v>153.22</v>
      </c>
      <c r="EZ726" s="2129">
        <f t="shared" si="55"/>
        <v>153.22</v>
      </c>
      <c r="FA726" s="2123">
        <v>156.6</v>
      </c>
      <c r="FB726" s="2123">
        <v>156.6</v>
      </c>
      <c r="FC726" s="2123"/>
      <c r="FD726" s="2123"/>
      <c r="FE726" s="2123">
        <v>34.65</v>
      </c>
      <c r="FF726" s="2123">
        <v>34.65</v>
      </c>
      <c r="FG726" s="2123">
        <v>128.47999999999999</v>
      </c>
      <c r="FH726" s="2123">
        <v>128.47999999999999</v>
      </c>
      <c r="FI726" s="2123">
        <v>128.47999999999999</v>
      </c>
      <c r="FJ726" s="2123">
        <v>128.47999999999999</v>
      </c>
      <c r="FK726" s="2123">
        <v>127.4</v>
      </c>
      <c r="FL726" s="2123">
        <v>127.4</v>
      </c>
      <c r="FM726" s="2123">
        <v>129.09</v>
      </c>
      <c r="FN726" s="2123">
        <v>129.09</v>
      </c>
      <c r="FO726" s="2123"/>
      <c r="FP726" s="2123"/>
      <c r="FQ726" s="2123">
        <v>78.290000000000006</v>
      </c>
      <c r="FR726" s="2123">
        <v>78.290000000000006</v>
      </c>
      <c r="FS726" s="2123">
        <v>149.26</v>
      </c>
      <c r="FT726" s="2123">
        <v>149.26</v>
      </c>
      <c r="FU726" s="2123">
        <v>149.26</v>
      </c>
      <c r="FV726" s="2123">
        <v>149.26</v>
      </c>
      <c r="FW726" s="2123">
        <v>150.37</v>
      </c>
      <c r="FX726" s="2123">
        <v>150.37</v>
      </c>
      <c r="FY726" s="2123"/>
      <c r="FZ726" s="2123"/>
      <c r="GA726" s="2123"/>
      <c r="GB726" s="2123"/>
      <c r="GC726" s="2123">
        <v>55.89</v>
      </c>
      <c r="GD726" s="2123">
        <v>55.89</v>
      </c>
      <c r="GE726" s="2123">
        <v>129.54</v>
      </c>
      <c r="GF726" s="2123">
        <v>129.54</v>
      </c>
      <c r="GG726" s="2123">
        <v>129.54</v>
      </c>
      <c r="GH726" s="2123">
        <v>129.54</v>
      </c>
      <c r="GI726" s="2123">
        <v>103.72</v>
      </c>
      <c r="GJ726" s="2123">
        <v>103.72</v>
      </c>
      <c r="GK726" s="2123">
        <v>139.15</v>
      </c>
      <c r="GL726" s="2123">
        <v>139.15</v>
      </c>
      <c r="GM726" s="2123"/>
      <c r="GN726" s="2123"/>
      <c r="GO726" s="2123">
        <v>29.68</v>
      </c>
      <c r="GP726" s="2123">
        <v>29.68</v>
      </c>
      <c r="GQ726" s="2123">
        <v>22.25</v>
      </c>
      <c r="GR726" s="2123">
        <v>22.25</v>
      </c>
      <c r="GS726" s="2123">
        <v>22.25</v>
      </c>
      <c r="GT726" s="2123">
        <v>21.33</v>
      </c>
      <c r="GU726" s="2123">
        <v>21.33</v>
      </c>
      <c r="GV726" s="2123">
        <v>22.08</v>
      </c>
      <c r="GW726" s="2123">
        <v>128.41999999999999</v>
      </c>
      <c r="GX726" s="2123">
        <v>128.41999999999999</v>
      </c>
      <c r="GY726" s="2123"/>
      <c r="GZ726" s="2123"/>
      <c r="HA726" s="2123">
        <v>20.8</v>
      </c>
      <c r="HB726" s="2123">
        <v>20.8</v>
      </c>
      <c r="HC726" s="2123">
        <v>12.22</v>
      </c>
      <c r="HD726" s="2123">
        <v>12.22</v>
      </c>
      <c r="HE726" s="2123">
        <v>13.29</v>
      </c>
      <c r="HF726" s="2123">
        <v>13.29</v>
      </c>
      <c r="HG726" s="2123">
        <v>13.29</v>
      </c>
      <c r="HH726" s="2123">
        <v>13.29</v>
      </c>
      <c r="HI726" s="2123">
        <v>13.29</v>
      </c>
      <c r="HJ726" s="2123">
        <v>13.29</v>
      </c>
      <c r="HK726" s="2123">
        <v>13.28</v>
      </c>
      <c r="HL726" s="2123">
        <v>13.86</v>
      </c>
      <c r="HM726" s="2123">
        <v>29.12</v>
      </c>
      <c r="HN726" s="2123">
        <v>29.12</v>
      </c>
      <c r="HO726" s="2123">
        <v>17.55</v>
      </c>
      <c r="HP726" s="2123">
        <v>17.55</v>
      </c>
      <c r="HQ726" s="2123">
        <v>19.11</v>
      </c>
      <c r="HR726" s="2123">
        <v>19.11</v>
      </c>
      <c r="HS726" s="2123">
        <v>19.11</v>
      </c>
      <c r="HT726" s="2123">
        <v>19.11</v>
      </c>
      <c r="HU726" s="2123">
        <v>19.11</v>
      </c>
      <c r="HV726" s="2123">
        <v>19.11</v>
      </c>
      <c r="HW726" s="2123">
        <v>19</v>
      </c>
      <c r="HX726" s="2123">
        <v>19</v>
      </c>
    </row>
    <row r="727" spans="2:232" s="2040" customFormat="1" ht="14" hidden="1" x14ac:dyDescent="0.3">
      <c r="B727" s="2203">
        <v>33</v>
      </c>
      <c r="C727" s="2204">
        <v>33.479999999999997</v>
      </c>
      <c r="D727" s="2204">
        <v>33.479999999999997</v>
      </c>
      <c r="E727" s="2204">
        <v>34.200000000000003</v>
      </c>
      <c r="F727" s="2204">
        <v>34.200000000000003</v>
      </c>
      <c r="G727" s="2204">
        <v>121.25</v>
      </c>
      <c r="H727" s="2204">
        <v>121.25</v>
      </c>
      <c r="I727" s="2204">
        <v>111.18</v>
      </c>
      <c r="J727" s="2204">
        <v>111.18</v>
      </c>
      <c r="K727" s="2204">
        <v>123.09</v>
      </c>
      <c r="L727" s="2204">
        <v>123.09</v>
      </c>
      <c r="M727" s="2204"/>
      <c r="N727" s="2204"/>
      <c r="O727" s="2204">
        <v>104.6</v>
      </c>
      <c r="P727" s="2204">
        <v>104.6</v>
      </c>
      <c r="Q727" s="2204">
        <v>105.43</v>
      </c>
      <c r="R727" s="2204">
        <v>104.61</v>
      </c>
      <c r="S727" s="2204">
        <v>168.78</v>
      </c>
      <c r="T727" s="2204">
        <v>168.78</v>
      </c>
      <c r="U727" s="2204">
        <v>162.91</v>
      </c>
      <c r="V727" s="2204">
        <v>162.91</v>
      </c>
      <c r="W727" s="2204">
        <v>168.78</v>
      </c>
      <c r="X727" s="2204">
        <v>168.78</v>
      </c>
      <c r="Y727" s="2204">
        <v>162.91</v>
      </c>
      <c r="Z727" s="2204">
        <v>168.78</v>
      </c>
      <c r="AA727" s="2204">
        <v>168.78</v>
      </c>
      <c r="AB727" s="2204">
        <v>168.78</v>
      </c>
      <c r="AC727" s="2204">
        <v>162.91</v>
      </c>
      <c r="AD727" s="2204">
        <v>162.91</v>
      </c>
      <c r="AE727" s="2204">
        <v>188.31</v>
      </c>
      <c r="AF727" s="2204">
        <v>182.97</v>
      </c>
      <c r="AG727" s="2204">
        <v>188.31</v>
      </c>
      <c r="AH727" s="2204">
        <v>188.31</v>
      </c>
      <c r="AI727" s="2204">
        <v>182.97</v>
      </c>
      <c r="AJ727" s="2204">
        <v>182.97</v>
      </c>
      <c r="AK727" s="2204">
        <v>184.57</v>
      </c>
      <c r="AL727" s="2204">
        <v>184.57</v>
      </c>
      <c r="AM727" s="2204">
        <v>55.38</v>
      </c>
      <c r="AN727" s="2204">
        <v>53.34</v>
      </c>
      <c r="AO727" s="2204">
        <v>53.34</v>
      </c>
      <c r="AP727" s="2204">
        <v>53.34</v>
      </c>
      <c r="AQ727" s="2204">
        <v>54.61</v>
      </c>
      <c r="AR727" s="2204">
        <v>54.61</v>
      </c>
      <c r="AS727" s="2204">
        <v>147.38</v>
      </c>
      <c r="AT727" s="2204">
        <v>147.38</v>
      </c>
      <c r="AU727" s="2204">
        <v>147.38</v>
      </c>
      <c r="AV727" s="2204">
        <v>151.56</v>
      </c>
      <c r="AW727" s="2204">
        <v>147.34</v>
      </c>
      <c r="AX727" s="2204">
        <v>147.34</v>
      </c>
      <c r="AY727" s="2204">
        <v>147.53</v>
      </c>
      <c r="AZ727" s="2204">
        <v>147.53</v>
      </c>
      <c r="BA727" s="2123">
        <v>63.29</v>
      </c>
      <c r="BB727" s="2123">
        <v>63.29</v>
      </c>
      <c r="BC727" s="2123">
        <v>14.85</v>
      </c>
      <c r="BD727" s="2123">
        <v>15.42</v>
      </c>
      <c r="BE727" s="2123">
        <v>19.690000000000001</v>
      </c>
      <c r="BF727" s="2123">
        <v>19.690000000000001</v>
      </c>
      <c r="BG727" s="2123">
        <v>14.9</v>
      </c>
      <c r="BH727" s="2123">
        <v>14.9</v>
      </c>
      <c r="BI727" s="2123">
        <v>14.75</v>
      </c>
      <c r="BJ727" s="2123">
        <v>14.75</v>
      </c>
      <c r="BK727" s="2123">
        <v>14.75</v>
      </c>
      <c r="BL727" s="2123">
        <v>14.75</v>
      </c>
      <c r="BM727" s="2123">
        <v>40.5</v>
      </c>
      <c r="BN727" s="2123">
        <v>40.5</v>
      </c>
      <c r="BO727" s="2123">
        <v>121.07</v>
      </c>
      <c r="BP727" s="2123">
        <v>121.07</v>
      </c>
      <c r="BQ727" s="2123">
        <v>121.07</v>
      </c>
      <c r="BR727" s="2123">
        <v>121.07</v>
      </c>
      <c r="BS727" s="2123">
        <v>145.49</v>
      </c>
      <c r="BT727" s="2123">
        <v>145.49</v>
      </c>
      <c r="BU727" s="2123">
        <v>145.49</v>
      </c>
      <c r="BV727" s="2123">
        <v>145.49</v>
      </c>
      <c r="BW727" s="2123">
        <v>145.49</v>
      </c>
      <c r="BX727" s="2123">
        <v>145.49</v>
      </c>
      <c r="BY727" s="2123">
        <v>36.79</v>
      </c>
      <c r="BZ727" s="2123">
        <v>36.79</v>
      </c>
      <c r="CA727" s="2123">
        <v>115.11</v>
      </c>
      <c r="CB727" s="2123">
        <v>115.11</v>
      </c>
      <c r="CC727" s="2123">
        <v>115.99</v>
      </c>
      <c r="CD727" s="2123">
        <v>115.99</v>
      </c>
      <c r="CE727" s="2123">
        <v>142.37</v>
      </c>
      <c r="CF727" s="2123">
        <v>142.37</v>
      </c>
      <c r="CG727" s="2123"/>
      <c r="CH727" s="2123"/>
      <c r="CI727" s="2123"/>
      <c r="CJ727" s="2123"/>
      <c r="CK727" s="2123">
        <v>94.91</v>
      </c>
      <c r="CL727" s="2123">
        <v>94.91</v>
      </c>
      <c r="CM727" s="2123">
        <v>196.14</v>
      </c>
      <c r="CN727" s="2123">
        <v>196.14</v>
      </c>
      <c r="CO727" s="2123">
        <v>235.05</v>
      </c>
      <c r="CP727" s="2123">
        <v>235.05</v>
      </c>
      <c r="CQ727" s="2123">
        <v>235.05</v>
      </c>
      <c r="CR727" s="2123">
        <v>235.05</v>
      </c>
      <c r="CS727" s="2123"/>
      <c r="CT727" s="2123"/>
      <c r="CU727" s="2123"/>
      <c r="CV727" s="2123"/>
      <c r="CW727" s="2123">
        <v>85.32</v>
      </c>
      <c r="CX727" s="2123">
        <v>85.32</v>
      </c>
      <c r="CY727" s="2123">
        <v>186.73</v>
      </c>
      <c r="CZ727" s="2123">
        <v>186.73</v>
      </c>
      <c r="DA727" s="2123">
        <v>186.73</v>
      </c>
      <c r="DB727" s="2123">
        <v>186.73</v>
      </c>
      <c r="DC727" s="2123">
        <v>223.89</v>
      </c>
      <c r="DD727" s="2123">
        <v>223.89</v>
      </c>
      <c r="DE727" s="2123">
        <v>223.89</v>
      </c>
      <c r="DF727" s="2123">
        <v>223.89</v>
      </c>
      <c r="DG727" s="2123"/>
      <c r="DH727" s="2123"/>
      <c r="DI727" s="2123">
        <v>22.57</v>
      </c>
      <c r="DJ727" s="2123">
        <v>22.57</v>
      </c>
      <c r="DK727" s="2123">
        <v>22.57</v>
      </c>
      <c r="DL727" s="2123">
        <v>22.57</v>
      </c>
      <c r="DM727" s="2123">
        <v>22.57</v>
      </c>
      <c r="DN727" s="2123">
        <v>22.57</v>
      </c>
      <c r="DO727" s="2123"/>
      <c r="DP727" s="2123"/>
      <c r="DQ727" s="2123"/>
      <c r="DR727" s="2123"/>
      <c r="DS727" s="2123"/>
      <c r="DT727" s="2123"/>
      <c r="DU727" s="2123">
        <v>10.11</v>
      </c>
      <c r="DV727" s="2123">
        <v>10.11</v>
      </c>
      <c r="DW727" s="2123">
        <v>8.9600000000000009</v>
      </c>
      <c r="DX727" s="2123">
        <v>8.9600000000000009</v>
      </c>
      <c r="DY727" s="2123">
        <v>8.9600000000000009</v>
      </c>
      <c r="DZ727" s="2123">
        <v>8.9600000000000009</v>
      </c>
      <c r="EA727" s="2123"/>
      <c r="EB727" s="2123"/>
      <c r="EC727" s="2123"/>
      <c r="ED727" s="2123"/>
      <c r="EE727" s="2123"/>
      <c r="EF727" s="2123"/>
      <c r="EG727" s="2123">
        <v>10.91</v>
      </c>
      <c r="EH727" s="2123">
        <v>11.21</v>
      </c>
      <c r="EI727" s="2123">
        <v>7.21</v>
      </c>
      <c r="EJ727" s="2123">
        <v>7.21</v>
      </c>
      <c r="EK727" s="2123">
        <v>7.17</v>
      </c>
      <c r="EL727" s="2123">
        <v>7.17</v>
      </c>
      <c r="EM727" s="2123">
        <v>7.97</v>
      </c>
      <c r="EN727" s="2123">
        <v>7.97</v>
      </c>
      <c r="EO727" s="2123">
        <v>7.4</v>
      </c>
      <c r="EP727" s="2123">
        <v>7.4</v>
      </c>
      <c r="EQ727" s="2123">
        <v>7.61</v>
      </c>
      <c r="ER727" s="2123">
        <v>7.71</v>
      </c>
      <c r="ES727" s="2123">
        <v>41.5</v>
      </c>
      <c r="ET727" s="2123">
        <v>41.5</v>
      </c>
      <c r="EU727" s="2123">
        <v>159.63</v>
      </c>
      <c r="EV727" s="2123">
        <v>159.63</v>
      </c>
      <c r="EW727" s="2123">
        <v>155.19</v>
      </c>
      <c r="EX727" s="2123">
        <v>155.19</v>
      </c>
      <c r="EY727" s="2129">
        <f t="shared" si="55"/>
        <v>157.41</v>
      </c>
      <c r="EZ727" s="2129">
        <f t="shared" si="55"/>
        <v>157.41</v>
      </c>
      <c r="FA727" s="2123">
        <v>160.71</v>
      </c>
      <c r="FB727" s="2123">
        <v>160.71</v>
      </c>
      <c r="FC727" s="2123"/>
      <c r="FD727" s="2123"/>
      <c r="FE727" s="2123">
        <v>35.31</v>
      </c>
      <c r="FF727" s="2123">
        <v>35.31</v>
      </c>
      <c r="FG727" s="2123">
        <v>131.93</v>
      </c>
      <c r="FH727" s="2123">
        <v>131.93</v>
      </c>
      <c r="FI727" s="2123">
        <v>131.93</v>
      </c>
      <c r="FJ727" s="2123">
        <v>131.93</v>
      </c>
      <c r="FK727" s="2123">
        <v>130.88</v>
      </c>
      <c r="FL727" s="2123">
        <v>130.88</v>
      </c>
      <c r="FM727" s="2123">
        <v>132.54</v>
      </c>
      <c r="FN727" s="2123">
        <v>132.54</v>
      </c>
      <c r="FO727" s="2123"/>
      <c r="FP727" s="2123"/>
      <c r="FQ727" s="2123">
        <v>79.650000000000006</v>
      </c>
      <c r="FR727" s="2123">
        <v>79.650000000000006</v>
      </c>
      <c r="FS727" s="2123">
        <v>152.22</v>
      </c>
      <c r="FT727" s="2123">
        <v>152.22</v>
      </c>
      <c r="FU727" s="2123">
        <v>152.22</v>
      </c>
      <c r="FV727" s="2123">
        <v>152.22</v>
      </c>
      <c r="FW727" s="2123">
        <v>153.31</v>
      </c>
      <c r="FX727" s="2123">
        <v>153.31</v>
      </c>
      <c r="FY727" s="2123"/>
      <c r="FZ727" s="2123"/>
      <c r="GA727" s="2123"/>
      <c r="GB727" s="2123"/>
      <c r="GC727" s="2123">
        <v>56.72</v>
      </c>
      <c r="GD727" s="2123">
        <v>56.72</v>
      </c>
      <c r="GE727" s="2123">
        <v>131.26</v>
      </c>
      <c r="GF727" s="2123">
        <v>131.26</v>
      </c>
      <c r="GG727" s="2123">
        <v>131.26</v>
      </c>
      <c r="GH727" s="2123">
        <v>131.26</v>
      </c>
      <c r="GI727" s="2123">
        <v>106.61</v>
      </c>
      <c r="GJ727" s="2123">
        <v>106.61</v>
      </c>
      <c r="GK727" s="2123">
        <v>141.91</v>
      </c>
      <c r="GL727" s="2123">
        <v>141.91</v>
      </c>
      <c r="GM727" s="2123"/>
      <c r="GN727" s="2123"/>
      <c r="GO727" s="2123">
        <v>30.16</v>
      </c>
      <c r="GP727" s="2123">
        <v>30.16</v>
      </c>
      <c r="GQ727" s="2123">
        <v>22.82</v>
      </c>
      <c r="GR727" s="2123">
        <v>22.82</v>
      </c>
      <c r="GS727" s="2123">
        <v>22.82</v>
      </c>
      <c r="GT727" s="2123">
        <v>21.88</v>
      </c>
      <c r="GU727" s="2123">
        <v>21.88</v>
      </c>
      <c r="GV727" s="2123">
        <v>22.67</v>
      </c>
      <c r="GW727" s="2123">
        <v>131.59</v>
      </c>
      <c r="GX727" s="2123">
        <v>131.59</v>
      </c>
      <c r="GY727" s="2123"/>
      <c r="GZ727" s="2123"/>
      <c r="HA727" s="2123">
        <v>21.16</v>
      </c>
      <c r="HB727" s="2123">
        <v>21.16</v>
      </c>
      <c r="HC727" s="2123">
        <v>12.61</v>
      </c>
      <c r="HD727" s="2123">
        <v>12.61</v>
      </c>
      <c r="HE727" s="2123">
        <v>13.67</v>
      </c>
      <c r="HF727" s="2123">
        <v>13.67</v>
      </c>
      <c r="HG727" s="2123">
        <v>13.67</v>
      </c>
      <c r="HH727" s="2123">
        <v>13.67</v>
      </c>
      <c r="HI727" s="2123">
        <v>13.67</v>
      </c>
      <c r="HJ727" s="2123">
        <v>13.67</v>
      </c>
      <c r="HK727" s="2123">
        <v>13.67</v>
      </c>
      <c r="HL727" s="2123">
        <v>14.23</v>
      </c>
      <c r="HM727" s="2123">
        <v>29.63</v>
      </c>
      <c r="HN727" s="2123">
        <v>29.63</v>
      </c>
      <c r="HO727" s="2123">
        <v>18.11</v>
      </c>
      <c r="HP727" s="2123">
        <v>18.11</v>
      </c>
      <c r="HQ727" s="2123">
        <v>19.64</v>
      </c>
      <c r="HR727" s="2123">
        <v>19.64</v>
      </c>
      <c r="HS727" s="2123">
        <v>19.64</v>
      </c>
      <c r="HT727" s="2123">
        <v>19.64</v>
      </c>
      <c r="HU727" s="2123">
        <v>19.64</v>
      </c>
      <c r="HV727" s="2123">
        <v>19.64</v>
      </c>
      <c r="HW727" s="2123">
        <v>19.55</v>
      </c>
      <c r="HX727" s="2123">
        <v>19.55</v>
      </c>
    </row>
    <row r="728" spans="2:232" s="2040" customFormat="1" ht="14" hidden="1" x14ac:dyDescent="0.3">
      <c r="B728" s="2203">
        <v>34</v>
      </c>
      <c r="C728" s="2204">
        <v>34.03</v>
      </c>
      <c r="D728" s="2204">
        <v>34.03</v>
      </c>
      <c r="E728" s="2204">
        <v>34.72</v>
      </c>
      <c r="F728" s="2204">
        <v>34.72</v>
      </c>
      <c r="G728" s="2204">
        <v>123.64</v>
      </c>
      <c r="H728" s="2204">
        <v>123.64</v>
      </c>
      <c r="I728" s="2204">
        <v>113.56</v>
      </c>
      <c r="J728" s="2204">
        <v>113.56</v>
      </c>
      <c r="K728" s="2204">
        <v>125.18</v>
      </c>
      <c r="L728" s="2204">
        <v>125.18</v>
      </c>
      <c r="M728" s="2204"/>
      <c r="N728" s="2204"/>
      <c r="O728" s="2204">
        <v>106.33</v>
      </c>
      <c r="P728" s="2204">
        <v>106.33</v>
      </c>
      <c r="Q728" s="2204">
        <v>107.08</v>
      </c>
      <c r="R728" s="2204">
        <v>106.33</v>
      </c>
      <c r="S728" s="2204">
        <v>172.78</v>
      </c>
      <c r="T728" s="2204">
        <v>172.78</v>
      </c>
      <c r="U728" s="2204">
        <v>166.77</v>
      </c>
      <c r="V728" s="2204">
        <v>166.77</v>
      </c>
      <c r="W728" s="2204">
        <v>172.78</v>
      </c>
      <c r="X728" s="2204">
        <v>172.78</v>
      </c>
      <c r="Y728" s="2204">
        <v>166.77</v>
      </c>
      <c r="Z728" s="2204">
        <v>172.78</v>
      </c>
      <c r="AA728" s="2204">
        <v>172.78</v>
      </c>
      <c r="AB728" s="2204">
        <v>172.78</v>
      </c>
      <c r="AC728" s="2204">
        <v>166.77</v>
      </c>
      <c r="AD728" s="2204">
        <v>166.77</v>
      </c>
      <c r="AE728" s="2204">
        <v>192.17</v>
      </c>
      <c r="AF728" s="2204">
        <v>186.72</v>
      </c>
      <c r="AG728" s="2204">
        <v>192.17</v>
      </c>
      <c r="AH728" s="2204">
        <v>192.17</v>
      </c>
      <c r="AI728" s="2204">
        <v>186.72</v>
      </c>
      <c r="AJ728" s="2204">
        <v>186.72</v>
      </c>
      <c r="AK728" s="2204">
        <v>188.26</v>
      </c>
      <c r="AL728" s="2204">
        <v>188.26</v>
      </c>
      <c r="AM728" s="2204">
        <v>56.29</v>
      </c>
      <c r="AN728" s="2204">
        <v>54.22</v>
      </c>
      <c r="AO728" s="2204">
        <v>54.22</v>
      </c>
      <c r="AP728" s="2204">
        <v>54.22</v>
      </c>
      <c r="AQ728" s="2204">
        <v>55.43</v>
      </c>
      <c r="AR728" s="2204">
        <v>55.43</v>
      </c>
      <c r="AS728" s="2204">
        <v>150.44</v>
      </c>
      <c r="AT728" s="2204">
        <v>150.44</v>
      </c>
      <c r="AU728" s="2204">
        <v>150.44</v>
      </c>
      <c r="AV728" s="2204">
        <v>154.66</v>
      </c>
      <c r="AW728" s="2204">
        <v>150.44</v>
      </c>
      <c r="AX728" s="2204">
        <v>150.44</v>
      </c>
      <c r="AY728" s="2204">
        <v>150.62</v>
      </c>
      <c r="AZ728" s="2204">
        <v>150.62</v>
      </c>
      <c r="BA728" s="2123">
        <v>64.66</v>
      </c>
      <c r="BB728" s="2123">
        <v>64.66</v>
      </c>
      <c r="BC728" s="2123">
        <v>15.23</v>
      </c>
      <c r="BD728" s="2123">
        <v>15.78</v>
      </c>
      <c r="BE728" s="2123">
        <v>20.02</v>
      </c>
      <c r="BF728" s="2123">
        <v>20.02</v>
      </c>
      <c r="BG728" s="2123">
        <v>15.28</v>
      </c>
      <c r="BH728" s="2123">
        <v>15.28</v>
      </c>
      <c r="BI728" s="2123">
        <v>15.13</v>
      </c>
      <c r="BJ728" s="2123">
        <v>15.13</v>
      </c>
      <c r="BK728" s="2123">
        <v>15.13</v>
      </c>
      <c r="BL728" s="2123">
        <v>15.13</v>
      </c>
      <c r="BM728" s="2123">
        <v>41.16</v>
      </c>
      <c r="BN728" s="2123">
        <v>41.16</v>
      </c>
      <c r="BO728" s="2123">
        <v>123.34</v>
      </c>
      <c r="BP728" s="2123">
        <v>123.34</v>
      </c>
      <c r="BQ728" s="2123">
        <v>123.34</v>
      </c>
      <c r="BR728" s="2123">
        <v>123.34</v>
      </c>
      <c r="BS728" s="2123">
        <v>148.78</v>
      </c>
      <c r="BT728" s="2123">
        <v>148.78</v>
      </c>
      <c r="BU728" s="2123">
        <v>148.78</v>
      </c>
      <c r="BV728" s="2123">
        <v>148.78</v>
      </c>
      <c r="BW728" s="2123">
        <v>148.78</v>
      </c>
      <c r="BX728" s="2123">
        <v>148.78</v>
      </c>
      <c r="BY728" s="2123">
        <v>37.39</v>
      </c>
      <c r="BZ728" s="2123">
        <v>37.39</v>
      </c>
      <c r="CA728" s="2123">
        <v>117.31</v>
      </c>
      <c r="CB728" s="2123">
        <v>117.31</v>
      </c>
      <c r="CC728" s="2123">
        <v>118.27</v>
      </c>
      <c r="CD728" s="2123">
        <v>118.27</v>
      </c>
      <c r="CE728" s="2123">
        <v>145.65</v>
      </c>
      <c r="CF728" s="2123">
        <v>145.65</v>
      </c>
      <c r="CG728" s="2123"/>
      <c r="CH728" s="2123"/>
      <c r="CI728" s="2123"/>
      <c r="CJ728" s="2123"/>
      <c r="CK728" s="2123">
        <v>96.23</v>
      </c>
      <c r="CL728" s="2123">
        <v>96.23</v>
      </c>
      <c r="CM728" s="2123">
        <v>198.73</v>
      </c>
      <c r="CN728" s="2123">
        <v>198.73</v>
      </c>
      <c r="CO728" s="2123">
        <v>239.03</v>
      </c>
      <c r="CP728" s="2123">
        <v>239.03</v>
      </c>
      <c r="CQ728" s="2123">
        <v>239.03</v>
      </c>
      <c r="CR728" s="2123">
        <v>239.03</v>
      </c>
      <c r="CS728" s="2123"/>
      <c r="CT728" s="2123"/>
      <c r="CU728" s="2123"/>
      <c r="CV728" s="2123"/>
      <c r="CW728" s="2123">
        <v>86.73</v>
      </c>
      <c r="CX728" s="2123">
        <v>86.73</v>
      </c>
      <c r="CY728" s="2123">
        <v>189.33</v>
      </c>
      <c r="CZ728" s="2123">
        <v>189.33</v>
      </c>
      <c r="DA728" s="2123">
        <v>189.33</v>
      </c>
      <c r="DB728" s="2123">
        <v>189.33</v>
      </c>
      <c r="DC728" s="2123">
        <v>227.84</v>
      </c>
      <c r="DD728" s="2123">
        <v>227.84</v>
      </c>
      <c r="DE728" s="2123">
        <v>227.84</v>
      </c>
      <c r="DF728" s="2123">
        <v>227.84</v>
      </c>
      <c r="DG728" s="2123"/>
      <c r="DH728" s="2123"/>
      <c r="DI728" s="2123">
        <v>22.94</v>
      </c>
      <c r="DJ728" s="2123">
        <v>22.94</v>
      </c>
      <c r="DK728" s="2123">
        <v>22.94</v>
      </c>
      <c r="DL728" s="2123">
        <v>22.94</v>
      </c>
      <c r="DM728" s="2123">
        <v>22.94</v>
      </c>
      <c r="DN728" s="2123">
        <v>22.94</v>
      </c>
      <c r="DO728" s="2123"/>
      <c r="DP728" s="2123"/>
      <c r="DQ728" s="2123"/>
      <c r="DR728" s="2123"/>
      <c r="DS728" s="2123"/>
      <c r="DT728" s="2123"/>
      <c r="DU728" s="2123">
        <v>10.27</v>
      </c>
      <c r="DV728" s="2123">
        <v>10.27</v>
      </c>
      <c r="DW728" s="2123">
        <v>9.15</v>
      </c>
      <c r="DX728" s="2123">
        <v>9.15</v>
      </c>
      <c r="DY728" s="2123">
        <v>9.15</v>
      </c>
      <c r="DZ728" s="2123">
        <v>9.15</v>
      </c>
      <c r="EA728" s="2123"/>
      <c r="EB728" s="2123"/>
      <c r="EC728" s="2123"/>
      <c r="ED728" s="2123"/>
      <c r="EE728" s="2123"/>
      <c r="EF728" s="2123"/>
      <c r="EG728" s="2123">
        <v>11.09</v>
      </c>
      <c r="EH728" s="2123">
        <v>11.38</v>
      </c>
      <c r="EI728" s="2123">
        <v>7.41</v>
      </c>
      <c r="EJ728" s="2123">
        <v>7.41</v>
      </c>
      <c r="EK728" s="2123">
        <v>7.36</v>
      </c>
      <c r="EL728" s="2123">
        <v>7.36</v>
      </c>
      <c r="EM728" s="2123">
        <v>8.16</v>
      </c>
      <c r="EN728" s="2123">
        <v>8.16</v>
      </c>
      <c r="EO728" s="2123">
        <v>7.58</v>
      </c>
      <c r="EP728" s="2123">
        <v>7.58</v>
      </c>
      <c r="EQ728" s="2123">
        <v>7.8</v>
      </c>
      <c r="ER728" s="2123">
        <v>7.89</v>
      </c>
      <c r="ES728" s="2123">
        <v>42.16</v>
      </c>
      <c r="ET728" s="2123">
        <v>42.16</v>
      </c>
      <c r="EU728" s="2123">
        <v>163.19</v>
      </c>
      <c r="EV728" s="2123">
        <v>163.19</v>
      </c>
      <c r="EW728" s="2123">
        <v>158.71</v>
      </c>
      <c r="EX728" s="2123">
        <v>158.71</v>
      </c>
      <c r="EY728" s="2129">
        <f t="shared" si="55"/>
        <v>160.94999999999999</v>
      </c>
      <c r="EZ728" s="2129">
        <f t="shared" si="55"/>
        <v>160.94999999999999</v>
      </c>
      <c r="FA728" s="2123">
        <v>164.18</v>
      </c>
      <c r="FB728" s="2123">
        <v>164.18</v>
      </c>
      <c r="FC728" s="2123"/>
      <c r="FD728" s="2123"/>
      <c r="FE728" s="2123">
        <v>35.950000000000003</v>
      </c>
      <c r="FF728" s="2123">
        <v>35.950000000000003</v>
      </c>
      <c r="FG728" s="2123">
        <v>135.33000000000001</v>
      </c>
      <c r="FH728" s="2123">
        <v>135.33000000000001</v>
      </c>
      <c r="FI728" s="2123">
        <v>135.33000000000001</v>
      </c>
      <c r="FJ728" s="2123">
        <v>135.33000000000001</v>
      </c>
      <c r="FK728" s="2123">
        <v>134.30000000000001</v>
      </c>
      <c r="FL728" s="2123">
        <v>134.30000000000001</v>
      </c>
      <c r="FM728" s="2123">
        <v>135.93</v>
      </c>
      <c r="FN728" s="2123">
        <v>135.93</v>
      </c>
      <c r="FO728" s="2123"/>
      <c r="FP728" s="2123"/>
      <c r="FQ728" s="2123">
        <v>81.22</v>
      </c>
      <c r="FR728" s="2123">
        <v>81.22</v>
      </c>
      <c r="FS728" s="2123">
        <v>155.66</v>
      </c>
      <c r="FT728" s="2123">
        <v>155.66</v>
      </c>
      <c r="FU728" s="2123">
        <v>155.66</v>
      </c>
      <c r="FV728" s="2123">
        <v>155.66</v>
      </c>
      <c r="FW728" s="2123">
        <v>156.72999999999999</v>
      </c>
      <c r="FX728" s="2123">
        <v>156.72999999999999</v>
      </c>
      <c r="FY728" s="2123"/>
      <c r="FZ728" s="2123"/>
      <c r="GA728" s="2123"/>
      <c r="GB728" s="2123"/>
      <c r="GC728" s="2123">
        <v>57.69</v>
      </c>
      <c r="GD728" s="2123">
        <v>57.69</v>
      </c>
      <c r="GE728" s="2123">
        <v>133.27000000000001</v>
      </c>
      <c r="GF728" s="2123">
        <v>133.27000000000001</v>
      </c>
      <c r="GG728" s="2123">
        <v>133.27000000000001</v>
      </c>
      <c r="GH728" s="2123">
        <v>133.27000000000001</v>
      </c>
      <c r="GI728" s="2123">
        <v>110.02</v>
      </c>
      <c r="GJ728" s="2123">
        <v>110.02</v>
      </c>
      <c r="GK728" s="2123">
        <v>145.13999999999999</v>
      </c>
      <c r="GL728" s="2123">
        <v>145.13999999999999</v>
      </c>
      <c r="GM728" s="2123"/>
      <c r="GN728" s="2123"/>
      <c r="GO728" s="2123">
        <v>30.79</v>
      </c>
      <c r="GP728" s="2123">
        <v>30.79</v>
      </c>
      <c r="GQ728" s="2123">
        <v>23.36</v>
      </c>
      <c r="GR728" s="2123">
        <v>23.36</v>
      </c>
      <c r="GS728" s="2123">
        <v>23.36</v>
      </c>
      <c r="GT728" s="2123">
        <v>22.41</v>
      </c>
      <c r="GU728" s="2123">
        <v>22.41</v>
      </c>
      <c r="GV728" s="2123">
        <v>23.17</v>
      </c>
      <c r="GW728" s="2123">
        <v>134.63999999999999</v>
      </c>
      <c r="GX728" s="2123">
        <v>134.63999999999999</v>
      </c>
      <c r="GY728" s="2123"/>
      <c r="GZ728" s="2123"/>
      <c r="HA728" s="2123">
        <v>21.5</v>
      </c>
      <c r="HB728" s="2123">
        <v>21.5</v>
      </c>
      <c r="HC728" s="2123">
        <v>12.99</v>
      </c>
      <c r="HD728" s="2123">
        <v>12.99</v>
      </c>
      <c r="HE728" s="2123">
        <v>14.05</v>
      </c>
      <c r="HF728" s="2123">
        <v>14.05</v>
      </c>
      <c r="HG728" s="2123">
        <v>14.05</v>
      </c>
      <c r="HH728" s="2123">
        <v>14.05</v>
      </c>
      <c r="HI728" s="2123">
        <v>14.05</v>
      </c>
      <c r="HJ728" s="2123">
        <v>14.05</v>
      </c>
      <c r="HK728" s="2123">
        <v>14.05</v>
      </c>
      <c r="HL728" s="2123">
        <v>14.59</v>
      </c>
      <c r="HM728" s="2123">
        <v>30.11</v>
      </c>
      <c r="HN728" s="2123">
        <v>30.11</v>
      </c>
      <c r="HO728" s="2123">
        <v>18.64</v>
      </c>
      <c r="HP728" s="2123">
        <v>18.64</v>
      </c>
      <c r="HQ728" s="2123">
        <v>20.170000000000002</v>
      </c>
      <c r="HR728" s="2123">
        <v>20.170000000000002</v>
      </c>
      <c r="HS728" s="2123">
        <v>20.170000000000002</v>
      </c>
      <c r="HT728" s="2123">
        <v>20.170000000000002</v>
      </c>
      <c r="HU728" s="2123">
        <v>20.170000000000002</v>
      </c>
      <c r="HV728" s="2123">
        <v>20.170000000000002</v>
      </c>
      <c r="HW728" s="2123">
        <v>20.079999999999998</v>
      </c>
      <c r="HX728" s="2123">
        <v>20.079999999999998</v>
      </c>
    </row>
    <row r="729" spans="2:232" s="2040" customFormat="1" ht="14" hidden="1" x14ac:dyDescent="0.3">
      <c r="B729" s="2203">
        <v>35</v>
      </c>
      <c r="C729" s="2204">
        <v>34.56</v>
      </c>
      <c r="D729" s="2204">
        <v>34.56</v>
      </c>
      <c r="E729" s="2204">
        <v>35.21</v>
      </c>
      <c r="F729" s="2204">
        <v>35.21</v>
      </c>
      <c r="G729" s="2204">
        <v>125.95</v>
      </c>
      <c r="H729" s="2204">
        <v>125.95</v>
      </c>
      <c r="I729" s="2204">
        <v>115.85</v>
      </c>
      <c r="J729" s="2204">
        <v>115.85</v>
      </c>
      <c r="K729" s="2204">
        <v>127.2</v>
      </c>
      <c r="L729" s="2204">
        <v>127.2</v>
      </c>
      <c r="M729" s="2204"/>
      <c r="N729" s="2204"/>
      <c r="O729" s="2204">
        <v>107.98</v>
      </c>
      <c r="P729" s="2204">
        <v>107.98</v>
      </c>
      <c r="Q729" s="2204">
        <v>108.67</v>
      </c>
      <c r="R729" s="2204">
        <v>107.99</v>
      </c>
      <c r="S729" s="2204">
        <v>176.63</v>
      </c>
      <c r="T729" s="2204">
        <v>176.63</v>
      </c>
      <c r="U729" s="2204">
        <v>170.49</v>
      </c>
      <c r="V729" s="2204">
        <v>170.49</v>
      </c>
      <c r="W729" s="2204">
        <v>176.63</v>
      </c>
      <c r="X729" s="2204">
        <v>176.63</v>
      </c>
      <c r="Y729" s="2204">
        <v>170.49</v>
      </c>
      <c r="Z729" s="2204">
        <v>176.63</v>
      </c>
      <c r="AA729" s="2204">
        <v>176.63</v>
      </c>
      <c r="AB729" s="2204">
        <v>176.63</v>
      </c>
      <c r="AC729" s="2204">
        <v>170.49</v>
      </c>
      <c r="AD729" s="2204">
        <v>170.49</v>
      </c>
      <c r="AE729" s="2204">
        <v>195.88</v>
      </c>
      <c r="AF729" s="2204">
        <v>190.32</v>
      </c>
      <c r="AG729" s="2204">
        <v>195.88</v>
      </c>
      <c r="AH729" s="2204">
        <v>195.88</v>
      </c>
      <c r="AI729" s="2204">
        <v>190.32</v>
      </c>
      <c r="AJ729" s="2204">
        <v>190.32</v>
      </c>
      <c r="AK729" s="2204">
        <v>191.8</v>
      </c>
      <c r="AL729" s="2204">
        <v>191.8</v>
      </c>
      <c r="AM729" s="2204">
        <v>57.17</v>
      </c>
      <c r="AN729" s="2204">
        <v>55.06</v>
      </c>
      <c r="AO729" s="2204">
        <v>55.06</v>
      </c>
      <c r="AP729" s="2204">
        <v>55.06</v>
      </c>
      <c r="AQ729" s="2204">
        <v>56.23</v>
      </c>
      <c r="AR729" s="2204">
        <v>56.23</v>
      </c>
      <c r="AS729" s="2204">
        <v>153.4</v>
      </c>
      <c r="AT729" s="2204">
        <v>153.4</v>
      </c>
      <c r="AU729" s="2204">
        <v>153.4</v>
      </c>
      <c r="AV729" s="2204">
        <v>157.63999999999999</v>
      </c>
      <c r="AW729" s="2204">
        <v>153.41999999999999</v>
      </c>
      <c r="AX729" s="2204">
        <v>153.41999999999999</v>
      </c>
      <c r="AY729" s="2204">
        <v>153.6</v>
      </c>
      <c r="AZ729" s="2204">
        <v>153.6</v>
      </c>
      <c r="BA729" s="2123">
        <v>65.98</v>
      </c>
      <c r="BB729" s="2123">
        <v>65.98</v>
      </c>
      <c r="BC729" s="2123">
        <v>15.6</v>
      </c>
      <c r="BD729" s="2123">
        <v>16.13</v>
      </c>
      <c r="BE729" s="2123">
        <v>20.34</v>
      </c>
      <c r="BF729" s="2123">
        <v>20.34</v>
      </c>
      <c r="BG729" s="2123">
        <v>15.65</v>
      </c>
      <c r="BH729" s="2123">
        <v>15.65</v>
      </c>
      <c r="BI729" s="2123">
        <v>15.5</v>
      </c>
      <c r="BJ729" s="2123">
        <v>15.5</v>
      </c>
      <c r="BK729" s="2123">
        <v>15.5</v>
      </c>
      <c r="BL729" s="2123">
        <v>15.5</v>
      </c>
      <c r="BM729" s="2123">
        <v>41.8</v>
      </c>
      <c r="BN729" s="2123">
        <v>41.8</v>
      </c>
      <c r="BO729" s="2123">
        <v>125.52</v>
      </c>
      <c r="BP729" s="2123">
        <v>125.52</v>
      </c>
      <c r="BQ729" s="2123">
        <v>125.52</v>
      </c>
      <c r="BR729" s="2123">
        <v>125.52</v>
      </c>
      <c r="BS729" s="2123">
        <v>151.94999999999999</v>
      </c>
      <c r="BT729" s="2123">
        <v>151.94999999999999</v>
      </c>
      <c r="BU729" s="2123">
        <v>151.94999999999999</v>
      </c>
      <c r="BV729" s="2123">
        <v>151.94999999999999</v>
      </c>
      <c r="BW729" s="2123">
        <v>151.94999999999999</v>
      </c>
      <c r="BX729" s="2123">
        <v>151.94999999999999</v>
      </c>
      <c r="BY729" s="2123">
        <v>37.97</v>
      </c>
      <c r="BZ729" s="2123">
        <v>37.97</v>
      </c>
      <c r="CA729" s="2123">
        <v>119.43</v>
      </c>
      <c r="CB729" s="2123">
        <v>119.43</v>
      </c>
      <c r="CC729" s="2123">
        <v>120.46</v>
      </c>
      <c r="CD729" s="2123">
        <v>120.46</v>
      </c>
      <c r="CE729" s="2123">
        <v>148.81</v>
      </c>
      <c r="CF729" s="2123">
        <v>148.81</v>
      </c>
      <c r="CG729" s="2123"/>
      <c r="CH729" s="2123"/>
      <c r="CI729" s="2123"/>
      <c r="CJ729" s="2123"/>
      <c r="CK729" s="2123">
        <v>97.5</v>
      </c>
      <c r="CL729" s="2123">
        <v>97.5</v>
      </c>
      <c r="CM729" s="2123">
        <v>201.21</v>
      </c>
      <c r="CN729" s="2123">
        <v>201.21</v>
      </c>
      <c r="CO729" s="2123">
        <v>242.85</v>
      </c>
      <c r="CP729" s="2123">
        <v>242.85</v>
      </c>
      <c r="CQ729" s="2123">
        <v>242.85</v>
      </c>
      <c r="CR729" s="2123">
        <v>242.85</v>
      </c>
      <c r="CS729" s="2123"/>
      <c r="CT729" s="2123"/>
      <c r="CU729" s="2123"/>
      <c r="CV729" s="2123"/>
      <c r="CW729" s="2123">
        <v>88.08</v>
      </c>
      <c r="CX729" s="2123">
        <v>88.08</v>
      </c>
      <c r="CY729" s="2123">
        <v>191.82</v>
      </c>
      <c r="CZ729" s="2123">
        <v>191.82</v>
      </c>
      <c r="DA729" s="2123">
        <v>191.82</v>
      </c>
      <c r="DB729" s="2123">
        <v>191.82</v>
      </c>
      <c r="DC729" s="2123">
        <v>231.64</v>
      </c>
      <c r="DD729" s="2123">
        <v>231.64</v>
      </c>
      <c r="DE729" s="2123">
        <v>231.64</v>
      </c>
      <c r="DF729" s="2123">
        <v>231.64</v>
      </c>
      <c r="DG729" s="2123"/>
      <c r="DH729" s="2123"/>
      <c r="DI729" s="2123">
        <v>23.29</v>
      </c>
      <c r="DJ729" s="2123">
        <v>23.29</v>
      </c>
      <c r="DK729" s="2123">
        <v>23.29</v>
      </c>
      <c r="DL729" s="2123">
        <v>23.29</v>
      </c>
      <c r="DM729" s="2123">
        <v>23.29</v>
      </c>
      <c r="DN729" s="2123">
        <v>23.29</v>
      </c>
      <c r="DO729" s="2123"/>
      <c r="DP729" s="2123"/>
      <c r="DQ729" s="2123"/>
      <c r="DR729" s="2123"/>
      <c r="DS729" s="2123"/>
      <c r="DT729" s="2123"/>
      <c r="DU729" s="2123">
        <v>10.43</v>
      </c>
      <c r="DV729" s="2123">
        <v>10.43</v>
      </c>
      <c r="DW729" s="2123">
        <v>9.32</v>
      </c>
      <c r="DX729" s="2123">
        <v>9.32</v>
      </c>
      <c r="DY729" s="2123">
        <v>9.32</v>
      </c>
      <c r="DZ729" s="2123">
        <v>9.32</v>
      </c>
      <c r="EA729" s="2123"/>
      <c r="EB729" s="2123"/>
      <c r="EC729" s="2123"/>
      <c r="ED729" s="2123"/>
      <c r="EE729" s="2123"/>
      <c r="EF729" s="2123"/>
      <c r="EG729" s="2123">
        <v>11.21</v>
      </c>
      <c r="EH729" s="2123">
        <v>11.5</v>
      </c>
      <c r="EI729" s="2123">
        <v>7.55</v>
      </c>
      <c r="EJ729" s="2123">
        <v>7.55</v>
      </c>
      <c r="EK729" s="2123">
        <v>7.51</v>
      </c>
      <c r="EL729" s="2123">
        <v>7.51</v>
      </c>
      <c r="EM729" s="2123">
        <v>8.3000000000000007</v>
      </c>
      <c r="EN729" s="2123">
        <v>8.3000000000000007</v>
      </c>
      <c r="EO729" s="2123">
        <v>7.72</v>
      </c>
      <c r="EP729" s="2123">
        <v>7.72</v>
      </c>
      <c r="EQ729" s="2123">
        <v>7.94</v>
      </c>
      <c r="ER729" s="2123">
        <v>8.02</v>
      </c>
      <c r="ES729" s="2123">
        <v>42.52</v>
      </c>
      <c r="ET729" s="2123">
        <v>42.52</v>
      </c>
      <c r="EU729" s="2123">
        <v>165.14</v>
      </c>
      <c r="EV729" s="2123">
        <v>165.14</v>
      </c>
      <c r="EW729" s="2123">
        <v>160.63999999999999</v>
      </c>
      <c r="EX729" s="2123">
        <v>160.63999999999999</v>
      </c>
      <c r="EY729" s="2129">
        <f t="shared" si="55"/>
        <v>162.88999999999999</v>
      </c>
      <c r="EZ729" s="2129">
        <f t="shared" si="55"/>
        <v>162.88999999999999</v>
      </c>
      <c r="FA729" s="2123">
        <v>166.07</v>
      </c>
      <c r="FB729" s="2123">
        <v>166.07</v>
      </c>
      <c r="FC729" s="2123"/>
      <c r="FD729" s="2123"/>
      <c r="FE729" s="2123">
        <v>36.450000000000003</v>
      </c>
      <c r="FF729" s="2123">
        <v>36.450000000000003</v>
      </c>
      <c r="FG729" s="2123">
        <v>137.97999999999999</v>
      </c>
      <c r="FH729" s="2123">
        <v>137.97999999999999</v>
      </c>
      <c r="FI729" s="2123">
        <v>137.97999999999999</v>
      </c>
      <c r="FJ729" s="2123">
        <v>137.97999999999999</v>
      </c>
      <c r="FK729" s="2123">
        <v>136.97</v>
      </c>
      <c r="FL729" s="2123">
        <v>136.97</v>
      </c>
      <c r="FM729" s="2123">
        <v>138.58000000000001</v>
      </c>
      <c r="FN729" s="2123">
        <v>138.58000000000001</v>
      </c>
      <c r="FO729" s="2123"/>
      <c r="FP729" s="2123"/>
      <c r="FQ729" s="2123">
        <v>82.44</v>
      </c>
      <c r="FR729" s="2123">
        <v>82.44</v>
      </c>
      <c r="FS729" s="2123">
        <v>158.32</v>
      </c>
      <c r="FT729" s="2123">
        <v>158.32</v>
      </c>
      <c r="FU729" s="2123">
        <v>158.32</v>
      </c>
      <c r="FV729" s="2123">
        <v>158.32</v>
      </c>
      <c r="FW729" s="2123">
        <v>159.37</v>
      </c>
      <c r="FX729" s="2123">
        <v>159.37</v>
      </c>
      <c r="FY729" s="2123"/>
      <c r="FZ729" s="2123"/>
      <c r="GA729" s="2123"/>
      <c r="GB729" s="2123"/>
      <c r="GC729" s="2123">
        <v>58.58</v>
      </c>
      <c r="GD729" s="2123">
        <v>58.58</v>
      </c>
      <c r="GE729" s="2123">
        <v>135.12</v>
      </c>
      <c r="GF729" s="2123">
        <v>135.12</v>
      </c>
      <c r="GG729" s="2123">
        <v>135.12</v>
      </c>
      <c r="GH729" s="2123">
        <v>135.12</v>
      </c>
      <c r="GI729" s="2123">
        <v>113.2</v>
      </c>
      <c r="GJ729" s="2123">
        <v>113.2</v>
      </c>
      <c r="GK729" s="2123">
        <v>148.13</v>
      </c>
      <c r="GL729" s="2123">
        <v>148.13</v>
      </c>
      <c r="GM729" s="2123"/>
      <c r="GN729" s="2123"/>
      <c r="GO729" s="2123">
        <v>31.26</v>
      </c>
      <c r="GP729" s="2123">
        <v>31.26</v>
      </c>
      <c r="GQ729" s="2123">
        <v>23.89</v>
      </c>
      <c r="GR729" s="2123">
        <v>23.89</v>
      </c>
      <c r="GS729" s="2123">
        <v>23.89</v>
      </c>
      <c r="GT729" s="2123">
        <v>22.92</v>
      </c>
      <c r="GU729" s="2123">
        <v>22.92</v>
      </c>
      <c r="GV729" s="2123">
        <v>23.66</v>
      </c>
      <c r="GW729" s="2123">
        <v>137.59</v>
      </c>
      <c r="GX729" s="2123">
        <v>137.59</v>
      </c>
      <c r="GY729" s="2123"/>
      <c r="GZ729" s="2123"/>
      <c r="HA729" s="2123">
        <v>21.83</v>
      </c>
      <c r="HB729" s="2123">
        <v>21.83</v>
      </c>
      <c r="HC729" s="2123">
        <v>13.36</v>
      </c>
      <c r="HD729" s="2123">
        <v>13.36</v>
      </c>
      <c r="HE729" s="2123">
        <v>14.41</v>
      </c>
      <c r="HF729" s="2123">
        <v>14.41</v>
      </c>
      <c r="HG729" s="2123">
        <v>14.41</v>
      </c>
      <c r="HH729" s="2123">
        <v>14.41</v>
      </c>
      <c r="HI729" s="2123">
        <v>14.41</v>
      </c>
      <c r="HJ729" s="2123">
        <v>14.41</v>
      </c>
      <c r="HK729" s="2123">
        <v>14.42</v>
      </c>
      <c r="HL729" s="2123">
        <v>14.94</v>
      </c>
      <c r="HM729" s="2123">
        <v>30.58</v>
      </c>
      <c r="HN729" s="2123">
        <v>30.58</v>
      </c>
      <c r="HO729" s="2123">
        <v>19.16</v>
      </c>
      <c r="HP729" s="2123">
        <v>19.16</v>
      </c>
      <c r="HQ729" s="2123">
        <v>20.67</v>
      </c>
      <c r="HR729" s="2123">
        <v>20.67</v>
      </c>
      <c r="HS729" s="2123">
        <v>20.67</v>
      </c>
      <c r="HT729" s="2123">
        <v>20.67</v>
      </c>
      <c r="HU729" s="2123">
        <v>20.67</v>
      </c>
      <c r="HV729" s="2123">
        <v>20.67</v>
      </c>
      <c r="HW729" s="2123">
        <v>20.59</v>
      </c>
      <c r="HX729" s="2123">
        <v>20.59</v>
      </c>
    </row>
    <row r="730" spans="2:232" s="2040" customFormat="1" ht="14" hidden="1" x14ac:dyDescent="0.3">
      <c r="B730" s="2203">
        <v>36</v>
      </c>
      <c r="C730" s="2204">
        <v>35.06</v>
      </c>
      <c r="D730" s="2204">
        <v>35.06</v>
      </c>
      <c r="E730" s="2204">
        <v>35.68</v>
      </c>
      <c r="F730" s="2204">
        <v>35.68</v>
      </c>
      <c r="G730" s="2204">
        <v>128.16999999999999</v>
      </c>
      <c r="H730" s="2204">
        <v>128.16999999999999</v>
      </c>
      <c r="I730" s="2204">
        <v>118.07</v>
      </c>
      <c r="J730" s="2204">
        <v>118.07</v>
      </c>
      <c r="K730" s="2204">
        <v>129.15</v>
      </c>
      <c r="L730" s="2204">
        <v>129.15</v>
      </c>
      <c r="M730" s="2204"/>
      <c r="N730" s="2204"/>
      <c r="O730" s="2204">
        <v>109.57</v>
      </c>
      <c r="P730" s="2204">
        <v>109.57</v>
      </c>
      <c r="Q730" s="2204">
        <v>110.2</v>
      </c>
      <c r="R730" s="2204">
        <v>109.58</v>
      </c>
      <c r="S730" s="2204">
        <v>180.35</v>
      </c>
      <c r="T730" s="2204">
        <v>180.35</v>
      </c>
      <c r="U730" s="2204">
        <v>174.08</v>
      </c>
      <c r="V730" s="2204">
        <v>174.08</v>
      </c>
      <c r="W730" s="2204">
        <v>180.35</v>
      </c>
      <c r="X730" s="2204">
        <v>180.35</v>
      </c>
      <c r="Y730" s="2204">
        <v>174.08</v>
      </c>
      <c r="Z730" s="2204">
        <v>180.35</v>
      </c>
      <c r="AA730" s="2204">
        <v>180.35</v>
      </c>
      <c r="AB730" s="2204">
        <v>180.35</v>
      </c>
      <c r="AC730" s="2204">
        <v>174.08</v>
      </c>
      <c r="AD730" s="2204">
        <v>174.08</v>
      </c>
      <c r="AE730" s="2204">
        <v>199.45</v>
      </c>
      <c r="AF730" s="2204">
        <v>193.79</v>
      </c>
      <c r="AG730" s="2204">
        <v>199.45</v>
      </c>
      <c r="AH730" s="2204">
        <v>199.45</v>
      </c>
      <c r="AI730" s="2204">
        <v>193.79</v>
      </c>
      <c r="AJ730" s="2204">
        <v>193.79</v>
      </c>
      <c r="AK730" s="2204">
        <v>195.21</v>
      </c>
      <c r="AL730" s="2204">
        <v>195.21</v>
      </c>
      <c r="AM730" s="2204">
        <v>58</v>
      </c>
      <c r="AN730" s="2204">
        <v>55.87</v>
      </c>
      <c r="AO730" s="2204">
        <v>55.87</v>
      </c>
      <c r="AP730" s="2204">
        <v>55.87</v>
      </c>
      <c r="AQ730" s="2204">
        <v>56.99</v>
      </c>
      <c r="AR730" s="2204">
        <v>56.99</v>
      </c>
      <c r="AS730" s="2204">
        <v>156.24</v>
      </c>
      <c r="AT730" s="2204">
        <v>156.24</v>
      </c>
      <c r="AU730" s="2204">
        <v>156.24</v>
      </c>
      <c r="AV730" s="2204">
        <v>160.52000000000001</v>
      </c>
      <c r="AW730" s="2204">
        <v>156.30000000000001</v>
      </c>
      <c r="AX730" s="2204">
        <v>156.30000000000001</v>
      </c>
      <c r="AY730" s="2204">
        <v>156.47</v>
      </c>
      <c r="AZ730" s="2204">
        <v>156.47</v>
      </c>
      <c r="BA730" s="2123">
        <v>67.25</v>
      </c>
      <c r="BB730" s="2123">
        <v>67.25</v>
      </c>
      <c r="BC730" s="2123">
        <v>15.95</v>
      </c>
      <c r="BD730" s="2123">
        <v>16.46</v>
      </c>
      <c r="BE730" s="2123">
        <v>20.65</v>
      </c>
      <c r="BF730" s="2123">
        <v>20.65</v>
      </c>
      <c r="BG730" s="2123">
        <v>16</v>
      </c>
      <c r="BH730" s="2123">
        <v>16</v>
      </c>
      <c r="BI730" s="2123">
        <v>15.85</v>
      </c>
      <c r="BJ730" s="2123">
        <v>15.85</v>
      </c>
      <c r="BK730" s="2123">
        <v>15.85</v>
      </c>
      <c r="BL730" s="2123">
        <v>15.85</v>
      </c>
      <c r="BM730" s="2123">
        <v>42.41</v>
      </c>
      <c r="BN730" s="2123">
        <v>42.41</v>
      </c>
      <c r="BO730" s="2123">
        <v>127.62</v>
      </c>
      <c r="BP730" s="2123">
        <v>127.62</v>
      </c>
      <c r="BQ730" s="2123">
        <v>127.62</v>
      </c>
      <c r="BR730" s="2123">
        <v>127.62</v>
      </c>
      <c r="BS730" s="2123">
        <v>155.01</v>
      </c>
      <c r="BT730" s="2123">
        <v>155.01</v>
      </c>
      <c r="BU730" s="2123">
        <v>155.01</v>
      </c>
      <c r="BV730" s="2123">
        <v>155.01</v>
      </c>
      <c r="BW730" s="2123">
        <v>155.01</v>
      </c>
      <c r="BX730" s="2123">
        <v>155.01</v>
      </c>
      <c r="BY730" s="2123">
        <v>38.53</v>
      </c>
      <c r="BZ730" s="2123">
        <v>38.53</v>
      </c>
      <c r="CA730" s="2123">
        <v>121.47</v>
      </c>
      <c r="CB730" s="2123">
        <v>121.47</v>
      </c>
      <c r="CC730" s="2123">
        <v>122.57</v>
      </c>
      <c r="CD730" s="2123">
        <v>122.57</v>
      </c>
      <c r="CE730" s="2123">
        <v>151.86000000000001</v>
      </c>
      <c r="CF730" s="2123">
        <v>151.86000000000001</v>
      </c>
      <c r="CG730" s="2123"/>
      <c r="CH730" s="2123"/>
      <c r="CI730" s="2123"/>
      <c r="CJ730" s="2123"/>
      <c r="CK730" s="2123">
        <v>98.72</v>
      </c>
      <c r="CL730" s="2123">
        <v>98.72</v>
      </c>
      <c r="CM730" s="2123">
        <v>203.58</v>
      </c>
      <c r="CN730" s="2123">
        <v>203.58</v>
      </c>
      <c r="CO730" s="2123">
        <v>246.53</v>
      </c>
      <c r="CP730" s="2123">
        <v>246.53</v>
      </c>
      <c r="CQ730" s="2123">
        <v>246.53</v>
      </c>
      <c r="CR730" s="2123">
        <v>246.53</v>
      </c>
      <c r="CS730" s="2123"/>
      <c r="CT730" s="2123"/>
      <c r="CU730" s="2123"/>
      <c r="CV730" s="2123"/>
      <c r="CW730" s="2123">
        <v>89.37</v>
      </c>
      <c r="CX730" s="2123">
        <v>89.37</v>
      </c>
      <c r="CY730" s="2123">
        <v>194.21</v>
      </c>
      <c r="CZ730" s="2123">
        <v>194.21</v>
      </c>
      <c r="DA730" s="2123">
        <v>194.21</v>
      </c>
      <c r="DB730" s="2123">
        <v>194.21</v>
      </c>
      <c r="DC730" s="2123">
        <v>235.3</v>
      </c>
      <c r="DD730" s="2123">
        <v>235.3</v>
      </c>
      <c r="DE730" s="2123">
        <v>235.3</v>
      </c>
      <c r="DF730" s="2123">
        <v>235.3</v>
      </c>
      <c r="DG730" s="2123"/>
      <c r="DH730" s="2123"/>
      <c r="DI730" s="2123">
        <v>23.63</v>
      </c>
      <c r="DJ730" s="2123">
        <v>23.63</v>
      </c>
      <c r="DK730" s="2123">
        <v>23.63</v>
      </c>
      <c r="DL730" s="2123">
        <v>23.63</v>
      </c>
      <c r="DM730" s="2123">
        <v>23.63</v>
      </c>
      <c r="DN730" s="2123">
        <v>23.63</v>
      </c>
      <c r="DO730" s="2123"/>
      <c r="DP730" s="2123"/>
      <c r="DQ730" s="2123"/>
      <c r="DR730" s="2123"/>
      <c r="DS730" s="2123"/>
      <c r="DT730" s="2123"/>
      <c r="DU730" s="2123">
        <v>10.58</v>
      </c>
      <c r="DV730" s="2123">
        <v>10.58</v>
      </c>
      <c r="DW730" s="2123">
        <v>9.49</v>
      </c>
      <c r="DX730" s="2123">
        <v>9.49</v>
      </c>
      <c r="DY730" s="2123">
        <v>9.49</v>
      </c>
      <c r="DZ730" s="2123">
        <v>9.49</v>
      </c>
      <c r="EA730" s="2123"/>
      <c r="EB730" s="2123"/>
      <c r="EC730" s="2123"/>
      <c r="ED730" s="2123"/>
      <c r="EE730" s="2123"/>
      <c r="EF730" s="2123"/>
      <c r="EG730" s="2123">
        <v>11.36</v>
      </c>
      <c r="EH730" s="2123">
        <v>11.64</v>
      </c>
      <c r="EI730" s="2123">
        <v>7.71</v>
      </c>
      <c r="EJ730" s="2123">
        <v>7.71</v>
      </c>
      <c r="EK730" s="2123">
        <v>7.68</v>
      </c>
      <c r="EL730" s="2123">
        <v>7.68</v>
      </c>
      <c r="EM730" s="2123">
        <v>8.4700000000000006</v>
      </c>
      <c r="EN730" s="2123">
        <v>8.4700000000000006</v>
      </c>
      <c r="EO730" s="2123">
        <v>7.88</v>
      </c>
      <c r="EP730" s="2123">
        <v>7.88</v>
      </c>
      <c r="EQ730" s="2123">
        <v>8.1</v>
      </c>
      <c r="ER730" s="2123">
        <v>8.18</v>
      </c>
      <c r="ES730" s="2123">
        <v>43.19</v>
      </c>
      <c r="ET730" s="2123">
        <v>43.19</v>
      </c>
      <c r="EU730" s="2123">
        <v>168.79</v>
      </c>
      <c r="EV730" s="2123">
        <v>168.79</v>
      </c>
      <c r="EW730" s="2123">
        <v>164.25</v>
      </c>
      <c r="EX730" s="2123">
        <v>164.25</v>
      </c>
      <c r="EY730" s="2129">
        <f t="shared" si="55"/>
        <v>166.51999999999998</v>
      </c>
      <c r="EZ730" s="2129">
        <f t="shared" si="55"/>
        <v>166.51999999999998</v>
      </c>
      <c r="FA730" s="2123">
        <v>169.62</v>
      </c>
      <c r="FB730" s="2123">
        <v>169.62</v>
      </c>
      <c r="FC730" s="2123"/>
      <c r="FD730" s="2123"/>
      <c r="FE730" s="2123">
        <v>37.049999999999997</v>
      </c>
      <c r="FF730" s="2123">
        <v>37.049999999999997</v>
      </c>
      <c r="FG730" s="2123">
        <v>141.16999999999999</v>
      </c>
      <c r="FH730" s="2123">
        <v>141.16999999999999</v>
      </c>
      <c r="FI730" s="2123">
        <v>141.16999999999999</v>
      </c>
      <c r="FJ730" s="2123">
        <v>141.16999999999999</v>
      </c>
      <c r="FK730" s="2123">
        <v>140.19</v>
      </c>
      <c r="FL730" s="2123">
        <v>140.19</v>
      </c>
      <c r="FM730" s="2123">
        <v>141.77000000000001</v>
      </c>
      <c r="FN730" s="2123">
        <v>141.77000000000001</v>
      </c>
      <c r="FO730" s="2123"/>
      <c r="FP730" s="2123"/>
      <c r="FQ730" s="2123">
        <v>83.58</v>
      </c>
      <c r="FR730" s="2123">
        <v>83.58</v>
      </c>
      <c r="FS730" s="2123">
        <v>160.84</v>
      </c>
      <c r="FT730" s="2123">
        <v>160.84</v>
      </c>
      <c r="FU730" s="2123">
        <v>160.84</v>
      </c>
      <c r="FV730" s="2123">
        <v>160.84</v>
      </c>
      <c r="FW730" s="2123">
        <v>161.87</v>
      </c>
      <c r="FX730" s="2123">
        <v>161.87</v>
      </c>
      <c r="FY730" s="2123"/>
      <c r="FZ730" s="2123"/>
      <c r="GA730" s="2123"/>
      <c r="GB730" s="2123"/>
      <c r="GC730" s="2123">
        <v>59.31</v>
      </c>
      <c r="GD730" s="2123">
        <v>59.31</v>
      </c>
      <c r="GE730" s="2123">
        <v>136.63999999999999</v>
      </c>
      <c r="GF730" s="2123">
        <v>136.63999999999999</v>
      </c>
      <c r="GG730" s="2123">
        <v>136.63999999999999</v>
      </c>
      <c r="GH730" s="2123">
        <v>136.63999999999999</v>
      </c>
      <c r="GI730" s="2123">
        <v>115.85</v>
      </c>
      <c r="GJ730" s="2123">
        <v>115.85</v>
      </c>
      <c r="GK730" s="2123">
        <v>150.6</v>
      </c>
      <c r="GL730" s="2123">
        <v>150.6</v>
      </c>
      <c r="GM730" s="2123"/>
      <c r="GN730" s="2123"/>
      <c r="GO730" s="2123">
        <v>31.74</v>
      </c>
      <c r="GP730" s="2123">
        <v>31.74</v>
      </c>
      <c r="GQ730" s="2123">
        <v>24.4</v>
      </c>
      <c r="GR730" s="2123">
        <v>24.4</v>
      </c>
      <c r="GS730" s="2123">
        <v>24.4</v>
      </c>
      <c r="GT730" s="2123">
        <v>23.42</v>
      </c>
      <c r="GU730" s="2123">
        <v>23.42</v>
      </c>
      <c r="GV730" s="2123">
        <v>24.13</v>
      </c>
      <c r="GW730" s="2123">
        <v>140.43</v>
      </c>
      <c r="GX730" s="2123">
        <v>140.43</v>
      </c>
      <c r="GY730" s="2123"/>
      <c r="GZ730" s="2123"/>
      <c r="HA730" s="2123">
        <v>22.15</v>
      </c>
      <c r="HB730" s="2123">
        <v>22.15</v>
      </c>
      <c r="HC730" s="2123">
        <v>13.72</v>
      </c>
      <c r="HD730" s="2123">
        <v>13.72</v>
      </c>
      <c r="HE730" s="2123">
        <v>14.76</v>
      </c>
      <c r="HF730" s="2123">
        <v>14.76</v>
      </c>
      <c r="HG730" s="2123">
        <v>14.76</v>
      </c>
      <c r="HH730" s="2123">
        <v>14.76</v>
      </c>
      <c r="HI730" s="2123">
        <v>14.76</v>
      </c>
      <c r="HJ730" s="2123">
        <v>14.76</v>
      </c>
      <c r="HK730" s="2123">
        <v>14.77</v>
      </c>
      <c r="HL730" s="2123">
        <v>15.28</v>
      </c>
      <c r="HM730" s="2123">
        <v>31.02</v>
      </c>
      <c r="HN730" s="2123">
        <v>31.02</v>
      </c>
      <c r="HO730" s="2123">
        <v>19.66</v>
      </c>
      <c r="HP730" s="2123">
        <v>19.66</v>
      </c>
      <c r="HQ730" s="2123">
        <v>21.16</v>
      </c>
      <c r="HR730" s="2123">
        <v>21.16</v>
      </c>
      <c r="HS730" s="2123">
        <v>21.16</v>
      </c>
      <c r="HT730" s="2123">
        <v>21.16</v>
      </c>
      <c r="HU730" s="2123">
        <v>21.16</v>
      </c>
      <c r="HV730" s="2123">
        <v>21.16</v>
      </c>
      <c r="HW730" s="2123">
        <v>21.09</v>
      </c>
      <c r="HX730" s="2123">
        <v>21.09</v>
      </c>
    </row>
    <row r="731" spans="2:232" s="2040" customFormat="1" ht="14" hidden="1" x14ac:dyDescent="0.3">
      <c r="B731" s="2203">
        <v>37</v>
      </c>
      <c r="C731" s="2204">
        <v>35.549999999999997</v>
      </c>
      <c r="D731" s="2204">
        <v>35.549999999999997</v>
      </c>
      <c r="E731" s="2204">
        <v>36.14</v>
      </c>
      <c r="F731" s="2204">
        <v>36.14</v>
      </c>
      <c r="G731" s="2204">
        <v>130.32</v>
      </c>
      <c r="H731" s="2204">
        <v>130.32</v>
      </c>
      <c r="I731" s="2204">
        <v>120.21</v>
      </c>
      <c r="J731" s="2204">
        <v>120.21</v>
      </c>
      <c r="K731" s="2204">
        <v>131.03</v>
      </c>
      <c r="L731" s="2204">
        <v>131.03</v>
      </c>
      <c r="M731" s="2204"/>
      <c r="N731" s="2204"/>
      <c r="O731" s="2204">
        <v>111.1</v>
      </c>
      <c r="P731" s="2204">
        <v>111.1</v>
      </c>
      <c r="Q731" s="2204">
        <v>111.66</v>
      </c>
      <c r="R731" s="2204">
        <v>111.11</v>
      </c>
      <c r="S731" s="2204">
        <v>183.95</v>
      </c>
      <c r="T731" s="2204">
        <v>183.95</v>
      </c>
      <c r="U731" s="2204">
        <v>177.55</v>
      </c>
      <c r="V731" s="2204">
        <v>177.55</v>
      </c>
      <c r="W731" s="2204">
        <v>183.95</v>
      </c>
      <c r="X731" s="2204">
        <v>183.95</v>
      </c>
      <c r="Y731" s="2204">
        <v>177.55</v>
      </c>
      <c r="Z731" s="2204">
        <v>183.95</v>
      </c>
      <c r="AA731" s="2204">
        <v>183.95</v>
      </c>
      <c r="AB731" s="2204">
        <v>183.95</v>
      </c>
      <c r="AC731" s="2204">
        <v>177.55</v>
      </c>
      <c r="AD731" s="2204">
        <v>177.55</v>
      </c>
      <c r="AE731" s="2204">
        <v>202.89</v>
      </c>
      <c r="AF731" s="2204">
        <v>197.13</v>
      </c>
      <c r="AG731" s="2204">
        <v>202.89</v>
      </c>
      <c r="AH731" s="2204">
        <v>202.89</v>
      </c>
      <c r="AI731" s="2204">
        <v>197.13</v>
      </c>
      <c r="AJ731" s="2204">
        <v>197.13</v>
      </c>
      <c r="AK731" s="2204">
        <v>198.5</v>
      </c>
      <c r="AL731" s="2204">
        <v>198.5</v>
      </c>
      <c r="AM731" s="2204">
        <v>58.81</v>
      </c>
      <c r="AN731" s="2204">
        <v>56.64</v>
      </c>
      <c r="AO731" s="2204">
        <v>56.64</v>
      </c>
      <c r="AP731" s="2204">
        <v>56.64</v>
      </c>
      <c r="AQ731" s="2204">
        <v>57.72</v>
      </c>
      <c r="AR731" s="2204">
        <v>57.72</v>
      </c>
      <c r="AS731" s="2204">
        <v>158.97999999999999</v>
      </c>
      <c r="AT731" s="2204">
        <v>158.97999999999999</v>
      </c>
      <c r="AU731" s="2204">
        <v>158.97999999999999</v>
      </c>
      <c r="AV731" s="2204">
        <v>163.29</v>
      </c>
      <c r="AW731" s="2204">
        <v>159.06</v>
      </c>
      <c r="AX731" s="2204">
        <v>159.06</v>
      </c>
      <c r="AY731" s="2204">
        <v>159.24</v>
      </c>
      <c r="AZ731" s="2204">
        <v>159.24</v>
      </c>
      <c r="BA731" s="2123">
        <v>68.47</v>
      </c>
      <c r="BB731" s="2123">
        <v>68.47</v>
      </c>
      <c r="BC731" s="2123">
        <v>16.3</v>
      </c>
      <c r="BD731" s="2123">
        <v>16.79</v>
      </c>
      <c r="BE731" s="2123">
        <v>20.94</v>
      </c>
      <c r="BF731" s="2123">
        <v>20.94</v>
      </c>
      <c r="BG731" s="2123">
        <v>16.350000000000001</v>
      </c>
      <c r="BH731" s="2123">
        <v>16.350000000000001</v>
      </c>
      <c r="BI731" s="2123">
        <v>16.2</v>
      </c>
      <c r="BJ731" s="2123">
        <v>16.2</v>
      </c>
      <c r="BK731" s="2123">
        <v>16.2</v>
      </c>
      <c r="BL731" s="2123">
        <v>16.2</v>
      </c>
      <c r="BM731" s="2123">
        <v>43</v>
      </c>
      <c r="BN731" s="2123">
        <v>43</v>
      </c>
      <c r="BO731" s="2123">
        <v>129.65</v>
      </c>
      <c r="BP731" s="2123">
        <v>129.65</v>
      </c>
      <c r="BQ731" s="2123">
        <v>129.65</v>
      </c>
      <c r="BR731" s="2123">
        <v>129.65</v>
      </c>
      <c r="BS731" s="2123">
        <v>157.97</v>
      </c>
      <c r="BT731" s="2123">
        <v>157.97</v>
      </c>
      <c r="BU731" s="2123">
        <v>157.97</v>
      </c>
      <c r="BV731" s="2123">
        <v>157.97</v>
      </c>
      <c r="BW731" s="2123">
        <v>157.97</v>
      </c>
      <c r="BX731" s="2123">
        <v>157.97</v>
      </c>
      <c r="BY731" s="2123">
        <v>39.06</v>
      </c>
      <c r="BZ731" s="2123">
        <v>39.06</v>
      </c>
      <c r="CA731" s="2123">
        <v>123.43</v>
      </c>
      <c r="CB731" s="2123">
        <v>123.43</v>
      </c>
      <c r="CC731" s="2123">
        <v>124.6</v>
      </c>
      <c r="CD731" s="2123">
        <v>124.6</v>
      </c>
      <c r="CE731" s="2123">
        <v>154.81</v>
      </c>
      <c r="CF731" s="2123">
        <v>154.81</v>
      </c>
      <c r="CG731" s="2123"/>
      <c r="CH731" s="2123"/>
      <c r="CI731" s="2123"/>
      <c r="CJ731" s="2123"/>
      <c r="CK731" s="2123">
        <v>99.89</v>
      </c>
      <c r="CL731" s="2123">
        <v>99.89</v>
      </c>
      <c r="CM731" s="2123">
        <v>205.86</v>
      </c>
      <c r="CN731" s="2123">
        <v>205.86</v>
      </c>
      <c r="CO731" s="2123">
        <v>250.06</v>
      </c>
      <c r="CP731" s="2123">
        <v>250.06</v>
      </c>
      <c r="CQ731" s="2123">
        <v>250.06</v>
      </c>
      <c r="CR731" s="2123">
        <v>250.06</v>
      </c>
      <c r="CS731" s="2123"/>
      <c r="CT731" s="2123"/>
      <c r="CU731" s="2123"/>
      <c r="CV731" s="2123"/>
      <c r="CW731" s="2123">
        <v>90.62</v>
      </c>
      <c r="CX731" s="2123">
        <v>90.62</v>
      </c>
      <c r="CY731" s="2123">
        <v>196.5</v>
      </c>
      <c r="CZ731" s="2123">
        <v>196.5</v>
      </c>
      <c r="DA731" s="2123">
        <v>196.5</v>
      </c>
      <c r="DB731" s="2123">
        <v>196.5</v>
      </c>
      <c r="DC731" s="2123">
        <v>238.81</v>
      </c>
      <c r="DD731" s="2123">
        <v>238.81</v>
      </c>
      <c r="DE731" s="2123">
        <v>238.81</v>
      </c>
      <c r="DF731" s="2123">
        <v>238.81</v>
      </c>
      <c r="DG731" s="2123"/>
      <c r="DH731" s="2123"/>
      <c r="DI731" s="2123">
        <v>23.96</v>
      </c>
      <c r="DJ731" s="2123">
        <v>23.96</v>
      </c>
      <c r="DK731" s="2123">
        <v>23.96</v>
      </c>
      <c r="DL731" s="2123">
        <v>23.96</v>
      </c>
      <c r="DM731" s="2123">
        <v>23.96</v>
      </c>
      <c r="DN731" s="2123">
        <v>23.96</v>
      </c>
      <c r="DO731" s="2123"/>
      <c r="DP731" s="2123"/>
      <c r="DQ731" s="2123"/>
      <c r="DR731" s="2123"/>
      <c r="DS731" s="2123"/>
      <c r="DT731" s="2123"/>
      <c r="DU731" s="2123">
        <v>10.72</v>
      </c>
      <c r="DV731" s="2123">
        <v>10.72</v>
      </c>
      <c r="DW731" s="2123">
        <v>9.66</v>
      </c>
      <c r="DX731" s="2123">
        <v>9.66</v>
      </c>
      <c r="DY731" s="2123">
        <v>9.66</v>
      </c>
      <c r="DZ731" s="2123">
        <v>9.66</v>
      </c>
      <c r="EA731" s="2123"/>
      <c r="EB731" s="2123"/>
      <c r="EC731" s="2123"/>
      <c r="ED731" s="2123"/>
      <c r="EE731" s="2123"/>
      <c r="EF731" s="2123"/>
      <c r="EG731" s="2123">
        <v>11.51</v>
      </c>
      <c r="EH731" s="2123">
        <v>11.78</v>
      </c>
      <c r="EI731" s="2123">
        <v>7.89</v>
      </c>
      <c r="EJ731" s="2123">
        <v>7.89</v>
      </c>
      <c r="EK731" s="2123">
        <v>7.85</v>
      </c>
      <c r="EL731" s="2123">
        <v>7.85</v>
      </c>
      <c r="EM731" s="2123">
        <v>8.64</v>
      </c>
      <c r="EN731" s="2123">
        <v>8.64</v>
      </c>
      <c r="EO731" s="2123">
        <v>8.0500000000000007</v>
      </c>
      <c r="EP731" s="2123">
        <v>8.0500000000000007</v>
      </c>
      <c r="EQ731" s="2123">
        <v>8.2799999999999994</v>
      </c>
      <c r="ER731" s="2123">
        <v>8.35</v>
      </c>
      <c r="ES731" s="2123">
        <v>43.79</v>
      </c>
      <c r="ET731" s="2123">
        <v>43.79</v>
      </c>
      <c r="EU731" s="2123">
        <v>172.07</v>
      </c>
      <c r="EV731" s="2123">
        <v>172.07</v>
      </c>
      <c r="EW731" s="2123">
        <v>167.49</v>
      </c>
      <c r="EX731" s="2123">
        <v>167.49</v>
      </c>
      <c r="EY731" s="2129">
        <f t="shared" si="55"/>
        <v>169.78</v>
      </c>
      <c r="EZ731" s="2129">
        <f t="shared" si="55"/>
        <v>169.78</v>
      </c>
      <c r="FA731" s="2123">
        <v>172.8</v>
      </c>
      <c r="FB731" s="2123">
        <v>172.8</v>
      </c>
      <c r="FC731" s="2123"/>
      <c r="FD731" s="2123"/>
      <c r="FE731" s="2123">
        <v>37.57</v>
      </c>
      <c r="FF731" s="2123">
        <v>37.57</v>
      </c>
      <c r="FG731" s="2123">
        <v>143.97</v>
      </c>
      <c r="FH731" s="2123">
        <v>143.97</v>
      </c>
      <c r="FI731" s="2123">
        <v>143.97</v>
      </c>
      <c r="FJ731" s="2123">
        <v>147.66999999999999</v>
      </c>
      <c r="FK731" s="2123">
        <v>143.01</v>
      </c>
      <c r="FL731" s="2123">
        <v>143.01</v>
      </c>
      <c r="FM731" s="2123">
        <v>144.56</v>
      </c>
      <c r="FN731" s="2123">
        <v>144.56</v>
      </c>
      <c r="FO731" s="2123"/>
      <c r="FP731" s="2123"/>
      <c r="FQ731" s="2123">
        <v>84.76</v>
      </c>
      <c r="FR731" s="2123">
        <v>84.76</v>
      </c>
      <c r="FS731" s="2123">
        <v>163.44</v>
      </c>
      <c r="FT731" s="2123">
        <v>163.44</v>
      </c>
      <c r="FU731" s="2123">
        <v>163.44</v>
      </c>
      <c r="FV731" s="2123">
        <v>163.44</v>
      </c>
      <c r="FW731" s="2123">
        <v>164.45</v>
      </c>
      <c r="FX731" s="2123">
        <v>164.45</v>
      </c>
      <c r="FY731" s="2123"/>
      <c r="FZ731" s="2123"/>
      <c r="GA731" s="2123"/>
      <c r="GB731" s="2123"/>
      <c r="GC731" s="2123">
        <v>60.13</v>
      </c>
      <c r="GD731" s="2123">
        <v>60.13</v>
      </c>
      <c r="GE731" s="2123">
        <v>138.34</v>
      </c>
      <c r="GF731" s="2123">
        <v>138.34</v>
      </c>
      <c r="GG731" s="2123">
        <v>138.34</v>
      </c>
      <c r="GH731" s="2123">
        <v>138.34</v>
      </c>
      <c r="GI731" s="2123">
        <v>118.86</v>
      </c>
      <c r="GJ731" s="2123">
        <v>118.86</v>
      </c>
      <c r="GK731" s="2123">
        <v>153.38999999999999</v>
      </c>
      <c r="GL731" s="2123">
        <v>153.38999999999999</v>
      </c>
      <c r="GM731" s="2123"/>
      <c r="GN731" s="2123"/>
      <c r="GO731" s="2123">
        <v>32.18</v>
      </c>
      <c r="GP731" s="2123">
        <v>32.18</v>
      </c>
      <c r="GQ731" s="2123">
        <v>24.89</v>
      </c>
      <c r="GR731" s="2123">
        <v>24.89</v>
      </c>
      <c r="GS731" s="2123">
        <v>24.89</v>
      </c>
      <c r="GT731" s="2123">
        <v>23.9</v>
      </c>
      <c r="GU731" s="2123">
        <v>23.9</v>
      </c>
      <c r="GV731" s="2123">
        <v>24.59</v>
      </c>
      <c r="GW731" s="2123">
        <v>143.18</v>
      </c>
      <c r="GX731" s="2123">
        <v>143.18</v>
      </c>
      <c r="GY731" s="2123"/>
      <c r="GZ731" s="2123"/>
      <c r="HA731" s="2123">
        <v>22.45</v>
      </c>
      <c r="HB731" s="2123">
        <v>22.45</v>
      </c>
      <c r="HC731" s="2123">
        <v>14.07</v>
      </c>
      <c r="HD731" s="2123">
        <v>14.07</v>
      </c>
      <c r="HE731" s="2123">
        <v>15.1</v>
      </c>
      <c r="HF731" s="2123">
        <v>15.1</v>
      </c>
      <c r="HG731" s="2123">
        <v>15.1</v>
      </c>
      <c r="HH731" s="2123">
        <v>15.1</v>
      </c>
      <c r="HI731" s="2123">
        <v>15.1</v>
      </c>
      <c r="HJ731" s="2123">
        <v>15.1</v>
      </c>
      <c r="HK731" s="2123">
        <v>15.11</v>
      </c>
      <c r="HL731" s="2123">
        <v>15.61</v>
      </c>
      <c r="HM731" s="2123">
        <v>31.45</v>
      </c>
      <c r="HN731" s="2123">
        <v>31.45</v>
      </c>
      <c r="HO731" s="2123">
        <v>20.149999999999999</v>
      </c>
      <c r="HP731" s="2123">
        <v>20.149999999999999</v>
      </c>
      <c r="HQ731" s="2123">
        <v>21.63</v>
      </c>
      <c r="HR731" s="2123">
        <v>21.63</v>
      </c>
      <c r="HS731" s="2123">
        <v>21.63</v>
      </c>
      <c r="HT731" s="2123">
        <v>21.63</v>
      </c>
      <c r="HU731" s="2123">
        <v>21.63</v>
      </c>
      <c r="HV731" s="2123">
        <v>21.63</v>
      </c>
      <c r="HW731" s="2123">
        <v>21.57</v>
      </c>
      <c r="HX731" s="2123">
        <v>21.57</v>
      </c>
    </row>
    <row r="732" spans="2:232" s="2040" customFormat="1" ht="14" hidden="1" x14ac:dyDescent="0.3">
      <c r="B732" s="2203">
        <v>38</v>
      </c>
      <c r="C732" s="2204">
        <v>36.01</v>
      </c>
      <c r="D732" s="2204">
        <v>36.01</v>
      </c>
      <c r="E732" s="2204">
        <v>36.58</v>
      </c>
      <c r="F732" s="2204">
        <v>36.58</v>
      </c>
      <c r="G732" s="2204">
        <v>132.38</v>
      </c>
      <c r="H732" s="2204">
        <v>132.38</v>
      </c>
      <c r="I732" s="2204">
        <v>122.28</v>
      </c>
      <c r="J732" s="2204">
        <v>122.28</v>
      </c>
      <c r="K732" s="2204">
        <v>132.85</v>
      </c>
      <c r="L732" s="2204">
        <v>132.85</v>
      </c>
      <c r="M732" s="2204"/>
      <c r="N732" s="2204"/>
      <c r="O732" s="2204">
        <v>112.56</v>
      </c>
      <c r="P732" s="2204">
        <v>112.56</v>
      </c>
      <c r="Q732" s="2204">
        <v>113.07</v>
      </c>
      <c r="R732" s="2204">
        <v>112.57</v>
      </c>
      <c r="S732" s="2204">
        <v>187.42</v>
      </c>
      <c r="T732" s="2204">
        <v>187.42</v>
      </c>
      <c r="U732" s="2204">
        <v>180.91</v>
      </c>
      <c r="V732" s="2204">
        <v>180.91</v>
      </c>
      <c r="W732" s="2204">
        <v>187.42</v>
      </c>
      <c r="X732" s="2204">
        <v>187.42</v>
      </c>
      <c r="Y732" s="2204">
        <v>180.91</v>
      </c>
      <c r="Z732" s="2204">
        <v>187.42</v>
      </c>
      <c r="AA732" s="2204">
        <v>187.42</v>
      </c>
      <c r="AB732" s="2204">
        <v>187.42</v>
      </c>
      <c r="AC732" s="2204">
        <v>180.91</v>
      </c>
      <c r="AD732" s="2204">
        <v>180.91</v>
      </c>
      <c r="AE732" s="2204">
        <v>206.21</v>
      </c>
      <c r="AF732" s="2204">
        <v>200.35</v>
      </c>
      <c r="AG732" s="2204">
        <v>206.21</v>
      </c>
      <c r="AH732" s="2204">
        <v>206.21</v>
      </c>
      <c r="AI732" s="2204">
        <v>200.35</v>
      </c>
      <c r="AJ732" s="2204">
        <v>200.35</v>
      </c>
      <c r="AK732" s="2204">
        <v>201.66</v>
      </c>
      <c r="AL732" s="2204">
        <v>201.66</v>
      </c>
      <c r="AM732" s="2204">
        <v>59.58</v>
      </c>
      <c r="AN732" s="2204">
        <v>57.39</v>
      </c>
      <c r="AO732" s="2204">
        <v>57.39</v>
      </c>
      <c r="AP732" s="2204">
        <v>57.39</v>
      </c>
      <c r="AQ732" s="2204">
        <v>58.42</v>
      </c>
      <c r="AR732" s="2204">
        <v>58.42</v>
      </c>
      <c r="AS732" s="2204">
        <v>161.63</v>
      </c>
      <c r="AT732" s="2204">
        <v>161.63</v>
      </c>
      <c r="AU732" s="2204">
        <v>161.63</v>
      </c>
      <c r="AV732" s="2204">
        <v>165.96</v>
      </c>
      <c r="AW732" s="2204">
        <v>161.72999999999999</v>
      </c>
      <c r="AX732" s="2204">
        <v>161.72999999999999</v>
      </c>
      <c r="AY732" s="2204">
        <v>161.9</v>
      </c>
      <c r="AZ732" s="2204">
        <v>161.9</v>
      </c>
      <c r="BA732" s="2123">
        <v>69.650000000000006</v>
      </c>
      <c r="BB732" s="2123">
        <v>69.650000000000006</v>
      </c>
      <c r="BC732" s="2123">
        <v>16.63</v>
      </c>
      <c r="BD732" s="2123">
        <v>17.11</v>
      </c>
      <c r="BE732" s="2123">
        <v>21.22</v>
      </c>
      <c r="BF732" s="2123">
        <v>21.22</v>
      </c>
      <c r="BG732" s="2123">
        <v>16.68</v>
      </c>
      <c r="BH732" s="2123">
        <v>16.68</v>
      </c>
      <c r="BI732" s="2123">
        <v>16.53</v>
      </c>
      <c r="BJ732" s="2123">
        <v>16.53</v>
      </c>
      <c r="BK732" s="2123">
        <v>16.53</v>
      </c>
      <c r="BL732" s="2123">
        <v>16.53</v>
      </c>
      <c r="BM732" s="2123">
        <v>43.56</v>
      </c>
      <c r="BN732" s="2123">
        <v>43.56</v>
      </c>
      <c r="BO732" s="2123">
        <v>131.6</v>
      </c>
      <c r="BP732" s="2123">
        <v>131.6</v>
      </c>
      <c r="BQ732" s="2123">
        <v>131.6</v>
      </c>
      <c r="BR732" s="2123">
        <v>131.6</v>
      </c>
      <c r="BS732" s="2123">
        <v>160.83000000000001</v>
      </c>
      <c r="BT732" s="2123">
        <v>160.83000000000001</v>
      </c>
      <c r="BU732" s="2123">
        <v>160.83000000000001</v>
      </c>
      <c r="BV732" s="2123">
        <v>160.83000000000001</v>
      </c>
      <c r="BW732" s="2123">
        <v>160.83000000000001</v>
      </c>
      <c r="BX732" s="2123">
        <v>160.83000000000001</v>
      </c>
      <c r="BY732" s="2123">
        <v>39.57</v>
      </c>
      <c r="BZ732" s="2123">
        <v>39.57</v>
      </c>
      <c r="CA732" s="2123">
        <v>125.33</v>
      </c>
      <c r="CB732" s="2123">
        <v>125.33</v>
      </c>
      <c r="CC732" s="2123">
        <v>126.56</v>
      </c>
      <c r="CD732" s="2123">
        <v>126.56</v>
      </c>
      <c r="CE732" s="2123">
        <v>157.66999999999999</v>
      </c>
      <c r="CF732" s="2123">
        <v>157.66999999999999</v>
      </c>
      <c r="CG732" s="2123"/>
      <c r="CH732" s="2123"/>
      <c r="CI732" s="2123"/>
      <c r="CJ732" s="2123"/>
      <c r="CK732" s="2123">
        <v>101.02</v>
      </c>
      <c r="CL732" s="2123">
        <v>101.02</v>
      </c>
      <c r="CM732" s="2123">
        <v>208.04</v>
      </c>
      <c r="CN732" s="2123">
        <v>208.04</v>
      </c>
      <c r="CO732" s="2123">
        <v>253.46</v>
      </c>
      <c r="CP732" s="2123">
        <v>253.46</v>
      </c>
      <c r="CQ732" s="2123">
        <v>253.46</v>
      </c>
      <c r="CR732" s="2123">
        <v>253.46</v>
      </c>
      <c r="CS732" s="2123"/>
      <c r="CT732" s="2123"/>
      <c r="CU732" s="2123"/>
      <c r="CV732" s="2123"/>
      <c r="CW732" s="2123">
        <v>91.81</v>
      </c>
      <c r="CX732" s="2123">
        <v>91.81</v>
      </c>
      <c r="CY732" s="2123">
        <v>198.7</v>
      </c>
      <c r="CZ732" s="2123">
        <v>198.7</v>
      </c>
      <c r="DA732" s="2123">
        <v>198.7</v>
      </c>
      <c r="DB732" s="2123">
        <v>198.7</v>
      </c>
      <c r="DC732" s="2123">
        <v>242.2</v>
      </c>
      <c r="DD732" s="2123">
        <v>242.2</v>
      </c>
      <c r="DE732" s="2123">
        <v>242.2</v>
      </c>
      <c r="DF732" s="2123">
        <v>242.2</v>
      </c>
      <c r="DG732" s="2123"/>
      <c r="DH732" s="2123"/>
      <c r="DI732" s="2123">
        <v>24.27</v>
      </c>
      <c r="DJ732" s="2123">
        <v>24.27</v>
      </c>
      <c r="DK732" s="2123">
        <v>24.27</v>
      </c>
      <c r="DL732" s="2123">
        <v>24.27</v>
      </c>
      <c r="DM732" s="2123">
        <v>24.27</v>
      </c>
      <c r="DN732" s="2123">
        <v>24.27</v>
      </c>
      <c r="DO732" s="2123"/>
      <c r="DP732" s="2123"/>
      <c r="DQ732" s="2123"/>
      <c r="DR732" s="2123"/>
      <c r="DS732" s="2123"/>
      <c r="DT732" s="2123"/>
      <c r="DU732" s="2123">
        <v>10.86</v>
      </c>
      <c r="DV732" s="2123">
        <v>10.86</v>
      </c>
      <c r="DW732" s="2123">
        <v>9.81</v>
      </c>
      <c r="DX732" s="2123">
        <v>9.81</v>
      </c>
      <c r="DY732" s="2123">
        <v>9.81</v>
      </c>
      <c r="DZ732" s="2123">
        <v>9.81</v>
      </c>
      <c r="EA732" s="2123"/>
      <c r="EB732" s="2123"/>
      <c r="EC732" s="2123"/>
      <c r="ED732" s="2123"/>
      <c r="EE732" s="2123"/>
      <c r="EF732" s="2123"/>
      <c r="EG732" s="2123">
        <v>11.66</v>
      </c>
      <c r="EH732" s="2123">
        <v>11.93</v>
      </c>
      <c r="EI732" s="2123">
        <v>8.06</v>
      </c>
      <c r="EJ732" s="2123">
        <v>8.06</v>
      </c>
      <c r="EK732" s="2123">
        <v>8.02</v>
      </c>
      <c r="EL732" s="2123">
        <v>8.02</v>
      </c>
      <c r="EM732" s="2123">
        <v>8.81</v>
      </c>
      <c r="EN732" s="2123">
        <v>8.81</v>
      </c>
      <c r="EO732" s="2123">
        <v>8.2100000000000009</v>
      </c>
      <c r="EP732" s="2123">
        <v>8.2100000000000009</v>
      </c>
      <c r="EQ732" s="2123">
        <v>8.4499999999999993</v>
      </c>
      <c r="ER732" s="2123">
        <v>8.51</v>
      </c>
      <c r="ES732" s="2123">
        <v>44.37</v>
      </c>
      <c r="ET732" s="2123">
        <v>44.37</v>
      </c>
      <c r="EU732" s="2123">
        <v>175.24</v>
      </c>
      <c r="EV732" s="2123">
        <v>175.24</v>
      </c>
      <c r="EW732" s="2123">
        <v>170.63</v>
      </c>
      <c r="EX732" s="2123">
        <v>170.63</v>
      </c>
      <c r="EY732" s="2129">
        <f t="shared" si="55"/>
        <v>172.935</v>
      </c>
      <c r="EZ732" s="2129">
        <f t="shared" si="55"/>
        <v>172.935</v>
      </c>
      <c r="FA732" s="2123">
        <v>175.88</v>
      </c>
      <c r="FB732" s="2123">
        <v>175.88</v>
      </c>
      <c r="FC732" s="2123"/>
      <c r="FD732" s="2123"/>
      <c r="FE732" s="2123">
        <v>38.07</v>
      </c>
      <c r="FF732" s="2123">
        <v>38.07</v>
      </c>
      <c r="FG732" s="2123">
        <v>146.68</v>
      </c>
      <c r="FH732" s="2123">
        <v>146.68</v>
      </c>
      <c r="FI732" s="2123">
        <v>146.68</v>
      </c>
      <c r="FJ732" s="2123">
        <v>150.56</v>
      </c>
      <c r="FK732" s="2123">
        <v>145.72999999999999</v>
      </c>
      <c r="FL732" s="2123">
        <v>145.72999999999999</v>
      </c>
      <c r="FM732" s="2123">
        <v>147.26</v>
      </c>
      <c r="FN732" s="2123">
        <v>147.26</v>
      </c>
      <c r="FO732" s="2123"/>
      <c r="FP732" s="2123"/>
      <c r="FQ732" s="2123">
        <v>85.9</v>
      </c>
      <c r="FR732" s="2123">
        <v>85.9</v>
      </c>
      <c r="FS732" s="2123">
        <v>165.95</v>
      </c>
      <c r="FT732" s="2123">
        <v>165.95</v>
      </c>
      <c r="FU732" s="2123">
        <v>165.95</v>
      </c>
      <c r="FV732" s="2123">
        <v>165.95</v>
      </c>
      <c r="FW732" s="2123">
        <v>166.94</v>
      </c>
      <c r="FX732" s="2123">
        <v>166.94</v>
      </c>
      <c r="FY732" s="2123"/>
      <c r="FZ732" s="2123"/>
      <c r="GA732" s="2123"/>
      <c r="GB732" s="2123"/>
      <c r="GC732" s="2123">
        <v>60.92</v>
      </c>
      <c r="GD732" s="2123">
        <v>60.92</v>
      </c>
      <c r="GE732" s="2123">
        <v>139.97999999999999</v>
      </c>
      <c r="GF732" s="2123">
        <v>139.97999999999999</v>
      </c>
      <c r="GG732" s="2123">
        <v>139.97999999999999</v>
      </c>
      <c r="GH732" s="2123">
        <v>139.97999999999999</v>
      </c>
      <c r="GI732" s="2123">
        <v>121.78</v>
      </c>
      <c r="GJ732" s="2123">
        <v>121.78</v>
      </c>
      <c r="GK732" s="2123">
        <v>156.09</v>
      </c>
      <c r="GL732" s="2123">
        <v>156.09</v>
      </c>
      <c r="GM732" s="2123"/>
      <c r="GN732" s="2123"/>
      <c r="GO732" s="2123">
        <v>32.6</v>
      </c>
      <c r="GP732" s="2123">
        <v>32.6</v>
      </c>
      <c r="GQ732" s="2123">
        <v>25.37</v>
      </c>
      <c r="GR732" s="2123">
        <v>25.37</v>
      </c>
      <c r="GS732" s="2123">
        <v>25.37</v>
      </c>
      <c r="GT732" s="2123">
        <v>24.36</v>
      </c>
      <c r="GU732" s="2123">
        <v>24.36</v>
      </c>
      <c r="GV732" s="2123">
        <v>25.03</v>
      </c>
      <c r="GW732" s="2123">
        <v>145.84</v>
      </c>
      <c r="GX732" s="2123">
        <v>145.84</v>
      </c>
      <c r="GY732" s="2123"/>
      <c r="GZ732" s="2123"/>
      <c r="HA732" s="2123">
        <v>22.74</v>
      </c>
      <c r="HB732" s="2123">
        <v>22.74</v>
      </c>
      <c r="HC732" s="2123">
        <v>14.41</v>
      </c>
      <c r="HD732" s="2123">
        <v>14.41</v>
      </c>
      <c r="HE732" s="2123">
        <v>15.42</v>
      </c>
      <c r="HF732" s="2123">
        <v>15.42</v>
      </c>
      <c r="HG732" s="2123">
        <v>15.42</v>
      </c>
      <c r="HH732" s="2123">
        <v>15.42</v>
      </c>
      <c r="HI732" s="2123">
        <v>15.42</v>
      </c>
      <c r="HJ732" s="2123">
        <v>15.42</v>
      </c>
      <c r="HK732" s="2123">
        <v>15.45</v>
      </c>
      <c r="HL732" s="2123">
        <v>15.93</v>
      </c>
      <c r="HM732" s="2123">
        <v>31.86</v>
      </c>
      <c r="HN732" s="2123">
        <v>31.86</v>
      </c>
      <c r="HO732" s="2123">
        <v>20.62</v>
      </c>
      <c r="HP732" s="2123">
        <v>20.62</v>
      </c>
      <c r="HQ732" s="2123">
        <v>22.09</v>
      </c>
      <c r="HR732" s="2123">
        <v>22.09</v>
      </c>
      <c r="HS732" s="2123">
        <v>22.09</v>
      </c>
      <c r="HT732" s="2123">
        <v>22.09</v>
      </c>
      <c r="HU732" s="2123">
        <v>22.09</v>
      </c>
      <c r="HV732" s="2123">
        <v>22.09</v>
      </c>
      <c r="HW732" s="2123">
        <v>22.03</v>
      </c>
      <c r="HX732" s="2123">
        <v>22.03</v>
      </c>
    </row>
    <row r="733" spans="2:232" s="2040" customFormat="1" ht="14" hidden="1" x14ac:dyDescent="0.3">
      <c r="B733" s="2203">
        <v>39</v>
      </c>
      <c r="C733" s="2204">
        <v>36.46</v>
      </c>
      <c r="D733" s="2204">
        <v>36.46</v>
      </c>
      <c r="E733" s="2204">
        <v>37</v>
      </c>
      <c r="F733" s="2204">
        <v>37</v>
      </c>
      <c r="G733" s="2204">
        <v>134.38</v>
      </c>
      <c r="H733" s="2204">
        <v>134.38</v>
      </c>
      <c r="I733" s="2204">
        <v>124.27</v>
      </c>
      <c r="J733" s="2204">
        <v>124.27</v>
      </c>
      <c r="K733" s="2204">
        <v>134.6</v>
      </c>
      <c r="L733" s="2204">
        <v>134.6</v>
      </c>
      <c r="M733" s="2204"/>
      <c r="N733" s="2204"/>
      <c r="O733" s="2204">
        <v>113.97</v>
      </c>
      <c r="P733" s="2204">
        <v>113.97</v>
      </c>
      <c r="Q733" s="2204">
        <v>114.43</v>
      </c>
      <c r="R733" s="2204">
        <v>113.98</v>
      </c>
      <c r="S733" s="2204">
        <v>190.78</v>
      </c>
      <c r="T733" s="2204">
        <v>190.78</v>
      </c>
      <c r="U733" s="2204">
        <v>184.15</v>
      </c>
      <c r="V733" s="2204">
        <v>184.15</v>
      </c>
      <c r="W733" s="2204">
        <v>190.78</v>
      </c>
      <c r="X733" s="2204">
        <v>190.78</v>
      </c>
      <c r="Y733" s="2204">
        <v>184.15</v>
      </c>
      <c r="Z733" s="2204">
        <v>190.78</v>
      </c>
      <c r="AA733" s="2204">
        <v>190.78</v>
      </c>
      <c r="AB733" s="2204">
        <v>190.78</v>
      </c>
      <c r="AC733" s="2204">
        <v>184.15</v>
      </c>
      <c r="AD733" s="2204">
        <v>184.15</v>
      </c>
      <c r="AE733" s="2204">
        <v>209.41</v>
      </c>
      <c r="AF733" s="2204">
        <v>203.45</v>
      </c>
      <c r="AG733" s="2204">
        <v>209.41</v>
      </c>
      <c r="AH733" s="2204">
        <v>209.41</v>
      </c>
      <c r="AI733" s="2204">
        <v>203.45</v>
      </c>
      <c r="AJ733" s="2204">
        <v>203.45</v>
      </c>
      <c r="AK733" s="2204">
        <v>204.72</v>
      </c>
      <c r="AL733" s="2204">
        <v>204.72</v>
      </c>
      <c r="AM733" s="2204">
        <v>60.32</v>
      </c>
      <c r="AN733" s="2204">
        <v>58.11</v>
      </c>
      <c r="AO733" s="2204">
        <v>58.11</v>
      </c>
      <c r="AP733" s="2204">
        <v>58.11</v>
      </c>
      <c r="AQ733" s="2204">
        <v>59.1</v>
      </c>
      <c r="AR733" s="2204">
        <v>59.1</v>
      </c>
      <c r="AS733" s="2204">
        <v>164.18</v>
      </c>
      <c r="AT733" s="2204">
        <v>164.18</v>
      </c>
      <c r="AU733" s="2204">
        <v>164.18</v>
      </c>
      <c r="AV733" s="2204">
        <v>168.54</v>
      </c>
      <c r="AW733" s="2204">
        <v>164.31</v>
      </c>
      <c r="AX733" s="2204">
        <v>164.31</v>
      </c>
      <c r="AY733" s="2204">
        <v>164.48</v>
      </c>
      <c r="AZ733" s="2204">
        <v>164.48</v>
      </c>
      <c r="BA733" s="2123">
        <v>70.8</v>
      </c>
      <c r="BB733" s="2123">
        <v>70.8</v>
      </c>
      <c r="BC733" s="2123">
        <v>16.95</v>
      </c>
      <c r="BD733" s="2123">
        <v>17.420000000000002</v>
      </c>
      <c r="BE733" s="2123">
        <v>21.5</v>
      </c>
      <c r="BF733" s="2123">
        <v>21.5</v>
      </c>
      <c r="BG733" s="2123">
        <v>17</v>
      </c>
      <c r="BH733" s="2123">
        <v>17</v>
      </c>
      <c r="BI733" s="2123">
        <v>16.850000000000001</v>
      </c>
      <c r="BJ733" s="2123">
        <v>16.850000000000001</v>
      </c>
      <c r="BK733" s="2123">
        <v>16.850000000000001</v>
      </c>
      <c r="BL733" s="2123">
        <v>16.850000000000001</v>
      </c>
      <c r="BM733" s="2123">
        <v>44.1</v>
      </c>
      <c r="BN733" s="2123">
        <v>44.1</v>
      </c>
      <c r="BO733" s="2123">
        <v>133.47</v>
      </c>
      <c r="BP733" s="2123">
        <v>133.47</v>
      </c>
      <c r="BQ733" s="2123">
        <v>133.47</v>
      </c>
      <c r="BR733" s="2123">
        <v>133.47</v>
      </c>
      <c r="BS733" s="2123">
        <v>163.59</v>
      </c>
      <c r="BT733" s="2123">
        <v>163.59</v>
      </c>
      <c r="BU733" s="2123">
        <v>163.59</v>
      </c>
      <c r="BV733" s="2123">
        <v>163.59</v>
      </c>
      <c r="BW733" s="2123">
        <v>163.59</v>
      </c>
      <c r="BX733" s="2123">
        <v>163.59</v>
      </c>
      <c r="BY733" s="2123">
        <v>40.06</v>
      </c>
      <c r="BZ733" s="2123">
        <v>40.06</v>
      </c>
      <c r="CA733" s="2123">
        <v>127.15</v>
      </c>
      <c r="CB733" s="2123">
        <v>127.15</v>
      </c>
      <c r="CC733" s="2123">
        <v>128.44</v>
      </c>
      <c r="CD733" s="2123">
        <v>128.44</v>
      </c>
      <c r="CE733" s="2123">
        <v>160.41999999999999</v>
      </c>
      <c r="CF733" s="2123">
        <v>160.41999999999999</v>
      </c>
      <c r="CG733" s="2123"/>
      <c r="CH733" s="2123"/>
      <c r="CI733" s="2123"/>
      <c r="CJ733" s="2123"/>
      <c r="CK733" s="2123">
        <v>102.11</v>
      </c>
      <c r="CL733" s="2123">
        <v>102.11</v>
      </c>
      <c r="CM733" s="2123">
        <v>210.14</v>
      </c>
      <c r="CN733" s="2123">
        <v>210.14</v>
      </c>
      <c r="CO733" s="2123">
        <v>256.73</v>
      </c>
      <c r="CP733" s="2123">
        <v>256.73</v>
      </c>
      <c r="CQ733" s="2123">
        <v>256.73</v>
      </c>
      <c r="CR733" s="2123">
        <v>256.73</v>
      </c>
      <c r="CS733" s="2123"/>
      <c r="CT733" s="2123"/>
      <c r="CU733" s="2123"/>
      <c r="CV733" s="2123"/>
      <c r="CW733" s="2123">
        <v>92.96</v>
      </c>
      <c r="CX733" s="2123">
        <v>92.96</v>
      </c>
      <c r="CY733" s="2123">
        <v>200.81</v>
      </c>
      <c r="CZ733" s="2123">
        <v>200.81</v>
      </c>
      <c r="DA733" s="2123">
        <v>200.81</v>
      </c>
      <c r="DB733" s="2123">
        <v>200.81</v>
      </c>
      <c r="DC733" s="2123">
        <v>245.46</v>
      </c>
      <c r="DD733" s="2123">
        <v>245.46</v>
      </c>
      <c r="DE733" s="2123">
        <v>245.46</v>
      </c>
      <c r="DF733" s="2123">
        <v>245.46</v>
      </c>
      <c r="DG733" s="2123"/>
      <c r="DH733" s="2123"/>
      <c r="DI733" s="2123">
        <v>24.57</v>
      </c>
      <c r="DJ733" s="2123">
        <v>24.57</v>
      </c>
      <c r="DK733" s="2123">
        <v>24.57</v>
      </c>
      <c r="DL733" s="2123">
        <v>24.57</v>
      </c>
      <c r="DM733" s="2123">
        <v>24.57</v>
      </c>
      <c r="DN733" s="2123">
        <v>24.57</v>
      </c>
      <c r="DO733" s="2123"/>
      <c r="DP733" s="2123"/>
      <c r="DQ733" s="2123"/>
      <c r="DR733" s="2123"/>
      <c r="DS733" s="2123"/>
      <c r="DT733" s="2123"/>
      <c r="DU733" s="2123">
        <v>10.99</v>
      </c>
      <c r="DV733" s="2123">
        <v>10.99</v>
      </c>
      <c r="DW733" s="2123">
        <v>9.9600000000000009</v>
      </c>
      <c r="DX733" s="2123">
        <v>9.9600000000000009</v>
      </c>
      <c r="DY733" s="2123">
        <v>9.9600000000000009</v>
      </c>
      <c r="DZ733" s="2123">
        <v>9.9600000000000009</v>
      </c>
      <c r="EA733" s="2123"/>
      <c r="EB733" s="2123"/>
      <c r="EC733" s="2123"/>
      <c r="ED733" s="2123"/>
      <c r="EE733" s="2123"/>
      <c r="EF733" s="2123"/>
      <c r="EG733" s="2123">
        <v>11.8</v>
      </c>
      <c r="EH733" s="2123">
        <v>12.06</v>
      </c>
      <c r="EI733" s="2123">
        <v>8.2200000000000006</v>
      </c>
      <c r="EJ733" s="2123">
        <v>8.2200000000000006</v>
      </c>
      <c r="EK733" s="2123">
        <v>8.19</v>
      </c>
      <c r="EL733" s="2123">
        <v>8.19</v>
      </c>
      <c r="EM733" s="2123">
        <v>8.9700000000000006</v>
      </c>
      <c r="EN733" s="2123">
        <v>8.9700000000000006</v>
      </c>
      <c r="EO733" s="2123">
        <v>8.3699999999999992</v>
      </c>
      <c r="EP733" s="2123">
        <v>8.3699999999999992</v>
      </c>
      <c r="EQ733" s="2123">
        <v>8.61</v>
      </c>
      <c r="ER733" s="2123">
        <v>8.67</v>
      </c>
      <c r="ES733" s="2123">
        <v>44.93</v>
      </c>
      <c r="ET733" s="2123">
        <v>44.93</v>
      </c>
      <c r="EU733" s="2123">
        <v>178.3</v>
      </c>
      <c r="EV733" s="2123">
        <v>178.3</v>
      </c>
      <c r="EW733" s="2123">
        <v>173.66</v>
      </c>
      <c r="EX733" s="2123">
        <v>173.66</v>
      </c>
      <c r="EY733" s="2129">
        <f t="shared" si="55"/>
        <v>175.98000000000002</v>
      </c>
      <c r="EZ733" s="2129">
        <f t="shared" si="55"/>
        <v>175.98000000000002</v>
      </c>
      <c r="FA733" s="2123">
        <v>178.85</v>
      </c>
      <c r="FB733" s="2123">
        <v>178.85</v>
      </c>
      <c r="FC733" s="2123"/>
      <c r="FD733" s="2123"/>
      <c r="FE733" s="2123">
        <v>38.549999999999997</v>
      </c>
      <c r="FF733" s="2123">
        <v>38.549999999999997</v>
      </c>
      <c r="FG733" s="2123">
        <v>149.29</v>
      </c>
      <c r="FH733" s="2123">
        <v>149.29</v>
      </c>
      <c r="FI733" s="2123">
        <v>149.29</v>
      </c>
      <c r="FJ733" s="2123">
        <v>153.05000000000001</v>
      </c>
      <c r="FK733" s="2123">
        <v>148.37</v>
      </c>
      <c r="FL733" s="2123">
        <v>148.37</v>
      </c>
      <c r="FM733" s="2123">
        <v>149.88</v>
      </c>
      <c r="FN733" s="2123">
        <v>149.88</v>
      </c>
      <c r="FO733" s="2123"/>
      <c r="FP733" s="2123"/>
      <c r="FQ733" s="2123">
        <v>86.99</v>
      </c>
      <c r="FR733" s="2123">
        <v>86.99</v>
      </c>
      <c r="FS733" s="2123">
        <v>168.37</v>
      </c>
      <c r="FT733" s="2123">
        <v>168.37</v>
      </c>
      <c r="FU733" s="2123">
        <v>168.37</v>
      </c>
      <c r="FV733" s="2123">
        <v>168.37</v>
      </c>
      <c r="FW733" s="2123">
        <v>169.34</v>
      </c>
      <c r="FX733" s="2123">
        <v>169.34</v>
      </c>
      <c r="FY733" s="2123"/>
      <c r="FZ733" s="2123"/>
      <c r="GA733" s="2123"/>
      <c r="GB733" s="2123"/>
      <c r="GC733" s="2123">
        <v>61.68</v>
      </c>
      <c r="GD733" s="2123">
        <v>61.68</v>
      </c>
      <c r="GE733" s="2123">
        <v>141.55000000000001</v>
      </c>
      <c r="GF733" s="2123">
        <v>141.55000000000001</v>
      </c>
      <c r="GG733" s="2123">
        <v>141.55000000000001</v>
      </c>
      <c r="GH733" s="2123">
        <v>141.55000000000001</v>
      </c>
      <c r="GI733" s="2123">
        <v>124.62</v>
      </c>
      <c r="GJ733" s="2123">
        <v>124.62</v>
      </c>
      <c r="GK733" s="2123">
        <v>158.69</v>
      </c>
      <c r="GL733" s="2123">
        <v>158.69</v>
      </c>
      <c r="GM733" s="2123"/>
      <c r="GN733" s="2123"/>
      <c r="GO733" s="2123">
        <v>33.01</v>
      </c>
      <c r="GP733" s="2123">
        <v>33.01</v>
      </c>
      <c r="GQ733" s="2123">
        <v>25.83</v>
      </c>
      <c r="GR733" s="2123">
        <v>25.83</v>
      </c>
      <c r="GS733" s="2123">
        <v>25.83</v>
      </c>
      <c r="GT733" s="2123">
        <v>24.81</v>
      </c>
      <c r="GU733" s="2123">
        <v>24.81</v>
      </c>
      <c r="GV733" s="2123">
        <v>25.46</v>
      </c>
      <c r="GW733" s="2123">
        <v>148.41</v>
      </c>
      <c r="GX733" s="2123">
        <v>148.41</v>
      </c>
      <c r="GY733" s="2123"/>
      <c r="GZ733" s="2123"/>
      <c r="HA733" s="2123">
        <v>23.03</v>
      </c>
      <c r="HB733" s="2123">
        <v>23.03</v>
      </c>
      <c r="HC733" s="2123">
        <v>14.74</v>
      </c>
      <c r="HD733" s="2123">
        <v>14.74</v>
      </c>
      <c r="HE733" s="2123">
        <v>15.74</v>
      </c>
      <c r="HF733" s="2123">
        <v>15.74</v>
      </c>
      <c r="HG733" s="2123">
        <v>15.74</v>
      </c>
      <c r="HH733" s="2123">
        <v>15.74</v>
      </c>
      <c r="HI733" s="2123">
        <v>15.74</v>
      </c>
      <c r="HJ733" s="2123">
        <v>15.74</v>
      </c>
      <c r="HK733" s="2123">
        <v>15.77</v>
      </c>
      <c r="HL733" s="2123">
        <v>16.23</v>
      </c>
      <c r="HM733" s="2123">
        <v>32.26</v>
      </c>
      <c r="HN733" s="2123">
        <v>32.26</v>
      </c>
      <c r="HO733" s="2123">
        <v>21.08</v>
      </c>
      <c r="HP733" s="2123">
        <v>21.08</v>
      </c>
      <c r="HQ733" s="2123">
        <v>22.54</v>
      </c>
      <c r="HR733" s="2123">
        <v>22.54</v>
      </c>
      <c r="HS733" s="2123">
        <v>22.54</v>
      </c>
      <c r="HT733" s="2123">
        <v>22.54</v>
      </c>
      <c r="HU733" s="2123">
        <v>22.54</v>
      </c>
      <c r="HV733" s="2123">
        <v>22.54</v>
      </c>
      <c r="HW733" s="2123">
        <v>22.48</v>
      </c>
      <c r="HX733" s="2123">
        <v>22.48</v>
      </c>
    </row>
    <row r="734" spans="2:232" s="2040" customFormat="1" ht="14" hidden="1" x14ac:dyDescent="0.3">
      <c r="B734" s="2203">
        <v>40</v>
      </c>
      <c r="C734" s="2204">
        <v>36.89</v>
      </c>
      <c r="D734" s="2204">
        <v>36.89</v>
      </c>
      <c r="E734" s="2204">
        <v>37.409999999999997</v>
      </c>
      <c r="F734" s="2204">
        <v>37.409999999999997</v>
      </c>
      <c r="G734" s="2204">
        <v>136.31</v>
      </c>
      <c r="H734" s="2204">
        <v>136.31</v>
      </c>
      <c r="I734" s="2204">
        <v>126.21</v>
      </c>
      <c r="J734" s="2204">
        <v>126.21</v>
      </c>
      <c r="K734" s="2204">
        <v>136.30000000000001</v>
      </c>
      <c r="L734" s="2204">
        <v>136.30000000000001</v>
      </c>
      <c r="M734" s="2204"/>
      <c r="N734" s="2204"/>
      <c r="O734" s="2204">
        <v>115.33</v>
      </c>
      <c r="P734" s="2204">
        <v>115.33</v>
      </c>
      <c r="Q734" s="2204">
        <v>115.74</v>
      </c>
      <c r="R734" s="2204">
        <v>115.34</v>
      </c>
      <c r="S734" s="2204">
        <v>194.03</v>
      </c>
      <c r="T734" s="2204">
        <v>194.03</v>
      </c>
      <c r="U734" s="2204">
        <v>187.29</v>
      </c>
      <c r="V734" s="2204">
        <v>187.29</v>
      </c>
      <c r="W734" s="2204">
        <v>194.03</v>
      </c>
      <c r="X734" s="2204">
        <v>194.03</v>
      </c>
      <c r="Y734" s="2204">
        <v>187.29</v>
      </c>
      <c r="Z734" s="2204">
        <v>194.03</v>
      </c>
      <c r="AA734" s="2204">
        <v>194.03</v>
      </c>
      <c r="AB734" s="2204">
        <v>194.03</v>
      </c>
      <c r="AC734" s="2204">
        <v>187.29</v>
      </c>
      <c r="AD734" s="2204">
        <v>187.29</v>
      </c>
      <c r="AE734" s="2204">
        <v>212.49</v>
      </c>
      <c r="AF734" s="2204">
        <v>206.44</v>
      </c>
      <c r="AG734" s="2204">
        <v>212.49</v>
      </c>
      <c r="AH734" s="2204">
        <v>212.49</v>
      </c>
      <c r="AI734" s="2204">
        <v>206.44</v>
      </c>
      <c r="AJ734" s="2204">
        <v>206.44</v>
      </c>
      <c r="AK734" s="2204">
        <v>207.67</v>
      </c>
      <c r="AL734" s="2204">
        <v>207.67</v>
      </c>
      <c r="AM734" s="2204">
        <v>61.04</v>
      </c>
      <c r="AN734" s="2204">
        <v>58.8</v>
      </c>
      <c r="AO734" s="2204">
        <v>58.8</v>
      </c>
      <c r="AP734" s="2204">
        <v>58.8</v>
      </c>
      <c r="AQ734" s="2204">
        <v>59.75</v>
      </c>
      <c r="AR734" s="2204">
        <v>59.75</v>
      </c>
      <c r="AS734" s="2204">
        <v>166.64</v>
      </c>
      <c r="AT734" s="2204">
        <v>166.64</v>
      </c>
      <c r="AU734" s="2204">
        <v>166.64</v>
      </c>
      <c r="AV734" s="2204">
        <v>171.03</v>
      </c>
      <c r="AW734" s="2204">
        <v>166.79</v>
      </c>
      <c r="AX734" s="2204">
        <v>166.79</v>
      </c>
      <c r="AY734" s="2204">
        <v>166.96</v>
      </c>
      <c r="AZ734" s="2204">
        <v>166.96</v>
      </c>
      <c r="BA734" s="2123">
        <v>71.900000000000006</v>
      </c>
      <c r="BB734" s="2123">
        <v>71.900000000000006</v>
      </c>
      <c r="BC734" s="2123">
        <v>17.260000000000002</v>
      </c>
      <c r="BD734" s="2123">
        <v>17.71</v>
      </c>
      <c r="BE734" s="2123">
        <v>21.76</v>
      </c>
      <c r="BF734" s="2123">
        <v>21.76</v>
      </c>
      <c r="BG734" s="2123">
        <v>17.309999999999999</v>
      </c>
      <c r="BH734" s="2123">
        <v>17.309999999999999</v>
      </c>
      <c r="BI734" s="2123">
        <v>17.16</v>
      </c>
      <c r="BJ734" s="2123">
        <v>17.16</v>
      </c>
      <c r="BK734" s="2123">
        <v>17.16</v>
      </c>
      <c r="BL734" s="2123">
        <v>17.16</v>
      </c>
      <c r="BM734" s="2123">
        <v>44.62</v>
      </c>
      <c r="BN734" s="2123">
        <v>44.62</v>
      </c>
      <c r="BO734" s="2123">
        <v>135.29</v>
      </c>
      <c r="BP734" s="2123">
        <v>135.29</v>
      </c>
      <c r="BQ734" s="2123">
        <v>135.29</v>
      </c>
      <c r="BR734" s="2123">
        <v>135.29</v>
      </c>
      <c r="BS734" s="2123">
        <v>166.26</v>
      </c>
      <c r="BT734" s="2123">
        <v>166.26</v>
      </c>
      <c r="BU734" s="2123">
        <v>166.26</v>
      </c>
      <c r="BV734" s="2123">
        <v>166.26</v>
      </c>
      <c r="BW734" s="2123">
        <v>166.26</v>
      </c>
      <c r="BX734" s="2123">
        <v>166.26</v>
      </c>
      <c r="BY734" s="2123">
        <v>40.54</v>
      </c>
      <c r="BZ734" s="2123">
        <v>40.54</v>
      </c>
      <c r="CA734" s="2123">
        <v>128.91999999999999</v>
      </c>
      <c r="CB734" s="2123">
        <v>128.91999999999999</v>
      </c>
      <c r="CC734" s="2123">
        <v>130.26</v>
      </c>
      <c r="CD734" s="2123">
        <v>130.26</v>
      </c>
      <c r="CE734" s="2123">
        <v>163.09</v>
      </c>
      <c r="CF734" s="2123">
        <v>163.09</v>
      </c>
      <c r="CG734" s="2123"/>
      <c r="CH734" s="2123"/>
      <c r="CI734" s="2123"/>
      <c r="CJ734" s="2123"/>
      <c r="CK734" s="2123">
        <v>103.16</v>
      </c>
      <c r="CL734" s="2123">
        <v>103.16</v>
      </c>
      <c r="CM734" s="2123">
        <v>212.16</v>
      </c>
      <c r="CN734" s="2123">
        <v>212.16</v>
      </c>
      <c r="CO734" s="2123">
        <v>259.88</v>
      </c>
      <c r="CP734" s="2123">
        <v>259.88</v>
      </c>
      <c r="CQ734" s="2123">
        <v>259.88</v>
      </c>
      <c r="CR734" s="2123">
        <v>259.88</v>
      </c>
      <c r="CS734" s="2123"/>
      <c r="CT734" s="2123"/>
      <c r="CU734" s="2123"/>
      <c r="CV734" s="2123"/>
      <c r="CW734" s="2123">
        <v>94.06</v>
      </c>
      <c r="CX734" s="2123">
        <v>94.06</v>
      </c>
      <c r="CY734" s="2123">
        <v>202.84</v>
      </c>
      <c r="CZ734" s="2123">
        <v>202.84</v>
      </c>
      <c r="DA734" s="2123">
        <v>202.84</v>
      </c>
      <c r="DB734" s="2123">
        <v>202.84</v>
      </c>
      <c r="DC734" s="2123">
        <v>248.6</v>
      </c>
      <c r="DD734" s="2123">
        <v>248.6</v>
      </c>
      <c r="DE734" s="2123">
        <v>248.6</v>
      </c>
      <c r="DF734" s="2123">
        <v>248.6</v>
      </c>
      <c r="DG734" s="2123"/>
      <c r="DH734" s="2123"/>
      <c r="DI734" s="2123">
        <v>24.86</v>
      </c>
      <c r="DJ734" s="2123">
        <v>24.86</v>
      </c>
      <c r="DK734" s="2123">
        <v>24.86</v>
      </c>
      <c r="DL734" s="2123">
        <v>24.86</v>
      </c>
      <c r="DM734" s="2123">
        <v>24.86</v>
      </c>
      <c r="DN734" s="2123">
        <v>24.86</v>
      </c>
      <c r="DO734" s="2123"/>
      <c r="DP734" s="2123"/>
      <c r="DQ734" s="2123"/>
      <c r="DR734" s="2123"/>
      <c r="DS734" s="2123"/>
      <c r="DT734" s="2123"/>
      <c r="DU734" s="2123">
        <v>11.12</v>
      </c>
      <c r="DV734" s="2123">
        <v>11.12</v>
      </c>
      <c r="DW734" s="2123">
        <v>10.11</v>
      </c>
      <c r="DX734" s="2123">
        <v>10.11</v>
      </c>
      <c r="DY734" s="2123">
        <v>10.11</v>
      </c>
      <c r="DZ734" s="2123">
        <v>10.11</v>
      </c>
      <c r="EA734" s="2123"/>
      <c r="EB734" s="2123"/>
      <c r="EC734" s="2123"/>
      <c r="ED734" s="2123"/>
      <c r="EE734" s="2123"/>
      <c r="EF734" s="2123"/>
      <c r="EG734" s="2123">
        <v>11.94</v>
      </c>
      <c r="EH734" s="2123">
        <v>12.19</v>
      </c>
      <c r="EI734" s="2123">
        <v>8.3800000000000008</v>
      </c>
      <c r="EJ734" s="2123">
        <v>8.3800000000000008</v>
      </c>
      <c r="EK734" s="2123">
        <v>8.35</v>
      </c>
      <c r="EL734" s="2123">
        <v>8.35</v>
      </c>
      <c r="EM734" s="2123">
        <v>9.1199999999999992</v>
      </c>
      <c r="EN734" s="2123">
        <v>9.1199999999999992</v>
      </c>
      <c r="EO734" s="2123">
        <v>8.52</v>
      </c>
      <c r="EP734" s="2123">
        <v>8.52</v>
      </c>
      <c r="EQ734" s="2123">
        <v>8.77</v>
      </c>
      <c r="ER734" s="2123">
        <v>8.82</v>
      </c>
      <c r="ES734" s="2123">
        <v>45.46</v>
      </c>
      <c r="ET734" s="2123">
        <v>45.46</v>
      </c>
      <c r="EU734" s="2123">
        <v>181.27</v>
      </c>
      <c r="EV734" s="2123">
        <v>181.27</v>
      </c>
      <c r="EW734" s="2123">
        <v>176.59</v>
      </c>
      <c r="EX734" s="2123">
        <v>176.59</v>
      </c>
      <c r="EY734" s="2129">
        <f t="shared" si="55"/>
        <v>178.93</v>
      </c>
      <c r="EZ734" s="2129">
        <f t="shared" si="55"/>
        <v>178.93</v>
      </c>
      <c r="FA734" s="2123">
        <v>181.73</v>
      </c>
      <c r="FB734" s="2123">
        <v>181.73</v>
      </c>
      <c r="FC734" s="2123"/>
      <c r="FD734" s="2123"/>
      <c r="FE734" s="2123">
        <v>39.01</v>
      </c>
      <c r="FF734" s="2123">
        <v>39.01</v>
      </c>
      <c r="FG734" s="2123">
        <v>151.82</v>
      </c>
      <c r="FH734" s="2123">
        <v>151.82</v>
      </c>
      <c r="FI734" s="2123">
        <v>151.82</v>
      </c>
      <c r="FJ734" s="2123">
        <v>155.46</v>
      </c>
      <c r="FK734" s="2123">
        <v>150.91999999999999</v>
      </c>
      <c r="FL734" s="2123">
        <v>150.91999999999999</v>
      </c>
      <c r="FM734" s="2123">
        <v>152.4</v>
      </c>
      <c r="FN734" s="2123">
        <v>152.4</v>
      </c>
      <c r="FO734" s="2123"/>
      <c r="FP734" s="2123"/>
      <c r="FQ734" s="2123">
        <v>88.04</v>
      </c>
      <c r="FR734" s="2123">
        <v>88.04</v>
      </c>
      <c r="FS734" s="2123">
        <v>170.7</v>
      </c>
      <c r="FT734" s="2123">
        <v>170.7</v>
      </c>
      <c r="FU734" s="2123">
        <v>170.7</v>
      </c>
      <c r="FV734" s="2123">
        <v>170.7</v>
      </c>
      <c r="FW734" s="2123">
        <v>171.65</v>
      </c>
      <c r="FX734" s="2123">
        <v>171.65</v>
      </c>
      <c r="FY734" s="2123"/>
      <c r="FZ734" s="2123"/>
      <c r="GA734" s="2123"/>
      <c r="GB734" s="2123"/>
      <c r="GC734" s="2123">
        <v>62.41</v>
      </c>
      <c r="GD734" s="2123">
        <v>62.41</v>
      </c>
      <c r="GE734" s="2123">
        <v>143.07</v>
      </c>
      <c r="GF734" s="2123">
        <v>143.07</v>
      </c>
      <c r="GG734" s="2123">
        <v>143.07</v>
      </c>
      <c r="GH734" s="2123">
        <v>143.07</v>
      </c>
      <c r="GI734" s="2123">
        <v>127.38</v>
      </c>
      <c r="GJ734" s="2123">
        <v>127.38</v>
      </c>
      <c r="GK734" s="2123">
        <v>161.21</v>
      </c>
      <c r="GL734" s="2123">
        <v>161.21</v>
      </c>
      <c r="GM734" s="2123"/>
      <c r="GN734" s="2123"/>
      <c r="GO734" s="2123">
        <v>33.4</v>
      </c>
      <c r="GP734" s="2123">
        <v>33.4</v>
      </c>
      <c r="GQ734" s="2123">
        <v>26.28</v>
      </c>
      <c r="GR734" s="2123">
        <v>26.28</v>
      </c>
      <c r="GS734" s="2123">
        <v>26.28</v>
      </c>
      <c r="GT734" s="2123">
        <v>25.25</v>
      </c>
      <c r="GU734" s="2123">
        <v>25.25</v>
      </c>
      <c r="GV734" s="2123">
        <v>25.88</v>
      </c>
      <c r="GW734" s="2123">
        <v>150.9</v>
      </c>
      <c r="GX734" s="2123">
        <v>150.9</v>
      </c>
      <c r="GY734" s="2123"/>
      <c r="GZ734" s="2123"/>
      <c r="HA734" s="2123">
        <v>23.3</v>
      </c>
      <c r="HB734" s="2123">
        <v>23.3</v>
      </c>
      <c r="HC734" s="2123">
        <v>15.06</v>
      </c>
      <c r="HD734" s="2123">
        <v>15.06</v>
      </c>
      <c r="HE734" s="2123">
        <v>16.05</v>
      </c>
      <c r="HF734" s="2123">
        <v>16.05</v>
      </c>
      <c r="HG734" s="2123">
        <v>16.05</v>
      </c>
      <c r="HH734" s="2123">
        <v>16.05</v>
      </c>
      <c r="HI734" s="2123">
        <v>16.05</v>
      </c>
      <c r="HJ734" s="2123">
        <v>16.05</v>
      </c>
      <c r="HK734" s="2123">
        <v>16.079999999999998</v>
      </c>
      <c r="HL734" s="2123">
        <v>16.53</v>
      </c>
      <c r="HM734" s="2123">
        <v>32.64</v>
      </c>
      <c r="HN734" s="2123">
        <v>32.64</v>
      </c>
      <c r="HO734" s="2123">
        <v>21.53</v>
      </c>
      <c r="HP734" s="2123">
        <v>21.53</v>
      </c>
      <c r="HQ734" s="2123">
        <v>22.97</v>
      </c>
      <c r="HR734" s="2123">
        <v>22.97</v>
      </c>
      <c r="HS734" s="2123">
        <v>22.97</v>
      </c>
      <c r="HT734" s="2123">
        <v>22.97</v>
      </c>
      <c r="HU734" s="2123">
        <v>22.97</v>
      </c>
      <c r="HV734" s="2123">
        <v>22.97</v>
      </c>
      <c r="HW734" s="2123">
        <v>22.92</v>
      </c>
      <c r="HX734" s="2123">
        <v>22.92</v>
      </c>
    </row>
    <row r="735" spans="2:232" s="2040" customFormat="1" ht="14" hidden="1" x14ac:dyDescent="0.3">
      <c r="B735" s="2203">
        <v>41</v>
      </c>
      <c r="C735" s="2204">
        <v>37.31</v>
      </c>
      <c r="D735" s="2204">
        <v>37.31</v>
      </c>
      <c r="E735" s="2204">
        <v>37.799999999999997</v>
      </c>
      <c r="F735" s="2204">
        <v>37.799999999999997</v>
      </c>
      <c r="G735" s="2204">
        <v>138.16999999999999</v>
      </c>
      <c r="H735" s="2204">
        <v>138.16999999999999</v>
      </c>
      <c r="I735" s="2204">
        <v>128.08000000000001</v>
      </c>
      <c r="J735" s="2204">
        <v>128.08000000000001</v>
      </c>
      <c r="K735" s="2204">
        <v>137.94</v>
      </c>
      <c r="L735" s="2204">
        <v>137.94</v>
      </c>
      <c r="M735" s="2204"/>
      <c r="N735" s="2204"/>
      <c r="O735" s="2204">
        <v>116.64</v>
      </c>
      <c r="P735" s="2204">
        <v>116.64</v>
      </c>
      <c r="Q735" s="2204">
        <v>117</v>
      </c>
      <c r="R735" s="2204">
        <v>116.64</v>
      </c>
      <c r="S735" s="2204">
        <v>197.18</v>
      </c>
      <c r="T735" s="2204">
        <v>197.18</v>
      </c>
      <c r="U735" s="2204">
        <v>190.32</v>
      </c>
      <c r="V735" s="2204">
        <v>190.32</v>
      </c>
      <c r="W735" s="2204">
        <v>197.18</v>
      </c>
      <c r="X735" s="2204">
        <v>197.18</v>
      </c>
      <c r="Y735" s="2204">
        <v>190.32</v>
      </c>
      <c r="Z735" s="2204">
        <v>197.18</v>
      </c>
      <c r="AA735" s="2204">
        <v>197.18</v>
      </c>
      <c r="AB735" s="2204">
        <v>197.18</v>
      </c>
      <c r="AC735" s="2204">
        <v>190.32</v>
      </c>
      <c r="AD735" s="2204">
        <v>190.32</v>
      </c>
      <c r="AE735" s="2204">
        <v>215.47</v>
      </c>
      <c r="AF735" s="2204">
        <v>209.33</v>
      </c>
      <c r="AG735" s="2204">
        <v>215.47</v>
      </c>
      <c r="AH735" s="2204">
        <v>215.47</v>
      </c>
      <c r="AI735" s="2204">
        <v>209.33</v>
      </c>
      <c r="AJ735" s="2204">
        <v>209.33</v>
      </c>
      <c r="AK735" s="2204">
        <v>210.51</v>
      </c>
      <c r="AL735" s="2204">
        <v>210.51</v>
      </c>
      <c r="AM735" s="2204">
        <v>61.73</v>
      </c>
      <c r="AN735" s="2204">
        <v>59.46</v>
      </c>
      <c r="AO735" s="2204">
        <v>59.46</v>
      </c>
      <c r="AP735" s="2204">
        <v>59.46</v>
      </c>
      <c r="AQ735" s="2204">
        <v>60.38</v>
      </c>
      <c r="AR735" s="2204">
        <v>60.38</v>
      </c>
      <c r="AS735" s="2204">
        <v>169.02</v>
      </c>
      <c r="AT735" s="2204">
        <v>169.02</v>
      </c>
      <c r="AU735" s="2204">
        <v>169.02</v>
      </c>
      <c r="AV735" s="2204">
        <v>173.43</v>
      </c>
      <c r="AW735" s="2204">
        <v>169.19</v>
      </c>
      <c r="AX735" s="2204">
        <v>169.19</v>
      </c>
      <c r="AY735" s="2204">
        <v>169.35</v>
      </c>
      <c r="AZ735" s="2204">
        <v>169.35</v>
      </c>
      <c r="BA735" s="2123">
        <v>72.959999999999994</v>
      </c>
      <c r="BB735" s="2123">
        <v>72.959999999999994</v>
      </c>
      <c r="BC735" s="2123">
        <v>17.57</v>
      </c>
      <c r="BD735" s="2123">
        <v>18</v>
      </c>
      <c r="BE735" s="2123">
        <v>22.01</v>
      </c>
      <c r="BF735" s="2123">
        <v>22.01</v>
      </c>
      <c r="BG735" s="2123">
        <v>17.62</v>
      </c>
      <c r="BH735" s="2123">
        <v>17.62</v>
      </c>
      <c r="BI735" s="2123">
        <v>17.47</v>
      </c>
      <c r="BJ735" s="2123">
        <v>17.47</v>
      </c>
      <c r="BK735" s="2123">
        <v>17.47</v>
      </c>
      <c r="BL735" s="2123">
        <v>17.47</v>
      </c>
      <c r="BM735" s="2123">
        <v>45.13</v>
      </c>
      <c r="BN735" s="2123">
        <v>45.13</v>
      </c>
      <c r="BO735" s="2123">
        <v>137.04</v>
      </c>
      <c r="BP735" s="2123">
        <v>137.04</v>
      </c>
      <c r="BQ735" s="2123">
        <v>137.04</v>
      </c>
      <c r="BR735" s="2123">
        <v>137.04</v>
      </c>
      <c r="BS735" s="2123">
        <v>168.84</v>
      </c>
      <c r="BT735" s="2123">
        <v>168.84</v>
      </c>
      <c r="BU735" s="2123">
        <v>168.84</v>
      </c>
      <c r="BV735" s="2123">
        <v>168.84</v>
      </c>
      <c r="BW735" s="2123">
        <v>168.84</v>
      </c>
      <c r="BX735" s="2123">
        <v>168.84</v>
      </c>
      <c r="BY735" s="2123">
        <v>40.99</v>
      </c>
      <c r="BZ735" s="2123">
        <v>40.99</v>
      </c>
      <c r="CA735" s="2123">
        <v>130.62</v>
      </c>
      <c r="CB735" s="2123">
        <v>130.62</v>
      </c>
      <c r="CC735" s="2123">
        <v>132.02000000000001</v>
      </c>
      <c r="CD735" s="2123">
        <v>132.02000000000001</v>
      </c>
      <c r="CE735" s="2123">
        <v>165.67</v>
      </c>
      <c r="CF735" s="2123">
        <v>165.67</v>
      </c>
      <c r="CG735" s="2123"/>
      <c r="CH735" s="2123"/>
      <c r="CI735" s="2123"/>
      <c r="CJ735" s="2123"/>
      <c r="CK735" s="2123">
        <v>104.18</v>
      </c>
      <c r="CL735" s="2123">
        <v>104.18</v>
      </c>
      <c r="CM735" s="2123">
        <v>214.1</v>
      </c>
      <c r="CN735" s="2123">
        <v>214.1</v>
      </c>
      <c r="CO735" s="2123">
        <v>262.92</v>
      </c>
      <c r="CP735" s="2123">
        <v>262.92</v>
      </c>
      <c r="CQ735" s="2123">
        <v>262.92</v>
      </c>
      <c r="CR735" s="2123">
        <v>262.92</v>
      </c>
      <c r="CS735" s="2123"/>
      <c r="CT735" s="2123"/>
      <c r="CU735" s="2123"/>
      <c r="CV735" s="2123"/>
      <c r="CW735" s="2123">
        <v>95.13</v>
      </c>
      <c r="CX735" s="2123">
        <v>95.13</v>
      </c>
      <c r="CY735" s="2123">
        <v>204.79</v>
      </c>
      <c r="CZ735" s="2123">
        <v>204.79</v>
      </c>
      <c r="DA735" s="2123">
        <v>204.79</v>
      </c>
      <c r="DB735" s="2123">
        <v>204.79</v>
      </c>
      <c r="DC735" s="2123">
        <v>251.63</v>
      </c>
      <c r="DD735" s="2123">
        <v>251.63</v>
      </c>
      <c r="DE735" s="2123">
        <v>251.63</v>
      </c>
      <c r="DF735" s="2123">
        <v>251.63</v>
      </c>
      <c r="DG735" s="2123"/>
      <c r="DH735" s="2123"/>
      <c r="DI735" s="2123">
        <v>25.14</v>
      </c>
      <c r="DJ735" s="2123">
        <v>25.14</v>
      </c>
      <c r="DK735" s="2123">
        <v>25.14</v>
      </c>
      <c r="DL735" s="2123">
        <v>25.14</v>
      </c>
      <c r="DM735" s="2123">
        <v>25.14</v>
      </c>
      <c r="DN735" s="2123">
        <v>25.14</v>
      </c>
      <c r="DO735" s="2123"/>
      <c r="DP735" s="2123"/>
      <c r="DQ735" s="2123"/>
      <c r="DR735" s="2123"/>
      <c r="DS735" s="2123"/>
      <c r="DT735" s="2123"/>
      <c r="DU735" s="2123">
        <v>11.24</v>
      </c>
      <c r="DV735" s="2123">
        <v>11.24</v>
      </c>
      <c r="DW735" s="2123">
        <v>10.25</v>
      </c>
      <c r="DX735" s="2123">
        <v>10.25</v>
      </c>
      <c r="DY735" s="2123">
        <v>10.25</v>
      </c>
      <c r="DZ735" s="2123">
        <v>10.25</v>
      </c>
      <c r="EA735" s="2123"/>
      <c r="EB735" s="2123"/>
      <c r="EC735" s="2123"/>
      <c r="ED735" s="2123"/>
      <c r="EE735" s="2123"/>
      <c r="EF735" s="2123"/>
      <c r="EG735" s="2123">
        <v>12.07</v>
      </c>
      <c r="EH735" s="2123">
        <v>12.32</v>
      </c>
      <c r="EI735" s="2123">
        <v>8.5399999999999991</v>
      </c>
      <c r="EJ735" s="2123">
        <v>8.5399999999999991</v>
      </c>
      <c r="EK735" s="2123">
        <v>8.5</v>
      </c>
      <c r="EL735" s="2123">
        <v>8.5</v>
      </c>
      <c r="EM735" s="2123">
        <v>9.27</v>
      </c>
      <c r="EN735" s="2123">
        <v>9.27</v>
      </c>
      <c r="EO735" s="2123">
        <v>8.67</v>
      </c>
      <c r="EP735" s="2123">
        <v>8.67</v>
      </c>
      <c r="EQ735" s="2123">
        <v>8.92</v>
      </c>
      <c r="ER735" s="2123">
        <v>8.9600000000000009</v>
      </c>
      <c r="ES735" s="2123">
        <v>45.97</v>
      </c>
      <c r="ET735" s="2123">
        <v>45.97</v>
      </c>
      <c r="EU735" s="2123">
        <v>184.13</v>
      </c>
      <c r="EV735" s="2123">
        <v>184.13</v>
      </c>
      <c r="EW735" s="2123">
        <v>179.43</v>
      </c>
      <c r="EX735" s="2123">
        <v>179.43</v>
      </c>
      <c r="EY735" s="2129">
        <f t="shared" si="55"/>
        <v>181.78</v>
      </c>
      <c r="EZ735" s="2129">
        <f t="shared" si="55"/>
        <v>181.78</v>
      </c>
      <c r="FA735" s="2123">
        <v>184.5</v>
      </c>
      <c r="FB735" s="2123">
        <v>184.5</v>
      </c>
      <c r="FC735" s="2123"/>
      <c r="FD735" s="2123"/>
      <c r="FE735" s="2123">
        <v>39.46</v>
      </c>
      <c r="FF735" s="2123">
        <v>39.46</v>
      </c>
      <c r="FG735" s="2123">
        <v>154.27000000000001</v>
      </c>
      <c r="FH735" s="2123">
        <v>154.27000000000001</v>
      </c>
      <c r="FI735" s="2123">
        <v>154.27000000000001</v>
      </c>
      <c r="FJ735" s="2123">
        <v>157.80000000000001</v>
      </c>
      <c r="FK735" s="2123">
        <v>153.38999999999999</v>
      </c>
      <c r="FL735" s="2123">
        <v>153.38999999999999</v>
      </c>
      <c r="FM735" s="2123">
        <v>154.85</v>
      </c>
      <c r="FN735" s="2123">
        <v>154.85</v>
      </c>
      <c r="FO735" s="2123"/>
      <c r="FP735" s="2123"/>
      <c r="FQ735" s="2123">
        <v>89.05</v>
      </c>
      <c r="FR735" s="2123">
        <v>89.05</v>
      </c>
      <c r="FS735" s="2123">
        <v>172.95</v>
      </c>
      <c r="FT735" s="2123">
        <v>172.95</v>
      </c>
      <c r="FU735" s="2123">
        <v>172.95</v>
      </c>
      <c r="FV735" s="2123">
        <v>172.95</v>
      </c>
      <c r="FW735" s="2123">
        <v>173.88</v>
      </c>
      <c r="FX735" s="2123">
        <v>173.88</v>
      </c>
      <c r="FY735" s="2123"/>
      <c r="FZ735" s="2123"/>
      <c r="GA735" s="2123"/>
      <c r="GB735" s="2123"/>
      <c r="GC735" s="2123">
        <v>63.12</v>
      </c>
      <c r="GD735" s="2123">
        <v>63.12</v>
      </c>
      <c r="GE735" s="2123">
        <v>144.53</v>
      </c>
      <c r="GF735" s="2123">
        <v>144.53</v>
      </c>
      <c r="GG735" s="2123">
        <v>144.53</v>
      </c>
      <c r="GH735" s="2123">
        <v>144.53</v>
      </c>
      <c r="GI735" s="2123">
        <v>130.06</v>
      </c>
      <c r="GJ735" s="2123">
        <v>130.06</v>
      </c>
      <c r="GK735" s="2123">
        <v>163.63999999999999</v>
      </c>
      <c r="GL735" s="2123">
        <v>163.63999999999999</v>
      </c>
      <c r="GM735" s="2123"/>
      <c r="GN735" s="2123"/>
      <c r="GO735" s="2123">
        <v>33.78</v>
      </c>
      <c r="GP735" s="2123">
        <v>33.78</v>
      </c>
      <c r="GQ735" s="2123">
        <v>26.71</v>
      </c>
      <c r="GR735" s="2123">
        <v>26.71</v>
      </c>
      <c r="GS735" s="2123">
        <v>26.71</v>
      </c>
      <c r="GT735" s="2123">
        <v>25.67</v>
      </c>
      <c r="GU735" s="2123">
        <v>25.67</v>
      </c>
      <c r="GV735" s="2123">
        <v>26.28</v>
      </c>
      <c r="GW735" s="2123">
        <v>153.30000000000001</v>
      </c>
      <c r="GX735" s="2123">
        <v>153.30000000000001</v>
      </c>
      <c r="GY735" s="2123"/>
      <c r="GZ735" s="2123"/>
      <c r="HA735" s="2123">
        <v>23.56</v>
      </c>
      <c r="HB735" s="2123">
        <v>23.56</v>
      </c>
      <c r="HC735" s="2123">
        <v>15.37</v>
      </c>
      <c r="HD735" s="2123">
        <v>15.37</v>
      </c>
      <c r="HE735" s="2123">
        <v>16.350000000000001</v>
      </c>
      <c r="HF735" s="2123">
        <v>16.350000000000001</v>
      </c>
      <c r="HG735" s="2123">
        <v>16.350000000000001</v>
      </c>
      <c r="HH735" s="2123">
        <v>16.350000000000001</v>
      </c>
      <c r="HI735" s="2123">
        <v>16.350000000000001</v>
      </c>
      <c r="HJ735" s="2123">
        <v>16.350000000000001</v>
      </c>
      <c r="HK735" s="2123">
        <v>16.39</v>
      </c>
      <c r="HL735" s="2123">
        <v>16.82</v>
      </c>
      <c r="HM735" s="2123">
        <v>33.01</v>
      </c>
      <c r="HN735" s="2123">
        <v>33.01</v>
      </c>
      <c r="HO735" s="2123">
        <v>21.96</v>
      </c>
      <c r="HP735" s="2123">
        <v>21.96</v>
      </c>
      <c r="HQ735" s="2123">
        <v>23.39</v>
      </c>
      <c r="HR735" s="2123">
        <v>23.39</v>
      </c>
      <c r="HS735" s="2123">
        <v>23.39</v>
      </c>
      <c r="HT735" s="2123">
        <v>23.39</v>
      </c>
      <c r="HU735" s="2123">
        <v>23.39</v>
      </c>
      <c r="HV735" s="2123">
        <v>23.39</v>
      </c>
      <c r="HW735" s="2123">
        <v>23.35</v>
      </c>
      <c r="HX735" s="2123">
        <v>23.35</v>
      </c>
    </row>
    <row r="736" spans="2:232" s="2040" customFormat="1" ht="14" hidden="1" x14ac:dyDescent="0.3">
      <c r="B736" s="2203">
        <v>42</v>
      </c>
      <c r="C736" s="2204">
        <v>37.71</v>
      </c>
      <c r="D736" s="2204">
        <v>37.71</v>
      </c>
      <c r="E736" s="2204">
        <v>38.18</v>
      </c>
      <c r="F736" s="2204">
        <v>38.18</v>
      </c>
      <c r="G736" s="2204">
        <v>139.97</v>
      </c>
      <c r="H736" s="2204">
        <v>139.97</v>
      </c>
      <c r="I736" s="2204">
        <v>129.88999999999999</v>
      </c>
      <c r="J736" s="2204">
        <v>129.88999999999999</v>
      </c>
      <c r="K736" s="2204">
        <v>139.53</v>
      </c>
      <c r="L736" s="2204">
        <v>139.53</v>
      </c>
      <c r="M736" s="2204"/>
      <c r="N736" s="2204"/>
      <c r="O736" s="2204">
        <v>117.9</v>
      </c>
      <c r="P736" s="2204">
        <v>117.9</v>
      </c>
      <c r="Q736" s="2204">
        <v>118.21</v>
      </c>
      <c r="R736" s="2204">
        <v>117.9</v>
      </c>
      <c r="S736" s="2204">
        <v>200.22</v>
      </c>
      <c r="T736" s="2204">
        <v>200.22</v>
      </c>
      <c r="U736" s="2204">
        <v>193.26</v>
      </c>
      <c r="V736" s="2204">
        <v>193.26</v>
      </c>
      <c r="W736" s="2204">
        <v>200.22</v>
      </c>
      <c r="X736" s="2204">
        <v>200.22</v>
      </c>
      <c r="Y736" s="2204">
        <v>193.26</v>
      </c>
      <c r="Z736" s="2204">
        <v>200.22</v>
      </c>
      <c r="AA736" s="2204">
        <v>200.22</v>
      </c>
      <c r="AB736" s="2204">
        <v>200.22</v>
      </c>
      <c r="AC736" s="2204">
        <v>193.26</v>
      </c>
      <c r="AD736" s="2204">
        <v>193.26</v>
      </c>
      <c r="AE736" s="2204">
        <v>218.35</v>
      </c>
      <c r="AF736" s="2204">
        <v>212.12</v>
      </c>
      <c r="AG736" s="2204">
        <v>218.35</v>
      </c>
      <c r="AH736" s="2204">
        <v>218.35</v>
      </c>
      <c r="AI736" s="2204">
        <v>212.12</v>
      </c>
      <c r="AJ736" s="2204">
        <v>212.12</v>
      </c>
      <c r="AK736" s="2204">
        <v>213.26</v>
      </c>
      <c r="AL736" s="2204">
        <v>213.26</v>
      </c>
      <c r="AM736" s="2204">
        <v>62.39</v>
      </c>
      <c r="AN736" s="2204">
        <v>60.1</v>
      </c>
      <c r="AO736" s="2204">
        <v>60.1</v>
      </c>
      <c r="AP736" s="2204">
        <v>60.1</v>
      </c>
      <c r="AQ736" s="2204">
        <v>60.98</v>
      </c>
      <c r="AR736" s="2204">
        <v>60.98</v>
      </c>
      <c r="AS736" s="2204">
        <v>171.32</v>
      </c>
      <c r="AT736" s="2204">
        <v>171.32</v>
      </c>
      <c r="AU736" s="2204">
        <v>171.32</v>
      </c>
      <c r="AV736" s="2204">
        <v>175.75</v>
      </c>
      <c r="AW736" s="2204">
        <v>171.5</v>
      </c>
      <c r="AX736" s="2204">
        <v>171.5</v>
      </c>
      <c r="AY736" s="2204">
        <v>171.67</v>
      </c>
      <c r="AZ736" s="2204">
        <v>171.67</v>
      </c>
      <c r="BA736" s="2123">
        <v>73.989999999999995</v>
      </c>
      <c r="BB736" s="2123">
        <v>73.989999999999995</v>
      </c>
      <c r="BC736" s="2123">
        <v>17.86</v>
      </c>
      <c r="BD736" s="2123">
        <v>18.28</v>
      </c>
      <c r="BE736" s="2123">
        <v>22.25</v>
      </c>
      <c r="BF736" s="2123">
        <v>22.25</v>
      </c>
      <c r="BG736" s="2123">
        <v>17.91</v>
      </c>
      <c r="BH736" s="2123">
        <v>17.91</v>
      </c>
      <c r="BI736" s="2123">
        <v>17.760000000000002</v>
      </c>
      <c r="BJ736" s="2123">
        <v>17.760000000000002</v>
      </c>
      <c r="BK736" s="2123">
        <v>17.760000000000002</v>
      </c>
      <c r="BL736" s="2123">
        <v>17.760000000000002</v>
      </c>
      <c r="BM736" s="2123">
        <v>45.61</v>
      </c>
      <c r="BN736" s="2123">
        <v>45.61</v>
      </c>
      <c r="BO736" s="2123">
        <v>138.72999999999999</v>
      </c>
      <c r="BP736" s="2123">
        <v>138.72999999999999</v>
      </c>
      <c r="BQ736" s="2123">
        <v>138.72999999999999</v>
      </c>
      <c r="BR736" s="2123">
        <v>138.72999999999999</v>
      </c>
      <c r="BS736" s="2123">
        <v>171.34</v>
      </c>
      <c r="BT736" s="2123">
        <v>171.34</v>
      </c>
      <c r="BU736" s="2123">
        <v>171.34</v>
      </c>
      <c r="BV736" s="2123">
        <v>171.34</v>
      </c>
      <c r="BW736" s="2123">
        <v>171.34</v>
      </c>
      <c r="BX736" s="2123">
        <v>171.34</v>
      </c>
      <c r="BY736" s="2123">
        <v>41.43</v>
      </c>
      <c r="BZ736" s="2123">
        <v>41.43</v>
      </c>
      <c r="CA736" s="2123">
        <v>132.26</v>
      </c>
      <c r="CB736" s="2123">
        <v>132.26</v>
      </c>
      <c r="CC736" s="2123">
        <v>133.72</v>
      </c>
      <c r="CD736" s="2123">
        <v>133.72</v>
      </c>
      <c r="CE736" s="2123">
        <v>168.17</v>
      </c>
      <c r="CF736" s="2123">
        <v>168.17</v>
      </c>
      <c r="CG736" s="2123"/>
      <c r="CH736" s="2123"/>
      <c r="CI736" s="2123"/>
      <c r="CJ736" s="2123"/>
      <c r="CK736" s="2123">
        <v>105.16</v>
      </c>
      <c r="CL736" s="2123">
        <v>105.16</v>
      </c>
      <c r="CM736" s="2123">
        <v>215.96</v>
      </c>
      <c r="CN736" s="2123">
        <v>215.96</v>
      </c>
      <c r="CO736" s="2123">
        <v>265.85000000000002</v>
      </c>
      <c r="CP736" s="2123">
        <v>265.85000000000002</v>
      </c>
      <c r="CQ736" s="2123">
        <v>265.85000000000002</v>
      </c>
      <c r="CR736" s="2123">
        <v>265.85000000000002</v>
      </c>
      <c r="CS736" s="2123"/>
      <c r="CT736" s="2123"/>
      <c r="CU736" s="2123"/>
      <c r="CV736" s="2123"/>
      <c r="CW736" s="2123">
        <v>96.15</v>
      </c>
      <c r="CX736" s="2123">
        <v>96.15</v>
      </c>
      <c r="CY736" s="2123">
        <v>206.67</v>
      </c>
      <c r="CZ736" s="2123">
        <v>206.67</v>
      </c>
      <c r="DA736" s="2123">
        <v>206.67</v>
      </c>
      <c r="DB736" s="2123">
        <v>206.67</v>
      </c>
      <c r="DC736" s="2123">
        <v>254.56</v>
      </c>
      <c r="DD736" s="2123">
        <v>254.56</v>
      </c>
      <c r="DE736" s="2123">
        <v>254.56</v>
      </c>
      <c r="DF736" s="2123">
        <v>254.56</v>
      </c>
      <c r="DG736" s="2123"/>
      <c r="DH736" s="2123"/>
      <c r="DI736" s="2123">
        <v>25.41</v>
      </c>
      <c r="DJ736" s="2123">
        <v>25.41</v>
      </c>
      <c r="DK736" s="2123">
        <v>25.41</v>
      </c>
      <c r="DL736" s="2123">
        <v>25.41</v>
      </c>
      <c r="DM736" s="2123">
        <v>25.41</v>
      </c>
      <c r="DN736" s="2123">
        <v>25.41</v>
      </c>
      <c r="DO736" s="2123"/>
      <c r="DP736" s="2123"/>
      <c r="DQ736" s="2123"/>
      <c r="DR736" s="2123"/>
      <c r="DS736" s="2123"/>
      <c r="DT736" s="2123"/>
      <c r="DU736" s="2123">
        <v>11.36</v>
      </c>
      <c r="DV736" s="2123">
        <v>11.36</v>
      </c>
      <c r="DW736" s="2123">
        <v>10.39</v>
      </c>
      <c r="DX736" s="2123">
        <v>10.39</v>
      </c>
      <c r="DY736" s="2123">
        <v>10.39</v>
      </c>
      <c r="DZ736" s="2123">
        <v>10.39</v>
      </c>
      <c r="EA736" s="2123"/>
      <c r="EB736" s="2123"/>
      <c r="EC736" s="2123"/>
      <c r="ED736" s="2123"/>
      <c r="EE736" s="2123"/>
      <c r="EF736" s="2123"/>
      <c r="EG736" s="2123">
        <v>12.19</v>
      </c>
      <c r="EH736" s="2123">
        <v>12.44</v>
      </c>
      <c r="EI736" s="2123">
        <v>8.69</v>
      </c>
      <c r="EJ736" s="2123">
        <v>8.69</v>
      </c>
      <c r="EK736" s="2123">
        <v>8.66</v>
      </c>
      <c r="EL736" s="2123">
        <v>8.66</v>
      </c>
      <c r="EM736" s="2123">
        <v>9.42</v>
      </c>
      <c r="EN736" s="2123">
        <v>9.42</v>
      </c>
      <c r="EO736" s="2123">
        <v>8.82</v>
      </c>
      <c r="EP736" s="2123">
        <v>8.82</v>
      </c>
      <c r="EQ736" s="2123">
        <v>9.07</v>
      </c>
      <c r="ER736" s="2123">
        <v>9.1</v>
      </c>
      <c r="ES736" s="2123">
        <v>46.47</v>
      </c>
      <c r="ET736" s="2123">
        <v>46.47</v>
      </c>
      <c r="EU736" s="2123">
        <v>186.91</v>
      </c>
      <c r="EV736" s="2123">
        <v>186.91</v>
      </c>
      <c r="EW736" s="2123">
        <v>182.18</v>
      </c>
      <c r="EX736" s="2123">
        <v>182.18</v>
      </c>
      <c r="EY736" s="2129">
        <f t="shared" si="55"/>
        <v>184.54500000000002</v>
      </c>
      <c r="EZ736" s="2129">
        <f t="shared" si="55"/>
        <v>184.54500000000002</v>
      </c>
      <c r="FA736" s="2123">
        <v>187.19</v>
      </c>
      <c r="FB736" s="2123">
        <v>187.19</v>
      </c>
      <c r="FC736" s="2123"/>
      <c r="FD736" s="2123"/>
      <c r="FE736" s="2123">
        <v>39.89</v>
      </c>
      <c r="FF736" s="2123">
        <v>39.89</v>
      </c>
      <c r="FG736" s="2123">
        <v>156.63999999999999</v>
      </c>
      <c r="FH736" s="2123">
        <v>156.63999999999999</v>
      </c>
      <c r="FI736" s="2123">
        <v>156.63999999999999</v>
      </c>
      <c r="FJ736" s="2123">
        <v>160.06</v>
      </c>
      <c r="FK736" s="2123">
        <v>155.78</v>
      </c>
      <c r="FL736" s="2123">
        <v>155.78</v>
      </c>
      <c r="FM736" s="2123">
        <v>157.21</v>
      </c>
      <c r="FN736" s="2123">
        <v>157.21</v>
      </c>
      <c r="FO736" s="2123"/>
      <c r="FP736" s="2123"/>
      <c r="FQ736" s="2123">
        <v>90.02</v>
      </c>
      <c r="FR736" s="2123">
        <v>90.02</v>
      </c>
      <c r="FS736" s="2123">
        <v>175.12</v>
      </c>
      <c r="FT736" s="2123">
        <v>175.12</v>
      </c>
      <c r="FU736" s="2123">
        <v>175.12</v>
      </c>
      <c r="FV736" s="2123">
        <v>175.12</v>
      </c>
      <c r="FW736" s="2123">
        <v>176.04</v>
      </c>
      <c r="FX736" s="2123">
        <v>176.04</v>
      </c>
      <c r="FY736" s="2123"/>
      <c r="FZ736" s="2123"/>
      <c r="GA736" s="2123"/>
      <c r="GB736" s="2123"/>
      <c r="GC736" s="2123">
        <v>63.8</v>
      </c>
      <c r="GD736" s="2123">
        <v>63.8</v>
      </c>
      <c r="GE736" s="2123">
        <v>145.93</v>
      </c>
      <c r="GF736" s="2123">
        <v>145.93</v>
      </c>
      <c r="GG736" s="2123">
        <v>145.93</v>
      </c>
      <c r="GH736" s="2123">
        <v>145.93</v>
      </c>
      <c r="GI736" s="2123">
        <v>132.66999999999999</v>
      </c>
      <c r="GJ736" s="2123">
        <v>132.66999999999999</v>
      </c>
      <c r="GK736" s="2123">
        <v>166</v>
      </c>
      <c r="GL736" s="2123">
        <v>166</v>
      </c>
      <c r="GM736" s="2123"/>
      <c r="GN736" s="2123"/>
      <c r="GO736" s="2123">
        <v>34.14</v>
      </c>
      <c r="GP736" s="2123">
        <v>34.14</v>
      </c>
      <c r="GQ736" s="2123">
        <v>27.13</v>
      </c>
      <c r="GR736" s="2123">
        <v>27.13</v>
      </c>
      <c r="GS736" s="2123">
        <v>27.13</v>
      </c>
      <c r="GT736" s="2123">
        <v>26.08</v>
      </c>
      <c r="GU736" s="2123">
        <v>26.08</v>
      </c>
      <c r="GV736" s="2123">
        <v>26.67</v>
      </c>
      <c r="GW736" s="2123">
        <v>155.63</v>
      </c>
      <c r="GX736" s="2123">
        <v>155.63</v>
      </c>
      <c r="GY736" s="2123"/>
      <c r="GZ736" s="2123"/>
      <c r="HA736" s="2123">
        <v>23.81</v>
      </c>
      <c r="HB736" s="2123">
        <v>23.81</v>
      </c>
      <c r="HC736" s="2123">
        <v>15.67</v>
      </c>
      <c r="HD736" s="2123">
        <v>15.67</v>
      </c>
      <c r="HE736" s="2123">
        <v>16.64</v>
      </c>
      <c r="HF736" s="2123">
        <v>16.64</v>
      </c>
      <c r="HG736" s="2123">
        <v>16.64</v>
      </c>
      <c r="HH736" s="2123">
        <v>16.64</v>
      </c>
      <c r="HI736" s="2123">
        <v>16.64</v>
      </c>
      <c r="HJ736" s="2123">
        <v>16.64</v>
      </c>
      <c r="HK736" s="2123">
        <v>16.68</v>
      </c>
      <c r="HL736" s="2123">
        <v>17.11</v>
      </c>
      <c r="HM736" s="2123">
        <v>33.36</v>
      </c>
      <c r="HN736" s="2123">
        <v>33.36</v>
      </c>
      <c r="HO736" s="2123">
        <v>22.38</v>
      </c>
      <c r="HP736" s="2123">
        <v>22.38</v>
      </c>
      <c r="HQ736" s="2123">
        <v>23.8</v>
      </c>
      <c r="HR736" s="2123">
        <v>23.8</v>
      </c>
      <c r="HS736" s="2123">
        <v>23.8</v>
      </c>
      <c r="HT736" s="2123">
        <v>23.8</v>
      </c>
      <c r="HU736" s="2123">
        <v>23.8</v>
      </c>
      <c r="HV736" s="2123">
        <v>23.8</v>
      </c>
      <c r="HW736" s="2123">
        <v>23.76</v>
      </c>
      <c r="HX736" s="2123">
        <v>23.76</v>
      </c>
    </row>
    <row r="737" spans="2:232" s="2040" customFormat="1" ht="14" hidden="1" x14ac:dyDescent="0.3">
      <c r="B737" s="2203">
        <v>43</v>
      </c>
      <c r="C737" s="2204">
        <v>38.090000000000003</v>
      </c>
      <c r="D737" s="2204">
        <v>38.090000000000003</v>
      </c>
      <c r="E737" s="2204">
        <v>38.549999999999997</v>
      </c>
      <c r="F737" s="2204">
        <v>38.549999999999997</v>
      </c>
      <c r="G737" s="2204">
        <v>141.71</v>
      </c>
      <c r="H737" s="2204">
        <v>141.71</v>
      </c>
      <c r="I737" s="2204">
        <v>131.63999999999999</v>
      </c>
      <c r="J737" s="2204">
        <v>131.63999999999999</v>
      </c>
      <c r="K737" s="2204">
        <v>141.06</v>
      </c>
      <c r="L737" s="2204">
        <v>141.06</v>
      </c>
      <c r="M737" s="2204"/>
      <c r="N737" s="2204"/>
      <c r="O737" s="2204">
        <v>119.11</v>
      </c>
      <c r="P737" s="2204">
        <v>119.11</v>
      </c>
      <c r="Q737" s="2204">
        <v>119.38</v>
      </c>
      <c r="R737" s="2204">
        <v>119.12</v>
      </c>
      <c r="S737" s="2204">
        <v>203.17</v>
      </c>
      <c r="T737" s="2204">
        <v>203.17</v>
      </c>
      <c r="U737" s="2204">
        <v>196.11</v>
      </c>
      <c r="V737" s="2204">
        <v>196.11</v>
      </c>
      <c r="W737" s="2204">
        <v>203.17</v>
      </c>
      <c r="X737" s="2204">
        <v>203.17</v>
      </c>
      <c r="Y737" s="2204">
        <v>196.11</v>
      </c>
      <c r="Z737" s="2204">
        <v>203.17</v>
      </c>
      <c r="AA737" s="2204">
        <v>203.17</v>
      </c>
      <c r="AB737" s="2204">
        <v>203.17</v>
      </c>
      <c r="AC737" s="2204">
        <v>196.11</v>
      </c>
      <c r="AD737" s="2204">
        <v>196.11</v>
      </c>
      <c r="AE737" s="2204">
        <v>221.13</v>
      </c>
      <c r="AF737" s="2204">
        <v>214.82</v>
      </c>
      <c r="AG737" s="2204">
        <v>221.13</v>
      </c>
      <c r="AH737" s="2204">
        <v>221.13</v>
      </c>
      <c r="AI737" s="2204">
        <v>214.82</v>
      </c>
      <c r="AJ737" s="2204">
        <v>214.82</v>
      </c>
      <c r="AK737" s="2204">
        <v>215.92</v>
      </c>
      <c r="AL737" s="2204">
        <v>215.92</v>
      </c>
      <c r="AM737" s="2204">
        <v>63.03</v>
      </c>
      <c r="AN737" s="2204">
        <v>60.72</v>
      </c>
      <c r="AO737" s="2204">
        <v>60.72</v>
      </c>
      <c r="AP737" s="2204">
        <v>60.72</v>
      </c>
      <c r="AQ737" s="2204">
        <v>61.57</v>
      </c>
      <c r="AR737" s="2204">
        <v>61.57</v>
      </c>
      <c r="AS737" s="2204">
        <v>173.55</v>
      </c>
      <c r="AT737" s="2204">
        <v>173.55</v>
      </c>
      <c r="AU737" s="2204">
        <v>173.55</v>
      </c>
      <c r="AV737" s="2204">
        <v>178</v>
      </c>
      <c r="AW737" s="2204">
        <v>173.74</v>
      </c>
      <c r="AX737" s="2204">
        <v>173.74</v>
      </c>
      <c r="AY737" s="2204">
        <v>173.9</v>
      </c>
      <c r="AZ737" s="2204">
        <v>173.9</v>
      </c>
      <c r="BA737" s="2123">
        <v>74.989999999999995</v>
      </c>
      <c r="BB737" s="2123">
        <v>74.989999999999995</v>
      </c>
      <c r="BC737" s="2123">
        <v>18.14</v>
      </c>
      <c r="BD737" s="2123">
        <v>18.559999999999999</v>
      </c>
      <c r="BE737" s="2123">
        <v>22.49</v>
      </c>
      <c r="BF737" s="2123">
        <v>22.49</v>
      </c>
      <c r="BG737" s="2123">
        <v>18.2</v>
      </c>
      <c r="BH737" s="2123">
        <v>18.2</v>
      </c>
      <c r="BI737" s="2123">
        <v>18.04</v>
      </c>
      <c r="BJ737" s="2123">
        <v>18.04</v>
      </c>
      <c r="BK737" s="2123">
        <v>18.04</v>
      </c>
      <c r="BL737" s="2123">
        <v>18.04</v>
      </c>
      <c r="BM737" s="2123">
        <v>46.08</v>
      </c>
      <c r="BN737" s="2123">
        <v>46.08</v>
      </c>
      <c r="BO737" s="2123">
        <v>140.36000000000001</v>
      </c>
      <c r="BP737" s="2123">
        <v>140.36000000000001</v>
      </c>
      <c r="BQ737" s="2123">
        <v>140.36000000000001</v>
      </c>
      <c r="BR737" s="2123">
        <v>140.36000000000001</v>
      </c>
      <c r="BS737" s="2123">
        <v>173.76</v>
      </c>
      <c r="BT737" s="2123">
        <v>173.76</v>
      </c>
      <c r="BU737" s="2123">
        <v>173.76</v>
      </c>
      <c r="BV737" s="2123">
        <v>173.76</v>
      </c>
      <c r="BW737" s="2123">
        <v>173.76</v>
      </c>
      <c r="BX737" s="2123">
        <v>173.76</v>
      </c>
      <c r="BY737" s="2123">
        <v>41.86</v>
      </c>
      <c r="BZ737" s="2123">
        <v>41.86</v>
      </c>
      <c r="CA737" s="2123">
        <v>133.85</v>
      </c>
      <c r="CB737" s="2123">
        <v>133.85</v>
      </c>
      <c r="CC737" s="2123">
        <v>135.35</v>
      </c>
      <c r="CD737" s="2123">
        <v>135.35</v>
      </c>
      <c r="CE737" s="2123">
        <v>170.59</v>
      </c>
      <c r="CF737" s="2123">
        <v>170.59</v>
      </c>
      <c r="CG737" s="2123"/>
      <c r="CH737" s="2123"/>
      <c r="CI737" s="2123"/>
      <c r="CJ737" s="2123"/>
      <c r="CK737" s="2123">
        <v>106.1</v>
      </c>
      <c r="CL737" s="2123">
        <v>106.1</v>
      </c>
      <c r="CM737" s="2123">
        <v>217.76</v>
      </c>
      <c r="CN737" s="2123">
        <v>217.76</v>
      </c>
      <c r="CO737" s="2123">
        <v>268.68</v>
      </c>
      <c r="CP737" s="2123">
        <v>268.68</v>
      </c>
      <c r="CQ737" s="2123">
        <v>268.68</v>
      </c>
      <c r="CR737" s="2123">
        <v>268.68</v>
      </c>
      <c r="CS737" s="2123"/>
      <c r="CT737" s="2123"/>
      <c r="CU737" s="2123"/>
      <c r="CV737" s="2123"/>
      <c r="CW737" s="2123">
        <v>97.14</v>
      </c>
      <c r="CX737" s="2123">
        <v>97.14</v>
      </c>
      <c r="CY737" s="2123">
        <v>208.49</v>
      </c>
      <c r="CZ737" s="2123">
        <v>208.49</v>
      </c>
      <c r="DA737" s="2123">
        <v>208.49</v>
      </c>
      <c r="DB737" s="2123">
        <v>208.49</v>
      </c>
      <c r="DC737" s="2123">
        <v>257.38</v>
      </c>
      <c r="DD737" s="2123">
        <v>257.38</v>
      </c>
      <c r="DE737" s="2123">
        <v>257.38</v>
      </c>
      <c r="DF737" s="2123">
        <v>257.38</v>
      </c>
      <c r="DG737" s="2123"/>
      <c r="DH737" s="2123"/>
      <c r="DI737" s="2123">
        <v>25.67</v>
      </c>
      <c r="DJ737" s="2123">
        <v>25.67</v>
      </c>
      <c r="DK737" s="2123">
        <v>25.67</v>
      </c>
      <c r="DL737" s="2123">
        <v>25.67</v>
      </c>
      <c r="DM737" s="2123">
        <v>25.67</v>
      </c>
      <c r="DN737" s="2123">
        <v>25.67</v>
      </c>
      <c r="DO737" s="2123"/>
      <c r="DP737" s="2123"/>
      <c r="DQ737" s="2123"/>
      <c r="DR737" s="2123"/>
      <c r="DS737" s="2123"/>
      <c r="DT737" s="2123"/>
      <c r="DU737" s="2123">
        <v>11.47</v>
      </c>
      <c r="DV737" s="2123">
        <v>11.47</v>
      </c>
      <c r="DW737" s="2123">
        <v>10.52</v>
      </c>
      <c r="DX737" s="2123">
        <v>10.52</v>
      </c>
      <c r="DY737" s="2123">
        <v>10.52</v>
      </c>
      <c r="DZ737" s="2123">
        <v>10.52</v>
      </c>
      <c r="EA737" s="2123"/>
      <c r="EB737" s="2123"/>
      <c r="EC737" s="2123"/>
      <c r="ED737" s="2123"/>
      <c r="EE737" s="2123"/>
      <c r="EF737" s="2123"/>
      <c r="EG737" s="2123">
        <v>12.31</v>
      </c>
      <c r="EH737" s="2123">
        <v>12.56</v>
      </c>
      <c r="EI737" s="2123">
        <v>8.83</v>
      </c>
      <c r="EJ737" s="2123">
        <v>8.83</v>
      </c>
      <c r="EK737" s="2123">
        <v>8.8000000000000007</v>
      </c>
      <c r="EL737" s="2123">
        <v>8.8000000000000007</v>
      </c>
      <c r="EM737" s="2123">
        <v>9.56</v>
      </c>
      <c r="EN737" s="2123">
        <v>9.56</v>
      </c>
      <c r="EO737" s="2123">
        <v>8.9600000000000009</v>
      </c>
      <c r="EP737" s="2123">
        <v>8.9600000000000009</v>
      </c>
      <c r="EQ737" s="2123">
        <v>9.2100000000000009</v>
      </c>
      <c r="ER737" s="2123">
        <v>9.24</v>
      </c>
      <c r="ES737" s="2123">
        <v>46.95</v>
      </c>
      <c r="ET737" s="2123">
        <v>46.95</v>
      </c>
      <c r="EU737" s="2123">
        <v>189.6</v>
      </c>
      <c r="EV737" s="2123">
        <v>189.6</v>
      </c>
      <c r="EW737" s="2123">
        <v>184.84</v>
      </c>
      <c r="EX737" s="2123">
        <v>184.84</v>
      </c>
      <c r="EY737" s="2129">
        <f t="shared" si="55"/>
        <v>187.22</v>
      </c>
      <c r="EZ737" s="2129">
        <f t="shared" si="55"/>
        <v>187.22</v>
      </c>
      <c r="FA737" s="2123">
        <v>189.79</v>
      </c>
      <c r="FB737" s="2123">
        <v>189.79</v>
      </c>
      <c r="FC737" s="2123"/>
      <c r="FD737" s="2123"/>
      <c r="FE737" s="2123">
        <v>40.299999999999997</v>
      </c>
      <c r="FF737" s="2123">
        <v>40.299999999999997</v>
      </c>
      <c r="FG737" s="2123">
        <v>158.94</v>
      </c>
      <c r="FH737" s="2123">
        <v>158.94</v>
      </c>
      <c r="FI737" s="2123">
        <v>158.94</v>
      </c>
      <c r="FJ737" s="2123">
        <v>162.25</v>
      </c>
      <c r="FK737" s="2123">
        <v>158.1</v>
      </c>
      <c r="FL737" s="2123">
        <v>158.1</v>
      </c>
      <c r="FM737" s="2123">
        <v>159.5</v>
      </c>
      <c r="FN737" s="2123">
        <v>159.5</v>
      </c>
      <c r="FO737" s="2123"/>
      <c r="FP737" s="2123"/>
      <c r="FQ737" s="2123">
        <v>90.96</v>
      </c>
      <c r="FR737" s="2123">
        <v>90.96</v>
      </c>
      <c r="FS737" s="2123">
        <v>177.22</v>
      </c>
      <c r="FT737" s="2123">
        <v>177.22</v>
      </c>
      <c r="FU737" s="2123">
        <v>177.22</v>
      </c>
      <c r="FV737" s="2123">
        <v>177.22</v>
      </c>
      <c r="FW737" s="2123">
        <v>178.12</v>
      </c>
      <c r="FX737" s="2123">
        <v>178.12</v>
      </c>
      <c r="FY737" s="2123"/>
      <c r="FZ737" s="2123"/>
      <c r="GA737" s="2123"/>
      <c r="GB737" s="2123"/>
      <c r="GC737" s="2123">
        <v>64.45</v>
      </c>
      <c r="GD737" s="2123">
        <v>64.45</v>
      </c>
      <c r="GE737" s="2123">
        <v>147.29</v>
      </c>
      <c r="GF737" s="2123">
        <v>147.29</v>
      </c>
      <c r="GG737" s="2123">
        <v>147.29</v>
      </c>
      <c r="GH737" s="2123">
        <v>147.29</v>
      </c>
      <c r="GI737" s="2123">
        <v>135.21</v>
      </c>
      <c r="GJ737" s="2123">
        <v>135.21</v>
      </c>
      <c r="GK737" s="2123">
        <v>168.27</v>
      </c>
      <c r="GL737" s="2123">
        <v>168.27</v>
      </c>
      <c r="GM737" s="2123"/>
      <c r="GN737" s="2123"/>
      <c r="GO737" s="2123">
        <v>34.5</v>
      </c>
      <c r="GP737" s="2123">
        <v>34.5</v>
      </c>
      <c r="GQ737" s="2123">
        <v>27.54</v>
      </c>
      <c r="GR737" s="2123">
        <v>27.54</v>
      </c>
      <c r="GS737" s="2123">
        <v>27.54</v>
      </c>
      <c r="GT737" s="2123">
        <v>26.47</v>
      </c>
      <c r="GU737" s="2123">
        <v>26.47</v>
      </c>
      <c r="GV737" s="2123">
        <v>27.05</v>
      </c>
      <c r="GW737" s="2123">
        <v>157.88999999999999</v>
      </c>
      <c r="GX737" s="2123">
        <v>157.88999999999999</v>
      </c>
      <c r="GY737" s="2123"/>
      <c r="GZ737" s="2123"/>
      <c r="HA737" s="2123">
        <v>24.05</v>
      </c>
      <c r="HB737" s="2123">
        <v>24.05</v>
      </c>
      <c r="HC737" s="2123">
        <v>15.96</v>
      </c>
      <c r="HD737" s="2123">
        <v>15.96</v>
      </c>
      <c r="HE737" s="2123">
        <v>16.93</v>
      </c>
      <c r="HF737" s="2123">
        <v>16.93</v>
      </c>
      <c r="HG737" s="2123">
        <v>16.93</v>
      </c>
      <c r="HH737" s="2123">
        <v>16.93</v>
      </c>
      <c r="HI737" s="2123">
        <v>16.93</v>
      </c>
      <c r="HJ737" s="2123">
        <v>16.93</v>
      </c>
      <c r="HK737" s="2123">
        <v>16.97</v>
      </c>
      <c r="HL737" s="2123">
        <v>17.38</v>
      </c>
      <c r="HM737" s="2123">
        <v>33.700000000000003</v>
      </c>
      <c r="HN737" s="2123">
        <v>33.700000000000003</v>
      </c>
      <c r="HO737" s="2123">
        <v>22.79</v>
      </c>
      <c r="HP737" s="2123">
        <v>22.79</v>
      </c>
      <c r="HQ737" s="2123">
        <v>24.19</v>
      </c>
      <c r="HR737" s="2123">
        <v>24.19</v>
      </c>
      <c r="HS737" s="2123">
        <v>24.19</v>
      </c>
      <c r="HT737" s="2123">
        <v>24.19</v>
      </c>
      <c r="HU737" s="2123">
        <v>24.19</v>
      </c>
      <c r="HV737" s="2123">
        <v>24.19</v>
      </c>
      <c r="HW737" s="2123">
        <v>24.16</v>
      </c>
      <c r="HX737" s="2123">
        <v>24.16</v>
      </c>
    </row>
    <row r="738" spans="2:232" s="2040" customFormat="1" ht="14" hidden="1" x14ac:dyDescent="0.3">
      <c r="B738" s="2203">
        <v>44</v>
      </c>
      <c r="C738" s="2204">
        <v>38.46</v>
      </c>
      <c r="D738" s="2204">
        <v>38.46</v>
      </c>
      <c r="E738" s="2204">
        <v>38.9</v>
      </c>
      <c r="F738" s="2204">
        <v>38.9</v>
      </c>
      <c r="G738" s="2204">
        <v>143.38999999999999</v>
      </c>
      <c r="H738" s="2204">
        <v>143.38999999999999</v>
      </c>
      <c r="I738" s="2204">
        <v>133.34</v>
      </c>
      <c r="J738" s="2204">
        <v>133.34</v>
      </c>
      <c r="K738" s="2204">
        <v>142.55000000000001</v>
      </c>
      <c r="L738" s="2204">
        <v>142.55000000000001</v>
      </c>
      <c r="M738" s="2204"/>
      <c r="N738" s="2204"/>
      <c r="O738" s="2204">
        <v>120.28</v>
      </c>
      <c r="P738" s="2204">
        <v>120.28</v>
      </c>
      <c r="Q738" s="2204">
        <v>120.51</v>
      </c>
      <c r="R738" s="2204">
        <v>120.29</v>
      </c>
      <c r="S738" s="2204">
        <v>206.03</v>
      </c>
      <c r="T738" s="2204">
        <v>206.03</v>
      </c>
      <c r="U738" s="2204">
        <v>198.87</v>
      </c>
      <c r="V738" s="2204">
        <v>198.87</v>
      </c>
      <c r="W738" s="2204">
        <v>206.03</v>
      </c>
      <c r="X738" s="2204">
        <v>206.03</v>
      </c>
      <c r="Y738" s="2204">
        <v>198.87</v>
      </c>
      <c r="Z738" s="2204">
        <v>206.03</v>
      </c>
      <c r="AA738" s="2204">
        <v>206.03</v>
      </c>
      <c r="AB738" s="2204">
        <v>206.03</v>
      </c>
      <c r="AC738" s="2204">
        <v>198.87</v>
      </c>
      <c r="AD738" s="2204">
        <v>198.87</v>
      </c>
      <c r="AE738" s="2204">
        <v>223.81</v>
      </c>
      <c r="AF738" s="2204">
        <v>217.42</v>
      </c>
      <c r="AG738" s="2204">
        <v>223.81</v>
      </c>
      <c r="AH738" s="2204">
        <v>223.81</v>
      </c>
      <c r="AI738" s="2204">
        <v>217.42</v>
      </c>
      <c r="AJ738" s="2204">
        <v>217.42</v>
      </c>
      <c r="AK738" s="2204">
        <v>218.49</v>
      </c>
      <c r="AL738" s="2204">
        <v>218.49</v>
      </c>
      <c r="AM738" s="2204">
        <v>63.65</v>
      </c>
      <c r="AN738" s="2204">
        <v>61.32</v>
      </c>
      <c r="AO738" s="2204">
        <v>61.32</v>
      </c>
      <c r="AP738" s="2204">
        <v>61.32</v>
      </c>
      <c r="AQ738" s="2204">
        <v>62.13</v>
      </c>
      <c r="AR738" s="2204">
        <v>62.13</v>
      </c>
      <c r="AS738" s="2204">
        <v>175.7</v>
      </c>
      <c r="AT738" s="2204">
        <v>175.7</v>
      </c>
      <c r="AU738" s="2204">
        <v>175.7</v>
      </c>
      <c r="AV738" s="2204">
        <v>180.17</v>
      </c>
      <c r="AW738" s="2204">
        <v>175.91</v>
      </c>
      <c r="AX738" s="2204">
        <v>175.91</v>
      </c>
      <c r="AY738" s="2204">
        <v>176.06</v>
      </c>
      <c r="AZ738" s="2204">
        <v>176.06</v>
      </c>
      <c r="BA738" s="2123">
        <v>75.959999999999994</v>
      </c>
      <c r="BB738" s="2123">
        <v>75.959999999999994</v>
      </c>
      <c r="BC738" s="2123">
        <v>18.420000000000002</v>
      </c>
      <c r="BD738" s="2123">
        <v>18.82</v>
      </c>
      <c r="BE738" s="2123">
        <v>22.71</v>
      </c>
      <c r="BF738" s="2123">
        <v>22.71</v>
      </c>
      <c r="BG738" s="2123">
        <v>18.47</v>
      </c>
      <c r="BH738" s="2123">
        <v>18.47</v>
      </c>
      <c r="BI738" s="2123">
        <v>18.32</v>
      </c>
      <c r="BJ738" s="2123">
        <v>18.32</v>
      </c>
      <c r="BK738" s="2123">
        <v>18.32</v>
      </c>
      <c r="BL738" s="2123">
        <v>18.32</v>
      </c>
      <c r="BM738" s="2123">
        <v>46.53</v>
      </c>
      <c r="BN738" s="2123">
        <v>46.53</v>
      </c>
      <c r="BO738" s="2123">
        <v>141.94</v>
      </c>
      <c r="BP738" s="2123">
        <v>141.94</v>
      </c>
      <c r="BQ738" s="2123">
        <v>141.94</v>
      </c>
      <c r="BR738" s="2123">
        <v>141.94</v>
      </c>
      <c r="BS738" s="2123">
        <v>176.11</v>
      </c>
      <c r="BT738" s="2123">
        <v>176.11</v>
      </c>
      <c r="BU738" s="2123">
        <v>176.11</v>
      </c>
      <c r="BV738" s="2123">
        <v>176.11</v>
      </c>
      <c r="BW738" s="2123">
        <v>176.11</v>
      </c>
      <c r="BX738" s="2123">
        <v>176.11</v>
      </c>
      <c r="BY738" s="2123">
        <v>42.26</v>
      </c>
      <c r="BZ738" s="2123">
        <v>42.26</v>
      </c>
      <c r="CA738" s="2123">
        <v>135.38</v>
      </c>
      <c r="CB738" s="2123">
        <v>135.38</v>
      </c>
      <c r="CC738" s="2123">
        <v>136.94</v>
      </c>
      <c r="CD738" s="2123">
        <v>136.94</v>
      </c>
      <c r="CE738" s="2123">
        <v>172.93</v>
      </c>
      <c r="CF738" s="2123">
        <v>172.93</v>
      </c>
      <c r="CG738" s="2123"/>
      <c r="CH738" s="2123"/>
      <c r="CI738" s="2123"/>
      <c r="CJ738" s="2123"/>
      <c r="CK738" s="2123">
        <v>107.02</v>
      </c>
      <c r="CL738" s="2123">
        <v>107.02</v>
      </c>
      <c r="CM738" s="2123">
        <v>219.49</v>
      </c>
      <c r="CN738" s="2123">
        <v>219.49</v>
      </c>
      <c r="CO738" s="2123">
        <v>271.41000000000003</v>
      </c>
      <c r="CP738" s="2123">
        <v>271.41000000000003</v>
      </c>
      <c r="CQ738" s="2123">
        <v>271.41000000000003</v>
      </c>
      <c r="CR738" s="2123">
        <v>271.41000000000003</v>
      </c>
      <c r="CS738" s="2123"/>
      <c r="CT738" s="2123"/>
      <c r="CU738" s="2123"/>
      <c r="CV738" s="2123"/>
      <c r="CW738" s="2123">
        <v>98.09</v>
      </c>
      <c r="CX738" s="2123">
        <v>98.09</v>
      </c>
      <c r="CY738" s="2123">
        <v>210.24</v>
      </c>
      <c r="CZ738" s="2123">
        <v>210.24</v>
      </c>
      <c r="DA738" s="2123">
        <v>210.24</v>
      </c>
      <c r="DB738" s="2123">
        <v>210.24</v>
      </c>
      <c r="DC738" s="2123">
        <v>260.11</v>
      </c>
      <c r="DD738" s="2123">
        <v>260.11</v>
      </c>
      <c r="DE738" s="2123">
        <v>260.11</v>
      </c>
      <c r="DF738" s="2123">
        <v>260.11</v>
      </c>
      <c r="DG738" s="2123"/>
      <c r="DH738" s="2123"/>
      <c r="DI738" s="2123">
        <v>25.92</v>
      </c>
      <c r="DJ738" s="2123">
        <v>25.92</v>
      </c>
      <c r="DK738" s="2123">
        <v>25.92</v>
      </c>
      <c r="DL738" s="2123">
        <v>25.92</v>
      </c>
      <c r="DM738" s="2123">
        <v>25.92</v>
      </c>
      <c r="DN738" s="2123">
        <v>25.92</v>
      </c>
      <c r="DO738" s="2123"/>
      <c r="DP738" s="2123"/>
      <c r="DQ738" s="2123"/>
      <c r="DR738" s="2123"/>
      <c r="DS738" s="2123"/>
      <c r="DT738" s="2123"/>
      <c r="DU738" s="2123">
        <v>11.58</v>
      </c>
      <c r="DV738" s="2123">
        <v>11.58</v>
      </c>
      <c r="DW738" s="2123">
        <v>10.65</v>
      </c>
      <c r="DX738" s="2123">
        <v>10.65</v>
      </c>
      <c r="DY738" s="2123">
        <v>10.65</v>
      </c>
      <c r="DZ738" s="2123">
        <v>10.65</v>
      </c>
      <c r="EA738" s="2123"/>
      <c r="EB738" s="2123"/>
      <c r="EC738" s="2123"/>
      <c r="ED738" s="2123"/>
      <c r="EE738" s="2123"/>
      <c r="EF738" s="2123"/>
      <c r="EG738" s="2123">
        <v>12.43</v>
      </c>
      <c r="EH738" s="2123">
        <v>12.67</v>
      </c>
      <c r="EI738" s="2123">
        <v>8.9700000000000006</v>
      </c>
      <c r="EJ738" s="2123">
        <v>8.9700000000000006</v>
      </c>
      <c r="EK738" s="2123">
        <v>8.9499999999999993</v>
      </c>
      <c r="EL738" s="2123">
        <v>8.9499999999999993</v>
      </c>
      <c r="EM738" s="2123">
        <v>9.6999999999999993</v>
      </c>
      <c r="EN738" s="2123">
        <v>9.6999999999999993</v>
      </c>
      <c r="EO738" s="2123">
        <v>9.09</v>
      </c>
      <c r="EP738" s="2123">
        <v>9.09</v>
      </c>
      <c r="EQ738" s="2123">
        <v>9.35</v>
      </c>
      <c r="ER738" s="2123">
        <v>9.3699999999999992</v>
      </c>
      <c r="ES738" s="2123">
        <v>47.41</v>
      </c>
      <c r="ET738" s="2123">
        <v>47.41</v>
      </c>
      <c r="EU738" s="2123">
        <v>192.2</v>
      </c>
      <c r="EV738" s="2123">
        <v>192.2</v>
      </c>
      <c r="EW738" s="2123">
        <v>187.42</v>
      </c>
      <c r="EX738" s="2123">
        <v>187.42</v>
      </c>
      <c r="EY738" s="2129">
        <f t="shared" si="55"/>
        <v>189.81</v>
      </c>
      <c r="EZ738" s="2129">
        <f t="shared" si="55"/>
        <v>189.81</v>
      </c>
      <c r="FA738" s="2123">
        <v>192.31</v>
      </c>
      <c r="FB738" s="2123">
        <v>192.31</v>
      </c>
      <c r="FC738" s="2123"/>
      <c r="FD738" s="2123"/>
      <c r="FE738" s="2123">
        <v>40.700000000000003</v>
      </c>
      <c r="FF738" s="2123">
        <v>40.700000000000003</v>
      </c>
      <c r="FG738" s="2123">
        <v>161.16999999999999</v>
      </c>
      <c r="FH738" s="2123">
        <v>161.16999999999999</v>
      </c>
      <c r="FI738" s="2123">
        <v>161.16999999999999</v>
      </c>
      <c r="FJ738" s="2123">
        <v>164.38</v>
      </c>
      <c r="FK738" s="2123">
        <v>160.34</v>
      </c>
      <c r="FL738" s="2123">
        <v>160.34</v>
      </c>
      <c r="FM738" s="2123">
        <v>161.72</v>
      </c>
      <c r="FN738" s="2123">
        <v>161.72</v>
      </c>
      <c r="FO738" s="2123"/>
      <c r="FP738" s="2123"/>
      <c r="FQ738" s="2123">
        <v>91.87</v>
      </c>
      <c r="FR738" s="2123">
        <v>91.87</v>
      </c>
      <c r="FS738" s="2123">
        <v>179.25</v>
      </c>
      <c r="FT738" s="2123">
        <v>179.25</v>
      </c>
      <c r="FU738" s="2123">
        <v>179.25</v>
      </c>
      <c r="FV738" s="2123">
        <v>179.25</v>
      </c>
      <c r="FW738" s="2123">
        <v>180.13</v>
      </c>
      <c r="FX738" s="2123">
        <v>180.13</v>
      </c>
      <c r="FY738" s="2123"/>
      <c r="FZ738" s="2123"/>
      <c r="GA738" s="2123"/>
      <c r="GB738" s="2123"/>
      <c r="GC738" s="2123">
        <v>65.08</v>
      </c>
      <c r="GD738" s="2123">
        <v>65.08</v>
      </c>
      <c r="GE738" s="2123">
        <v>148.59</v>
      </c>
      <c r="GF738" s="2123">
        <v>148.59</v>
      </c>
      <c r="GG738" s="2123">
        <v>148.59</v>
      </c>
      <c r="GH738" s="2123">
        <v>148.59</v>
      </c>
      <c r="GI738" s="2123">
        <v>137.68</v>
      </c>
      <c r="GJ738" s="2123">
        <v>137.68</v>
      </c>
      <c r="GK738" s="2123">
        <v>170.48</v>
      </c>
      <c r="GL738" s="2123">
        <v>170.48</v>
      </c>
      <c r="GM738" s="2123"/>
      <c r="GN738" s="2123"/>
      <c r="GO738" s="2123">
        <v>34.83</v>
      </c>
      <c r="GP738" s="2123">
        <v>34.83</v>
      </c>
      <c r="GQ738" s="2123">
        <v>27.93</v>
      </c>
      <c r="GR738" s="2123">
        <v>27.93</v>
      </c>
      <c r="GS738" s="2123">
        <v>27.93</v>
      </c>
      <c r="GT738" s="2123">
        <v>26.86</v>
      </c>
      <c r="GU738" s="2123">
        <v>26.86</v>
      </c>
      <c r="GV738" s="2123">
        <v>27.41</v>
      </c>
      <c r="GW738" s="2123">
        <v>160.08000000000001</v>
      </c>
      <c r="GX738" s="2123">
        <v>160.08000000000001</v>
      </c>
      <c r="GY738" s="2123"/>
      <c r="GZ738" s="2123"/>
      <c r="HA738" s="2123">
        <v>24.28</v>
      </c>
      <c r="HB738" s="2123">
        <v>24.28</v>
      </c>
      <c r="HC738" s="2123">
        <v>16.25</v>
      </c>
      <c r="HD738" s="2123">
        <v>16.25</v>
      </c>
      <c r="HE738" s="2123">
        <v>17.2</v>
      </c>
      <c r="HF738" s="2123">
        <v>17.2</v>
      </c>
      <c r="HG738" s="2123">
        <v>17.2</v>
      </c>
      <c r="HH738" s="2123">
        <v>17.2</v>
      </c>
      <c r="HI738" s="2123">
        <v>17.2</v>
      </c>
      <c r="HJ738" s="2123">
        <v>17.2</v>
      </c>
      <c r="HK738" s="2123">
        <v>17.239999999999998</v>
      </c>
      <c r="HL738" s="2123">
        <v>17.649999999999999</v>
      </c>
      <c r="HM738" s="2123">
        <v>34.03</v>
      </c>
      <c r="HN738" s="2123">
        <v>34.03</v>
      </c>
      <c r="HO738" s="2123">
        <v>23.19</v>
      </c>
      <c r="HP738" s="2123">
        <v>23.19</v>
      </c>
      <c r="HQ738" s="2123">
        <v>24.57</v>
      </c>
      <c r="HR738" s="2123">
        <v>24.57</v>
      </c>
      <c r="HS738" s="2123">
        <v>24.57</v>
      </c>
      <c r="HT738" s="2123">
        <v>24.57</v>
      </c>
      <c r="HU738" s="2123">
        <v>24.57</v>
      </c>
      <c r="HV738" s="2123">
        <v>24.57</v>
      </c>
      <c r="HW738" s="2123">
        <v>24.54</v>
      </c>
      <c r="HX738" s="2123">
        <v>24.54</v>
      </c>
    </row>
    <row r="739" spans="2:232" s="2040" customFormat="1" ht="14" hidden="1" x14ac:dyDescent="0.3">
      <c r="B739" s="2203">
        <v>45</v>
      </c>
      <c r="C739" s="2204">
        <v>38.82</v>
      </c>
      <c r="D739" s="2204">
        <v>38.82</v>
      </c>
      <c r="E739" s="2204">
        <v>39.24</v>
      </c>
      <c r="F739" s="2204">
        <v>39.24</v>
      </c>
      <c r="G739" s="2204">
        <v>145.02000000000001</v>
      </c>
      <c r="H739" s="2204">
        <v>145.02000000000001</v>
      </c>
      <c r="I739" s="2204">
        <v>134.99</v>
      </c>
      <c r="J739" s="2204">
        <v>134.99</v>
      </c>
      <c r="K739" s="2204">
        <v>143.99</v>
      </c>
      <c r="L739" s="2204">
        <v>143.99</v>
      </c>
      <c r="M739" s="2204"/>
      <c r="N739" s="2204"/>
      <c r="O739" s="2204">
        <v>121.41</v>
      </c>
      <c r="P739" s="2204">
        <v>121.41</v>
      </c>
      <c r="Q739" s="2204">
        <v>121.6</v>
      </c>
      <c r="R739" s="2204">
        <v>121.42</v>
      </c>
      <c r="S739" s="2204">
        <v>208.8</v>
      </c>
      <c r="T739" s="2204">
        <v>208.8</v>
      </c>
      <c r="U739" s="2204">
        <v>201.54</v>
      </c>
      <c r="V739" s="2204">
        <v>201.54</v>
      </c>
      <c r="W739" s="2204">
        <v>208.8</v>
      </c>
      <c r="X739" s="2204">
        <v>208.8</v>
      </c>
      <c r="Y739" s="2204">
        <v>201.54</v>
      </c>
      <c r="Z739" s="2204">
        <v>208.8</v>
      </c>
      <c r="AA739" s="2204">
        <v>208.8</v>
      </c>
      <c r="AB739" s="2204">
        <v>208.8</v>
      </c>
      <c r="AC739" s="2204">
        <v>201.54</v>
      </c>
      <c r="AD739" s="2204">
        <v>201.54</v>
      </c>
      <c r="AE739" s="2204">
        <v>226.41</v>
      </c>
      <c r="AF739" s="2204">
        <v>219.95</v>
      </c>
      <c r="AG739" s="2204">
        <v>226.41</v>
      </c>
      <c r="AH739" s="2204">
        <v>226.41</v>
      </c>
      <c r="AI739" s="2204">
        <v>219.95</v>
      </c>
      <c r="AJ739" s="2204">
        <v>219.95</v>
      </c>
      <c r="AK739" s="2204">
        <v>220.97</v>
      </c>
      <c r="AL739" s="2204">
        <v>220.97</v>
      </c>
      <c r="AM739" s="2204">
        <v>64.239999999999995</v>
      </c>
      <c r="AN739" s="2204">
        <v>61.89</v>
      </c>
      <c r="AO739" s="2204">
        <v>61.89</v>
      </c>
      <c r="AP739" s="2204">
        <v>61.89</v>
      </c>
      <c r="AQ739" s="2204">
        <v>62.68</v>
      </c>
      <c r="AR739" s="2204">
        <v>62.68</v>
      </c>
      <c r="AS739" s="2204">
        <v>177.78</v>
      </c>
      <c r="AT739" s="2204">
        <v>177.78</v>
      </c>
      <c r="AU739" s="2204">
        <v>177.78</v>
      </c>
      <c r="AV739" s="2204">
        <v>182.28</v>
      </c>
      <c r="AW739" s="2204">
        <v>178</v>
      </c>
      <c r="AX739" s="2204">
        <v>178</v>
      </c>
      <c r="AY739" s="2204">
        <v>178.16</v>
      </c>
      <c r="AZ739" s="2204">
        <v>178.16</v>
      </c>
      <c r="BA739" s="2123">
        <v>76.89</v>
      </c>
      <c r="BB739" s="2123">
        <v>76.89</v>
      </c>
      <c r="BC739" s="2123">
        <v>18.690000000000001</v>
      </c>
      <c r="BD739" s="2123">
        <v>19.079999999999998</v>
      </c>
      <c r="BE739" s="2123">
        <v>22.93</v>
      </c>
      <c r="BF739" s="2123">
        <v>22.93</v>
      </c>
      <c r="BG739" s="2123">
        <v>18.739999999999998</v>
      </c>
      <c r="BH739" s="2123">
        <v>18.739999999999998</v>
      </c>
      <c r="BI739" s="2123">
        <v>18.59</v>
      </c>
      <c r="BJ739" s="2123">
        <v>18.59</v>
      </c>
      <c r="BK739" s="2123">
        <v>18.59</v>
      </c>
      <c r="BL739" s="2123">
        <v>18.59</v>
      </c>
      <c r="BM739" s="2123">
        <v>46.96</v>
      </c>
      <c r="BN739" s="2123">
        <v>46.96</v>
      </c>
      <c r="BO739" s="2123">
        <v>143.46</v>
      </c>
      <c r="BP739" s="2123">
        <v>143.46</v>
      </c>
      <c r="BQ739" s="2123">
        <v>143.46</v>
      </c>
      <c r="BR739" s="2123">
        <v>143.46</v>
      </c>
      <c r="BS739" s="2123">
        <v>178.38</v>
      </c>
      <c r="BT739" s="2123">
        <v>178.38</v>
      </c>
      <c r="BU739" s="2123">
        <v>178.38</v>
      </c>
      <c r="BV739" s="2123">
        <v>178.38</v>
      </c>
      <c r="BW739" s="2123">
        <v>178.38</v>
      </c>
      <c r="BX739" s="2123">
        <v>178.38</v>
      </c>
      <c r="BY739" s="2123">
        <v>42.66</v>
      </c>
      <c r="BZ739" s="2123">
        <v>42.66</v>
      </c>
      <c r="CA739" s="2123">
        <v>136.87</v>
      </c>
      <c r="CB739" s="2123">
        <v>136.87</v>
      </c>
      <c r="CC739" s="2123">
        <v>138.47</v>
      </c>
      <c r="CD739" s="2123">
        <v>138.47</v>
      </c>
      <c r="CE739" s="2123">
        <v>175.2</v>
      </c>
      <c r="CF739" s="2123">
        <v>175.2</v>
      </c>
      <c r="CG739" s="2123"/>
      <c r="CH739" s="2123"/>
      <c r="CI739" s="2123"/>
      <c r="CJ739" s="2123"/>
      <c r="CK739" s="2123">
        <v>107.9</v>
      </c>
      <c r="CL739" s="2123">
        <v>107.9</v>
      </c>
      <c r="CM739" s="2123">
        <v>221.16</v>
      </c>
      <c r="CN739" s="2123">
        <v>221.16</v>
      </c>
      <c r="CO739" s="2123">
        <v>274.05</v>
      </c>
      <c r="CP739" s="2123">
        <v>274.05</v>
      </c>
      <c r="CQ739" s="2123">
        <v>274.05</v>
      </c>
      <c r="CR739" s="2123">
        <v>274.05</v>
      </c>
      <c r="CS739" s="2123"/>
      <c r="CT739" s="2123"/>
      <c r="CU739" s="2123"/>
      <c r="CV739" s="2123"/>
      <c r="CW739" s="2123">
        <v>99.01</v>
      </c>
      <c r="CX739" s="2123">
        <v>99.01</v>
      </c>
      <c r="CY739" s="2123">
        <v>211.92</v>
      </c>
      <c r="CZ739" s="2123">
        <v>211.92</v>
      </c>
      <c r="DA739" s="2123">
        <v>211.92</v>
      </c>
      <c r="DB739" s="2123">
        <v>211.92</v>
      </c>
      <c r="DC739" s="2123">
        <v>262.75</v>
      </c>
      <c r="DD739" s="2123">
        <v>262.75</v>
      </c>
      <c r="DE739" s="2123">
        <v>262.75</v>
      </c>
      <c r="DF739" s="2123">
        <v>262.75</v>
      </c>
      <c r="DG739" s="2123"/>
      <c r="DH739" s="2123"/>
      <c r="DI739" s="2123">
        <v>26.16</v>
      </c>
      <c r="DJ739" s="2123">
        <v>26.16</v>
      </c>
      <c r="DK739" s="2123">
        <v>26.16</v>
      </c>
      <c r="DL739" s="2123">
        <v>26.16</v>
      </c>
      <c r="DM739" s="2123">
        <v>26.16</v>
      </c>
      <c r="DN739" s="2123">
        <v>26.16</v>
      </c>
      <c r="DO739" s="2123"/>
      <c r="DP739" s="2123"/>
      <c r="DQ739" s="2123"/>
      <c r="DR739" s="2123"/>
      <c r="DS739" s="2123"/>
      <c r="DT739" s="2123"/>
      <c r="DU739" s="2123">
        <v>11.69</v>
      </c>
      <c r="DV739" s="2123">
        <v>11.69</v>
      </c>
      <c r="DW739" s="2123">
        <v>10.77</v>
      </c>
      <c r="DX739" s="2123">
        <v>10.77</v>
      </c>
      <c r="DY739" s="2123">
        <v>10.77</v>
      </c>
      <c r="DZ739" s="2123">
        <v>10.77</v>
      </c>
      <c r="EA739" s="2123"/>
      <c r="EB739" s="2123"/>
      <c r="EC739" s="2123"/>
      <c r="ED739" s="2123"/>
      <c r="EE739" s="2123"/>
      <c r="EF739" s="2123"/>
      <c r="EG739" s="2123">
        <v>12.55</v>
      </c>
      <c r="EH739" s="2123">
        <v>12.78</v>
      </c>
      <c r="EI739" s="2123">
        <v>9.11</v>
      </c>
      <c r="EJ739" s="2123">
        <v>9.11</v>
      </c>
      <c r="EK739" s="2123">
        <v>9.08</v>
      </c>
      <c r="EL739" s="2123">
        <v>9.08</v>
      </c>
      <c r="EM739" s="2123">
        <v>9.83</v>
      </c>
      <c r="EN739" s="2123">
        <v>9.83</v>
      </c>
      <c r="EO739" s="2123">
        <v>9.2200000000000006</v>
      </c>
      <c r="EP739" s="2123">
        <v>9.2200000000000006</v>
      </c>
      <c r="EQ739" s="2123">
        <v>9.49</v>
      </c>
      <c r="ER739" s="2123">
        <v>9.5</v>
      </c>
      <c r="ES739" s="2123">
        <v>47.85</v>
      </c>
      <c r="ET739" s="2123">
        <v>47.85</v>
      </c>
      <c r="EU739" s="2123">
        <v>194.73</v>
      </c>
      <c r="EV739" s="2123">
        <v>194.73</v>
      </c>
      <c r="EW739" s="2123">
        <v>189.92</v>
      </c>
      <c r="EX739" s="2123">
        <v>189.92</v>
      </c>
      <c r="EY739" s="2129">
        <f t="shared" si="55"/>
        <v>192.32499999999999</v>
      </c>
      <c r="EZ739" s="2129">
        <f t="shared" si="55"/>
        <v>192.32499999999999</v>
      </c>
      <c r="FA739" s="2123">
        <v>194.75</v>
      </c>
      <c r="FB739" s="2123">
        <v>194.75</v>
      </c>
      <c r="FC739" s="2123"/>
      <c r="FD739" s="2123"/>
      <c r="FE739" s="2123">
        <v>41.09</v>
      </c>
      <c r="FF739" s="2123">
        <v>41.09</v>
      </c>
      <c r="FG739" s="2123">
        <v>163.33000000000001</v>
      </c>
      <c r="FH739" s="2123">
        <v>163.33000000000001</v>
      </c>
      <c r="FI739" s="2123">
        <v>163.33000000000001</v>
      </c>
      <c r="FJ739" s="2123">
        <v>166.44</v>
      </c>
      <c r="FK739" s="2123">
        <v>162.52000000000001</v>
      </c>
      <c r="FL739" s="2123">
        <v>162.52000000000001</v>
      </c>
      <c r="FM739" s="2123">
        <v>163.87</v>
      </c>
      <c r="FN739" s="2123">
        <v>163.87</v>
      </c>
      <c r="FO739" s="2123"/>
      <c r="FP739" s="2123"/>
      <c r="FQ739" s="2123">
        <v>92.74</v>
      </c>
      <c r="FR739" s="2123">
        <v>92.74</v>
      </c>
      <c r="FS739" s="2123">
        <v>181.22</v>
      </c>
      <c r="FT739" s="2123">
        <v>181.22</v>
      </c>
      <c r="FU739" s="2123">
        <v>181.22</v>
      </c>
      <c r="FV739" s="2123">
        <v>181.22</v>
      </c>
      <c r="FW739" s="2123">
        <v>182.08</v>
      </c>
      <c r="FX739" s="2123">
        <v>182.08</v>
      </c>
      <c r="FY739" s="2123"/>
      <c r="FZ739" s="2123"/>
      <c r="GA739" s="2123"/>
      <c r="GB739" s="2123"/>
      <c r="GC739" s="2123">
        <v>65.69</v>
      </c>
      <c r="GD739" s="2123">
        <v>65.69</v>
      </c>
      <c r="GE739" s="2123">
        <v>149.85</v>
      </c>
      <c r="GF739" s="2123">
        <v>149.85</v>
      </c>
      <c r="GG739" s="2123">
        <v>149.85</v>
      </c>
      <c r="GH739" s="2123">
        <v>149.85</v>
      </c>
      <c r="GI739" s="2123">
        <v>140.08000000000001</v>
      </c>
      <c r="GJ739" s="2123">
        <v>140.08000000000001</v>
      </c>
      <c r="GK739" s="2123">
        <v>172.62</v>
      </c>
      <c r="GL739" s="2123">
        <v>172.62</v>
      </c>
      <c r="GM739" s="2123"/>
      <c r="GN739" s="2123"/>
      <c r="GO739" s="2123">
        <v>35.159999999999997</v>
      </c>
      <c r="GP739" s="2123">
        <v>35.159999999999997</v>
      </c>
      <c r="GQ739" s="2123">
        <v>28.32</v>
      </c>
      <c r="GR739" s="2123">
        <v>28.32</v>
      </c>
      <c r="GS739" s="2123">
        <v>28.32</v>
      </c>
      <c r="GT739" s="2123">
        <v>27.23</v>
      </c>
      <c r="GU739" s="2123">
        <v>27.23</v>
      </c>
      <c r="GV739" s="2123">
        <v>27.77</v>
      </c>
      <c r="GW739" s="2123">
        <v>162.19</v>
      </c>
      <c r="GX739" s="2123">
        <v>162.19</v>
      </c>
      <c r="GY739" s="2123"/>
      <c r="GZ739" s="2123"/>
      <c r="HA739" s="2123">
        <v>24.51</v>
      </c>
      <c r="HB739" s="2123">
        <v>24.51</v>
      </c>
      <c r="HC739" s="2123">
        <v>16.52</v>
      </c>
      <c r="HD739" s="2123">
        <v>16.52</v>
      </c>
      <c r="HE739" s="2123">
        <v>17.47</v>
      </c>
      <c r="HF739" s="2123">
        <v>17.47</v>
      </c>
      <c r="HG739" s="2123">
        <v>17.47</v>
      </c>
      <c r="HH739" s="2123">
        <v>17.47</v>
      </c>
      <c r="HI739" s="2123">
        <v>17.47</v>
      </c>
      <c r="HJ739" s="2123">
        <v>17.47</v>
      </c>
      <c r="HK739" s="2123">
        <v>17.510000000000002</v>
      </c>
      <c r="HL739" s="2123">
        <v>17.899999999999999</v>
      </c>
      <c r="HM739" s="2123">
        <v>34.35</v>
      </c>
      <c r="HN739" s="2123">
        <v>34.35</v>
      </c>
      <c r="HO739" s="2123">
        <v>23.58</v>
      </c>
      <c r="HP739" s="2123">
        <v>23.58</v>
      </c>
      <c r="HQ739" s="2123">
        <v>24.95</v>
      </c>
      <c r="HR739" s="2123">
        <v>24.95</v>
      </c>
      <c r="HS739" s="2123">
        <v>24.95</v>
      </c>
      <c r="HT739" s="2123">
        <v>24.95</v>
      </c>
      <c r="HU739" s="2123">
        <v>24.95</v>
      </c>
      <c r="HV739" s="2123">
        <v>24.95</v>
      </c>
      <c r="HW739" s="2123">
        <v>24.92</v>
      </c>
      <c r="HX739" s="2123">
        <v>24.92</v>
      </c>
    </row>
    <row r="740" spans="2:232" s="2040" customFormat="1" ht="14" hidden="1" x14ac:dyDescent="0.3">
      <c r="B740" s="2203">
        <v>46</v>
      </c>
      <c r="C740" s="2204">
        <v>39.17</v>
      </c>
      <c r="D740" s="2204">
        <v>39.17</v>
      </c>
      <c r="E740" s="2204">
        <v>39.57</v>
      </c>
      <c r="F740" s="2204">
        <v>39.57</v>
      </c>
      <c r="G740" s="2204">
        <v>146.6</v>
      </c>
      <c r="H740" s="2204">
        <v>146.6</v>
      </c>
      <c r="I740" s="2204">
        <v>136.59</v>
      </c>
      <c r="J740" s="2204">
        <v>136.59</v>
      </c>
      <c r="K740" s="2204">
        <v>145.38999999999999</v>
      </c>
      <c r="L740" s="2204">
        <v>145.38999999999999</v>
      </c>
      <c r="M740" s="2204"/>
      <c r="N740" s="2204"/>
      <c r="O740" s="2204">
        <v>122.5</v>
      </c>
      <c r="P740" s="2204">
        <v>122.5</v>
      </c>
      <c r="Q740" s="2204">
        <v>122.66</v>
      </c>
      <c r="R740" s="2204">
        <v>122.51</v>
      </c>
      <c r="S740" s="2204">
        <v>211.48</v>
      </c>
      <c r="T740" s="2204">
        <v>211.48</v>
      </c>
      <c r="U740" s="2204">
        <v>204.13</v>
      </c>
      <c r="V740" s="2204">
        <v>204.13</v>
      </c>
      <c r="W740" s="2204">
        <v>211.48</v>
      </c>
      <c r="X740" s="2204">
        <v>211.48</v>
      </c>
      <c r="Y740" s="2204">
        <v>204.13</v>
      </c>
      <c r="Z740" s="2204">
        <v>211.48</v>
      </c>
      <c r="AA740" s="2204">
        <v>211.48</v>
      </c>
      <c r="AB740" s="2204">
        <v>211.48</v>
      </c>
      <c r="AC740" s="2204">
        <v>204.13</v>
      </c>
      <c r="AD740" s="2204">
        <v>204.13</v>
      </c>
      <c r="AE740" s="2204">
        <v>228.92</v>
      </c>
      <c r="AF740" s="2204">
        <v>222.38</v>
      </c>
      <c r="AG740" s="2204">
        <v>228.92</v>
      </c>
      <c r="AH740" s="2204">
        <v>228.92</v>
      </c>
      <c r="AI740" s="2204">
        <v>222.38</v>
      </c>
      <c r="AJ740" s="2204">
        <v>222.38</v>
      </c>
      <c r="AK740" s="2204">
        <v>223.38</v>
      </c>
      <c r="AL740" s="2204">
        <v>223.38</v>
      </c>
      <c r="AM740" s="2204">
        <v>64.819999999999993</v>
      </c>
      <c r="AN740" s="2204">
        <v>62.45</v>
      </c>
      <c r="AO740" s="2204">
        <v>62.45</v>
      </c>
      <c r="AP740" s="2204">
        <v>62.45</v>
      </c>
      <c r="AQ740" s="2204">
        <v>63.21</v>
      </c>
      <c r="AR740" s="2204">
        <v>63.21</v>
      </c>
      <c r="AS740" s="2204">
        <v>179.8</v>
      </c>
      <c r="AT740" s="2204">
        <v>179.8</v>
      </c>
      <c r="AU740" s="2204">
        <v>179.8</v>
      </c>
      <c r="AV740" s="2204">
        <v>184.32</v>
      </c>
      <c r="AW740" s="2204">
        <v>180.03</v>
      </c>
      <c r="AX740" s="2204">
        <v>180.03</v>
      </c>
      <c r="AY740" s="2204">
        <v>180.18</v>
      </c>
      <c r="AZ740" s="2204">
        <v>180.18</v>
      </c>
      <c r="BA740" s="2123">
        <v>77.8</v>
      </c>
      <c r="BB740" s="2123">
        <v>77.8</v>
      </c>
      <c r="BC740" s="2123">
        <v>18.95</v>
      </c>
      <c r="BD740" s="2123">
        <v>19.32</v>
      </c>
      <c r="BE740" s="2123">
        <v>23.14</v>
      </c>
      <c r="BF740" s="2123">
        <v>23.14</v>
      </c>
      <c r="BG740" s="2123">
        <v>19</v>
      </c>
      <c r="BH740" s="2123">
        <v>19</v>
      </c>
      <c r="BI740" s="2123">
        <v>18.850000000000001</v>
      </c>
      <c r="BJ740" s="2123">
        <v>18.850000000000001</v>
      </c>
      <c r="BK740" s="2123">
        <v>18.850000000000001</v>
      </c>
      <c r="BL740" s="2123">
        <v>18.850000000000001</v>
      </c>
      <c r="BM740" s="2123">
        <v>47.38</v>
      </c>
      <c r="BN740" s="2123">
        <v>47.38</v>
      </c>
      <c r="BO740" s="2123">
        <v>144.94</v>
      </c>
      <c r="BP740" s="2123">
        <v>144.94</v>
      </c>
      <c r="BQ740" s="2123">
        <v>144.94</v>
      </c>
      <c r="BR740" s="2123">
        <v>144.94</v>
      </c>
      <c r="BS740" s="2123">
        <v>180.58</v>
      </c>
      <c r="BT740" s="2123">
        <v>180.58</v>
      </c>
      <c r="BU740" s="2123">
        <v>180.58</v>
      </c>
      <c r="BV740" s="2123">
        <v>180.58</v>
      </c>
      <c r="BW740" s="2123">
        <v>180.58</v>
      </c>
      <c r="BX740" s="2123">
        <v>180.58</v>
      </c>
      <c r="BY740" s="2123">
        <v>43.04</v>
      </c>
      <c r="BZ740" s="2123">
        <v>43.04</v>
      </c>
      <c r="CA740" s="2123">
        <v>138.31</v>
      </c>
      <c r="CB740" s="2123">
        <v>138.31</v>
      </c>
      <c r="CC740" s="2123">
        <v>139.94999999999999</v>
      </c>
      <c r="CD740" s="2123">
        <v>139.94999999999999</v>
      </c>
      <c r="CE740" s="2123">
        <v>177.41</v>
      </c>
      <c r="CF740" s="2123">
        <v>177.41</v>
      </c>
      <c r="CG740" s="2123"/>
      <c r="CH740" s="2123"/>
      <c r="CI740" s="2123"/>
      <c r="CJ740" s="2123"/>
      <c r="CK740" s="2123">
        <v>108.75</v>
      </c>
      <c r="CL740" s="2123">
        <v>108.75</v>
      </c>
      <c r="CM740" s="2123">
        <v>222.78</v>
      </c>
      <c r="CN740" s="2123">
        <v>222.78</v>
      </c>
      <c r="CO740" s="2123">
        <v>276.61</v>
      </c>
      <c r="CP740" s="2123">
        <v>276.61</v>
      </c>
      <c r="CQ740" s="2123">
        <v>276.61</v>
      </c>
      <c r="CR740" s="2123">
        <v>276.61</v>
      </c>
      <c r="CS740" s="2123"/>
      <c r="CT740" s="2123"/>
      <c r="CU740" s="2123"/>
      <c r="CV740" s="2123"/>
      <c r="CW740" s="2123">
        <v>99.9</v>
      </c>
      <c r="CX740" s="2123">
        <v>99.9</v>
      </c>
      <c r="CY740" s="2123">
        <v>213.55</v>
      </c>
      <c r="CZ740" s="2123">
        <v>213.55</v>
      </c>
      <c r="DA740" s="2123">
        <v>213.55</v>
      </c>
      <c r="DB740" s="2123">
        <v>213.55</v>
      </c>
      <c r="DC740" s="2123">
        <v>265.3</v>
      </c>
      <c r="DD740" s="2123">
        <v>265.3</v>
      </c>
      <c r="DE740" s="2123">
        <v>265.3</v>
      </c>
      <c r="DF740" s="2123">
        <v>265.3</v>
      </c>
      <c r="DG740" s="2123"/>
      <c r="DH740" s="2123"/>
      <c r="DI740" s="2123">
        <v>26.39</v>
      </c>
      <c r="DJ740" s="2123">
        <v>26.39</v>
      </c>
      <c r="DK740" s="2123">
        <v>26.39</v>
      </c>
      <c r="DL740" s="2123">
        <v>26.39</v>
      </c>
      <c r="DM740" s="2123">
        <v>26.39</v>
      </c>
      <c r="DN740" s="2123">
        <v>26.39</v>
      </c>
      <c r="DO740" s="2123"/>
      <c r="DP740" s="2123"/>
      <c r="DQ740" s="2123"/>
      <c r="DR740" s="2123"/>
      <c r="DS740" s="2123"/>
      <c r="DT740" s="2123"/>
      <c r="DU740" s="2123">
        <v>11.79</v>
      </c>
      <c r="DV740" s="2123">
        <v>11.79</v>
      </c>
      <c r="DW740" s="2123">
        <v>10.89</v>
      </c>
      <c r="DX740" s="2123">
        <v>10.89</v>
      </c>
      <c r="DY740" s="2123">
        <v>10.89</v>
      </c>
      <c r="DZ740" s="2123">
        <v>10.89</v>
      </c>
      <c r="EA740" s="2123"/>
      <c r="EB740" s="2123"/>
      <c r="EC740" s="2123"/>
      <c r="ED740" s="2123"/>
      <c r="EE740" s="2123"/>
      <c r="EF740" s="2123"/>
      <c r="EG740" s="2123">
        <v>12.65</v>
      </c>
      <c r="EH740" s="2123">
        <v>12.89</v>
      </c>
      <c r="EI740" s="2123">
        <v>9.25</v>
      </c>
      <c r="EJ740" s="2123">
        <v>9.25</v>
      </c>
      <c r="EK740" s="2123">
        <v>9.2200000000000006</v>
      </c>
      <c r="EL740" s="2123">
        <v>9.2200000000000006</v>
      </c>
      <c r="EM740" s="2123">
        <v>9.9600000000000009</v>
      </c>
      <c r="EN740" s="2123">
        <v>9.9600000000000009</v>
      </c>
      <c r="EO740" s="2123">
        <v>9.35</v>
      </c>
      <c r="EP740" s="2123">
        <v>9.35</v>
      </c>
      <c r="EQ740" s="2123">
        <v>9.6199999999999992</v>
      </c>
      <c r="ER740" s="2123">
        <v>9.6199999999999992</v>
      </c>
      <c r="ES740" s="2123">
        <v>48.28</v>
      </c>
      <c r="ET740" s="2123">
        <v>48.28</v>
      </c>
      <c r="EU740" s="2123">
        <v>197.18</v>
      </c>
      <c r="EV740" s="2123">
        <v>197.18</v>
      </c>
      <c r="EW740" s="2123">
        <v>192.34</v>
      </c>
      <c r="EX740" s="2123">
        <v>192.34</v>
      </c>
      <c r="EY740" s="2129">
        <f t="shared" si="55"/>
        <v>194.76</v>
      </c>
      <c r="EZ740" s="2129">
        <f t="shared" si="55"/>
        <v>194.76</v>
      </c>
      <c r="FA740" s="2123">
        <v>197.12</v>
      </c>
      <c r="FB740" s="2123">
        <v>197.12</v>
      </c>
      <c r="FC740" s="2123"/>
      <c r="FD740" s="2123"/>
      <c r="FE740" s="2123">
        <v>41.46</v>
      </c>
      <c r="FF740" s="2123">
        <v>41.46</v>
      </c>
      <c r="FG740" s="2123">
        <v>165.42</v>
      </c>
      <c r="FH740" s="2123">
        <v>165.42</v>
      </c>
      <c r="FI740" s="2123">
        <v>165.42</v>
      </c>
      <c r="FJ740" s="2123">
        <v>168.44</v>
      </c>
      <c r="FK740" s="2123">
        <v>164.63</v>
      </c>
      <c r="FL740" s="2123">
        <v>164.63</v>
      </c>
      <c r="FM740" s="2123">
        <v>165.96</v>
      </c>
      <c r="FN740" s="2123">
        <v>165.96</v>
      </c>
      <c r="FO740" s="2123"/>
      <c r="FP740" s="2123"/>
      <c r="FQ740" s="2123">
        <v>93.58</v>
      </c>
      <c r="FR740" s="2123">
        <v>93.58</v>
      </c>
      <c r="FS740" s="2123">
        <v>183.12</v>
      </c>
      <c r="FT740" s="2123">
        <v>183.12</v>
      </c>
      <c r="FU740" s="2123">
        <v>183.12</v>
      </c>
      <c r="FV740" s="2123">
        <v>183.12</v>
      </c>
      <c r="FW740" s="2123">
        <v>183.96</v>
      </c>
      <c r="FX740" s="2123">
        <v>183.96</v>
      </c>
      <c r="FY740" s="2123"/>
      <c r="FZ740" s="2123"/>
      <c r="GA740" s="2123"/>
      <c r="GB740" s="2123"/>
      <c r="GC740" s="2123">
        <v>66.28</v>
      </c>
      <c r="GD740" s="2123">
        <v>66.28</v>
      </c>
      <c r="GE740" s="2123">
        <v>151.07</v>
      </c>
      <c r="GF740" s="2123">
        <v>151.07</v>
      </c>
      <c r="GG740" s="2123">
        <v>151.07</v>
      </c>
      <c r="GH740" s="2123">
        <v>151.07</v>
      </c>
      <c r="GI740" s="2123">
        <v>142.41999999999999</v>
      </c>
      <c r="GJ740" s="2123">
        <v>142.41999999999999</v>
      </c>
      <c r="GK740" s="2123">
        <v>174.69</v>
      </c>
      <c r="GL740" s="2123">
        <v>174.69</v>
      </c>
      <c r="GM740" s="2123"/>
      <c r="GN740" s="2123"/>
      <c r="GO740" s="2123">
        <v>35.479999999999997</v>
      </c>
      <c r="GP740" s="2123">
        <v>35.479999999999997</v>
      </c>
      <c r="GQ740" s="2123">
        <v>28.69</v>
      </c>
      <c r="GR740" s="2123">
        <v>28.69</v>
      </c>
      <c r="GS740" s="2123">
        <v>28.69</v>
      </c>
      <c r="GT740" s="2123">
        <v>27.59</v>
      </c>
      <c r="GU740" s="2123">
        <v>27.59</v>
      </c>
      <c r="GV740" s="2123">
        <v>28.12</v>
      </c>
      <c r="GW740" s="2123">
        <v>164.25</v>
      </c>
      <c r="GX740" s="2123">
        <v>164.25</v>
      </c>
      <c r="GY740" s="2123"/>
      <c r="GZ740" s="2123"/>
      <c r="HA740" s="2123">
        <v>24.73</v>
      </c>
      <c r="HB740" s="2123">
        <v>24.73</v>
      </c>
      <c r="HC740" s="2123">
        <v>16.79</v>
      </c>
      <c r="HD740" s="2123">
        <v>16.79</v>
      </c>
      <c r="HE740" s="2123">
        <v>17.73</v>
      </c>
      <c r="HF740" s="2123">
        <v>17.73</v>
      </c>
      <c r="HG740" s="2123">
        <v>17.73</v>
      </c>
      <c r="HH740" s="2123">
        <v>17.73</v>
      </c>
      <c r="HI740" s="2123">
        <v>17.73</v>
      </c>
      <c r="HJ740" s="2123">
        <v>17.73</v>
      </c>
      <c r="HK740" s="2123">
        <v>17.78</v>
      </c>
      <c r="HL740" s="2123">
        <v>18.16</v>
      </c>
      <c r="HM740" s="2123">
        <v>34.65</v>
      </c>
      <c r="HN740" s="2123">
        <v>34.65</v>
      </c>
      <c r="HO740" s="2123">
        <v>23.96</v>
      </c>
      <c r="HP740" s="2123">
        <v>23.96</v>
      </c>
      <c r="HQ740" s="2123">
        <v>25.31</v>
      </c>
      <c r="HR740" s="2123">
        <v>25.31</v>
      </c>
      <c r="HS740" s="2123">
        <v>25.31</v>
      </c>
      <c r="HT740" s="2123">
        <v>25.31</v>
      </c>
      <c r="HU740" s="2123">
        <v>25.31</v>
      </c>
      <c r="HV740" s="2123">
        <v>25.31</v>
      </c>
      <c r="HW740" s="2123">
        <v>25.29</v>
      </c>
      <c r="HX740" s="2123">
        <v>25.29</v>
      </c>
    </row>
    <row r="741" spans="2:232" s="2040" customFormat="1" ht="14" hidden="1" x14ac:dyDescent="0.3">
      <c r="B741" s="2203">
        <v>47</v>
      </c>
      <c r="C741" s="2204">
        <v>39.5</v>
      </c>
      <c r="D741" s="2204">
        <v>39.5</v>
      </c>
      <c r="E741" s="2204">
        <v>39.89</v>
      </c>
      <c r="F741" s="2204">
        <v>39.89</v>
      </c>
      <c r="G741" s="2204">
        <v>148.12</v>
      </c>
      <c r="H741" s="2204">
        <v>148.12</v>
      </c>
      <c r="I741" s="2204">
        <v>138.13</v>
      </c>
      <c r="J741" s="2204">
        <v>138.13</v>
      </c>
      <c r="K741" s="2204">
        <v>146.75</v>
      </c>
      <c r="L741" s="2204">
        <v>146.75</v>
      </c>
      <c r="M741" s="2204"/>
      <c r="N741" s="2204"/>
      <c r="O741" s="2204">
        <v>123.56</v>
      </c>
      <c r="P741" s="2204">
        <v>123.56</v>
      </c>
      <c r="Q741" s="2204">
        <v>123.68</v>
      </c>
      <c r="R741" s="2204">
        <v>123.57</v>
      </c>
      <c r="S741" s="2204">
        <v>214.09</v>
      </c>
      <c r="T741" s="2204">
        <v>214.09</v>
      </c>
      <c r="U741" s="2204">
        <v>206.65</v>
      </c>
      <c r="V741" s="2204">
        <v>206.65</v>
      </c>
      <c r="W741" s="2204">
        <v>214.09</v>
      </c>
      <c r="X741" s="2204">
        <v>214.09</v>
      </c>
      <c r="Y741" s="2204">
        <v>206.65</v>
      </c>
      <c r="Z741" s="2204">
        <v>214.09</v>
      </c>
      <c r="AA741" s="2204">
        <v>214.09</v>
      </c>
      <c r="AB741" s="2204">
        <v>214.09</v>
      </c>
      <c r="AC741" s="2204">
        <v>206.65</v>
      </c>
      <c r="AD741" s="2204">
        <v>206.65</v>
      </c>
      <c r="AE741" s="2204">
        <v>231.36</v>
      </c>
      <c r="AF741" s="2204">
        <v>224.75</v>
      </c>
      <c r="AG741" s="2204">
        <v>231.36</v>
      </c>
      <c r="AH741" s="2204">
        <v>231.36</v>
      </c>
      <c r="AI741" s="2204">
        <v>224.75</v>
      </c>
      <c r="AJ741" s="2204">
        <v>224.75</v>
      </c>
      <c r="AK741" s="2204">
        <v>225.71</v>
      </c>
      <c r="AL741" s="2204">
        <v>225.71</v>
      </c>
      <c r="AM741" s="2204">
        <v>65.37</v>
      </c>
      <c r="AN741" s="2204">
        <v>62.98</v>
      </c>
      <c r="AO741" s="2204">
        <v>62.98</v>
      </c>
      <c r="AP741" s="2204">
        <v>62.98</v>
      </c>
      <c r="AQ741" s="2204">
        <v>63.72</v>
      </c>
      <c r="AR741" s="2204">
        <v>63.72</v>
      </c>
      <c r="AS741" s="2204">
        <v>181.75</v>
      </c>
      <c r="AT741" s="2204">
        <v>181.75</v>
      </c>
      <c r="AU741" s="2204">
        <v>181.75</v>
      </c>
      <c r="AV741" s="2204">
        <v>186.29</v>
      </c>
      <c r="AW741" s="2204">
        <v>181.99</v>
      </c>
      <c r="AX741" s="2204">
        <v>181.99</v>
      </c>
      <c r="AY741" s="2204">
        <v>182.14</v>
      </c>
      <c r="AZ741" s="2204">
        <v>182.14</v>
      </c>
      <c r="BA741" s="2123">
        <v>78.67</v>
      </c>
      <c r="BB741" s="2123">
        <v>78.67</v>
      </c>
      <c r="BC741" s="2123">
        <v>19.2</v>
      </c>
      <c r="BD741" s="2123">
        <v>19.57</v>
      </c>
      <c r="BE741" s="2123">
        <v>23.35</v>
      </c>
      <c r="BF741" s="2123">
        <v>23.35</v>
      </c>
      <c r="BG741" s="2123">
        <v>19.25</v>
      </c>
      <c r="BH741" s="2123">
        <v>19.25</v>
      </c>
      <c r="BI741" s="2123">
        <v>19.100000000000001</v>
      </c>
      <c r="BJ741" s="2123">
        <v>19.100000000000001</v>
      </c>
      <c r="BK741" s="2123">
        <v>19.100000000000001</v>
      </c>
      <c r="BL741" s="2123">
        <v>19.100000000000001</v>
      </c>
      <c r="BM741" s="2123">
        <v>47.79</v>
      </c>
      <c r="BN741" s="2123">
        <v>47.79</v>
      </c>
      <c r="BO741" s="2123">
        <v>146.37</v>
      </c>
      <c r="BP741" s="2123">
        <v>146.37</v>
      </c>
      <c r="BQ741" s="2123">
        <v>146.37</v>
      </c>
      <c r="BR741" s="2123">
        <v>146.37</v>
      </c>
      <c r="BS741" s="2123">
        <v>182.72</v>
      </c>
      <c r="BT741" s="2123">
        <v>182.72</v>
      </c>
      <c r="BU741" s="2123">
        <v>182.72</v>
      </c>
      <c r="BV741" s="2123">
        <v>182.72</v>
      </c>
      <c r="BW741" s="2123">
        <v>182.72</v>
      </c>
      <c r="BX741" s="2123">
        <v>182.72</v>
      </c>
      <c r="BY741" s="2123">
        <v>43.41</v>
      </c>
      <c r="BZ741" s="2123">
        <v>43.41</v>
      </c>
      <c r="CA741" s="2123">
        <v>139.69999999999999</v>
      </c>
      <c r="CB741" s="2123">
        <v>139.69999999999999</v>
      </c>
      <c r="CC741" s="2123">
        <v>141.38999999999999</v>
      </c>
      <c r="CD741" s="2123">
        <v>141.38999999999999</v>
      </c>
      <c r="CE741" s="2123">
        <v>179.55</v>
      </c>
      <c r="CF741" s="2123">
        <v>179.55</v>
      </c>
      <c r="CG741" s="2123"/>
      <c r="CH741" s="2123"/>
      <c r="CI741" s="2123"/>
      <c r="CJ741" s="2123"/>
      <c r="CK741" s="2123">
        <v>109.58</v>
      </c>
      <c r="CL741" s="2123">
        <v>109.58</v>
      </c>
      <c r="CM741" s="2123">
        <v>224.33</v>
      </c>
      <c r="CN741" s="2123">
        <v>224.33</v>
      </c>
      <c r="CO741" s="2123">
        <v>279.08</v>
      </c>
      <c r="CP741" s="2123">
        <v>279.08</v>
      </c>
      <c r="CQ741" s="2123">
        <v>279.08</v>
      </c>
      <c r="CR741" s="2123">
        <v>279.08</v>
      </c>
      <c r="CS741" s="2123"/>
      <c r="CT741" s="2123"/>
      <c r="CU741" s="2123"/>
      <c r="CV741" s="2123"/>
      <c r="CW741" s="2123">
        <v>100.76</v>
      </c>
      <c r="CX741" s="2123">
        <v>100.76</v>
      </c>
      <c r="CY741" s="2123">
        <v>215.12</v>
      </c>
      <c r="CZ741" s="2123">
        <v>215.12</v>
      </c>
      <c r="DA741" s="2123">
        <v>215.12</v>
      </c>
      <c r="DB741" s="2123">
        <v>215.12</v>
      </c>
      <c r="DC741" s="2123">
        <v>267.77</v>
      </c>
      <c r="DD741" s="2123">
        <v>267.77</v>
      </c>
      <c r="DE741" s="2123">
        <v>267.77</v>
      </c>
      <c r="DF741" s="2123">
        <v>267.77</v>
      </c>
      <c r="DG741" s="2123"/>
      <c r="DH741" s="2123"/>
      <c r="DI741" s="2123">
        <v>26.62</v>
      </c>
      <c r="DJ741" s="2123">
        <v>26.62</v>
      </c>
      <c r="DK741" s="2123">
        <v>26.62</v>
      </c>
      <c r="DL741" s="2123">
        <v>26.62</v>
      </c>
      <c r="DM741" s="2123">
        <v>26.62</v>
      </c>
      <c r="DN741" s="2123">
        <v>26.62</v>
      </c>
      <c r="DO741" s="2123"/>
      <c r="DP741" s="2123"/>
      <c r="DQ741" s="2123"/>
      <c r="DR741" s="2123"/>
      <c r="DS741" s="2123"/>
      <c r="DT741" s="2123"/>
      <c r="DU741" s="2123">
        <v>11.89</v>
      </c>
      <c r="DV741" s="2123">
        <v>11.89</v>
      </c>
      <c r="DW741" s="2123">
        <v>11</v>
      </c>
      <c r="DX741" s="2123">
        <v>11</v>
      </c>
      <c r="DY741" s="2123">
        <v>11</v>
      </c>
      <c r="DZ741" s="2123">
        <v>11</v>
      </c>
      <c r="EA741" s="2123"/>
      <c r="EB741" s="2123"/>
      <c r="EC741" s="2123"/>
      <c r="ED741" s="2123"/>
      <c r="EE741" s="2123"/>
      <c r="EF741" s="2123"/>
      <c r="EG741" s="2123">
        <v>12.76</v>
      </c>
      <c r="EH741" s="2123">
        <v>12.99</v>
      </c>
      <c r="EI741" s="2123">
        <v>9.3800000000000008</v>
      </c>
      <c r="EJ741" s="2123">
        <v>9.3800000000000008</v>
      </c>
      <c r="EK741" s="2123">
        <v>9.35</v>
      </c>
      <c r="EL741" s="2123">
        <v>9.35</v>
      </c>
      <c r="EM741" s="2123">
        <v>10.09</v>
      </c>
      <c r="EN741" s="2123">
        <v>10.09</v>
      </c>
      <c r="EO741" s="2123">
        <v>9.4700000000000006</v>
      </c>
      <c r="EP741" s="2123">
        <v>9.4700000000000006</v>
      </c>
      <c r="EQ741" s="2123">
        <v>9.75</v>
      </c>
      <c r="ER741" s="2123">
        <v>9.75</v>
      </c>
      <c r="ES741" s="2123">
        <v>48.7</v>
      </c>
      <c r="ET741" s="2123">
        <v>48.7</v>
      </c>
      <c r="EU741" s="2123">
        <v>199.55</v>
      </c>
      <c r="EV741" s="2123">
        <v>199.55</v>
      </c>
      <c r="EW741" s="2123">
        <v>194.69</v>
      </c>
      <c r="EX741" s="2123">
        <v>194.69</v>
      </c>
      <c r="EY741" s="2129">
        <f t="shared" si="55"/>
        <v>197.12</v>
      </c>
      <c r="EZ741" s="2129">
        <f t="shared" si="55"/>
        <v>197.12</v>
      </c>
      <c r="FA741" s="2123">
        <v>199.41</v>
      </c>
      <c r="FB741" s="2123">
        <v>199.41</v>
      </c>
      <c r="FC741" s="2123"/>
      <c r="FD741" s="2123"/>
      <c r="FE741" s="2123">
        <v>41.82</v>
      </c>
      <c r="FF741" s="2123">
        <v>41.82</v>
      </c>
      <c r="FG741" s="2123">
        <v>167.45</v>
      </c>
      <c r="FH741" s="2123">
        <v>167.45</v>
      </c>
      <c r="FI741" s="2123">
        <v>167.45</v>
      </c>
      <c r="FJ741" s="2123">
        <v>170.39</v>
      </c>
      <c r="FK741" s="2123">
        <v>166.68</v>
      </c>
      <c r="FL741" s="2123">
        <v>166.68</v>
      </c>
      <c r="FM741" s="2123">
        <v>167.99</v>
      </c>
      <c r="FN741" s="2123">
        <v>167.99</v>
      </c>
      <c r="FO741" s="2123"/>
      <c r="FP741" s="2123"/>
      <c r="FQ741" s="2123">
        <v>94.4</v>
      </c>
      <c r="FR741" s="2123">
        <v>94.4</v>
      </c>
      <c r="FS741" s="2123">
        <v>184.96</v>
      </c>
      <c r="FT741" s="2123">
        <v>184.96</v>
      </c>
      <c r="FU741" s="2123">
        <v>184.96</v>
      </c>
      <c r="FV741" s="2123">
        <v>184.96</v>
      </c>
      <c r="FW741" s="2123">
        <v>185.78</v>
      </c>
      <c r="FX741" s="2123">
        <v>185.78</v>
      </c>
      <c r="FY741" s="2123"/>
      <c r="FZ741" s="2123"/>
      <c r="GA741" s="2123"/>
      <c r="GB741" s="2123"/>
      <c r="GC741" s="2123">
        <v>66.849999999999994</v>
      </c>
      <c r="GD741" s="2123">
        <v>66.849999999999994</v>
      </c>
      <c r="GE741" s="2123">
        <v>152.25</v>
      </c>
      <c r="GF741" s="2123">
        <v>152.25</v>
      </c>
      <c r="GG741" s="2123">
        <v>152.25</v>
      </c>
      <c r="GH741" s="2123">
        <v>152.25</v>
      </c>
      <c r="GI741" s="2123">
        <v>144.69</v>
      </c>
      <c r="GJ741" s="2123">
        <v>144.69</v>
      </c>
      <c r="GK741" s="2123">
        <v>176.7</v>
      </c>
      <c r="GL741" s="2123">
        <v>176.7</v>
      </c>
      <c r="GM741" s="2123"/>
      <c r="GN741" s="2123"/>
      <c r="GO741" s="2123">
        <v>35.78</v>
      </c>
      <c r="GP741" s="2123">
        <v>35.78</v>
      </c>
      <c r="GQ741" s="2123">
        <v>29.05</v>
      </c>
      <c r="GR741" s="2123">
        <v>29.05</v>
      </c>
      <c r="GS741" s="2123">
        <v>29.05</v>
      </c>
      <c r="GT741" s="2123">
        <v>27.94</v>
      </c>
      <c r="GU741" s="2123">
        <v>27.94</v>
      </c>
      <c r="GV741" s="2123">
        <v>28.45</v>
      </c>
      <c r="GW741" s="2123">
        <v>166.24</v>
      </c>
      <c r="GX741" s="2123">
        <v>166.24</v>
      </c>
      <c r="GY741" s="2123"/>
      <c r="GZ741" s="2123"/>
      <c r="HA741" s="2123">
        <v>24.94</v>
      </c>
      <c r="HB741" s="2123">
        <v>24.94</v>
      </c>
      <c r="HC741" s="2123">
        <v>17.05</v>
      </c>
      <c r="HD741" s="2123">
        <v>17.05</v>
      </c>
      <c r="HE741" s="2123">
        <v>17.98</v>
      </c>
      <c r="HF741" s="2123">
        <v>17.98</v>
      </c>
      <c r="HG741" s="2123">
        <v>17.98</v>
      </c>
      <c r="HH741" s="2123">
        <v>17.98</v>
      </c>
      <c r="HI741" s="2123">
        <v>17.98</v>
      </c>
      <c r="HJ741" s="2123">
        <v>17.98</v>
      </c>
      <c r="HK741" s="2123">
        <v>18.03</v>
      </c>
      <c r="HL741" s="2123">
        <v>18.399999999999999</v>
      </c>
      <c r="HM741" s="2123">
        <v>34.950000000000003</v>
      </c>
      <c r="HN741" s="2123">
        <v>34.950000000000003</v>
      </c>
      <c r="HO741" s="2123">
        <v>24.32</v>
      </c>
      <c r="HP741" s="2123">
        <v>24.32</v>
      </c>
      <c r="HQ741" s="2123">
        <v>25.66</v>
      </c>
      <c r="HR741" s="2123">
        <v>25.66</v>
      </c>
      <c r="HS741" s="2123">
        <v>25.66</v>
      </c>
      <c r="HT741" s="2123">
        <v>25.66</v>
      </c>
      <c r="HU741" s="2123">
        <v>25.66</v>
      </c>
      <c r="HV741" s="2123">
        <v>25.66</v>
      </c>
      <c r="HW741" s="2123">
        <v>25.64</v>
      </c>
      <c r="HX741" s="2123">
        <v>25.64</v>
      </c>
    </row>
    <row r="742" spans="2:232" s="2040" customFormat="1" ht="14" hidden="1" x14ac:dyDescent="0.3">
      <c r="B742" s="2203">
        <v>48</v>
      </c>
      <c r="C742" s="2204">
        <v>39.83</v>
      </c>
      <c r="D742" s="2204">
        <v>39.83</v>
      </c>
      <c r="E742" s="2204">
        <v>40.200000000000003</v>
      </c>
      <c r="F742" s="2204">
        <v>40.200000000000003</v>
      </c>
      <c r="G742" s="2204">
        <v>149.61000000000001</v>
      </c>
      <c r="H742" s="2204">
        <v>149.61000000000001</v>
      </c>
      <c r="I742" s="2204">
        <v>139.63999999999999</v>
      </c>
      <c r="J742" s="2204">
        <v>139.63999999999999</v>
      </c>
      <c r="K742" s="2204">
        <v>148.07</v>
      </c>
      <c r="L742" s="2204">
        <v>148.07</v>
      </c>
      <c r="M742" s="2204"/>
      <c r="N742" s="2204"/>
      <c r="O742" s="2204">
        <v>124.58</v>
      </c>
      <c r="P742" s="2204">
        <v>124.58</v>
      </c>
      <c r="Q742" s="2204">
        <v>124.67</v>
      </c>
      <c r="R742" s="2204">
        <v>124.59</v>
      </c>
      <c r="S742" s="2204">
        <v>216.62</v>
      </c>
      <c r="T742" s="2204">
        <v>216.62</v>
      </c>
      <c r="U742" s="2204">
        <v>209.09</v>
      </c>
      <c r="V742" s="2204">
        <v>209.09</v>
      </c>
      <c r="W742" s="2204">
        <v>216.62</v>
      </c>
      <c r="X742" s="2204">
        <v>216.62</v>
      </c>
      <c r="Y742" s="2204">
        <v>209.09</v>
      </c>
      <c r="Z742" s="2204">
        <v>216.62</v>
      </c>
      <c r="AA742" s="2204">
        <v>216.62</v>
      </c>
      <c r="AB742" s="2204">
        <v>216.62</v>
      </c>
      <c r="AC742" s="2204">
        <v>209.09</v>
      </c>
      <c r="AD742" s="2204">
        <v>209.09</v>
      </c>
      <c r="AE742" s="2204">
        <v>233.72</v>
      </c>
      <c r="AF742" s="2204">
        <v>227.03</v>
      </c>
      <c r="AG742" s="2204">
        <v>233.72</v>
      </c>
      <c r="AH742" s="2204">
        <v>233.72</v>
      </c>
      <c r="AI742" s="2204">
        <v>227.03</v>
      </c>
      <c r="AJ742" s="2204">
        <v>227.03</v>
      </c>
      <c r="AK742" s="2204">
        <v>227.96</v>
      </c>
      <c r="AL742" s="2204">
        <v>227.96</v>
      </c>
      <c r="AM742" s="2204">
        <v>65.91</v>
      </c>
      <c r="AN742" s="2204">
        <v>63.5</v>
      </c>
      <c r="AO742" s="2204">
        <v>63.5</v>
      </c>
      <c r="AP742" s="2204">
        <v>63.5</v>
      </c>
      <c r="AQ742" s="2204">
        <v>64.209999999999994</v>
      </c>
      <c r="AR742" s="2204">
        <v>64.209999999999994</v>
      </c>
      <c r="AS742" s="2204">
        <v>183.65</v>
      </c>
      <c r="AT742" s="2204">
        <v>183.65</v>
      </c>
      <c r="AU742" s="2204">
        <v>183.65</v>
      </c>
      <c r="AV742" s="2204">
        <v>188.2</v>
      </c>
      <c r="AW742" s="2204">
        <v>183.89</v>
      </c>
      <c r="AX742" s="2204">
        <v>183.89</v>
      </c>
      <c r="AY742" s="2204">
        <v>184.04</v>
      </c>
      <c r="AZ742" s="2204">
        <v>184.04</v>
      </c>
      <c r="BA742" s="2123">
        <v>79.52</v>
      </c>
      <c r="BB742" s="2123">
        <v>79.52</v>
      </c>
      <c r="BC742" s="2123">
        <v>19.45</v>
      </c>
      <c r="BD742" s="2123">
        <v>19.8</v>
      </c>
      <c r="BE742" s="2123">
        <v>23.55</v>
      </c>
      <c r="BF742" s="2123">
        <v>23.55</v>
      </c>
      <c r="BG742" s="2123">
        <v>19.5</v>
      </c>
      <c r="BH742" s="2123">
        <v>19.5</v>
      </c>
      <c r="BI742" s="2123">
        <v>19.34</v>
      </c>
      <c r="BJ742" s="2123">
        <v>19.34</v>
      </c>
      <c r="BK742" s="2123">
        <v>19.34</v>
      </c>
      <c r="BL742" s="2123">
        <v>19.34</v>
      </c>
      <c r="BM742" s="2123">
        <v>48.18</v>
      </c>
      <c r="BN742" s="2123">
        <v>48.18</v>
      </c>
      <c r="BO742" s="2123">
        <v>147.76</v>
      </c>
      <c r="BP742" s="2123">
        <v>147.76</v>
      </c>
      <c r="BQ742" s="2123">
        <v>147.76</v>
      </c>
      <c r="BR742" s="2123">
        <v>147.76</v>
      </c>
      <c r="BS742" s="2123">
        <v>184.8</v>
      </c>
      <c r="BT742" s="2123">
        <v>184.8</v>
      </c>
      <c r="BU742" s="2123">
        <v>184.8</v>
      </c>
      <c r="BV742" s="2123">
        <v>184.8</v>
      </c>
      <c r="BW742" s="2123">
        <v>184.8</v>
      </c>
      <c r="BX742" s="2123">
        <v>184.8</v>
      </c>
      <c r="BY742" s="2123">
        <v>43.77</v>
      </c>
      <c r="BZ742" s="2123">
        <v>43.77</v>
      </c>
      <c r="CA742" s="2123">
        <v>141.05000000000001</v>
      </c>
      <c r="CB742" s="2123">
        <v>141.05000000000001</v>
      </c>
      <c r="CC742" s="2123">
        <v>142.78</v>
      </c>
      <c r="CD742" s="2123">
        <v>142.78</v>
      </c>
      <c r="CE742" s="2123">
        <v>181.62</v>
      </c>
      <c r="CF742" s="2123">
        <v>181.62</v>
      </c>
      <c r="CG742" s="2123"/>
      <c r="CH742" s="2123"/>
      <c r="CI742" s="2123"/>
      <c r="CJ742" s="2123"/>
      <c r="CK742" s="2123">
        <v>110.38</v>
      </c>
      <c r="CL742" s="2123">
        <v>110.38</v>
      </c>
      <c r="CM742" s="2123">
        <v>225.84</v>
      </c>
      <c r="CN742" s="2123">
        <v>225.84</v>
      </c>
      <c r="CO742" s="2123">
        <v>281.47000000000003</v>
      </c>
      <c r="CP742" s="2123">
        <v>281.47000000000003</v>
      </c>
      <c r="CQ742" s="2123">
        <v>281.47000000000003</v>
      </c>
      <c r="CR742" s="2123">
        <v>281.47000000000003</v>
      </c>
      <c r="CS742" s="2123"/>
      <c r="CT742" s="2123"/>
      <c r="CU742" s="2123"/>
      <c r="CV742" s="2123"/>
      <c r="CW742" s="2123">
        <v>101.59</v>
      </c>
      <c r="CX742" s="2123">
        <v>101.59</v>
      </c>
      <c r="CY742" s="2123">
        <v>216.64</v>
      </c>
      <c r="CZ742" s="2123">
        <v>216.64</v>
      </c>
      <c r="DA742" s="2123">
        <v>216.64</v>
      </c>
      <c r="DB742" s="2123">
        <v>216.64</v>
      </c>
      <c r="DC742" s="2123">
        <v>270.14999999999998</v>
      </c>
      <c r="DD742" s="2123">
        <v>270.14999999999998</v>
      </c>
      <c r="DE742" s="2123">
        <v>270.14999999999998</v>
      </c>
      <c r="DF742" s="2123">
        <v>270.14999999999998</v>
      </c>
      <c r="DG742" s="2123"/>
      <c r="DH742" s="2123"/>
      <c r="DI742" s="2123">
        <v>26.84</v>
      </c>
      <c r="DJ742" s="2123">
        <v>26.84</v>
      </c>
      <c r="DK742" s="2123">
        <v>26.84</v>
      </c>
      <c r="DL742" s="2123">
        <v>26.84</v>
      </c>
      <c r="DM742" s="2123">
        <v>26.84</v>
      </c>
      <c r="DN742" s="2123">
        <v>26.84</v>
      </c>
      <c r="DO742" s="2123"/>
      <c r="DP742" s="2123"/>
      <c r="DQ742" s="2123"/>
      <c r="DR742" s="2123"/>
      <c r="DS742" s="2123"/>
      <c r="DT742" s="2123"/>
      <c r="DU742" s="2123">
        <v>11.99</v>
      </c>
      <c r="DV742" s="2123">
        <v>11.99</v>
      </c>
      <c r="DW742" s="2123">
        <v>11.12</v>
      </c>
      <c r="DX742" s="2123">
        <v>11.12</v>
      </c>
      <c r="DY742" s="2123">
        <v>11.12</v>
      </c>
      <c r="DZ742" s="2123">
        <v>11.12</v>
      </c>
      <c r="EA742" s="2123"/>
      <c r="EB742" s="2123"/>
      <c r="EC742" s="2123"/>
      <c r="ED742" s="2123"/>
      <c r="EE742" s="2123"/>
      <c r="EF742" s="2123"/>
      <c r="EG742" s="2123">
        <v>12.86</v>
      </c>
      <c r="EH742" s="2123">
        <v>13.09</v>
      </c>
      <c r="EI742" s="2123">
        <v>9.5</v>
      </c>
      <c r="EJ742" s="2123">
        <v>9.5</v>
      </c>
      <c r="EK742" s="2123">
        <v>9.48</v>
      </c>
      <c r="EL742" s="2123">
        <v>9.48</v>
      </c>
      <c r="EM742" s="2123">
        <v>10.210000000000001</v>
      </c>
      <c r="EN742" s="2123">
        <v>10.210000000000001</v>
      </c>
      <c r="EO742" s="2123">
        <v>9.59</v>
      </c>
      <c r="EP742" s="2123">
        <v>9.59</v>
      </c>
      <c r="EQ742" s="2123">
        <v>9.8699999999999992</v>
      </c>
      <c r="ER742" s="2123">
        <v>9.86</v>
      </c>
      <c r="ES742" s="2123">
        <v>49.1</v>
      </c>
      <c r="ET742" s="2123">
        <v>49.1</v>
      </c>
      <c r="EU742" s="2123">
        <v>201.86</v>
      </c>
      <c r="EV742" s="2123">
        <v>201.86</v>
      </c>
      <c r="EW742" s="2123">
        <v>196.98</v>
      </c>
      <c r="EX742" s="2123">
        <v>196.98</v>
      </c>
      <c r="EY742" s="2129">
        <f t="shared" si="55"/>
        <v>199.42000000000002</v>
      </c>
      <c r="EZ742" s="2129">
        <f t="shared" si="55"/>
        <v>199.42000000000002</v>
      </c>
      <c r="FA742" s="2123">
        <v>201.63</v>
      </c>
      <c r="FB742" s="2123">
        <v>201.63</v>
      </c>
      <c r="FC742" s="2123"/>
      <c r="FD742" s="2123"/>
      <c r="FE742" s="2123">
        <v>42.17</v>
      </c>
      <c r="FF742" s="2123">
        <v>42.17</v>
      </c>
      <c r="FG742" s="2123">
        <v>169.42</v>
      </c>
      <c r="FH742" s="2123">
        <v>169.42</v>
      </c>
      <c r="FI742" s="2123">
        <v>169.42</v>
      </c>
      <c r="FJ742" s="2123">
        <v>172.27</v>
      </c>
      <c r="FK742" s="2123">
        <v>168.67</v>
      </c>
      <c r="FL742" s="2123">
        <v>168.67</v>
      </c>
      <c r="FM742" s="2123">
        <v>169.95</v>
      </c>
      <c r="FN742" s="2123">
        <v>169.95</v>
      </c>
      <c r="FO742" s="2123"/>
      <c r="FP742" s="2123"/>
      <c r="FQ742" s="2123">
        <v>95.19</v>
      </c>
      <c r="FR742" s="2123">
        <v>95.19</v>
      </c>
      <c r="FS742" s="2123">
        <v>186.74</v>
      </c>
      <c r="FT742" s="2123">
        <v>186.74</v>
      </c>
      <c r="FU742" s="2123">
        <v>186.74</v>
      </c>
      <c r="FV742" s="2123">
        <v>186.74</v>
      </c>
      <c r="FW742" s="2123">
        <v>187.55</v>
      </c>
      <c r="FX742" s="2123">
        <v>187.55</v>
      </c>
      <c r="FY742" s="2123"/>
      <c r="FZ742" s="2123"/>
      <c r="GA742" s="2123"/>
      <c r="GB742" s="2123"/>
      <c r="GC742" s="2123">
        <v>67.400000000000006</v>
      </c>
      <c r="GD742" s="2123">
        <v>67.400000000000006</v>
      </c>
      <c r="GE742" s="2123">
        <v>153.38999999999999</v>
      </c>
      <c r="GF742" s="2123">
        <v>153.38999999999999</v>
      </c>
      <c r="GG742" s="2123">
        <v>153.38999999999999</v>
      </c>
      <c r="GH742" s="2123">
        <v>153.38999999999999</v>
      </c>
      <c r="GI742" s="2123">
        <v>146.91</v>
      </c>
      <c r="GJ742" s="2123">
        <v>146.91</v>
      </c>
      <c r="GK742" s="2123">
        <v>178.65</v>
      </c>
      <c r="GL742" s="2123">
        <v>178.65</v>
      </c>
      <c r="GM742" s="2123"/>
      <c r="GN742" s="2123"/>
      <c r="GO742" s="2123">
        <v>36.08</v>
      </c>
      <c r="GP742" s="2123">
        <v>36.08</v>
      </c>
      <c r="GQ742" s="2123">
        <v>29.4</v>
      </c>
      <c r="GR742" s="2123">
        <v>29.4</v>
      </c>
      <c r="GS742" s="2123">
        <v>29.4</v>
      </c>
      <c r="GT742" s="2123">
        <v>28.29</v>
      </c>
      <c r="GU742" s="2123">
        <v>28.29</v>
      </c>
      <c r="GV742" s="2123">
        <v>28.78</v>
      </c>
      <c r="GW742" s="2123">
        <v>168.18</v>
      </c>
      <c r="GX742" s="2123">
        <v>168.18</v>
      </c>
      <c r="GY742" s="2123"/>
      <c r="GZ742" s="2123"/>
      <c r="HA742" s="2123">
        <v>25.14</v>
      </c>
      <c r="HB742" s="2123">
        <v>25.14</v>
      </c>
      <c r="HC742" s="2123">
        <v>17.309999999999999</v>
      </c>
      <c r="HD742" s="2123">
        <v>17.309999999999999</v>
      </c>
      <c r="HE742" s="2123">
        <v>18.23</v>
      </c>
      <c r="HF742" s="2123">
        <v>18.23</v>
      </c>
      <c r="HG742" s="2123">
        <v>18.23</v>
      </c>
      <c r="HH742" s="2123">
        <v>18.23</v>
      </c>
      <c r="HI742" s="2123">
        <v>18.23</v>
      </c>
      <c r="HJ742" s="2123">
        <v>18.23</v>
      </c>
      <c r="HK742" s="2123">
        <v>18.28</v>
      </c>
      <c r="HL742" s="2123">
        <v>18.64</v>
      </c>
      <c r="HM742" s="2123">
        <v>35.24</v>
      </c>
      <c r="HN742" s="2123">
        <v>35.24</v>
      </c>
      <c r="HO742" s="2123">
        <v>24.68</v>
      </c>
      <c r="HP742" s="2123">
        <v>24.68</v>
      </c>
      <c r="HQ742" s="2123">
        <v>26</v>
      </c>
      <c r="HR742" s="2123">
        <v>26</v>
      </c>
      <c r="HS742" s="2123">
        <v>26</v>
      </c>
      <c r="HT742" s="2123">
        <v>26</v>
      </c>
      <c r="HU742" s="2123">
        <v>26</v>
      </c>
      <c r="HV742" s="2123">
        <v>26</v>
      </c>
      <c r="HW742" s="2123">
        <v>25.99</v>
      </c>
      <c r="HX742" s="2123">
        <v>25.99</v>
      </c>
    </row>
    <row r="743" spans="2:232" s="2040" customFormat="1" ht="14" hidden="1" x14ac:dyDescent="0.3">
      <c r="B743" s="2203">
        <v>49</v>
      </c>
      <c r="C743" s="2204">
        <v>40.14</v>
      </c>
      <c r="D743" s="2204">
        <v>40.14</v>
      </c>
      <c r="E743" s="2204">
        <v>40.49</v>
      </c>
      <c r="F743" s="2204">
        <v>40.49</v>
      </c>
      <c r="G743" s="2204">
        <v>151.04</v>
      </c>
      <c r="H743" s="2204">
        <v>151.04</v>
      </c>
      <c r="I743" s="2204">
        <v>141.1</v>
      </c>
      <c r="J743" s="2204">
        <v>141.1</v>
      </c>
      <c r="K743" s="2204">
        <v>149.34</v>
      </c>
      <c r="L743" s="2204">
        <v>149.34</v>
      </c>
      <c r="M743" s="2204"/>
      <c r="N743" s="2204"/>
      <c r="O743" s="2204">
        <v>125.57</v>
      </c>
      <c r="P743" s="2204">
        <v>125.57</v>
      </c>
      <c r="Q743" s="2204">
        <v>125.62</v>
      </c>
      <c r="R743" s="2204">
        <v>125.58</v>
      </c>
      <c r="S743" s="2204">
        <v>219.07</v>
      </c>
      <c r="T743" s="2204">
        <v>219.07</v>
      </c>
      <c r="U743" s="2204">
        <v>211.46</v>
      </c>
      <c r="V743" s="2204">
        <v>211.46</v>
      </c>
      <c r="W743" s="2204">
        <v>219.07</v>
      </c>
      <c r="X743" s="2204">
        <v>219.07</v>
      </c>
      <c r="Y743" s="2204">
        <v>211.46</v>
      </c>
      <c r="Z743" s="2204">
        <v>219.07</v>
      </c>
      <c r="AA743" s="2204">
        <v>219.07</v>
      </c>
      <c r="AB743" s="2204">
        <v>219.07</v>
      </c>
      <c r="AC743" s="2204">
        <v>211.46</v>
      </c>
      <c r="AD743" s="2204">
        <v>211.46</v>
      </c>
      <c r="AE743" s="2204">
        <v>236</v>
      </c>
      <c r="AF743" s="2204">
        <v>229.25</v>
      </c>
      <c r="AG743" s="2204">
        <v>236</v>
      </c>
      <c r="AH743" s="2204">
        <v>236</v>
      </c>
      <c r="AI743" s="2204">
        <v>229.25</v>
      </c>
      <c r="AJ743" s="2204">
        <v>229.25</v>
      </c>
      <c r="AK743" s="2204">
        <v>230.15</v>
      </c>
      <c r="AL743" s="2204">
        <v>230.15</v>
      </c>
      <c r="AM743" s="2204">
        <v>66.430000000000007</v>
      </c>
      <c r="AN743" s="2204">
        <v>64</v>
      </c>
      <c r="AO743" s="2204">
        <v>64</v>
      </c>
      <c r="AP743" s="2204">
        <v>64</v>
      </c>
      <c r="AQ743" s="2204">
        <v>64.69</v>
      </c>
      <c r="AR743" s="2204">
        <v>64.69</v>
      </c>
      <c r="AS743" s="2204">
        <v>185.49</v>
      </c>
      <c r="AT743" s="2204">
        <v>185.49</v>
      </c>
      <c r="AU743" s="2204">
        <v>185.49</v>
      </c>
      <c r="AV743" s="2204">
        <v>190.06</v>
      </c>
      <c r="AW743" s="2204">
        <v>185.74</v>
      </c>
      <c r="AX743" s="2204">
        <v>185.74</v>
      </c>
      <c r="AY743" s="2204">
        <v>185.88</v>
      </c>
      <c r="AZ743" s="2204">
        <v>185.88</v>
      </c>
      <c r="BA743" s="2123">
        <v>80.349999999999994</v>
      </c>
      <c r="BB743" s="2123">
        <v>80.349999999999994</v>
      </c>
      <c r="BC743" s="2123">
        <v>19.68</v>
      </c>
      <c r="BD743" s="2123">
        <v>20.03</v>
      </c>
      <c r="BE743" s="2123">
        <v>23.74</v>
      </c>
      <c r="BF743" s="2123">
        <v>23.74</v>
      </c>
      <c r="BG743" s="2123">
        <v>19.739999999999998</v>
      </c>
      <c r="BH743" s="2123">
        <v>19.739999999999998</v>
      </c>
      <c r="BI743" s="2123">
        <v>19.579999999999998</v>
      </c>
      <c r="BJ743" s="2123">
        <v>19.579999999999998</v>
      </c>
      <c r="BK743" s="2123">
        <v>19.579999999999998</v>
      </c>
      <c r="BL743" s="2123">
        <v>19.579999999999998</v>
      </c>
      <c r="BM743" s="2123">
        <v>48.56</v>
      </c>
      <c r="BN743" s="2123">
        <v>48.56</v>
      </c>
      <c r="BO743" s="2123">
        <v>149.1</v>
      </c>
      <c r="BP743" s="2123">
        <v>149.1</v>
      </c>
      <c r="BQ743" s="2123">
        <v>149.1</v>
      </c>
      <c r="BR743" s="2123">
        <v>149.1</v>
      </c>
      <c r="BS743" s="2123">
        <v>186.81</v>
      </c>
      <c r="BT743" s="2123">
        <v>186.81</v>
      </c>
      <c r="BU743" s="2123">
        <v>186.81</v>
      </c>
      <c r="BV743" s="2123">
        <v>186.81</v>
      </c>
      <c r="BW743" s="2123">
        <v>186.81</v>
      </c>
      <c r="BX743" s="2123">
        <v>186.81</v>
      </c>
      <c r="BY743" s="2123">
        <v>44.11</v>
      </c>
      <c r="BZ743" s="2123">
        <v>44.11</v>
      </c>
      <c r="CA743" s="2123">
        <v>142.35</v>
      </c>
      <c r="CB743" s="2123">
        <v>142.35</v>
      </c>
      <c r="CC743" s="2123">
        <v>144.13</v>
      </c>
      <c r="CD743" s="2123">
        <v>144.13</v>
      </c>
      <c r="CE743" s="2123">
        <v>183.63</v>
      </c>
      <c r="CF743" s="2123">
        <v>183.63</v>
      </c>
      <c r="CG743" s="2123"/>
      <c r="CH743" s="2123"/>
      <c r="CI743" s="2123"/>
      <c r="CJ743" s="2123"/>
      <c r="CK743" s="2123">
        <v>111.16</v>
      </c>
      <c r="CL743" s="2123">
        <v>111.16</v>
      </c>
      <c r="CM743" s="2123">
        <v>227.29</v>
      </c>
      <c r="CN743" s="2123">
        <v>227.29</v>
      </c>
      <c r="CO743" s="2123">
        <v>283.77999999999997</v>
      </c>
      <c r="CP743" s="2123">
        <v>283.77999999999997</v>
      </c>
      <c r="CQ743" s="2123">
        <v>283.77999999999997</v>
      </c>
      <c r="CR743" s="2123">
        <v>283.77999999999997</v>
      </c>
      <c r="CS743" s="2123"/>
      <c r="CT743" s="2123"/>
      <c r="CU743" s="2123"/>
      <c r="CV743" s="2123"/>
      <c r="CW743" s="2123">
        <v>102.4</v>
      </c>
      <c r="CX743" s="2123">
        <v>102.4</v>
      </c>
      <c r="CY743" s="2123">
        <v>218.11</v>
      </c>
      <c r="CZ743" s="2123">
        <v>218.11</v>
      </c>
      <c r="DA743" s="2123">
        <v>218.11</v>
      </c>
      <c r="DB743" s="2123">
        <v>218.11</v>
      </c>
      <c r="DC743" s="2123">
        <v>272.47000000000003</v>
      </c>
      <c r="DD743" s="2123">
        <v>272.47000000000003</v>
      </c>
      <c r="DE743" s="2123">
        <v>272.47000000000003</v>
      </c>
      <c r="DF743" s="2123">
        <v>272.47000000000003</v>
      </c>
      <c r="DG743" s="2123"/>
      <c r="DH743" s="2123"/>
      <c r="DI743" s="2123">
        <v>27.05</v>
      </c>
      <c r="DJ743" s="2123">
        <v>27.05</v>
      </c>
      <c r="DK743" s="2123">
        <v>27.05</v>
      </c>
      <c r="DL743" s="2123">
        <v>27.05</v>
      </c>
      <c r="DM743" s="2123">
        <v>27.05</v>
      </c>
      <c r="DN743" s="2123">
        <v>27.05</v>
      </c>
      <c r="DO743" s="2123"/>
      <c r="DP743" s="2123"/>
      <c r="DQ743" s="2123"/>
      <c r="DR743" s="2123"/>
      <c r="DS743" s="2123"/>
      <c r="DT743" s="2123"/>
      <c r="DU743" s="2123">
        <v>12.08</v>
      </c>
      <c r="DV743" s="2123">
        <v>12.08</v>
      </c>
      <c r="DW743" s="2123">
        <v>11.22</v>
      </c>
      <c r="DX743" s="2123">
        <v>11.22</v>
      </c>
      <c r="DY743" s="2123">
        <v>11.22</v>
      </c>
      <c r="DZ743" s="2123">
        <v>11.22</v>
      </c>
      <c r="EA743" s="2123"/>
      <c r="EB743" s="2123"/>
      <c r="EC743" s="2123"/>
      <c r="ED743" s="2123"/>
      <c r="EE743" s="2123"/>
      <c r="EF743" s="2123"/>
      <c r="EG743" s="2123">
        <v>12.96</v>
      </c>
      <c r="EH743" s="2123">
        <v>13.18</v>
      </c>
      <c r="EI743" s="2123">
        <v>9.6199999999999992</v>
      </c>
      <c r="EJ743" s="2123">
        <v>9.6199999999999992</v>
      </c>
      <c r="EK743" s="2123">
        <v>9.6</v>
      </c>
      <c r="EL743" s="2123">
        <v>9.6</v>
      </c>
      <c r="EM743" s="2123">
        <v>10.33</v>
      </c>
      <c r="EN743" s="2123">
        <v>10.33</v>
      </c>
      <c r="EO743" s="2123">
        <v>9.7100000000000009</v>
      </c>
      <c r="EP743" s="2123">
        <v>9.7100000000000009</v>
      </c>
      <c r="EQ743" s="2123">
        <v>9.99</v>
      </c>
      <c r="ER743" s="2123">
        <v>9.98</v>
      </c>
      <c r="ES743" s="2123">
        <v>49.48</v>
      </c>
      <c r="ET743" s="2123">
        <v>49.48</v>
      </c>
      <c r="EU743" s="2123">
        <v>204.1</v>
      </c>
      <c r="EV743" s="2123">
        <v>204.1</v>
      </c>
      <c r="EW743" s="2123">
        <v>199.19</v>
      </c>
      <c r="EX743" s="2123">
        <v>199.19</v>
      </c>
      <c r="EY743" s="2129">
        <f t="shared" si="55"/>
        <v>201.64499999999998</v>
      </c>
      <c r="EZ743" s="2129">
        <f t="shared" si="55"/>
        <v>201.64499999999998</v>
      </c>
      <c r="FA743" s="2123">
        <v>203.79</v>
      </c>
      <c r="FB743" s="2123">
        <v>203.79</v>
      </c>
      <c r="FC743" s="2123"/>
      <c r="FD743" s="2123"/>
      <c r="FE743" s="2123">
        <v>42.5</v>
      </c>
      <c r="FF743" s="2123">
        <v>42.5</v>
      </c>
      <c r="FG743" s="2123">
        <v>171.34</v>
      </c>
      <c r="FH743" s="2123">
        <v>171.34</v>
      </c>
      <c r="FI743" s="2123">
        <v>171.34</v>
      </c>
      <c r="FJ743" s="2123">
        <v>174.11</v>
      </c>
      <c r="FK743" s="2123">
        <v>170.6</v>
      </c>
      <c r="FL743" s="2123">
        <v>170.6</v>
      </c>
      <c r="FM743" s="2123">
        <v>171.86</v>
      </c>
      <c r="FN743" s="2123">
        <v>171.86</v>
      </c>
      <c r="FO743" s="2123"/>
      <c r="FP743" s="2123"/>
      <c r="FQ743" s="2123">
        <v>95.96</v>
      </c>
      <c r="FR743" s="2123">
        <v>95.96</v>
      </c>
      <c r="FS743" s="2123">
        <v>188.47</v>
      </c>
      <c r="FT743" s="2123">
        <v>188.47</v>
      </c>
      <c r="FU743" s="2123">
        <v>188.47</v>
      </c>
      <c r="FV743" s="2123">
        <v>188.47</v>
      </c>
      <c r="FW743" s="2123">
        <v>189.26</v>
      </c>
      <c r="FX743" s="2123">
        <v>189.26</v>
      </c>
      <c r="FY743" s="2123"/>
      <c r="FZ743" s="2123"/>
      <c r="GA743" s="2123"/>
      <c r="GB743" s="2123"/>
      <c r="GC743" s="2123">
        <v>67.930000000000007</v>
      </c>
      <c r="GD743" s="2123">
        <v>67.930000000000007</v>
      </c>
      <c r="GE743" s="2123">
        <v>154.49</v>
      </c>
      <c r="GF743" s="2123">
        <v>154.49</v>
      </c>
      <c r="GG743" s="2123">
        <v>154.49</v>
      </c>
      <c r="GH743" s="2123">
        <v>154.49</v>
      </c>
      <c r="GI743" s="2123">
        <v>149.06</v>
      </c>
      <c r="GJ743" s="2123">
        <v>149.06</v>
      </c>
      <c r="GK743" s="2123">
        <v>180.54</v>
      </c>
      <c r="GL743" s="2123">
        <v>180.54</v>
      </c>
      <c r="GM743" s="2123"/>
      <c r="GN743" s="2123"/>
      <c r="GO743" s="2123">
        <v>36.36</v>
      </c>
      <c r="GP743" s="2123">
        <v>36.36</v>
      </c>
      <c r="GQ743" s="2123">
        <v>29.74</v>
      </c>
      <c r="GR743" s="2123">
        <v>29.74</v>
      </c>
      <c r="GS743" s="2123">
        <v>29.74</v>
      </c>
      <c r="GT743" s="2123">
        <v>28.62</v>
      </c>
      <c r="GU743" s="2123">
        <v>28.62</v>
      </c>
      <c r="GV743" s="2123">
        <v>29.1</v>
      </c>
      <c r="GW743" s="2123">
        <v>170.06</v>
      </c>
      <c r="GX743" s="2123">
        <v>170.06</v>
      </c>
      <c r="GY743" s="2123"/>
      <c r="GZ743" s="2123"/>
      <c r="HA743" s="2123">
        <v>25.34</v>
      </c>
      <c r="HB743" s="2123">
        <v>25.34</v>
      </c>
      <c r="HC743" s="2123">
        <v>17.559999999999999</v>
      </c>
      <c r="HD743" s="2123">
        <v>17.559999999999999</v>
      </c>
      <c r="HE743" s="2123">
        <v>18.47</v>
      </c>
      <c r="HF743" s="2123">
        <v>18.47</v>
      </c>
      <c r="HG743" s="2123">
        <v>18.47</v>
      </c>
      <c r="HH743" s="2123">
        <v>18.47</v>
      </c>
      <c r="HI743" s="2123">
        <v>18.47</v>
      </c>
      <c r="HJ743" s="2123">
        <v>18.47</v>
      </c>
      <c r="HK743" s="2123">
        <v>18.52</v>
      </c>
      <c r="HL743" s="2123">
        <v>18.87</v>
      </c>
      <c r="HM743" s="2123">
        <v>35.51</v>
      </c>
      <c r="HN743" s="2123">
        <v>35.51</v>
      </c>
      <c r="HO743" s="2123">
        <v>25.02</v>
      </c>
      <c r="HP743" s="2123">
        <v>25.02</v>
      </c>
      <c r="HQ743" s="2123">
        <v>26.33</v>
      </c>
      <c r="HR743" s="2123">
        <v>26.33</v>
      </c>
      <c r="HS743" s="2123">
        <v>26.33</v>
      </c>
      <c r="HT743" s="2123">
        <v>26.33</v>
      </c>
      <c r="HU743" s="2123">
        <v>26.33</v>
      </c>
      <c r="HV743" s="2123">
        <v>26.33</v>
      </c>
      <c r="HW743" s="2123">
        <v>26.32</v>
      </c>
      <c r="HX743" s="2123">
        <v>26.32</v>
      </c>
    </row>
    <row r="744" spans="2:232" s="2040" customFormat="1" ht="14" hidden="1" x14ac:dyDescent="0.3">
      <c r="B744" s="2203">
        <v>50</v>
      </c>
      <c r="C744" s="2204">
        <v>40.450000000000003</v>
      </c>
      <c r="D744" s="2204">
        <v>40.450000000000003</v>
      </c>
      <c r="E744" s="2204">
        <v>40.78</v>
      </c>
      <c r="F744" s="2204">
        <v>40.78</v>
      </c>
      <c r="G744" s="2204">
        <v>152.44</v>
      </c>
      <c r="H744" s="2204">
        <v>152.44</v>
      </c>
      <c r="I744" s="2204">
        <v>142.51</v>
      </c>
      <c r="J744" s="2204">
        <v>142.51</v>
      </c>
      <c r="K744" s="2204">
        <v>150.58000000000001</v>
      </c>
      <c r="L744" s="2204">
        <v>150.58000000000001</v>
      </c>
      <c r="M744" s="2204"/>
      <c r="N744" s="2204"/>
      <c r="O744" s="2204">
        <v>126.52</v>
      </c>
      <c r="P744" s="2204">
        <v>126.52</v>
      </c>
      <c r="Q744" s="2204">
        <v>126.55</v>
      </c>
      <c r="R744" s="2204">
        <v>126.53</v>
      </c>
      <c r="S744" s="2204">
        <v>221.45</v>
      </c>
      <c r="T744" s="2204">
        <v>221.45</v>
      </c>
      <c r="U744" s="2204">
        <v>213.76</v>
      </c>
      <c r="V744" s="2204">
        <v>213.76</v>
      </c>
      <c r="W744" s="2204">
        <v>221.45</v>
      </c>
      <c r="X744" s="2204">
        <v>221.45</v>
      </c>
      <c r="Y744" s="2204">
        <v>213.76</v>
      </c>
      <c r="Z744" s="2204">
        <v>221.45</v>
      </c>
      <c r="AA744" s="2204">
        <v>221.45</v>
      </c>
      <c r="AB744" s="2204">
        <v>221.45</v>
      </c>
      <c r="AC744" s="2204">
        <v>213.76</v>
      </c>
      <c r="AD744" s="2204">
        <v>213.76</v>
      </c>
      <c r="AE744" s="2204">
        <v>238.21</v>
      </c>
      <c r="AF744" s="2204">
        <v>231.4</v>
      </c>
      <c r="AG744" s="2204">
        <v>238.21</v>
      </c>
      <c r="AH744" s="2204">
        <v>238.21</v>
      </c>
      <c r="AI744" s="2204">
        <v>231.4</v>
      </c>
      <c r="AJ744" s="2204">
        <v>231.4</v>
      </c>
      <c r="AK744" s="2204">
        <v>232.27</v>
      </c>
      <c r="AL744" s="2204">
        <v>232.27</v>
      </c>
      <c r="AM744" s="2204">
        <v>66.94</v>
      </c>
      <c r="AN744" s="2204">
        <v>64.489999999999995</v>
      </c>
      <c r="AO744" s="2204">
        <v>64.489999999999995</v>
      </c>
      <c r="AP744" s="2204">
        <v>64.489999999999995</v>
      </c>
      <c r="AQ744" s="2204">
        <v>65.150000000000006</v>
      </c>
      <c r="AR744" s="2204">
        <v>65.150000000000006</v>
      </c>
      <c r="AS744" s="2204">
        <v>187.27</v>
      </c>
      <c r="AT744" s="2204">
        <v>187.27</v>
      </c>
      <c r="AU744" s="2204">
        <v>187.27</v>
      </c>
      <c r="AV744" s="2204">
        <v>191.86</v>
      </c>
      <c r="AW744" s="2204">
        <v>187.52</v>
      </c>
      <c r="AX744" s="2204">
        <v>187.52</v>
      </c>
      <c r="AY744" s="2204">
        <v>187.67</v>
      </c>
      <c r="AZ744" s="2204">
        <v>187.67</v>
      </c>
      <c r="BA744" s="2123">
        <v>81.150000000000006</v>
      </c>
      <c r="BB744" s="2123">
        <v>81.150000000000006</v>
      </c>
      <c r="BC744" s="2123">
        <v>19.920000000000002</v>
      </c>
      <c r="BD744" s="2123">
        <v>20.25</v>
      </c>
      <c r="BE744" s="2123">
        <v>23.92</v>
      </c>
      <c r="BF744" s="2123">
        <v>23.92</v>
      </c>
      <c r="BG744" s="2123">
        <v>19.97</v>
      </c>
      <c r="BH744" s="2123">
        <v>19.97</v>
      </c>
      <c r="BI744" s="2123">
        <v>19.809999999999999</v>
      </c>
      <c r="BJ744" s="2123">
        <v>19.809999999999999</v>
      </c>
      <c r="BK744" s="2123">
        <v>19.809999999999999</v>
      </c>
      <c r="BL744" s="2123">
        <v>19.809999999999999</v>
      </c>
      <c r="BM744" s="2123">
        <v>48.93</v>
      </c>
      <c r="BN744" s="2123">
        <v>48.93</v>
      </c>
      <c r="BO744" s="2123">
        <v>150.4</v>
      </c>
      <c r="BP744" s="2123">
        <v>150.4</v>
      </c>
      <c r="BQ744" s="2123">
        <v>150.4</v>
      </c>
      <c r="BR744" s="2123">
        <v>150.4</v>
      </c>
      <c r="BS744" s="2123">
        <v>188.76</v>
      </c>
      <c r="BT744" s="2123">
        <v>188.76</v>
      </c>
      <c r="BU744" s="2123">
        <v>188.76</v>
      </c>
      <c r="BV744" s="2123">
        <v>188.76</v>
      </c>
      <c r="BW744" s="2123">
        <v>188.76</v>
      </c>
      <c r="BX744" s="2123">
        <v>188.76</v>
      </c>
      <c r="BY744" s="2123">
        <v>44.44</v>
      </c>
      <c r="BZ744" s="2123">
        <v>44.44</v>
      </c>
      <c r="CA744" s="2123">
        <v>143.62</v>
      </c>
      <c r="CB744" s="2123">
        <v>143.62</v>
      </c>
      <c r="CC744" s="2123">
        <v>145.44</v>
      </c>
      <c r="CD744" s="2123">
        <v>145.44</v>
      </c>
      <c r="CE744" s="2123">
        <v>185.59</v>
      </c>
      <c r="CF744" s="2123">
        <v>185.59</v>
      </c>
      <c r="CG744" s="2123"/>
      <c r="CH744" s="2123"/>
      <c r="CI744" s="2123"/>
      <c r="CJ744" s="2123"/>
      <c r="CK744" s="2123">
        <v>111.81</v>
      </c>
      <c r="CL744" s="2123">
        <v>111.81</v>
      </c>
      <c r="CM744" s="2123">
        <v>228.7</v>
      </c>
      <c r="CN744" s="2123">
        <v>228.7</v>
      </c>
      <c r="CO744" s="2123">
        <v>286.02</v>
      </c>
      <c r="CP744" s="2123">
        <v>286.02</v>
      </c>
      <c r="CQ744" s="2123">
        <v>286.02</v>
      </c>
      <c r="CR744" s="2123">
        <v>286.02</v>
      </c>
      <c r="CS744" s="2123"/>
      <c r="CT744" s="2123"/>
      <c r="CU744" s="2123"/>
      <c r="CV744" s="2123"/>
      <c r="CW744" s="2123">
        <v>103.18</v>
      </c>
      <c r="CX744" s="2123">
        <v>103.18</v>
      </c>
      <c r="CY744" s="2123">
        <v>219.53</v>
      </c>
      <c r="CZ744" s="2123">
        <v>219.53</v>
      </c>
      <c r="DA744" s="2123">
        <v>219.53</v>
      </c>
      <c r="DB744" s="2123">
        <v>219.53</v>
      </c>
      <c r="DC744" s="2123">
        <v>274.70999999999998</v>
      </c>
      <c r="DD744" s="2123">
        <v>274.70999999999998</v>
      </c>
      <c r="DE744" s="2123">
        <v>274.70999999999998</v>
      </c>
      <c r="DF744" s="2123">
        <v>274.70999999999998</v>
      </c>
      <c r="DG744" s="2123"/>
      <c r="DH744" s="2123"/>
      <c r="DI744" s="2123">
        <v>27.25</v>
      </c>
      <c r="DJ744" s="2123">
        <v>27.25</v>
      </c>
      <c r="DK744" s="2123">
        <v>27.25</v>
      </c>
      <c r="DL744" s="2123">
        <v>27.25</v>
      </c>
      <c r="DM744" s="2123">
        <v>27.25</v>
      </c>
      <c r="DN744" s="2123">
        <v>27.25</v>
      </c>
      <c r="DO744" s="2123"/>
      <c r="DP744" s="2123"/>
      <c r="DQ744" s="2123"/>
      <c r="DR744" s="2123"/>
      <c r="DS744" s="2123"/>
      <c r="DT744" s="2123"/>
      <c r="DU744" s="2123">
        <v>12.17</v>
      </c>
      <c r="DV744" s="2123">
        <v>12.17</v>
      </c>
      <c r="DW744" s="2123">
        <v>11.33</v>
      </c>
      <c r="DX744" s="2123">
        <v>11.33</v>
      </c>
      <c r="DY744" s="2123">
        <v>11.33</v>
      </c>
      <c r="DZ744" s="2123">
        <v>11.33</v>
      </c>
      <c r="EA744" s="2123"/>
      <c r="EB744" s="2123"/>
      <c r="EC744" s="2123"/>
      <c r="ED744" s="2123"/>
      <c r="EE744" s="2123"/>
      <c r="EF744" s="2123"/>
      <c r="EG744" s="2123">
        <v>13.06</v>
      </c>
      <c r="EH744" s="2123">
        <v>13.27</v>
      </c>
      <c r="EI744" s="2123">
        <v>9.74</v>
      </c>
      <c r="EJ744" s="2123">
        <v>9.74</v>
      </c>
      <c r="EK744" s="2123">
        <v>9.7200000000000006</v>
      </c>
      <c r="EL744" s="2123">
        <v>9.7200000000000006</v>
      </c>
      <c r="EM744" s="2123">
        <v>10.44</v>
      </c>
      <c r="EN744" s="2123">
        <v>10.44</v>
      </c>
      <c r="EO744" s="2123">
        <v>9.82</v>
      </c>
      <c r="EP744" s="2123">
        <v>9.82</v>
      </c>
      <c r="EQ744" s="2123">
        <v>10.11</v>
      </c>
      <c r="ER744" s="2123">
        <v>10.09</v>
      </c>
      <c r="ES744" s="2123">
        <v>49.86</v>
      </c>
      <c r="ET744" s="2123">
        <v>49.86</v>
      </c>
      <c r="EU744" s="2123">
        <v>206.27</v>
      </c>
      <c r="EV744" s="2123">
        <v>206.27</v>
      </c>
      <c r="EW744" s="2123">
        <v>201.34</v>
      </c>
      <c r="EX744" s="2123">
        <v>201.34</v>
      </c>
      <c r="EY744" s="2129">
        <f t="shared" si="55"/>
        <v>203.80500000000001</v>
      </c>
      <c r="EZ744" s="2129">
        <f t="shared" si="55"/>
        <v>203.80500000000001</v>
      </c>
      <c r="FA744" s="2123">
        <v>205.89</v>
      </c>
      <c r="FB744" s="2123">
        <v>205.89</v>
      </c>
      <c r="FC744" s="2123"/>
      <c r="FD744" s="2123"/>
      <c r="FE744" s="2123">
        <v>42.83</v>
      </c>
      <c r="FF744" s="2123">
        <v>42.83</v>
      </c>
      <c r="FG744" s="2123">
        <v>173.2</v>
      </c>
      <c r="FH744" s="2123">
        <v>173.2</v>
      </c>
      <c r="FI744" s="2123">
        <v>173.2</v>
      </c>
      <c r="FJ744" s="2123">
        <v>175.89</v>
      </c>
      <c r="FK744" s="2123">
        <v>172.48</v>
      </c>
      <c r="FL744" s="2123">
        <v>172.48</v>
      </c>
      <c r="FM744" s="2123">
        <v>173.71</v>
      </c>
      <c r="FN744" s="2123">
        <v>173.71</v>
      </c>
      <c r="FO744" s="2123"/>
      <c r="FP744" s="2123"/>
      <c r="FQ744" s="2123">
        <v>96.69</v>
      </c>
      <c r="FR744" s="2123">
        <v>96.69</v>
      </c>
      <c r="FS744" s="2123">
        <v>190.15</v>
      </c>
      <c r="FT744" s="2123">
        <v>190.15</v>
      </c>
      <c r="FU744" s="2123">
        <v>190.15</v>
      </c>
      <c r="FV744" s="2123">
        <v>190.15</v>
      </c>
      <c r="FW744" s="2123">
        <v>190.92</v>
      </c>
      <c r="FX744" s="2123">
        <v>190.92</v>
      </c>
      <c r="FY744" s="2123"/>
      <c r="FZ744" s="2123"/>
      <c r="GA744" s="2123"/>
      <c r="GB744" s="2123"/>
      <c r="GC744" s="2123">
        <v>68.45</v>
      </c>
      <c r="GD744" s="2123">
        <v>68.45</v>
      </c>
      <c r="GE744" s="2123">
        <v>155.55000000000001</v>
      </c>
      <c r="GF744" s="2123">
        <v>155.55000000000001</v>
      </c>
      <c r="GG744" s="2123">
        <v>155.55000000000001</v>
      </c>
      <c r="GH744" s="2123">
        <v>155.55000000000001</v>
      </c>
      <c r="GI744" s="2123">
        <v>151.16999999999999</v>
      </c>
      <c r="GJ744" s="2123">
        <v>151.16999999999999</v>
      </c>
      <c r="GK744" s="2123">
        <v>182.37</v>
      </c>
      <c r="GL744" s="2123">
        <v>182.37</v>
      </c>
      <c r="GM744" s="2123"/>
      <c r="GN744" s="2123"/>
      <c r="GO744" s="2123">
        <v>36.64</v>
      </c>
      <c r="GP744" s="2123">
        <v>36.64</v>
      </c>
      <c r="GQ744" s="2123">
        <v>30.07</v>
      </c>
      <c r="GR744" s="2123">
        <v>30.07</v>
      </c>
      <c r="GS744" s="2123">
        <v>30.07</v>
      </c>
      <c r="GT744" s="2123">
        <v>28.94</v>
      </c>
      <c r="GU744" s="2123">
        <v>28.94</v>
      </c>
      <c r="GV744" s="2123">
        <v>29.4</v>
      </c>
      <c r="GW744" s="2123">
        <v>171.88</v>
      </c>
      <c r="GX744" s="2123">
        <v>171.88</v>
      </c>
      <c r="GY744" s="2123"/>
      <c r="GZ744" s="2123"/>
      <c r="HA744" s="2123">
        <v>25.53</v>
      </c>
      <c r="HB744" s="2123">
        <v>25.53</v>
      </c>
      <c r="HC744" s="2123">
        <v>17.8</v>
      </c>
      <c r="HD744" s="2123">
        <v>17.8</v>
      </c>
      <c r="HE744" s="2123">
        <v>18.7</v>
      </c>
      <c r="HF744" s="2123">
        <v>18.7</v>
      </c>
      <c r="HG744" s="2123">
        <v>18.7</v>
      </c>
      <c r="HH744" s="2123">
        <v>18.7</v>
      </c>
      <c r="HI744" s="2123">
        <v>18.7</v>
      </c>
      <c r="HJ744" s="2123">
        <v>18.7</v>
      </c>
      <c r="HK744" s="2123">
        <v>18.760000000000002</v>
      </c>
      <c r="HL744" s="2123">
        <v>19.100000000000001</v>
      </c>
      <c r="HM744" s="2123">
        <v>35.78</v>
      </c>
      <c r="HN744" s="2123">
        <v>35.78</v>
      </c>
      <c r="HO744" s="2123">
        <v>25.36</v>
      </c>
      <c r="HP744" s="2123">
        <v>25.36</v>
      </c>
      <c r="HQ744" s="2123">
        <v>26.66</v>
      </c>
      <c r="HR744" s="2123">
        <v>26.66</v>
      </c>
      <c r="HS744" s="2123">
        <v>26.66</v>
      </c>
      <c r="HT744" s="2123">
        <v>26.66</v>
      </c>
      <c r="HU744" s="2123">
        <v>26.66</v>
      </c>
      <c r="HV744" s="2123">
        <v>26.66</v>
      </c>
      <c r="HW744" s="2123">
        <v>26.65</v>
      </c>
      <c r="HX744" s="2123">
        <v>26.65</v>
      </c>
    </row>
    <row r="745" spans="2:232" s="2040" customFormat="1" ht="14" hidden="1" x14ac:dyDescent="0.3">
      <c r="B745" s="2203">
        <v>51</v>
      </c>
      <c r="C745" s="2204">
        <v>40.74</v>
      </c>
      <c r="D745" s="2204">
        <v>40.74</v>
      </c>
      <c r="E745" s="2204">
        <v>41.06</v>
      </c>
      <c r="F745" s="2204">
        <v>41.06</v>
      </c>
      <c r="G745" s="2204">
        <v>153.79</v>
      </c>
      <c r="H745" s="2204">
        <v>153.79</v>
      </c>
      <c r="I745" s="2204">
        <v>143.88999999999999</v>
      </c>
      <c r="J745" s="2204">
        <v>143.88999999999999</v>
      </c>
      <c r="K745" s="2204">
        <v>151.79</v>
      </c>
      <c r="L745" s="2204">
        <v>151.79</v>
      </c>
      <c r="M745" s="2204"/>
      <c r="N745" s="2204"/>
      <c r="O745" s="2204">
        <v>127.45</v>
      </c>
      <c r="P745" s="2204">
        <v>127.45</v>
      </c>
      <c r="Q745" s="2204">
        <v>127.45</v>
      </c>
      <c r="R745" s="2204">
        <v>127.46</v>
      </c>
      <c r="S745" s="2204">
        <v>223.76999999999998</v>
      </c>
      <c r="T745" s="2204">
        <v>223.77</v>
      </c>
      <c r="U745" s="2204">
        <v>215.99</v>
      </c>
      <c r="V745" s="2204">
        <v>215.99</v>
      </c>
      <c r="W745" s="2204">
        <v>223.77</v>
      </c>
      <c r="X745" s="2204">
        <v>223.77</v>
      </c>
      <c r="Y745" s="2204">
        <v>215.99</v>
      </c>
      <c r="Z745" s="2204">
        <v>223.77</v>
      </c>
      <c r="AA745" s="2204">
        <v>223.77</v>
      </c>
      <c r="AB745" s="2204">
        <v>223.77</v>
      </c>
      <c r="AC745" s="2204">
        <v>215.99</v>
      </c>
      <c r="AD745" s="2204">
        <v>215.99</v>
      </c>
      <c r="AE745" s="2204">
        <v>240.36</v>
      </c>
      <c r="AF745" s="2204">
        <v>233.48</v>
      </c>
      <c r="AG745" s="2204">
        <v>240.36</v>
      </c>
      <c r="AH745" s="2204">
        <v>240.36</v>
      </c>
      <c r="AI745" s="2204">
        <v>233.48</v>
      </c>
      <c r="AJ745" s="2204">
        <v>233.48</v>
      </c>
      <c r="AK745" s="2204">
        <v>234.33</v>
      </c>
      <c r="AL745" s="2204">
        <v>234.33</v>
      </c>
      <c r="AM745" s="2204">
        <v>67.42</v>
      </c>
      <c r="AN745" s="2204">
        <v>64.959999999999994</v>
      </c>
      <c r="AO745" s="2204">
        <v>64.959999999999994</v>
      </c>
      <c r="AP745" s="2204">
        <v>64.959999999999994</v>
      </c>
      <c r="AQ745" s="2204">
        <v>65.599999999999994</v>
      </c>
      <c r="AR745" s="2204">
        <v>65.599999999999994</v>
      </c>
      <c r="AS745" s="2204">
        <v>189</v>
      </c>
      <c r="AT745" s="2204">
        <v>189</v>
      </c>
      <c r="AU745" s="2204">
        <v>189</v>
      </c>
      <c r="AV745" s="2204">
        <v>193.6</v>
      </c>
      <c r="AW745" s="2204">
        <v>189.26</v>
      </c>
      <c r="AX745" s="2204">
        <v>189.26</v>
      </c>
      <c r="AY745" s="2204">
        <v>189.4</v>
      </c>
      <c r="AZ745" s="2204">
        <v>189.4</v>
      </c>
      <c r="BA745" s="2123">
        <v>81.93</v>
      </c>
      <c r="BB745" s="2123">
        <v>81.93</v>
      </c>
      <c r="BC745" s="2123">
        <v>20.14</v>
      </c>
      <c r="BD745" s="2123">
        <v>20.47</v>
      </c>
      <c r="BE745" s="2123">
        <v>24.1</v>
      </c>
      <c r="BF745" s="2123">
        <v>24.1</v>
      </c>
      <c r="BG745" s="2123">
        <v>20.190000000000001</v>
      </c>
      <c r="BH745" s="2123">
        <v>20.190000000000001</v>
      </c>
      <c r="BI745" s="2123">
        <v>20.03</v>
      </c>
      <c r="BJ745" s="2123">
        <v>20.03</v>
      </c>
      <c r="BK745" s="2123">
        <v>20.03</v>
      </c>
      <c r="BL745" s="2123">
        <v>20.03</v>
      </c>
      <c r="BM745" s="2123">
        <v>49.28</v>
      </c>
      <c r="BN745" s="2123">
        <v>49.28</v>
      </c>
      <c r="BO745" s="2123">
        <v>151.66</v>
      </c>
      <c r="BP745" s="2123">
        <v>151.66</v>
      </c>
      <c r="BQ745" s="2123">
        <v>151.66</v>
      </c>
      <c r="BR745" s="2123">
        <v>151.66</v>
      </c>
      <c r="BS745" s="2123">
        <v>190.66</v>
      </c>
      <c r="BT745" s="2123">
        <v>190.66</v>
      </c>
      <c r="BU745" s="2123">
        <v>190.66</v>
      </c>
      <c r="BV745" s="2123">
        <v>190.66</v>
      </c>
      <c r="BW745" s="2123">
        <v>190.66</v>
      </c>
      <c r="BX745" s="2123">
        <v>190.66</v>
      </c>
      <c r="BY745" s="2123">
        <v>44.77</v>
      </c>
      <c r="BZ745" s="2123">
        <v>44.77</v>
      </c>
      <c r="CA745" s="2123">
        <v>144.85</v>
      </c>
      <c r="CB745" s="2123">
        <v>144.85</v>
      </c>
      <c r="CC745" s="2123">
        <v>146.69999999999999</v>
      </c>
      <c r="CD745" s="2123">
        <v>146.69999999999999</v>
      </c>
      <c r="CE745" s="2123">
        <v>187.49</v>
      </c>
      <c r="CF745" s="2123">
        <v>187.49</v>
      </c>
      <c r="CG745" s="2123"/>
      <c r="CH745" s="2123"/>
      <c r="CI745" s="2123"/>
      <c r="CJ745" s="2123"/>
      <c r="CK745" s="2123">
        <v>112.48</v>
      </c>
      <c r="CL745" s="2123">
        <v>112.48</v>
      </c>
      <c r="CM745" s="2123">
        <v>230.06</v>
      </c>
      <c r="CN745" s="2123">
        <v>230.06</v>
      </c>
      <c r="CO745" s="2123">
        <v>288.19</v>
      </c>
      <c r="CP745" s="2123">
        <v>288.19</v>
      </c>
      <c r="CQ745" s="2123">
        <v>288.19</v>
      </c>
      <c r="CR745" s="2123">
        <v>288.19</v>
      </c>
      <c r="CS745" s="2123"/>
      <c r="CT745" s="2123"/>
      <c r="CU745" s="2123"/>
      <c r="CV745" s="2123"/>
      <c r="CW745" s="2123">
        <v>103.93</v>
      </c>
      <c r="CX745" s="2123">
        <v>103.93</v>
      </c>
      <c r="CY745" s="2123">
        <v>220.91</v>
      </c>
      <c r="CZ745" s="2123">
        <v>220.91</v>
      </c>
      <c r="DA745" s="2123">
        <v>220.91</v>
      </c>
      <c r="DB745" s="2123">
        <v>220.91</v>
      </c>
      <c r="DC745" s="2123">
        <v>276.89</v>
      </c>
      <c r="DD745" s="2123">
        <v>276.89</v>
      </c>
      <c r="DE745" s="2123">
        <v>276.89</v>
      </c>
      <c r="DF745" s="2123">
        <v>276.89</v>
      </c>
      <c r="DG745" s="2123"/>
      <c r="DH745" s="2123"/>
      <c r="DI745" s="2123">
        <v>27.45</v>
      </c>
      <c r="DJ745" s="2123">
        <v>27.45</v>
      </c>
      <c r="DK745" s="2123">
        <v>27.45</v>
      </c>
      <c r="DL745" s="2123">
        <v>27.45</v>
      </c>
      <c r="DM745" s="2123">
        <v>27.45</v>
      </c>
      <c r="DN745" s="2123">
        <v>27.45</v>
      </c>
      <c r="DO745" s="2123"/>
      <c r="DP745" s="2123"/>
      <c r="DQ745" s="2123"/>
      <c r="DR745" s="2123"/>
      <c r="DS745" s="2123"/>
      <c r="DT745" s="2123"/>
      <c r="DU745" s="2123">
        <v>12.26</v>
      </c>
      <c r="DV745" s="2123">
        <v>12.26</v>
      </c>
      <c r="DW745" s="2123">
        <v>11.43</v>
      </c>
      <c r="DX745" s="2123">
        <v>11.43</v>
      </c>
      <c r="DY745" s="2123">
        <v>11.43</v>
      </c>
      <c r="DZ745" s="2123">
        <v>11.43</v>
      </c>
      <c r="EA745" s="2123"/>
      <c r="EB745" s="2123"/>
      <c r="EC745" s="2123"/>
      <c r="ED745" s="2123"/>
      <c r="EE745" s="2123"/>
      <c r="EF745" s="2123"/>
      <c r="EG745" s="2123">
        <v>13.15</v>
      </c>
      <c r="EH745" s="2123">
        <v>13.36</v>
      </c>
      <c r="EI745" s="2123">
        <v>9.86</v>
      </c>
      <c r="EJ745" s="2123">
        <v>9.86</v>
      </c>
      <c r="EK745" s="2123">
        <v>9.84</v>
      </c>
      <c r="EL745" s="2123">
        <v>9.84</v>
      </c>
      <c r="EM745" s="2123">
        <v>10.55</v>
      </c>
      <c r="EN745" s="2123">
        <v>10.55</v>
      </c>
      <c r="EO745" s="2123">
        <v>9.94</v>
      </c>
      <c r="EP745" s="2123">
        <v>9.94</v>
      </c>
      <c r="EQ745" s="2123">
        <v>10.220000000000001</v>
      </c>
      <c r="ER745" s="2123">
        <v>10.199999999999999</v>
      </c>
      <c r="ES745" s="2123">
        <v>50.22</v>
      </c>
      <c r="ET745" s="2123">
        <v>50.22</v>
      </c>
      <c r="EU745" s="2123">
        <v>208.38</v>
      </c>
      <c r="EV745" s="2123">
        <v>208.38</v>
      </c>
      <c r="EW745" s="2123">
        <v>203.44</v>
      </c>
      <c r="EX745" s="2123">
        <v>203.44</v>
      </c>
      <c r="EY745" s="2129">
        <f t="shared" si="55"/>
        <v>205.91</v>
      </c>
      <c r="EZ745" s="2129">
        <f t="shared" si="55"/>
        <v>205.91</v>
      </c>
      <c r="FA745" s="2123">
        <v>207.92</v>
      </c>
      <c r="FB745" s="2123">
        <v>207.92</v>
      </c>
      <c r="FC745" s="2123"/>
      <c r="FD745" s="2123"/>
      <c r="FE745" s="2123">
        <v>43.15</v>
      </c>
      <c r="FF745" s="2123">
        <v>43.15</v>
      </c>
      <c r="FG745" s="2123">
        <v>175.01</v>
      </c>
      <c r="FH745" s="2123">
        <v>175.01</v>
      </c>
      <c r="FI745" s="2123">
        <v>175.01</v>
      </c>
      <c r="FJ745" s="2123">
        <v>177.62</v>
      </c>
      <c r="FK745" s="2123">
        <v>174.3</v>
      </c>
      <c r="FL745" s="2123">
        <v>174.3</v>
      </c>
      <c r="FM745" s="2123">
        <v>175.51</v>
      </c>
      <c r="FN745" s="2123">
        <v>175.51</v>
      </c>
      <c r="FO745" s="2123"/>
      <c r="FP745" s="2123"/>
      <c r="FQ745" s="2123">
        <v>97.41</v>
      </c>
      <c r="FR745" s="2123">
        <v>97.41</v>
      </c>
      <c r="FS745" s="2123">
        <v>191.77</v>
      </c>
      <c r="FT745" s="2123">
        <v>191.77</v>
      </c>
      <c r="FU745" s="2123">
        <v>191.77</v>
      </c>
      <c r="FV745" s="2123">
        <v>191.77</v>
      </c>
      <c r="FW745" s="2123">
        <v>192.53</v>
      </c>
      <c r="FX745" s="2123">
        <v>192.53</v>
      </c>
      <c r="FY745" s="2123"/>
      <c r="FZ745" s="2123"/>
      <c r="GA745" s="2123"/>
      <c r="GB745" s="2123"/>
      <c r="GC745" s="2123">
        <v>68.95</v>
      </c>
      <c r="GD745" s="2123">
        <v>68.95</v>
      </c>
      <c r="GE745" s="2123">
        <v>156.59</v>
      </c>
      <c r="GF745" s="2123">
        <v>156.59</v>
      </c>
      <c r="GG745" s="2123">
        <v>156.59</v>
      </c>
      <c r="GH745" s="2123">
        <v>156.59</v>
      </c>
      <c r="GI745" s="2123">
        <v>153.22</v>
      </c>
      <c r="GJ745" s="2123">
        <v>153.22</v>
      </c>
      <c r="GK745" s="2123">
        <v>184.15</v>
      </c>
      <c r="GL745" s="2123">
        <v>184.15</v>
      </c>
      <c r="GM745" s="2123"/>
      <c r="GN745" s="2123"/>
      <c r="GO745" s="2123">
        <v>36.909999999999997</v>
      </c>
      <c r="GP745" s="2123">
        <v>36.909999999999997</v>
      </c>
      <c r="GQ745" s="2123">
        <v>30.39</v>
      </c>
      <c r="GR745" s="2123">
        <v>30.39</v>
      </c>
      <c r="GS745" s="2123">
        <v>30.39</v>
      </c>
      <c r="GT745" s="2123">
        <v>29.25</v>
      </c>
      <c r="GU745" s="2123">
        <v>29.25</v>
      </c>
      <c r="GV745" s="2123">
        <v>29.7</v>
      </c>
      <c r="GW745" s="2123">
        <v>173.66</v>
      </c>
      <c r="GX745" s="2123">
        <v>173.66</v>
      </c>
      <c r="GY745" s="2123"/>
      <c r="GZ745" s="2123"/>
      <c r="HA745" s="2123">
        <v>25.71</v>
      </c>
      <c r="HB745" s="2123">
        <v>25.71</v>
      </c>
      <c r="HC745" s="2123">
        <v>18.04</v>
      </c>
      <c r="HD745" s="2123">
        <v>18.04</v>
      </c>
      <c r="HE745" s="2123">
        <v>18.93</v>
      </c>
      <c r="HF745" s="2123">
        <v>18.93</v>
      </c>
      <c r="HG745" s="2123">
        <v>18.93</v>
      </c>
      <c r="HH745" s="2123">
        <v>18.93</v>
      </c>
      <c r="HI745" s="2123">
        <v>18.93</v>
      </c>
      <c r="HJ745" s="2123">
        <v>18.93</v>
      </c>
      <c r="HK745" s="2123">
        <v>18.98</v>
      </c>
      <c r="HL745" s="2123">
        <v>19.32</v>
      </c>
      <c r="HM745" s="2123">
        <v>36.04</v>
      </c>
      <c r="HN745" s="2123">
        <v>36.04</v>
      </c>
      <c r="HO745" s="2123">
        <v>25.69</v>
      </c>
      <c r="HP745" s="2123">
        <v>25.69</v>
      </c>
      <c r="HQ745" s="2123">
        <v>26.97</v>
      </c>
      <c r="HR745" s="2123">
        <v>26.97</v>
      </c>
      <c r="HS745" s="2123">
        <v>26.97</v>
      </c>
      <c r="HT745" s="2123">
        <v>26.97</v>
      </c>
      <c r="HU745" s="2123">
        <v>26.97</v>
      </c>
      <c r="HV745" s="2123">
        <v>26.97</v>
      </c>
      <c r="HW745" s="2123">
        <v>26.97</v>
      </c>
      <c r="HX745" s="2123">
        <v>26.97</v>
      </c>
    </row>
    <row r="746" spans="2:232" s="2040" customFormat="1" ht="14" hidden="1" x14ac:dyDescent="0.3">
      <c r="B746" s="2203">
        <v>52</v>
      </c>
      <c r="C746" s="2204">
        <v>41.02</v>
      </c>
      <c r="D746" s="2204">
        <v>41.02</v>
      </c>
      <c r="E746" s="2204">
        <v>41.34</v>
      </c>
      <c r="F746" s="2204">
        <v>41.34</v>
      </c>
      <c r="G746" s="2204">
        <v>155.07</v>
      </c>
      <c r="H746" s="2204">
        <v>155.07</v>
      </c>
      <c r="I746" s="2204">
        <v>145.22999999999999</v>
      </c>
      <c r="J746" s="2204">
        <v>145.22999999999999</v>
      </c>
      <c r="K746" s="2204">
        <v>152.96</v>
      </c>
      <c r="L746" s="2204">
        <v>152.96</v>
      </c>
      <c r="M746" s="2204"/>
      <c r="N746" s="2204"/>
      <c r="O746" s="2204">
        <v>128.35</v>
      </c>
      <c r="P746" s="2204">
        <v>128.35</v>
      </c>
      <c r="Q746" s="2204">
        <v>128.32</v>
      </c>
      <c r="R746" s="2204">
        <v>128.35</v>
      </c>
      <c r="S746" s="2204">
        <v>226.01999999999998</v>
      </c>
      <c r="T746" s="2204">
        <v>226.02</v>
      </c>
      <c r="U746" s="2204">
        <v>218.17</v>
      </c>
      <c r="V746" s="2204">
        <v>218.17</v>
      </c>
      <c r="W746" s="2204">
        <v>226.02</v>
      </c>
      <c r="X746" s="2204">
        <v>226.02</v>
      </c>
      <c r="Y746" s="2204">
        <v>218.17</v>
      </c>
      <c r="Z746" s="2204">
        <v>226.02</v>
      </c>
      <c r="AA746" s="2204">
        <v>226.02</v>
      </c>
      <c r="AB746" s="2204">
        <v>226.02</v>
      </c>
      <c r="AC746" s="2204">
        <v>218.17</v>
      </c>
      <c r="AD746" s="2204">
        <v>218.17</v>
      </c>
      <c r="AE746" s="2204">
        <v>242.45</v>
      </c>
      <c r="AF746" s="2204">
        <v>235.51</v>
      </c>
      <c r="AG746" s="2204">
        <v>242.45</v>
      </c>
      <c r="AH746" s="2204">
        <v>242.45</v>
      </c>
      <c r="AI746" s="2204">
        <v>235.51</v>
      </c>
      <c r="AJ746" s="2204">
        <v>235.51</v>
      </c>
      <c r="AK746" s="2204">
        <v>236.32</v>
      </c>
      <c r="AL746" s="2204">
        <v>236.32</v>
      </c>
      <c r="AM746" s="2204">
        <v>67.900000000000006</v>
      </c>
      <c r="AN746" s="2204">
        <v>65.42</v>
      </c>
      <c r="AO746" s="2204">
        <v>65.42</v>
      </c>
      <c r="AP746" s="2204">
        <v>65.42</v>
      </c>
      <c r="AQ746" s="2204">
        <v>66.040000000000006</v>
      </c>
      <c r="AR746" s="2204">
        <v>66.040000000000006</v>
      </c>
      <c r="AS746" s="2204">
        <v>190.68</v>
      </c>
      <c r="AT746" s="2204">
        <v>190.68</v>
      </c>
      <c r="AU746" s="2204">
        <v>190.68</v>
      </c>
      <c r="AV746" s="2204">
        <v>195.3</v>
      </c>
      <c r="AW746" s="2204">
        <v>190.94</v>
      </c>
      <c r="AX746" s="2204">
        <v>190.94</v>
      </c>
      <c r="AY746" s="2204">
        <v>191.08</v>
      </c>
      <c r="AZ746" s="2204">
        <v>191.08</v>
      </c>
      <c r="BA746" s="2123">
        <v>82.68</v>
      </c>
      <c r="BB746" s="2123">
        <v>82.68</v>
      </c>
      <c r="BC746" s="2123">
        <v>20.36</v>
      </c>
      <c r="BD746" s="2123">
        <v>20.68</v>
      </c>
      <c r="BE746" s="2123">
        <v>24.28</v>
      </c>
      <c r="BF746" s="2123">
        <v>24.28</v>
      </c>
      <c r="BG746" s="2123">
        <v>20.41</v>
      </c>
      <c r="BH746" s="2123">
        <v>20.41</v>
      </c>
      <c r="BI746" s="2123">
        <v>20.25</v>
      </c>
      <c r="BJ746" s="2123">
        <v>20.25</v>
      </c>
      <c r="BK746" s="2123">
        <v>20.25</v>
      </c>
      <c r="BL746" s="2123">
        <v>20.25</v>
      </c>
      <c r="BM746" s="2123">
        <v>49.63</v>
      </c>
      <c r="BN746" s="2123">
        <v>49.63</v>
      </c>
      <c r="BO746" s="2123">
        <v>152.88999999999999</v>
      </c>
      <c r="BP746" s="2123">
        <v>152.88999999999999</v>
      </c>
      <c r="BQ746" s="2123">
        <v>152.88999999999999</v>
      </c>
      <c r="BR746" s="2123">
        <v>152.88999999999999</v>
      </c>
      <c r="BS746" s="2123">
        <v>192.51</v>
      </c>
      <c r="BT746" s="2123">
        <v>192.51</v>
      </c>
      <c r="BU746" s="2123">
        <v>192.51</v>
      </c>
      <c r="BV746" s="2123">
        <v>192.51</v>
      </c>
      <c r="BW746" s="2123">
        <v>192.51</v>
      </c>
      <c r="BX746" s="2123">
        <v>192.51</v>
      </c>
      <c r="BY746" s="2123">
        <v>45.08</v>
      </c>
      <c r="BZ746" s="2123">
        <v>45.08</v>
      </c>
      <c r="CA746" s="2123">
        <v>146.05000000000001</v>
      </c>
      <c r="CB746" s="2123">
        <v>146.05000000000001</v>
      </c>
      <c r="CC746" s="2123">
        <v>147.93</v>
      </c>
      <c r="CD746" s="2123">
        <v>147.93</v>
      </c>
      <c r="CE746" s="2123">
        <v>189.34</v>
      </c>
      <c r="CF746" s="2123">
        <v>189.34</v>
      </c>
      <c r="CG746" s="2123"/>
      <c r="CH746" s="2123"/>
      <c r="CI746" s="2123"/>
      <c r="CJ746" s="2123"/>
      <c r="CK746" s="2123">
        <v>113.1</v>
      </c>
      <c r="CL746" s="2123">
        <v>113.1</v>
      </c>
      <c r="CM746" s="2123">
        <v>231.38</v>
      </c>
      <c r="CN746" s="2123">
        <v>231.38</v>
      </c>
      <c r="CO746" s="2123">
        <v>290.3</v>
      </c>
      <c r="CP746" s="2123">
        <v>290.3</v>
      </c>
      <c r="CQ746" s="2123">
        <v>290.3</v>
      </c>
      <c r="CR746" s="2123">
        <v>290.3</v>
      </c>
      <c r="CS746" s="2123"/>
      <c r="CT746" s="2123"/>
      <c r="CU746" s="2123"/>
      <c r="CV746" s="2123"/>
      <c r="CW746" s="2123">
        <v>104.66</v>
      </c>
      <c r="CX746" s="2123">
        <v>104.66</v>
      </c>
      <c r="CY746" s="2123">
        <v>222.24</v>
      </c>
      <c r="CZ746" s="2123">
        <v>222.24</v>
      </c>
      <c r="DA746" s="2123">
        <v>222.24</v>
      </c>
      <c r="DB746" s="2123">
        <v>222.24</v>
      </c>
      <c r="DC746" s="2123">
        <v>278.99</v>
      </c>
      <c r="DD746" s="2123">
        <v>278.99</v>
      </c>
      <c r="DE746" s="2123">
        <v>278.99</v>
      </c>
      <c r="DF746" s="2123">
        <v>278.99</v>
      </c>
      <c r="DG746" s="2123"/>
      <c r="DH746" s="2123"/>
      <c r="DI746" s="2123">
        <v>27.64</v>
      </c>
      <c r="DJ746" s="2123">
        <v>27.64</v>
      </c>
      <c r="DK746" s="2123">
        <v>27.64</v>
      </c>
      <c r="DL746" s="2123">
        <v>27.64</v>
      </c>
      <c r="DM746" s="2123">
        <v>27.64</v>
      </c>
      <c r="DN746" s="2123">
        <v>27.64</v>
      </c>
      <c r="DO746" s="2123"/>
      <c r="DP746" s="2123"/>
      <c r="DQ746" s="2123"/>
      <c r="DR746" s="2123"/>
      <c r="DS746" s="2123"/>
      <c r="DT746" s="2123"/>
      <c r="DU746" s="2123">
        <v>12.34</v>
      </c>
      <c r="DV746" s="2123">
        <v>12.34</v>
      </c>
      <c r="DW746" s="2123">
        <v>11.53</v>
      </c>
      <c r="DX746" s="2123">
        <v>11.53</v>
      </c>
      <c r="DY746" s="2123">
        <v>11.53</v>
      </c>
      <c r="DZ746" s="2123">
        <v>11.53</v>
      </c>
      <c r="EA746" s="2123"/>
      <c r="EB746" s="2123"/>
      <c r="EC746" s="2123"/>
      <c r="ED746" s="2123"/>
      <c r="EE746" s="2123"/>
      <c r="EF746" s="2123"/>
      <c r="EG746" s="2123">
        <v>13.24</v>
      </c>
      <c r="EH746" s="2123">
        <v>13.45</v>
      </c>
      <c r="EI746" s="2123">
        <v>9.9700000000000006</v>
      </c>
      <c r="EJ746" s="2123">
        <v>9.9700000000000006</v>
      </c>
      <c r="EK746" s="2123">
        <v>9.9499999999999993</v>
      </c>
      <c r="EL746" s="2123">
        <v>9.9499999999999993</v>
      </c>
      <c r="EM746" s="2123">
        <v>10.66</v>
      </c>
      <c r="EN746" s="2123">
        <v>10.66</v>
      </c>
      <c r="EO746" s="2123">
        <v>10.039999999999999</v>
      </c>
      <c r="EP746" s="2123">
        <v>10.039999999999999</v>
      </c>
      <c r="EQ746" s="2123">
        <v>10.33</v>
      </c>
      <c r="ER746" s="2123">
        <v>10.3</v>
      </c>
      <c r="ES746" s="2123">
        <v>50.58</v>
      </c>
      <c r="ET746" s="2123">
        <v>50.58</v>
      </c>
      <c r="EU746" s="2123">
        <v>210.44</v>
      </c>
      <c r="EV746" s="2123">
        <v>210.44</v>
      </c>
      <c r="EW746" s="2123">
        <v>205.47</v>
      </c>
      <c r="EX746" s="2123">
        <v>205.47</v>
      </c>
      <c r="EY746" s="2129">
        <f t="shared" si="55"/>
        <v>207.95499999999998</v>
      </c>
      <c r="EZ746" s="2129">
        <f t="shared" si="55"/>
        <v>207.95499999999998</v>
      </c>
      <c r="FA746" s="2123">
        <v>209.9</v>
      </c>
      <c r="FB746" s="2123">
        <v>209.9</v>
      </c>
      <c r="FC746" s="2123"/>
      <c r="FD746" s="2123"/>
      <c r="FE746" s="2123">
        <v>43.45</v>
      </c>
      <c r="FF746" s="2123">
        <v>43.45</v>
      </c>
      <c r="FG746" s="2123">
        <v>176.77</v>
      </c>
      <c r="FH746" s="2123">
        <v>176.77</v>
      </c>
      <c r="FI746" s="2123">
        <v>176.77</v>
      </c>
      <c r="FJ746" s="2123">
        <v>179.31</v>
      </c>
      <c r="FK746" s="2123">
        <v>176.07</v>
      </c>
      <c r="FL746" s="2123">
        <v>176.07</v>
      </c>
      <c r="FM746" s="2123">
        <v>177.25</v>
      </c>
      <c r="FN746" s="2123">
        <v>177.25</v>
      </c>
      <c r="FO746" s="2123"/>
      <c r="FP746" s="2123"/>
      <c r="FQ746" s="2123">
        <v>98.1</v>
      </c>
      <c r="FR746" s="2123">
        <v>98.1</v>
      </c>
      <c r="FS746" s="2123">
        <v>193.35</v>
      </c>
      <c r="FT746" s="2123">
        <v>193.35</v>
      </c>
      <c r="FU746" s="2123">
        <v>193.35</v>
      </c>
      <c r="FV746" s="2123">
        <v>193.35</v>
      </c>
      <c r="FW746" s="2123">
        <v>194.09</v>
      </c>
      <c r="FX746" s="2123">
        <v>194.09</v>
      </c>
      <c r="FY746" s="2123"/>
      <c r="FZ746" s="2123"/>
      <c r="GA746" s="2123"/>
      <c r="GB746" s="2123"/>
      <c r="GC746" s="2123">
        <v>69.430000000000007</v>
      </c>
      <c r="GD746" s="2123">
        <v>69.430000000000007</v>
      </c>
      <c r="GE746" s="2123">
        <v>157.59</v>
      </c>
      <c r="GF746" s="2123">
        <v>157.59</v>
      </c>
      <c r="GG746" s="2123">
        <v>157.59</v>
      </c>
      <c r="GH746" s="2123">
        <v>157.59</v>
      </c>
      <c r="GI746" s="2123">
        <v>155.21</v>
      </c>
      <c r="GJ746" s="2123">
        <v>155.21</v>
      </c>
      <c r="GK746" s="2123">
        <v>185.88</v>
      </c>
      <c r="GL746" s="2123">
        <v>185.88</v>
      </c>
      <c r="GM746" s="2123"/>
      <c r="GN746" s="2123"/>
      <c r="GO746" s="2123">
        <v>37.17</v>
      </c>
      <c r="GP746" s="2123">
        <v>37.17</v>
      </c>
      <c r="GQ746" s="2123">
        <v>30.7</v>
      </c>
      <c r="GR746" s="2123">
        <v>30.7</v>
      </c>
      <c r="GS746" s="2123">
        <v>30.7</v>
      </c>
      <c r="GT746" s="2123">
        <v>29.56</v>
      </c>
      <c r="GU746" s="2123">
        <v>29.56</v>
      </c>
      <c r="GV746" s="2123">
        <v>30</v>
      </c>
      <c r="GW746" s="2123">
        <v>175.38</v>
      </c>
      <c r="GX746" s="2123">
        <v>175.38</v>
      </c>
      <c r="GY746" s="2123"/>
      <c r="GZ746" s="2123"/>
      <c r="HA746" s="2123">
        <v>25.89</v>
      </c>
      <c r="HB746" s="2123">
        <v>25.89</v>
      </c>
      <c r="HC746" s="2123">
        <v>18.27</v>
      </c>
      <c r="HD746" s="2123">
        <v>18.27</v>
      </c>
      <c r="HE746" s="2123">
        <v>19.09</v>
      </c>
      <c r="HF746" s="2123">
        <v>19.09</v>
      </c>
      <c r="HG746" s="2123">
        <v>19.09</v>
      </c>
      <c r="HH746" s="2123">
        <v>19.09</v>
      </c>
      <c r="HI746" s="2123">
        <v>19.09</v>
      </c>
      <c r="HJ746" s="2123">
        <v>19.09</v>
      </c>
      <c r="HK746" s="2123">
        <v>19.21</v>
      </c>
      <c r="HL746" s="2123">
        <v>19.53</v>
      </c>
      <c r="HM746" s="2123">
        <v>36.29</v>
      </c>
      <c r="HN746" s="2123">
        <v>36.29</v>
      </c>
      <c r="HO746" s="2123">
        <v>26.01</v>
      </c>
      <c r="HP746" s="2123">
        <v>26.01</v>
      </c>
      <c r="HQ746" s="2123">
        <v>27.25</v>
      </c>
      <c r="HR746" s="2123">
        <v>27.25</v>
      </c>
      <c r="HS746" s="2123">
        <v>27.25</v>
      </c>
      <c r="HT746" s="2123">
        <v>27.25</v>
      </c>
      <c r="HU746" s="2123">
        <v>27.25</v>
      </c>
      <c r="HV746" s="2123">
        <v>27.25</v>
      </c>
      <c r="HW746" s="2123">
        <v>27.28</v>
      </c>
      <c r="HX746" s="2123">
        <v>27.28</v>
      </c>
    </row>
    <row r="747" spans="2:232" s="2040" customFormat="1" ht="14" hidden="1" x14ac:dyDescent="0.3">
      <c r="B747" s="2203">
        <v>53</v>
      </c>
      <c r="C747" s="2204">
        <v>41.29</v>
      </c>
      <c r="D747" s="2204">
        <v>41.29</v>
      </c>
      <c r="E747" s="2204">
        <v>41.59</v>
      </c>
      <c r="F747" s="2204">
        <v>41.59</v>
      </c>
      <c r="G747" s="2204">
        <v>156.84</v>
      </c>
      <c r="H747" s="2204">
        <v>156.84</v>
      </c>
      <c r="I747" s="2204">
        <v>146.5</v>
      </c>
      <c r="J747" s="2204">
        <v>146.5</v>
      </c>
      <c r="K747" s="2204">
        <v>154.07</v>
      </c>
      <c r="L747" s="2204">
        <v>154.07</v>
      </c>
      <c r="M747" s="2204"/>
      <c r="N747" s="2204"/>
      <c r="O747" s="2204">
        <v>129.19999999999999</v>
      </c>
      <c r="P747" s="2204">
        <v>129.19999999999999</v>
      </c>
      <c r="Q747" s="2204">
        <v>129.15</v>
      </c>
      <c r="R747" s="2204">
        <v>129.21</v>
      </c>
      <c r="S747" s="2204">
        <v>228.17</v>
      </c>
      <c r="T747" s="2204">
        <v>228.21</v>
      </c>
      <c r="U747" s="2204">
        <v>220.28</v>
      </c>
      <c r="V747" s="2204">
        <v>220.28</v>
      </c>
      <c r="W747" s="2204">
        <v>228.21</v>
      </c>
      <c r="X747" s="2204">
        <v>228.21</v>
      </c>
      <c r="Y747" s="2204">
        <v>220.28</v>
      </c>
      <c r="Z747" s="2204">
        <v>228.21</v>
      </c>
      <c r="AA747" s="2204">
        <v>228.21</v>
      </c>
      <c r="AB747" s="2204">
        <v>228.21</v>
      </c>
      <c r="AC747" s="2204">
        <v>220.28</v>
      </c>
      <c r="AD747" s="2204">
        <v>220.28</v>
      </c>
      <c r="AE747" s="2204">
        <v>244.47</v>
      </c>
      <c r="AF747" s="2204">
        <v>237.47</v>
      </c>
      <c r="AG747" s="2204">
        <v>244.47</v>
      </c>
      <c r="AH747" s="2204">
        <v>244.47</v>
      </c>
      <c r="AI747" s="2204">
        <v>237.47</v>
      </c>
      <c r="AJ747" s="2204">
        <v>237.47</v>
      </c>
      <c r="AK747" s="2204">
        <v>238.26</v>
      </c>
      <c r="AL747" s="2204">
        <v>238.26</v>
      </c>
      <c r="AM747" s="2204">
        <v>68.349999999999994</v>
      </c>
      <c r="AN747" s="2204">
        <v>65.86</v>
      </c>
      <c r="AO747" s="2204">
        <v>65.86</v>
      </c>
      <c r="AP747" s="2204">
        <v>65.91</v>
      </c>
      <c r="AQ747" s="2204">
        <v>66.510000000000005</v>
      </c>
      <c r="AR747" s="2204">
        <v>66.510000000000005</v>
      </c>
      <c r="AS747" s="2204">
        <v>192.5</v>
      </c>
      <c r="AT747" s="2204">
        <v>192.5</v>
      </c>
      <c r="AU747" s="2204">
        <v>192.5</v>
      </c>
      <c r="AV747" s="2204">
        <v>197.14</v>
      </c>
      <c r="AW747" s="2204">
        <v>192.77</v>
      </c>
      <c r="AX747" s="2204">
        <v>192.77</v>
      </c>
      <c r="AY747" s="2204">
        <v>192.91</v>
      </c>
      <c r="AZ747" s="2204">
        <v>192.91</v>
      </c>
      <c r="BA747" s="2123">
        <v>83.58</v>
      </c>
      <c r="BB747" s="2123">
        <v>83.58</v>
      </c>
      <c r="BC747" s="2123">
        <v>20.57</v>
      </c>
      <c r="BD747" s="2123">
        <v>20.88</v>
      </c>
      <c r="BE747" s="2123">
        <v>24.49</v>
      </c>
      <c r="BF747" s="2123">
        <v>24.49</v>
      </c>
      <c r="BG747" s="2123">
        <v>20.67</v>
      </c>
      <c r="BH747" s="2123">
        <v>20.67</v>
      </c>
      <c r="BI747" s="2123">
        <v>20.51</v>
      </c>
      <c r="BJ747" s="2123">
        <v>20.51</v>
      </c>
      <c r="BK747" s="2123">
        <v>20.51</v>
      </c>
      <c r="BL747" s="2123">
        <v>20.51</v>
      </c>
      <c r="BM747" s="2123">
        <v>49.98</v>
      </c>
      <c r="BN747" s="2123">
        <v>49.98</v>
      </c>
      <c r="BO747" s="2123">
        <v>154.15</v>
      </c>
      <c r="BP747" s="2123">
        <v>154.15</v>
      </c>
      <c r="BQ747" s="2123">
        <v>154.15</v>
      </c>
      <c r="BR747" s="2123">
        <v>154.15</v>
      </c>
      <c r="BS747" s="2123">
        <v>194.41</v>
      </c>
      <c r="BT747" s="2123">
        <v>194.41</v>
      </c>
      <c r="BU747" s="2123">
        <v>194.41</v>
      </c>
      <c r="BV747" s="2123">
        <v>194.41</v>
      </c>
      <c r="BW747" s="2123">
        <v>194.41</v>
      </c>
      <c r="BX747" s="2123">
        <v>194.41</v>
      </c>
      <c r="BY747" s="2123">
        <v>45.38</v>
      </c>
      <c r="BZ747" s="2123">
        <v>45.38</v>
      </c>
      <c r="CA747" s="2123">
        <v>147.21</v>
      </c>
      <c r="CB747" s="2123">
        <v>147.21</v>
      </c>
      <c r="CC747" s="2123">
        <v>149.13</v>
      </c>
      <c r="CD747" s="2123">
        <v>149.13</v>
      </c>
      <c r="CE747" s="2123">
        <v>191.14</v>
      </c>
      <c r="CF747" s="2123">
        <v>191.14</v>
      </c>
      <c r="CG747" s="2123"/>
      <c r="CH747" s="2123"/>
      <c r="CI747" s="2123"/>
      <c r="CJ747" s="2123"/>
      <c r="CK747" s="2123">
        <v>113.77</v>
      </c>
      <c r="CL747" s="2123">
        <v>113.77</v>
      </c>
      <c r="CM747" s="2123">
        <v>232.48</v>
      </c>
      <c r="CN747" s="2123">
        <v>232.48</v>
      </c>
      <c r="CO747" s="2123">
        <v>292.05</v>
      </c>
      <c r="CP747" s="2123">
        <v>292.05</v>
      </c>
      <c r="CQ747" s="2123">
        <v>292.05</v>
      </c>
      <c r="CR747" s="2123">
        <v>292.05</v>
      </c>
      <c r="CS747" s="2123"/>
      <c r="CT747" s="2123"/>
      <c r="CU747" s="2123"/>
      <c r="CV747" s="2123"/>
      <c r="CW747" s="2123">
        <v>105.33</v>
      </c>
      <c r="CX747" s="2123">
        <v>105.33</v>
      </c>
      <c r="CY747" s="2123">
        <v>223.48</v>
      </c>
      <c r="CZ747" s="2123">
        <v>223.48</v>
      </c>
      <c r="DA747" s="2123">
        <v>223.48</v>
      </c>
      <c r="DB747" s="2123">
        <v>223.48</v>
      </c>
      <c r="DC747" s="2123">
        <v>280.95</v>
      </c>
      <c r="DD747" s="2123">
        <v>280.95</v>
      </c>
      <c r="DE747" s="2123">
        <v>280.95</v>
      </c>
      <c r="DF747" s="2123">
        <v>280.95</v>
      </c>
      <c r="DG747" s="2123"/>
      <c r="DH747" s="2123"/>
      <c r="DI747" s="2123">
        <v>27.85</v>
      </c>
      <c r="DJ747" s="2123">
        <v>27.85</v>
      </c>
      <c r="DK747" s="2123">
        <v>27.85</v>
      </c>
      <c r="DL747" s="2123">
        <v>27.85</v>
      </c>
      <c r="DM747" s="2123">
        <v>27.85</v>
      </c>
      <c r="DN747" s="2123">
        <v>27.85</v>
      </c>
      <c r="DO747" s="2123"/>
      <c r="DP747" s="2123"/>
      <c r="DQ747" s="2123"/>
      <c r="DR747" s="2123"/>
      <c r="DS747" s="2123"/>
      <c r="DT747" s="2123"/>
      <c r="DU747" s="2123">
        <v>12.42</v>
      </c>
      <c r="DV747" s="2123">
        <v>12.42</v>
      </c>
      <c r="DW747" s="2123">
        <v>11.62</v>
      </c>
      <c r="DX747" s="2123">
        <v>11.62</v>
      </c>
      <c r="DY747" s="2123">
        <v>11.62</v>
      </c>
      <c r="DZ747" s="2123">
        <v>11.62</v>
      </c>
      <c r="EA747" s="2123"/>
      <c r="EB747" s="2123"/>
      <c r="EC747" s="2123"/>
      <c r="ED747" s="2123"/>
      <c r="EE747" s="2123"/>
      <c r="EF747" s="2123"/>
      <c r="EG747" s="2123">
        <v>13.33</v>
      </c>
      <c r="EH747" s="2123">
        <v>13.54</v>
      </c>
      <c r="EI747" s="2123">
        <v>10.08</v>
      </c>
      <c r="EJ747" s="2123">
        <v>10.08</v>
      </c>
      <c r="EK747" s="2123">
        <v>10.06</v>
      </c>
      <c r="EL747" s="2123">
        <v>10.06</v>
      </c>
      <c r="EM747" s="2123">
        <v>10.77</v>
      </c>
      <c r="EN747" s="2123">
        <v>10.77</v>
      </c>
      <c r="EO747" s="2123">
        <v>10.15</v>
      </c>
      <c r="EP747" s="2123">
        <v>10.15</v>
      </c>
      <c r="EQ747" s="2123">
        <v>10.44</v>
      </c>
      <c r="ER747" s="2123">
        <v>10.4</v>
      </c>
      <c r="ES747" s="2123">
        <v>50.92</v>
      </c>
      <c r="ET747" s="2123">
        <v>50.92</v>
      </c>
      <c r="EU747" s="2123">
        <v>212.43</v>
      </c>
      <c r="EV747" s="2123">
        <v>212.43</v>
      </c>
      <c r="EW747" s="2123">
        <v>207.44</v>
      </c>
      <c r="EX747" s="2123">
        <v>207.44</v>
      </c>
      <c r="EY747" s="2129">
        <f t="shared" si="55"/>
        <v>209.935</v>
      </c>
      <c r="EZ747" s="2129">
        <f t="shared" si="55"/>
        <v>209.935</v>
      </c>
      <c r="FA747" s="2123">
        <v>211.82</v>
      </c>
      <c r="FB747" s="2123">
        <v>211.82</v>
      </c>
      <c r="FC747" s="2123"/>
      <c r="FD747" s="2123"/>
      <c r="FE747" s="2123">
        <v>43.75</v>
      </c>
      <c r="FF747" s="2123">
        <v>43.75</v>
      </c>
      <c r="FG747" s="2123">
        <v>178.48</v>
      </c>
      <c r="FH747" s="2123">
        <v>178.48</v>
      </c>
      <c r="FI747" s="2123">
        <v>178.48</v>
      </c>
      <c r="FJ747" s="2123">
        <v>180.95</v>
      </c>
      <c r="FK747" s="2123">
        <v>177.8</v>
      </c>
      <c r="FL747" s="2123">
        <v>177.8</v>
      </c>
      <c r="FM747" s="2123">
        <v>178.95</v>
      </c>
      <c r="FN747" s="2123">
        <v>178.95</v>
      </c>
      <c r="FO747" s="2123"/>
      <c r="FP747" s="2123"/>
      <c r="FQ747" s="2123">
        <v>98.78</v>
      </c>
      <c r="FR747" s="2123">
        <v>98.78</v>
      </c>
      <c r="FS747" s="2123">
        <v>194.88</v>
      </c>
      <c r="FT747" s="2123">
        <v>194.88</v>
      </c>
      <c r="FU747" s="2123">
        <v>194.88</v>
      </c>
      <c r="FV747" s="2123">
        <v>194.88</v>
      </c>
      <c r="FW747" s="2123">
        <v>195.6</v>
      </c>
      <c r="FX747" s="2123">
        <v>195.6</v>
      </c>
      <c r="FY747" s="2123"/>
      <c r="FZ747" s="2123"/>
      <c r="GA747" s="2123"/>
      <c r="GB747" s="2123"/>
      <c r="GC747" s="2123">
        <v>69.900000000000006</v>
      </c>
      <c r="GD747" s="2123">
        <v>69.900000000000006</v>
      </c>
      <c r="GE747" s="2123">
        <v>158.55000000000001</v>
      </c>
      <c r="GF747" s="2123">
        <v>158.55000000000001</v>
      </c>
      <c r="GG747" s="2123">
        <v>158.55000000000001</v>
      </c>
      <c r="GH747" s="2123">
        <v>158.55000000000001</v>
      </c>
      <c r="GI747" s="2123">
        <v>157.16</v>
      </c>
      <c r="GJ747" s="2123">
        <v>157.16</v>
      </c>
      <c r="GK747" s="2123">
        <v>187.57</v>
      </c>
      <c r="GL747" s="2123">
        <v>187.57</v>
      </c>
      <c r="GM747" s="2123"/>
      <c r="GN747" s="2123"/>
      <c r="GO747" s="2123">
        <v>37.42</v>
      </c>
      <c r="GP747" s="2123">
        <v>37.42</v>
      </c>
      <c r="GQ747" s="2123">
        <v>31.05</v>
      </c>
      <c r="GR747" s="2123">
        <v>31.05</v>
      </c>
      <c r="GS747" s="2123">
        <v>31.05</v>
      </c>
      <c r="GT747" s="2123">
        <v>29.89</v>
      </c>
      <c r="GU747" s="2123">
        <v>29.89</v>
      </c>
      <c r="GV747" s="2123">
        <v>30.31</v>
      </c>
      <c r="GW747" s="2123">
        <v>177.26</v>
      </c>
      <c r="GX747" s="2123">
        <v>177.26</v>
      </c>
      <c r="GY747" s="2123"/>
      <c r="GZ747" s="2123"/>
      <c r="HA747" s="2123">
        <v>26.02</v>
      </c>
      <c r="HB747" s="2123">
        <v>26.02</v>
      </c>
      <c r="HC747" s="2123">
        <v>18.43</v>
      </c>
      <c r="HD747" s="2123">
        <v>18.43</v>
      </c>
      <c r="HE747" s="2123">
        <v>19.3</v>
      </c>
      <c r="HF747" s="2123">
        <v>19.3</v>
      </c>
      <c r="HG747" s="2123">
        <v>19.3</v>
      </c>
      <c r="HH747" s="2123">
        <v>19.3</v>
      </c>
      <c r="HI747" s="2123">
        <v>19.3</v>
      </c>
      <c r="HJ747" s="2123">
        <v>19.3</v>
      </c>
      <c r="HK747" s="2123">
        <v>19.37</v>
      </c>
      <c r="HL747" s="2123">
        <v>19.68</v>
      </c>
      <c r="HM747" s="2123">
        <v>36.520000000000003</v>
      </c>
      <c r="HN747" s="2123">
        <v>36.520000000000003</v>
      </c>
      <c r="HO747" s="2123">
        <v>26.3</v>
      </c>
      <c r="HP747" s="2123">
        <v>26.3</v>
      </c>
      <c r="HQ747" s="2123">
        <v>27.61</v>
      </c>
      <c r="HR747" s="2123">
        <v>27.61</v>
      </c>
      <c r="HS747" s="2123">
        <v>27.61</v>
      </c>
      <c r="HT747" s="2123">
        <v>27.61</v>
      </c>
      <c r="HU747" s="2123">
        <v>27.61</v>
      </c>
      <c r="HV747" s="2123">
        <v>27.61</v>
      </c>
      <c r="HW747" s="2123">
        <v>27.56</v>
      </c>
      <c r="HX747" s="2123">
        <v>27.56</v>
      </c>
    </row>
    <row r="748" spans="2:232" s="2040" customFormat="1" ht="14" hidden="1" x14ac:dyDescent="0.3">
      <c r="B748" s="2203">
        <v>54</v>
      </c>
      <c r="C748" s="2204">
        <v>41.66</v>
      </c>
      <c r="D748" s="2204">
        <v>41.66</v>
      </c>
      <c r="E748" s="2204">
        <v>41.95</v>
      </c>
      <c r="F748" s="2204">
        <v>41.95</v>
      </c>
      <c r="G748" s="2204">
        <v>157.85</v>
      </c>
      <c r="H748" s="2204">
        <v>157.85</v>
      </c>
      <c r="I748" s="2204">
        <v>148.25</v>
      </c>
      <c r="J748" s="2204">
        <v>148.25</v>
      </c>
      <c r="K748" s="2204">
        <v>155.61000000000001</v>
      </c>
      <c r="L748" s="2204">
        <v>155.61000000000001</v>
      </c>
      <c r="M748" s="2204"/>
      <c r="N748" s="2204"/>
      <c r="O748" s="2204">
        <v>130.03</v>
      </c>
      <c r="P748" s="2204">
        <v>130.03</v>
      </c>
      <c r="Q748" s="2204">
        <v>129.94</v>
      </c>
      <c r="R748" s="2204">
        <v>130.03</v>
      </c>
      <c r="S748" s="2204">
        <v>230.25</v>
      </c>
      <c r="T748" s="2204">
        <v>230.34</v>
      </c>
      <c r="U748" s="2204">
        <v>222.34</v>
      </c>
      <c r="V748" s="2204">
        <v>222.34</v>
      </c>
      <c r="W748" s="2204">
        <v>230.34</v>
      </c>
      <c r="X748" s="2204">
        <v>230.34</v>
      </c>
      <c r="Y748" s="2204">
        <v>222.34</v>
      </c>
      <c r="Z748" s="2204">
        <v>230.34</v>
      </c>
      <c r="AA748" s="2204">
        <v>230.34</v>
      </c>
      <c r="AB748" s="2204">
        <v>230.34</v>
      </c>
      <c r="AC748" s="2204">
        <v>222.34</v>
      </c>
      <c r="AD748" s="2204">
        <v>222.34</v>
      </c>
      <c r="AE748" s="2204">
        <v>246.44</v>
      </c>
      <c r="AF748" s="2204">
        <v>239.38</v>
      </c>
      <c r="AG748" s="2204">
        <v>246.44</v>
      </c>
      <c r="AH748" s="2204">
        <v>246.44</v>
      </c>
      <c r="AI748" s="2204">
        <v>239.38</v>
      </c>
      <c r="AJ748" s="2204">
        <v>239.38</v>
      </c>
      <c r="AK748" s="2204">
        <v>240.15</v>
      </c>
      <c r="AL748" s="2204">
        <v>240.15</v>
      </c>
      <c r="AM748" s="2204">
        <v>68.8</v>
      </c>
      <c r="AN748" s="2204">
        <v>66.290000000000006</v>
      </c>
      <c r="AO748" s="2204">
        <v>66.290000000000006</v>
      </c>
      <c r="AP748" s="2204">
        <v>66.36</v>
      </c>
      <c r="AQ748" s="2204">
        <v>66.94</v>
      </c>
      <c r="AR748" s="2204">
        <v>66.94</v>
      </c>
      <c r="AS748" s="2204">
        <v>194.15</v>
      </c>
      <c r="AT748" s="2204">
        <v>194.15</v>
      </c>
      <c r="AU748" s="2204">
        <v>194.15</v>
      </c>
      <c r="AV748" s="2204">
        <v>198.81</v>
      </c>
      <c r="AW748" s="2204">
        <v>194.42</v>
      </c>
      <c r="AX748" s="2204">
        <v>194.42</v>
      </c>
      <c r="AY748" s="2204">
        <v>194.56</v>
      </c>
      <c r="AZ748" s="2204">
        <v>194.56</v>
      </c>
      <c r="BA748" s="2123">
        <v>84.24</v>
      </c>
      <c r="BB748" s="2123">
        <v>84.24</v>
      </c>
      <c r="BC748" s="2123">
        <v>20.78</v>
      </c>
      <c r="BD748" s="2123">
        <v>21.08</v>
      </c>
      <c r="BE748" s="2123">
        <v>24.64</v>
      </c>
      <c r="BF748" s="2123">
        <v>24.64</v>
      </c>
      <c r="BG748" s="2123">
        <v>20.87</v>
      </c>
      <c r="BH748" s="2123">
        <v>20.87</v>
      </c>
      <c r="BI748" s="2123">
        <v>20.7</v>
      </c>
      <c r="BJ748" s="2123">
        <v>20.7</v>
      </c>
      <c r="BK748" s="2123">
        <v>20.7</v>
      </c>
      <c r="BL748" s="2123">
        <v>20.7</v>
      </c>
      <c r="BM748" s="2123">
        <v>50.34</v>
      </c>
      <c r="BN748" s="2123">
        <v>50.34</v>
      </c>
      <c r="BO748" s="2123">
        <v>155.43</v>
      </c>
      <c r="BP748" s="2123">
        <v>155.43</v>
      </c>
      <c r="BQ748" s="2123">
        <v>155.43</v>
      </c>
      <c r="BR748" s="2123">
        <v>155.43</v>
      </c>
      <c r="BS748" s="2123">
        <v>196.34</v>
      </c>
      <c r="BT748" s="2123">
        <v>196.34</v>
      </c>
      <c r="BU748" s="2123">
        <v>196.34</v>
      </c>
      <c r="BV748" s="2123">
        <v>196.34</v>
      </c>
      <c r="BW748" s="2123">
        <v>196.34</v>
      </c>
      <c r="BX748" s="2123">
        <v>196.34</v>
      </c>
      <c r="BY748" s="2123">
        <v>45.71</v>
      </c>
      <c r="BZ748" s="2123">
        <v>45.71</v>
      </c>
      <c r="CA748" s="2123">
        <v>148.44</v>
      </c>
      <c r="CB748" s="2123">
        <v>148.44</v>
      </c>
      <c r="CC748" s="2123">
        <v>150.4</v>
      </c>
      <c r="CD748" s="2123">
        <v>150.4</v>
      </c>
      <c r="CE748" s="2123">
        <v>193.05</v>
      </c>
      <c r="CF748" s="2123">
        <v>193.05</v>
      </c>
      <c r="CG748" s="2123"/>
      <c r="CH748" s="2123"/>
      <c r="CI748" s="2123"/>
      <c r="CJ748" s="2123"/>
      <c r="CK748" s="2123">
        <v>114.36</v>
      </c>
      <c r="CL748" s="2123">
        <v>114.36</v>
      </c>
      <c r="CM748" s="2123">
        <v>233.62</v>
      </c>
      <c r="CN748" s="2123">
        <v>233.62</v>
      </c>
      <c r="CO748" s="2123">
        <v>293.89</v>
      </c>
      <c r="CP748" s="2123">
        <v>293.89</v>
      </c>
      <c r="CQ748" s="2123">
        <v>293.89</v>
      </c>
      <c r="CR748" s="2123">
        <v>293.89</v>
      </c>
      <c r="CS748" s="2123"/>
      <c r="CT748" s="2123"/>
      <c r="CU748" s="2123"/>
      <c r="CV748" s="2123"/>
      <c r="CW748" s="2123">
        <v>106.13</v>
      </c>
      <c r="CX748" s="2123">
        <v>106.13</v>
      </c>
      <c r="CY748" s="2123">
        <v>224.92</v>
      </c>
      <c r="CZ748" s="2123">
        <v>224.92</v>
      </c>
      <c r="DA748" s="2123">
        <v>224.92</v>
      </c>
      <c r="DB748" s="2123">
        <v>224.92</v>
      </c>
      <c r="DC748" s="2123">
        <v>283.24</v>
      </c>
      <c r="DD748" s="2123">
        <v>283.24</v>
      </c>
      <c r="DE748" s="2123">
        <v>283.24</v>
      </c>
      <c r="DF748" s="2123">
        <v>283.24</v>
      </c>
      <c r="DG748" s="2123"/>
      <c r="DH748" s="2123"/>
      <c r="DI748" s="2123">
        <v>28.05</v>
      </c>
      <c r="DJ748" s="2123">
        <v>28.05</v>
      </c>
      <c r="DK748" s="2123">
        <v>28.05</v>
      </c>
      <c r="DL748" s="2123">
        <v>28.05</v>
      </c>
      <c r="DM748" s="2123">
        <v>28.05</v>
      </c>
      <c r="DN748" s="2123">
        <v>28.05</v>
      </c>
      <c r="DO748" s="2123"/>
      <c r="DP748" s="2123"/>
      <c r="DQ748" s="2123"/>
      <c r="DR748" s="2123"/>
      <c r="DS748" s="2123"/>
      <c r="DT748" s="2123"/>
      <c r="DU748" s="2123">
        <v>12.49</v>
      </c>
      <c r="DV748" s="2123">
        <v>12.49</v>
      </c>
      <c r="DW748" s="2123">
        <v>11.72</v>
      </c>
      <c r="DX748" s="2123">
        <v>11.72</v>
      </c>
      <c r="DY748" s="2123">
        <v>11.72</v>
      </c>
      <c r="DZ748" s="2123">
        <v>11.72</v>
      </c>
      <c r="EA748" s="2123"/>
      <c r="EB748" s="2123"/>
      <c r="EC748" s="2123"/>
      <c r="ED748" s="2123"/>
      <c r="EE748" s="2123"/>
      <c r="EF748" s="2123"/>
      <c r="EG748" s="2123">
        <v>13.41</v>
      </c>
      <c r="EH748" s="2123">
        <v>13.62</v>
      </c>
      <c r="EI748" s="2123">
        <v>10.19</v>
      </c>
      <c r="EJ748" s="2123">
        <v>10.19</v>
      </c>
      <c r="EK748" s="2123">
        <v>10.17</v>
      </c>
      <c r="EL748" s="2123">
        <v>10.17</v>
      </c>
      <c r="EM748" s="2123">
        <v>10.87</v>
      </c>
      <c r="EN748" s="2123">
        <v>10.87</v>
      </c>
      <c r="EO748" s="2123">
        <v>10.25</v>
      </c>
      <c r="EP748" s="2123">
        <v>10.25</v>
      </c>
      <c r="EQ748" s="2123">
        <v>10.54</v>
      </c>
      <c r="ER748" s="2123">
        <v>10.5</v>
      </c>
      <c r="ES748" s="2123">
        <v>51.25</v>
      </c>
      <c r="ET748" s="2123">
        <v>51.25</v>
      </c>
      <c r="EU748" s="2123">
        <v>214.37</v>
      </c>
      <c r="EV748" s="2123">
        <v>214.37</v>
      </c>
      <c r="EW748" s="2123">
        <v>209.37</v>
      </c>
      <c r="EX748" s="2123">
        <v>209.37</v>
      </c>
      <c r="EY748" s="2129">
        <f t="shared" si="55"/>
        <v>211.87</v>
      </c>
      <c r="EZ748" s="2129">
        <f t="shared" si="55"/>
        <v>211.87</v>
      </c>
      <c r="FA748" s="2123">
        <v>213.68</v>
      </c>
      <c r="FB748" s="2123">
        <v>213.68</v>
      </c>
      <c r="FC748" s="2123"/>
      <c r="FD748" s="2123"/>
      <c r="FE748" s="2123">
        <v>44.04</v>
      </c>
      <c r="FF748" s="2123">
        <v>44.04</v>
      </c>
      <c r="FG748" s="2123">
        <v>180.14</v>
      </c>
      <c r="FH748" s="2123">
        <v>180.14</v>
      </c>
      <c r="FI748" s="2123">
        <v>180.14</v>
      </c>
      <c r="FJ748" s="2123">
        <v>182.55</v>
      </c>
      <c r="FK748" s="2123">
        <v>179.47</v>
      </c>
      <c r="FL748" s="2123">
        <v>179.47</v>
      </c>
      <c r="FM748" s="2123">
        <v>180.61</v>
      </c>
      <c r="FN748" s="2123">
        <v>180.61</v>
      </c>
      <c r="FO748" s="2123"/>
      <c r="FP748" s="2123"/>
      <c r="FQ748" s="2123">
        <v>99.43</v>
      </c>
      <c r="FR748" s="2123">
        <v>99.43</v>
      </c>
      <c r="FS748" s="2123">
        <v>196.37</v>
      </c>
      <c r="FT748" s="2123">
        <v>196.37</v>
      </c>
      <c r="FU748" s="2123">
        <v>196.37</v>
      </c>
      <c r="FV748" s="2123">
        <v>196.37</v>
      </c>
      <c r="FW748" s="2123">
        <v>197.07</v>
      </c>
      <c r="FX748" s="2123">
        <v>197.07</v>
      </c>
      <c r="FY748" s="2123"/>
      <c r="FZ748" s="2123"/>
      <c r="GA748" s="2123"/>
      <c r="GB748" s="2123"/>
      <c r="GC748" s="2123">
        <v>70.349999999999994</v>
      </c>
      <c r="GD748" s="2123">
        <v>70.349999999999994</v>
      </c>
      <c r="GE748" s="2123">
        <v>159.49</v>
      </c>
      <c r="GF748" s="2123">
        <v>159.49</v>
      </c>
      <c r="GG748" s="2123">
        <v>159.49</v>
      </c>
      <c r="GH748" s="2123">
        <v>159.49</v>
      </c>
      <c r="GI748" s="2123">
        <v>159.06</v>
      </c>
      <c r="GJ748" s="2123">
        <v>159.06</v>
      </c>
      <c r="GK748" s="2123">
        <v>189.2</v>
      </c>
      <c r="GL748" s="2123">
        <v>189.2</v>
      </c>
      <c r="GM748" s="2123"/>
      <c r="GN748" s="2123"/>
      <c r="GO748" s="2123">
        <v>37.659999999999997</v>
      </c>
      <c r="GP748" s="2123">
        <v>37.659999999999997</v>
      </c>
      <c r="GQ748" s="2123">
        <v>31.39</v>
      </c>
      <c r="GR748" s="2123">
        <v>31.39</v>
      </c>
      <c r="GS748" s="2123">
        <v>31.39</v>
      </c>
      <c r="GT748" s="2123">
        <v>30.22</v>
      </c>
      <c r="GU748" s="2123">
        <v>30.22</v>
      </c>
      <c r="GV748" s="2123">
        <v>30.63</v>
      </c>
      <c r="GW748" s="2123">
        <v>179.14</v>
      </c>
      <c r="GX748" s="2123">
        <v>179.14</v>
      </c>
      <c r="GY748" s="2123"/>
      <c r="GZ748" s="2123"/>
      <c r="HA748" s="2123">
        <v>26.18</v>
      </c>
      <c r="HB748" s="2123">
        <v>26.18</v>
      </c>
      <c r="HC748" s="2123">
        <v>18.64</v>
      </c>
      <c r="HD748" s="2123">
        <v>18.64</v>
      </c>
      <c r="HE748" s="2123">
        <v>19.47</v>
      </c>
      <c r="HF748" s="2123">
        <v>19.47</v>
      </c>
      <c r="HG748" s="2123">
        <v>19.47</v>
      </c>
      <c r="HH748" s="2123">
        <v>19.47</v>
      </c>
      <c r="HI748" s="2123">
        <v>19.47</v>
      </c>
      <c r="HJ748" s="2123">
        <v>19.47</v>
      </c>
      <c r="HK748" s="2123">
        <v>19.57</v>
      </c>
      <c r="HL748" s="2123">
        <v>19.88</v>
      </c>
      <c r="HM748" s="2123">
        <v>36.799999999999997</v>
      </c>
      <c r="HN748" s="2123">
        <v>36.799999999999997</v>
      </c>
      <c r="HO748" s="2123">
        <v>26.66</v>
      </c>
      <c r="HP748" s="2123">
        <v>26.66</v>
      </c>
      <c r="HQ748" s="2123">
        <v>27.92</v>
      </c>
      <c r="HR748" s="2123">
        <v>27.92</v>
      </c>
      <c r="HS748" s="2123">
        <v>27.92</v>
      </c>
      <c r="HT748" s="2123">
        <v>27.92</v>
      </c>
      <c r="HU748" s="2123">
        <v>27.92</v>
      </c>
      <c r="HV748" s="2123">
        <v>27.92</v>
      </c>
      <c r="HW748" s="2123">
        <v>27.91</v>
      </c>
      <c r="HX748" s="2123">
        <v>27.91</v>
      </c>
    </row>
    <row r="749" spans="2:232" s="2040" customFormat="1" ht="14" hidden="1" x14ac:dyDescent="0.3">
      <c r="B749" s="2203">
        <v>55</v>
      </c>
      <c r="C749" s="2204">
        <v>41.87</v>
      </c>
      <c r="D749" s="2204">
        <v>41.87</v>
      </c>
      <c r="E749" s="2204">
        <v>42.15</v>
      </c>
      <c r="F749" s="2204">
        <v>42.15</v>
      </c>
      <c r="G749" s="2204">
        <v>158.9</v>
      </c>
      <c r="H749" s="2204">
        <v>158.9</v>
      </c>
      <c r="I749" s="2204">
        <v>149.25</v>
      </c>
      <c r="J749" s="2204">
        <v>149.25</v>
      </c>
      <c r="K749" s="2204">
        <v>156.47999999999999</v>
      </c>
      <c r="L749" s="2204">
        <v>156.47999999999999</v>
      </c>
      <c r="M749" s="2204"/>
      <c r="N749" s="2204"/>
      <c r="O749" s="2204">
        <v>130.91</v>
      </c>
      <c r="P749" s="2204">
        <v>130.91</v>
      </c>
      <c r="Q749" s="2204">
        <v>130.80000000000001</v>
      </c>
      <c r="R749" s="2204">
        <v>130.91</v>
      </c>
      <c r="S749" s="2204">
        <v>232.48</v>
      </c>
      <c r="T749" s="2204">
        <v>232.41</v>
      </c>
      <c r="U749" s="2204">
        <v>224.33</v>
      </c>
      <c r="V749" s="2204">
        <v>224.33</v>
      </c>
      <c r="W749" s="2204">
        <v>232.41</v>
      </c>
      <c r="X749" s="2204">
        <v>232.41</v>
      </c>
      <c r="Y749" s="2204">
        <v>224.33</v>
      </c>
      <c r="Z749" s="2204">
        <v>232.41</v>
      </c>
      <c r="AA749" s="2204">
        <v>232.41</v>
      </c>
      <c r="AB749" s="2204">
        <v>232.41</v>
      </c>
      <c r="AC749" s="2204">
        <v>224.33</v>
      </c>
      <c r="AD749" s="2204">
        <v>224.33</v>
      </c>
      <c r="AE749" s="2204">
        <v>248.34</v>
      </c>
      <c r="AF749" s="2204">
        <v>241.23</v>
      </c>
      <c r="AG749" s="2204">
        <v>248.34</v>
      </c>
      <c r="AH749" s="2204">
        <v>248.34</v>
      </c>
      <c r="AI749" s="2204">
        <v>241.23</v>
      </c>
      <c r="AJ749" s="2204">
        <v>241.23</v>
      </c>
      <c r="AK749" s="2204">
        <v>241.97</v>
      </c>
      <c r="AL749" s="2204">
        <v>241.97</v>
      </c>
      <c r="AM749" s="2204">
        <v>69.23</v>
      </c>
      <c r="AN749" s="2204">
        <v>66.7</v>
      </c>
      <c r="AO749" s="2204">
        <v>66.7</v>
      </c>
      <c r="AP749" s="2204">
        <v>66.73</v>
      </c>
      <c r="AQ749" s="2204">
        <v>67.3</v>
      </c>
      <c r="AR749" s="2204">
        <v>67.3</v>
      </c>
      <c r="AS749" s="2204">
        <v>195.53</v>
      </c>
      <c r="AT749" s="2204">
        <v>195.53</v>
      </c>
      <c r="AU749" s="2204">
        <v>195.53</v>
      </c>
      <c r="AV749" s="2204">
        <v>200.21</v>
      </c>
      <c r="AW749" s="2204">
        <v>195.81</v>
      </c>
      <c r="AX749" s="2204">
        <v>195.81</v>
      </c>
      <c r="AY749" s="2204">
        <v>195.95</v>
      </c>
      <c r="AZ749" s="2204">
        <v>195.95</v>
      </c>
      <c r="BA749" s="2123">
        <v>84.74</v>
      </c>
      <c r="BB749" s="2123">
        <v>84.74</v>
      </c>
      <c r="BC749" s="2123">
        <v>20.99</v>
      </c>
      <c r="BD749" s="2123">
        <v>21.28</v>
      </c>
      <c r="BE749" s="2123">
        <v>24.75</v>
      </c>
      <c r="BF749" s="2123">
        <v>24.75</v>
      </c>
      <c r="BG749" s="2123">
        <v>21.01</v>
      </c>
      <c r="BH749" s="2123">
        <v>21.01</v>
      </c>
      <c r="BI749" s="2123">
        <v>20.85</v>
      </c>
      <c r="BJ749" s="2123">
        <v>20.85</v>
      </c>
      <c r="BK749" s="2123">
        <v>20.85</v>
      </c>
      <c r="BL749" s="2123">
        <v>20.85</v>
      </c>
      <c r="BM749" s="2123">
        <v>50.57</v>
      </c>
      <c r="BN749" s="2123">
        <v>50.57</v>
      </c>
      <c r="BO749" s="2123">
        <v>156.25</v>
      </c>
      <c r="BP749" s="2123">
        <v>156.25</v>
      </c>
      <c r="BQ749" s="2123">
        <v>156.25</v>
      </c>
      <c r="BR749" s="2123">
        <v>156.25</v>
      </c>
      <c r="BS749" s="2123">
        <v>197.58</v>
      </c>
      <c r="BT749" s="2123">
        <v>197.58</v>
      </c>
      <c r="BU749" s="2123">
        <v>197.58</v>
      </c>
      <c r="BV749" s="2123">
        <v>197.58</v>
      </c>
      <c r="BW749" s="2123">
        <v>197.58</v>
      </c>
      <c r="BX749" s="2123">
        <v>197.58</v>
      </c>
      <c r="BY749" s="2123">
        <v>45.91</v>
      </c>
      <c r="BZ749" s="2123">
        <v>45.91</v>
      </c>
      <c r="CA749" s="2123">
        <v>149.21</v>
      </c>
      <c r="CB749" s="2123">
        <v>149.21</v>
      </c>
      <c r="CC749" s="2123">
        <v>151.19</v>
      </c>
      <c r="CD749" s="2123">
        <v>151.19</v>
      </c>
      <c r="CE749" s="2123">
        <v>194.24</v>
      </c>
      <c r="CF749" s="2123">
        <v>194.24</v>
      </c>
      <c r="CG749" s="2123"/>
      <c r="CH749" s="2123"/>
      <c r="CI749" s="2123"/>
      <c r="CJ749" s="2123"/>
      <c r="CK749" s="2123">
        <v>115</v>
      </c>
      <c r="CL749" s="2123">
        <v>115</v>
      </c>
      <c r="CM749" s="2123">
        <v>234.66</v>
      </c>
      <c r="CN749" s="2123">
        <v>234.66</v>
      </c>
      <c r="CO749" s="2123">
        <v>295.56</v>
      </c>
      <c r="CP749" s="2123">
        <v>295.56</v>
      </c>
      <c r="CQ749" s="2123">
        <v>295.56</v>
      </c>
      <c r="CR749" s="2123">
        <v>295.56</v>
      </c>
      <c r="CS749" s="2123"/>
      <c r="CT749" s="2123"/>
      <c r="CU749" s="2123"/>
      <c r="CV749" s="2123"/>
      <c r="CW749" s="2123">
        <v>106.68</v>
      </c>
      <c r="CX749" s="2123">
        <v>106.68</v>
      </c>
      <c r="CY749" s="2123">
        <v>225.93</v>
      </c>
      <c r="CZ749" s="2123">
        <v>225.93</v>
      </c>
      <c r="DA749" s="2123">
        <v>225.93</v>
      </c>
      <c r="DB749" s="2123">
        <v>225.93</v>
      </c>
      <c r="DC749" s="2123">
        <v>284.83999999999997</v>
      </c>
      <c r="DD749" s="2123">
        <v>284.83999999999997</v>
      </c>
      <c r="DE749" s="2123">
        <v>284.83999999999997</v>
      </c>
      <c r="DF749" s="2123">
        <v>284.83999999999997</v>
      </c>
      <c r="DG749" s="2123"/>
      <c r="DH749" s="2123"/>
      <c r="DI749" s="2123">
        <v>28.22</v>
      </c>
      <c r="DJ749" s="2123">
        <v>28.22</v>
      </c>
      <c r="DK749" s="2123">
        <v>28.22</v>
      </c>
      <c r="DL749" s="2123">
        <v>28.22</v>
      </c>
      <c r="DM749" s="2123">
        <v>28.22</v>
      </c>
      <c r="DN749" s="2123">
        <v>28.22</v>
      </c>
      <c r="DO749" s="2123"/>
      <c r="DP749" s="2123"/>
      <c r="DQ749" s="2123"/>
      <c r="DR749" s="2123"/>
      <c r="DS749" s="2123"/>
      <c r="DT749" s="2123"/>
      <c r="DU749" s="2123">
        <v>12.54</v>
      </c>
      <c r="DV749" s="2123">
        <v>12.54</v>
      </c>
      <c r="DW749" s="2123">
        <v>11.81</v>
      </c>
      <c r="DX749" s="2123">
        <v>11.81</v>
      </c>
      <c r="DY749" s="2123">
        <v>11.81</v>
      </c>
      <c r="DZ749" s="2123">
        <v>11.81</v>
      </c>
      <c r="EA749" s="2123"/>
      <c r="EB749" s="2123"/>
      <c r="EC749" s="2123"/>
      <c r="ED749" s="2123"/>
      <c r="EE749" s="2123"/>
      <c r="EF749" s="2123"/>
      <c r="EG749" s="2123">
        <v>13.49</v>
      </c>
      <c r="EH749" s="2123">
        <v>13.7</v>
      </c>
      <c r="EI749" s="2123">
        <v>10.3</v>
      </c>
      <c r="EJ749" s="2123">
        <v>10.3</v>
      </c>
      <c r="EK749" s="2123">
        <v>10.28</v>
      </c>
      <c r="EL749" s="2123">
        <v>10.28</v>
      </c>
      <c r="EM749" s="2123">
        <v>10.97</v>
      </c>
      <c r="EN749" s="2123">
        <v>10.97</v>
      </c>
      <c r="EO749" s="2123">
        <v>10.35</v>
      </c>
      <c r="EP749" s="2123">
        <v>10.35</v>
      </c>
      <c r="EQ749" s="2123">
        <v>10.65</v>
      </c>
      <c r="ER749" s="2123">
        <v>10.6</v>
      </c>
      <c r="ES749" s="2123">
        <v>51.57</v>
      </c>
      <c r="ET749" s="2123">
        <v>51.57</v>
      </c>
      <c r="EU749" s="2123">
        <v>216.26</v>
      </c>
      <c r="EV749" s="2123">
        <v>216.26</v>
      </c>
      <c r="EW749" s="2123">
        <v>211.24</v>
      </c>
      <c r="EX749" s="2123">
        <v>211.24</v>
      </c>
      <c r="EY749" s="2129">
        <f t="shared" si="55"/>
        <v>213.75</v>
      </c>
      <c r="EZ749" s="2129">
        <f t="shared" si="55"/>
        <v>213.75</v>
      </c>
      <c r="FA749" s="2123">
        <v>215.5</v>
      </c>
      <c r="FB749" s="2123">
        <v>215.5</v>
      </c>
      <c r="FC749" s="2123"/>
      <c r="FD749" s="2123"/>
      <c r="FE749" s="2123">
        <v>44.31</v>
      </c>
      <c r="FF749" s="2123">
        <v>44.31</v>
      </c>
      <c r="FG749" s="2123">
        <v>181.76</v>
      </c>
      <c r="FH749" s="2123">
        <v>181.76</v>
      </c>
      <c r="FI749" s="2123">
        <v>181.76</v>
      </c>
      <c r="FJ749" s="2123">
        <v>184.1</v>
      </c>
      <c r="FK749" s="2123">
        <v>181.1</v>
      </c>
      <c r="FL749" s="2123">
        <v>181.1</v>
      </c>
      <c r="FM749" s="2123">
        <v>182.22</v>
      </c>
      <c r="FN749" s="2123">
        <v>182.22</v>
      </c>
      <c r="FO749" s="2123"/>
      <c r="FP749" s="2123"/>
      <c r="FQ749" s="2123">
        <v>100.06</v>
      </c>
      <c r="FR749" s="2123">
        <v>100.06</v>
      </c>
      <c r="FS749" s="2123">
        <v>197.81</v>
      </c>
      <c r="FT749" s="2123">
        <v>197.81</v>
      </c>
      <c r="FU749" s="2123">
        <v>197.81</v>
      </c>
      <c r="FV749" s="2123">
        <v>197.81</v>
      </c>
      <c r="FW749" s="2123">
        <v>198.5</v>
      </c>
      <c r="FX749" s="2123">
        <v>198.5</v>
      </c>
      <c r="FY749" s="2123"/>
      <c r="FZ749" s="2123"/>
      <c r="GA749" s="2123"/>
      <c r="GB749" s="2123"/>
      <c r="GC749" s="2123">
        <v>70.8</v>
      </c>
      <c r="GD749" s="2123">
        <v>70.8</v>
      </c>
      <c r="GE749" s="2123">
        <v>160.41</v>
      </c>
      <c r="GF749" s="2123">
        <v>160.41</v>
      </c>
      <c r="GG749" s="2123">
        <v>160.41</v>
      </c>
      <c r="GH749" s="2123">
        <v>160.41</v>
      </c>
      <c r="GI749" s="2123">
        <v>160.91</v>
      </c>
      <c r="GJ749" s="2123">
        <v>160.91</v>
      </c>
      <c r="GK749" s="2123">
        <v>190.79</v>
      </c>
      <c r="GL749" s="2123">
        <v>190.79</v>
      </c>
      <c r="GM749" s="2123"/>
      <c r="GN749" s="2123"/>
      <c r="GO749" s="2123">
        <v>37.9</v>
      </c>
      <c r="GP749" s="2123">
        <v>37.9</v>
      </c>
      <c r="GQ749" s="2123">
        <v>31.65</v>
      </c>
      <c r="GR749" s="2123">
        <v>31.65</v>
      </c>
      <c r="GS749" s="2123">
        <v>31.65</v>
      </c>
      <c r="GT749" s="2123">
        <v>30.48</v>
      </c>
      <c r="GU749" s="2123">
        <v>30.48</v>
      </c>
      <c r="GV749" s="2123">
        <v>30.88</v>
      </c>
      <c r="GW749" s="2123">
        <v>180.58</v>
      </c>
      <c r="GX749" s="2123">
        <v>180.58</v>
      </c>
      <c r="GY749" s="2123"/>
      <c r="GZ749" s="2123"/>
      <c r="HA749" s="2123">
        <v>26.32</v>
      </c>
      <c r="HB749" s="2123">
        <v>26.32</v>
      </c>
      <c r="HC749" s="2123">
        <v>18.82</v>
      </c>
      <c r="HD749" s="2123">
        <v>18.82</v>
      </c>
      <c r="HE749" s="2123">
        <v>19.73</v>
      </c>
      <c r="HF749" s="2123">
        <v>19.73</v>
      </c>
      <c r="HG749" s="2123">
        <v>19.73</v>
      </c>
      <c r="HH749" s="2123">
        <v>19.73</v>
      </c>
      <c r="HI749" s="2123">
        <v>19.73</v>
      </c>
      <c r="HJ749" s="2123">
        <v>19.73</v>
      </c>
      <c r="HK749" s="2123">
        <v>19.75</v>
      </c>
      <c r="HL749" s="2123">
        <v>20.05</v>
      </c>
      <c r="HM749" s="2123">
        <v>37.04</v>
      </c>
      <c r="HN749" s="2123">
        <v>37.04</v>
      </c>
      <c r="HO749" s="2123">
        <v>26.97</v>
      </c>
      <c r="HP749" s="2123">
        <v>26.97</v>
      </c>
      <c r="HQ749" s="2123">
        <v>28.24</v>
      </c>
      <c r="HR749" s="2123">
        <v>28.24</v>
      </c>
      <c r="HS749" s="2123">
        <v>28.24</v>
      </c>
      <c r="HT749" s="2123">
        <v>28.24</v>
      </c>
      <c r="HU749" s="2123">
        <v>28.24</v>
      </c>
      <c r="HV749" s="2123">
        <v>28.24</v>
      </c>
      <c r="HW749" s="2123">
        <v>28.21</v>
      </c>
      <c r="HX749" s="2123">
        <v>28.21</v>
      </c>
    </row>
    <row r="750" spans="2:232" s="2040" customFormat="1" ht="14" hidden="1" x14ac:dyDescent="0.3">
      <c r="B750" s="2203">
        <v>56</v>
      </c>
      <c r="C750" s="2204">
        <v>42.09</v>
      </c>
      <c r="D750" s="2204">
        <v>42.09</v>
      </c>
      <c r="E750" s="2204">
        <v>42.36</v>
      </c>
      <c r="F750" s="2204">
        <v>42.36</v>
      </c>
      <c r="G750" s="2204">
        <v>159.97</v>
      </c>
      <c r="H750" s="2204">
        <v>159.97</v>
      </c>
      <c r="I750" s="2204">
        <v>150.29</v>
      </c>
      <c r="J750" s="2204">
        <v>150.29</v>
      </c>
      <c r="K750" s="2204">
        <v>157.38999999999999</v>
      </c>
      <c r="L750" s="2204">
        <v>157.38999999999999</v>
      </c>
      <c r="M750" s="2204"/>
      <c r="N750" s="2204"/>
      <c r="O750" s="2204">
        <v>131.79</v>
      </c>
      <c r="P750" s="2204">
        <v>131.79</v>
      </c>
      <c r="Q750" s="2204">
        <v>131.66</v>
      </c>
      <c r="R750" s="2204">
        <v>131.80000000000001</v>
      </c>
      <c r="S750" s="2204">
        <v>234.72</v>
      </c>
      <c r="T750" s="2204">
        <v>234.42</v>
      </c>
      <c r="U750" s="2204">
        <v>226.28</v>
      </c>
      <c r="V750" s="2204">
        <v>226.28</v>
      </c>
      <c r="W750" s="2204">
        <v>234.42</v>
      </c>
      <c r="X750" s="2204">
        <v>234.42</v>
      </c>
      <c r="Y750" s="2204">
        <v>226.28</v>
      </c>
      <c r="Z750" s="2204">
        <v>234.42</v>
      </c>
      <c r="AA750" s="2204">
        <v>234.42</v>
      </c>
      <c r="AB750" s="2204">
        <v>234.42</v>
      </c>
      <c r="AC750" s="2204">
        <v>226.28</v>
      </c>
      <c r="AD750" s="2204">
        <v>226.28</v>
      </c>
      <c r="AE750" s="2204">
        <v>250.2</v>
      </c>
      <c r="AF750" s="2204">
        <v>243.03</v>
      </c>
      <c r="AG750" s="2204">
        <v>250.2</v>
      </c>
      <c r="AH750" s="2204">
        <v>250.2</v>
      </c>
      <c r="AI750" s="2204">
        <v>243.03</v>
      </c>
      <c r="AJ750" s="2204">
        <v>243.03</v>
      </c>
      <c r="AK750" s="2204">
        <v>243.75</v>
      </c>
      <c r="AL750" s="2204">
        <v>243.75</v>
      </c>
      <c r="AM750" s="2204">
        <v>69.650000000000006</v>
      </c>
      <c r="AN750" s="2204">
        <v>67.11</v>
      </c>
      <c r="AO750" s="2204">
        <v>67.11</v>
      </c>
      <c r="AP750" s="2204">
        <v>67.17</v>
      </c>
      <c r="AQ750" s="2204">
        <v>67.709999999999994</v>
      </c>
      <c r="AR750" s="2204">
        <v>67.709999999999994</v>
      </c>
      <c r="AS750" s="2204">
        <v>197.14</v>
      </c>
      <c r="AT750" s="2204">
        <v>197.14</v>
      </c>
      <c r="AU750" s="2204">
        <v>197.14</v>
      </c>
      <c r="AV750" s="2204">
        <v>201.83</v>
      </c>
      <c r="AW750" s="2204">
        <v>197.42</v>
      </c>
      <c r="AX750" s="2204">
        <v>197.42</v>
      </c>
      <c r="AY750" s="2204">
        <v>197.55</v>
      </c>
      <c r="AZ750" s="2204">
        <v>197.55</v>
      </c>
      <c r="BA750" s="2123">
        <v>85.67</v>
      </c>
      <c r="BB750" s="2123">
        <v>85.67</v>
      </c>
      <c r="BC750" s="2123">
        <v>21.18</v>
      </c>
      <c r="BD750" s="2123">
        <v>21.47</v>
      </c>
      <c r="BE750" s="2123">
        <v>24.97</v>
      </c>
      <c r="BF750" s="2123">
        <v>24.97</v>
      </c>
      <c r="BG750" s="2123">
        <v>21.29</v>
      </c>
      <c r="BH750" s="2123">
        <v>21.29</v>
      </c>
      <c r="BI750" s="2123">
        <v>21.12</v>
      </c>
      <c r="BJ750" s="2123">
        <v>21.12</v>
      </c>
      <c r="BK750" s="2123">
        <v>21.12</v>
      </c>
      <c r="BL750" s="2123">
        <v>21.12</v>
      </c>
      <c r="BM750" s="2123">
        <v>50.9</v>
      </c>
      <c r="BN750" s="2123">
        <v>50.9</v>
      </c>
      <c r="BO750" s="2123">
        <v>157.44</v>
      </c>
      <c r="BP750" s="2123">
        <v>157.44</v>
      </c>
      <c r="BQ750" s="2123">
        <v>157.44</v>
      </c>
      <c r="BR750" s="2123">
        <v>157.44</v>
      </c>
      <c r="BS750" s="2123">
        <v>199.37</v>
      </c>
      <c r="BT750" s="2123">
        <v>199.37</v>
      </c>
      <c r="BU750" s="2123">
        <v>199.37</v>
      </c>
      <c r="BV750" s="2123">
        <v>199.37</v>
      </c>
      <c r="BW750" s="2123">
        <v>199.37</v>
      </c>
      <c r="BX750" s="2123">
        <v>199.37</v>
      </c>
      <c r="BY750" s="2123">
        <v>46.21</v>
      </c>
      <c r="BZ750" s="2123">
        <v>46.21</v>
      </c>
      <c r="CA750" s="2123">
        <v>150.35</v>
      </c>
      <c r="CB750" s="2123">
        <v>150.35</v>
      </c>
      <c r="CC750" s="2123">
        <v>152.37</v>
      </c>
      <c r="CD750" s="2123">
        <v>152.37</v>
      </c>
      <c r="CE750" s="2123">
        <v>196.02</v>
      </c>
      <c r="CF750" s="2123">
        <v>196.02</v>
      </c>
      <c r="CG750" s="2123"/>
      <c r="CH750" s="2123"/>
      <c r="CI750" s="2123"/>
      <c r="CJ750" s="2123"/>
      <c r="CK750" s="2123">
        <v>115.52</v>
      </c>
      <c r="CL750" s="2123">
        <v>115.52</v>
      </c>
      <c r="CM750" s="2123">
        <v>235.79</v>
      </c>
      <c r="CN750" s="2123">
        <v>235.79</v>
      </c>
      <c r="CO750" s="2123">
        <v>297.38</v>
      </c>
      <c r="CP750" s="2123">
        <v>297.38</v>
      </c>
      <c r="CQ750" s="2123">
        <v>297.38</v>
      </c>
      <c r="CR750" s="2123">
        <v>297.38</v>
      </c>
      <c r="CS750" s="2123"/>
      <c r="CT750" s="2123"/>
      <c r="CU750" s="2123"/>
      <c r="CV750" s="2123"/>
      <c r="CW750" s="2123">
        <v>107.48</v>
      </c>
      <c r="CX750" s="2123">
        <v>107.48</v>
      </c>
      <c r="CY750" s="2123">
        <v>227.39</v>
      </c>
      <c r="CZ750" s="2123">
        <v>227.39</v>
      </c>
      <c r="DA750" s="2123">
        <v>227.39</v>
      </c>
      <c r="DB750" s="2123">
        <v>227.39</v>
      </c>
      <c r="DC750" s="2123">
        <v>287.16000000000003</v>
      </c>
      <c r="DD750" s="2123">
        <v>287.16000000000003</v>
      </c>
      <c r="DE750" s="2123">
        <v>287.16000000000003</v>
      </c>
      <c r="DF750" s="2123">
        <v>287.16000000000003</v>
      </c>
      <c r="DG750" s="2123"/>
      <c r="DH750" s="2123"/>
      <c r="DI750" s="2123">
        <v>28.4</v>
      </c>
      <c r="DJ750" s="2123">
        <v>28.4</v>
      </c>
      <c r="DK750" s="2123">
        <v>28.4</v>
      </c>
      <c r="DL750" s="2123">
        <v>28.4</v>
      </c>
      <c r="DM750" s="2123">
        <v>28.4</v>
      </c>
      <c r="DN750" s="2123">
        <v>28.4</v>
      </c>
      <c r="DO750" s="2123"/>
      <c r="DP750" s="2123"/>
      <c r="DQ750" s="2123"/>
      <c r="DR750" s="2123"/>
      <c r="DS750" s="2123"/>
      <c r="DT750" s="2123"/>
      <c r="DU750" s="2123">
        <v>12.66</v>
      </c>
      <c r="DV750" s="2123">
        <v>12.66</v>
      </c>
      <c r="DW750" s="2123">
        <v>11.9</v>
      </c>
      <c r="DX750" s="2123">
        <v>11.9</v>
      </c>
      <c r="DY750" s="2123">
        <v>11.9</v>
      </c>
      <c r="DZ750" s="2123">
        <v>11.9</v>
      </c>
      <c r="EA750" s="2123"/>
      <c r="EB750" s="2123"/>
      <c r="EC750" s="2123"/>
      <c r="ED750" s="2123"/>
      <c r="EE750" s="2123"/>
      <c r="EF750" s="2123"/>
      <c r="EG750" s="2123">
        <v>13.57</v>
      </c>
      <c r="EH750" s="2123">
        <v>13.77</v>
      </c>
      <c r="EI750" s="2123">
        <v>10.4</v>
      </c>
      <c r="EJ750" s="2123">
        <v>10.4</v>
      </c>
      <c r="EK750" s="2123">
        <v>10.38</v>
      </c>
      <c r="EL750" s="2123">
        <v>10.38</v>
      </c>
      <c r="EM750" s="2123">
        <v>11.07</v>
      </c>
      <c r="EN750" s="2123">
        <v>11.07</v>
      </c>
      <c r="EO750" s="2123">
        <v>10.45</v>
      </c>
      <c r="EP750" s="2123">
        <v>10.45</v>
      </c>
      <c r="EQ750" s="2123">
        <v>10.75</v>
      </c>
      <c r="ER750" s="2123">
        <v>10.69</v>
      </c>
      <c r="ES750" s="2123">
        <v>51.89</v>
      </c>
      <c r="ET750" s="2123">
        <v>51.89</v>
      </c>
      <c r="EU750" s="2123">
        <v>218.1</v>
      </c>
      <c r="EV750" s="2123">
        <v>218.1</v>
      </c>
      <c r="EW750" s="2123">
        <v>213.06</v>
      </c>
      <c r="EX750" s="2123">
        <v>213.06</v>
      </c>
      <c r="EY750" s="2129">
        <f t="shared" si="55"/>
        <v>215.57999999999998</v>
      </c>
      <c r="EZ750" s="2129">
        <f t="shared" si="55"/>
        <v>215.57999999999998</v>
      </c>
      <c r="FA750" s="2123">
        <v>217.27</v>
      </c>
      <c r="FB750" s="2123">
        <v>217.27</v>
      </c>
      <c r="FC750" s="2123"/>
      <c r="FD750" s="2123"/>
      <c r="FE750" s="2123">
        <v>44.59</v>
      </c>
      <c r="FF750" s="2123">
        <v>44.59</v>
      </c>
      <c r="FG750" s="2123">
        <v>183.33</v>
      </c>
      <c r="FH750" s="2123">
        <v>183.33</v>
      </c>
      <c r="FI750" s="2123">
        <v>183.33</v>
      </c>
      <c r="FJ750" s="2123">
        <v>185.61</v>
      </c>
      <c r="FK750" s="2123">
        <v>182.69</v>
      </c>
      <c r="FL750" s="2123">
        <v>182.69</v>
      </c>
      <c r="FM750" s="2123">
        <v>183.78</v>
      </c>
      <c r="FN750" s="2123">
        <v>183.78</v>
      </c>
      <c r="FO750" s="2123"/>
      <c r="FP750" s="2123"/>
      <c r="FQ750" s="2123">
        <v>100.68</v>
      </c>
      <c r="FR750" s="2123">
        <v>100.68</v>
      </c>
      <c r="FS750" s="2123">
        <v>199.22</v>
      </c>
      <c r="FT750" s="2123">
        <v>199.22</v>
      </c>
      <c r="FU750" s="2123">
        <v>199.22</v>
      </c>
      <c r="FV750" s="2123">
        <v>199.22</v>
      </c>
      <c r="FW750" s="2123">
        <v>199.89</v>
      </c>
      <c r="FX750" s="2123">
        <v>199.89</v>
      </c>
      <c r="FY750" s="2123"/>
      <c r="FZ750" s="2123"/>
      <c r="GA750" s="2123"/>
      <c r="GB750" s="2123"/>
      <c r="GC750" s="2123">
        <v>71.22</v>
      </c>
      <c r="GD750" s="2123">
        <v>71.22</v>
      </c>
      <c r="GE750" s="2123">
        <v>161.29</v>
      </c>
      <c r="GF750" s="2123">
        <v>161.29</v>
      </c>
      <c r="GG750" s="2123">
        <v>161.29</v>
      </c>
      <c r="GH750" s="2123">
        <v>161.29</v>
      </c>
      <c r="GI750" s="2123">
        <v>162.72</v>
      </c>
      <c r="GJ750" s="2123">
        <v>162.72</v>
      </c>
      <c r="GK750" s="2123">
        <v>192.34</v>
      </c>
      <c r="GL750" s="2123">
        <v>192.34</v>
      </c>
      <c r="GM750" s="2123"/>
      <c r="GN750" s="2123"/>
      <c r="GO750" s="2123">
        <v>38.130000000000003</v>
      </c>
      <c r="GP750" s="2123">
        <v>38.130000000000003</v>
      </c>
      <c r="GQ750" s="2123">
        <v>31.99</v>
      </c>
      <c r="GR750" s="2123">
        <v>31.99</v>
      </c>
      <c r="GS750" s="2123">
        <v>31.99</v>
      </c>
      <c r="GT750" s="2123">
        <v>30.8</v>
      </c>
      <c r="GU750" s="2123">
        <v>30.8</v>
      </c>
      <c r="GV750" s="2123">
        <v>31.19</v>
      </c>
      <c r="GW750" s="2123">
        <v>182.44</v>
      </c>
      <c r="GX750" s="2123">
        <v>182.44</v>
      </c>
      <c r="GY750" s="2123"/>
      <c r="GZ750" s="2123"/>
      <c r="HA750" s="2123">
        <v>26.53</v>
      </c>
      <c r="HB750" s="2123">
        <v>26.53</v>
      </c>
      <c r="HC750" s="2123">
        <v>19.09</v>
      </c>
      <c r="HD750" s="2123">
        <v>19.09</v>
      </c>
      <c r="HE750" s="2123">
        <v>20</v>
      </c>
      <c r="HF750" s="2123">
        <v>20</v>
      </c>
      <c r="HG750" s="2123">
        <v>20</v>
      </c>
      <c r="HH750" s="2123">
        <v>20</v>
      </c>
      <c r="HI750" s="2123">
        <v>20</v>
      </c>
      <c r="HJ750" s="2123">
        <v>20</v>
      </c>
      <c r="HK750" s="2123">
        <v>20</v>
      </c>
      <c r="HL750" s="2123">
        <v>20.29</v>
      </c>
      <c r="HM750" s="2123">
        <v>37.299999999999997</v>
      </c>
      <c r="HN750" s="2123">
        <v>37.299999999999997</v>
      </c>
      <c r="HO750" s="2123">
        <v>27.3</v>
      </c>
      <c r="HP750" s="2123">
        <v>27.3</v>
      </c>
      <c r="HQ750" s="2123">
        <v>28.54</v>
      </c>
      <c r="HR750" s="2123">
        <v>28.54</v>
      </c>
      <c r="HS750" s="2123">
        <v>28.54</v>
      </c>
      <c r="HT750" s="2123">
        <v>28.54</v>
      </c>
      <c r="HU750" s="2123">
        <v>28.54</v>
      </c>
      <c r="HV750" s="2123">
        <v>28.54</v>
      </c>
      <c r="HW750" s="2123">
        <v>28.53</v>
      </c>
      <c r="HX750" s="2123">
        <v>28.53</v>
      </c>
    </row>
    <row r="751" spans="2:232" s="2040" customFormat="1" ht="14" hidden="1" x14ac:dyDescent="0.3">
      <c r="B751" s="2203">
        <v>57</v>
      </c>
      <c r="C751" s="2204">
        <v>42.32</v>
      </c>
      <c r="D751" s="2204">
        <v>42.32</v>
      </c>
      <c r="E751" s="2204">
        <v>42.57</v>
      </c>
      <c r="F751" s="2204">
        <v>42.57</v>
      </c>
      <c r="G751" s="2204">
        <v>161.05000000000001</v>
      </c>
      <c r="H751" s="2204">
        <v>161.05000000000001</v>
      </c>
      <c r="I751" s="2204">
        <v>151.36000000000001</v>
      </c>
      <c r="J751" s="2204">
        <v>151.36000000000001</v>
      </c>
      <c r="K751" s="2204">
        <v>158.33000000000001</v>
      </c>
      <c r="L751" s="2204">
        <v>158.33000000000001</v>
      </c>
      <c r="M751" s="2204"/>
      <c r="N751" s="2204"/>
      <c r="O751" s="2204">
        <v>132.62</v>
      </c>
      <c r="P751" s="2204">
        <v>132.62</v>
      </c>
      <c r="Q751" s="2204">
        <v>132.46</v>
      </c>
      <c r="R751" s="2204">
        <v>132.63</v>
      </c>
      <c r="S751" s="2204">
        <v>236.83</v>
      </c>
      <c r="T751" s="2204">
        <v>236.38</v>
      </c>
      <c r="U751" s="2204">
        <v>228.17</v>
      </c>
      <c r="V751" s="2204">
        <v>228.17</v>
      </c>
      <c r="W751" s="2204">
        <v>236.38</v>
      </c>
      <c r="X751" s="2204">
        <v>236.38</v>
      </c>
      <c r="Y751" s="2204">
        <v>228.17</v>
      </c>
      <c r="Z751" s="2204">
        <v>236.38</v>
      </c>
      <c r="AA751" s="2204">
        <v>236.38</v>
      </c>
      <c r="AB751" s="2204">
        <v>236.38</v>
      </c>
      <c r="AC751" s="2204">
        <v>228.17</v>
      </c>
      <c r="AD751" s="2204">
        <v>228.17</v>
      </c>
      <c r="AE751" s="2204">
        <v>252</v>
      </c>
      <c r="AF751" s="2204">
        <v>244.78</v>
      </c>
      <c r="AG751" s="2204">
        <v>252</v>
      </c>
      <c r="AH751" s="2204">
        <v>252</v>
      </c>
      <c r="AI751" s="2204">
        <v>244.78</v>
      </c>
      <c r="AJ751" s="2204">
        <v>244.78</v>
      </c>
      <c r="AK751" s="2204">
        <v>245.48</v>
      </c>
      <c r="AL751" s="2204">
        <v>245.48</v>
      </c>
      <c r="AM751" s="2204">
        <v>70.06</v>
      </c>
      <c r="AN751" s="2204">
        <v>67.5</v>
      </c>
      <c r="AO751" s="2204">
        <v>67.5</v>
      </c>
      <c r="AP751" s="2204">
        <v>67.599999999999994</v>
      </c>
      <c r="AQ751" s="2204">
        <v>68.12</v>
      </c>
      <c r="AR751" s="2204">
        <v>68.12</v>
      </c>
      <c r="AS751" s="2204">
        <v>198.74</v>
      </c>
      <c r="AT751" s="2204">
        <v>198.74</v>
      </c>
      <c r="AU751" s="2204">
        <v>198.74</v>
      </c>
      <c r="AV751" s="2204">
        <v>203.44</v>
      </c>
      <c r="AW751" s="2204">
        <v>199.01</v>
      </c>
      <c r="AX751" s="2204">
        <v>199.01</v>
      </c>
      <c r="AY751" s="2204">
        <v>199.15</v>
      </c>
      <c r="AZ751" s="2204">
        <v>199.15</v>
      </c>
      <c r="BA751" s="2123">
        <v>86.54</v>
      </c>
      <c r="BB751" s="2123">
        <v>86.54</v>
      </c>
      <c r="BC751" s="2123">
        <v>21.37</v>
      </c>
      <c r="BD751" s="2123">
        <v>21.65</v>
      </c>
      <c r="BE751" s="2123">
        <v>25.17</v>
      </c>
      <c r="BF751" s="2123">
        <v>25.17</v>
      </c>
      <c r="BG751" s="2123">
        <v>21.54</v>
      </c>
      <c r="BH751" s="2123">
        <v>21.54</v>
      </c>
      <c r="BI751" s="2123">
        <v>21.37</v>
      </c>
      <c r="BJ751" s="2123">
        <v>21.37</v>
      </c>
      <c r="BK751" s="2123">
        <v>21.37</v>
      </c>
      <c r="BL751" s="2123">
        <v>21.37</v>
      </c>
      <c r="BM751" s="2123">
        <v>51.19</v>
      </c>
      <c r="BN751" s="2123">
        <v>51.19</v>
      </c>
      <c r="BO751" s="2123">
        <v>158.46</v>
      </c>
      <c r="BP751" s="2123">
        <v>158.46</v>
      </c>
      <c r="BQ751" s="2123">
        <v>158.46</v>
      </c>
      <c r="BR751" s="2123">
        <v>158.46</v>
      </c>
      <c r="BS751" s="2123">
        <v>200.92</v>
      </c>
      <c r="BT751" s="2123">
        <v>200.92</v>
      </c>
      <c r="BU751" s="2123">
        <v>200.92</v>
      </c>
      <c r="BV751" s="2123">
        <v>200.92</v>
      </c>
      <c r="BW751" s="2123">
        <v>200.92</v>
      </c>
      <c r="BX751" s="2123">
        <v>200.92</v>
      </c>
      <c r="BY751" s="2123">
        <v>46.47</v>
      </c>
      <c r="BZ751" s="2123">
        <v>46.47</v>
      </c>
      <c r="CA751" s="2123">
        <v>151.38</v>
      </c>
      <c r="CB751" s="2123">
        <v>151.38</v>
      </c>
      <c r="CC751" s="2123">
        <v>153.41999999999999</v>
      </c>
      <c r="CD751" s="2123">
        <v>153.41999999999999</v>
      </c>
      <c r="CE751" s="2123">
        <v>197.61</v>
      </c>
      <c r="CF751" s="2123">
        <v>197.61</v>
      </c>
      <c r="CG751" s="2123"/>
      <c r="CH751" s="2123"/>
      <c r="CI751" s="2123"/>
      <c r="CJ751" s="2123"/>
      <c r="CK751" s="2123">
        <v>116.08</v>
      </c>
      <c r="CL751" s="2123">
        <v>116.08</v>
      </c>
      <c r="CM751" s="2123">
        <v>236.79</v>
      </c>
      <c r="CN751" s="2123">
        <v>236.79</v>
      </c>
      <c r="CO751" s="2123">
        <v>298.98</v>
      </c>
      <c r="CP751" s="2123">
        <v>298.98</v>
      </c>
      <c r="CQ751" s="2123">
        <v>298.98</v>
      </c>
      <c r="CR751" s="2123">
        <v>298.98</v>
      </c>
      <c r="CS751" s="2123"/>
      <c r="CT751" s="2123"/>
      <c r="CU751" s="2123"/>
      <c r="CV751" s="2123"/>
      <c r="CW751" s="2123">
        <v>108.13</v>
      </c>
      <c r="CX751" s="2123">
        <v>108.13</v>
      </c>
      <c r="CY751" s="2123">
        <v>228.57</v>
      </c>
      <c r="CZ751" s="2123">
        <v>228.57</v>
      </c>
      <c r="DA751" s="2123">
        <v>228.57</v>
      </c>
      <c r="DB751" s="2123">
        <v>228.57</v>
      </c>
      <c r="DC751" s="2123">
        <v>289.04000000000002</v>
      </c>
      <c r="DD751" s="2123">
        <v>289.04000000000002</v>
      </c>
      <c r="DE751" s="2123">
        <v>289.04000000000002</v>
      </c>
      <c r="DF751" s="2123">
        <v>289.04000000000002</v>
      </c>
      <c r="DG751" s="2123"/>
      <c r="DH751" s="2123"/>
      <c r="DI751" s="2123">
        <v>28.6</v>
      </c>
      <c r="DJ751" s="2123">
        <v>28.6</v>
      </c>
      <c r="DK751" s="2123">
        <v>28.6</v>
      </c>
      <c r="DL751" s="2123">
        <v>28.6</v>
      </c>
      <c r="DM751" s="2123">
        <v>28.6</v>
      </c>
      <c r="DN751" s="2123">
        <v>28.6</v>
      </c>
      <c r="DO751" s="2123"/>
      <c r="DP751" s="2123"/>
      <c r="DQ751" s="2123"/>
      <c r="DR751" s="2123"/>
      <c r="DS751" s="2123"/>
      <c r="DT751" s="2123"/>
      <c r="DU751" s="2123">
        <v>12.78</v>
      </c>
      <c r="DV751" s="2123">
        <v>12.78</v>
      </c>
      <c r="DW751" s="2123">
        <v>11.98</v>
      </c>
      <c r="DX751" s="2123">
        <v>11.98</v>
      </c>
      <c r="DY751" s="2123">
        <v>11.98</v>
      </c>
      <c r="DZ751" s="2123">
        <v>11.98</v>
      </c>
      <c r="EA751" s="2123"/>
      <c r="EB751" s="2123"/>
      <c r="EC751" s="2123"/>
      <c r="ED751" s="2123"/>
      <c r="EE751" s="2123"/>
      <c r="EF751" s="2123"/>
      <c r="EG751" s="2123">
        <v>13.65</v>
      </c>
      <c r="EH751" s="2123">
        <v>13.85</v>
      </c>
      <c r="EI751" s="2123">
        <v>10.5</v>
      </c>
      <c r="EJ751" s="2123">
        <v>10.5</v>
      </c>
      <c r="EK751" s="2123">
        <v>10.48</v>
      </c>
      <c r="EL751" s="2123">
        <v>10.48</v>
      </c>
      <c r="EM751" s="2123">
        <v>11.16</v>
      </c>
      <c r="EN751" s="2123">
        <v>11.16</v>
      </c>
      <c r="EO751" s="2123">
        <v>10.54</v>
      </c>
      <c r="EP751" s="2123">
        <v>10.54</v>
      </c>
      <c r="EQ751" s="2123">
        <v>10.84</v>
      </c>
      <c r="ER751" s="2123">
        <v>10.79</v>
      </c>
      <c r="ES751" s="2123">
        <v>52.19</v>
      </c>
      <c r="ET751" s="2123">
        <v>52.19</v>
      </c>
      <c r="EU751" s="2123">
        <v>219.89</v>
      </c>
      <c r="EV751" s="2123">
        <v>219.89</v>
      </c>
      <c r="EW751" s="2123">
        <v>214.83</v>
      </c>
      <c r="EX751" s="2123">
        <v>214.83</v>
      </c>
      <c r="EY751" s="2129">
        <f t="shared" si="55"/>
        <v>217.36</v>
      </c>
      <c r="EZ751" s="2129">
        <f t="shared" si="55"/>
        <v>217.36</v>
      </c>
      <c r="FA751" s="2123">
        <v>218.99</v>
      </c>
      <c r="FB751" s="2123">
        <v>218.99</v>
      </c>
      <c r="FC751" s="2123"/>
      <c r="FD751" s="2123"/>
      <c r="FE751" s="2123">
        <v>44.85</v>
      </c>
      <c r="FF751" s="2123">
        <v>44.85</v>
      </c>
      <c r="FG751" s="2123">
        <v>184.86</v>
      </c>
      <c r="FH751" s="2123">
        <v>184.86</v>
      </c>
      <c r="FI751" s="2123">
        <v>184.86</v>
      </c>
      <c r="FJ751" s="2123">
        <v>187.09</v>
      </c>
      <c r="FK751" s="2123">
        <v>184.24</v>
      </c>
      <c r="FL751" s="2123">
        <v>184.24</v>
      </c>
      <c r="FM751" s="2123">
        <v>185.31</v>
      </c>
      <c r="FN751" s="2123">
        <v>185.31</v>
      </c>
      <c r="FO751" s="2123"/>
      <c r="FP751" s="2123"/>
      <c r="FQ751" s="2123">
        <v>101.27</v>
      </c>
      <c r="FR751" s="2123">
        <v>101.27</v>
      </c>
      <c r="FS751" s="2123">
        <v>200.58</v>
      </c>
      <c r="FT751" s="2123">
        <v>200.58</v>
      </c>
      <c r="FU751" s="2123">
        <v>200.58</v>
      </c>
      <c r="FV751" s="2123">
        <v>200.58</v>
      </c>
      <c r="FW751" s="2123">
        <v>201.24</v>
      </c>
      <c r="FX751" s="2123">
        <v>201.24</v>
      </c>
      <c r="FY751" s="2123"/>
      <c r="FZ751" s="2123"/>
      <c r="GA751" s="2123"/>
      <c r="GB751" s="2123"/>
      <c r="GC751" s="2123">
        <v>71.64</v>
      </c>
      <c r="GD751" s="2123">
        <v>71.64</v>
      </c>
      <c r="GE751" s="2123">
        <v>162.15</v>
      </c>
      <c r="GF751" s="2123">
        <v>162.15</v>
      </c>
      <c r="GG751" s="2123">
        <v>162.15</v>
      </c>
      <c r="GH751" s="2123">
        <v>162.15</v>
      </c>
      <c r="GI751" s="2123">
        <v>164.48</v>
      </c>
      <c r="GJ751" s="2123">
        <v>164.48</v>
      </c>
      <c r="GK751" s="2123">
        <v>193.85</v>
      </c>
      <c r="GL751" s="2123">
        <v>193.85</v>
      </c>
      <c r="GM751" s="2123"/>
      <c r="GN751" s="2123"/>
      <c r="GO751" s="2123">
        <v>38.35</v>
      </c>
      <c r="GP751" s="2123">
        <v>38.35</v>
      </c>
      <c r="GQ751" s="2123">
        <v>32.25</v>
      </c>
      <c r="GR751" s="2123">
        <v>32.25</v>
      </c>
      <c r="GS751" s="2123">
        <v>32.25</v>
      </c>
      <c r="GT751" s="2123">
        <v>31.06</v>
      </c>
      <c r="GU751" s="2123">
        <v>31.06</v>
      </c>
      <c r="GV751" s="2123">
        <v>31.44</v>
      </c>
      <c r="GW751" s="2123">
        <v>183.88</v>
      </c>
      <c r="GX751" s="2123">
        <v>183.88</v>
      </c>
      <c r="GY751" s="2123"/>
      <c r="GZ751" s="2123"/>
      <c r="HA751" s="2123">
        <v>26.73</v>
      </c>
      <c r="HB751" s="2123">
        <v>26.73</v>
      </c>
      <c r="HC751" s="2123">
        <v>19.36</v>
      </c>
      <c r="HD751" s="2123">
        <v>19.36</v>
      </c>
      <c r="HE751" s="2123">
        <v>20.239999999999998</v>
      </c>
      <c r="HF751" s="2123">
        <v>20.239999999999998</v>
      </c>
      <c r="HG751" s="2123">
        <v>20.239999999999998</v>
      </c>
      <c r="HH751" s="2123">
        <v>20.239999999999998</v>
      </c>
      <c r="HI751" s="2123">
        <v>20.239999999999998</v>
      </c>
      <c r="HJ751" s="2123">
        <v>20.239999999999998</v>
      </c>
      <c r="HK751" s="2123">
        <v>20.260000000000002</v>
      </c>
      <c r="HL751" s="2123">
        <v>20.54</v>
      </c>
      <c r="HM751" s="2123">
        <v>37.53</v>
      </c>
      <c r="HN751" s="2123">
        <v>37.53</v>
      </c>
      <c r="HO751" s="2123">
        <v>27.61</v>
      </c>
      <c r="HP751" s="2123">
        <v>27.61</v>
      </c>
      <c r="HQ751" s="2123">
        <v>28.83</v>
      </c>
      <c r="HR751" s="2123">
        <v>28.83</v>
      </c>
      <c r="HS751" s="2123">
        <v>28.83</v>
      </c>
      <c r="HT751" s="2123">
        <v>28.83</v>
      </c>
      <c r="HU751" s="2123">
        <v>28.83</v>
      </c>
      <c r="HV751" s="2123">
        <v>28.83</v>
      </c>
      <c r="HW751" s="2123">
        <v>28.82</v>
      </c>
      <c r="HX751" s="2123">
        <v>28.82</v>
      </c>
    </row>
    <row r="752" spans="2:232" s="2040" customFormat="1" ht="14" hidden="1" x14ac:dyDescent="0.3">
      <c r="B752" s="2203">
        <v>58</v>
      </c>
      <c r="C752" s="2204">
        <v>42.54</v>
      </c>
      <c r="D752" s="2204">
        <v>42.54</v>
      </c>
      <c r="E752" s="2204">
        <v>42.79</v>
      </c>
      <c r="F752" s="2204">
        <v>42.79</v>
      </c>
      <c r="G752" s="2204">
        <v>162.41</v>
      </c>
      <c r="H752" s="2204">
        <v>162.41</v>
      </c>
      <c r="I752" s="2204">
        <v>152.44</v>
      </c>
      <c r="J752" s="2204">
        <v>152.44</v>
      </c>
      <c r="K752" s="2204">
        <v>159.27000000000001</v>
      </c>
      <c r="L752" s="2204">
        <v>159.27000000000001</v>
      </c>
      <c r="M752" s="2204"/>
      <c r="N752" s="2204"/>
      <c r="O752" s="2204">
        <v>133.44999999999999</v>
      </c>
      <c r="P752" s="2204">
        <v>133.44999999999999</v>
      </c>
      <c r="Q752" s="2204">
        <v>133.27000000000001</v>
      </c>
      <c r="R752" s="2204">
        <v>133.46</v>
      </c>
      <c r="S752" s="2204">
        <v>238.95000000000002</v>
      </c>
      <c r="T752" s="2204">
        <v>238.3</v>
      </c>
      <c r="U752" s="2204">
        <v>230.02</v>
      </c>
      <c r="V752" s="2204">
        <v>230.02</v>
      </c>
      <c r="W752" s="2204">
        <v>238.3</v>
      </c>
      <c r="X752" s="2204">
        <v>238.3</v>
      </c>
      <c r="Y752" s="2204">
        <v>230.02</v>
      </c>
      <c r="Z752" s="2204">
        <v>238.3</v>
      </c>
      <c r="AA752" s="2204">
        <v>238.3</v>
      </c>
      <c r="AB752" s="2204">
        <v>238.3</v>
      </c>
      <c r="AC752" s="2204">
        <v>230.02</v>
      </c>
      <c r="AD752" s="2204">
        <v>230.02</v>
      </c>
      <c r="AE752" s="2204">
        <v>253.76</v>
      </c>
      <c r="AF752" s="2204">
        <v>246.48</v>
      </c>
      <c r="AG752" s="2204">
        <v>253.76</v>
      </c>
      <c r="AH752" s="2204">
        <v>253.76</v>
      </c>
      <c r="AI752" s="2204">
        <v>246.48</v>
      </c>
      <c r="AJ752" s="2204">
        <v>246.48</v>
      </c>
      <c r="AK752" s="2204">
        <v>247.16</v>
      </c>
      <c r="AL752" s="2204">
        <v>247.16</v>
      </c>
      <c r="AM752" s="2204">
        <v>70.45</v>
      </c>
      <c r="AN752" s="2204">
        <v>67.88</v>
      </c>
      <c r="AO752" s="2204">
        <v>67.88</v>
      </c>
      <c r="AP752" s="2204">
        <v>67.98</v>
      </c>
      <c r="AQ752" s="2204">
        <v>68.5</v>
      </c>
      <c r="AR752" s="2204">
        <v>68.5</v>
      </c>
      <c r="AS752" s="2204">
        <v>200.18</v>
      </c>
      <c r="AT752" s="2204">
        <v>200.18</v>
      </c>
      <c r="AU752" s="2204">
        <v>200.18</v>
      </c>
      <c r="AV752" s="2204">
        <v>204.9</v>
      </c>
      <c r="AW752" s="2204">
        <v>200.45</v>
      </c>
      <c r="AX752" s="2204">
        <v>200.45</v>
      </c>
      <c r="AY752" s="2204">
        <v>200.59</v>
      </c>
      <c r="AZ752" s="2204">
        <v>200.59</v>
      </c>
      <c r="BA752" s="2123">
        <v>87.31</v>
      </c>
      <c r="BB752" s="2123">
        <v>87.31</v>
      </c>
      <c r="BC752" s="2123">
        <v>21.56</v>
      </c>
      <c r="BD752" s="2123">
        <v>21.83</v>
      </c>
      <c r="BE752" s="2123">
        <v>25.34</v>
      </c>
      <c r="BF752" s="2123">
        <v>25.34</v>
      </c>
      <c r="BG752" s="2123">
        <v>21.77</v>
      </c>
      <c r="BH752" s="2123">
        <v>21.77</v>
      </c>
      <c r="BI752" s="2123">
        <v>21.6</v>
      </c>
      <c r="BJ752" s="2123">
        <v>21.6</v>
      </c>
      <c r="BK752" s="2123">
        <v>21.6</v>
      </c>
      <c r="BL752" s="2123">
        <v>21.6</v>
      </c>
      <c r="BM752" s="2123">
        <v>51.5</v>
      </c>
      <c r="BN752" s="2123">
        <v>51.5</v>
      </c>
      <c r="BO752" s="2123">
        <v>159.57</v>
      </c>
      <c r="BP752" s="2123">
        <v>159.57</v>
      </c>
      <c r="BQ752" s="2123">
        <v>159.57</v>
      </c>
      <c r="BR752" s="2123">
        <v>159.57</v>
      </c>
      <c r="BS752" s="2123">
        <v>202.61</v>
      </c>
      <c r="BT752" s="2123">
        <v>202.61</v>
      </c>
      <c r="BU752" s="2123">
        <v>202.61</v>
      </c>
      <c r="BV752" s="2123">
        <v>202.61</v>
      </c>
      <c r="BW752" s="2123">
        <v>202.61</v>
      </c>
      <c r="BX752" s="2123">
        <v>202.61</v>
      </c>
      <c r="BY752" s="2123">
        <v>46.7</v>
      </c>
      <c r="BZ752" s="2123">
        <v>46.7</v>
      </c>
      <c r="CA752" s="2123">
        <v>152.27000000000001</v>
      </c>
      <c r="CB752" s="2123">
        <v>152.27000000000001</v>
      </c>
      <c r="CC752" s="2123">
        <v>154.34</v>
      </c>
      <c r="CD752" s="2123">
        <v>154.34</v>
      </c>
      <c r="CE752" s="2123">
        <v>199</v>
      </c>
      <c r="CF752" s="2123">
        <v>199</v>
      </c>
      <c r="CG752" s="2123"/>
      <c r="CH752" s="2123"/>
      <c r="CI752" s="2123"/>
      <c r="CJ752" s="2123"/>
      <c r="CK752" s="2123">
        <v>116.63</v>
      </c>
      <c r="CL752" s="2123">
        <v>116.63</v>
      </c>
      <c r="CM752" s="2123">
        <v>237.88</v>
      </c>
      <c r="CN752" s="2123">
        <v>237.88</v>
      </c>
      <c r="CO752" s="2123">
        <v>300.73</v>
      </c>
      <c r="CP752" s="2123">
        <v>300.73</v>
      </c>
      <c r="CQ752" s="2123">
        <v>300.73</v>
      </c>
      <c r="CR752" s="2123">
        <v>300.73</v>
      </c>
      <c r="CS752" s="2123"/>
      <c r="CT752" s="2123"/>
      <c r="CU752" s="2123"/>
      <c r="CV752" s="2123"/>
      <c r="CW752" s="2123">
        <v>108.76</v>
      </c>
      <c r="CX752" s="2123">
        <v>108.76</v>
      </c>
      <c r="CY752" s="2123">
        <v>229.71</v>
      </c>
      <c r="CZ752" s="2123">
        <v>229.71</v>
      </c>
      <c r="DA752" s="2123">
        <v>229.71</v>
      </c>
      <c r="DB752" s="2123">
        <v>229.71</v>
      </c>
      <c r="DC752" s="2123">
        <v>290.86</v>
      </c>
      <c r="DD752" s="2123">
        <v>290.86</v>
      </c>
      <c r="DE752" s="2123">
        <v>290.86</v>
      </c>
      <c r="DF752" s="2123">
        <v>290.86</v>
      </c>
      <c r="DG752" s="2123"/>
      <c r="DH752" s="2123"/>
      <c r="DI752" s="2123">
        <v>28.78</v>
      </c>
      <c r="DJ752" s="2123">
        <v>28.78</v>
      </c>
      <c r="DK752" s="2123">
        <v>28.78</v>
      </c>
      <c r="DL752" s="2123">
        <v>28.78</v>
      </c>
      <c r="DM752" s="2123">
        <v>28.78</v>
      </c>
      <c r="DN752" s="2123">
        <v>28.78</v>
      </c>
      <c r="DO752" s="2123"/>
      <c r="DP752" s="2123"/>
      <c r="DQ752" s="2123"/>
      <c r="DR752" s="2123"/>
      <c r="DS752" s="2123"/>
      <c r="DT752" s="2123"/>
      <c r="DU752" s="2123">
        <v>12.85</v>
      </c>
      <c r="DV752" s="2123">
        <v>12.85</v>
      </c>
      <c r="DW752" s="2123">
        <v>12.06</v>
      </c>
      <c r="DX752" s="2123">
        <v>12.06</v>
      </c>
      <c r="DY752" s="2123">
        <v>12.06</v>
      </c>
      <c r="DZ752" s="2123">
        <v>12.06</v>
      </c>
      <c r="EA752" s="2123"/>
      <c r="EB752" s="2123"/>
      <c r="EC752" s="2123"/>
      <c r="ED752" s="2123"/>
      <c r="EE752" s="2123"/>
      <c r="EF752" s="2123"/>
      <c r="EG752" s="2123">
        <v>13.72</v>
      </c>
      <c r="EH752" s="2123">
        <v>13.92</v>
      </c>
      <c r="EI752" s="2123">
        <v>10.6</v>
      </c>
      <c r="EJ752" s="2123">
        <v>10.6</v>
      </c>
      <c r="EK752" s="2123">
        <v>10.58</v>
      </c>
      <c r="EL752" s="2123">
        <v>10.58</v>
      </c>
      <c r="EM752" s="2123">
        <v>11.26</v>
      </c>
      <c r="EN752" s="2123">
        <v>11.26</v>
      </c>
      <c r="EO752" s="2123">
        <v>10.63</v>
      </c>
      <c r="EP752" s="2123">
        <v>10.63</v>
      </c>
      <c r="EQ752" s="2123">
        <v>10.94</v>
      </c>
      <c r="ER752" s="2123">
        <v>10.88</v>
      </c>
      <c r="ES752" s="2123">
        <v>52.48</v>
      </c>
      <c r="ET752" s="2123">
        <v>52.48</v>
      </c>
      <c r="EU752" s="2123">
        <v>221.63</v>
      </c>
      <c r="EV752" s="2123">
        <v>221.63</v>
      </c>
      <c r="EW752" s="2123">
        <v>216.55</v>
      </c>
      <c r="EX752" s="2123">
        <v>216.55</v>
      </c>
      <c r="EY752" s="2129">
        <f t="shared" si="55"/>
        <v>219.09</v>
      </c>
      <c r="EZ752" s="2129">
        <f t="shared" si="55"/>
        <v>219.09</v>
      </c>
      <c r="FA752" s="2123">
        <v>220.66</v>
      </c>
      <c r="FB752" s="2123">
        <v>220.66</v>
      </c>
      <c r="FC752" s="2123"/>
      <c r="FD752" s="2123"/>
      <c r="FE752" s="2123">
        <v>45.1</v>
      </c>
      <c r="FF752" s="2123">
        <v>45.1</v>
      </c>
      <c r="FG752" s="2123">
        <v>186.36</v>
      </c>
      <c r="FH752" s="2123">
        <v>186.36</v>
      </c>
      <c r="FI752" s="2123">
        <v>186.36</v>
      </c>
      <c r="FJ752" s="2123">
        <v>188.53</v>
      </c>
      <c r="FK752" s="2123">
        <v>185.74</v>
      </c>
      <c r="FL752" s="2123">
        <v>185.74</v>
      </c>
      <c r="FM752" s="2123">
        <v>186.79</v>
      </c>
      <c r="FN752" s="2123">
        <v>186.79</v>
      </c>
      <c r="FO752" s="2123"/>
      <c r="FP752" s="2123"/>
      <c r="FQ752" s="2123">
        <v>101.85</v>
      </c>
      <c r="FR752" s="2123">
        <v>101.85</v>
      </c>
      <c r="FS752" s="2123">
        <v>201.91</v>
      </c>
      <c r="FT752" s="2123">
        <v>201.91</v>
      </c>
      <c r="FU752" s="2123">
        <v>201.91</v>
      </c>
      <c r="FV752" s="2123">
        <v>201.91</v>
      </c>
      <c r="FW752" s="2123">
        <v>202.55</v>
      </c>
      <c r="FX752" s="2123">
        <v>202.55</v>
      </c>
      <c r="FY752" s="2123"/>
      <c r="FZ752" s="2123"/>
      <c r="GA752" s="2123"/>
      <c r="GB752" s="2123"/>
      <c r="GC752" s="2123">
        <v>72.040000000000006</v>
      </c>
      <c r="GD752" s="2123">
        <v>72.040000000000006</v>
      </c>
      <c r="GE752" s="2123">
        <v>162.97999999999999</v>
      </c>
      <c r="GF752" s="2123">
        <v>162.97999999999999</v>
      </c>
      <c r="GG752" s="2123">
        <v>162.97999999999999</v>
      </c>
      <c r="GH752" s="2123">
        <v>162.97999999999999</v>
      </c>
      <c r="GI752" s="2123">
        <v>166.21</v>
      </c>
      <c r="GJ752" s="2123">
        <v>166.21</v>
      </c>
      <c r="GK752" s="2123">
        <v>195.31</v>
      </c>
      <c r="GL752" s="2123">
        <v>195.31</v>
      </c>
      <c r="GM752" s="2123"/>
      <c r="GN752" s="2123"/>
      <c r="GO752" s="2123">
        <v>38.57</v>
      </c>
      <c r="GP752" s="2123">
        <v>38.57</v>
      </c>
      <c r="GQ752" s="2123">
        <v>32.590000000000003</v>
      </c>
      <c r="GR752" s="2123">
        <v>32.590000000000003</v>
      </c>
      <c r="GS752" s="2123">
        <v>32.590000000000003</v>
      </c>
      <c r="GT752" s="2123">
        <v>31.39</v>
      </c>
      <c r="GU752" s="2123">
        <v>31.39</v>
      </c>
      <c r="GV752" s="2123">
        <v>31.76</v>
      </c>
      <c r="GW752" s="2123">
        <v>185.74</v>
      </c>
      <c r="GX752" s="2123">
        <v>185.74</v>
      </c>
      <c r="GY752" s="2123"/>
      <c r="GZ752" s="2123"/>
      <c r="HA752" s="2123">
        <v>26.92</v>
      </c>
      <c r="HB752" s="2123">
        <v>26.92</v>
      </c>
      <c r="HC752" s="2123">
        <v>19.61</v>
      </c>
      <c r="HD752" s="2123">
        <v>19.61</v>
      </c>
      <c r="HE752" s="2123">
        <v>20.45</v>
      </c>
      <c r="HF752" s="2123">
        <v>20.45</v>
      </c>
      <c r="HG752" s="2123">
        <v>20.45</v>
      </c>
      <c r="HH752" s="2123">
        <v>20.45</v>
      </c>
      <c r="HI752" s="2123">
        <v>20.45</v>
      </c>
      <c r="HJ752" s="2123">
        <v>20.45</v>
      </c>
      <c r="HK752" s="2123">
        <v>20.5</v>
      </c>
      <c r="HL752" s="2123">
        <v>20.78</v>
      </c>
      <c r="HM752" s="2123">
        <v>37.76</v>
      </c>
      <c r="HN752" s="2123">
        <v>37.76</v>
      </c>
      <c r="HO752" s="2123">
        <v>27.91</v>
      </c>
      <c r="HP752" s="2123">
        <v>27.91</v>
      </c>
      <c r="HQ752" s="2123">
        <v>29.09</v>
      </c>
      <c r="HR752" s="2123">
        <v>29.09</v>
      </c>
      <c r="HS752" s="2123">
        <v>29.09</v>
      </c>
      <c r="HT752" s="2123">
        <v>29.09</v>
      </c>
      <c r="HU752" s="2123">
        <v>29.09</v>
      </c>
      <c r="HV752" s="2123">
        <v>29.09</v>
      </c>
      <c r="HW752" s="2123">
        <v>29.11</v>
      </c>
      <c r="HX752" s="2123">
        <v>29.11</v>
      </c>
    </row>
    <row r="753" spans="2:232" s="2040" customFormat="1" ht="14" hidden="1" x14ac:dyDescent="0.3">
      <c r="B753" s="2203">
        <v>59</v>
      </c>
      <c r="C753" s="2204">
        <v>42.83</v>
      </c>
      <c r="D753" s="2204">
        <v>42.83</v>
      </c>
      <c r="E753" s="2204">
        <v>43.06</v>
      </c>
      <c r="F753" s="2204">
        <v>43.06</v>
      </c>
      <c r="G753" s="2204">
        <v>163.33000000000001</v>
      </c>
      <c r="H753" s="2204">
        <v>163.33000000000001</v>
      </c>
      <c r="I753" s="2204">
        <v>153.79</v>
      </c>
      <c r="J753" s="2204">
        <v>153.79</v>
      </c>
      <c r="K753" s="2204">
        <v>160.44999999999999</v>
      </c>
      <c r="L753" s="2204">
        <v>160.44999999999999</v>
      </c>
      <c r="M753" s="2204"/>
      <c r="N753" s="2204"/>
      <c r="O753" s="2204">
        <v>134.24</v>
      </c>
      <c r="P753" s="2204">
        <v>134.24</v>
      </c>
      <c r="Q753" s="2204">
        <v>134.03</v>
      </c>
      <c r="R753" s="2204">
        <v>134.24</v>
      </c>
      <c r="S753" s="2204">
        <v>240.95000000000002</v>
      </c>
      <c r="T753" s="2204">
        <v>240.16</v>
      </c>
      <c r="U753" s="2204">
        <v>231.82</v>
      </c>
      <c r="V753" s="2204">
        <v>231.82</v>
      </c>
      <c r="W753" s="2204">
        <v>240.16</v>
      </c>
      <c r="X753" s="2204">
        <v>240.16</v>
      </c>
      <c r="Y753" s="2204">
        <v>231.82</v>
      </c>
      <c r="Z753" s="2204">
        <v>240.16</v>
      </c>
      <c r="AA753" s="2204">
        <v>240.16</v>
      </c>
      <c r="AB753" s="2204">
        <v>240.16</v>
      </c>
      <c r="AC753" s="2204">
        <v>231.82</v>
      </c>
      <c r="AD753" s="2204">
        <v>231.82</v>
      </c>
      <c r="AE753" s="2204">
        <v>255.46</v>
      </c>
      <c r="AF753" s="2204">
        <v>248.14</v>
      </c>
      <c r="AG753" s="2204">
        <v>255.46</v>
      </c>
      <c r="AH753" s="2204">
        <v>255.46</v>
      </c>
      <c r="AI753" s="2204">
        <v>248.14</v>
      </c>
      <c r="AJ753" s="2204">
        <v>248.14</v>
      </c>
      <c r="AK753" s="2204">
        <v>248.8</v>
      </c>
      <c r="AL753" s="2204">
        <v>248.8</v>
      </c>
      <c r="AM753" s="2204">
        <v>70.83</v>
      </c>
      <c r="AN753" s="2204">
        <v>68.25</v>
      </c>
      <c r="AO753" s="2204">
        <v>68.25</v>
      </c>
      <c r="AP753" s="2204">
        <v>68.41</v>
      </c>
      <c r="AQ753" s="2204">
        <v>68.900000000000006</v>
      </c>
      <c r="AR753" s="2204">
        <v>68.900000000000006</v>
      </c>
      <c r="AS753" s="2204">
        <v>201.75</v>
      </c>
      <c r="AT753" s="2204">
        <v>201.75</v>
      </c>
      <c r="AU753" s="2204">
        <v>201.75</v>
      </c>
      <c r="AV753" s="2204">
        <v>206.49</v>
      </c>
      <c r="AW753" s="2204">
        <v>202.03</v>
      </c>
      <c r="AX753" s="2204">
        <v>202.03</v>
      </c>
      <c r="AY753" s="2204">
        <v>202.16</v>
      </c>
      <c r="AZ753" s="2204">
        <v>202.16</v>
      </c>
      <c r="BA753" s="2123">
        <v>87.81</v>
      </c>
      <c r="BB753" s="2123">
        <v>87.81</v>
      </c>
      <c r="BC753" s="2123">
        <v>21.74</v>
      </c>
      <c r="BD753" s="2123">
        <v>22.01</v>
      </c>
      <c r="BE753" s="2123">
        <v>25.46</v>
      </c>
      <c r="BF753" s="2123">
        <v>25.46</v>
      </c>
      <c r="BG753" s="2123">
        <v>21.91</v>
      </c>
      <c r="BH753" s="2123">
        <v>21.91</v>
      </c>
      <c r="BI753" s="2123">
        <v>21.74</v>
      </c>
      <c r="BJ753" s="2123">
        <v>21.74</v>
      </c>
      <c r="BK753" s="2123">
        <v>21.74</v>
      </c>
      <c r="BL753" s="2123">
        <v>21.74</v>
      </c>
      <c r="BM753" s="2123">
        <v>51.81</v>
      </c>
      <c r="BN753" s="2123">
        <v>51.81</v>
      </c>
      <c r="BO753" s="2123">
        <v>160.69999999999999</v>
      </c>
      <c r="BP753" s="2123">
        <v>160.69999999999999</v>
      </c>
      <c r="BQ753" s="2123">
        <v>160.69999999999999</v>
      </c>
      <c r="BR753" s="2123">
        <v>160.69999999999999</v>
      </c>
      <c r="BS753" s="2123">
        <v>204.32</v>
      </c>
      <c r="BT753" s="2123">
        <v>204.32</v>
      </c>
      <c r="BU753" s="2123">
        <v>204.32</v>
      </c>
      <c r="BV753" s="2123">
        <v>204.32</v>
      </c>
      <c r="BW753" s="2123">
        <v>204.32</v>
      </c>
      <c r="BX753" s="2123">
        <v>204.32</v>
      </c>
      <c r="BY753" s="2123">
        <v>46.97</v>
      </c>
      <c r="BZ753" s="2123">
        <v>46.97</v>
      </c>
      <c r="CA753" s="2123">
        <v>153.28</v>
      </c>
      <c r="CB753" s="2123">
        <v>153.28</v>
      </c>
      <c r="CC753" s="2123">
        <v>155.38999999999999</v>
      </c>
      <c r="CD753" s="2123">
        <v>155.38999999999999</v>
      </c>
      <c r="CE753" s="2123">
        <v>200.59</v>
      </c>
      <c r="CF753" s="2123">
        <v>200.59</v>
      </c>
      <c r="CG753" s="2123"/>
      <c r="CH753" s="2123"/>
      <c r="CI753" s="2123"/>
      <c r="CJ753" s="2123"/>
      <c r="CK753" s="2123">
        <v>117.2</v>
      </c>
      <c r="CL753" s="2123">
        <v>117.2</v>
      </c>
      <c r="CM753" s="2123">
        <v>238.76</v>
      </c>
      <c r="CN753" s="2123">
        <v>238.76</v>
      </c>
      <c r="CO753" s="2123">
        <v>302.14999999999998</v>
      </c>
      <c r="CP753" s="2123">
        <v>302.14999999999998</v>
      </c>
      <c r="CQ753" s="2123">
        <v>302.14999999999998</v>
      </c>
      <c r="CR753" s="2123">
        <v>302.14999999999998</v>
      </c>
      <c r="CS753" s="2123"/>
      <c r="CT753" s="2123"/>
      <c r="CU753" s="2123"/>
      <c r="CV753" s="2123"/>
      <c r="CW753" s="2123">
        <v>109.38</v>
      </c>
      <c r="CX753" s="2123">
        <v>109.38</v>
      </c>
      <c r="CY753" s="2123">
        <v>230.84</v>
      </c>
      <c r="CZ753" s="2123">
        <v>230.84</v>
      </c>
      <c r="DA753" s="2123">
        <v>230.84</v>
      </c>
      <c r="DB753" s="2123">
        <v>230.84</v>
      </c>
      <c r="DC753" s="2123">
        <v>292.66000000000003</v>
      </c>
      <c r="DD753" s="2123">
        <v>292.66000000000003</v>
      </c>
      <c r="DE753" s="2123">
        <v>292.66000000000003</v>
      </c>
      <c r="DF753" s="2123">
        <v>292.66000000000003</v>
      </c>
      <c r="DG753" s="2123"/>
      <c r="DH753" s="2123"/>
      <c r="DI753" s="2123">
        <v>28.94</v>
      </c>
      <c r="DJ753" s="2123">
        <v>28.94</v>
      </c>
      <c r="DK753" s="2123">
        <v>28.94</v>
      </c>
      <c r="DL753" s="2123">
        <v>28.94</v>
      </c>
      <c r="DM753" s="2123">
        <v>28.94</v>
      </c>
      <c r="DN753" s="2123">
        <v>28.94</v>
      </c>
      <c r="DO753" s="2123"/>
      <c r="DP753" s="2123"/>
      <c r="DQ753" s="2123"/>
      <c r="DR753" s="2123"/>
      <c r="DS753" s="2123"/>
      <c r="DT753" s="2123"/>
      <c r="DU753" s="2123">
        <v>12.9</v>
      </c>
      <c r="DV753" s="2123">
        <v>12.9</v>
      </c>
      <c r="DW753" s="2123">
        <v>12.14</v>
      </c>
      <c r="DX753" s="2123">
        <v>12.14</v>
      </c>
      <c r="DY753" s="2123">
        <v>12.14</v>
      </c>
      <c r="DZ753" s="2123">
        <v>12.14</v>
      </c>
      <c r="EA753" s="2123"/>
      <c r="EB753" s="2123"/>
      <c r="EC753" s="2123"/>
      <c r="ED753" s="2123"/>
      <c r="EE753" s="2123"/>
      <c r="EF753" s="2123"/>
      <c r="EG753" s="2123">
        <v>13.8</v>
      </c>
      <c r="EH753" s="2123">
        <v>13.99</v>
      </c>
      <c r="EI753" s="2123">
        <v>10.69</v>
      </c>
      <c r="EJ753" s="2123">
        <v>10.69</v>
      </c>
      <c r="EK753" s="2123">
        <v>10.68</v>
      </c>
      <c r="EL753" s="2123">
        <v>10.68</v>
      </c>
      <c r="EM753" s="2123">
        <v>11.35</v>
      </c>
      <c r="EN753" s="2123">
        <v>11.35</v>
      </c>
      <c r="EO753" s="2123">
        <v>10.72</v>
      </c>
      <c r="EP753" s="2123">
        <v>10.72</v>
      </c>
      <c r="EQ753" s="2123">
        <v>11.03</v>
      </c>
      <c r="ER753" s="2123">
        <v>10.96</v>
      </c>
      <c r="ES753" s="2123">
        <v>52.77</v>
      </c>
      <c r="ET753" s="2123">
        <v>52.77</v>
      </c>
      <c r="EU753" s="2123">
        <v>223.33</v>
      </c>
      <c r="EV753" s="2123">
        <v>223.33</v>
      </c>
      <c r="EW753" s="2123">
        <v>218.23</v>
      </c>
      <c r="EX753" s="2123">
        <v>218.23</v>
      </c>
      <c r="EY753" s="2129">
        <f t="shared" si="55"/>
        <v>220.78</v>
      </c>
      <c r="EZ753" s="2129">
        <f t="shared" si="55"/>
        <v>220.78</v>
      </c>
      <c r="FA753" s="2123">
        <v>222.29</v>
      </c>
      <c r="FB753" s="2123">
        <v>222.29</v>
      </c>
      <c r="FC753" s="2123"/>
      <c r="FD753" s="2123"/>
      <c r="FE753" s="2123">
        <v>45.35</v>
      </c>
      <c r="FF753" s="2123">
        <v>45.35</v>
      </c>
      <c r="FG753" s="2123">
        <v>187.81</v>
      </c>
      <c r="FH753" s="2123">
        <v>187.81</v>
      </c>
      <c r="FI753" s="2123">
        <v>187.81</v>
      </c>
      <c r="FJ753" s="2123">
        <v>189.93</v>
      </c>
      <c r="FK753" s="2123">
        <v>187.21</v>
      </c>
      <c r="FL753" s="2123">
        <v>187.21</v>
      </c>
      <c r="FM753" s="2123">
        <v>188.24</v>
      </c>
      <c r="FN753" s="2123">
        <v>188.24</v>
      </c>
      <c r="FO753" s="2123"/>
      <c r="FP753" s="2123"/>
      <c r="FQ753" s="2123">
        <v>102.42</v>
      </c>
      <c r="FR753" s="2123">
        <v>102.42</v>
      </c>
      <c r="FS753" s="2123">
        <v>203.2</v>
      </c>
      <c r="FT753" s="2123">
        <v>203.2</v>
      </c>
      <c r="FU753" s="2123">
        <v>203.2</v>
      </c>
      <c r="FV753" s="2123">
        <v>203.2</v>
      </c>
      <c r="FW753" s="2123">
        <v>203.83</v>
      </c>
      <c r="FX753" s="2123">
        <v>203.83</v>
      </c>
      <c r="FY753" s="2123"/>
      <c r="FZ753" s="2123"/>
      <c r="GA753" s="2123"/>
      <c r="GB753" s="2123"/>
      <c r="GC753" s="2123">
        <v>72.44</v>
      </c>
      <c r="GD753" s="2123">
        <v>72.44</v>
      </c>
      <c r="GE753" s="2123">
        <v>163.79</v>
      </c>
      <c r="GF753" s="2123">
        <v>163.79</v>
      </c>
      <c r="GG753" s="2123">
        <v>163.79</v>
      </c>
      <c r="GH753" s="2123">
        <v>163.79</v>
      </c>
      <c r="GI753" s="2123">
        <v>167.89</v>
      </c>
      <c r="GJ753" s="2123">
        <v>167.89</v>
      </c>
      <c r="GK753" s="2123">
        <v>196.74</v>
      </c>
      <c r="GL753" s="2123">
        <v>196.74</v>
      </c>
      <c r="GM753" s="2123"/>
      <c r="GN753" s="2123"/>
      <c r="GO753" s="2123">
        <v>38.78</v>
      </c>
      <c r="GP753" s="2123">
        <v>38.78</v>
      </c>
      <c r="GQ753" s="2123">
        <v>32.85</v>
      </c>
      <c r="GR753" s="2123">
        <v>32.85</v>
      </c>
      <c r="GS753" s="2123">
        <v>32.85</v>
      </c>
      <c r="GT753" s="2123">
        <v>31.65</v>
      </c>
      <c r="GU753" s="2123">
        <v>31.65</v>
      </c>
      <c r="GV753" s="2123">
        <v>32.01</v>
      </c>
      <c r="GW753" s="2123">
        <v>187.21</v>
      </c>
      <c r="GX753" s="2123">
        <v>187.21</v>
      </c>
      <c r="GY753" s="2123"/>
      <c r="GZ753" s="2123"/>
      <c r="HA753" s="2123">
        <v>27.08</v>
      </c>
      <c r="HB753" s="2123">
        <v>27.08</v>
      </c>
      <c r="HC753" s="2123">
        <v>19.82</v>
      </c>
      <c r="HD753" s="2123">
        <v>19.82</v>
      </c>
      <c r="HE753" s="2123">
        <v>20.64</v>
      </c>
      <c r="HF753" s="2123">
        <v>20.64</v>
      </c>
      <c r="HG753" s="2123">
        <v>20.64</v>
      </c>
      <c r="HH753" s="2123">
        <v>20.64</v>
      </c>
      <c r="HI753" s="2123">
        <v>20.64</v>
      </c>
      <c r="HJ753" s="2123">
        <v>20.64</v>
      </c>
      <c r="HK753" s="2123">
        <v>20.71</v>
      </c>
      <c r="HL753" s="2123">
        <v>20.97</v>
      </c>
      <c r="HM753" s="2123">
        <v>37.96</v>
      </c>
      <c r="HN753" s="2123">
        <v>37.96</v>
      </c>
      <c r="HO753" s="2123">
        <v>28.17</v>
      </c>
      <c r="HP753" s="2123">
        <v>28.17</v>
      </c>
      <c r="HQ753" s="2123">
        <v>29.3</v>
      </c>
      <c r="HR753" s="2123">
        <v>29.3</v>
      </c>
      <c r="HS753" s="2123">
        <v>29.3</v>
      </c>
      <c r="HT753" s="2123">
        <v>29.3</v>
      </c>
      <c r="HU753" s="2123">
        <v>29.3</v>
      </c>
      <c r="HV753" s="2123">
        <v>29.3</v>
      </c>
      <c r="HW753" s="2123">
        <v>29.36</v>
      </c>
      <c r="HX753" s="2123">
        <v>29.36</v>
      </c>
    </row>
    <row r="754" spans="2:232" s="2040" customFormat="1" ht="14" hidden="1" x14ac:dyDescent="0.3">
      <c r="B754" s="2203">
        <v>60</v>
      </c>
      <c r="C754" s="2204">
        <v>43.02</v>
      </c>
      <c r="D754" s="2204">
        <v>43.02</v>
      </c>
      <c r="E754" s="2204">
        <v>43.24</v>
      </c>
      <c r="F754" s="2204">
        <v>43.24</v>
      </c>
      <c r="G754" s="2204">
        <v>164.27</v>
      </c>
      <c r="H754" s="2204">
        <v>164.27</v>
      </c>
      <c r="I754" s="2204">
        <v>154.71</v>
      </c>
      <c r="J754" s="2204">
        <v>154.71</v>
      </c>
      <c r="K754" s="2204">
        <v>161.26</v>
      </c>
      <c r="L754" s="2204">
        <v>161.26</v>
      </c>
      <c r="M754" s="2204"/>
      <c r="N754" s="2204"/>
      <c r="O754" s="2204">
        <v>134.93</v>
      </c>
      <c r="P754" s="2204">
        <v>134.93</v>
      </c>
      <c r="Q754" s="2204">
        <v>134.69999999999999</v>
      </c>
      <c r="R754" s="2204">
        <v>134.93</v>
      </c>
      <c r="S754" s="2204">
        <v>242.72000000000003</v>
      </c>
      <c r="T754" s="2204">
        <v>241.97</v>
      </c>
      <c r="U754" s="2204">
        <v>233.57</v>
      </c>
      <c r="V754" s="2204">
        <v>233.57</v>
      </c>
      <c r="W754" s="2204">
        <v>241.97</v>
      </c>
      <c r="X754" s="2204">
        <v>241.97</v>
      </c>
      <c r="Y754" s="2204">
        <v>233.57</v>
      </c>
      <c r="Z754" s="2204">
        <v>241.97</v>
      </c>
      <c r="AA754" s="2204">
        <v>241.97</v>
      </c>
      <c r="AB754" s="2204">
        <v>241.97</v>
      </c>
      <c r="AC754" s="2204">
        <v>233.57</v>
      </c>
      <c r="AD754" s="2204">
        <v>233.57</v>
      </c>
      <c r="AE754" s="2204">
        <v>257.13</v>
      </c>
      <c r="AF754" s="2204">
        <v>249.75</v>
      </c>
      <c r="AG754" s="2204">
        <v>257.13</v>
      </c>
      <c r="AH754" s="2204">
        <v>257.13</v>
      </c>
      <c r="AI754" s="2204">
        <v>249.75</v>
      </c>
      <c r="AJ754" s="2204">
        <v>249.75</v>
      </c>
      <c r="AK754" s="2204">
        <v>250.39</v>
      </c>
      <c r="AL754" s="2204">
        <v>250.39</v>
      </c>
      <c r="AM754" s="2204">
        <v>71.209999999999994</v>
      </c>
      <c r="AN754" s="2204">
        <v>68.61</v>
      </c>
      <c r="AO754" s="2204">
        <v>68.61</v>
      </c>
      <c r="AP754" s="2204">
        <v>68.650000000000006</v>
      </c>
      <c r="AQ754" s="2204">
        <v>69.13</v>
      </c>
      <c r="AR754" s="2204">
        <v>69.13</v>
      </c>
      <c r="AS754" s="2204">
        <v>202.66</v>
      </c>
      <c r="AT754" s="2204">
        <v>202.66</v>
      </c>
      <c r="AU754" s="2204">
        <v>202.66</v>
      </c>
      <c r="AV754" s="2204">
        <v>207.4</v>
      </c>
      <c r="AW754" s="2204">
        <v>202.93</v>
      </c>
      <c r="AX754" s="2204">
        <v>202.93</v>
      </c>
      <c r="AY754" s="2204">
        <v>203.06</v>
      </c>
      <c r="AZ754" s="2204">
        <v>203.06</v>
      </c>
      <c r="BA754" s="2123">
        <v>88.21</v>
      </c>
      <c r="BB754" s="2123">
        <v>88.21</v>
      </c>
      <c r="BC754" s="2123">
        <v>21.92</v>
      </c>
      <c r="BD754" s="2123">
        <v>22.18</v>
      </c>
      <c r="BE754" s="2123">
        <v>25.55</v>
      </c>
      <c r="BF754" s="2123">
        <v>25.55</v>
      </c>
      <c r="BG754" s="2123">
        <v>22.03</v>
      </c>
      <c r="BH754" s="2123">
        <v>22.03</v>
      </c>
      <c r="BI754" s="2123">
        <v>21.86</v>
      </c>
      <c r="BJ754" s="2123">
        <v>21.86</v>
      </c>
      <c r="BK754" s="2123">
        <v>21.86</v>
      </c>
      <c r="BL754" s="2123">
        <v>21.86</v>
      </c>
      <c r="BM754" s="2123">
        <v>52.06</v>
      </c>
      <c r="BN754" s="2123">
        <v>52.06</v>
      </c>
      <c r="BO754" s="2123">
        <v>161.59</v>
      </c>
      <c r="BP754" s="2123">
        <v>161.59</v>
      </c>
      <c r="BQ754" s="2123">
        <v>161.59</v>
      </c>
      <c r="BR754" s="2123">
        <v>161.59</v>
      </c>
      <c r="BS754" s="2123">
        <v>205.68</v>
      </c>
      <c r="BT754" s="2123">
        <v>205.68</v>
      </c>
      <c r="BU754" s="2123">
        <v>205.68</v>
      </c>
      <c r="BV754" s="2123">
        <v>205.68</v>
      </c>
      <c r="BW754" s="2123">
        <v>205.68</v>
      </c>
      <c r="BX754" s="2123">
        <v>205.68</v>
      </c>
      <c r="BY754" s="2123">
        <v>47.18</v>
      </c>
      <c r="BZ754" s="2123">
        <v>47.18</v>
      </c>
      <c r="CA754" s="2123">
        <v>154.11000000000001</v>
      </c>
      <c r="CB754" s="2123">
        <v>154.11000000000001</v>
      </c>
      <c r="CC754" s="2123">
        <v>156.24</v>
      </c>
      <c r="CD754" s="2123">
        <v>156.24</v>
      </c>
      <c r="CE754" s="2123">
        <v>201.88</v>
      </c>
      <c r="CF754" s="2123">
        <v>201.88</v>
      </c>
      <c r="CG754" s="2123"/>
      <c r="CH754" s="2123"/>
      <c r="CI754" s="2123"/>
      <c r="CJ754" s="2123"/>
      <c r="CK754" s="2123">
        <v>117.77</v>
      </c>
      <c r="CL754" s="2123">
        <v>117.77</v>
      </c>
      <c r="CM754" s="2123">
        <v>239.7</v>
      </c>
      <c r="CN754" s="2123">
        <v>239.7</v>
      </c>
      <c r="CO754" s="2123">
        <v>303.67</v>
      </c>
      <c r="CP754" s="2123">
        <v>303.67</v>
      </c>
      <c r="CQ754" s="2123">
        <v>303.67</v>
      </c>
      <c r="CR754" s="2123">
        <v>303.67</v>
      </c>
      <c r="CS754" s="2123"/>
      <c r="CT754" s="2123"/>
      <c r="CU754" s="2123"/>
      <c r="CV754" s="2123"/>
      <c r="CW754" s="2123">
        <v>109.89</v>
      </c>
      <c r="CX754" s="2123">
        <v>109.89</v>
      </c>
      <c r="CY754" s="2123">
        <v>231.77</v>
      </c>
      <c r="CZ754" s="2123">
        <v>231.77</v>
      </c>
      <c r="DA754" s="2123">
        <v>231.77</v>
      </c>
      <c r="DB754" s="2123">
        <v>231.77</v>
      </c>
      <c r="DC754" s="2123">
        <v>294.14999999999998</v>
      </c>
      <c r="DD754" s="2123">
        <v>294.14999999999998</v>
      </c>
      <c r="DE754" s="2123">
        <v>294.14999999999998</v>
      </c>
      <c r="DF754" s="2123">
        <v>294.14999999999998</v>
      </c>
      <c r="DG754" s="2123"/>
      <c r="DH754" s="2123"/>
      <c r="DI754" s="2123">
        <v>29.07</v>
      </c>
      <c r="DJ754" s="2123">
        <v>29.07</v>
      </c>
      <c r="DK754" s="2123">
        <v>29.07</v>
      </c>
      <c r="DL754" s="2123">
        <v>29.07</v>
      </c>
      <c r="DM754" s="2123">
        <v>29.07</v>
      </c>
      <c r="DN754" s="2123">
        <v>29.07</v>
      </c>
      <c r="DO754" s="2123"/>
      <c r="DP754" s="2123"/>
      <c r="DQ754" s="2123"/>
      <c r="DR754" s="2123"/>
      <c r="DS754" s="2123"/>
      <c r="DT754" s="2123"/>
      <c r="DU754" s="2123">
        <v>12.96</v>
      </c>
      <c r="DV754" s="2123">
        <v>12.96</v>
      </c>
      <c r="DW754" s="2123">
        <v>12.22</v>
      </c>
      <c r="DX754" s="2123">
        <v>12.22</v>
      </c>
      <c r="DY754" s="2123">
        <v>12.22</v>
      </c>
      <c r="DZ754" s="2123">
        <v>12.22</v>
      </c>
      <c r="EA754" s="2123"/>
      <c r="EB754" s="2123"/>
      <c r="EC754" s="2123"/>
      <c r="ED754" s="2123"/>
      <c r="EE754" s="2123"/>
      <c r="EF754" s="2123"/>
      <c r="EG754" s="2123">
        <v>13.87</v>
      </c>
      <c r="EH754" s="2123">
        <v>14.06</v>
      </c>
      <c r="EI754" s="2123">
        <v>10.78</v>
      </c>
      <c r="EJ754" s="2123">
        <v>10.78</v>
      </c>
      <c r="EK754" s="2123">
        <v>10.77</v>
      </c>
      <c r="EL754" s="2123">
        <v>10.77</v>
      </c>
      <c r="EM754" s="2123">
        <v>11.43</v>
      </c>
      <c r="EN754" s="2123">
        <v>11.43</v>
      </c>
      <c r="EO754" s="2123">
        <v>10.81</v>
      </c>
      <c r="EP754" s="2123">
        <v>10.81</v>
      </c>
      <c r="EQ754" s="2123">
        <v>11.12</v>
      </c>
      <c r="ER754" s="2123">
        <v>11.05</v>
      </c>
      <c r="ES754" s="2123">
        <v>53.05</v>
      </c>
      <c r="ET754" s="2123">
        <v>53.05</v>
      </c>
      <c r="EU754" s="2123">
        <v>224.99</v>
      </c>
      <c r="EV754" s="2123">
        <v>224.99</v>
      </c>
      <c r="EW754" s="2123">
        <v>219.87</v>
      </c>
      <c r="EX754" s="2123">
        <v>219.87</v>
      </c>
      <c r="EY754" s="2129">
        <f t="shared" si="55"/>
        <v>222.43</v>
      </c>
      <c r="EZ754" s="2129">
        <f t="shared" si="55"/>
        <v>222.43</v>
      </c>
      <c r="FA754" s="2123">
        <v>223.88</v>
      </c>
      <c r="FB754" s="2123">
        <v>223.88</v>
      </c>
      <c r="FC754" s="2123"/>
      <c r="FD754" s="2123"/>
      <c r="FE754" s="2123">
        <v>45.59</v>
      </c>
      <c r="FF754" s="2123">
        <v>45.59</v>
      </c>
      <c r="FG754" s="2123">
        <v>189.23</v>
      </c>
      <c r="FH754" s="2123">
        <v>189.23</v>
      </c>
      <c r="FI754" s="2123">
        <v>189.23</v>
      </c>
      <c r="FJ754" s="2123">
        <v>191.29</v>
      </c>
      <c r="FK754" s="2123">
        <v>188.64</v>
      </c>
      <c r="FL754" s="2123">
        <v>188.64</v>
      </c>
      <c r="FM754" s="2123">
        <v>189.64</v>
      </c>
      <c r="FN754" s="2123">
        <v>189.64</v>
      </c>
      <c r="FO754" s="2123"/>
      <c r="FP754" s="2123"/>
      <c r="FQ754" s="2123">
        <v>102.97</v>
      </c>
      <c r="FR754" s="2123">
        <v>102.97</v>
      </c>
      <c r="FS754" s="2123">
        <v>204.46</v>
      </c>
      <c r="FT754" s="2123">
        <v>204.46</v>
      </c>
      <c r="FU754" s="2123">
        <v>204.46</v>
      </c>
      <c r="FV754" s="2123">
        <v>204.46</v>
      </c>
      <c r="FW754" s="2123">
        <v>205.07</v>
      </c>
      <c r="FX754" s="2123">
        <v>205.07</v>
      </c>
      <c r="FY754" s="2123"/>
      <c r="FZ754" s="2123"/>
      <c r="GA754" s="2123"/>
      <c r="GB754" s="2123"/>
      <c r="GC754" s="2123">
        <v>72.819999999999993</v>
      </c>
      <c r="GD754" s="2123">
        <v>72.819999999999993</v>
      </c>
      <c r="GE754" s="2123">
        <v>164.58</v>
      </c>
      <c r="GF754" s="2123">
        <v>164.58</v>
      </c>
      <c r="GG754" s="2123">
        <v>164.58</v>
      </c>
      <c r="GH754" s="2123">
        <v>164.58</v>
      </c>
      <c r="GI754" s="2123">
        <v>169.53</v>
      </c>
      <c r="GJ754" s="2123">
        <v>169.53</v>
      </c>
      <c r="GK754" s="2123">
        <v>198.13</v>
      </c>
      <c r="GL754" s="2123">
        <v>198.13</v>
      </c>
      <c r="GM754" s="2123"/>
      <c r="GN754" s="2123"/>
      <c r="GO754" s="2123">
        <v>38.979999999999997</v>
      </c>
      <c r="GP754" s="2123">
        <v>38.979999999999997</v>
      </c>
      <c r="GQ754" s="2123">
        <v>33.08</v>
      </c>
      <c r="GR754" s="2123">
        <v>33.08</v>
      </c>
      <c r="GS754" s="2123">
        <v>33.08</v>
      </c>
      <c r="GT754" s="2123">
        <v>31.86</v>
      </c>
      <c r="GU754" s="2123">
        <v>31.86</v>
      </c>
      <c r="GV754" s="2123">
        <v>32.22</v>
      </c>
      <c r="GW754" s="2123">
        <v>188.43</v>
      </c>
      <c r="GX754" s="2123">
        <v>188.43</v>
      </c>
      <c r="GY754" s="2123"/>
      <c r="GZ754" s="2123"/>
      <c r="HA754" s="2123">
        <v>27.22</v>
      </c>
      <c r="HB754" s="2123">
        <v>27.22</v>
      </c>
      <c r="HC754" s="2123">
        <v>20.010000000000002</v>
      </c>
      <c r="HD754" s="2123">
        <v>20.010000000000002</v>
      </c>
      <c r="HE754" s="2123">
        <v>20.88</v>
      </c>
      <c r="HF754" s="2123">
        <v>20.88</v>
      </c>
      <c r="HG754" s="2123">
        <v>20.88</v>
      </c>
      <c r="HH754" s="2123">
        <v>20.88</v>
      </c>
      <c r="HI754" s="2123">
        <v>20.88</v>
      </c>
      <c r="HJ754" s="2123">
        <v>20.88</v>
      </c>
      <c r="HK754" s="2123">
        <v>20.89</v>
      </c>
      <c r="HL754" s="2123">
        <v>21.15</v>
      </c>
      <c r="HM754" s="2123">
        <v>38.130000000000003</v>
      </c>
      <c r="HN754" s="2123">
        <v>38.130000000000003</v>
      </c>
      <c r="HO754" s="2123">
        <v>28.39</v>
      </c>
      <c r="HP754" s="2123">
        <v>28.39</v>
      </c>
      <c r="HQ754" s="2123">
        <v>29.6</v>
      </c>
      <c r="HR754" s="2123">
        <v>29.6</v>
      </c>
      <c r="HS754" s="2123">
        <v>29.6</v>
      </c>
      <c r="HT754" s="2123">
        <v>29.6</v>
      </c>
      <c r="HU754" s="2123">
        <v>29.6</v>
      </c>
      <c r="HV754" s="2123">
        <v>29.6</v>
      </c>
      <c r="HW754" s="2123">
        <v>29.58</v>
      </c>
      <c r="HX754" s="2123">
        <v>29.58</v>
      </c>
    </row>
    <row r="755" spans="2:232" s="2040" customFormat="1" ht="14" hidden="1" x14ac:dyDescent="0.3">
      <c r="B755" s="2203">
        <v>61</v>
      </c>
      <c r="C755" s="2204">
        <v>43.21</v>
      </c>
      <c r="D755" s="2204">
        <v>43.21</v>
      </c>
      <c r="E755" s="2204">
        <v>43.43</v>
      </c>
      <c r="F755" s="2204">
        <v>43.43</v>
      </c>
      <c r="G755" s="2204">
        <v>165.48</v>
      </c>
      <c r="H755" s="2204">
        <v>165.48</v>
      </c>
      <c r="I755" s="2204">
        <v>155.65</v>
      </c>
      <c r="J755" s="2204">
        <v>155.65</v>
      </c>
      <c r="K755" s="2204">
        <v>162.08000000000001</v>
      </c>
      <c r="L755" s="2204">
        <v>162.08000000000001</v>
      </c>
      <c r="M755" s="2204"/>
      <c r="N755" s="2204"/>
      <c r="O755" s="2204">
        <v>135.6</v>
      </c>
      <c r="P755" s="2204">
        <v>135.6</v>
      </c>
      <c r="Q755" s="2204">
        <v>135.36000000000001</v>
      </c>
      <c r="R755" s="2204">
        <v>135.6</v>
      </c>
      <c r="S755" s="2204">
        <v>244.44000000000003</v>
      </c>
      <c r="T755" s="2204">
        <v>243.74</v>
      </c>
      <c r="U755" s="2204">
        <v>235.27</v>
      </c>
      <c r="V755" s="2204">
        <v>235.27</v>
      </c>
      <c r="W755" s="2204">
        <v>243.74</v>
      </c>
      <c r="X755" s="2204">
        <v>243.74</v>
      </c>
      <c r="Y755" s="2204">
        <v>235.27</v>
      </c>
      <c r="Z755" s="2204">
        <v>243.74</v>
      </c>
      <c r="AA755" s="2204">
        <v>243.74</v>
      </c>
      <c r="AB755" s="2204">
        <v>243.74</v>
      </c>
      <c r="AC755" s="2204">
        <v>235.27</v>
      </c>
      <c r="AD755" s="2204">
        <v>235.27</v>
      </c>
      <c r="AE755" s="2204">
        <v>258.74</v>
      </c>
      <c r="AF755" s="2204">
        <v>251.32</v>
      </c>
      <c r="AG755" s="2204">
        <v>258.74</v>
      </c>
      <c r="AH755" s="2204">
        <v>258.74</v>
      </c>
      <c r="AI755" s="2204">
        <v>251.32</v>
      </c>
      <c r="AJ755" s="2204">
        <v>251.32</v>
      </c>
      <c r="AK755" s="2204">
        <v>251.95</v>
      </c>
      <c r="AL755" s="2204">
        <v>251.95</v>
      </c>
      <c r="AM755" s="2204">
        <v>71.569999999999993</v>
      </c>
      <c r="AN755" s="2204">
        <v>68.959999999999994</v>
      </c>
      <c r="AO755" s="2204">
        <v>68.959999999999994</v>
      </c>
      <c r="AP755" s="2204">
        <v>69</v>
      </c>
      <c r="AQ755" s="2204">
        <v>69.47</v>
      </c>
      <c r="AR755" s="2204">
        <v>69.47</v>
      </c>
      <c r="AS755" s="2204">
        <v>203.97</v>
      </c>
      <c r="AT755" s="2204">
        <v>203.97</v>
      </c>
      <c r="AU755" s="2204">
        <v>203.97</v>
      </c>
      <c r="AV755" s="2204">
        <v>208.72</v>
      </c>
      <c r="AW755" s="2204">
        <v>204.24</v>
      </c>
      <c r="AX755" s="2204">
        <v>204.24</v>
      </c>
      <c r="AY755" s="2204">
        <v>204.37</v>
      </c>
      <c r="AZ755" s="2204">
        <v>204.37</v>
      </c>
      <c r="BA755" s="2123">
        <v>88.94</v>
      </c>
      <c r="BB755" s="2123">
        <v>88.94</v>
      </c>
      <c r="BC755" s="2123">
        <v>22.1</v>
      </c>
      <c r="BD755" s="2123">
        <v>22.35</v>
      </c>
      <c r="BE755" s="2123">
        <v>25.71</v>
      </c>
      <c r="BF755" s="2123">
        <v>25.71</v>
      </c>
      <c r="BG755" s="2123">
        <v>22.25</v>
      </c>
      <c r="BH755" s="2123">
        <v>22.25</v>
      </c>
      <c r="BI755" s="2123">
        <v>22.07</v>
      </c>
      <c r="BJ755" s="2123">
        <v>22.07</v>
      </c>
      <c r="BK755" s="2123">
        <v>22.07</v>
      </c>
      <c r="BL755" s="2123">
        <v>22.07</v>
      </c>
      <c r="BM755" s="2123">
        <v>52.35</v>
      </c>
      <c r="BN755" s="2123">
        <v>52.35</v>
      </c>
      <c r="BO755" s="2123">
        <v>162.61000000000001</v>
      </c>
      <c r="BP755" s="2123">
        <v>162.61000000000001</v>
      </c>
      <c r="BQ755" s="2123">
        <v>162.61000000000001</v>
      </c>
      <c r="BR755" s="2123">
        <v>162.61000000000001</v>
      </c>
      <c r="BS755" s="2123">
        <v>207.22</v>
      </c>
      <c r="BT755" s="2123">
        <v>207.22</v>
      </c>
      <c r="BU755" s="2123">
        <v>207.22</v>
      </c>
      <c r="BV755" s="2123">
        <v>207.22</v>
      </c>
      <c r="BW755" s="2123">
        <v>207.22</v>
      </c>
      <c r="BX755" s="2123">
        <v>207.22</v>
      </c>
      <c r="BY755" s="2123">
        <v>47.46</v>
      </c>
      <c r="BZ755" s="2123">
        <v>47.46</v>
      </c>
      <c r="CA755" s="2123">
        <v>155.18</v>
      </c>
      <c r="CB755" s="2123">
        <v>155.18</v>
      </c>
      <c r="CC755" s="2123">
        <v>157.33000000000001</v>
      </c>
      <c r="CD755" s="2123">
        <v>157.33000000000001</v>
      </c>
      <c r="CE755" s="2123">
        <v>203.55</v>
      </c>
      <c r="CF755" s="2123">
        <v>203.55</v>
      </c>
      <c r="CG755" s="2123"/>
      <c r="CH755" s="2123"/>
      <c r="CI755" s="2123"/>
      <c r="CJ755" s="2123"/>
      <c r="CK755" s="2123">
        <v>118.28</v>
      </c>
      <c r="CL755" s="2123">
        <v>118.28</v>
      </c>
      <c r="CM755" s="2123">
        <v>240.64</v>
      </c>
      <c r="CN755" s="2123">
        <v>240.64</v>
      </c>
      <c r="CO755" s="2123">
        <v>305.18</v>
      </c>
      <c r="CP755" s="2123">
        <v>305.18</v>
      </c>
      <c r="CQ755" s="2123">
        <v>305.18</v>
      </c>
      <c r="CR755" s="2123">
        <v>305.18</v>
      </c>
      <c r="CS755" s="2123"/>
      <c r="CT755" s="2123"/>
      <c r="CU755" s="2123"/>
      <c r="CV755" s="2123"/>
      <c r="CW755" s="2123">
        <v>110.48</v>
      </c>
      <c r="CX755" s="2123">
        <v>110.48</v>
      </c>
      <c r="CY755" s="2123">
        <v>232.85</v>
      </c>
      <c r="CZ755" s="2123">
        <v>232.85</v>
      </c>
      <c r="DA755" s="2123">
        <v>232.85</v>
      </c>
      <c r="DB755" s="2123">
        <v>232.85</v>
      </c>
      <c r="DC755" s="2123">
        <v>295.87</v>
      </c>
      <c r="DD755" s="2123">
        <v>295.87</v>
      </c>
      <c r="DE755" s="2123">
        <v>295.87</v>
      </c>
      <c r="DF755" s="2123">
        <v>295.87</v>
      </c>
      <c r="DG755" s="2123"/>
      <c r="DH755" s="2123"/>
      <c r="DI755" s="2123">
        <v>29.2</v>
      </c>
      <c r="DJ755" s="2123">
        <v>29.2</v>
      </c>
      <c r="DK755" s="2123">
        <v>29.2</v>
      </c>
      <c r="DL755" s="2123">
        <v>29.2</v>
      </c>
      <c r="DM755" s="2123">
        <v>29.2</v>
      </c>
      <c r="DN755" s="2123">
        <v>29.2</v>
      </c>
      <c r="DO755" s="2123"/>
      <c r="DP755" s="2123"/>
      <c r="DQ755" s="2123"/>
      <c r="DR755" s="2123"/>
      <c r="DS755" s="2123"/>
      <c r="DT755" s="2123"/>
      <c r="DU755" s="2123">
        <v>13.01</v>
      </c>
      <c r="DV755" s="2123">
        <v>13.01</v>
      </c>
      <c r="DW755" s="2123">
        <v>12.29</v>
      </c>
      <c r="DX755" s="2123">
        <v>12.29</v>
      </c>
      <c r="DY755" s="2123">
        <v>12.29</v>
      </c>
      <c r="DZ755" s="2123">
        <v>12.29</v>
      </c>
      <c r="EA755" s="2123"/>
      <c r="EB755" s="2123"/>
      <c r="EC755" s="2123"/>
      <c r="ED755" s="2123"/>
      <c r="EE755" s="2123"/>
      <c r="EF755" s="2123"/>
      <c r="EG755" s="2123">
        <v>13.94</v>
      </c>
      <c r="EH755" s="2123">
        <v>14.13</v>
      </c>
      <c r="EI755" s="2123">
        <v>10.87</v>
      </c>
      <c r="EJ755" s="2123">
        <v>10.87</v>
      </c>
      <c r="EK755" s="2123">
        <v>10.86</v>
      </c>
      <c r="EL755" s="2123">
        <v>10.86</v>
      </c>
      <c r="EM755" s="2123">
        <v>11.52</v>
      </c>
      <c r="EN755" s="2123">
        <v>11.52</v>
      </c>
      <c r="EO755" s="2123">
        <v>10.89</v>
      </c>
      <c r="EP755" s="2123">
        <v>10.89</v>
      </c>
      <c r="EQ755" s="2123">
        <v>11.21</v>
      </c>
      <c r="ER755" s="2123">
        <v>11.13</v>
      </c>
      <c r="ES755" s="2123">
        <v>53.32</v>
      </c>
      <c r="ET755" s="2123">
        <v>53.32</v>
      </c>
      <c r="EU755" s="2123">
        <v>226.6</v>
      </c>
      <c r="EV755" s="2123">
        <v>226.6</v>
      </c>
      <c r="EW755" s="2123">
        <v>221.47</v>
      </c>
      <c r="EX755" s="2123">
        <v>221.47</v>
      </c>
      <c r="EY755" s="2129">
        <f t="shared" si="55"/>
        <v>224.035</v>
      </c>
      <c r="EZ755" s="2129">
        <f t="shared" si="55"/>
        <v>224.035</v>
      </c>
      <c r="FA755" s="2123">
        <v>225.43</v>
      </c>
      <c r="FB755" s="2123">
        <v>225.43</v>
      </c>
      <c r="FC755" s="2123"/>
      <c r="FD755" s="2123"/>
      <c r="FE755" s="2123">
        <v>45.83</v>
      </c>
      <c r="FF755" s="2123">
        <v>45.83</v>
      </c>
      <c r="FG755" s="2123">
        <v>190.62</v>
      </c>
      <c r="FH755" s="2123">
        <v>190.62</v>
      </c>
      <c r="FI755" s="2123">
        <v>190.62</v>
      </c>
      <c r="FJ755" s="2123">
        <v>192.62</v>
      </c>
      <c r="FK755" s="2123">
        <v>190.04</v>
      </c>
      <c r="FL755" s="2123">
        <v>190.04</v>
      </c>
      <c r="FM755" s="2123">
        <v>191.02</v>
      </c>
      <c r="FN755" s="2123">
        <v>191.02</v>
      </c>
      <c r="FO755" s="2123"/>
      <c r="FP755" s="2123"/>
      <c r="FQ755" s="2123">
        <v>103.5</v>
      </c>
      <c r="FR755" s="2123">
        <v>103.5</v>
      </c>
      <c r="FS755" s="2123">
        <v>205.69</v>
      </c>
      <c r="FT755" s="2123">
        <v>205.69</v>
      </c>
      <c r="FU755" s="2123">
        <v>205.69</v>
      </c>
      <c r="FV755" s="2123">
        <v>205.69</v>
      </c>
      <c r="FW755" s="2123">
        <v>206.28</v>
      </c>
      <c r="FX755" s="2123">
        <v>206.28</v>
      </c>
      <c r="FY755" s="2123"/>
      <c r="FZ755" s="2123"/>
      <c r="GA755" s="2123"/>
      <c r="GB755" s="2123"/>
      <c r="GC755" s="2123">
        <v>73.19</v>
      </c>
      <c r="GD755" s="2123">
        <v>73.19</v>
      </c>
      <c r="GE755" s="2123">
        <v>165.35</v>
      </c>
      <c r="GF755" s="2123">
        <v>165.35</v>
      </c>
      <c r="GG755" s="2123">
        <v>165.35</v>
      </c>
      <c r="GH755" s="2123">
        <v>165.35</v>
      </c>
      <c r="GI755" s="2123">
        <v>171.13</v>
      </c>
      <c r="GJ755" s="2123">
        <v>171.13</v>
      </c>
      <c r="GK755" s="2123">
        <v>199.49</v>
      </c>
      <c r="GL755" s="2123">
        <v>199.49</v>
      </c>
      <c r="GM755" s="2123"/>
      <c r="GN755" s="2123"/>
      <c r="GO755" s="2123">
        <v>39.18</v>
      </c>
      <c r="GP755" s="2123">
        <v>39.18</v>
      </c>
      <c r="GQ755" s="2123">
        <v>33.33</v>
      </c>
      <c r="GR755" s="2123">
        <v>33.33</v>
      </c>
      <c r="GS755" s="2123">
        <v>33.33</v>
      </c>
      <c r="GT755" s="2123">
        <v>32.11</v>
      </c>
      <c r="GU755" s="2123">
        <v>32.11</v>
      </c>
      <c r="GV755" s="2123">
        <v>32.450000000000003</v>
      </c>
      <c r="GW755" s="2123">
        <v>189.81</v>
      </c>
      <c r="GX755" s="2123">
        <v>189.81</v>
      </c>
      <c r="GY755" s="2123"/>
      <c r="GZ755" s="2123"/>
      <c r="HA755" s="2123">
        <v>27.41</v>
      </c>
      <c r="HB755" s="2123">
        <v>27.41</v>
      </c>
      <c r="HC755" s="2123">
        <v>20.260000000000002</v>
      </c>
      <c r="HD755" s="2123">
        <v>20.260000000000002</v>
      </c>
      <c r="HE755" s="2123">
        <v>21.01</v>
      </c>
      <c r="HF755" s="2123">
        <v>21.01</v>
      </c>
      <c r="HG755" s="2123">
        <v>21.01</v>
      </c>
      <c r="HH755" s="2123">
        <v>21.01</v>
      </c>
      <c r="HI755" s="2123">
        <v>21.01</v>
      </c>
      <c r="HJ755" s="2123">
        <v>21.01</v>
      </c>
      <c r="HK755" s="2123">
        <v>21.13</v>
      </c>
      <c r="HL755" s="2123">
        <v>21.38</v>
      </c>
      <c r="HM755" s="2123">
        <v>38.36</v>
      </c>
      <c r="HN755" s="2123">
        <v>38.36</v>
      </c>
      <c r="HO755" s="2123">
        <v>28.69</v>
      </c>
      <c r="HP755" s="2123">
        <v>28.69</v>
      </c>
      <c r="HQ755" s="2123">
        <v>29.83</v>
      </c>
      <c r="HR755" s="2123">
        <v>29.83</v>
      </c>
      <c r="HS755" s="2123">
        <v>29.83</v>
      </c>
      <c r="HT755" s="2123">
        <v>29.83</v>
      </c>
      <c r="HU755" s="2123">
        <v>29.83</v>
      </c>
      <c r="HV755" s="2123">
        <v>29.83</v>
      </c>
      <c r="HW755" s="2123">
        <v>29.87</v>
      </c>
      <c r="HX755" s="2123">
        <v>29.87</v>
      </c>
    </row>
    <row r="756" spans="2:232" s="2040" customFormat="1" ht="14" hidden="1" x14ac:dyDescent="0.3">
      <c r="B756" s="2203">
        <v>62</v>
      </c>
      <c r="C756" s="2204">
        <v>43.46</v>
      </c>
      <c r="D756" s="2204">
        <v>43.46</v>
      </c>
      <c r="E756" s="2204">
        <v>43.67</v>
      </c>
      <c r="F756" s="2204">
        <v>43.67</v>
      </c>
      <c r="G756" s="2204">
        <v>166.44</v>
      </c>
      <c r="H756" s="2204">
        <v>166.44</v>
      </c>
      <c r="I756" s="2204">
        <v>156.86000000000001</v>
      </c>
      <c r="J756" s="2204">
        <v>156.86000000000001</v>
      </c>
      <c r="K756" s="2204">
        <v>163.13999999999999</v>
      </c>
      <c r="L756" s="2204">
        <v>163.13999999999999</v>
      </c>
      <c r="M756" s="2204"/>
      <c r="N756" s="2204"/>
      <c r="O756" s="2204">
        <v>136.26</v>
      </c>
      <c r="P756" s="2204">
        <v>136.26</v>
      </c>
      <c r="Q756" s="2204">
        <v>136</v>
      </c>
      <c r="R756" s="2204">
        <v>136.26</v>
      </c>
      <c r="S756" s="2204">
        <v>246.14000000000001</v>
      </c>
      <c r="T756" s="2204">
        <v>245.46</v>
      </c>
      <c r="U756" s="2204">
        <v>236.94</v>
      </c>
      <c r="V756" s="2204">
        <v>236.94</v>
      </c>
      <c r="W756" s="2204">
        <v>245.46</v>
      </c>
      <c r="X756" s="2204">
        <v>245.46</v>
      </c>
      <c r="Y756" s="2204">
        <v>236.94</v>
      </c>
      <c r="Z756" s="2204">
        <v>245.46</v>
      </c>
      <c r="AA756" s="2204">
        <v>245.46</v>
      </c>
      <c r="AB756" s="2204">
        <v>245.46</v>
      </c>
      <c r="AC756" s="2204">
        <v>236.94</v>
      </c>
      <c r="AD756" s="2204">
        <v>236.94</v>
      </c>
      <c r="AE756" s="2204">
        <v>260.32</v>
      </c>
      <c r="AF756" s="2204">
        <v>252.85</v>
      </c>
      <c r="AG756" s="2204">
        <v>260.32</v>
      </c>
      <c r="AH756" s="2204">
        <v>260.32</v>
      </c>
      <c r="AI756" s="2204">
        <v>252.85</v>
      </c>
      <c r="AJ756" s="2204">
        <v>252.85</v>
      </c>
      <c r="AK756" s="2204">
        <v>253.46</v>
      </c>
      <c r="AL756" s="2204">
        <v>253.46</v>
      </c>
      <c r="AM756" s="2204">
        <v>71.92</v>
      </c>
      <c r="AN756" s="2204">
        <v>69.3</v>
      </c>
      <c r="AO756" s="2204">
        <v>69.3</v>
      </c>
      <c r="AP756" s="2204">
        <v>69.180000000000007</v>
      </c>
      <c r="AQ756" s="2204">
        <v>69.650000000000006</v>
      </c>
      <c r="AR756" s="2204">
        <v>69.650000000000006</v>
      </c>
      <c r="AS756" s="2204">
        <v>204.66</v>
      </c>
      <c r="AT756" s="2204">
        <v>204.66</v>
      </c>
      <c r="AU756" s="2204">
        <v>204.66</v>
      </c>
      <c r="AV756" s="2204">
        <v>209.42</v>
      </c>
      <c r="AW756" s="2204">
        <v>204.93</v>
      </c>
      <c r="AX756" s="2204">
        <v>204.93</v>
      </c>
      <c r="AY756" s="2204">
        <v>205.06</v>
      </c>
      <c r="AZ756" s="2204">
        <v>205.06</v>
      </c>
      <c r="BA756" s="2123">
        <v>89.37</v>
      </c>
      <c r="BB756" s="2123">
        <v>89.37</v>
      </c>
      <c r="BC756" s="2123">
        <v>22.27</v>
      </c>
      <c r="BD756" s="2123">
        <v>22.51</v>
      </c>
      <c r="BE756" s="2123">
        <v>25.81</v>
      </c>
      <c r="BF756" s="2123">
        <v>25.81</v>
      </c>
      <c r="BG756" s="2123">
        <v>22.37</v>
      </c>
      <c r="BH756" s="2123">
        <v>22.37</v>
      </c>
      <c r="BI756" s="2123">
        <v>22.2</v>
      </c>
      <c r="BJ756" s="2123">
        <v>22.2</v>
      </c>
      <c r="BK756" s="2123">
        <v>22.2</v>
      </c>
      <c r="BL756" s="2123">
        <v>22.2</v>
      </c>
      <c r="BM756" s="2123">
        <v>52.61</v>
      </c>
      <c r="BN756" s="2123">
        <v>52.61</v>
      </c>
      <c r="BO756" s="2123">
        <v>163.57</v>
      </c>
      <c r="BP756" s="2123">
        <v>163.57</v>
      </c>
      <c r="BQ756" s="2123">
        <v>163.57</v>
      </c>
      <c r="BR756" s="2123">
        <v>163.57</v>
      </c>
      <c r="BS756" s="2123">
        <v>208.69</v>
      </c>
      <c r="BT756" s="2123">
        <v>208.69</v>
      </c>
      <c r="BU756" s="2123">
        <v>208.69</v>
      </c>
      <c r="BV756" s="2123">
        <v>208.69</v>
      </c>
      <c r="BW756" s="2123">
        <v>208.69</v>
      </c>
      <c r="BX756" s="2123">
        <v>208.69</v>
      </c>
      <c r="BY756" s="2123">
        <v>47.66</v>
      </c>
      <c r="BZ756" s="2123">
        <v>47.66</v>
      </c>
      <c r="CA756" s="2123">
        <v>155.96</v>
      </c>
      <c r="CB756" s="2123">
        <v>155.96</v>
      </c>
      <c r="CC756" s="2123">
        <v>158.13999999999999</v>
      </c>
      <c r="CD756" s="2123">
        <v>158.13999999999999</v>
      </c>
      <c r="CE756" s="2123">
        <v>204.77</v>
      </c>
      <c r="CF756" s="2123">
        <v>204.77</v>
      </c>
      <c r="CG756" s="2123"/>
      <c r="CH756" s="2123"/>
      <c r="CI756" s="2123"/>
      <c r="CJ756" s="2123"/>
      <c r="CK756" s="2123">
        <v>118.75</v>
      </c>
      <c r="CL756" s="2123">
        <v>118.75</v>
      </c>
      <c r="CM756" s="2123">
        <v>241.59</v>
      </c>
      <c r="CN756" s="2123">
        <v>241.59</v>
      </c>
      <c r="CO756" s="2123">
        <v>306.73</v>
      </c>
      <c r="CP756" s="2123">
        <v>306.73</v>
      </c>
      <c r="CQ756" s="2123">
        <v>306.73</v>
      </c>
      <c r="CR756" s="2123">
        <v>306.73</v>
      </c>
      <c r="CS756" s="2123"/>
      <c r="CT756" s="2123"/>
      <c r="CU756" s="2123"/>
      <c r="CV756" s="2123"/>
      <c r="CW756" s="2123">
        <v>111.1</v>
      </c>
      <c r="CX756" s="2123">
        <v>111.1</v>
      </c>
      <c r="CY756" s="2123">
        <v>233.98</v>
      </c>
      <c r="CZ756" s="2123">
        <v>233.98</v>
      </c>
      <c r="DA756" s="2123">
        <v>233.98</v>
      </c>
      <c r="DB756" s="2123">
        <v>233.98</v>
      </c>
      <c r="DC756" s="2123">
        <v>297.69</v>
      </c>
      <c r="DD756" s="2123">
        <v>297.69</v>
      </c>
      <c r="DE756" s="2123">
        <v>297.69</v>
      </c>
      <c r="DF756" s="2123">
        <v>297.69</v>
      </c>
      <c r="DG756" s="2123"/>
      <c r="DH756" s="2123"/>
      <c r="DI756" s="2123">
        <v>29.36</v>
      </c>
      <c r="DJ756" s="2123">
        <v>29.36</v>
      </c>
      <c r="DK756" s="2123">
        <v>29.36</v>
      </c>
      <c r="DL756" s="2123">
        <v>29.36</v>
      </c>
      <c r="DM756" s="2123">
        <v>29.36</v>
      </c>
      <c r="DN756" s="2123">
        <v>29.36</v>
      </c>
      <c r="DO756" s="2123"/>
      <c r="DP756" s="2123"/>
      <c r="DQ756" s="2123"/>
      <c r="DR756" s="2123"/>
      <c r="DS756" s="2123"/>
      <c r="DT756" s="2123"/>
      <c r="DU756" s="2123">
        <v>13.09</v>
      </c>
      <c r="DV756" s="2123">
        <v>13.09</v>
      </c>
      <c r="DW756" s="2123">
        <v>12.36</v>
      </c>
      <c r="DX756" s="2123">
        <v>12.36</v>
      </c>
      <c r="DY756" s="2123">
        <v>12.36</v>
      </c>
      <c r="DZ756" s="2123">
        <v>12.36</v>
      </c>
      <c r="EA756" s="2123"/>
      <c r="EB756" s="2123"/>
      <c r="EC756" s="2123"/>
      <c r="ED756" s="2123"/>
      <c r="EE756" s="2123"/>
      <c r="EF756" s="2123"/>
      <c r="EG756" s="2123">
        <v>14</v>
      </c>
      <c r="EH756" s="2123">
        <v>14.19</v>
      </c>
      <c r="EI756" s="2123">
        <v>10.96</v>
      </c>
      <c r="EJ756" s="2123">
        <v>10.96</v>
      </c>
      <c r="EK756" s="2123">
        <v>10.95</v>
      </c>
      <c r="EL756" s="2123">
        <v>10.95</v>
      </c>
      <c r="EM756" s="2123">
        <v>11.6</v>
      </c>
      <c r="EN756" s="2123">
        <v>11.6</v>
      </c>
      <c r="EO756" s="2123">
        <v>10.98</v>
      </c>
      <c r="EP756" s="2123">
        <v>10.98</v>
      </c>
      <c r="EQ756" s="2123">
        <v>11.29</v>
      </c>
      <c r="ER756" s="2123">
        <v>11.21</v>
      </c>
      <c r="ES756" s="2123">
        <v>53.58</v>
      </c>
      <c r="ET756" s="2123">
        <v>53.58</v>
      </c>
      <c r="EU756" s="2123">
        <v>228.17</v>
      </c>
      <c r="EV756" s="2123">
        <v>228.17</v>
      </c>
      <c r="EW756" s="2123">
        <v>223.03</v>
      </c>
      <c r="EX756" s="2123">
        <v>223.03</v>
      </c>
      <c r="EY756" s="2129">
        <f t="shared" si="55"/>
        <v>225.6</v>
      </c>
      <c r="EZ756" s="2129">
        <f t="shared" si="55"/>
        <v>225.6</v>
      </c>
      <c r="FA756" s="2123">
        <v>226.94</v>
      </c>
      <c r="FB756" s="2123">
        <v>226.94</v>
      </c>
      <c r="FC756" s="2123"/>
      <c r="FD756" s="2123"/>
      <c r="FE756" s="2123">
        <v>46.06</v>
      </c>
      <c r="FF756" s="2123">
        <v>46.06</v>
      </c>
      <c r="FG756" s="2123">
        <v>191.96</v>
      </c>
      <c r="FH756" s="2123">
        <v>191.96</v>
      </c>
      <c r="FI756" s="2123">
        <v>191.96</v>
      </c>
      <c r="FJ756" s="2123">
        <v>193.92</v>
      </c>
      <c r="FK756" s="2123">
        <v>191.4</v>
      </c>
      <c r="FL756" s="2123">
        <v>191.4</v>
      </c>
      <c r="FM756" s="2123">
        <v>192.36</v>
      </c>
      <c r="FN756" s="2123">
        <v>192.36</v>
      </c>
      <c r="FO756" s="2123"/>
      <c r="FP756" s="2123"/>
      <c r="FQ756" s="2123">
        <v>104.02</v>
      </c>
      <c r="FR756" s="2123">
        <v>104.02</v>
      </c>
      <c r="FS756" s="2123">
        <v>206.88</v>
      </c>
      <c r="FT756" s="2123">
        <v>206.88</v>
      </c>
      <c r="FU756" s="2123">
        <v>206.88</v>
      </c>
      <c r="FV756" s="2123">
        <v>206.88</v>
      </c>
      <c r="FW756" s="2123">
        <v>207.46</v>
      </c>
      <c r="FX756" s="2123">
        <v>207.46</v>
      </c>
      <c r="FY756" s="2123"/>
      <c r="FZ756" s="2123"/>
      <c r="GA756" s="2123"/>
      <c r="GB756" s="2123"/>
      <c r="GC756" s="2123">
        <v>73.55</v>
      </c>
      <c r="GD756" s="2123">
        <v>73.55</v>
      </c>
      <c r="GE756" s="2123">
        <v>166.1</v>
      </c>
      <c r="GF756" s="2123">
        <v>166.1</v>
      </c>
      <c r="GG756" s="2123">
        <v>166.1</v>
      </c>
      <c r="GH756" s="2123">
        <v>166.1</v>
      </c>
      <c r="GI756" s="2123">
        <v>172.7</v>
      </c>
      <c r="GJ756" s="2123">
        <v>172.7</v>
      </c>
      <c r="GK756" s="2123">
        <v>200.81</v>
      </c>
      <c r="GL756" s="2123">
        <v>200.81</v>
      </c>
      <c r="GM756" s="2123"/>
      <c r="GN756" s="2123"/>
      <c r="GO756" s="2123">
        <v>39.380000000000003</v>
      </c>
      <c r="GP756" s="2123">
        <v>39.380000000000003</v>
      </c>
      <c r="GQ756" s="2123">
        <v>33.58</v>
      </c>
      <c r="GR756" s="2123">
        <v>33.58</v>
      </c>
      <c r="GS756" s="2123">
        <v>33.58</v>
      </c>
      <c r="GT756" s="2123">
        <v>32.35</v>
      </c>
      <c r="GU756" s="2123">
        <v>32.35</v>
      </c>
      <c r="GV756" s="2123">
        <v>32.69</v>
      </c>
      <c r="GW756" s="2123">
        <v>191.17</v>
      </c>
      <c r="GX756" s="2123">
        <v>191.17</v>
      </c>
      <c r="GY756" s="2123"/>
      <c r="GZ756" s="2123"/>
      <c r="HA756" s="2123">
        <v>27.51</v>
      </c>
      <c r="HB756" s="2123">
        <v>27.51</v>
      </c>
      <c r="HC756" s="2123">
        <v>20.399999999999999</v>
      </c>
      <c r="HD756" s="2123">
        <v>20.399999999999999</v>
      </c>
      <c r="HE756" s="2123">
        <v>21.17</v>
      </c>
      <c r="HF756" s="2123">
        <v>21.17</v>
      </c>
      <c r="HG756" s="2123">
        <v>21.17</v>
      </c>
      <c r="HH756" s="2123">
        <v>21.17</v>
      </c>
      <c r="HI756" s="2123">
        <v>21.17</v>
      </c>
      <c r="HJ756" s="2123">
        <v>21.17</v>
      </c>
      <c r="HK756" s="2123">
        <v>21.26</v>
      </c>
      <c r="HL756" s="2123">
        <v>21.51</v>
      </c>
      <c r="HM756" s="2123">
        <v>38.53</v>
      </c>
      <c r="HN756" s="2123">
        <v>38.53</v>
      </c>
      <c r="HO756" s="2123">
        <v>28.93</v>
      </c>
      <c r="HP756" s="2123">
        <v>28.93</v>
      </c>
      <c r="HQ756" s="2123">
        <v>30.02</v>
      </c>
      <c r="HR756" s="2123">
        <v>30.02</v>
      </c>
      <c r="HS756" s="2123">
        <v>30.02</v>
      </c>
      <c r="HT756" s="2123">
        <v>30.02</v>
      </c>
      <c r="HU756" s="2123">
        <v>30.02</v>
      </c>
      <c r="HV756" s="2123">
        <v>30.02</v>
      </c>
      <c r="HW756" s="2123">
        <v>30.09</v>
      </c>
      <c r="HX756" s="2123">
        <v>30.09</v>
      </c>
    </row>
    <row r="757" spans="2:232" s="2040" customFormat="1" ht="14" hidden="1" x14ac:dyDescent="0.3">
      <c r="B757" s="2203">
        <v>63</v>
      </c>
      <c r="C757" s="2204">
        <v>43.66</v>
      </c>
      <c r="D757" s="2204">
        <v>43.66</v>
      </c>
      <c r="E757" s="2204">
        <v>43.86</v>
      </c>
      <c r="F757" s="2204">
        <v>43.86</v>
      </c>
      <c r="G757" s="2204">
        <v>167.38</v>
      </c>
      <c r="H757" s="2204">
        <v>167.38</v>
      </c>
      <c r="I757" s="2204">
        <v>157.82</v>
      </c>
      <c r="J757" s="2204">
        <v>157.82</v>
      </c>
      <c r="K757" s="2204">
        <v>163.98</v>
      </c>
      <c r="L757" s="2204">
        <v>163.98</v>
      </c>
      <c r="M757" s="2204"/>
      <c r="N757" s="2204"/>
      <c r="O757" s="2204">
        <v>136.84</v>
      </c>
      <c r="P757" s="2204">
        <v>136.84</v>
      </c>
      <c r="Q757" s="2204">
        <v>136.57</v>
      </c>
      <c r="R757" s="2204">
        <v>136.85</v>
      </c>
      <c r="S757" s="2204">
        <v>247.66000000000003</v>
      </c>
      <c r="T757" s="2204">
        <v>247.15</v>
      </c>
      <c r="U757" s="2204">
        <v>238.56</v>
      </c>
      <c r="V757" s="2204">
        <v>238.56</v>
      </c>
      <c r="W757" s="2204">
        <v>247.15</v>
      </c>
      <c r="X757" s="2204">
        <v>247.15</v>
      </c>
      <c r="Y757" s="2204">
        <v>238.56</v>
      </c>
      <c r="Z757" s="2204">
        <v>247.15</v>
      </c>
      <c r="AA757" s="2204">
        <v>247.15</v>
      </c>
      <c r="AB757" s="2204">
        <v>247.15</v>
      </c>
      <c r="AC757" s="2204">
        <v>238.56</v>
      </c>
      <c r="AD757" s="2204">
        <v>238.56</v>
      </c>
      <c r="AE757" s="2204">
        <v>261.85000000000002</v>
      </c>
      <c r="AF757" s="2204">
        <v>254.34</v>
      </c>
      <c r="AG757" s="2204">
        <v>261.85000000000002</v>
      </c>
      <c r="AH757" s="2204">
        <v>261.85000000000002</v>
      </c>
      <c r="AI757" s="2204">
        <v>254.34</v>
      </c>
      <c r="AJ757" s="2204">
        <v>254.34</v>
      </c>
      <c r="AK757" s="2204">
        <v>254.93</v>
      </c>
      <c r="AL757" s="2204">
        <v>254.93</v>
      </c>
      <c r="AM757" s="2204">
        <v>72.27</v>
      </c>
      <c r="AN757" s="2204">
        <v>69.64</v>
      </c>
      <c r="AO757" s="2204">
        <v>69.64</v>
      </c>
      <c r="AP757" s="2204">
        <v>69.459999999999994</v>
      </c>
      <c r="AQ757" s="2204">
        <v>69.91</v>
      </c>
      <c r="AR757" s="2204">
        <v>69.91</v>
      </c>
      <c r="AS757" s="2204">
        <v>205.69</v>
      </c>
      <c r="AT757" s="2204">
        <v>205.69</v>
      </c>
      <c r="AU757" s="2204">
        <v>205.69</v>
      </c>
      <c r="AV757" s="2204">
        <v>210.46</v>
      </c>
      <c r="AW757" s="2204">
        <v>205.96</v>
      </c>
      <c r="AX757" s="2204">
        <v>205.96</v>
      </c>
      <c r="AY757" s="2204">
        <v>206.09</v>
      </c>
      <c r="AZ757" s="2204">
        <v>206.09</v>
      </c>
      <c r="BA757" s="2123">
        <v>89.84</v>
      </c>
      <c r="BB757" s="2123">
        <v>89.84</v>
      </c>
      <c r="BC757" s="2123">
        <v>22.43</v>
      </c>
      <c r="BD757" s="2123">
        <v>22.67</v>
      </c>
      <c r="BE757" s="2123">
        <v>25.92</v>
      </c>
      <c r="BF757" s="2123">
        <v>25.92</v>
      </c>
      <c r="BG757" s="2123">
        <v>22.51</v>
      </c>
      <c r="BH757" s="2123">
        <v>22.51</v>
      </c>
      <c r="BI757" s="2123">
        <v>22.34</v>
      </c>
      <c r="BJ757" s="2123">
        <v>22.34</v>
      </c>
      <c r="BK757" s="2123">
        <v>22.34</v>
      </c>
      <c r="BL757" s="2123">
        <v>22.34</v>
      </c>
      <c r="BM757" s="2123">
        <v>52.87</v>
      </c>
      <c r="BN757" s="2123">
        <v>52.87</v>
      </c>
      <c r="BO757" s="2123">
        <v>164.49</v>
      </c>
      <c r="BP757" s="2123">
        <v>164.49</v>
      </c>
      <c r="BQ757" s="2123">
        <v>164.49</v>
      </c>
      <c r="BR757" s="2123">
        <v>164.49</v>
      </c>
      <c r="BS757" s="2123">
        <v>210.09</v>
      </c>
      <c r="BT757" s="2123">
        <v>210.09</v>
      </c>
      <c r="BU757" s="2123">
        <v>210.09</v>
      </c>
      <c r="BV757" s="2123">
        <v>210.09</v>
      </c>
      <c r="BW757" s="2123">
        <v>210.09</v>
      </c>
      <c r="BX757" s="2123">
        <v>210.09</v>
      </c>
      <c r="BY757" s="2123">
        <v>47.9</v>
      </c>
      <c r="BZ757" s="2123">
        <v>47.9</v>
      </c>
      <c r="CA757" s="2123">
        <v>156.9</v>
      </c>
      <c r="CB757" s="2123">
        <v>156.9</v>
      </c>
      <c r="CC757" s="2123">
        <v>159.1</v>
      </c>
      <c r="CD757" s="2123">
        <v>159.1</v>
      </c>
      <c r="CE757" s="2123">
        <v>206.24</v>
      </c>
      <c r="CF757" s="2123">
        <v>206.24</v>
      </c>
      <c r="CG757" s="2123"/>
      <c r="CH757" s="2123"/>
      <c r="CI757" s="2123"/>
      <c r="CJ757" s="2123"/>
      <c r="CK757" s="2123">
        <v>119.24</v>
      </c>
      <c r="CL757" s="2123">
        <v>119.24</v>
      </c>
      <c r="CM757" s="2123">
        <v>242.55</v>
      </c>
      <c r="CN757" s="2123">
        <v>242.55</v>
      </c>
      <c r="CO757" s="2123">
        <v>308.27999999999997</v>
      </c>
      <c r="CP757" s="2123">
        <v>308.27999999999997</v>
      </c>
      <c r="CQ757" s="2123">
        <v>308.27999999999997</v>
      </c>
      <c r="CR757" s="2123">
        <v>308.27999999999997</v>
      </c>
      <c r="CS757" s="2123"/>
      <c r="CT757" s="2123"/>
      <c r="CU757" s="2123"/>
      <c r="CV757" s="2123"/>
      <c r="CW757" s="2123">
        <v>111.55</v>
      </c>
      <c r="CX757" s="2123">
        <v>111.55</v>
      </c>
      <c r="CY757" s="2123">
        <v>234.8</v>
      </c>
      <c r="CZ757" s="2123">
        <v>234.8</v>
      </c>
      <c r="DA757" s="2123">
        <v>234.8</v>
      </c>
      <c r="DB757" s="2123">
        <v>234.8</v>
      </c>
      <c r="DC757" s="2123">
        <v>298.99</v>
      </c>
      <c r="DD757" s="2123">
        <v>298.99</v>
      </c>
      <c r="DE757" s="2123">
        <v>298.99</v>
      </c>
      <c r="DF757" s="2123">
        <v>298.99</v>
      </c>
      <c r="DG757" s="2123"/>
      <c r="DH757" s="2123"/>
      <c r="DI757" s="2123">
        <v>29.49</v>
      </c>
      <c r="DJ757" s="2123">
        <v>29.49</v>
      </c>
      <c r="DK757" s="2123">
        <v>29.49</v>
      </c>
      <c r="DL757" s="2123">
        <v>29.49</v>
      </c>
      <c r="DM757" s="2123">
        <v>29.49</v>
      </c>
      <c r="DN757" s="2123">
        <v>29.49</v>
      </c>
      <c r="DO757" s="2123"/>
      <c r="DP757" s="2123"/>
      <c r="DQ757" s="2123"/>
      <c r="DR757" s="2123"/>
      <c r="DS757" s="2123"/>
      <c r="DT757" s="2123"/>
      <c r="DU757" s="2123">
        <v>13.15</v>
      </c>
      <c r="DV757" s="2123">
        <v>13.15</v>
      </c>
      <c r="DW757" s="2123">
        <v>12.41</v>
      </c>
      <c r="DX757" s="2123">
        <v>12.41</v>
      </c>
      <c r="DY757" s="2123">
        <v>12.41</v>
      </c>
      <c r="DZ757" s="2123">
        <v>12.41</v>
      </c>
      <c r="EA757" s="2123"/>
      <c r="EB757" s="2123"/>
      <c r="EC757" s="2123"/>
      <c r="ED757" s="2123"/>
      <c r="EE757" s="2123"/>
      <c r="EF757" s="2123"/>
      <c r="EG757" s="2123">
        <v>14.07</v>
      </c>
      <c r="EH757" s="2123">
        <v>14.26</v>
      </c>
      <c r="EI757" s="2123">
        <v>11.05</v>
      </c>
      <c r="EJ757" s="2123">
        <v>11.05</v>
      </c>
      <c r="EK757" s="2123">
        <v>11.03</v>
      </c>
      <c r="EL757" s="2123">
        <v>11.03</v>
      </c>
      <c r="EM757" s="2123">
        <v>11.69</v>
      </c>
      <c r="EN757" s="2123">
        <v>11.69</v>
      </c>
      <c r="EO757" s="2123">
        <v>11.06</v>
      </c>
      <c r="EP757" s="2123">
        <v>11.06</v>
      </c>
      <c r="EQ757" s="2123">
        <v>11.38</v>
      </c>
      <c r="ER757" s="2123">
        <v>11.29</v>
      </c>
      <c r="ES757" s="2123">
        <v>53.84</v>
      </c>
      <c r="ET757" s="2123">
        <v>53.84</v>
      </c>
      <c r="EU757" s="2123">
        <v>229.71</v>
      </c>
      <c r="EV757" s="2123">
        <v>229.71</v>
      </c>
      <c r="EW757" s="2123">
        <v>224.55</v>
      </c>
      <c r="EX757" s="2123">
        <v>224.55</v>
      </c>
      <c r="EY757" s="2129">
        <f t="shared" si="55"/>
        <v>227.13</v>
      </c>
      <c r="EZ757" s="2129">
        <f t="shared" si="55"/>
        <v>227.13</v>
      </c>
      <c r="FA757" s="2123">
        <v>228.41</v>
      </c>
      <c r="FB757" s="2123">
        <v>228.41</v>
      </c>
      <c r="FC757" s="2123"/>
      <c r="FD757" s="2123"/>
      <c r="FE757" s="2123">
        <v>46.28</v>
      </c>
      <c r="FF757" s="2123">
        <v>46.28</v>
      </c>
      <c r="FG757" s="2123">
        <v>193.28</v>
      </c>
      <c r="FH757" s="2123">
        <v>193.28</v>
      </c>
      <c r="FI757" s="2123">
        <v>193.28</v>
      </c>
      <c r="FJ757" s="2123">
        <v>195.19</v>
      </c>
      <c r="FK757" s="2123">
        <v>192.72</v>
      </c>
      <c r="FL757" s="2123">
        <v>192.72</v>
      </c>
      <c r="FM757" s="2123">
        <v>193.66</v>
      </c>
      <c r="FN757" s="2123">
        <v>193.66</v>
      </c>
      <c r="FO757" s="2123"/>
      <c r="FP757" s="2123"/>
      <c r="FQ757" s="2123">
        <v>104.52</v>
      </c>
      <c r="FR757" s="2123">
        <v>104.52</v>
      </c>
      <c r="FS757" s="2123">
        <v>208.04</v>
      </c>
      <c r="FT757" s="2123">
        <v>208.04</v>
      </c>
      <c r="FU757" s="2123">
        <v>208.04</v>
      </c>
      <c r="FV757" s="2123">
        <v>208.04</v>
      </c>
      <c r="FW757" s="2123">
        <v>208.61</v>
      </c>
      <c r="FX757" s="2123">
        <v>208.61</v>
      </c>
      <c r="FY757" s="2123"/>
      <c r="FZ757" s="2123"/>
      <c r="GA757" s="2123"/>
      <c r="GB757" s="2123"/>
      <c r="GC757" s="2123">
        <v>73.900000000000006</v>
      </c>
      <c r="GD757" s="2123">
        <v>73.900000000000006</v>
      </c>
      <c r="GE757" s="2123">
        <v>166.82</v>
      </c>
      <c r="GF757" s="2123">
        <v>166.82</v>
      </c>
      <c r="GG757" s="2123">
        <v>166.82</v>
      </c>
      <c r="GH757" s="2123">
        <v>166.82</v>
      </c>
      <c r="GI757" s="2123">
        <v>174.23</v>
      </c>
      <c r="GJ757" s="2123">
        <v>174.23</v>
      </c>
      <c r="GK757" s="2123">
        <v>202.1</v>
      </c>
      <c r="GL757" s="2123">
        <v>202.1</v>
      </c>
      <c r="GM757" s="2123"/>
      <c r="GN757" s="2123"/>
      <c r="GO757" s="2123">
        <v>39.57</v>
      </c>
      <c r="GP757" s="2123">
        <v>39.57</v>
      </c>
      <c r="GQ757" s="2123">
        <v>33.79</v>
      </c>
      <c r="GR757" s="2123">
        <v>33.79</v>
      </c>
      <c r="GS757" s="2123">
        <v>33.79</v>
      </c>
      <c r="GT757" s="2123">
        <v>32.56</v>
      </c>
      <c r="GU757" s="2123">
        <v>32.56</v>
      </c>
      <c r="GV757" s="2123">
        <v>32.89</v>
      </c>
      <c r="GW757" s="2123">
        <v>192.36</v>
      </c>
      <c r="GX757" s="2123">
        <v>192.36</v>
      </c>
      <c r="GY757" s="2123"/>
      <c r="GZ757" s="2123"/>
      <c r="HA757" s="2123">
        <v>27.62</v>
      </c>
      <c r="HB757" s="2123">
        <v>27.62</v>
      </c>
      <c r="HC757" s="2123">
        <v>20.55</v>
      </c>
      <c r="HD757" s="2123">
        <v>20.55</v>
      </c>
      <c r="HE757" s="2123">
        <v>21.37</v>
      </c>
      <c r="HF757" s="2123">
        <v>21.37</v>
      </c>
      <c r="HG757" s="2123">
        <v>21.37</v>
      </c>
      <c r="HH757" s="2123">
        <v>21.37</v>
      </c>
      <c r="HI757" s="2123">
        <v>21.37</v>
      </c>
      <c r="HJ757" s="2123">
        <v>21.37</v>
      </c>
      <c r="HK757" s="2123">
        <v>21.41</v>
      </c>
      <c r="HL757" s="2123">
        <v>21.65</v>
      </c>
      <c r="HM757" s="2123">
        <v>38.68</v>
      </c>
      <c r="HN757" s="2123">
        <v>38.68</v>
      </c>
      <c r="HO757" s="2123">
        <v>29.13</v>
      </c>
      <c r="HP757" s="2123">
        <v>29.13</v>
      </c>
      <c r="HQ757" s="2123">
        <v>30.25</v>
      </c>
      <c r="HR757" s="2123">
        <v>30.25</v>
      </c>
      <c r="HS757" s="2123">
        <v>30.25</v>
      </c>
      <c r="HT757" s="2123">
        <v>30.25</v>
      </c>
      <c r="HU757" s="2123">
        <v>30.25</v>
      </c>
      <c r="HV757" s="2123">
        <v>30.25</v>
      </c>
      <c r="HW757" s="2123">
        <v>30.28</v>
      </c>
      <c r="HX757" s="2123">
        <v>30.28</v>
      </c>
    </row>
    <row r="758" spans="2:232" s="2040" customFormat="1" ht="14" hidden="1" x14ac:dyDescent="0.3">
      <c r="B758" s="2203">
        <v>64</v>
      </c>
      <c r="C758" s="2204">
        <v>43.86</v>
      </c>
      <c r="D758" s="2204">
        <v>43.86</v>
      </c>
      <c r="E758" s="2204">
        <v>44.05</v>
      </c>
      <c r="F758" s="2204">
        <v>44.05</v>
      </c>
      <c r="G758" s="2204">
        <v>168.27</v>
      </c>
      <c r="H758" s="2204">
        <v>168.27</v>
      </c>
      <c r="I758" s="2204">
        <v>158.77000000000001</v>
      </c>
      <c r="J758" s="2204">
        <v>158.77000000000001</v>
      </c>
      <c r="K758" s="2204">
        <v>164.81</v>
      </c>
      <c r="L758" s="2204">
        <v>164.81</v>
      </c>
      <c r="M758" s="2204"/>
      <c r="N758" s="2204"/>
      <c r="O758" s="2204">
        <v>137.46</v>
      </c>
      <c r="P758" s="2204">
        <v>137.46</v>
      </c>
      <c r="Q758" s="2204">
        <v>137.18</v>
      </c>
      <c r="R758" s="2204">
        <v>137.47</v>
      </c>
      <c r="S758" s="2204">
        <v>249.26000000000002</v>
      </c>
      <c r="T758" s="2204">
        <v>248.79</v>
      </c>
      <c r="U758" s="2204">
        <v>240.15</v>
      </c>
      <c r="V758" s="2204">
        <v>240.15</v>
      </c>
      <c r="W758" s="2204">
        <v>248.79</v>
      </c>
      <c r="X758" s="2204">
        <v>248.79</v>
      </c>
      <c r="Y758" s="2204">
        <v>240.15</v>
      </c>
      <c r="Z758" s="2204">
        <v>248.79</v>
      </c>
      <c r="AA758" s="2204">
        <v>248.79</v>
      </c>
      <c r="AB758" s="2204">
        <v>248.79</v>
      </c>
      <c r="AC758" s="2204">
        <v>240.15</v>
      </c>
      <c r="AD758" s="2204">
        <v>240.15</v>
      </c>
      <c r="AE758" s="2204">
        <v>263.35000000000002</v>
      </c>
      <c r="AF758" s="2204">
        <v>255.79</v>
      </c>
      <c r="AG758" s="2204">
        <v>263.35000000000002</v>
      </c>
      <c r="AH758" s="2204">
        <v>263.35000000000002</v>
      </c>
      <c r="AI758" s="2204">
        <v>255.79</v>
      </c>
      <c r="AJ758" s="2204">
        <v>255.79</v>
      </c>
      <c r="AK758" s="2204">
        <v>256.36</v>
      </c>
      <c r="AL758" s="2204">
        <v>256.36</v>
      </c>
      <c r="AM758" s="2204">
        <v>72.599999999999994</v>
      </c>
      <c r="AN758" s="2204">
        <v>69.959999999999994</v>
      </c>
      <c r="AO758" s="2204">
        <v>69.959999999999994</v>
      </c>
      <c r="AP758" s="2204">
        <v>69.790000000000006</v>
      </c>
      <c r="AQ758" s="2204">
        <v>70.23</v>
      </c>
      <c r="AR758" s="2204">
        <v>70.23</v>
      </c>
      <c r="AS758" s="2204">
        <v>206.93</v>
      </c>
      <c r="AT758" s="2204">
        <v>206.93</v>
      </c>
      <c r="AU758" s="2204">
        <v>206.93</v>
      </c>
      <c r="AV758" s="2204">
        <v>211.72</v>
      </c>
      <c r="AW758" s="2204">
        <v>207.2</v>
      </c>
      <c r="AX758" s="2204">
        <v>207.2</v>
      </c>
      <c r="AY758" s="2204">
        <v>207.33</v>
      </c>
      <c r="AZ758" s="2204">
        <v>207.33</v>
      </c>
      <c r="BA758" s="2123">
        <v>90.22</v>
      </c>
      <c r="BB758" s="2123">
        <v>90.22</v>
      </c>
      <c r="BC758" s="2123">
        <v>22.59</v>
      </c>
      <c r="BD758" s="2123">
        <v>22.83</v>
      </c>
      <c r="BE758" s="2123">
        <v>26</v>
      </c>
      <c r="BF758" s="2123">
        <v>26</v>
      </c>
      <c r="BG758" s="2123">
        <v>22.62</v>
      </c>
      <c r="BH758" s="2123">
        <v>22.62</v>
      </c>
      <c r="BI758" s="2123">
        <v>22.45</v>
      </c>
      <c r="BJ758" s="2123">
        <v>22.45</v>
      </c>
      <c r="BK758" s="2123">
        <v>22.45</v>
      </c>
      <c r="BL758" s="2123">
        <v>22.45</v>
      </c>
      <c r="BM758" s="2123">
        <v>53.09</v>
      </c>
      <c r="BN758" s="2123">
        <v>53.09</v>
      </c>
      <c r="BO758" s="2123">
        <v>165.3</v>
      </c>
      <c r="BP758" s="2123">
        <v>165.3</v>
      </c>
      <c r="BQ758" s="2123">
        <v>165.3</v>
      </c>
      <c r="BR758" s="2123">
        <v>165.3</v>
      </c>
      <c r="BS758" s="2123">
        <v>211.33</v>
      </c>
      <c r="BT758" s="2123">
        <v>211.33</v>
      </c>
      <c r="BU758" s="2123">
        <v>211.33</v>
      </c>
      <c r="BV758" s="2123">
        <v>211.33</v>
      </c>
      <c r="BW758" s="2123">
        <v>211.33</v>
      </c>
      <c r="BX758" s="2123">
        <v>211.33</v>
      </c>
      <c r="BY758" s="2123">
        <v>48.12</v>
      </c>
      <c r="BZ758" s="2123">
        <v>48.12</v>
      </c>
      <c r="CA758" s="2123">
        <v>157.72999999999999</v>
      </c>
      <c r="CB758" s="2123">
        <v>157.72999999999999</v>
      </c>
      <c r="CC758" s="2123">
        <v>159.96</v>
      </c>
      <c r="CD758" s="2123">
        <v>159.96</v>
      </c>
      <c r="CE758" s="2123">
        <v>207.55</v>
      </c>
      <c r="CF758" s="2123">
        <v>207.55</v>
      </c>
      <c r="CG758" s="2123"/>
      <c r="CH758" s="2123"/>
      <c r="CI758" s="2123"/>
      <c r="CJ758" s="2123"/>
      <c r="CK758" s="2123">
        <v>119.71</v>
      </c>
      <c r="CL758" s="2123">
        <v>119.71</v>
      </c>
      <c r="CM758" s="2123">
        <v>243.42</v>
      </c>
      <c r="CN758" s="2123">
        <v>243.42</v>
      </c>
      <c r="CO758" s="2123">
        <v>309.69</v>
      </c>
      <c r="CP758" s="2123">
        <v>309.69</v>
      </c>
      <c r="CQ758" s="2123">
        <v>309.69</v>
      </c>
      <c r="CR758" s="2123">
        <v>309.69</v>
      </c>
      <c r="CS758" s="2123"/>
      <c r="CT758" s="2123"/>
      <c r="CU758" s="2123"/>
      <c r="CV758" s="2123"/>
      <c r="CW758" s="2123">
        <v>111.99</v>
      </c>
      <c r="CX758" s="2123">
        <v>111.99</v>
      </c>
      <c r="CY758" s="2123">
        <v>235.6</v>
      </c>
      <c r="CZ758" s="2123">
        <v>235.6</v>
      </c>
      <c r="DA758" s="2123">
        <v>235.6</v>
      </c>
      <c r="DB758" s="2123">
        <v>235.6</v>
      </c>
      <c r="DC758" s="2123">
        <v>300.27</v>
      </c>
      <c r="DD758" s="2123">
        <v>300.27</v>
      </c>
      <c r="DE758" s="2123">
        <v>300.27</v>
      </c>
      <c r="DF758" s="2123">
        <v>300.27</v>
      </c>
      <c r="DG758" s="2123"/>
      <c r="DH758" s="2123"/>
      <c r="DI758" s="2123">
        <v>29.64</v>
      </c>
      <c r="DJ758" s="2123">
        <v>29.64</v>
      </c>
      <c r="DK758" s="2123">
        <v>29.64</v>
      </c>
      <c r="DL758" s="2123">
        <v>29.64</v>
      </c>
      <c r="DM758" s="2123">
        <v>29.64</v>
      </c>
      <c r="DN758" s="2123">
        <v>29.64</v>
      </c>
      <c r="DO758" s="2123"/>
      <c r="DP758" s="2123"/>
      <c r="DQ758" s="2123"/>
      <c r="DR758" s="2123"/>
      <c r="DS758" s="2123"/>
      <c r="DT758" s="2123"/>
      <c r="DU758" s="2123">
        <v>13.2</v>
      </c>
      <c r="DV758" s="2123">
        <v>13.2</v>
      </c>
      <c r="DW758" s="2123">
        <v>12.52</v>
      </c>
      <c r="DX758" s="2123">
        <v>12.52</v>
      </c>
      <c r="DY758" s="2123">
        <v>12.52</v>
      </c>
      <c r="DZ758" s="2123">
        <v>12.52</v>
      </c>
      <c r="EA758" s="2123"/>
      <c r="EB758" s="2123"/>
      <c r="EC758" s="2123"/>
      <c r="ED758" s="2123"/>
      <c r="EE758" s="2123"/>
      <c r="EF758" s="2123"/>
      <c r="EG758" s="2123">
        <v>14.13</v>
      </c>
      <c r="EH758" s="2123">
        <v>14.32</v>
      </c>
      <c r="EI758" s="2123">
        <v>11.13</v>
      </c>
      <c r="EJ758" s="2123">
        <v>11.13</v>
      </c>
      <c r="EK758" s="2123">
        <v>11.12</v>
      </c>
      <c r="EL758" s="2123">
        <v>11.12</v>
      </c>
      <c r="EM758" s="2123">
        <v>11.77</v>
      </c>
      <c r="EN758" s="2123">
        <v>11.77</v>
      </c>
      <c r="EO758" s="2123">
        <v>11.14</v>
      </c>
      <c r="EP758" s="2123">
        <v>11.14</v>
      </c>
      <c r="EQ758" s="2123">
        <v>11.46</v>
      </c>
      <c r="ER758" s="2123">
        <v>11.37</v>
      </c>
      <c r="ES758" s="2123">
        <v>54.09</v>
      </c>
      <c r="ET758" s="2123">
        <v>54.09</v>
      </c>
      <c r="EU758" s="2123">
        <v>231.21</v>
      </c>
      <c r="EV758" s="2123">
        <v>231.21</v>
      </c>
      <c r="EW758" s="2123">
        <v>226.03</v>
      </c>
      <c r="EX758" s="2123">
        <v>226.03</v>
      </c>
      <c r="EY758" s="2129">
        <f t="shared" si="55"/>
        <v>228.62</v>
      </c>
      <c r="EZ758" s="2129">
        <f t="shared" si="55"/>
        <v>228.62</v>
      </c>
      <c r="FA758" s="2123">
        <v>229.84</v>
      </c>
      <c r="FB758" s="2123">
        <v>229.84</v>
      </c>
      <c r="FC758" s="2123"/>
      <c r="FD758" s="2123"/>
      <c r="FE758" s="2123">
        <v>46.5</v>
      </c>
      <c r="FF758" s="2123">
        <v>46.5</v>
      </c>
      <c r="FG758" s="2123">
        <v>194.56</v>
      </c>
      <c r="FH758" s="2123">
        <v>194.56</v>
      </c>
      <c r="FI758" s="2123">
        <v>194.56</v>
      </c>
      <c r="FJ758" s="2123">
        <v>196.43</v>
      </c>
      <c r="FK758" s="2123">
        <v>194.02</v>
      </c>
      <c r="FL758" s="2123">
        <v>194.02</v>
      </c>
      <c r="FM758" s="2123">
        <v>194.94</v>
      </c>
      <c r="FN758" s="2123">
        <v>194.94</v>
      </c>
      <c r="FO758" s="2123"/>
      <c r="FP758" s="2123"/>
      <c r="FQ758" s="2123">
        <v>105.01</v>
      </c>
      <c r="FR758" s="2123">
        <v>105.01</v>
      </c>
      <c r="FS758" s="2123">
        <v>209.17</v>
      </c>
      <c r="FT758" s="2123">
        <v>209.17</v>
      </c>
      <c r="FU758" s="2123">
        <v>209.17</v>
      </c>
      <c r="FV758" s="2123">
        <v>209.17</v>
      </c>
      <c r="FW758" s="2123">
        <v>209.73</v>
      </c>
      <c r="FX758" s="2123">
        <v>209.73</v>
      </c>
      <c r="FY758" s="2123"/>
      <c r="FZ758" s="2123"/>
      <c r="GA758" s="2123"/>
      <c r="GB758" s="2123"/>
      <c r="GC758" s="2123">
        <v>74.239999999999995</v>
      </c>
      <c r="GD758" s="2123">
        <v>74.239999999999995</v>
      </c>
      <c r="GE758" s="2123">
        <v>167.53</v>
      </c>
      <c r="GF758" s="2123">
        <v>167.53</v>
      </c>
      <c r="GG758" s="2123">
        <v>167.53</v>
      </c>
      <c r="GH758" s="2123">
        <v>167.53</v>
      </c>
      <c r="GI758" s="2123">
        <v>175.73</v>
      </c>
      <c r="GJ758" s="2123">
        <v>175.73</v>
      </c>
      <c r="GK758" s="2123">
        <v>203.36</v>
      </c>
      <c r="GL758" s="2123">
        <v>203.36</v>
      </c>
      <c r="GM758" s="2123"/>
      <c r="GN758" s="2123"/>
      <c r="GO758" s="2123">
        <v>39.75</v>
      </c>
      <c r="GP758" s="2123">
        <v>39.75</v>
      </c>
      <c r="GQ758" s="2123">
        <v>33.99</v>
      </c>
      <c r="GR758" s="2123">
        <v>33.99</v>
      </c>
      <c r="GS758" s="2123">
        <v>33.99</v>
      </c>
      <c r="GT758" s="2123">
        <v>32.75</v>
      </c>
      <c r="GU758" s="2123">
        <v>32.75</v>
      </c>
      <c r="GV758" s="2123">
        <v>33.07</v>
      </c>
      <c r="GW758" s="2123">
        <v>193.43</v>
      </c>
      <c r="GX758" s="2123">
        <v>193.43</v>
      </c>
      <c r="GY758" s="2123"/>
      <c r="GZ758" s="2123"/>
      <c r="HA758" s="2123">
        <v>27.78</v>
      </c>
      <c r="HB758" s="2123">
        <v>27.78</v>
      </c>
      <c r="HC758" s="2123">
        <v>20.77</v>
      </c>
      <c r="HD758" s="2123">
        <v>20.77</v>
      </c>
      <c r="HE758" s="2123">
        <v>21.47</v>
      </c>
      <c r="HF758" s="2123">
        <v>21.47</v>
      </c>
      <c r="HG758" s="2123">
        <v>21.47</v>
      </c>
      <c r="HH758" s="2123">
        <v>21.47</v>
      </c>
      <c r="HI758" s="2123">
        <v>21.47</v>
      </c>
      <c r="HJ758" s="2123">
        <v>21.47</v>
      </c>
      <c r="HK758" s="2123">
        <v>21.61</v>
      </c>
      <c r="HL758" s="2123">
        <v>21.85</v>
      </c>
      <c r="HM758" s="2123">
        <v>38.86</v>
      </c>
      <c r="HN758" s="2123">
        <v>38.86</v>
      </c>
      <c r="HO758" s="2123">
        <v>29.36</v>
      </c>
      <c r="HP758" s="2123">
        <v>29.36</v>
      </c>
      <c r="HQ758" s="2123">
        <v>30.45</v>
      </c>
      <c r="HR758" s="2123">
        <v>30.45</v>
      </c>
      <c r="HS758" s="2123">
        <v>30.45</v>
      </c>
      <c r="HT758" s="2123">
        <v>30.45</v>
      </c>
      <c r="HU758" s="2123">
        <v>30.45</v>
      </c>
      <c r="HV758" s="2123">
        <v>30.45</v>
      </c>
      <c r="HW758" s="2123">
        <v>30.51</v>
      </c>
      <c r="HX758" s="2123">
        <v>30.51</v>
      </c>
    </row>
    <row r="759" spans="2:232" s="2040" customFormat="1" ht="14" hidden="1" x14ac:dyDescent="0.3">
      <c r="B759" s="2203">
        <v>65</v>
      </c>
      <c r="C759" s="2204">
        <v>44.04</v>
      </c>
      <c r="D759" s="2204">
        <v>44.04</v>
      </c>
      <c r="E759" s="2204">
        <v>44.23</v>
      </c>
      <c r="F759" s="2204">
        <v>44.23</v>
      </c>
      <c r="G759" s="2204">
        <v>169.18</v>
      </c>
      <c r="H759" s="2204">
        <v>169.18</v>
      </c>
      <c r="I759" s="2204">
        <v>159.66</v>
      </c>
      <c r="J759" s="2204">
        <v>159.66</v>
      </c>
      <c r="K759" s="2204">
        <v>165.59</v>
      </c>
      <c r="L759" s="2204">
        <v>165.59</v>
      </c>
      <c r="M759" s="2204"/>
      <c r="N759" s="2204"/>
      <c r="O759" s="2204">
        <v>138.06</v>
      </c>
      <c r="P759" s="2204">
        <v>138.06</v>
      </c>
      <c r="Q759" s="2204">
        <v>137.76</v>
      </c>
      <c r="R759" s="2204">
        <v>138.07</v>
      </c>
      <c r="S759" s="2204">
        <v>250.81000000000003</v>
      </c>
      <c r="T759" s="2204">
        <v>250.39</v>
      </c>
      <c r="U759" s="2204">
        <v>241.69</v>
      </c>
      <c r="V759" s="2204">
        <v>241.69</v>
      </c>
      <c r="W759" s="2204">
        <v>250.39</v>
      </c>
      <c r="X759" s="2204">
        <v>250.39</v>
      </c>
      <c r="Y759" s="2204">
        <v>241.69</v>
      </c>
      <c r="Z759" s="2204">
        <v>250.39</v>
      </c>
      <c r="AA759" s="2204">
        <v>250.39</v>
      </c>
      <c r="AB759" s="2204">
        <v>250.39</v>
      </c>
      <c r="AC759" s="2204">
        <v>241.69</v>
      </c>
      <c r="AD759" s="2204">
        <v>241.69</v>
      </c>
      <c r="AE759" s="2204">
        <v>264.81</v>
      </c>
      <c r="AF759" s="2204">
        <v>257.2</v>
      </c>
      <c r="AG759" s="2204">
        <v>264.81</v>
      </c>
      <c r="AH759" s="2204">
        <v>264.81</v>
      </c>
      <c r="AI759" s="2204">
        <v>257.2</v>
      </c>
      <c r="AJ759" s="2204">
        <v>257.2</v>
      </c>
      <c r="AK759" s="2204">
        <v>257.76</v>
      </c>
      <c r="AL759" s="2204">
        <v>257.76</v>
      </c>
      <c r="AM759" s="2204">
        <v>72.930000000000007</v>
      </c>
      <c r="AN759" s="2204">
        <v>70.27</v>
      </c>
      <c r="AO759" s="2204">
        <v>70.27</v>
      </c>
      <c r="AP759" s="2204">
        <v>69.97</v>
      </c>
      <c r="AQ759" s="2204">
        <v>70.400000000000006</v>
      </c>
      <c r="AR759" s="2204">
        <v>70.400000000000006</v>
      </c>
      <c r="AS759" s="2204">
        <v>207.6</v>
      </c>
      <c r="AT759" s="2204">
        <v>207.6</v>
      </c>
      <c r="AU759" s="2204">
        <v>207.6</v>
      </c>
      <c r="AV759" s="2204">
        <v>212.39</v>
      </c>
      <c r="AW759" s="2204">
        <v>207.87</v>
      </c>
      <c r="AX759" s="2204">
        <v>207.87</v>
      </c>
      <c r="AY759" s="2204">
        <v>208</v>
      </c>
      <c r="AZ759" s="2204">
        <v>208</v>
      </c>
      <c r="BA759" s="2123">
        <v>90.53</v>
      </c>
      <c r="BB759" s="2123">
        <v>90.53</v>
      </c>
      <c r="BC759" s="2123">
        <v>22.75</v>
      </c>
      <c r="BD759" s="2123">
        <v>22.98</v>
      </c>
      <c r="BE759" s="2123">
        <v>26.08</v>
      </c>
      <c r="BF759" s="2123">
        <v>26.08</v>
      </c>
      <c r="BG759" s="2123">
        <v>22.71</v>
      </c>
      <c r="BH759" s="2123">
        <v>22.71</v>
      </c>
      <c r="BI759" s="2123">
        <v>22.54</v>
      </c>
      <c r="BJ759" s="2123">
        <v>22.54</v>
      </c>
      <c r="BK759" s="2123">
        <v>22.54</v>
      </c>
      <c r="BL759" s="2123">
        <v>22.54</v>
      </c>
      <c r="BM759" s="2123">
        <v>53.3</v>
      </c>
      <c r="BN759" s="2123">
        <v>53.3</v>
      </c>
      <c r="BO759" s="2123">
        <v>166.03</v>
      </c>
      <c r="BP759" s="2123">
        <v>166.03</v>
      </c>
      <c r="BQ759" s="2123">
        <v>166.03</v>
      </c>
      <c r="BR759" s="2123">
        <v>166.03</v>
      </c>
      <c r="BS759" s="2123">
        <v>212.46</v>
      </c>
      <c r="BT759" s="2123">
        <v>212.46</v>
      </c>
      <c r="BU759" s="2123">
        <v>212.46</v>
      </c>
      <c r="BV759" s="2123">
        <v>212.46</v>
      </c>
      <c r="BW759" s="2123">
        <v>212.46</v>
      </c>
      <c r="BX759" s="2123">
        <v>212.46</v>
      </c>
      <c r="BY759" s="2123">
        <v>48.29</v>
      </c>
      <c r="BZ759" s="2123">
        <v>48.29</v>
      </c>
      <c r="CA759" s="2123">
        <v>158.38</v>
      </c>
      <c r="CB759" s="2123">
        <v>158.38</v>
      </c>
      <c r="CC759" s="2123">
        <v>160.63</v>
      </c>
      <c r="CD759" s="2123">
        <v>160.63</v>
      </c>
      <c r="CE759" s="2123">
        <v>208.57</v>
      </c>
      <c r="CF759" s="2123">
        <v>208.57</v>
      </c>
      <c r="CG759" s="2123"/>
      <c r="CH759" s="2123"/>
      <c r="CI759" s="2123"/>
      <c r="CJ759" s="2123"/>
      <c r="CK759" s="2123">
        <v>120.22</v>
      </c>
      <c r="CL759" s="2123">
        <v>120.22</v>
      </c>
      <c r="CM759" s="2123">
        <v>244.2</v>
      </c>
      <c r="CN759" s="2123">
        <v>244.2</v>
      </c>
      <c r="CO759" s="2123">
        <v>310.95999999999998</v>
      </c>
      <c r="CP759" s="2123">
        <v>310.95999999999998</v>
      </c>
      <c r="CQ759" s="2123">
        <v>310.95999999999998</v>
      </c>
      <c r="CR759" s="2123">
        <v>310.95999999999998</v>
      </c>
      <c r="CS759" s="2123"/>
      <c r="CT759" s="2123"/>
      <c r="CU759" s="2123"/>
      <c r="CV759" s="2123"/>
      <c r="CW759" s="2123">
        <v>112.42</v>
      </c>
      <c r="CX759" s="2123">
        <v>112.42</v>
      </c>
      <c r="CY759" s="2123">
        <v>236.38</v>
      </c>
      <c r="CZ759" s="2123">
        <v>236.38</v>
      </c>
      <c r="DA759" s="2123">
        <v>236.38</v>
      </c>
      <c r="DB759" s="2123">
        <v>236.38</v>
      </c>
      <c r="DC759" s="2123">
        <v>301.52999999999997</v>
      </c>
      <c r="DD759" s="2123">
        <v>301.52999999999997</v>
      </c>
      <c r="DE759" s="2123">
        <v>301.52999999999997</v>
      </c>
      <c r="DF759" s="2123">
        <v>301.52999999999997</v>
      </c>
      <c r="DG759" s="2123"/>
      <c r="DH759" s="2123"/>
      <c r="DI759" s="2123">
        <v>29.73</v>
      </c>
      <c r="DJ759" s="2123">
        <v>29.73</v>
      </c>
      <c r="DK759" s="2123">
        <v>29.73</v>
      </c>
      <c r="DL759" s="2123">
        <v>29.73</v>
      </c>
      <c r="DM759" s="2123">
        <v>29.73</v>
      </c>
      <c r="DN759" s="2123">
        <v>29.73</v>
      </c>
      <c r="DO759" s="2123"/>
      <c r="DP759" s="2123"/>
      <c r="DQ759" s="2123"/>
      <c r="DR759" s="2123"/>
      <c r="DS759" s="2123"/>
      <c r="DT759" s="2123"/>
      <c r="DU759" s="2123">
        <v>13.23</v>
      </c>
      <c r="DV759" s="2123">
        <v>13.23</v>
      </c>
      <c r="DW759" s="2123">
        <v>12.64</v>
      </c>
      <c r="DX759" s="2123">
        <v>12.64</v>
      </c>
      <c r="DY759" s="2123">
        <v>12.64</v>
      </c>
      <c r="DZ759" s="2123">
        <v>12.64</v>
      </c>
      <c r="EA759" s="2123"/>
      <c r="EB759" s="2123"/>
      <c r="EC759" s="2123"/>
      <c r="ED759" s="2123"/>
      <c r="EE759" s="2123"/>
      <c r="EF759" s="2123"/>
      <c r="EG759" s="2123">
        <v>14.2</v>
      </c>
      <c r="EH759" s="2123">
        <v>14.38</v>
      </c>
      <c r="EI759" s="2123">
        <v>11.21</v>
      </c>
      <c r="EJ759" s="2123">
        <v>11.21</v>
      </c>
      <c r="EK759" s="2123">
        <v>11.2</v>
      </c>
      <c r="EL759" s="2123">
        <v>11.2</v>
      </c>
      <c r="EM759" s="2123">
        <v>11.84</v>
      </c>
      <c r="EN759" s="2123">
        <v>11.84</v>
      </c>
      <c r="EO759" s="2123">
        <v>11.21</v>
      </c>
      <c r="EP759" s="2123">
        <v>11.21</v>
      </c>
      <c r="EQ759" s="2123">
        <v>11.54</v>
      </c>
      <c r="ER759" s="2123">
        <v>11.44</v>
      </c>
      <c r="ES759" s="2123">
        <v>54.33</v>
      </c>
      <c r="ET759" s="2123">
        <v>54.33</v>
      </c>
      <c r="EU759" s="2123">
        <v>232.67</v>
      </c>
      <c r="EV759" s="2123">
        <v>232.67</v>
      </c>
      <c r="EW759" s="2123">
        <v>227.48</v>
      </c>
      <c r="EX759" s="2123">
        <v>227.48</v>
      </c>
      <c r="EY759" s="2129">
        <f t="shared" si="55"/>
        <v>230.07499999999999</v>
      </c>
      <c r="EZ759" s="2129">
        <f t="shared" si="55"/>
        <v>230.07499999999999</v>
      </c>
      <c r="FA759" s="2123">
        <v>231.24</v>
      </c>
      <c r="FB759" s="2123">
        <v>231.24</v>
      </c>
      <c r="FC759" s="2123"/>
      <c r="FD759" s="2123"/>
      <c r="FE759" s="2123">
        <v>46.71</v>
      </c>
      <c r="FF759" s="2123">
        <v>46.71</v>
      </c>
      <c r="FG759" s="2123">
        <v>195.82</v>
      </c>
      <c r="FH759" s="2123">
        <v>195.82</v>
      </c>
      <c r="FI759" s="2123">
        <v>195.82</v>
      </c>
      <c r="FJ759" s="2123">
        <v>197.64</v>
      </c>
      <c r="FK759" s="2123">
        <v>195.28</v>
      </c>
      <c r="FL759" s="2123">
        <v>195.28</v>
      </c>
      <c r="FM759" s="2123">
        <v>196.18</v>
      </c>
      <c r="FN759" s="2123">
        <v>196.18</v>
      </c>
      <c r="FO759" s="2123"/>
      <c r="FP759" s="2123"/>
      <c r="FQ759" s="2123">
        <v>105.49</v>
      </c>
      <c r="FR759" s="2123">
        <v>105.49</v>
      </c>
      <c r="FS759" s="2123">
        <v>210.28</v>
      </c>
      <c r="FT759" s="2123">
        <v>210.28</v>
      </c>
      <c r="FU759" s="2123">
        <v>210.28</v>
      </c>
      <c r="FV759" s="2123">
        <v>210.28</v>
      </c>
      <c r="FW759" s="2123">
        <v>210.82</v>
      </c>
      <c r="FX759" s="2123">
        <v>210.82</v>
      </c>
      <c r="FY759" s="2123"/>
      <c r="FZ759" s="2123"/>
      <c r="GA759" s="2123"/>
      <c r="GB759" s="2123"/>
      <c r="GC759" s="2123">
        <v>74.58</v>
      </c>
      <c r="GD759" s="2123">
        <v>74.58</v>
      </c>
      <c r="GE759" s="2123">
        <v>168.22</v>
      </c>
      <c r="GF759" s="2123">
        <v>168.22</v>
      </c>
      <c r="GG759" s="2123">
        <v>168.22</v>
      </c>
      <c r="GH759" s="2123">
        <v>168.22</v>
      </c>
      <c r="GI759" s="2123">
        <v>177.19</v>
      </c>
      <c r="GJ759" s="2123">
        <v>177.19</v>
      </c>
      <c r="GK759" s="2123">
        <v>204.58</v>
      </c>
      <c r="GL759" s="2123">
        <v>204.58</v>
      </c>
      <c r="GM759" s="2123"/>
      <c r="GN759" s="2123"/>
      <c r="GO759" s="2123">
        <v>39.93</v>
      </c>
      <c r="GP759" s="2123">
        <v>39.93</v>
      </c>
      <c r="GQ759" s="2123">
        <v>34.130000000000003</v>
      </c>
      <c r="GR759" s="2123">
        <v>34.130000000000003</v>
      </c>
      <c r="GS759" s="2123">
        <v>34.130000000000003</v>
      </c>
      <c r="GT759" s="2123">
        <v>32.89</v>
      </c>
      <c r="GU759" s="2123">
        <v>32.89</v>
      </c>
      <c r="GV759" s="2123">
        <v>33.200000000000003</v>
      </c>
      <c r="GW759" s="2123">
        <v>194.19</v>
      </c>
      <c r="GX759" s="2123">
        <v>194.19</v>
      </c>
      <c r="GY759" s="2123"/>
      <c r="GZ759" s="2123"/>
      <c r="HA759" s="2123">
        <v>27.85</v>
      </c>
      <c r="HB759" s="2123">
        <v>27.85</v>
      </c>
      <c r="HC759" s="2123">
        <v>20.86</v>
      </c>
      <c r="HD759" s="2123">
        <v>20.86</v>
      </c>
      <c r="HE759" s="2123">
        <v>21.67</v>
      </c>
      <c r="HF759" s="2123">
        <v>21.67</v>
      </c>
      <c r="HG759" s="2123">
        <v>21.67</v>
      </c>
      <c r="HH759" s="2123">
        <v>21.67</v>
      </c>
      <c r="HI759" s="2123">
        <v>21.67</v>
      </c>
      <c r="HJ759" s="2123">
        <v>21.67</v>
      </c>
      <c r="HK759" s="2123">
        <v>21.71</v>
      </c>
      <c r="HL759" s="2123">
        <v>21.94</v>
      </c>
      <c r="HM759" s="2123">
        <v>39.01</v>
      </c>
      <c r="HN759" s="2123">
        <v>39.01</v>
      </c>
      <c r="HO759" s="2123">
        <v>29.57</v>
      </c>
      <c r="HP759" s="2123">
        <v>29.57</v>
      </c>
      <c r="HQ759" s="2123">
        <v>30.74</v>
      </c>
      <c r="HR759" s="2123">
        <v>30.74</v>
      </c>
      <c r="HS759" s="2123">
        <v>30.74</v>
      </c>
      <c r="HT759" s="2123">
        <v>30.74</v>
      </c>
      <c r="HU759" s="2123">
        <v>30.74</v>
      </c>
      <c r="HV759" s="2123">
        <v>30.74</v>
      </c>
      <c r="HW759" s="2123">
        <v>30.71</v>
      </c>
      <c r="HX759" s="2123">
        <v>30.71</v>
      </c>
    </row>
    <row r="760" spans="2:232" s="2040" customFormat="1" ht="14" hidden="1" x14ac:dyDescent="0.3">
      <c r="B760" s="2203">
        <v>66</v>
      </c>
      <c r="C760" s="2204">
        <v>44.23</v>
      </c>
      <c r="D760" s="2204">
        <v>44.23</v>
      </c>
      <c r="E760" s="2204">
        <v>44.41</v>
      </c>
      <c r="F760" s="2204">
        <v>44.41</v>
      </c>
      <c r="G760" s="2204">
        <v>170.19</v>
      </c>
      <c r="H760" s="2204">
        <v>170.19</v>
      </c>
      <c r="I760" s="2204">
        <v>160.58000000000001</v>
      </c>
      <c r="J760" s="2204">
        <v>160.58000000000001</v>
      </c>
      <c r="K760" s="2204">
        <v>166.39</v>
      </c>
      <c r="L760" s="2204">
        <v>166.39</v>
      </c>
      <c r="M760" s="2204"/>
      <c r="N760" s="2204"/>
      <c r="O760" s="2204">
        <v>138.72</v>
      </c>
      <c r="P760" s="2204">
        <v>138.72</v>
      </c>
      <c r="Q760" s="2204">
        <v>138.4</v>
      </c>
      <c r="R760" s="2204">
        <v>138.72999999999999</v>
      </c>
      <c r="S760" s="2204">
        <v>252.51000000000002</v>
      </c>
      <c r="T760" s="2204">
        <v>251.95</v>
      </c>
      <c r="U760" s="2204">
        <v>243.2</v>
      </c>
      <c r="V760" s="2204">
        <v>243.2</v>
      </c>
      <c r="W760" s="2204">
        <v>251.95</v>
      </c>
      <c r="X760" s="2204">
        <v>251.95</v>
      </c>
      <c r="Y760" s="2204">
        <v>243.2</v>
      </c>
      <c r="Z760" s="2204">
        <v>251.95</v>
      </c>
      <c r="AA760" s="2204">
        <v>251.95</v>
      </c>
      <c r="AB760" s="2204">
        <v>251.95</v>
      </c>
      <c r="AC760" s="2204">
        <v>243.2</v>
      </c>
      <c r="AD760" s="2204">
        <v>243.2</v>
      </c>
      <c r="AE760" s="2204">
        <v>266.23</v>
      </c>
      <c r="AF760" s="2204">
        <v>258.58</v>
      </c>
      <c r="AG760" s="2204">
        <v>266.23</v>
      </c>
      <c r="AH760" s="2204">
        <v>266.23</v>
      </c>
      <c r="AI760" s="2204">
        <v>258.58</v>
      </c>
      <c r="AJ760" s="2204">
        <v>258.58</v>
      </c>
      <c r="AK760" s="2204">
        <v>259.13</v>
      </c>
      <c r="AL760" s="2204">
        <v>259.13</v>
      </c>
      <c r="AM760" s="2204">
        <v>73.239999999999995</v>
      </c>
      <c r="AN760" s="2204">
        <v>70.58</v>
      </c>
      <c r="AO760" s="2204">
        <v>70.58</v>
      </c>
      <c r="AP760" s="2204">
        <v>70.27</v>
      </c>
      <c r="AQ760" s="2204">
        <v>70.69</v>
      </c>
      <c r="AR760" s="2204">
        <v>70.69</v>
      </c>
      <c r="AS760" s="2204">
        <v>208.73</v>
      </c>
      <c r="AT760" s="2204">
        <v>208.73</v>
      </c>
      <c r="AU760" s="2204">
        <v>208.73</v>
      </c>
      <c r="AV760" s="2204">
        <v>213.54</v>
      </c>
      <c r="AW760" s="2204">
        <v>209</v>
      </c>
      <c r="AX760" s="2204">
        <v>209</v>
      </c>
      <c r="AY760" s="2204">
        <v>209.13</v>
      </c>
      <c r="AZ760" s="2204">
        <v>209.13</v>
      </c>
      <c r="BA760" s="2123">
        <v>91.16</v>
      </c>
      <c r="BB760" s="2123">
        <v>91.16</v>
      </c>
      <c r="BC760" s="2123">
        <v>22.9</v>
      </c>
      <c r="BD760" s="2123">
        <v>23.13</v>
      </c>
      <c r="BE760" s="2123">
        <v>26.22</v>
      </c>
      <c r="BF760" s="2123">
        <v>26.22</v>
      </c>
      <c r="BG760" s="2123">
        <v>22.9</v>
      </c>
      <c r="BH760" s="2123">
        <v>22.9</v>
      </c>
      <c r="BI760" s="2123">
        <v>22.72</v>
      </c>
      <c r="BJ760" s="2123">
        <v>22.72</v>
      </c>
      <c r="BK760" s="2123">
        <v>22.72</v>
      </c>
      <c r="BL760" s="2123">
        <v>22.72</v>
      </c>
      <c r="BM760" s="2123">
        <v>53.45</v>
      </c>
      <c r="BN760" s="2123">
        <v>53.45</v>
      </c>
      <c r="BO760" s="2123">
        <v>166.6</v>
      </c>
      <c r="BP760" s="2123">
        <v>166.6</v>
      </c>
      <c r="BQ760" s="2123">
        <v>166.6</v>
      </c>
      <c r="BR760" s="2123">
        <v>166.6</v>
      </c>
      <c r="BS760" s="2123">
        <v>213.31</v>
      </c>
      <c r="BT760" s="2123">
        <v>213.31</v>
      </c>
      <c r="BU760" s="2123">
        <v>213.31</v>
      </c>
      <c r="BV760" s="2123">
        <v>213.31</v>
      </c>
      <c r="BW760" s="2123">
        <v>213.31</v>
      </c>
      <c r="BX760" s="2123">
        <v>213.31</v>
      </c>
      <c r="BY760" s="2123">
        <v>48.48</v>
      </c>
      <c r="BZ760" s="2123">
        <v>48.48</v>
      </c>
      <c r="CA760" s="2123">
        <v>159.12</v>
      </c>
      <c r="CB760" s="2123">
        <v>159.12</v>
      </c>
      <c r="CC760" s="2123">
        <v>161.38999999999999</v>
      </c>
      <c r="CD760" s="2123">
        <v>161.38999999999999</v>
      </c>
      <c r="CE760" s="2123">
        <v>209.74</v>
      </c>
      <c r="CF760" s="2123">
        <v>209.74</v>
      </c>
      <c r="CG760" s="2123"/>
      <c r="CH760" s="2123"/>
      <c r="CI760" s="2123"/>
      <c r="CJ760" s="2123"/>
      <c r="CK760" s="2123">
        <v>120.77</v>
      </c>
      <c r="CL760" s="2123">
        <v>120.77</v>
      </c>
      <c r="CM760" s="2123">
        <v>245.03</v>
      </c>
      <c r="CN760" s="2123">
        <v>245.03</v>
      </c>
      <c r="CO760" s="2123">
        <v>312.3</v>
      </c>
      <c r="CP760" s="2123">
        <v>312.3</v>
      </c>
      <c r="CQ760" s="2123">
        <v>312.3</v>
      </c>
      <c r="CR760" s="2123">
        <v>312.3</v>
      </c>
      <c r="CS760" s="2123"/>
      <c r="CT760" s="2123"/>
      <c r="CU760" s="2123"/>
      <c r="CV760" s="2123"/>
      <c r="CW760" s="2123">
        <v>112.79</v>
      </c>
      <c r="CX760" s="2123">
        <v>112.79</v>
      </c>
      <c r="CY760" s="2123">
        <v>237.05</v>
      </c>
      <c r="CZ760" s="2123">
        <v>237.05</v>
      </c>
      <c r="DA760" s="2123">
        <v>237.05</v>
      </c>
      <c r="DB760" s="2123">
        <v>237.05</v>
      </c>
      <c r="DC760" s="2123">
        <v>302.60000000000002</v>
      </c>
      <c r="DD760" s="2123">
        <v>302.60000000000002</v>
      </c>
      <c r="DE760" s="2123">
        <v>302.60000000000002</v>
      </c>
      <c r="DF760" s="2123">
        <v>302.60000000000002</v>
      </c>
      <c r="DG760" s="2123"/>
      <c r="DH760" s="2123"/>
      <c r="DI760" s="2123">
        <v>29.87</v>
      </c>
      <c r="DJ760" s="2123">
        <v>29.87</v>
      </c>
      <c r="DK760" s="2123">
        <v>29.87</v>
      </c>
      <c r="DL760" s="2123">
        <v>29.87</v>
      </c>
      <c r="DM760" s="2123">
        <v>29.87</v>
      </c>
      <c r="DN760" s="2123">
        <v>29.87</v>
      </c>
      <c r="DO760" s="2123"/>
      <c r="DP760" s="2123"/>
      <c r="DQ760" s="2123"/>
      <c r="DR760" s="2123"/>
      <c r="DS760" s="2123"/>
      <c r="DT760" s="2123"/>
      <c r="DU760" s="2123">
        <v>13.3</v>
      </c>
      <c r="DV760" s="2123">
        <v>13.3</v>
      </c>
      <c r="DW760" s="2123">
        <v>12.71</v>
      </c>
      <c r="DX760" s="2123">
        <v>12.71</v>
      </c>
      <c r="DY760" s="2123">
        <v>12.71</v>
      </c>
      <c r="DZ760" s="2123">
        <v>12.71</v>
      </c>
      <c r="EA760" s="2123"/>
      <c r="EB760" s="2123"/>
      <c r="EC760" s="2123"/>
      <c r="ED760" s="2123"/>
      <c r="EE760" s="2123"/>
      <c r="EF760" s="2123"/>
      <c r="EG760" s="2123">
        <v>14.26</v>
      </c>
      <c r="EH760" s="2123">
        <v>14.44</v>
      </c>
      <c r="EI760" s="2123">
        <v>11.29</v>
      </c>
      <c r="EJ760" s="2123">
        <v>11.29</v>
      </c>
      <c r="EK760" s="2123">
        <v>11.28</v>
      </c>
      <c r="EL760" s="2123">
        <v>11.28</v>
      </c>
      <c r="EM760" s="2123">
        <v>11.92</v>
      </c>
      <c r="EN760" s="2123">
        <v>11.92</v>
      </c>
      <c r="EO760" s="2123">
        <v>11.29</v>
      </c>
      <c r="EP760" s="2123">
        <v>11.29</v>
      </c>
      <c r="EQ760" s="2123">
        <v>11.62</v>
      </c>
      <c r="ER760" s="2123">
        <v>11.51</v>
      </c>
      <c r="ES760" s="2123">
        <v>54.57</v>
      </c>
      <c r="ET760" s="2123">
        <v>54.57</v>
      </c>
      <c r="EU760" s="2123">
        <v>234.1</v>
      </c>
      <c r="EV760" s="2123">
        <v>234.1</v>
      </c>
      <c r="EW760" s="2123">
        <v>228.89</v>
      </c>
      <c r="EX760" s="2123">
        <v>228.89</v>
      </c>
      <c r="EY760" s="2129">
        <f t="shared" ref="EY760:EZ794" si="56">AVERAGE(EU760,EW760)</f>
        <v>231.495</v>
      </c>
      <c r="EZ760" s="2129">
        <f t="shared" si="56"/>
        <v>231.495</v>
      </c>
      <c r="FA760" s="2123">
        <v>232.61</v>
      </c>
      <c r="FB760" s="2123">
        <v>232.61</v>
      </c>
      <c r="FC760" s="2123"/>
      <c r="FD760" s="2123"/>
      <c r="FE760" s="2123">
        <v>46.91</v>
      </c>
      <c r="FF760" s="2123">
        <v>46.91</v>
      </c>
      <c r="FG760" s="2123">
        <v>197.04</v>
      </c>
      <c r="FH760" s="2123">
        <v>197.04</v>
      </c>
      <c r="FI760" s="2123">
        <v>197.04</v>
      </c>
      <c r="FJ760" s="2123">
        <v>198.82</v>
      </c>
      <c r="FK760" s="2123">
        <v>196.52</v>
      </c>
      <c r="FL760" s="2123">
        <v>196.52</v>
      </c>
      <c r="FM760" s="2123">
        <v>197.4</v>
      </c>
      <c r="FN760" s="2123">
        <v>197.4</v>
      </c>
      <c r="FO760" s="2123"/>
      <c r="FP760" s="2123"/>
      <c r="FQ760" s="2123">
        <v>105.96</v>
      </c>
      <c r="FR760" s="2123">
        <v>105.96</v>
      </c>
      <c r="FS760" s="2123">
        <v>211.36</v>
      </c>
      <c r="FT760" s="2123">
        <v>211.36</v>
      </c>
      <c r="FU760" s="2123">
        <v>211.36</v>
      </c>
      <c r="FV760" s="2123">
        <v>211.36</v>
      </c>
      <c r="FW760" s="2123">
        <v>211.89</v>
      </c>
      <c r="FX760" s="2123">
        <v>211.89</v>
      </c>
      <c r="FY760" s="2123"/>
      <c r="FZ760" s="2123"/>
      <c r="GA760" s="2123"/>
      <c r="GB760" s="2123"/>
      <c r="GC760" s="2123">
        <v>74.900000000000006</v>
      </c>
      <c r="GD760" s="2123">
        <v>74.900000000000006</v>
      </c>
      <c r="GE760" s="2123">
        <v>168.89</v>
      </c>
      <c r="GF760" s="2123">
        <v>168.89</v>
      </c>
      <c r="GG760" s="2123">
        <v>168.89</v>
      </c>
      <c r="GH760" s="2123">
        <v>168.89</v>
      </c>
      <c r="GI760" s="2123">
        <v>178.63</v>
      </c>
      <c r="GJ760" s="2123">
        <v>178.63</v>
      </c>
      <c r="GK760" s="2123">
        <v>205.78</v>
      </c>
      <c r="GL760" s="2123">
        <v>205.78</v>
      </c>
      <c r="GM760" s="2123"/>
      <c r="GN760" s="2123"/>
      <c r="GO760" s="2123">
        <v>40.1</v>
      </c>
      <c r="GP760" s="2123">
        <v>40.1</v>
      </c>
      <c r="GQ760" s="2123">
        <v>34.369999999999997</v>
      </c>
      <c r="GR760" s="2123">
        <v>34.369999999999997</v>
      </c>
      <c r="GS760" s="2123">
        <v>34.369999999999997</v>
      </c>
      <c r="GT760" s="2123">
        <v>33.119999999999997</v>
      </c>
      <c r="GU760" s="2123">
        <v>33.119999999999997</v>
      </c>
      <c r="GV760" s="2123">
        <v>33.43</v>
      </c>
      <c r="GW760" s="2123">
        <v>195.52</v>
      </c>
      <c r="GX760" s="2123">
        <v>195.52</v>
      </c>
      <c r="GY760" s="2123"/>
      <c r="GZ760" s="2123"/>
      <c r="HA760" s="2123">
        <v>28</v>
      </c>
      <c r="HB760" s="2123">
        <v>28</v>
      </c>
      <c r="HC760" s="2123">
        <v>21.07</v>
      </c>
      <c r="HD760" s="2123">
        <v>21.07</v>
      </c>
      <c r="HE760" s="2123">
        <v>21.84</v>
      </c>
      <c r="HF760" s="2123">
        <v>21.84</v>
      </c>
      <c r="HG760" s="2123">
        <v>21.84</v>
      </c>
      <c r="HH760" s="2123">
        <v>21.84</v>
      </c>
      <c r="HI760" s="2123">
        <v>21.84</v>
      </c>
      <c r="HJ760" s="2123">
        <v>21.84</v>
      </c>
      <c r="HK760" s="2123">
        <v>21.9</v>
      </c>
      <c r="HL760" s="2123">
        <v>22.13</v>
      </c>
      <c r="HM760" s="2123">
        <v>39.229999999999997</v>
      </c>
      <c r="HN760" s="2123">
        <v>39.229999999999997</v>
      </c>
      <c r="HO760" s="2123">
        <v>29.86</v>
      </c>
      <c r="HP760" s="2123">
        <v>29.86</v>
      </c>
      <c r="HQ760" s="2123">
        <v>31.01</v>
      </c>
      <c r="HR760" s="2123">
        <v>31.01</v>
      </c>
      <c r="HS760" s="2123">
        <v>31.01</v>
      </c>
      <c r="HT760" s="2123">
        <v>31.01</v>
      </c>
      <c r="HU760" s="2123">
        <v>31.01</v>
      </c>
      <c r="HV760" s="2123">
        <v>31.01</v>
      </c>
      <c r="HW760" s="2123">
        <v>30.99</v>
      </c>
      <c r="HX760" s="2123">
        <v>30.99</v>
      </c>
    </row>
    <row r="761" spans="2:232" s="2040" customFormat="1" ht="14" hidden="1" x14ac:dyDescent="0.3">
      <c r="B761" s="2203">
        <v>67</v>
      </c>
      <c r="C761" s="2204">
        <v>44.44</v>
      </c>
      <c r="D761" s="2204">
        <v>44.44</v>
      </c>
      <c r="E761" s="2204">
        <v>44.61</v>
      </c>
      <c r="F761" s="2204">
        <v>44.61</v>
      </c>
      <c r="G761" s="2204">
        <v>171.03</v>
      </c>
      <c r="H761" s="2204">
        <v>171.03</v>
      </c>
      <c r="I761" s="2204">
        <v>161.59</v>
      </c>
      <c r="J761" s="2204">
        <v>161.59</v>
      </c>
      <c r="K761" s="2204">
        <v>167.27</v>
      </c>
      <c r="L761" s="2204">
        <v>167.27</v>
      </c>
      <c r="M761" s="2204"/>
      <c r="N761" s="2204"/>
      <c r="O761" s="2204">
        <v>139.35</v>
      </c>
      <c r="P761" s="2204">
        <v>139.35</v>
      </c>
      <c r="Q761" s="2204">
        <v>139.01</v>
      </c>
      <c r="R761" s="2204">
        <v>139.35</v>
      </c>
      <c r="S761" s="2204">
        <v>254.14000000000001</v>
      </c>
      <c r="T761" s="2204">
        <v>253.48</v>
      </c>
      <c r="U761" s="2204">
        <v>244.68</v>
      </c>
      <c r="V761" s="2204">
        <v>244.68</v>
      </c>
      <c r="W761" s="2204">
        <v>253.48</v>
      </c>
      <c r="X761" s="2204">
        <v>253.48</v>
      </c>
      <c r="Y761" s="2204">
        <v>244.68</v>
      </c>
      <c r="Z761" s="2204">
        <v>253.48</v>
      </c>
      <c r="AA761" s="2204">
        <v>253.48</v>
      </c>
      <c r="AB761" s="2204">
        <v>253.48</v>
      </c>
      <c r="AC761" s="2204">
        <v>244.68</v>
      </c>
      <c r="AD761" s="2204">
        <v>244.68</v>
      </c>
      <c r="AE761" s="2204">
        <v>267.62</v>
      </c>
      <c r="AF761" s="2204">
        <v>259.93</v>
      </c>
      <c r="AG761" s="2204">
        <v>267.62</v>
      </c>
      <c r="AH761" s="2204">
        <v>267.62</v>
      </c>
      <c r="AI761" s="2204">
        <v>259.93</v>
      </c>
      <c r="AJ761" s="2204">
        <v>259.93</v>
      </c>
      <c r="AK761" s="2204">
        <v>260.45999999999998</v>
      </c>
      <c r="AL761" s="2204">
        <v>260.45999999999998</v>
      </c>
      <c r="AM761" s="2204">
        <v>73.55</v>
      </c>
      <c r="AN761" s="2204">
        <v>70.88</v>
      </c>
      <c r="AO761" s="2204">
        <v>70.88</v>
      </c>
      <c r="AP761" s="2204">
        <v>70.58</v>
      </c>
      <c r="AQ761" s="2204">
        <v>70.989999999999995</v>
      </c>
      <c r="AR761" s="2204">
        <v>70.989999999999995</v>
      </c>
      <c r="AS761" s="2204">
        <v>209.91</v>
      </c>
      <c r="AT761" s="2204">
        <v>209.91</v>
      </c>
      <c r="AU761" s="2204">
        <v>209.91</v>
      </c>
      <c r="AV761" s="2204">
        <v>214.73</v>
      </c>
      <c r="AW761" s="2204">
        <v>210.17</v>
      </c>
      <c r="AX761" s="2204">
        <v>210.17</v>
      </c>
      <c r="AY761" s="2204">
        <v>210.3</v>
      </c>
      <c r="AZ761" s="2204">
        <v>210.3</v>
      </c>
      <c r="BA761" s="2123">
        <v>91.66</v>
      </c>
      <c r="BB761" s="2123">
        <v>91.66</v>
      </c>
      <c r="BC761" s="2123">
        <v>23.05</v>
      </c>
      <c r="BD761" s="2123">
        <v>23.27</v>
      </c>
      <c r="BE761" s="2123">
        <v>26.33</v>
      </c>
      <c r="BF761" s="2123">
        <v>26.33</v>
      </c>
      <c r="BG761" s="2123">
        <v>23.05</v>
      </c>
      <c r="BH761" s="2123">
        <v>23.05</v>
      </c>
      <c r="BI761" s="2123">
        <v>22.87</v>
      </c>
      <c r="BJ761" s="2123">
        <v>22.87</v>
      </c>
      <c r="BK761" s="2123">
        <v>22.87</v>
      </c>
      <c r="BL761" s="2123">
        <v>22.87</v>
      </c>
      <c r="BM761" s="2123">
        <v>53.68</v>
      </c>
      <c r="BN761" s="2123">
        <v>53.68</v>
      </c>
      <c r="BO761" s="2123">
        <v>167.4</v>
      </c>
      <c r="BP761" s="2123">
        <v>167.4</v>
      </c>
      <c r="BQ761" s="2123">
        <v>167.4</v>
      </c>
      <c r="BR761" s="2123">
        <v>167.4</v>
      </c>
      <c r="BS761" s="2123">
        <v>214.55</v>
      </c>
      <c r="BT761" s="2123">
        <v>214.55</v>
      </c>
      <c r="BU761" s="2123">
        <v>214.55</v>
      </c>
      <c r="BV761" s="2123">
        <v>214.55</v>
      </c>
      <c r="BW761" s="2123">
        <v>214.55</v>
      </c>
      <c r="BX761" s="2123">
        <v>214.55</v>
      </c>
      <c r="BY761" s="2123">
        <v>48.67</v>
      </c>
      <c r="BZ761" s="2123">
        <v>48.67</v>
      </c>
      <c r="CA761" s="2123">
        <v>159.85</v>
      </c>
      <c r="CB761" s="2123">
        <v>159.85</v>
      </c>
      <c r="CC761" s="2123">
        <v>162.13999999999999</v>
      </c>
      <c r="CD761" s="2123">
        <v>162.13999999999999</v>
      </c>
      <c r="CE761" s="2123">
        <v>210.88</v>
      </c>
      <c r="CF761" s="2123">
        <v>210.88</v>
      </c>
      <c r="CG761" s="2123"/>
      <c r="CH761" s="2123"/>
      <c r="CI761" s="2123"/>
      <c r="CJ761" s="2123"/>
      <c r="CK761" s="2123">
        <v>121.26</v>
      </c>
      <c r="CL761" s="2123">
        <v>121.26</v>
      </c>
      <c r="CM761" s="2123">
        <v>245.82</v>
      </c>
      <c r="CN761" s="2123">
        <v>245.82</v>
      </c>
      <c r="CO761" s="2123">
        <v>313.58</v>
      </c>
      <c r="CP761" s="2123">
        <v>313.58</v>
      </c>
      <c r="CQ761" s="2123">
        <v>313.58</v>
      </c>
      <c r="CR761" s="2123">
        <v>313.58</v>
      </c>
      <c r="CS761" s="2123"/>
      <c r="CT761" s="2123"/>
      <c r="CU761" s="2123"/>
      <c r="CV761" s="2123"/>
      <c r="CW761" s="2123">
        <v>113.27</v>
      </c>
      <c r="CX761" s="2123">
        <v>113.27</v>
      </c>
      <c r="CY761" s="2123">
        <v>237.92</v>
      </c>
      <c r="CZ761" s="2123">
        <v>237.92</v>
      </c>
      <c r="DA761" s="2123">
        <v>237.92</v>
      </c>
      <c r="DB761" s="2123">
        <v>237.92</v>
      </c>
      <c r="DC761" s="2123">
        <v>304.01</v>
      </c>
      <c r="DD761" s="2123">
        <v>304.01</v>
      </c>
      <c r="DE761" s="2123">
        <v>304.01</v>
      </c>
      <c r="DF761" s="2123">
        <v>304.01</v>
      </c>
      <c r="DG761" s="2123"/>
      <c r="DH761" s="2123"/>
      <c r="DI761" s="2123">
        <v>30</v>
      </c>
      <c r="DJ761" s="2123">
        <v>30</v>
      </c>
      <c r="DK761" s="2123">
        <v>30</v>
      </c>
      <c r="DL761" s="2123">
        <v>30</v>
      </c>
      <c r="DM761" s="2123">
        <v>30</v>
      </c>
      <c r="DN761" s="2123">
        <v>30</v>
      </c>
      <c r="DO761" s="2123"/>
      <c r="DP761" s="2123"/>
      <c r="DQ761" s="2123"/>
      <c r="DR761" s="2123"/>
      <c r="DS761" s="2123"/>
      <c r="DT761" s="2123"/>
      <c r="DU761" s="2123">
        <v>13.33</v>
      </c>
      <c r="DV761" s="2123">
        <v>13.33</v>
      </c>
      <c r="DW761" s="2123">
        <v>12.75</v>
      </c>
      <c r="DX761" s="2123">
        <v>12.75</v>
      </c>
      <c r="DY761" s="2123">
        <v>12.75</v>
      </c>
      <c r="DZ761" s="2123">
        <v>12.75</v>
      </c>
      <c r="EA761" s="2123"/>
      <c r="EB761" s="2123"/>
      <c r="EC761" s="2123"/>
      <c r="ED761" s="2123"/>
      <c r="EE761" s="2123"/>
      <c r="EF761" s="2123"/>
      <c r="EG761" s="2123">
        <v>14.31</v>
      </c>
      <c r="EH761" s="2123">
        <v>14.5</v>
      </c>
      <c r="EI761" s="2123">
        <v>11.37</v>
      </c>
      <c r="EJ761" s="2123">
        <v>11.37</v>
      </c>
      <c r="EK761" s="2123">
        <v>11.36</v>
      </c>
      <c r="EL761" s="2123">
        <v>11.36</v>
      </c>
      <c r="EM761" s="2123">
        <v>11.99</v>
      </c>
      <c r="EN761" s="2123">
        <v>11.99</v>
      </c>
      <c r="EO761" s="2123">
        <v>11.36</v>
      </c>
      <c r="EP761" s="2123">
        <v>11.36</v>
      </c>
      <c r="EQ761" s="2123">
        <v>11.69</v>
      </c>
      <c r="ER761" s="2123">
        <v>11.59</v>
      </c>
      <c r="ES761" s="2123">
        <v>54.8</v>
      </c>
      <c r="ET761" s="2123">
        <v>54.8</v>
      </c>
      <c r="EU761" s="2123">
        <v>235.49</v>
      </c>
      <c r="EV761" s="2123">
        <v>235.49</v>
      </c>
      <c r="EW761" s="2123">
        <v>230.27</v>
      </c>
      <c r="EX761" s="2123">
        <v>230.27</v>
      </c>
      <c r="EY761" s="2129">
        <f t="shared" si="56"/>
        <v>232.88</v>
      </c>
      <c r="EZ761" s="2129">
        <f t="shared" si="56"/>
        <v>232.88</v>
      </c>
      <c r="FA761" s="2123">
        <v>233.94</v>
      </c>
      <c r="FB761" s="2123">
        <v>233.94</v>
      </c>
      <c r="FC761" s="2123"/>
      <c r="FD761" s="2123"/>
      <c r="FE761" s="2123">
        <v>47.11</v>
      </c>
      <c r="FF761" s="2123">
        <v>47.11</v>
      </c>
      <c r="FG761" s="2123">
        <v>198.24</v>
      </c>
      <c r="FH761" s="2123">
        <v>198.24</v>
      </c>
      <c r="FI761" s="2123">
        <v>198.24</v>
      </c>
      <c r="FJ761" s="2123">
        <v>199.98</v>
      </c>
      <c r="FK761" s="2123">
        <v>197.72</v>
      </c>
      <c r="FL761" s="2123">
        <v>197.72</v>
      </c>
      <c r="FM761" s="2123">
        <v>198.58</v>
      </c>
      <c r="FN761" s="2123">
        <v>198.58</v>
      </c>
      <c r="FO761" s="2123"/>
      <c r="FP761" s="2123"/>
      <c r="FQ761" s="2123">
        <v>106.41</v>
      </c>
      <c r="FR761" s="2123">
        <v>106.41</v>
      </c>
      <c r="FS761" s="2123">
        <v>212.41</v>
      </c>
      <c r="FT761" s="2123">
        <v>212.41</v>
      </c>
      <c r="FU761" s="2123">
        <v>212.41</v>
      </c>
      <c r="FV761" s="2123">
        <v>212.41</v>
      </c>
      <c r="FW761" s="2123">
        <v>212.92</v>
      </c>
      <c r="FX761" s="2123">
        <v>212.92</v>
      </c>
      <c r="FY761" s="2123"/>
      <c r="FZ761" s="2123"/>
      <c r="GA761" s="2123"/>
      <c r="GB761" s="2123"/>
      <c r="GC761" s="2123">
        <v>75.22</v>
      </c>
      <c r="GD761" s="2123">
        <v>75.22</v>
      </c>
      <c r="GE761" s="2123">
        <v>169.54</v>
      </c>
      <c r="GF761" s="2123">
        <v>169.54</v>
      </c>
      <c r="GG761" s="2123">
        <v>169.54</v>
      </c>
      <c r="GH761" s="2123">
        <v>169.54</v>
      </c>
      <c r="GI761" s="2123">
        <v>180.03</v>
      </c>
      <c r="GJ761" s="2123">
        <v>180.03</v>
      </c>
      <c r="GK761" s="2123">
        <v>206.95</v>
      </c>
      <c r="GL761" s="2123">
        <v>206.95</v>
      </c>
      <c r="GM761" s="2123"/>
      <c r="GN761" s="2123"/>
      <c r="GO761" s="2123">
        <v>40.270000000000003</v>
      </c>
      <c r="GP761" s="2123">
        <v>40.270000000000003</v>
      </c>
      <c r="GQ761" s="2123">
        <v>34.6</v>
      </c>
      <c r="GR761" s="2123">
        <v>34.6</v>
      </c>
      <c r="GS761" s="2123">
        <v>34.6</v>
      </c>
      <c r="GT761" s="2123">
        <v>33.35</v>
      </c>
      <c r="GU761" s="2123">
        <v>33.35</v>
      </c>
      <c r="GV761" s="2123">
        <v>33.65</v>
      </c>
      <c r="GW761" s="2123">
        <v>196.78</v>
      </c>
      <c r="GX761" s="2123">
        <v>196.78</v>
      </c>
      <c r="GY761" s="2123"/>
      <c r="GZ761" s="2123"/>
      <c r="HA761" s="2123">
        <v>28.13</v>
      </c>
      <c r="HB761" s="2123">
        <v>28.13</v>
      </c>
      <c r="HC761" s="2123">
        <v>21.25</v>
      </c>
      <c r="HD761" s="2123">
        <v>21.25</v>
      </c>
      <c r="HE761" s="2123">
        <v>22</v>
      </c>
      <c r="HF761" s="2123">
        <v>22</v>
      </c>
      <c r="HG761" s="2123">
        <v>22</v>
      </c>
      <c r="HH761" s="2123">
        <v>22</v>
      </c>
      <c r="HI761" s="2123">
        <v>22</v>
      </c>
      <c r="HJ761" s="2123">
        <v>22</v>
      </c>
      <c r="HK761" s="2123">
        <v>22.07</v>
      </c>
      <c r="HL761" s="2123">
        <v>22.29</v>
      </c>
      <c r="HM761" s="2123">
        <v>39.44</v>
      </c>
      <c r="HN761" s="2123">
        <v>39.44</v>
      </c>
      <c r="HO761" s="2123">
        <v>30.15</v>
      </c>
      <c r="HP761" s="2123">
        <v>30.15</v>
      </c>
      <c r="HQ761" s="2123">
        <v>31.19</v>
      </c>
      <c r="HR761" s="2123">
        <v>31.19</v>
      </c>
      <c r="HS761" s="2123">
        <v>31.19</v>
      </c>
      <c r="HT761" s="2123">
        <v>31.19</v>
      </c>
      <c r="HU761" s="2123">
        <v>31.19</v>
      </c>
      <c r="HV761" s="2123">
        <v>31.19</v>
      </c>
      <c r="HW761" s="2123">
        <v>31.26</v>
      </c>
      <c r="HX761" s="2123">
        <v>31.26</v>
      </c>
    </row>
    <row r="762" spans="2:232" s="2040" customFormat="1" ht="14" hidden="1" x14ac:dyDescent="0.3">
      <c r="B762" s="2203">
        <v>68</v>
      </c>
      <c r="C762" s="2204">
        <v>44.61</v>
      </c>
      <c r="D762" s="2204">
        <v>44.61</v>
      </c>
      <c r="E762" s="2204">
        <v>44.78</v>
      </c>
      <c r="F762" s="2204">
        <v>44.78</v>
      </c>
      <c r="G762" s="2204">
        <v>171.91</v>
      </c>
      <c r="H762" s="2204">
        <v>171.91</v>
      </c>
      <c r="I762" s="2204">
        <v>162.44</v>
      </c>
      <c r="J762" s="2204">
        <v>162.44</v>
      </c>
      <c r="K762" s="2204">
        <v>168.02</v>
      </c>
      <c r="L762" s="2204">
        <v>168.02</v>
      </c>
      <c r="M762" s="2204"/>
      <c r="N762" s="2204"/>
      <c r="O762" s="2204">
        <v>139.93</v>
      </c>
      <c r="P762" s="2204">
        <v>139.93</v>
      </c>
      <c r="Q762" s="2204">
        <v>139.58000000000001</v>
      </c>
      <c r="R762" s="2204">
        <v>139.94</v>
      </c>
      <c r="S762" s="2204">
        <v>255.66000000000003</v>
      </c>
      <c r="T762" s="2204">
        <v>254.97</v>
      </c>
      <c r="U762" s="2204">
        <v>246.12</v>
      </c>
      <c r="V762" s="2204">
        <v>246.12</v>
      </c>
      <c r="W762" s="2204">
        <v>254.97</v>
      </c>
      <c r="X762" s="2204">
        <v>254.97</v>
      </c>
      <c r="Y762" s="2204">
        <v>246.12</v>
      </c>
      <c r="Z762" s="2204">
        <v>254.97</v>
      </c>
      <c r="AA762" s="2204">
        <v>254.97</v>
      </c>
      <c r="AB762" s="2204">
        <v>254.97</v>
      </c>
      <c r="AC762" s="2204">
        <v>246.12</v>
      </c>
      <c r="AD762" s="2204">
        <v>246.12</v>
      </c>
      <c r="AE762" s="2204">
        <v>268.97000000000003</v>
      </c>
      <c r="AF762" s="2204">
        <v>261.24</v>
      </c>
      <c r="AG762" s="2204">
        <v>268.97000000000003</v>
      </c>
      <c r="AH762" s="2204">
        <v>268.97000000000003</v>
      </c>
      <c r="AI762" s="2204">
        <v>261.24</v>
      </c>
      <c r="AJ762" s="2204">
        <v>261.24</v>
      </c>
      <c r="AK762" s="2204">
        <v>261.76</v>
      </c>
      <c r="AL762" s="2204">
        <v>261.76</v>
      </c>
      <c r="AM762" s="2204">
        <v>73.86</v>
      </c>
      <c r="AN762" s="2204">
        <v>71.17</v>
      </c>
      <c r="AO762" s="2204">
        <v>71.17</v>
      </c>
      <c r="AP762" s="2204">
        <v>70.87</v>
      </c>
      <c r="AQ762" s="2204">
        <v>71.27</v>
      </c>
      <c r="AR762" s="2204">
        <v>71.27</v>
      </c>
      <c r="AS762" s="2204">
        <v>211.01</v>
      </c>
      <c r="AT762" s="2204">
        <v>211.01</v>
      </c>
      <c r="AU762" s="2204">
        <v>211.01</v>
      </c>
      <c r="AV762" s="2204">
        <v>215.83</v>
      </c>
      <c r="AW762" s="2204">
        <v>211.27</v>
      </c>
      <c r="AX762" s="2204">
        <v>211.27</v>
      </c>
      <c r="AY762" s="2204">
        <v>211.39</v>
      </c>
      <c r="AZ762" s="2204">
        <v>211.39</v>
      </c>
      <c r="BA762" s="2123">
        <v>92.24</v>
      </c>
      <c r="BB762" s="2123">
        <v>92.24</v>
      </c>
      <c r="BC762" s="2123">
        <v>23.2</v>
      </c>
      <c r="BD762" s="2123">
        <v>23.42</v>
      </c>
      <c r="BE762" s="2123">
        <v>26.46</v>
      </c>
      <c r="BF762" s="2123">
        <v>26.46</v>
      </c>
      <c r="BG762" s="2123">
        <v>23.22</v>
      </c>
      <c r="BH762" s="2123">
        <v>23.22</v>
      </c>
      <c r="BI762" s="2123">
        <v>23.04</v>
      </c>
      <c r="BJ762" s="2123">
        <v>23.04</v>
      </c>
      <c r="BK762" s="2123">
        <v>23.04</v>
      </c>
      <c r="BL762" s="2123">
        <v>23.04</v>
      </c>
      <c r="BM762" s="2123">
        <v>53.94</v>
      </c>
      <c r="BN762" s="2123">
        <v>53.94</v>
      </c>
      <c r="BO762" s="2123">
        <v>168.34</v>
      </c>
      <c r="BP762" s="2123">
        <v>168.34</v>
      </c>
      <c r="BQ762" s="2123">
        <v>168.34</v>
      </c>
      <c r="BR762" s="2123">
        <v>168.34</v>
      </c>
      <c r="BS762" s="2123">
        <v>215.99</v>
      </c>
      <c r="BT762" s="2123">
        <v>215.99</v>
      </c>
      <c r="BU762" s="2123">
        <v>215.99</v>
      </c>
      <c r="BV762" s="2123">
        <v>215.99</v>
      </c>
      <c r="BW762" s="2123">
        <v>215.99</v>
      </c>
      <c r="BX762" s="2123">
        <v>215.99</v>
      </c>
      <c r="BY762" s="2123">
        <v>48.89</v>
      </c>
      <c r="BZ762" s="2123">
        <v>48.89</v>
      </c>
      <c r="CA762" s="2123">
        <v>160.71</v>
      </c>
      <c r="CB762" s="2123">
        <v>160.71</v>
      </c>
      <c r="CC762" s="2123">
        <v>163.03</v>
      </c>
      <c r="CD762" s="2123">
        <v>163.03</v>
      </c>
      <c r="CE762" s="2123">
        <v>212.24</v>
      </c>
      <c r="CF762" s="2123">
        <v>212.24</v>
      </c>
      <c r="CG762" s="2123"/>
      <c r="CH762" s="2123"/>
      <c r="CI762" s="2123"/>
      <c r="CJ762" s="2123"/>
      <c r="CK762" s="2123">
        <v>121.77</v>
      </c>
      <c r="CL762" s="2123">
        <v>121.77</v>
      </c>
      <c r="CM762" s="2123">
        <v>246.68</v>
      </c>
      <c r="CN762" s="2123">
        <v>246.68</v>
      </c>
      <c r="CO762" s="2123">
        <v>314.98</v>
      </c>
      <c r="CP762" s="2123">
        <v>314.98</v>
      </c>
      <c r="CQ762" s="2123">
        <v>314.98</v>
      </c>
      <c r="CR762" s="2123">
        <v>314.98</v>
      </c>
      <c r="CS762" s="2123"/>
      <c r="CT762" s="2123"/>
      <c r="CU762" s="2123"/>
      <c r="CV762" s="2123"/>
      <c r="CW762" s="2123">
        <v>113.71</v>
      </c>
      <c r="CX762" s="2123">
        <v>113.71</v>
      </c>
      <c r="CY762" s="2123">
        <v>238.71</v>
      </c>
      <c r="CZ762" s="2123">
        <v>238.71</v>
      </c>
      <c r="DA762" s="2123">
        <v>238.71</v>
      </c>
      <c r="DB762" s="2123">
        <v>238.71</v>
      </c>
      <c r="DC762" s="2123">
        <v>305.27999999999997</v>
      </c>
      <c r="DD762" s="2123">
        <v>305.27999999999997</v>
      </c>
      <c r="DE762" s="2123">
        <v>305.27999999999997</v>
      </c>
      <c r="DF762" s="2123">
        <v>305.27999999999997</v>
      </c>
      <c r="DG762" s="2123"/>
      <c r="DH762" s="2123"/>
      <c r="DI762" s="2123">
        <v>30.13</v>
      </c>
      <c r="DJ762" s="2123">
        <v>30.13</v>
      </c>
      <c r="DK762" s="2123">
        <v>30.13</v>
      </c>
      <c r="DL762" s="2123">
        <v>30.13</v>
      </c>
      <c r="DM762" s="2123">
        <v>30.13</v>
      </c>
      <c r="DN762" s="2123">
        <v>30.13</v>
      </c>
      <c r="DO762" s="2123"/>
      <c r="DP762" s="2123"/>
      <c r="DQ762" s="2123"/>
      <c r="DR762" s="2123"/>
      <c r="DS762" s="2123"/>
      <c r="DT762" s="2123"/>
      <c r="DU762" s="2123">
        <v>13.38</v>
      </c>
      <c r="DV762" s="2123">
        <v>13.38</v>
      </c>
      <c r="DW762" s="2123">
        <v>12.8</v>
      </c>
      <c r="DX762" s="2123">
        <v>12.8</v>
      </c>
      <c r="DY762" s="2123">
        <v>12.8</v>
      </c>
      <c r="DZ762" s="2123">
        <v>12.8</v>
      </c>
      <c r="EA762" s="2123"/>
      <c r="EB762" s="2123"/>
      <c r="EC762" s="2123"/>
      <c r="ED762" s="2123"/>
      <c r="EE762" s="2123"/>
      <c r="EF762" s="2123"/>
      <c r="EG762" s="2123">
        <v>14.37</v>
      </c>
      <c r="EH762" s="2123">
        <v>14.55</v>
      </c>
      <c r="EI762" s="2123">
        <v>11.45</v>
      </c>
      <c r="EJ762" s="2123">
        <v>11.45</v>
      </c>
      <c r="EK762" s="2123">
        <v>11.44</v>
      </c>
      <c r="EL762" s="2123">
        <v>11.44</v>
      </c>
      <c r="EM762" s="2123">
        <v>12.07</v>
      </c>
      <c r="EN762" s="2123">
        <v>12.07</v>
      </c>
      <c r="EO762" s="2123">
        <v>11.44</v>
      </c>
      <c r="EP762" s="2123">
        <v>11.44</v>
      </c>
      <c r="EQ762" s="2123">
        <v>11.77</v>
      </c>
      <c r="ER762" s="2123">
        <v>11.66</v>
      </c>
      <c r="ES762" s="2123">
        <v>55.03</v>
      </c>
      <c r="ET762" s="2123">
        <v>55.03</v>
      </c>
      <c r="EU762" s="2123">
        <v>236.85</v>
      </c>
      <c r="EV762" s="2123">
        <v>236.85</v>
      </c>
      <c r="EW762" s="2123">
        <v>231.61</v>
      </c>
      <c r="EX762" s="2123">
        <v>231.61</v>
      </c>
      <c r="EY762" s="2129">
        <f t="shared" si="56"/>
        <v>234.23000000000002</v>
      </c>
      <c r="EZ762" s="2129">
        <f t="shared" si="56"/>
        <v>234.23000000000002</v>
      </c>
      <c r="FA762" s="2123">
        <v>235.24</v>
      </c>
      <c r="FB762" s="2123">
        <v>235.24</v>
      </c>
      <c r="FC762" s="2123"/>
      <c r="FD762" s="2123"/>
      <c r="FE762" s="2123">
        <v>47.31</v>
      </c>
      <c r="FF762" s="2123">
        <v>47.31</v>
      </c>
      <c r="FG762" s="2123">
        <v>199.4</v>
      </c>
      <c r="FH762" s="2123">
        <v>199.4</v>
      </c>
      <c r="FI762" s="2123">
        <v>199.4</v>
      </c>
      <c r="FJ762" s="2123">
        <v>201.1</v>
      </c>
      <c r="FK762" s="2123">
        <v>198.9</v>
      </c>
      <c r="FL762" s="2123">
        <v>198.9</v>
      </c>
      <c r="FM762" s="2123">
        <v>199.74</v>
      </c>
      <c r="FN762" s="2123">
        <v>199.74</v>
      </c>
      <c r="FO762" s="2123"/>
      <c r="FP762" s="2123"/>
      <c r="FQ762" s="2123">
        <v>106.85</v>
      </c>
      <c r="FR762" s="2123">
        <v>106.85</v>
      </c>
      <c r="FS762" s="2123">
        <v>213.43</v>
      </c>
      <c r="FT762" s="2123">
        <v>213.43</v>
      </c>
      <c r="FU762" s="2123">
        <v>213.43</v>
      </c>
      <c r="FV762" s="2123">
        <v>213.43</v>
      </c>
      <c r="FW762" s="2123">
        <v>213.94</v>
      </c>
      <c r="FX762" s="2123">
        <v>213.94</v>
      </c>
      <c r="FY762" s="2123"/>
      <c r="FZ762" s="2123"/>
      <c r="GA762" s="2123"/>
      <c r="GB762" s="2123"/>
      <c r="GC762" s="2123">
        <v>75.53</v>
      </c>
      <c r="GD762" s="2123">
        <v>75.53</v>
      </c>
      <c r="GE762" s="2123">
        <v>170.18</v>
      </c>
      <c r="GF762" s="2123">
        <v>170.18</v>
      </c>
      <c r="GG762" s="2123">
        <v>170.18</v>
      </c>
      <c r="GH762" s="2123">
        <v>170.18</v>
      </c>
      <c r="GI762" s="2123">
        <v>181.4</v>
      </c>
      <c r="GJ762" s="2123">
        <v>181.4</v>
      </c>
      <c r="GK762" s="2123">
        <v>208.09</v>
      </c>
      <c r="GL762" s="2123">
        <v>208.09</v>
      </c>
      <c r="GM762" s="2123"/>
      <c r="GN762" s="2123"/>
      <c r="GO762" s="2123">
        <v>40.44</v>
      </c>
      <c r="GP762" s="2123">
        <v>40.44</v>
      </c>
      <c r="GQ762" s="2123">
        <v>34.82</v>
      </c>
      <c r="GR762" s="2123">
        <v>34.82</v>
      </c>
      <c r="GS762" s="2123">
        <v>34.82</v>
      </c>
      <c r="GT762" s="2123">
        <v>33.56</v>
      </c>
      <c r="GU762" s="2123">
        <v>33.56</v>
      </c>
      <c r="GV762" s="2123">
        <v>33.85</v>
      </c>
      <c r="GW762" s="2123">
        <v>197.97</v>
      </c>
      <c r="GX762" s="2123">
        <v>197.97</v>
      </c>
      <c r="GY762" s="2123"/>
      <c r="GZ762" s="2123"/>
      <c r="HA762" s="2123">
        <v>28.25</v>
      </c>
      <c r="HB762" s="2123">
        <v>28.25</v>
      </c>
      <c r="HC762" s="2123">
        <v>21.41</v>
      </c>
      <c r="HD762" s="2123">
        <v>21.41</v>
      </c>
      <c r="HE762" s="2123">
        <v>22.14</v>
      </c>
      <c r="HF762" s="2123">
        <v>22.14</v>
      </c>
      <c r="HG762" s="2123">
        <v>22.14</v>
      </c>
      <c r="HH762" s="2123">
        <v>22.14</v>
      </c>
      <c r="HI762" s="2123">
        <v>22.14</v>
      </c>
      <c r="HJ762" s="2123">
        <v>22.14</v>
      </c>
      <c r="HK762" s="2123">
        <v>22.23</v>
      </c>
      <c r="HL762" s="2123">
        <v>22.44</v>
      </c>
      <c r="HM762" s="2123">
        <v>39.57</v>
      </c>
      <c r="HN762" s="2123">
        <v>39.57</v>
      </c>
      <c r="HO762" s="2123">
        <v>30.33</v>
      </c>
      <c r="HP762" s="2123">
        <v>30.33</v>
      </c>
      <c r="HQ762" s="2123">
        <v>31.34</v>
      </c>
      <c r="HR762" s="2123">
        <v>31.34</v>
      </c>
      <c r="HS762" s="2123">
        <v>31.34</v>
      </c>
      <c r="HT762" s="2123">
        <v>31.34</v>
      </c>
      <c r="HU762" s="2123">
        <v>31.34</v>
      </c>
      <c r="HV762" s="2123">
        <v>31.34</v>
      </c>
      <c r="HW762" s="2123">
        <v>31.43</v>
      </c>
      <c r="HX762" s="2123">
        <v>31.43</v>
      </c>
    </row>
    <row r="763" spans="2:232" s="2040" customFormat="1" ht="14" hidden="1" x14ac:dyDescent="0.3">
      <c r="B763" s="2203">
        <v>69</v>
      </c>
      <c r="C763" s="2204">
        <v>44.79</v>
      </c>
      <c r="D763" s="2204">
        <v>44.79</v>
      </c>
      <c r="E763" s="2204">
        <v>44.95</v>
      </c>
      <c r="F763" s="2204">
        <v>44.95</v>
      </c>
      <c r="G763" s="2204">
        <v>172.72</v>
      </c>
      <c r="H763" s="2204">
        <v>172.72</v>
      </c>
      <c r="I763" s="2204">
        <v>163.33000000000001</v>
      </c>
      <c r="J763" s="2204">
        <v>163.33000000000001</v>
      </c>
      <c r="K763" s="2204">
        <v>168.8</v>
      </c>
      <c r="L763" s="2204">
        <v>168.8</v>
      </c>
      <c r="M763" s="2204"/>
      <c r="N763" s="2204"/>
      <c r="O763" s="2204">
        <v>140.41</v>
      </c>
      <c r="P763" s="2204">
        <v>140.41</v>
      </c>
      <c r="Q763" s="2204">
        <v>140.05000000000001</v>
      </c>
      <c r="R763" s="2204">
        <v>140.41999999999999</v>
      </c>
      <c r="S763" s="2204">
        <v>256.92</v>
      </c>
      <c r="T763" s="2204">
        <v>256.43</v>
      </c>
      <c r="U763" s="2204">
        <v>247.52</v>
      </c>
      <c r="V763" s="2204">
        <v>247.52</v>
      </c>
      <c r="W763" s="2204">
        <v>256.43</v>
      </c>
      <c r="X763" s="2204">
        <v>256.43</v>
      </c>
      <c r="Y763" s="2204">
        <v>247.52</v>
      </c>
      <c r="Z763" s="2204">
        <v>256.43</v>
      </c>
      <c r="AA763" s="2204">
        <v>256.43</v>
      </c>
      <c r="AB763" s="2204">
        <v>256.43</v>
      </c>
      <c r="AC763" s="2204">
        <v>247.52</v>
      </c>
      <c r="AD763" s="2204">
        <v>247.52</v>
      </c>
      <c r="AE763" s="2204">
        <v>270.29000000000002</v>
      </c>
      <c r="AF763" s="2204">
        <v>262.52</v>
      </c>
      <c r="AG763" s="2204">
        <v>270.29000000000002</v>
      </c>
      <c r="AH763" s="2204">
        <v>270.29000000000002</v>
      </c>
      <c r="AI763" s="2204">
        <v>262.52</v>
      </c>
      <c r="AJ763" s="2204">
        <v>262.52</v>
      </c>
      <c r="AK763" s="2204">
        <v>263.02999999999997</v>
      </c>
      <c r="AL763" s="2204">
        <v>263.02999999999997</v>
      </c>
      <c r="AM763" s="2204">
        <v>74.150000000000006</v>
      </c>
      <c r="AN763" s="2204">
        <v>71.45</v>
      </c>
      <c r="AO763" s="2204">
        <v>71.45</v>
      </c>
      <c r="AP763" s="2204">
        <v>71.099999999999994</v>
      </c>
      <c r="AQ763" s="2204">
        <v>71.5</v>
      </c>
      <c r="AR763" s="2204">
        <v>71.5</v>
      </c>
      <c r="AS763" s="2204">
        <v>211.88</v>
      </c>
      <c r="AT763" s="2204">
        <v>211.88</v>
      </c>
      <c r="AU763" s="2204">
        <v>211.88</v>
      </c>
      <c r="AV763" s="2204">
        <v>216.71</v>
      </c>
      <c r="AW763" s="2204">
        <v>212.13</v>
      </c>
      <c r="AX763" s="2204">
        <v>212.13</v>
      </c>
      <c r="AY763" s="2204">
        <v>212.26</v>
      </c>
      <c r="AZ763" s="2204">
        <v>212.26</v>
      </c>
      <c r="BA763" s="2123">
        <v>92.69</v>
      </c>
      <c r="BB763" s="2123">
        <v>92.69</v>
      </c>
      <c r="BC763" s="2123">
        <v>23.34</v>
      </c>
      <c r="BD763" s="2123">
        <v>23.55</v>
      </c>
      <c r="BE763" s="2123">
        <v>26.56</v>
      </c>
      <c r="BF763" s="2123">
        <v>26.56</v>
      </c>
      <c r="BG763" s="2123">
        <v>23.35</v>
      </c>
      <c r="BH763" s="2123">
        <v>23.35</v>
      </c>
      <c r="BI763" s="2123">
        <v>23.17</v>
      </c>
      <c r="BJ763" s="2123">
        <v>23.17</v>
      </c>
      <c r="BK763" s="2123">
        <v>23.17</v>
      </c>
      <c r="BL763" s="2123">
        <v>23.17</v>
      </c>
      <c r="BM763" s="2123">
        <v>54.14</v>
      </c>
      <c r="BN763" s="2123">
        <v>54.14</v>
      </c>
      <c r="BO763" s="2123">
        <v>169.08</v>
      </c>
      <c r="BP763" s="2123">
        <v>169.08</v>
      </c>
      <c r="BQ763" s="2123">
        <v>169.08</v>
      </c>
      <c r="BR763" s="2123">
        <v>169.08</v>
      </c>
      <c r="BS763" s="2123">
        <v>217.11</v>
      </c>
      <c r="BT763" s="2123">
        <v>217.11</v>
      </c>
      <c r="BU763" s="2123">
        <v>217.11</v>
      </c>
      <c r="BV763" s="2123">
        <v>217.11</v>
      </c>
      <c r="BW763" s="2123">
        <v>217.11</v>
      </c>
      <c r="BX763" s="2123">
        <v>217.11</v>
      </c>
      <c r="BY763" s="2123">
        <v>49.08</v>
      </c>
      <c r="BZ763" s="2123">
        <v>49.08</v>
      </c>
      <c r="CA763" s="2123">
        <v>161.44999999999999</v>
      </c>
      <c r="CB763" s="2123">
        <v>161.44999999999999</v>
      </c>
      <c r="CC763" s="2123">
        <v>163.79</v>
      </c>
      <c r="CD763" s="2123">
        <v>163.79</v>
      </c>
      <c r="CE763" s="2123">
        <v>213.4</v>
      </c>
      <c r="CF763" s="2123">
        <v>213.4</v>
      </c>
      <c r="CG763" s="2123"/>
      <c r="CH763" s="2123"/>
      <c r="CI763" s="2123"/>
      <c r="CJ763" s="2123"/>
      <c r="CK763" s="2123">
        <v>122.29</v>
      </c>
      <c r="CL763" s="2123">
        <v>122.29</v>
      </c>
      <c r="CM763" s="2123">
        <v>247.61</v>
      </c>
      <c r="CN763" s="2123">
        <v>247.61</v>
      </c>
      <c r="CO763" s="2123">
        <v>316.49</v>
      </c>
      <c r="CP763" s="2123">
        <v>316.49</v>
      </c>
      <c r="CQ763" s="2123">
        <v>316.49</v>
      </c>
      <c r="CR763" s="2123">
        <v>316.49</v>
      </c>
      <c r="CS763" s="2123"/>
      <c r="CT763" s="2123"/>
      <c r="CU763" s="2123"/>
      <c r="CV763" s="2123"/>
      <c r="CW763" s="2123">
        <v>114.19</v>
      </c>
      <c r="CX763" s="2123">
        <v>114.19</v>
      </c>
      <c r="CY763" s="2123">
        <v>239.6</v>
      </c>
      <c r="CZ763" s="2123">
        <v>239.6</v>
      </c>
      <c r="DA763" s="2123">
        <v>239.6</v>
      </c>
      <c r="DB763" s="2123">
        <v>239.6</v>
      </c>
      <c r="DC763" s="2123">
        <v>306.7</v>
      </c>
      <c r="DD763" s="2123">
        <v>306.7</v>
      </c>
      <c r="DE763" s="2123">
        <v>306.7</v>
      </c>
      <c r="DF763" s="2123">
        <v>306.7</v>
      </c>
      <c r="DG763" s="2123"/>
      <c r="DH763" s="2123"/>
      <c r="DI763" s="2123">
        <v>30.25</v>
      </c>
      <c r="DJ763" s="2123">
        <v>30.25</v>
      </c>
      <c r="DK763" s="2123">
        <v>30.25</v>
      </c>
      <c r="DL763" s="2123">
        <v>30.25</v>
      </c>
      <c r="DM763" s="2123">
        <v>30.25</v>
      </c>
      <c r="DN763" s="2123">
        <v>30.25</v>
      </c>
      <c r="DO763" s="2123"/>
      <c r="DP763" s="2123"/>
      <c r="DQ763" s="2123"/>
      <c r="DR763" s="2123"/>
      <c r="DS763" s="2123"/>
      <c r="DT763" s="2123"/>
      <c r="DU763" s="2123">
        <v>13.44</v>
      </c>
      <c r="DV763" s="2123">
        <v>13.44</v>
      </c>
      <c r="DW763" s="2123">
        <v>12.86</v>
      </c>
      <c r="DX763" s="2123">
        <v>12.86</v>
      </c>
      <c r="DY763" s="2123">
        <v>12.86</v>
      </c>
      <c r="DZ763" s="2123">
        <v>12.86</v>
      </c>
      <c r="EA763" s="2123"/>
      <c r="EB763" s="2123"/>
      <c r="EC763" s="2123"/>
      <c r="ED763" s="2123"/>
      <c r="EE763" s="2123"/>
      <c r="EF763" s="2123"/>
      <c r="EG763" s="2123">
        <v>14.43</v>
      </c>
      <c r="EH763" s="2123">
        <v>14.61</v>
      </c>
      <c r="EI763" s="2123">
        <v>11.52</v>
      </c>
      <c r="EJ763" s="2123">
        <v>11.52</v>
      </c>
      <c r="EK763" s="2123">
        <v>11.51</v>
      </c>
      <c r="EL763" s="2123">
        <v>11.51</v>
      </c>
      <c r="EM763" s="2123">
        <v>12.14</v>
      </c>
      <c r="EN763" s="2123">
        <v>12.14</v>
      </c>
      <c r="EO763" s="2123">
        <v>11.51</v>
      </c>
      <c r="EP763" s="2123">
        <v>11.51</v>
      </c>
      <c r="EQ763" s="2123">
        <v>11.84</v>
      </c>
      <c r="ER763" s="2123">
        <v>11.73</v>
      </c>
      <c r="ES763" s="2123">
        <v>55.24</v>
      </c>
      <c r="ET763" s="2123">
        <v>55.24</v>
      </c>
      <c r="EU763" s="2123">
        <v>238.18</v>
      </c>
      <c r="EV763" s="2123">
        <v>238.18</v>
      </c>
      <c r="EW763" s="2123">
        <v>232.93</v>
      </c>
      <c r="EX763" s="2123">
        <v>232.93</v>
      </c>
      <c r="EY763" s="2129">
        <f t="shared" si="56"/>
        <v>235.55500000000001</v>
      </c>
      <c r="EZ763" s="2129">
        <f t="shared" si="56"/>
        <v>235.55500000000001</v>
      </c>
      <c r="FA763" s="2123">
        <v>236.52</v>
      </c>
      <c r="FB763" s="2123">
        <v>236.52</v>
      </c>
      <c r="FC763" s="2123"/>
      <c r="FD763" s="2123"/>
      <c r="FE763" s="2123">
        <v>47.5</v>
      </c>
      <c r="FF763" s="2123">
        <v>47.5</v>
      </c>
      <c r="FG763" s="2123">
        <v>200.54</v>
      </c>
      <c r="FH763" s="2123">
        <v>200.54</v>
      </c>
      <c r="FI763" s="2123">
        <v>200.54</v>
      </c>
      <c r="FJ763" s="2123">
        <v>202.2</v>
      </c>
      <c r="FK763" s="2123">
        <v>200.05</v>
      </c>
      <c r="FL763" s="2123">
        <v>200.05</v>
      </c>
      <c r="FM763" s="2123">
        <v>200.87</v>
      </c>
      <c r="FN763" s="2123">
        <v>200.87</v>
      </c>
      <c r="FO763" s="2123"/>
      <c r="FP763" s="2123"/>
      <c r="FQ763" s="2123">
        <v>107.29</v>
      </c>
      <c r="FR763" s="2123">
        <v>107.29</v>
      </c>
      <c r="FS763" s="2123">
        <v>214.43</v>
      </c>
      <c r="FT763" s="2123">
        <v>214.43</v>
      </c>
      <c r="FU763" s="2123">
        <v>214.43</v>
      </c>
      <c r="FV763" s="2123">
        <v>214.43</v>
      </c>
      <c r="FW763" s="2123">
        <v>214.93</v>
      </c>
      <c r="FX763" s="2123">
        <v>214.93</v>
      </c>
      <c r="FY763" s="2123"/>
      <c r="FZ763" s="2123"/>
      <c r="GA763" s="2123"/>
      <c r="GB763" s="2123"/>
      <c r="GC763" s="2123">
        <v>75.83</v>
      </c>
      <c r="GD763" s="2123">
        <v>75.83</v>
      </c>
      <c r="GE763" s="2123">
        <v>170.8</v>
      </c>
      <c r="GF763" s="2123">
        <v>170.8</v>
      </c>
      <c r="GG763" s="2123">
        <v>170.8</v>
      </c>
      <c r="GH763" s="2123">
        <v>170.8</v>
      </c>
      <c r="GI763" s="2123">
        <v>182.74</v>
      </c>
      <c r="GJ763" s="2123">
        <v>182.74</v>
      </c>
      <c r="GK763" s="2123">
        <v>209.2</v>
      </c>
      <c r="GL763" s="2123">
        <v>209.2</v>
      </c>
      <c r="GM763" s="2123"/>
      <c r="GN763" s="2123"/>
      <c r="GO763" s="2123">
        <v>40.6</v>
      </c>
      <c r="GP763" s="2123">
        <v>40.6</v>
      </c>
      <c r="GQ763" s="2123">
        <v>35.020000000000003</v>
      </c>
      <c r="GR763" s="2123">
        <v>35.020000000000003</v>
      </c>
      <c r="GS763" s="2123">
        <v>35.020000000000003</v>
      </c>
      <c r="GT763" s="2123">
        <v>33.75</v>
      </c>
      <c r="GU763" s="2123">
        <v>33.75</v>
      </c>
      <c r="GV763" s="2123">
        <v>34.04</v>
      </c>
      <c r="GW763" s="2123">
        <v>199.07</v>
      </c>
      <c r="GX763" s="2123">
        <v>199.07</v>
      </c>
      <c r="GY763" s="2123"/>
      <c r="GZ763" s="2123"/>
      <c r="HA763" s="2123">
        <v>28.36</v>
      </c>
      <c r="HB763" s="2123">
        <v>28.36</v>
      </c>
      <c r="HC763" s="2123">
        <v>21.56</v>
      </c>
      <c r="HD763" s="2123">
        <v>21.56</v>
      </c>
      <c r="HE763" s="2123">
        <v>22.29</v>
      </c>
      <c r="HF763" s="2123">
        <v>22.29</v>
      </c>
      <c r="HG763" s="2123">
        <v>22.29</v>
      </c>
      <c r="HH763" s="2123">
        <v>22.29</v>
      </c>
      <c r="HI763" s="2123">
        <v>22.29</v>
      </c>
      <c r="HJ763" s="2123">
        <v>22.29</v>
      </c>
      <c r="HK763" s="2123">
        <v>22.37</v>
      </c>
      <c r="HL763" s="2123">
        <v>22.58</v>
      </c>
      <c r="HM763" s="2123">
        <v>39.69</v>
      </c>
      <c r="HN763" s="2123">
        <v>39.69</v>
      </c>
      <c r="HO763" s="2123">
        <v>30.49</v>
      </c>
      <c r="HP763" s="2123">
        <v>30.49</v>
      </c>
      <c r="HQ763" s="2123">
        <v>31.51</v>
      </c>
      <c r="HR763" s="2123">
        <v>31.51</v>
      </c>
      <c r="HS763" s="2123">
        <v>31.51</v>
      </c>
      <c r="HT763" s="2123">
        <v>31.51</v>
      </c>
      <c r="HU763" s="2123">
        <v>31.51</v>
      </c>
      <c r="HV763" s="2123">
        <v>31.51</v>
      </c>
      <c r="HW763" s="2123">
        <v>31.59</v>
      </c>
      <c r="HX763" s="2123">
        <v>31.59</v>
      </c>
    </row>
    <row r="764" spans="2:232" s="2040" customFormat="1" ht="14" hidden="1" x14ac:dyDescent="0.3">
      <c r="B764" s="2203">
        <v>70</v>
      </c>
      <c r="C764" s="2204">
        <v>44.96</v>
      </c>
      <c r="D764" s="2204">
        <v>44.96</v>
      </c>
      <c r="E764" s="2204">
        <v>45.11</v>
      </c>
      <c r="F764" s="2204">
        <v>45.11</v>
      </c>
      <c r="G764" s="2204">
        <v>173.53</v>
      </c>
      <c r="H764" s="2204">
        <v>173.53</v>
      </c>
      <c r="I764" s="2204">
        <v>164.14</v>
      </c>
      <c r="J764" s="2204">
        <v>164.14</v>
      </c>
      <c r="K764" s="2204">
        <v>169.51</v>
      </c>
      <c r="L764" s="2204">
        <v>169.51</v>
      </c>
      <c r="M764" s="2204"/>
      <c r="N764" s="2204"/>
      <c r="O764" s="2204">
        <v>140.94</v>
      </c>
      <c r="P764" s="2204">
        <v>140.94</v>
      </c>
      <c r="Q764" s="2204">
        <v>140.57</v>
      </c>
      <c r="R764" s="2204">
        <v>140.94999999999999</v>
      </c>
      <c r="S764" s="2204">
        <v>258.3</v>
      </c>
      <c r="T764" s="2204">
        <v>257.85000000000002</v>
      </c>
      <c r="U764" s="2204">
        <v>248.9</v>
      </c>
      <c r="V764" s="2204">
        <v>248.9</v>
      </c>
      <c r="W764" s="2204">
        <v>257.85000000000002</v>
      </c>
      <c r="X764" s="2204">
        <v>257.85000000000002</v>
      </c>
      <c r="Y764" s="2204">
        <v>248.9</v>
      </c>
      <c r="Z764" s="2204">
        <v>257.85000000000002</v>
      </c>
      <c r="AA764" s="2204">
        <v>257.85000000000002</v>
      </c>
      <c r="AB764" s="2204">
        <v>257.85000000000002</v>
      </c>
      <c r="AC764" s="2204">
        <v>248.9</v>
      </c>
      <c r="AD764" s="2204">
        <v>248.9</v>
      </c>
      <c r="AE764" s="2204">
        <v>271.58</v>
      </c>
      <c r="AF764" s="2204">
        <v>263.77</v>
      </c>
      <c r="AG764" s="2204">
        <v>271.58</v>
      </c>
      <c r="AH764" s="2204">
        <v>271.58</v>
      </c>
      <c r="AI764" s="2204">
        <v>263.77</v>
      </c>
      <c r="AJ764" s="2204">
        <v>263.77</v>
      </c>
      <c r="AK764" s="2204">
        <v>264.27</v>
      </c>
      <c r="AL764" s="2204">
        <v>264.27</v>
      </c>
      <c r="AM764" s="2204">
        <v>74.44</v>
      </c>
      <c r="AN764" s="2204">
        <v>71.73</v>
      </c>
      <c r="AO764" s="2204">
        <v>71.73</v>
      </c>
      <c r="AP764" s="2204">
        <v>71.36</v>
      </c>
      <c r="AQ764" s="2204">
        <v>71.739999999999995</v>
      </c>
      <c r="AR764" s="2204">
        <v>71.739999999999995</v>
      </c>
      <c r="AS764" s="2204">
        <v>212.84</v>
      </c>
      <c r="AT764" s="2204">
        <v>212.84</v>
      </c>
      <c r="AU764" s="2204">
        <v>212.84</v>
      </c>
      <c r="AV764" s="2204">
        <v>217.69</v>
      </c>
      <c r="AW764" s="2204">
        <v>213.1</v>
      </c>
      <c r="AX764" s="2204">
        <v>213.1</v>
      </c>
      <c r="AY764" s="2204">
        <v>213.23</v>
      </c>
      <c r="AZ764" s="2204">
        <v>213.23</v>
      </c>
      <c r="BA764" s="2123">
        <v>93.07</v>
      </c>
      <c r="BB764" s="2123">
        <v>93.07</v>
      </c>
      <c r="BC764" s="2123">
        <v>23.49</v>
      </c>
      <c r="BD764" s="2123">
        <v>23.69</v>
      </c>
      <c r="BE764" s="2123">
        <v>26.65</v>
      </c>
      <c r="BF764" s="2123">
        <v>26.65</v>
      </c>
      <c r="BG764" s="2123">
        <v>23.47</v>
      </c>
      <c r="BH764" s="2123">
        <v>23.47</v>
      </c>
      <c r="BI764" s="2123">
        <v>23.28</v>
      </c>
      <c r="BJ764" s="2123">
        <v>23.28</v>
      </c>
      <c r="BK764" s="2123">
        <v>23.28</v>
      </c>
      <c r="BL764" s="2123">
        <v>23.28</v>
      </c>
      <c r="BM764" s="2123">
        <v>54.3</v>
      </c>
      <c r="BN764" s="2123">
        <v>54.3</v>
      </c>
      <c r="BO764" s="2123">
        <v>169.67</v>
      </c>
      <c r="BP764" s="2123">
        <v>169.67</v>
      </c>
      <c r="BQ764" s="2123">
        <v>169.67</v>
      </c>
      <c r="BR764" s="2123">
        <v>169.67</v>
      </c>
      <c r="BS764" s="2123">
        <v>218.03</v>
      </c>
      <c r="BT764" s="2123">
        <v>218.03</v>
      </c>
      <c r="BU764" s="2123">
        <v>218.03</v>
      </c>
      <c r="BV764" s="2123">
        <v>218.03</v>
      </c>
      <c r="BW764" s="2123">
        <v>218.03</v>
      </c>
      <c r="BX764" s="2123">
        <v>218.03</v>
      </c>
      <c r="BY764" s="2123">
        <v>49.24</v>
      </c>
      <c r="BZ764" s="2123">
        <v>49.24</v>
      </c>
      <c r="CA764" s="2123">
        <v>162.08000000000001</v>
      </c>
      <c r="CB764" s="2123">
        <v>162.08000000000001</v>
      </c>
      <c r="CC764" s="2123">
        <v>164.43</v>
      </c>
      <c r="CD764" s="2123">
        <v>164.43</v>
      </c>
      <c r="CE764" s="2123">
        <v>214.39</v>
      </c>
      <c r="CF764" s="2123">
        <v>214.39</v>
      </c>
      <c r="CG764" s="2123"/>
      <c r="CH764" s="2123"/>
      <c r="CI764" s="2123"/>
      <c r="CJ764" s="2123"/>
      <c r="CK764" s="2123">
        <v>122.76</v>
      </c>
      <c r="CL764" s="2123">
        <v>122.76</v>
      </c>
      <c r="CM764" s="2123">
        <v>248.43</v>
      </c>
      <c r="CN764" s="2123">
        <v>248.43</v>
      </c>
      <c r="CO764" s="2123">
        <v>317.82</v>
      </c>
      <c r="CP764" s="2123">
        <v>317.82</v>
      </c>
      <c r="CQ764" s="2123">
        <v>317.82</v>
      </c>
      <c r="CR764" s="2123">
        <v>317.82</v>
      </c>
      <c r="CS764" s="2123"/>
      <c r="CT764" s="2123"/>
      <c r="CU764" s="2123"/>
      <c r="CV764" s="2123"/>
      <c r="CW764" s="2123">
        <v>114.62</v>
      </c>
      <c r="CX764" s="2123">
        <v>114.62</v>
      </c>
      <c r="CY764" s="2123">
        <v>240.36</v>
      </c>
      <c r="CZ764" s="2123">
        <v>240.36</v>
      </c>
      <c r="DA764" s="2123">
        <v>240.36</v>
      </c>
      <c r="DB764" s="2123">
        <v>240.36</v>
      </c>
      <c r="DC764" s="2123">
        <v>307.94</v>
      </c>
      <c r="DD764" s="2123">
        <v>307.94</v>
      </c>
      <c r="DE764" s="2123">
        <v>307.94</v>
      </c>
      <c r="DF764" s="2123">
        <v>307.94</v>
      </c>
      <c r="DG764" s="2123"/>
      <c r="DH764" s="2123"/>
      <c r="DI764" s="2123">
        <v>30.36</v>
      </c>
      <c r="DJ764" s="2123">
        <v>30.36</v>
      </c>
      <c r="DK764" s="2123">
        <v>30.36</v>
      </c>
      <c r="DL764" s="2123">
        <v>30.36</v>
      </c>
      <c r="DM764" s="2123">
        <v>30.36</v>
      </c>
      <c r="DN764" s="2123">
        <v>30.36</v>
      </c>
      <c r="DO764" s="2123"/>
      <c r="DP764" s="2123"/>
      <c r="DQ764" s="2123"/>
      <c r="DR764" s="2123"/>
      <c r="DS764" s="2123"/>
      <c r="DT764" s="2123"/>
      <c r="DU764" s="2123">
        <v>13.5</v>
      </c>
      <c r="DV764" s="2123">
        <v>13.5</v>
      </c>
      <c r="DW764" s="2123">
        <v>12.93</v>
      </c>
      <c r="DX764" s="2123">
        <v>12.93</v>
      </c>
      <c r="DY764" s="2123">
        <v>12.93</v>
      </c>
      <c r="DZ764" s="2123">
        <v>12.93</v>
      </c>
      <c r="EA764" s="2123"/>
      <c r="EB764" s="2123"/>
      <c r="EC764" s="2123"/>
      <c r="ED764" s="2123"/>
      <c r="EE764" s="2123"/>
      <c r="EF764" s="2123"/>
      <c r="EG764" s="2123">
        <v>14.48</v>
      </c>
      <c r="EH764" s="2123">
        <v>14.66</v>
      </c>
      <c r="EI764" s="2123">
        <v>11.6</v>
      </c>
      <c r="EJ764" s="2123">
        <v>11.6</v>
      </c>
      <c r="EK764" s="2123">
        <v>11.59</v>
      </c>
      <c r="EL764" s="2123">
        <v>11.59</v>
      </c>
      <c r="EM764" s="2123">
        <v>12.21</v>
      </c>
      <c r="EN764" s="2123">
        <v>12.21</v>
      </c>
      <c r="EO764" s="2123">
        <v>11.58</v>
      </c>
      <c r="EP764" s="2123">
        <v>11.58</v>
      </c>
      <c r="EQ764" s="2123">
        <v>11.91</v>
      </c>
      <c r="ER764" s="2123">
        <v>11.79</v>
      </c>
      <c r="ES764" s="2123">
        <v>55.46</v>
      </c>
      <c r="ET764" s="2123">
        <v>55.46</v>
      </c>
      <c r="EU764" s="2123">
        <v>239.48</v>
      </c>
      <c r="EV764" s="2123">
        <v>239.48</v>
      </c>
      <c r="EW764" s="2123">
        <v>234.22</v>
      </c>
      <c r="EX764" s="2123">
        <v>234.22</v>
      </c>
      <c r="EY764" s="2129">
        <f t="shared" si="56"/>
        <v>236.85</v>
      </c>
      <c r="EZ764" s="2129">
        <f t="shared" si="56"/>
        <v>236.85</v>
      </c>
      <c r="FA764" s="2123">
        <v>237.76</v>
      </c>
      <c r="FB764" s="2123">
        <v>237.76</v>
      </c>
      <c r="FC764" s="2123"/>
      <c r="FD764" s="2123"/>
      <c r="FE764" s="2123">
        <v>47.69</v>
      </c>
      <c r="FF764" s="2123">
        <v>47.69</v>
      </c>
      <c r="FG764" s="2123">
        <v>201.66</v>
      </c>
      <c r="FH764" s="2123">
        <v>201.66</v>
      </c>
      <c r="FI764" s="2123">
        <v>201.66</v>
      </c>
      <c r="FJ764" s="2123">
        <v>203.28</v>
      </c>
      <c r="FK764" s="2123">
        <v>201.17</v>
      </c>
      <c r="FL764" s="2123">
        <v>201.17</v>
      </c>
      <c r="FM764" s="2123">
        <v>201.98</v>
      </c>
      <c r="FN764" s="2123">
        <v>201.98</v>
      </c>
      <c r="FO764" s="2123"/>
      <c r="FP764" s="2123"/>
      <c r="FQ764" s="2123">
        <v>107.71</v>
      </c>
      <c r="FR764" s="2123">
        <v>107.71</v>
      </c>
      <c r="FS764" s="2123">
        <v>215.41</v>
      </c>
      <c r="FT764" s="2123">
        <v>215.41</v>
      </c>
      <c r="FU764" s="2123">
        <v>215.41</v>
      </c>
      <c r="FV764" s="2123">
        <v>215.41</v>
      </c>
      <c r="FW764" s="2123">
        <v>215.89</v>
      </c>
      <c r="FX764" s="2123">
        <v>215.89</v>
      </c>
      <c r="FY764" s="2123"/>
      <c r="FZ764" s="2123"/>
      <c r="GA764" s="2123"/>
      <c r="GB764" s="2123"/>
      <c r="GC764" s="2123">
        <v>76.12</v>
      </c>
      <c r="GD764" s="2123">
        <v>76.12</v>
      </c>
      <c r="GE764" s="2123">
        <v>171.41</v>
      </c>
      <c r="GF764" s="2123">
        <v>171.41</v>
      </c>
      <c r="GG764" s="2123">
        <v>171.41</v>
      </c>
      <c r="GH764" s="2123">
        <v>171.41</v>
      </c>
      <c r="GI764" s="2123">
        <v>184.05</v>
      </c>
      <c r="GJ764" s="2123">
        <v>184.05</v>
      </c>
      <c r="GK764" s="2123">
        <v>210.29</v>
      </c>
      <c r="GL764" s="2123">
        <v>210.29</v>
      </c>
      <c r="GM764" s="2123"/>
      <c r="GN764" s="2123"/>
      <c r="GO764" s="2123">
        <v>40.76</v>
      </c>
      <c r="GP764" s="2123">
        <v>40.76</v>
      </c>
      <c r="GQ764" s="2123">
        <v>35.200000000000003</v>
      </c>
      <c r="GR764" s="2123">
        <v>35.200000000000003</v>
      </c>
      <c r="GS764" s="2123">
        <v>35.200000000000003</v>
      </c>
      <c r="GT764" s="2123">
        <v>33.93</v>
      </c>
      <c r="GU764" s="2123">
        <v>33.93</v>
      </c>
      <c r="GV764" s="2123">
        <v>34.21</v>
      </c>
      <c r="GW764" s="2123">
        <v>200.08</v>
      </c>
      <c r="GX764" s="2123">
        <v>200.08</v>
      </c>
      <c r="GY764" s="2123"/>
      <c r="GZ764" s="2123"/>
      <c r="HA764" s="2123">
        <v>28.47</v>
      </c>
      <c r="HB764" s="2123">
        <v>28.47</v>
      </c>
      <c r="HC764" s="2123">
        <v>21.71</v>
      </c>
      <c r="HD764" s="2123">
        <v>21.71</v>
      </c>
      <c r="HE764" s="2123">
        <v>22.47</v>
      </c>
      <c r="HF764" s="2123">
        <v>22.47</v>
      </c>
      <c r="HG764" s="2123">
        <v>22.47</v>
      </c>
      <c r="HH764" s="2123">
        <v>22.47</v>
      </c>
      <c r="HI764" s="2123">
        <v>22.47</v>
      </c>
      <c r="HJ764" s="2123">
        <v>22.47</v>
      </c>
      <c r="HK764" s="2123">
        <v>22.51</v>
      </c>
      <c r="HL764" s="2123">
        <v>22.72</v>
      </c>
      <c r="HM764" s="2123">
        <v>39.81</v>
      </c>
      <c r="HN764" s="2123">
        <v>39.81</v>
      </c>
      <c r="HO764" s="2123">
        <v>30.66</v>
      </c>
      <c r="HP764" s="2123">
        <v>30.66</v>
      </c>
      <c r="HQ764" s="2123">
        <v>31.77</v>
      </c>
      <c r="HR764" s="2123">
        <v>31.77</v>
      </c>
      <c r="HS764" s="2123">
        <v>31.77</v>
      </c>
      <c r="HT764" s="2123">
        <v>31.77</v>
      </c>
      <c r="HU764" s="2123">
        <v>31.77</v>
      </c>
      <c r="HV764" s="2123">
        <v>31.77</v>
      </c>
      <c r="HW764" s="2123">
        <v>31.75</v>
      </c>
      <c r="HX764" s="2123">
        <v>31.75</v>
      </c>
    </row>
    <row r="765" spans="2:232" s="2040" customFormat="1" ht="14" hidden="1" x14ac:dyDescent="0.3">
      <c r="B765" s="2203">
        <v>71</v>
      </c>
      <c r="C765" s="2204">
        <v>45.13</v>
      </c>
      <c r="D765" s="2204">
        <v>45.13</v>
      </c>
      <c r="E765" s="2204">
        <v>45.28</v>
      </c>
      <c r="F765" s="2204">
        <v>45.28</v>
      </c>
      <c r="G765" s="2204">
        <v>174.41</v>
      </c>
      <c r="H765" s="2204">
        <v>174.41</v>
      </c>
      <c r="I765" s="2204">
        <v>164.96</v>
      </c>
      <c r="J765" s="2204">
        <v>164.96</v>
      </c>
      <c r="K765" s="2204">
        <v>170.23</v>
      </c>
      <c r="L765" s="2204">
        <v>170.23</v>
      </c>
      <c r="M765" s="2204"/>
      <c r="N765" s="2204"/>
      <c r="O765" s="2204">
        <v>141.52000000000001</v>
      </c>
      <c r="P765" s="2204">
        <v>141.52000000000001</v>
      </c>
      <c r="Q765" s="2204">
        <v>141.13</v>
      </c>
      <c r="R765" s="2204">
        <v>141.53</v>
      </c>
      <c r="S765" s="2204">
        <v>259.81</v>
      </c>
      <c r="T765" s="2204">
        <v>259.24</v>
      </c>
      <c r="U765" s="2204">
        <v>250.24</v>
      </c>
      <c r="V765" s="2204">
        <v>250.24</v>
      </c>
      <c r="W765" s="2204">
        <v>259.24</v>
      </c>
      <c r="X765" s="2204">
        <v>259.24</v>
      </c>
      <c r="Y765" s="2204">
        <v>250.24</v>
      </c>
      <c r="Z765" s="2204">
        <v>259.24</v>
      </c>
      <c r="AA765" s="2204">
        <v>259.24</v>
      </c>
      <c r="AB765" s="2204">
        <v>259.24</v>
      </c>
      <c r="AC765" s="2204">
        <v>250.24</v>
      </c>
      <c r="AD765" s="2204">
        <v>250.24</v>
      </c>
      <c r="AE765" s="2204">
        <v>272.83999999999997</v>
      </c>
      <c r="AF765" s="2204">
        <v>265</v>
      </c>
      <c r="AG765" s="2204">
        <v>272.83999999999997</v>
      </c>
      <c r="AH765" s="2204">
        <v>272.83999999999997</v>
      </c>
      <c r="AI765" s="2204">
        <v>265</v>
      </c>
      <c r="AJ765" s="2204">
        <v>265</v>
      </c>
      <c r="AK765" s="2204">
        <v>265.48</v>
      </c>
      <c r="AL765" s="2204">
        <v>265.48</v>
      </c>
      <c r="AM765" s="2204">
        <v>74.72</v>
      </c>
      <c r="AN765" s="2204">
        <v>72</v>
      </c>
      <c r="AO765" s="2204">
        <v>72</v>
      </c>
      <c r="AP765" s="2204">
        <v>71.650000000000006</v>
      </c>
      <c r="AQ765" s="2204">
        <v>72.02</v>
      </c>
      <c r="AR765" s="2204">
        <v>72.02</v>
      </c>
      <c r="AS765" s="2204">
        <v>213.94</v>
      </c>
      <c r="AT765" s="2204">
        <v>213.94</v>
      </c>
      <c r="AU765" s="2204">
        <v>213.94</v>
      </c>
      <c r="AV765" s="2204">
        <v>218.8</v>
      </c>
      <c r="AW765" s="2204">
        <v>214.19</v>
      </c>
      <c r="AX765" s="2204">
        <v>214.19</v>
      </c>
      <c r="AY765" s="2204">
        <v>214.32</v>
      </c>
      <c r="AZ765" s="2204">
        <v>214.32</v>
      </c>
      <c r="BA765" s="2123">
        <v>93.48</v>
      </c>
      <c r="BB765" s="2123">
        <v>93.48</v>
      </c>
      <c r="BC765" s="2123">
        <v>23.62</v>
      </c>
      <c r="BD765" s="2123">
        <v>23.82</v>
      </c>
      <c r="BE765" s="2123">
        <v>26.74</v>
      </c>
      <c r="BF765" s="2123">
        <v>26.74</v>
      </c>
      <c r="BG765" s="2123">
        <v>23.59</v>
      </c>
      <c r="BH765" s="2123">
        <v>23.59</v>
      </c>
      <c r="BI765" s="2123">
        <v>23.4</v>
      </c>
      <c r="BJ765" s="2123">
        <v>23.4</v>
      </c>
      <c r="BK765" s="2123">
        <v>23.4</v>
      </c>
      <c r="BL765" s="2123">
        <v>23.4</v>
      </c>
      <c r="BM765" s="2123">
        <v>54.53</v>
      </c>
      <c r="BN765" s="2123">
        <v>54.53</v>
      </c>
      <c r="BO765" s="2123">
        <v>170.48</v>
      </c>
      <c r="BP765" s="2123">
        <v>170.48</v>
      </c>
      <c r="BQ765" s="2123">
        <v>170.48</v>
      </c>
      <c r="BR765" s="2123">
        <v>170.48</v>
      </c>
      <c r="BS765" s="2123">
        <v>219.27</v>
      </c>
      <c r="BT765" s="2123">
        <v>219.27</v>
      </c>
      <c r="BU765" s="2123">
        <v>219.27</v>
      </c>
      <c r="BV765" s="2123">
        <v>219.27</v>
      </c>
      <c r="BW765" s="2123">
        <v>219.27</v>
      </c>
      <c r="BX765" s="2123">
        <v>219.27</v>
      </c>
      <c r="BY765" s="2123">
        <v>49.48</v>
      </c>
      <c r="BZ765" s="2123">
        <v>49.48</v>
      </c>
      <c r="CA765" s="2123">
        <v>163.01</v>
      </c>
      <c r="CB765" s="2123">
        <v>163.01</v>
      </c>
      <c r="CC765" s="2123">
        <v>165.38</v>
      </c>
      <c r="CD765" s="2123">
        <v>165.38</v>
      </c>
      <c r="CE765" s="2123">
        <v>215.85</v>
      </c>
      <c r="CF765" s="2123">
        <v>215.85</v>
      </c>
      <c r="CG765" s="2123"/>
      <c r="CH765" s="2123"/>
      <c r="CI765" s="2123"/>
      <c r="CJ765" s="2123"/>
      <c r="CK765" s="2123">
        <v>123.31</v>
      </c>
      <c r="CL765" s="2123">
        <v>123.31</v>
      </c>
      <c r="CM765" s="2123">
        <v>249.28</v>
      </c>
      <c r="CN765" s="2123">
        <v>249.28</v>
      </c>
      <c r="CO765" s="2123">
        <v>319.20999999999998</v>
      </c>
      <c r="CP765" s="2123">
        <v>319.20999999999998</v>
      </c>
      <c r="CQ765" s="2123">
        <v>319.20999999999998</v>
      </c>
      <c r="CR765" s="2123">
        <v>319.20999999999998</v>
      </c>
      <c r="CS765" s="2123"/>
      <c r="CT765" s="2123"/>
      <c r="CU765" s="2123"/>
      <c r="CV765" s="2123"/>
      <c r="CW765" s="2123">
        <v>115.06</v>
      </c>
      <c r="CX765" s="2123">
        <v>115.06</v>
      </c>
      <c r="CY765" s="2123">
        <v>241.17</v>
      </c>
      <c r="CZ765" s="2123">
        <v>241.17</v>
      </c>
      <c r="DA765" s="2123">
        <v>241.17</v>
      </c>
      <c r="DB765" s="2123">
        <v>241.17</v>
      </c>
      <c r="DC765" s="2123">
        <v>309.24</v>
      </c>
      <c r="DD765" s="2123">
        <v>309.24</v>
      </c>
      <c r="DE765" s="2123">
        <v>309.24</v>
      </c>
      <c r="DF765" s="2123">
        <v>309.24</v>
      </c>
      <c r="DG765" s="2123"/>
      <c r="DH765" s="2123"/>
      <c r="DI765" s="2123">
        <v>30.47</v>
      </c>
      <c r="DJ765" s="2123">
        <v>30.47</v>
      </c>
      <c r="DK765" s="2123">
        <v>30.47</v>
      </c>
      <c r="DL765" s="2123">
        <v>30.47</v>
      </c>
      <c r="DM765" s="2123">
        <v>30.47</v>
      </c>
      <c r="DN765" s="2123">
        <v>30.47</v>
      </c>
      <c r="DO765" s="2123"/>
      <c r="DP765" s="2123"/>
      <c r="DQ765" s="2123"/>
      <c r="DR765" s="2123"/>
      <c r="DS765" s="2123"/>
      <c r="DT765" s="2123"/>
      <c r="DU765" s="2123">
        <v>13.56</v>
      </c>
      <c r="DV765" s="2123">
        <v>13.56</v>
      </c>
      <c r="DW765" s="2123">
        <v>12.99</v>
      </c>
      <c r="DX765" s="2123">
        <v>12.99</v>
      </c>
      <c r="DY765" s="2123">
        <v>12.99</v>
      </c>
      <c r="DZ765" s="2123">
        <v>12.99</v>
      </c>
      <c r="EA765" s="2123"/>
      <c r="EB765" s="2123"/>
      <c r="EC765" s="2123"/>
      <c r="ED765" s="2123"/>
      <c r="EE765" s="2123"/>
      <c r="EF765" s="2123"/>
      <c r="EG765" s="2123">
        <v>14.54</v>
      </c>
      <c r="EH765" s="2123">
        <v>14.71</v>
      </c>
      <c r="EI765" s="2123">
        <v>11.67</v>
      </c>
      <c r="EJ765" s="2123">
        <v>11.67</v>
      </c>
      <c r="EK765" s="2123">
        <v>11.66</v>
      </c>
      <c r="EL765" s="2123">
        <v>11.66</v>
      </c>
      <c r="EM765" s="2123">
        <v>12.27</v>
      </c>
      <c r="EN765" s="2123">
        <v>12.27</v>
      </c>
      <c r="EO765" s="2123">
        <v>11.64</v>
      </c>
      <c r="EP765" s="2123">
        <v>11.64</v>
      </c>
      <c r="EQ765" s="2123">
        <v>11.98</v>
      </c>
      <c r="ER765" s="2123">
        <v>11.86</v>
      </c>
      <c r="ES765" s="2123">
        <v>55.67</v>
      </c>
      <c r="ET765" s="2123">
        <v>55.67</v>
      </c>
      <c r="EU765" s="2123">
        <v>240.75</v>
      </c>
      <c r="EV765" s="2123">
        <v>240.75</v>
      </c>
      <c r="EW765" s="2123">
        <v>235.47</v>
      </c>
      <c r="EX765" s="2123">
        <v>235.47</v>
      </c>
      <c r="EY765" s="2129">
        <f t="shared" si="56"/>
        <v>238.11</v>
      </c>
      <c r="EZ765" s="2129">
        <f t="shared" si="56"/>
        <v>238.11</v>
      </c>
      <c r="FA765" s="2123">
        <v>238.97</v>
      </c>
      <c r="FB765" s="2123">
        <v>238.97</v>
      </c>
      <c r="FC765" s="2123"/>
      <c r="FD765" s="2123"/>
      <c r="FE765" s="2123">
        <v>47.87</v>
      </c>
      <c r="FF765" s="2123">
        <v>47.87</v>
      </c>
      <c r="FG765" s="2123">
        <v>202.75</v>
      </c>
      <c r="FH765" s="2123">
        <v>202.75</v>
      </c>
      <c r="FI765" s="2123">
        <v>202.75</v>
      </c>
      <c r="FJ765" s="2123">
        <v>204.34</v>
      </c>
      <c r="FK765" s="2123">
        <v>202.27</v>
      </c>
      <c r="FL765" s="2123">
        <v>202.27</v>
      </c>
      <c r="FM765" s="2123">
        <v>203.06</v>
      </c>
      <c r="FN765" s="2123">
        <v>203.06</v>
      </c>
      <c r="FO765" s="2123"/>
      <c r="FP765" s="2123"/>
      <c r="FQ765" s="2123">
        <v>108.12</v>
      </c>
      <c r="FR765" s="2123">
        <v>108.12</v>
      </c>
      <c r="FS765" s="2123">
        <v>216.37</v>
      </c>
      <c r="FT765" s="2123">
        <v>216.37</v>
      </c>
      <c r="FU765" s="2123">
        <v>216.37</v>
      </c>
      <c r="FV765" s="2123">
        <v>216.37</v>
      </c>
      <c r="FW765" s="2123">
        <v>216.83</v>
      </c>
      <c r="FX765" s="2123">
        <v>216.83</v>
      </c>
      <c r="FY765" s="2123"/>
      <c r="FZ765" s="2123"/>
      <c r="GA765" s="2123"/>
      <c r="GB765" s="2123"/>
      <c r="GC765" s="2123">
        <v>76.41</v>
      </c>
      <c r="GD765" s="2123">
        <v>76.41</v>
      </c>
      <c r="GE765" s="2123">
        <v>172</v>
      </c>
      <c r="GF765" s="2123">
        <v>172</v>
      </c>
      <c r="GG765" s="2123">
        <v>172</v>
      </c>
      <c r="GH765" s="2123">
        <v>172</v>
      </c>
      <c r="GI765" s="2123">
        <v>185.34</v>
      </c>
      <c r="GJ765" s="2123">
        <v>185.34</v>
      </c>
      <c r="GK765" s="2123">
        <v>211.36</v>
      </c>
      <c r="GL765" s="2123">
        <v>211.36</v>
      </c>
      <c r="GM765" s="2123"/>
      <c r="GN765" s="2123"/>
      <c r="GO765" s="2123">
        <v>40.909999999999997</v>
      </c>
      <c r="GP765" s="2123">
        <v>40.909999999999997</v>
      </c>
      <c r="GQ765" s="2123">
        <v>35.39</v>
      </c>
      <c r="GR765" s="2123">
        <v>35.39</v>
      </c>
      <c r="GS765" s="2123">
        <v>35.39</v>
      </c>
      <c r="GT765" s="2123">
        <v>34.11</v>
      </c>
      <c r="GU765" s="2123">
        <v>34.11</v>
      </c>
      <c r="GV765" s="2123">
        <v>34.39</v>
      </c>
      <c r="GW765" s="2123">
        <v>201.08</v>
      </c>
      <c r="GX765" s="2123">
        <v>201.08</v>
      </c>
      <c r="GY765" s="2123"/>
      <c r="GZ765" s="2123"/>
      <c r="HA765" s="2123">
        <v>28.6</v>
      </c>
      <c r="HB765" s="2123">
        <v>28.6</v>
      </c>
      <c r="HC765" s="2123">
        <v>21.89</v>
      </c>
      <c r="HD765" s="2123">
        <v>21.89</v>
      </c>
      <c r="HE765" s="2123">
        <v>22.66</v>
      </c>
      <c r="HF765" s="2123">
        <v>22.66</v>
      </c>
      <c r="HG765" s="2123">
        <v>22.66</v>
      </c>
      <c r="HH765" s="2123">
        <v>22.66</v>
      </c>
      <c r="HI765" s="2123">
        <v>22.66</v>
      </c>
      <c r="HJ765" s="2123">
        <v>22.66</v>
      </c>
      <c r="HK765" s="2123">
        <v>22.69</v>
      </c>
      <c r="HL765" s="2123">
        <v>22.89</v>
      </c>
      <c r="HM765" s="2123">
        <v>40.01</v>
      </c>
      <c r="HN765" s="2123">
        <v>40.01</v>
      </c>
      <c r="HO765" s="2123">
        <v>30.92</v>
      </c>
      <c r="HP765" s="2123">
        <v>30.92</v>
      </c>
      <c r="HQ765" s="2123">
        <v>32</v>
      </c>
      <c r="HR765" s="2123">
        <v>32</v>
      </c>
      <c r="HS765" s="2123">
        <v>32</v>
      </c>
      <c r="HT765" s="2123">
        <v>32</v>
      </c>
      <c r="HU765" s="2123">
        <v>32</v>
      </c>
      <c r="HV765" s="2123">
        <v>32</v>
      </c>
      <c r="HW765" s="2123">
        <v>32</v>
      </c>
      <c r="HX765" s="2123">
        <v>32</v>
      </c>
    </row>
    <row r="766" spans="2:232" s="2040" customFormat="1" ht="14" hidden="1" x14ac:dyDescent="0.3">
      <c r="B766" s="2203">
        <v>72</v>
      </c>
      <c r="C766" s="2204">
        <v>45.31</v>
      </c>
      <c r="D766" s="2204">
        <v>45.31</v>
      </c>
      <c r="E766" s="2204">
        <v>45.45</v>
      </c>
      <c r="F766" s="2204">
        <v>45.45</v>
      </c>
      <c r="G766" s="2204">
        <v>175.34</v>
      </c>
      <c r="H766" s="2204">
        <v>175.34</v>
      </c>
      <c r="I766" s="2204">
        <v>165.84</v>
      </c>
      <c r="J766" s="2204">
        <v>165.84</v>
      </c>
      <c r="K766" s="2204">
        <v>171</v>
      </c>
      <c r="L766" s="2204">
        <v>171</v>
      </c>
      <c r="M766" s="2204"/>
      <c r="N766" s="2204"/>
      <c r="O766" s="2204">
        <v>142.04</v>
      </c>
      <c r="P766" s="2204">
        <v>142.04</v>
      </c>
      <c r="Q766" s="2204">
        <v>141.63999999999999</v>
      </c>
      <c r="R766" s="2204">
        <v>142.05000000000001</v>
      </c>
      <c r="S766" s="2204">
        <v>261.18</v>
      </c>
      <c r="T766" s="2204">
        <v>260.60000000000002</v>
      </c>
      <c r="U766" s="2204">
        <v>251.55</v>
      </c>
      <c r="V766" s="2204">
        <v>251.55</v>
      </c>
      <c r="W766" s="2204">
        <v>260.60000000000002</v>
      </c>
      <c r="X766" s="2204">
        <v>260.60000000000002</v>
      </c>
      <c r="Y766" s="2204">
        <v>251.55</v>
      </c>
      <c r="Z766" s="2204">
        <v>260.60000000000002</v>
      </c>
      <c r="AA766" s="2204">
        <v>260.60000000000002</v>
      </c>
      <c r="AB766" s="2204">
        <v>260.60000000000002</v>
      </c>
      <c r="AC766" s="2204">
        <v>251.55</v>
      </c>
      <c r="AD766" s="2204">
        <v>251.55</v>
      </c>
      <c r="AE766" s="2204">
        <v>274.07</v>
      </c>
      <c r="AF766" s="2204">
        <v>266.19</v>
      </c>
      <c r="AG766" s="2204">
        <v>274.07</v>
      </c>
      <c r="AH766" s="2204">
        <v>274.07</v>
      </c>
      <c r="AI766" s="2204">
        <v>266.19</v>
      </c>
      <c r="AJ766" s="2204">
        <v>266.19</v>
      </c>
      <c r="AK766" s="2204">
        <v>266.66000000000003</v>
      </c>
      <c r="AL766" s="2204">
        <v>266.66000000000003</v>
      </c>
      <c r="AM766" s="2204">
        <v>74.989999999999995</v>
      </c>
      <c r="AN766" s="2204">
        <v>72.260000000000005</v>
      </c>
      <c r="AO766" s="2204">
        <v>72.260000000000005</v>
      </c>
      <c r="AP766" s="2204">
        <v>71.97</v>
      </c>
      <c r="AQ766" s="2204">
        <v>72.33</v>
      </c>
      <c r="AR766" s="2204">
        <v>72.33</v>
      </c>
      <c r="AS766" s="2204">
        <v>215.14</v>
      </c>
      <c r="AT766" s="2204">
        <v>215.14</v>
      </c>
      <c r="AU766" s="2204">
        <v>215.14</v>
      </c>
      <c r="AV766" s="2204">
        <v>220.01</v>
      </c>
      <c r="AW766" s="2204">
        <v>215.39</v>
      </c>
      <c r="AX766" s="2204">
        <v>215.39</v>
      </c>
      <c r="AY766" s="2204">
        <v>215.52</v>
      </c>
      <c r="AZ766" s="2204">
        <v>215.52</v>
      </c>
      <c r="BA766" s="2123">
        <v>93.95</v>
      </c>
      <c r="BB766" s="2123">
        <v>93.95</v>
      </c>
      <c r="BC766" s="2123">
        <v>23.76</v>
      </c>
      <c r="BD766" s="2123">
        <v>23.95</v>
      </c>
      <c r="BE766" s="2123">
        <v>26.85</v>
      </c>
      <c r="BF766" s="2123">
        <v>26.85</v>
      </c>
      <c r="BG766" s="2123">
        <v>23.73</v>
      </c>
      <c r="BH766" s="2123">
        <v>23.73</v>
      </c>
      <c r="BI766" s="2123">
        <v>23.54</v>
      </c>
      <c r="BJ766" s="2123">
        <v>23.54</v>
      </c>
      <c r="BK766" s="2123">
        <v>23.54</v>
      </c>
      <c r="BL766" s="2123">
        <v>23.54</v>
      </c>
      <c r="BM766" s="2123">
        <v>54.75</v>
      </c>
      <c r="BN766" s="2123">
        <v>54.75</v>
      </c>
      <c r="BO766" s="2123">
        <v>171.28</v>
      </c>
      <c r="BP766" s="2123">
        <v>171.28</v>
      </c>
      <c r="BQ766" s="2123">
        <v>171.28</v>
      </c>
      <c r="BR766" s="2123">
        <v>171.28</v>
      </c>
      <c r="BS766" s="2123">
        <v>220.5</v>
      </c>
      <c r="BT766" s="2123">
        <v>220.5</v>
      </c>
      <c r="BU766" s="2123">
        <v>220.5</v>
      </c>
      <c r="BV766" s="2123">
        <v>220.5</v>
      </c>
      <c r="BW766" s="2123">
        <v>220.5</v>
      </c>
      <c r="BX766" s="2123">
        <v>220.5</v>
      </c>
      <c r="BY766" s="2123">
        <v>49.7</v>
      </c>
      <c r="BZ766" s="2123">
        <v>49.7</v>
      </c>
      <c r="CA766" s="2123">
        <v>163.88</v>
      </c>
      <c r="CB766" s="2123">
        <v>163.88</v>
      </c>
      <c r="CC766" s="2123">
        <v>166.28</v>
      </c>
      <c r="CD766" s="2123">
        <v>166.28</v>
      </c>
      <c r="CE766" s="2123">
        <v>217.24</v>
      </c>
      <c r="CF766" s="2123">
        <v>217.24</v>
      </c>
      <c r="CG766" s="2123"/>
      <c r="CH766" s="2123"/>
      <c r="CI766" s="2123"/>
      <c r="CJ766" s="2123"/>
      <c r="CK766" s="2123">
        <v>123.85</v>
      </c>
      <c r="CL766" s="2123">
        <v>123.85</v>
      </c>
      <c r="CM766" s="2123">
        <v>250.16</v>
      </c>
      <c r="CN766" s="2123">
        <v>250.16</v>
      </c>
      <c r="CO766" s="2123">
        <v>320.64</v>
      </c>
      <c r="CP766" s="2123">
        <v>320.64</v>
      </c>
      <c r="CQ766" s="2123">
        <v>320.64</v>
      </c>
      <c r="CR766" s="2123">
        <v>320.64</v>
      </c>
      <c r="CS766" s="2123"/>
      <c r="CT766" s="2123"/>
      <c r="CU766" s="2123"/>
      <c r="CV766" s="2123"/>
      <c r="CW766" s="2123">
        <v>115.5</v>
      </c>
      <c r="CX766" s="2123">
        <v>115.5</v>
      </c>
      <c r="CY766" s="2123">
        <v>241.96</v>
      </c>
      <c r="CZ766" s="2123">
        <v>241.96</v>
      </c>
      <c r="DA766" s="2123">
        <v>241.96</v>
      </c>
      <c r="DB766" s="2123">
        <v>241.96</v>
      </c>
      <c r="DC766" s="2123">
        <v>310.52999999999997</v>
      </c>
      <c r="DD766" s="2123">
        <v>310.52999999999997</v>
      </c>
      <c r="DE766" s="2123">
        <v>310.52999999999997</v>
      </c>
      <c r="DF766" s="2123">
        <v>310.52999999999997</v>
      </c>
      <c r="DG766" s="2123"/>
      <c r="DH766" s="2123"/>
      <c r="DI766" s="2123">
        <v>30.56</v>
      </c>
      <c r="DJ766" s="2123">
        <v>30.56</v>
      </c>
      <c r="DK766" s="2123">
        <v>30.56</v>
      </c>
      <c r="DL766" s="2123">
        <v>30.56</v>
      </c>
      <c r="DM766" s="2123">
        <v>30.56</v>
      </c>
      <c r="DN766" s="2123">
        <v>30.56</v>
      </c>
      <c r="DO766" s="2123"/>
      <c r="DP766" s="2123"/>
      <c r="DQ766" s="2123"/>
      <c r="DR766" s="2123"/>
      <c r="DS766" s="2123"/>
      <c r="DT766" s="2123"/>
      <c r="DU766" s="2123">
        <v>13.6</v>
      </c>
      <c r="DV766" s="2123">
        <v>13.6</v>
      </c>
      <c r="DW766" s="2123">
        <v>13.05</v>
      </c>
      <c r="DX766" s="2123">
        <v>13.05</v>
      </c>
      <c r="DY766" s="2123">
        <v>13.05</v>
      </c>
      <c r="DZ766" s="2123">
        <v>13.05</v>
      </c>
      <c r="EA766" s="2123"/>
      <c r="EB766" s="2123"/>
      <c r="EC766" s="2123"/>
      <c r="ED766" s="2123"/>
      <c r="EE766" s="2123"/>
      <c r="EF766" s="2123"/>
      <c r="EG766" s="2123">
        <v>14.59</v>
      </c>
      <c r="EH766" s="2123">
        <v>14.76</v>
      </c>
      <c r="EI766" s="2123">
        <v>11.74</v>
      </c>
      <c r="EJ766" s="2123">
        <v>11.74</v>
      </c>
      <c r="EK766" s="2123">
        <v>11.73</v>
      </c>
      <c r="EL766" s="2123">
        <v>11.73</v>
      </c>
      <c r="EM766" s="2123">
        <v>12.34</v>
      </c>
      <c r="EN766" s="2123">
        <v>12.34</v>
      </c>
      <c r="EO766" s="2123">
        <v>11.71</v>
      </c>
      <c r="EP766" s="2123">
        <v>11.71</v>
      </c>
      <c r="EQ766" s="2123">
        <v>12.05</v>
      </c>
      <c r="ER766" s="2123">
        <v>11.92</v>
      </c>
      <c r="ES766" s="2123">
        <v>55.87</v>
      </c>
      <c r="ET766" s="2123">
        <v>55.87</v>
      </c>
      <c r="EU766" s="2123">
        <v>241.99</v>
      </c>
      <c r="EV766" s="2123">
        <v>241.99</v>
      </c>
      <c r="EW766" s="2123">
        <v>236.7</v>
      </c>
      <c r="EX766" s="2123">
        <v>236.7</v>
      </c>
      <c r="EY766" s="2129">
        <f t="shared" si="56"/>
        <v>239.345</v>
      </c>
      <c r="EZ766" s="2129">
        <f t="shared" si="56"/>
        <v>239.345</v>
      </c>
      <c r="FA766" s="2123">
        <v>240.16</v>
      </c>
      <c r="FB766" s="2123">
        <v>240.16</v>
      </c>
      <c r="FC766" s="2123"/>
      <c r="FD766" s="2123"/>
      <c r="FE766" s="2123">
        <v>48.04</v>
      </c>
      <c r="FF766" s="2123">
        <v>48.04</v>
      </c>
      <c r="FG766" s="2123">
        <v>203.81</v>
      </c>
      <c r="FH766" s="2123">
        <v>203.81</v>
      </c>
      <c r="FI766" s="2123">
        <v>203.81</v>
      </c>
      <c r="FJ766" s="2123">
        <v>205.37</v>
      </c>
      <c r="FK766" s="2123">
        <v>203.35</v>
      </c>
      <c r="FL766" s="2123">
        <v>203.35</v>
      </c>
      <c r="FM766" s="2123">
        <v>204.11</v>
      </c>
      <c r="FN766" s="2123">
        <v>204.11</v>
      </c>
      <c r="FO766" s="2123"/>
      <c r="FP766" s="2123"/>
      <c r="FQ766" s="2123">
        <v>108.52</v>
      </c>
      <c r="FR766" s="2123">
        <v>108.52</v>
      </c>
      <c r="FS766" s="2123">
        <v>217.3</v>
      </c>
      <c r="FT766" s="2123">
        <v>217.3</v>
      </c>
      <c r="FU766" s="2123">
        <v>217.3</v>
      </c>
      <c r="FV766" s="2123">
        <v>217.3</v>
      </c>
      <c r="FW766" s="2123">
        <v>217.75</v>
      </c>
      <c r="FX766" s="2123">
        <v>217.75</v>
      </c>
      <c r="FY766" s="2123"/>
      <c r="FZ766" s="2123"/>
      <c r="GA766" s="2123"/>
      <c r="GB766" s="2123"/>
      <c r="GC766" s="2123">
        <v>76.69</v>
      </c>
      <c r="GD766" s="2123">
        <v>76.69</v>
      </c>
      <c r="GE766" s="2123">
        <v>172.58</v>
      </c>
      <c r="GF766" s="2123">
        <v>172.58</v>
      </c>
      <c r="GG766" s="2123">
        <v>172.58</v>
      </c>
      <c r="GH766" s="2123">
        <v>172.58</v>
      </c>
      <c r="GI766" s="2123">
        <v>186.59</v>
      </c>
      <c r="GJ766" s="2123">
        <v>186.59</v>
      </c>
      <c r="GK766" s="2123">
        <v>212.4</v>
      </c>
      <c r="GL766" s="2123">
        <v>212.4</v>
      </c>
      <c r="GM766" s="2123"/>
      <c r="GN766" s="2123"/>
      <c r="GO766" s="2123">
        <v>41.06</v>
      </c>
      <c r="GP766" s="2123">
        <v>41.06</v>
      </c>
      <c r="GQ766" s="2123">
        <v>35.549999999999997</v>
      </c>
      <c r="GR766" s="2123">
        <v>35.549999999999997</v>
      </c>
      <c r="GS766" s="2123">
        <v>35.549999999999997</v>
      </c>
      <c r="GT766" s="2123">
        <v>34.270000000000003</v>
      </c>
      <c r="GU766" s="2123">
        <v>34.270000000000003</v>
      </c>
      <c r="GV766" s="2123">
        <v>34.54</v>
      </c>
      <c r="GW766" s="2123">
        <v>201.98</v>
      </c>
      <c r="GX766" s="2123">
        <v>201.98</v>
      </c>
      <c r="GY766" s="2123"/>
      <c r="GZ766" s="2123"/>
      <c r="HA766" s="2123">
        <v>28.74</v>
      </c>
      <c r="HB766" s="2123">
        <v>28.74</v>
      </c>
      <c r="HC766" s="2123">
        <v>22.09</v>
      </c>
      <c r="HD766" s="2123">
        <v>22.09</v>
      </c>
      <c r="HE766" s="2123">
        <v>22.81</v>
      </c>
      <c r="HF766" s="2123">
        <v>22.81</v>
      </c>
      <c r="HG766" s="2123">
        <v>22.81</v>
      </c>
      <c r="HH766" s="2123">
        <v>22.81</v>
      </c>
      <c r="HI766" s="2123">
        <v>22.81</v>
      </c>
      <c r="HJ766" s="2123">
        <v>22.81</v>
      </c>
      <c r="HK766" s="2123">
        <v>22.88</v>
      </c>
      <c r="HL766" s="2123">
        <v>23.08</v>
      </c>
      <c r="HM766" s="2123">
        <v>40.19</v>
      </c>
      <c r="HN766" s="2123">
        <v>40.19</v>
      </c>
      <c r="HO766" s="2123">
        <v>31.17</v>
      </c>
      <c r="HP766" s="2123">
        <v>31.17</v>
      </c>
      <c r="HQ766" s="2123">
        <v>32.200000000000003</v>
      </c>
      <c r="HR766" s="2123">
        <v>32.200000000000003</v>
      </c>
      <c r="HS766" s="2123">
        <v>32.200000000000003</v>
      </c>
      <c r="HT766" s="2123">
        <v>32.200000000000003</v>
      </c>
      <c r="HU766" s="2123">
        <v>32.200000000000003</v>
      </c>
      <c r="HV766" s="2123">
        <v>32.200000000000003</v>
      </c>
      <c r="HW766" s="2123">
        <v>32.24</v>
      </c>
      <c r="HX766" s="2123">
        <v>32.24</v>
      </c>
    </row>
    <row r="767" spans="2:232" s="2040" customFormat="1" ht="14" hidden="1" x14ac:dyDescent="0.3">
      <c r="B767" s="2203">
        <v>73</v>
      </c>
      <c r="C767" s="2204">
        <v>45.5</v>
      </c>
      <c r="D767" s="2204">
        <v>45.5</v>
      </c>
      <c r="E767" s="2204">
        <v>45.63</v>
      </c>
      <c r="F767" s="2204">
        <v>45.63</v>
      </c>
      <c r="G767" s="2204">
        <v>176.12</v>
      </c>
      <c r="H767" s="2204">
        <v>176.12</v>
      </c>
      <c r="I767" s="2204">
        <v>166.79</v>
      </c>
      <c r="J767" s="2204">
        <v>166.79</v>
      </c>
      <c r="K767" s="2204">
        <v>171.82</v>
      </c>
      <c r="L767" s="2204">
        <v>171.82</v>
      </c>
      <c r="M767" s="2204"/>
      <c r="N767" s="2204"/>
      <c r="O767" s="2204">
        <v>142.53</v>
      </c>
      <c r="P767" s="2204">
        <v>142.53</v>
      </c>
      <c r="Q767" s="2204">
        <v>142.11000000000001</v>
      </c>
      <c r="R767" s="2204">
        <v>142.53</v>
      </c>
      <c r="S767" s="2204">
        <v>262.45999999999998</v>
      </c>
      <c r="T767" s="2204">
        <v>261.93</v>
      </c>
      <c r="U767" s="2204">
        <v>252.84</v>
      </c>
      <c r="V767" s="2204">
        <v>252.84</v>
      </c>
      <c r="W767" s="2204">
        <v>261.93</v>
      </c>
      <c r="X767" s="2204">
        <v>261.93</v>
      </c>
      <c r="Y767" s="2204">
        <v>252.84</v>
      </c>
      <c r="Z767" s="2204">
        <v>261.93</v>
      </c>
      <c r="AA767" s="2204">
        <v>261.93</v>
      </c>
      <c r="AB767" s="2204">
        <v>261.93</v>
      </c>
      <c r="AC767" s="2204">
        <v>252.84</v>
      </c>
      <c r="AD767" s="2204">
        <v>252.84</v>
      </c>
      <c r="AE767" s="2204">
        <v>275.27</v>
      </c>
      <c r="AF767" s="2204">
        <v>267.36</v>
      </c>
      <c r="AG767" s="2204">
        <v>275.27</v>
      </c>
      <c r="AH767" s="2204">
        <v>275.27</v>
      </c>
      <c r="AI767" s="2204">
        <v>267.36</v>
      </c>
      <c r="AJ767" s="2204">
        <v>267.36</v>
      </c>
      <c r="AK767" s="2204">
        <v>267.81</v>
      </c>
      <c r="AL767" s="2204">
        <v>267.81</v>
      </c>
      <c r="AM767" s="2204">
        <v>75.260000000000005</v>
      </c>
      <c r="AN767" s="2204">
        <v>72.52</v>
      </c>
      <c r="AO767" s="2204">
        <v>72.52</v>
      </c>
      <c r="AP767" s="2204">
        <v>72.260000000000005</v>
      </c>
      <c r="AQ767" s="2204">
        <v>72.61</v>
      </c>
      <c r="AR767" s="2204">
        <v>72.61</v>
      </c>
      <c r="AS767" s="2204">
        <v>216.25</v>
      </c>
      <c r="AT767" s="2204">
        <v>216.25</v>
      </c>
      <c r="AU767" s="2204">
        <v>216.25</v>
      </c>
      <c r="AV767" s="2204">
        <v>221.13</v>
      </c>
      <c r="AW767" s="2204">
        <v>216.49</v>
      </c>
      <c r="AX767" s="2204">
        <v>216.49</v>
      </c>
      <c r="AY767" s="2204">
        <v>216.62</v>
      </c>
      <c r="AZ767" s="2204">
        <v>216.62</v>
      </c>
      <c r="BA767" s="2123">
        <v>94.4</v>
      </c>
      <c r="BB767" s="2123">
        <v>94.4</v>
      </c>
      <c r="BC767" s="2123">
        <v>23.89</v>
      </c>
      <c r="BD767" s="2123">
        <v>24.08</v>
      </c>
      <c r="BE767" s="2123">
        <v>26.95</v>
      </c>
      <c r="BF767" s="2123">
        <v>26.95</v>
      </c>
      <c r="BG767" s="2123">
        <v>23.86</v>
      </c>
      <c r="BH767" s="2123">
        <v>23.86</v>
      </c>
      <c r="BI767" s="2123">
        <v>23.68</v>
      </c>
      <c r="BJ767" s="2123">
        <v>23.68</v>
      </c>
      <c r="BK767" s="2123">
        <v>23.68</v>
      </c>
      <c r="BL767" s="2123">
        <v>23.68</v>
      </c>
      <c r="BM767" s="2123">
        <v>54.93</v>
      </c>
      <c r="BN767" s="2123">
        <v>54.93</v>
      </c>
      <c r="BO767" s="2123">
        <v>171.94</v>
      </c>
      <c r="BP767" s="2123">
        <v>171.94</v>
      </c>
      <c r="BQ767" s="2123">
        <v>171.94</v>
      </c>
      <c r="BR767" s="2123">
        <v>171.94</v>
      </c>
      <c r="BS767" s="2123">
        <v>221.52</v>
      </c>
      <c r="BT767" s="2123">
        <v>221.52</v>
      </c>
      <c r="BU767" s="2123">
        <v>221.52</v>
      </c>
      <c r="BV767" s="2123">
        <v>221.52</v>
      </c>
      <c r="BW767" s="2123">
        <v>221.52</v>
      </c>
      <c r="BX767" s="2123">
        <v>221.52</v>
      </c>
      <c r="BY767" s="2123">
        <v>49.88</v>
      </c>
      <c r="BZ767" s="2123">
        <v>49.88</v>
      </c>
      <c r="CA767" s="2123">
        <v>164.59</v>
      </c>
      <c r="CB767" s="2123">
        <v>164.59</v>
      </c>
      <c r="CC767" s="2123">
        <v>167.01</v>
      </c>
      <c r="CD767" s="2123">
        <v>167.01</v>
      </c>
      <c r="CE767" s="2123">
        <v>218.35</v>
      </c>
      <c r="CF767" s="2123">
        <v>218.35</v>
      </c>
      <c r="CG767" s="2123"/>
      <c r="CH767" s="2123"/>
      <c r="CI767" s="2123"/>
      <c r="CJ767" s="2123"/>
      <c r="CK767" s="2123">
        <v>124.27</v>
      </c>
      <c r="CL767" s="2123">
        <v>124.27</v>
      </c>
      <c r="CM767" s="2123">
        <v>250.95</v>
      </c>
      <c r="CN767" s="2123">
        <v>250.95</v>
      </c>
      <c r="CO767" s="2123">
        <v>321.95</v>
      </c>
      <c r="CP767" s="2123">
        <v>321.95</v>
      </c>
      <c r="CQ767" s="2123">
        <v>321.95</v>
      </c>
      <c r="CR767" s="2123">
        <v>321.95</v>
      </c>
      <c r="CS767" s="2123"/>
      <c r="CT767" s="2123"/>
      <c r="CU767" s="2123"/>
      <c r="CV767" s="2123"/>
      <c r="CW767" s="2123">
        <v>115.93</v>
      </c>
      <c r="CX767" s="2123">
        <v>115.93</v>
      </c>
      <c r="CY767" s="2123">
        <v>242.74</v>
      </c>
      <c r="CZ767" s="2123">
        <v>242.74</v>
      </c>
      <c r="DA767" s="2123">
        <v>242.74</v>
      </c>
      <c r="DB767" s="2123">
        <v>242.74</v>
      </c>
      <c r="DC767" s="2123">
        <v>311.77999999999997</v>
      </c>
      <c r="DD767" s="2123">
        <v>311.77999999999997</v>
      </c>
      <c r="DE767" s="2123">
        <v>311.77999999999997</v>
      </c>
      <c r="DF767" s="2123">
        <v>311.77999999999997</v>
      </c>
      <c r="DG767" s="2123"/>
      <c r="DH767" s="2123"/>
      <c r="DI767" s="2123">
        <v>30.64</v>
      </c>
      <c r="DJ767" s="2123">
        <v>30.64</v>
      </c>
      <c r="DK767" s="2123">
        <v>30.64</v>
      </c>
      <c r="DL767" s="2123">
        <v>30.64</v>
      </c>
      <c r="DM767" s="2123">
        <v>30.64</v>
      </c>
      <c r="DN767" s="2123">
        <v>30.64</v>
      </c>
      <c r="DO767" s="2123"/>
      <c r="DP767" s="2123"/>
      <c r="DQ767" s="2123"/>
      <c r="DR767" s="2123"/>
      <c r="DS767" s="2123"/>
      <c r="DT767" s="2123"/>
      <c r="DU767" s="2123">
        <v>13.64</v>
      </c>
      <c r="DV767" s="2123">
        <v>13.64</v>
      </c>
      <c r="DW767" s="2123">
        <v>13.07</v>
      </c>
      <c r="DX767" s="2123">
        <v>13.07</v>
      </c>
      <c r="DY767" s="2123">
        <v>13.07</v>
      </c>
      <c r="DZ767" s="2123">
        <v>13.07</v>
      </c>
      <c r="EA767" s="2123"/>
      <c r="EB767" s="2123"/>
      <c r="EC767" s="2123"/>
      <c r="ED767" s="2123"/>
      <c r="EE767" s="2123"/>
      <c r="EF767" s="2123"/>
      <c r="EG767" s="2123">
        <v>14.64</v>
      </c>
      <c r="EH767" s="2123">
        <v>14.81</v>
      </c>
      <c r="EI767" s="2123">
        <v>11.81</v>
      </c>
      <c r="EJ767" s="2123">
        <v>11.81</v>
      </c>
      <c r="EK767" s="2123">
        <v>11.8</v>
      </c>
      <c r="EL767" s="2123">
        <v>11.8</v>
      </c>
      <c r="EM767" s="2123">
        <v>12.4</v>
      </c>
      <c r="EN767" s="2123">
        <v>12.4</v>
      </c>
      <c r="EO767" s="2123">
        <v>11.77</v>
      </c>
      <c r="EP767" s="2123">
        <v>11.77</v>
      </c>
      <c r="EQ767" s="2123">
        <v>12.11</v>
      </c>
      <c r="ER767" s="2123">
        <v>11.98</v>
      </c>
      <c r="ES767" s="2123">
        <v>56.07</v>
      </c>
      <c r="ET767" s="2123">
        <v>56.07</v>
      </c>
      <c r="EU767" s="2123">
        <v>243.2</v>
      </c>
      <c r="EV767" s="2123">
        <v>243.2</v>
      </c>
      <c r="EW767" s="2123">
        <v>237.91</v>
      </c>
      <c r="EX767" s="2123">
        <v>237.91</v>
      </c>
      <c r="EY767" s="2129">
        <f t="shared" si="56"/>
        <v>240.55500000000001</v>
      </c>
      <c r="EZ767" s="2129">
        <f t="shared" si="56"/>
        <v>240.55500000000001</v>
      </c>
      <c r="FA767" s="2123">
        <v>241.32</v>
      </c>
      <c r="FB767" s="2123">
        <v>241.32</v>
      </c>
      <c r="FC767" s="2123"/>
      <c r="FD767" s="2123"/>
      <c r="FE767" s="2123">
        <v>48.22</v>
      </c>
      <c r="FF767" s="2123">
        <v>48.22</v>
      </c>
      <c r="FG767" s="2123">
        <v>204.86</v>
      </c>
      <c r="FH767" s="2123">
        <v>204.86</v>
      </c>
      <c r="FI767" s="2123">
        <v>204.86</v>
      </c>
      <c r="FJ767" s="2123">
        <v>206.38</v>
      </c>
      <c r="FK767" s="2123">
        <v>204.4</v>
      </c>
      <c r="FL767" s="2123">
        <v>204.4</v>
      </c>
      <c r="FM767" s="2123">
        <v>205.15</v>
      </c>
      <c r="FN767" s="2123">
        <v>205.15</v>
      </c>
      <c r="FO767" s="2123"/>
      <c r="FP767" s="2123"/>
      <c r="FQ767" s="2123">
        <v>108.91</v>
      </c>
      <c r="FR767" s="2123">
        <v>108.91</v>
      </c>
      <c r="FS767" s="2123">
        <v>218.21</v>
      </c>
      <c r="FT767" s="2123">
        <v>218.21</v>
      </c>
      <c r="FU767" s="2123">
        <v>218.21</v>
      </c>
      <c r="FV767" s="2123">
        <v>218.21</v>
      </c>
      <c r="FW767" s="2123">
        <v>218.65</v>
      </c>
      <c r="FX767" s="2123">
        <v>218.65</v>
      </c>
      <c r="FY767" s="2123"/>
      <c r="FZ767" s="2123"/>
      <c r="GA767" s="2123"/>
      <c r="GB767" s="2123"/>
      <c r="GC767" s="2123">
        <v>76.959999999999994</v>
      </c>
      <c r="GD767" s="2123">
        <v>76.959999999999994</v>
      </c>
      <c r="GE767" s="2123">
        <v>173.14</v>
      </c>
      <c r="GF767" s="2123">
        <v>173.14</v>
      </c>
      <c r="GG767" s="2123">
        <v>173.14</v>
      </c>
      <c r="GH767" s="2123">
        <v>173.14</v>
      </c>
      <c r="GI767" s="2123">
        <v>187.83</v>
      </c>
      <c r="GJ767" s="2123">
        <v>187.83</v>
      </c>
      <c r="GK767" s="2123">
        <v>213.41</v>
      </c>
      <c r="GL767" s="2123">
        <v>213.41</v>
      </c>
      <c r="GM767" s="2123"/>
      <c r="GN767" s="2123"/>
      <c r="GO767" s="2123">
        <v>41.21</v>
      </c>
      <c r="GP767" s="2123">
        <v>41.21</v>
      </c>
      <c r="GQ767" s="2123">
        <v>35.74</v>
      </c>
      <c r="GR767" s="2123">
        <v>35.74</v>
      </c>
      <c r="GS767" s="2123">
        <v>35.74</v>
      </c>
      <c r="GT767" s="2123">
        <v>34.46</v>
      </c>
      <c r="GU767" s="2123">
        <v>34.46</v>
      </c>
      <c r="GV767" s="2123">
        <v>34.72</v>
      </c>
      <c r="GW767" s="2123">
        <v>203.03</v>
      </c>
      <c r="GX767" s="2123">
        <v>203.03</v>
      </c>
      <c r="GY767" s="2123"/>
      <c r="GZ767" s="2123"/>
      <c r="HA767" s="2123">
        <v>28.85</v>
      </c>
      <c r="HB767" s="2123">
        <v>28.85</v>
      </c>
      <c r="HC767" s="2123">
        <v>22.24</v>
      </c>
      <c r="HD767" s="2123">
        <v>22.24</v>
      </c>
      <c r="HE767" s="2123">
        <v>22.95</v>
      </c>
      <c r="HF767" s="2123">
        <v>22.95</v>
      </c>
      <c r="HG767" s="2123">
        <v>22.95</v>
      </c>
      <c r="HH767" s="2123">
        <v>22.95</v>
      </c>
      <c r="HI767" s="2123">
        <v>22.95</v>
      </c>
      <c r="HJ767" s="2123">
        <v>22.95</v>
      </c>
      <c r="HK767" s="2123">
        <v>23.02</v>
      </c>
      <c r="HL767" s="2123">
        <v>23.21</v>
      </c>
      <c r="HM767" s="2123">
        <v>40.33</v>
      </c>
      <c r="HN767" s="2123">
        <v>40.33</v>
      </c>
      <c r="HO767" s="2123">
        <v>31.37</v>
      </c>
      <c r="HP767" s="2123">
        <v>31.37</v>
      </c>
      <c r="HQ767" s="2123">
        <v>32.35</v>
      </c>
      <c r="HR767" s="2123">
        <v>32.35</v>
      </c>
      <c r="HS767" s="2123">
        <v>32.35</v>
      </c>
      <c r="HT767" s="2123">
        <v>32.35</v>
      </c>
      <c r="HU767" s="2123">
        <v>32.35</v>
      </c>
      <c r="HV767" s="2123">
        <v>32.35</v>
      </c>
      <c r="HW767" s="2123">
        <v>32.43</v>
      </c>
      <c r="HX767" s="2123">
        <v>32.43</v>
      </c>
    </row>
    <row r="768" spans="2:232" s="2040" customFormat="1" ht="14" hidden="1" x14ac:dyDescent="0.3">
      <c r="B768" s="2203">
        <v>74</v>
      </c>
      <c r="C768" s="2204">
        <v>45.66</v>
      </c>
      <c r="D768" s="2204">
        <v>45.66</v>
      </c>
      <c r="E768" s="2204">
        <v>45.79</v>
      </c>
      <c r="F768" s="2204">
        <v>45.79</v>
      </c>
      <c r="G768" s="2204">
        <v>176.98</v>
      </c>
      <c r="H768" s="2204">
        <v>176.98</v>
      </c>
      <c r="I768" s="2204">
        <v>167.58</v>
      </c>
      <c r="J768" s="2204">
        <v>167.58</v>
      </c>
      <c r="K768" s="2204">
        <v>172.52</v>
      </c>
      <c r="L768" s="2204">
        <v>172.52</v>
      </c>
      <c r="M768" s="2204"/>
      <c r="N768" s="2204"/>
      <c r="O768" s="2204">
        <v>142.99</v>
      </c>
      <c r="P768" s="2204">
        <v>142.99</v>
      </c>
      <c r="Q768" s="2204">
        <v>142.56</v>
      </c>
      <c r="R768" s="2204">
        <v>142.99</v>
      </c>
      <c r="S768" s="2204">
        <v>263.66999999999996</v>
      </c>
      <c r="T768" s="2204">
        <v>263.23</v>
      </c>
      <c r="U768" s="2204">
        <v>254.09</v>
      </c>
      <c r="V768" s="2204">
        <v>254.09</v>
      </c>
      <c r="W768" s="2204">
        <v>263.23</v>
      </c>
      <c r="X768" s="2204">
        <v>263.23</v>
      </c>
      <c r="Y768" s="2204">
        <v>254.09</v>
      </c>
      <c r="Z768" s="2204">
        <v>263.23</v>
      </c>
      <c r="AA768" s="2204">
        <v>263.23</v>
      </c>
      <c r="AB768" s="2204">
        <v>263.23</v>
      </c>
      <c r="AC768" s="2204">
        <v>254.09</v>
      </c>
      <c r="AD768" s="2204">
        <v>254.09</v>
      </c>
      <c r="AE768" s="2204">
        <v>276.45</v>
      </c>
      <c r="AF768" s="2204">
        <v>268.5</v>
      </c>
      <c r="AG768" s="2204">
        <v>276.45</v>
      </c>
      <c r="AH768" s="2204">
        <v>276.45</v>
      </c>
      <c r="AI768" s="2204">
        <v>268.5</v>
      </c>
      <c r="AJ768" s="2204">
        <v>268.5</v>
      </c>
      <c r="AK768" s="2204">
        <v>268.94</v>
      </c>
      <c r="AL768" s="2204">
        <v>268.94</v>
      </c>
      <c r="AM768" s="2204">
        <v>75.52</v>
      </c>
      <c r="AN768" s="2204">
        <v>72.77</v>
      </c>
      <c r="AO768" s="2204">
        <v>72.77</v>
      </c>
      <c r="AP768" s="2204">
        <v>72.52</v>
      </c>
      <c r="AQ768" s="2204">
        <v>72.86</v>
      </c>
      <c r="AR768" s="2204">
        <v>72.86</v>
      </c>
      <c r="AS768" s="2204">
        <v>217.22</v>
      </c>
      <c r="AT768" s="2204">
        <v>217.22</v>
      </c>
      <c r="AU768" s="2204">
        <v>217.22</v>
      </c>
      <c r="AV768" s="2204">
        <v>222.11</v>
      </c>
      <c r="AW768" s="2204">
        <v>217.46</v>
      </c>
      <c r="AX768" s="2204">
        <v>217.46</v>
      </c>
      <c r="AY768" s="2204">
        <v>217.59</v>
      </c>
      <c r="AZ768" s="2204">
        <v>217.59</v>
      </c>
      <c r="BA768" s="2123">
        <v>94.71</v>
      </c>
      <c r="BB768" s="2123">
        <v>94.71</v>
      </c>
      <c r="BC768" s="2123">
        <v>24.02</v>
      </c>
      <c r="BD768" s="2123">
        <v>24.21</v>
      </c>
      <c r="BE768" s="2123">
        <v>27.02</v>
      </c>
      <c r="BF768" s="2123">
        <v>27.02</v>
      </c>
      <c r="BG768" s="2123">
        <v>23.96</v>
      </c>
      <c r="BH768" s="2123">
        <v>23.96</v>
      </c>
      <c r="BI768" s="2123">
        <v>23.76</v>
      </c>
      <c r="BJ768" s="2123">
        <v>23.76</v>
      </c>
      <c r="BK768" s="2123">
        <v>23.76</v>
      </c>
      <c r="BL768" s="2123">
        <v>23.76</v>
      </c>
      <c r="BM768" s="2123">
        <v>55.17</v>
      </c>
      <c r="BN768" s="2123">
        <v>55.17</v>
      </c>
      <c r="BO768" s="2123">
        <v>172.8</v>
      </c>
      <c r="BP768" s="2123">
        <v>172.8</v>
      </c>
      <c r="BQ768" s="2123">
        <v>172.8</v>
      </c>
      <c r="BR768" s="2123">
        <v>172.8</v>
      </c>
      <c r="BS768" s="2123">
        <v>222.84</v>
      </c>
      <c r="BT768" s="2123">
        <v>222.84</v>
      </c>
      <c r="BU768" s="2123">
        <v>222.84</v>
      </c>
      <c r="BV768" s="2123">
        <v>222.84</v>
      </c>
      <c r="BW768" s="2123">
        <v>222.84</v>
      </c>
      <c r="BX768" s="2123">
        <v>222.84</v>
      </c>
      <c r="BY768" s="2123">
        <v>50.04</v>
      </c>
      <c r="BZ768" s="2123">
        <v>50.04</v>
      </c>
      <c r="CA768" s="2123">
        <v>165.21</v>
      </c>
      <c r="CB768" s="2123">
        <v>165.21</v>
      </c>
      <c r="CC768" s="2123">
        <v>167.65</v>
      </c>
      <c r="CD768" s="2123">
        <v>167.65</v>
      </c>
      <c r="CE768" s="2123">
        <v>219.34</v>
      </c>
      <c r="CF768" s="2123">
        <v>219.34</v>
      </c>
      <c r="CG768" s="2123"/>
      <c r="CH768" s="2123"/>
      <c r="CI768" s="2123"/>
      <c r="CJ768" s="2123"/>
      <c r="CK768" s="2123">
        <v>124.66</v>
      </c>
      <c r="CL768" s="2123">
        <v>124.66</v>
      </c>
      <c r="CM768" s="2123">
        <v>251.87</v>
      </c>
      <c r="CN768" s="2123">
        <v>251.87</v>
      </c>
      <c r="CO768" s="2123">
        <v>323.44</v>
      </c>
      <c r="CP768" s="2123">
        <v>323.44</v>
      </c>
      <c r="CQ768" s="2123">
        <v>323.44</v>
      </c>
      <c r="CR768" s="2123">
        <v>323.44</v>
      </c>
      <c r="CS768" s="2123"/>
      <c r="CT768" s="2123"/>
      <c r="CU768" s="2123"/>
      <c r="CV768" s="2123"/>
      <c r="CW768" s="2123">
        <v>116.36</v>
      </c>
      <c r="CX768" s="2123">
        <v>116.36</v>
      </c>
      <c r="CY768" s="2123">
        <v>243.53</v>
      </c>
      <c r="CZ768" s="2123">
        <v>243.53</v>
      </c>
      <c r="DA768" s="2123">
        <v>243.53</v>
      </c>
      <c r="DB768" s="2123">
        <v>243.53</v>
      </c>
      <c r="DC768" s="2123">
        <v>313.06</v>
      </c>
      <c r="DD768" s="2123">
        <v>313.06</v>
      </c>
      <c r="DE768" s="2123">
        <v>313.06</v>
      </c>
      <c r="DF768" s="2123">
        <v>313.06</v>
      </c>
      <c r="DG768" s="2123"/>
      <c r="DH768" s="2123"/>
      <c r="DI768" s="2123">
        <v>30.76</v>
      </c>
      <c r="DJ768" s="2123">
        <v>30.76</v>
      </c>
      <c r="DK768" s="2123">
        <v>30.76</v>
      </c>
      <c r="DL768" s="2123">
        <v>30.76</v>
      </c>
      <c r="DM768" s="2123">
        <v>30.76</v>
      </c>
      <c r="DN768" s="2123">
        <v>30.76</v>
      </c>
      <c r="DO768" s="2123"/>
      <c r="DP768" s="2123"/>
      <c r="DQ768" s="2123"/>
      <c r="DR768" s="2123"/>
      <c r="DS768" s="2123"/>
      <c r="DT768" s="2123"/>
      <c r="DU768" s="2123">
        <v>13.68</v>
      </c>
      <c r="DV768" s="2123">
        <v>13.68</v>
      </c>
      <c r="DW768" s="2123">
        <v>13.14</v>
      </c>
      <c r="DX768" s="2123">
        <v>13.14</v>
      </c>
      <c r="DY768" s="2123">
        <v>13.14</v>
      </c>
      <c r="DZ768" s="2123">
        <v>13.14</v>
      </c>
      <c r="EA768" s="2123"/>
      <c r="EB768" s="2123"/>
      <c r="EC768" s="2123"/>
      <c r="ED768" s="2123"/>
      <c r="EE768" s="2123"/>
      <c r="EF768" s="2123"/>
      <c r="EG768" s="2123">
        <v>14.69</v>
      </c>
      <c r="EH768" s="2123">
        <v>14.86</v>
      </c>
      <c r="EI768" s="2123">
        <v>11.87</v>
      </c>
      <c r="EJ768" s="2123">
        <v>11.87</v>
      </c>
      <c r="EK768" s="2123">
        <v>11.87</v>
      </c>
      <c r="EL768" s="2123">
        <v>11.87</v>
      </c>
      <c r="EM768" s="2123">
        <v>12.47</v>
      </c>
      <c r="EN768" s="2123">
        <v>12.47</v>
      </c>
      <c r="EO768" s="2123">
        <v>11.84</v>
      </c>
      <c r="EP768" s="2123">
        <v>11.84</v>
      </c>
      <c r="EQ768" s="2123">
        <v>12.18</v>
      </c>
      <c r="ER768" s="2123">
        <v>12.05</v>
      </c>
      <c r="ES768" s="2123">
        <v>56.27</v>
      </c>
      <c r="ET768" s="2123">
        <v>56.27</v>
      </c>
      <c r="EU768" s="2123">
        <v>244.39</v>
      </c>
      <c r="EV768" s="2123">
        <v>244.39</v>
      </c>
      <c r="EW768" s="2123">
        <v>239.08</v>
      </c>
      <c r="EX768" s="2123">
        <v>239.08</v>
      </c>
      <c r="EY768" s="2129">
        <f t="shared" si="56"/>
        <v>241.73500000000001</v>
      </c>
      <c r="EZ768" s="2129">
        <f t="shared" si="56"/>
        <v>241.73500000000001</v>
      </c>
      <c r="FA768" s="2123">
        <v>242.46</v>
      </c>
      <c r="FB768" s="2123">
        <v>242.46</v>
      </c>
      <c r="FC768" s="2123"/>
      <c r="FD768" s="2123"/>
      <c r="FE768" s="2123">
        <v>48.38</v>
      </c>
      <c r="FF768" s="2123">
        <v>48.38</v>
      </c>
      <c r="FG768" s="2123">
        <v>205.88</v>
      </c>
      <c r="FH768" s="2123">
        <v>205.88</v>
      </c>
      <c r="FI768" s="2123">
        <v>205.88</v>
      </c>
      <c r="FJ768" s="2123">
        <v>207.36</v>
      </c>
      <c r="FK768" s="2123">
        <v>205.42</v>
      </c>
      <c r="FL768" s="2123">
        <v>205.42</v>
      </c>
      <c r="FM768" s="2123">
        <v>206.16</v>
      </c>
      <c r="FN768" s="2123">
        <v>206.16</v>
      </c>
      <c r="FO768" s="2123"/>
      <c r="FP768" s="2123"/>
      <c r="FQ768" s="2123">
        <v>109.3</v>
      </c>
      <c r="FR768" s="2123">
        <v>109.3</v>
      </c>
      <c r="FS768" s="2123">
        <v>219.1</v>
      </c>
      <c r="FT768" s="2123">
        <v>219.1</v>
      </c>
      <c r="FU768" s="2123">
        <v>219.1</v>
      </c>
      <c r="FV768" s="2123">
        <v>219.1</v>
      </c>
      <c r="FW768" s="2123">
        <v>219.53</v>
      </c>
      <c r="FX768" s="2123">
        <v>219.53</v>
      </c>
      <c r="FY768" s="2123"/>
      <c r="FZ768" s="2123"/>
      <c r="GA768" s="2123"/>
      <c r="GB768" s="2123"/>
      <c r="GC768" s="2123">
        <v>77.23</v>
      </c>
      <c r="GD768" s="2123">
        <v>77.23</v>
      </c>
      <c r="GE768" s="2123">
        <v>173.69</v>
      </c>
      <c r="GF768" s="2123">
        <v>173.69</v>
      </c>
      <c r="GG768" s="2123">
        <v>173.69</v>
      </c>
      <c r="GH768" s="2123">
        <v>173.69</v>
      </c>
      <c r="GI768" s="2123">
        <v>189.03</v>
      </c>
      <c r="GJ768" s="2123">
        <v>189.03</v>
      </c>
      <c r="GK768" s="2123">
        <v>214.41</v>
      </c>
      <c r="GL768" s="2123">
        <v>214.41</v>
      </c>
      <c r="GM768" s="2123"/>
      <c r="GN768" s="2123"/>
      <c r="GO768" s="2123">
        <v>41.35</v>
      </c>
      <c r="GP768" s="2123">
        <v>41.35</v>
      </c>
      <c r="GQ768" s="2123">
        <v>35.93</v>
      </c>
      <c r="GR768" s="2123">
        <v>35.93</v>
      </c>
      <c r="GS768" s="2123">
        <v>35.93</v>
      </c>
      <c r="GT768" s="2123">
        <v>34.64</v>
      </c>
      <c r="GU768" s="2123">
        <v>34.64</v>
      </c>
      <c r="GV768" s="2123">
        <v>34.9</v>
      </c>
      <c r="GW768" s="2123">
        <v>204.04</v>
      </c>
      <c r="GX768" s="2123">
        <v>204.04</v>
      </c>
      <c r="GY768" s="2123"/>
      <c r="GZ768" s="2123"/>
      <c r="HA768" s="2123">
        <v>28.95</v>
      </c>
      <c r="HB768" s="2123">
        <v>28.95</v>
      </c>
      <c r="HC768" s="2123">
        <v>22.39</v>
      </c>
      <c r="HD768" s="2123">
        <v>22.39</v>
      </c>
      <c r="HE768" s="2123">
        <v>23.04</v>
      </c>
      <c r="HF768" s="2123">
        <v>23.04</v>
      </c>
      <c r="HG768" s="2123">
        <v>23.04</v>
      </c>
      <c r="HH768" s="2123">
        <v>23.04</v>
      </c>
      <c r="HI768" s="2123">
        <v>23.04</v>
      </c>
      <c r="HJ768" s="2123">
        <v>23.04</v>
      </c>
      <c r="HK768" s="2123">
        <v>23.17</v>
      </c>
      <c r="HL768" s="2123">
        <v>23.35</v>
      </c>
      <c r="HM768" s="2123">
        <v>40.44</v>
      </c>
      <c r="HN768" s="2123">
        <v>40.44</v>
      </c>
      <c r="HO768" s="2123">
        <v>31.52</v>
      </c>
      <c r="HP768" s="2123">
        <v>31.52</v>
      </c>
      <c r="HQ768" s="2123">
        <v>32.49</v>
      </c>
      <c r="HR768" s="2123">
        <v>32.49</v>
      </c>
      <c r="HS768" s="2123">
        <v>32.49</v>
      </c>
      <c r="HT768" s="2123">
        <v>32.49</v>
      </c>
      <c r="HU768" s="2123">
        <v>32.49</v>
      </c>
      <c r="HV768" s="2123">
        <v>32.49</v>
      </c>
      <c r="HW768" s="2123">
        <v>32.58</v>
      </c>
      <c r="HX768" s="2123">
        <v>32.58</v>
      </c>
    </row>
    <row r="769" spans="2:232" s="2040" customFormat="1" ht="14" hidden="1" x14ac:dyDescent="0.3">
      <c r="B769" s="2203">
        <v>75</v>
      </c>
      <c r="C769" s="2204">
        <v>45.83</v>
      </c>
      <c r="D769" s="2204">
        <v>45.83</v>
      </c>
      <c r="E769" s="2204">
        <v>45.96</v>
      </c>
      <c r="F769" s="2204">
        <v>45.96</v>
      </c>
      <c r="G769" s="2204">
        <v>177.73</v>
      </c>
      <c r="H769" s="2204">
        <v>177.73</v>
      </c>
      <c r="I769" s="2204">
        <v>168.44</v>
      </c>
      <c r="J769" s="2204">
        <v>168.44</v>
      </c>
      <c r="K769" s="2204">
        <v>173.27</v>
      </c>
      <c r="L769" s="2204">
        <v>173.27</v>
      </c>
      <c r="M769" s="2204"/>
      <c r="N769" s="2204"/>
      <c r="O769" s="2204">
        <v>143.47</v>
      </c>
      <c r="P769" s="2204">
        <v>143.47</v>
      </c>
      <c r="Q769" s="2204">
        <v>143.03</v>
      </c>
      <c r="R769" s="2204">
        <v>143.47</v>
      </c>
      <c r="S769" s="2204">
        <v>264.92999999999995</v>
      </c>
      <c r="T769" s="2204">
        <v>264.5</v>
      </c>
      <c r="U769" s="2204">
        <v>255.32</v>
      </c>
      <c r="V769" s="2204">
        <v>255.32</v>
      </c>
      <c r="W769" s="2204">
        <v>264.5</v>
      </c>
      <c r="X769" s="2204">
        <v>264.5</v>
      </c>
      <c r="Y769" s="2204">
        <v>255.32</v>
      </c>
      <c r="Z769" s="2204">
        <v>264.5</v>
      </c>
      <c r="AA769" s="2204">
        <v>264.5</v>
      </c>
      <c r="AB769" s="2204">
        <v>264.5</v>
      </c>
      <c r="AC769" s="2204">
        <v>255.32</v>
      </c>
      <c r="AD769" s="2204">
        <v>255.32</v>
      </c>
      <c r="AE769" s="2204">
        <v>277.58999999999997</v>
      </c>
      <c r="AF769" s="2204">
        <v>269.61</v>
      </c>
      <c r="AG769" s="2204">
        <v>277.58999999999997</v>
      </c>
      <c r="AH769" s="2204">
        <v>277.58999999999997</v>
      </c>
      <c r="AI769" s="2204">
        <v>269.61</v>
      </c>
      <c r="AJ769" s="2204">
        <v>269.61</v>
      </c>
      <c r="AK769" s="2204">
        <v>270.05</v>
      </c>
      <c r="AL769" s="2204">
        <v>270.05</v>
      </c>
      <c r="AM769" s="2204">
        <v>75.77</v>
      </c>
      <c r="AN769" s="2204">
        <v>73.02</v>
      </c>
      <c r="AO769" s="2204">
        <v>73.02</v>
      </c>
      <c r="AP769" s="2204">
        <v>72.84</v>
      </c>
      <c r="AQ769" s="2204">
        <v>73.17</v>
      </c>
      <c r="AR769" s="2204">
        <v>73.17</v>
      </c>
      <c r="AS769" s="2204">
        <v>218.45</v>
      </c>
      <c r="AT769" s="2204">
        <v>218.45</v>
      </c>
      <c r="AU769" s="2204">
        <v>218.45</v>
      </c>
      <c r="AV769" s="2204">
        <v>223.35</v>
      </c>
      <c r="AW769" s="2204">
        <v>218.68</v>
      </c>
      <c r="AX769" s="2204">
        <v>218.68</v>
      </c>
      <c r="AY769" s="2204">
        <v>218.8</v>
      </c>
      <c r="AZ769" s="2204">
        <v>218.8</v>
      </c>
      <c r="BA769" s="2123">
        <v>95.36</v>
      </c>
      <c r="BB769" s="2123">
        <v>95.36</v>
      </c>
      <c r="BC769" s="2123">
        <v>24.14</v>
      </c>
      <c r="BD769" s="2123">
        <v>24.33</v>
      </c>
      <c r="BE769" s="2123">
        <v>27.17</v>
      </c>
      <c r="BF769" s="2123">
        <v>27.17</v>
      </c>
      <c r="BG769" s="2123">
        <v>24.15</v>
      </c>
      <c r="BH769" s="2123">
        <v>24.15</v>
      </c>
      <c r="BI769" s="2123">
        <v>23.96</v>
      </c>
      <c r="BJ769" s="2123">
        <v>23.96</v>
      </c>
      <c r="BK769" s="2123">
        <v>23.96</v>
      </c>
      <c r="BL769" s="2123">
        <v>23.96</v>
      </c>
      <c r="BM769" s="2123">
        <v>55.39</v>
      </c>
      <c r="BN769" s="2123">
        <v>55.39</v>
      </c>
      <c r="BO769" s="2123">
        <v>173.62</v>
      </c>
      <c r="BP769" s="2123">
        <v>173.62</v>
      </c>
      <c r="BQ769" s="2123">
        <v>173.62</v>
      </c>
      <c r="BR769" s="2123">
        <v>173.62</v>
      </c>
      <c r="BS769" s="2123">
        <v>224.1</v>
      </c>
      <c r="BT769" s="2123">
        <v>224.1</v>
      </c>
      <c r="BU769" s="2123">
        <v>224.1</v>
      </c>
      <c r="BV769" s="2123">
        <v>224.1</v>
      </c>
      <c r="BW769" s="2123">
        <v>224.1</v>
      </c>
      <c r="BX769" s="2123">
        <v>224.1</v>
      </c>
      <c r="BY769" s="2123">
        <v>50.25</v>
      </c>
      <c r="BZ769" s="2123">
        <v>50.25</v>
      </c>
      <c r="CA769" s="2123">
        <v>166.04</v>
      </c>
      <c r="CB769" s="2123">
        <v>166.04</v>
      </c>
      <c r="CC769" s="2123">
        <v>168.5</v>
      </c>
      <c r="CD769" s="2123">
        <v>168.5</v>
      </c>
      <c r="CE769" s="2123">
        <v>220.65</v>
      </c>
      <c r="CF769" s="2123">
        <v>220.65</v>
      </c>
      <c r="CG769" s="2123"/>
      <c r="CH769" s="2123"/>
      <c r="CI769" s="2123"/>
      <c r="CJ769" s="2123"/>
      <c r="CK769" s="2123">
        <v>125.04</v>
      </c>
      <c r="CL769" s="2123">
        <v>125.04</v>
      </c>
      <c r="CM769" s="2123">
        <v>252.78</v>
      </c>
      <c r="CN769" s="2123">
        <v>252.78</v>
      </c>
      <c r="CO769" s="2123">
        <v>324.92</v>
      </c>
      <c r="CP769" s="2123">
        <v>324.92</v>
      </c>
      <c r="CQ769" s="2123">
        <v>324.92</v>
      </c>
      <c r="CR769" s="2123">
        <v>324.92</v>
      </c>
      <c r="CS769" s="2123"/>
      <c r="CT769" s="2123"/>
      <c r="CU769" s="2123"/>
      <c r="CV769" s="2123"/>
      <c r="CW769" s="2123">
        <v>116.82</v>
      </c>
      <c r="CX769" s="2123">
        <v>116.82</v>
      </c>
      <c r="CY769" s="2123">
        <v>244.36</v>
      </c>
      <c r="CZ769" s="2123">
        <v>244.36</v>
      </c>
      <c r="DA769" s="2123">
        <v>244.36</v>
      </c>
      <c r="DB769" s="2123">
        <v>244.36</v>
      </c>
      <c r="DC769" s="2123">
        <v>314.39</v>
      </c>
      <c r="DD769" s="2123">
        <v>314.39</v>
      </c>
      <c r="DE769" s="2123">
        <v>314.39</v>
      </c>
      <c r="DF769" s="2123">
        <v>314.39</v>
      </c>
      <c r="DG769" s="2123"/>
      <c r="DH769" s="2123"/>
      <c r="DI769" s="2123">
        <v>30.89</v>
      </c>
      <c r="DJ769" s="2123">
        <v>30.89</v>
      </c>
      <c r="DK769" s="2123">
        <v>30.89</v>
      </c>
      <c r="DL769" s="2123">
        <v>30.89</v>
      </c>
      <c r="DM769" s="2123">
        <v>30.89</v>
      </c>
      <c r="DN769" s="2123">
        <v>30.89</v>
      </c>
      <c r="DO769" s="2123"/>
      <c r="DP769" s="2123"/>
      <c r="DQ769" s="2123"/>
      <c r="DR769" s="2123"/>
      <c r="DS769" s="2123"/>
      <c r="DT769" s="2123"/>
      <c r="DU769" s="2123">
        <v>13.75</v>
      </c>
      <c r="DV769" s="2123">
        <v>13.75</v>
      </c>
      <c r="DW769" s="2123">
        <v>13.17</v>
      </c>
      <c r="DX769" s="2123">
        <v>13.17</v>
      </c>
      <c r="DY769" s="2123">
        <v>13.17</v>
      </c>
      <c r="DZ769" s="2123">
        <v>13.17</v>
      </c>
      <c r="EA769" s="2123"/>
      <c r="EB769" s="2123"/>
      <c r="EC769" s="2123"/>
      <c r="ED769" s="2123"/>
      <c r="EE769" s="2123"/>
      <c r="EF769" s="2123"/>
      <c r="EG769" s="2123">
        <v>14.74</v>
      </c>
      <c r="EH769" s="2123">
        <v>14.91</v>
      </c>
      <c r="EI769" s="2123">
        <v>11.94</v>
      </c>
      <c r="EJ769" s="2123">
        <v>11.94</v>
      </c>
      <c r="EK769" s="2123">
        <v>11.94</v>
      </c>
      <c r="EL769" s="2123">
        <v>11.94</v>
      </c>
      <c r="EM769" s="2123">
        <v>12.53</v>
      </c>
      <c r="EN769" s="2123">
        <v>12.53</v>
      </c>
      <c r="EO769" s="2123">
        <v>11.9</v>
      </c>
      <c r="EP769" s="2123">
        <v>11.9</v>
      </c>
      <c r="EQ769" s="2123">
        <v>12.24</v>
      </c>
      <c r="ER769" s="2123">
        <v>12.1</v>
      </c>
      <c r="ES769" s="2123">
        <v>56.46</v>
      </c>
      <c r="ET769" s="2123">
        <v>56.46</v>
      </c>
      <c r="EU769" s="2123">
        <v>245.55</v>
      </c>
      <c r="EV769" s="2123">
        <v>245.55</v>
      </c>
      <c r="EW769" s="2123">
        <v>240.23</v>
      </c>
      <c r="EX769" s="2123">
        <v>240.23</v>
      </c>
      <c r="EY769" s="2129">
        <f t="shared" si="56"/>
        <v>242.89</v>
      </c>
      <c r="EZ769" s="2129">
        <f t="shared" si="56"/>
        <v>242.89</v>
      </c>
      <c r="FA769" s="2123">
        <v>243.57</v>
      </c>
      <c r="FB769" s="2123">
        <v>243.57</v>
      </c>
      <c r="FC769" s="2123"/>
      <c r="FD769" s="2123"/>
      <c r="FE769" s="2123">
        <v>48.55</v>
      </c>
      <c r="FF769" s="2123">
        <v>48.55</v>
      </c>
      <c r="FG769" s="2123">
        <v>206.87</v>
      </c>
      <c r="FH769" s="2123">
        <v>206.87</v>
      </c>
      <c r="FI769" s="2123">
        <v>206.87</v>
      </c>
      <c r="FJ769" s="2123">
        <v>208.33</v>
      </c>
      <c r="FK769" s="2123">
        <v>206.43</v>
      </c>
      <c r="FL769" s="2123">
        <v>206.43</v>
      </c>
      <c r="FM769" s="2123">
        <v>207.14</v>
      </c>
      <c r="FN769" s="2123">
        <v>207.14</v>
      </c>
      <c r="FO769" s="2123"/>
      <c r="FP769" s="2123"/>
      <c r="FQ769" s="2123">
        <v>109.67</v>
      </c>
      <c r="FR769" s="2123">
        <v>109.67</v>
      </c>
      <c r="FS769" s="2123">
        <v>219.97</v>
      </c>
      <c r="FT769" s="2123">
        <v>219.97</v>
      </c>
      <c r="FU769" s="2123">
        <v>219.97</v>
      </c>
      <c r="FV769" s="2123">
        <v>219.97</v>
      </c>
      <c r="FW769" s="2123">
        <v>220.39</v>
      </c>
      <c r="FX769" s="2123">
        <v>220.39</v>
      </c>
      <c r="FY769" s="2123"/>
      <c r="FZ769" s="2123"/>
      <c r="GA769" s="2123"/>
      <c r="GB769" s="2123"/>
      <c r="GC769" s="2123">
        <v>77.489999999999995</v>
      </c>
      <c r="GD769" s="2123">
        <v>77.489999999999995</v>
      </c>
      <c r="GE769" s="2123">
        <v>174.23</v>
      </c>
      <c r="GF769" s="2123">
        <v>174.23</v>
      </c>
      <c r="GG769" s="2123">
        <v>174.23</v>
      </c>
      <c r="GH769" s="2123">
        <v>174.23</v>
      </c>
      <c r="GI769" s="2123">
        <v>190.22</v>
      </c>
      <c r="GJ769" s="2123">
        <v>190.22</v>
      </c>
      <c r="GK769" s="2123">
        <v>215.38</v>
      </c>
      <c r="GL769" s="2123">
        <v>215.38</v>
      </c>
      <c r="GM769" s="2123"/>
      <c r="GN769" s="2123"/>
      <c r="GO769" s="2123">
        <v>41.49</v>
      </c>
      <c r="GP769" s="2123">
        <v>41.49</v>
      </c>
      <c r="GQ769" s="2123">
        <v>36.15</v>
      </c>
      <c r="GR769" s="2123">
        <v>36.15</v>
      </c>
      <c r="GS769" s="2123">
        <v>36.15</v>
      </c>
      <c r="GT769" s="2123">
        <v>34.86</v>
      </c>
      <c r="GU769" s="2123">
        <v>34.86</v>
      </c>
      <c r="GV769" s="2123">
        <v>35.11</v>
      </c>
      <c r="GW769" s="2123">
        <v>205.27</v>
      </c>
      <c r="GX769" s="2123">
        <v>205.27</v>
      </c>
      <c r="GY769" s="2123"/>
      <c r="GZ769" s="2123"/>
      <c r="HA769" s="2123">
        <v>29.02</v>
      </c>
      <c r="HB769" s="2123">
        <v>29.02</v>
      </c>
      <c r="HC769" s="2123">
        <v>22.48</v>
      </c>
      <c r="HD769" s="2123">
        <v>22.48</v>
      </c>
      <c r="HE769" s="2123">
        <v>23.13</v>
      </c>
      <c r="HF769" s="2123">
        <v>23.13</v>
      </c>
      <c r="HG769" s="2123">
        <v>23.13</v>
      </c>
      <c r="HH769" s="2123">
        <v>23.13</v>
      </c>
      <c r="HI769" s="2123">
        <v>23.13</v>
      </c>
      <c r="HJ769" s="2123">
        <v>23.13</v>
      </c>
      <c r="HK769" s="2123">
        <v>23.26</v>
      </c>
      <c r="HL769" s="2123">
        <v>23.44</v>
      </c>
      <c r="HM769" s="2123">
        <v>40.549999999999997</v>
      </c>
      <c r="HN769" s="2123">
        <v>40.549999999999997</v>
      </c>
      <c r="HO769" s="2123">
        <v>31.67</v>
      </c>
      <c r="HP769" s="2123">
        <v>31.67</v>
      </c>
      <c r="HQ769" s="2123">
        <v>32.659999999999997</v>
      </c>
      <c r="HR769" s="2123">
        <v>32.659999999999997</v>
      </c>
      <c r="HS769" s="2123">
        <v>32.659999999999997</v>
      </c>
      <c r="HT769" s="2123">
        <v>32.659999999999997</v>
      </c>
      <c r="HU769" s="2123">
        <v>32.659999999999997</v>
      </c>
      <c r="HV769" s="2123">
        <v>32.659999999999997</v>
      </c>
      <c r="HW769" s="2123">
        <v>32.72</v>
      </c>
      <c r="HX769" s="2123">
        <v>32.72</v>
      </c>
    </row>
    <row r="770" spans="2:232" s="2040" customFormat="1" ht="14" hidden="1" x14ac:dyDescent="0.3">
      <c r="B770" s="2203">
        <v>76</v>
      </c>
      <c r="C770" s="2204">
        <v>45.99</v>
      </c>
      <c r="D770" s="2204">
        <v>45.99</v>
      </c>
      <c r="E770" s="2204">
        <v>46.11</v>
      </c>
      <c r="F770" s="2204">
        <v>46.11</v>
      </c>
      <c r="G770" s="2204">
        <v>178.25</v>
      </c>
      <c r="H770" s="2204">
        <v>178.25</v>
      </c>
      <c r="I770" s="2204">
        <v>169.2</v>
      </c>
      <c r="J770" s="2204">
        <v>169.2</v>
      </c>
      <c r="K770" s="2204">
        <v>173.94</v>
      </c>
      <c r="L770" s="2204">
        <v>173.94</v>
      </c>
      <c r="M770" s="2204"/>
      <c r="N770" s="2204"/>
      <c r="O770" s="2204">
        <v>143.9</v>
      </c>
      <c r="P770" s="2204">
        <v>143.9</v>
      </c>
      <c r="Q770" s="2204">
        <v>143.44999999999999</v>
      </c>
      <c r="R770" s="2204">
        <v>143.91</v>
      </c>
      <c r="S770" s="2204">
        <v>266.06999999999994</v>
      </c>
      <c r="T770" s="2204">
        <v>265.75</v>
      </c>
      <c r="U770" s="2204">
        <v>256.52</v>
      </c>
      <c r="V770" s="2204">
        <v>256.52</v>
      </c>
      <c r="W770" s="2204">
        <v>265.75</v>
      </c>
      <c r="X770" s="2204">
        <v>265.75</v>
      </c>
      <c r="Y770" s="2204">
        <v>256.52</v>
      </c>
      <c r="Z770" s="2204">
        <v>265.75</v>
      </c>
      <c r="AA770" s="2204">
        <v>265.75</v>
      </c>
      <c r="AB770" s="2204">
        <v>265.75</v>
      </c>
      <c r="AC770" s="2204">
        <v>256.52</v>
      </c>
      <c r="AD770" s="2204">
        <v>256.52</v>
      </c>
      <c r="AE770" s="2204">
        <v>278.72000000000003</v>
      </c>
      <c r="AF770" s="2204">
        <v>270.7</v>
      </c>
      <c r="AG770" s="2204">
        <v>278.72000000000003</v>
      </c>
      <c r="AH770" s="2204">
        <v>278.72000000000003</v>
      </c>
      <c r="AI770" s="2204">
        <v>270.7</v>
      </c>
      <c r="AJ770" s="2204">
        <v>270.7</v>
      </c>
      <c r="AK770" s="2204">
        <v>271.12</v>
      </c>
      <c r="AL770" s="2204">
        <v>271.12</v>
      </c>
      <c r="AM770" s="2204">
        <v>76.02</v>
      </c>
      <c r="AN770" s="2204">
        <v>73.260000000000005</v>
      </c>
      <c r="AO770" s="2204">
        <v>73.260000000000005</v>
      </c>
      <c r="AP770" s="2204">
        <v>73.099999999999994</v>
      </c>
      <c r="AQ770" s="2204">
        <v>73.42</v>
      </c>
      <c r="AR770" s="2204">
        <v>73.42</v>
      </c>
      <c r="AS770" s="2204">
        <v>219.45</v>
      </c>
      <c r="AT770" s="2204">
        <v>219.45</v>
      </c>
      <c r="AU770" s="2204">
        <v>219.45</v>
      </c>
      <c r="AV770" s="2204">
        <v>224.36</v>
      </c>
      <c r="AW770" s="2204">
        <v>219.68</v>
      </c>
      <c r="AX770" s="2204">
        <v>219.68</v>
      </c>
      <c r="AY770" s="2204">
        <v>219.8</v>
      </c>
      <c r="AZ770" s="2204">
        <v>219.8</v>
      </c>
      <c r="BA770" s="2123">
        <v>95.9</v>
      </c>
      <c r="BB770" s="2123">
        <v>95.9</v>
      </c>
      <c r="BC770" s="2123">
        <v>24.27</v>
      </c>
      <c r="BD770" s="2123">
        <v>24.45</v>
      </c>
      <c r="BE770" s="2123">
        <v>27.29</v>
      </c>
      <c r="BF770" s="2123">
        <v>27.29</v>
      </c>
      <c r="BG770" s="2123">
        <v>24.31</v>
      </c>
      <c r="BH770" s="2123">
        <v>24.31</v>
      </c>
      <c r="BI770" s="2123">
        <v>24.12</v>
      </c>
      <c r="BJ770" s="2123">
        <v>24.12</v>
      </c>
      <c r="BK770" s="2123">
        <v>24.12</v>
      </c>
      <c r="BL770" s="2123">
        <v>24.12</v>
      </c>
      <c r="BM770" s="2123">
        <v>55.61</v>
      </c>
      <c r="BN770" s="2123">
        <v>55.61</v>
      </c>
      <c r="BO770" s="2123">
        <v>174.41</v>
      </c>
      <c r="BP770" s="2123">
        <v>174.41</v>
      </c>
      <c r="BQ770" s="2123">
        <v>174.41</v>
      </c>
      <c r="BR770" s="2123">
        <v>174.41</v>
      </c>
      <c r="BS770" s="2123">
        <v>225.32</v>
      </c>
      <c r="BT770" s="2123">
        <v>225.32</v>
      </c>
      <c r="BU770" s="2123">
        <v>225.32</v>
      </c>
      <c r="BV770" s="2123">
        <v>225.32</v>
      </c>
      <c r="BW770" s="2123">
        <v>225.32</v>
      </c>
      <c r="BX770" s="2123">
        <v>225.32</v>
      </c>
      <c r="BY770" s="2123">
        <v>50.45</v>
      </c>
      <c r="BZ770" s="2123">
        <v>50.45</v>
      </c>
      <c r="CA770" s="2123">
        <v>166.8</v>
      </c>
      <c r="CB770" s="2123">
        <v>166.8</v>
      </c>
      <c r="CC770" s="2123">
        <v>169.28</v>
      </c>
      <c r="CD770" s="2123">
        <v>169.28</v>
      </c>
      <c r="CE770" s="2123">
        <v>221.86</v>
      </c>
      <c r="CF770" s="2123">
        <v>221.86</v>
      </c>
      <c r="CG770" s="2123"/>
      <c r="CH770" s="2123"/>
      <c r="CI770" s="2123"/>
      <c r="CJ770" s="2123"/>
      <c r="CK770" s="2123">
        <v>125.45</v>
      </c>
      <c r="CL770" s="2123">
        <v>125.45</v>
      </c>
      <c r="CM770" s="2123">
        <v>253.47</v>
      </c>
      <c r="CN770" s="2123">
        <v>253.47</v>
      </c>
      <c r="CO770" s="2123">
        <v>326.07</v>
      </c>
      <c r="CP770" s="2123">
        <v>326.07</v>
      </c>
      <c r="CQ770" s="2123">
        <v>326.07</v>
      </c>
      <c r="CR770" s="2123">
        <v>326.07</v>
      </c>
      <c r="CS770" s="2123"/>
      <c r="CT770" s="2123"/>
      <c r="CU770" s="2123"/>
      <c r="CV770" s="2123"/>
      <c r="CW770" s="2123">
        <v>117.27</v>
      </c>
      <c r="CX770" s="2123">
        <v>117.27</v>
      </c>
      <c r="CY770" s="2123">
        <v>245.17</v>
      </c>
      <c r="CZ770" s="2123">
        <v>245.17</v>
      </c>
      <c r="DA770" s="2123">
        <v>245.17</v>
      </c>
      <c r="DB770" s="2123">
        <v>245.17</v>
      </c>
      <c r="DC770" s="2123">
        <v>315.72000000000003</v>
      </c>
      <c r="DD770" s="2123">
        <v>315.72000000000003</v>
      </c>
      <c r="DE770" s="2123">
        <v>315.72000000000003</v>
      </c>
      <c r="DF770" s="2123">
        <v>315.72000000000003</v>
      </c>
      <c r="DG770" s="2123"/>
      <c r="DH770" s="2123"/>
      <c r="DI770" s="2123">
        <v>31.01</v>
      </c>
      <c r="DJ770" s="2123">
        <v>31.01</v>
      </c>
      <c r="DK770" s="2123">
        <v>31.01</v>
      </c>
      <c r="DL770" s="2123">
        <v>31.01</v>
      </c>
      <c r="DM770" s="2123">
        <v>31.01</v>
      </c>
      <c r="DN770" s="2123">
        <v>31.01</v>
      </c>
      <c r="DO770" s="2123"/>
      <c r="DP770" s="2123"/>
      <c r="DQ770" s="2123"/>
      <c r="DR770" s="2123"/>
      <c r="DS770" s="2123"/>
      <c r="DT770" s="2123"/>
      <c r="DU770" s="2123">
        <v>13.8</v>
      </c>
      <c r="DV770" s="2123">
        <v>13.8</v>
      </c>
      <c r="DW770" s="2123">
        <v>13.22</v>
      </c>
      <c r="DX770" s="2123">
        <v>13.22</v>
      </c>
      <c r="DY770" s="2123">
        <v>13.22</v>
      </c>
      <c r="DZ770" s="2123">
        <v>13.22</v>
      </c>
      <c r="EA770" s="2123"/>
      <c r="EB770" s="2123"/>
      <c r="EC770" s="2123"/>
      <c r="ED770" s="2123"/>
      <c r="EE770" s="2123"/>
      <c r="EF770" s="2123"/>
      <c r="EG770" s="2123">
        <v>14.78</v>
      </c>
      <c r="EH770" s="2123">
        <v>14.95</v>
      </c>
      <c r="EI770" s="2123">
        <v>12</v>
      </c>
      <c r="EJ770" s="2123">
        <v>12</v>
      </c>
      <c r="EK770" s="2123">
        <v>12</v>
      </c>
      <c r="EL770" s="2123">
        <v>12</v>
      </c>
      <c r="EM770" s="2123">
        <v>12.59</v>
      </c>
      <c r="EN770" s="2123">
        <v>12.59</v>
      </c>
      <c r="EO770" s="2123">
        <v>11.96</v>
      </c>
      <c r="EP770" s="2123">
        <v>11.96</v>
      </c>
      <c r="EQ770" s="2123">
        <v>12.31</v>
      </c>
      <c r="ER770" s="2123">
        <v>12.16</v>
      </c>
      <c r="ES770" s="2123">
        <v>56.64</v>
      </c>
      <c r="ET770" s="2123">
        <v>56.64</v>
      </c>
      <c r="EU770" s="2123">
        <v>246.69</v>
      </c>
      <c r="EV770" s="2123">
        <v>246.69</v>
      </c>
      <c r="EW770" s="2123">
        <v>241.36</v>
      </c>
      <c r="EX770" s="2123">
        <v>241.36</v>
      </c>
      <c r="EY770" s="2129">
        <f t="shared" si="56"/>
        <v>244.02500000000001</v>
      </c>
      <c r="EZ770" s="2129">
        <f t="shared" si="56"/>
        <v>244.02500000000001</v>
      </c>
      <c r="FA770" s="2123">
        <v>244.65</v>
      </c>
      <c r="FB770" s="2123">
        <v>244.65</v>
      </c>
      <c r="FC770" s="2123"/>
      <c r="FD770" s="2123"/>
      <c r="FE770" s="2123">
        <v>48.71</v>
      </c>
      <c r="FF770" s="2123">
        <v>48.71</v>
      </c>
      <c r="FG770" s="2123">
        <v>207.85</v>
      </c>
      <c r="FH770" s="2123">
        <v>207.85</v>
      </c>
      <c r="FI770" s="2123">
        <v>207.85</v>
      </c>
      <c r="FJ770" s="2123">
        <v>209.27</v>
      </c>
      <c r="FK770" s="2123">
        <v>207.41</v>
      </c>
      <c r="FL770" s="2123">
        <v>207.41</v>
      </c>
      <c r="FM770" s="2123">
        <v>208.11</v>
      </c>
      <c r="FN770" s="2123">
        <v>208.11</v>
      </c>
      <c r="FO770" s="2123"/>
      <c r="FP770" s="2123"/>
      <c r="FQ770" s="2123">
        <v>110.03</v>
      </c>
      <c r="FR770" s="2123">
        <v>110.03</v>
      </c>
      <c r="FS770" s="2123">
        <v>220.82</v>
      </c>
      <c r="FT770" s="2123">
        <v>220.82</v>
      </c>
      <c r="FU770" s="2123">
        <v>220.82</v>
      </c>
      <c r="FV770" s="2123">
        <v>220.82</v>
      </c>
      <c r="FW770" s="2123">
        <v>221.23</v>
      </c>
      <c r="FX770" s="2123">
        <v>221.23</v>
      </c>
      <c r="FY770" s="2123"/>
      <c r="FZ770" s="2123"/>
      <c r="GA770" s="2123"/>
      <c r="GB770" s="2123"/>
      <c r="GC770" s="2123">
        <v>77.739999999999995</v>
      </c>
      <c r="GD770" s="2123">
        <v>77.739999999999995</v>
      </c>
      <c r="GE770" s="2123">
        <v>174.76</v>
      </c>
      <c r="GF770" s="2123">
        <v>174.76</v>
      </c>
      <c r="GG770" s="2123">
        <v>174.76</v>
      </c>
      <c r="GH770" s="2123">
        <v>174.76</v>
      </c>
      <c r="GI770" s="2123">
        <v>191.38</v>
      </c>
      <c r="GJ770" s="2123">
        <v>191.38</v>
      </c>
      <c r="GK770" s="2123">
        <v>216.33</v>
      </c>
      <c r="GL770" s="2123">
        <v>216.33</v>
      </c>
      <c r="GM770" s="2123"/>
      <c r="GN770" s="2123"/>
      <c r="GO770" s="2123">
        <v>41.63</v>
      </c>
      <c r="GP770" s="2123">
        <v>41.63</v>
      </c>
      <c r="GQ770" s="2123">
        <v>36.340000000000003</v>
      </c>
      <c r="GR770" s="2123">
        <v>36.340000000000003</v>
      </c>
      <c r="GS770" s="2123">
        <v>36.340000000000003</v>
      </c>
      <c r="GT770" s="2123">
        <v>35.04</v>
      </c>
      <c r="GU770" s="2123">
        <v>35.04</v>
      </c>
      <c r="GV770" s="2123">
        <v>35.28</v>
      </c>
      <c r="GW770" s="2123">
        <v>206.28</v>
      </c>
      <c r="GX770" s="2123">
        <v>206.28</v>
      </c>
      <c r="GY770" s="2123"/>
      <c r="GZ770" s="2123"/>
      <c r="HA770" s="2123">
        <v>29.08</v>
      </c>
      <c r="HB770" s="2123">
        <v>29.08</v>
      </c>
      <c r="HC770" s="2123">
        <v>22.57</v>
      </c>
      <c r="HD770" s="2123">
        <v>22.57</v>
      </c>
      <c r="HE770" s="2123">
        <v>23.22</v>
      </c>
      <c r="HF770" s="2123">
        <v>23.22</v>
      </c>
      <c r="HG770" s="2123">
        <v>23.22</v>
      </c>
      <c r="HH770" s="2123">
        <v>23.22</v>
      </c>
      <c r="HI770" s="2123">
        <v>23.22</v>
      </c>
      <c r="HJ770" s="2123">
        <v>23.22</v>
      </c>
      <c r="HK770" s="2123">
        <v>23.34</v>
      </c>
      <c r="HL770" s="2123">
        <v>23.52</v>
      </c>
      <c r="HM770" s="2123">
        <v>40.67</v>
      </c>
      <c r="HN770" s="2123">
        <v>40.67</v>
      </c>
      <c r="HO770" s="2123">
        <v>31.84</v>
      </c>
      <c r="HP770" s="2123">
        <v>31.84</v>
      </c>
      <c r="HQ770" s="2123">
        <v>32.799999999999997</v>
      </c>
      <c r="HR770" s="2123">
        <v>32.799999999999997</v>
      </c>
      <c r="HS770" s="2123">
        <v>32.799999999999997</v>
      </c>
      <c r="HT770" s="2123">
        <v>32.799999999999997</v>
      </c>
      <c r="HU770" s="2123">
        <v>32.799999999999997</v>
      </c>
      <c r="HV770" s="2123">
        <v>32.799999999999997</v>
      </c>
      <c r="HW770" s="2123">
        <v>32.880000000000003</v>
      </c>
      <c r="HX770" s="2123">
        <v>32.880000000000003</v>
      </c>
    </row>
    <row r="771" spans="2:232" s="2040" customFormat="1" ht="14" hidden="1" x14ac:dyDescent="0.3">
      <c r="B771" s="2203">
        <v>77</v>
      </c>
      <c r="C771" s="2204">
        <v>46.1</v>
      </c>
      <c r="D771" s="2204">
        <v>46.1</v>
      </c>
      <c r="E771" s="2204">
        <v>46.21</v>
      </c>
      <c r="F771" s="2204">
        <v>46.21</v>
      </c>
      <c r="G771" s="2204">
        <v>178.98</v>
      </c>
      <c r="H771" s="2204">
        <v>178.98</v>
      </c>
      <c r="I771" s="2204">
        <v>169.73</v>
      </c>
      <c r="J771" s="2204">
        <v>169.73</v>
      </c>
      <c r="K771" s="2204">
        <v>174.4</v>
      </c>
      <c r="L771" s="2204">
        <v>174.4</v>
      </c>
      <c r="M771" s="2204"/>
      <c r="N771" s="2204"/>
      <c r="O771" s="2204">
        <v>144.28</v>
      </c>
      <c r="P771" s="2204">
        <v>144.28</v>
      </c>
      <c r="Q771" s="2204">
        <v>143.82</v>
      </c>
      <c r="R771" s="2204">
        <v>144.28</v>
      </c>
      <c r="S771" s="2204">
        <v>267.05999999999995</v>
      </c>
      <c r="T771" s="2204">
        <v>266.97000000000003</v>
      </c>
      <c r="U771" s="2204">
        <v>257.7</v>
      </c>
      <c r="V771" s="2204">
        <v>257.7</v>
      </c>
      <c r="W771" s="2204">
        <v>266.97000000000003</v>
      </c>
      <c r="X771" s="2204">
        <v>266.97000000000003</v>
      </c>
      <c r="Y771" s="2204">
        <v>257.7</v>
      </c>
      <c r="Z771" s="2204">
        <v>266.97000000000003</v>
      </c>
      <c r="AA771" s="2204">
        <v>266.97000000000003</v>
      </c>
      <c r="AB771" s="2204">
        <v>266.97000000000003</v>
      </c>
      <c r="AC771" s="2204">
        <v>257.7</v>
      </c>
      <c r="AD771" s="2204">
        <v>257.7</v>
      </c>
      <c r="AE771" s="2204">
        <v>279.82</v>
      </c>
      <c r="AF771" s="2204">
        <v>271.77</v>
      </c>
      <c r="AG771" s="2204">
        <v>279.82</v>
      </c>
      <c r="AH771" s="2204">
        <v>279.82</v>
      </c>
      <c r="AI771" s="2204">
        <v>271.77</v>
      </c>
      <c r="AJ771" s="2204">
        <v>271.77</v>
      </c>
      <c r="AK771" s="2204">
        <v>272.18</v>
      </c>
      <c r="AL771" s="2204">
        <v>272.18</v>
      </c>
      <c r="AM771" s="2204">
        <v>76.27</v>
      </c>
      <c r="AN771" s="2204">
        <v>73.5</v>
      </c>
      <c r="AO771" s="2204">
        <v>73.5</v>
      </c>
      <c r="AP771" s="2204">
        <v>73.31</v>
      </c>
      <c r="AQ771" s="2204">
        <v>73.63</v>
      </c>
      <c r="AR771" s="2204">
        <v>73.63</v>
      </c>
      <c r="AS771" s="2204">
        <v>220.24</v>
      </c>
      <c r="AT771" s="2204">
        <v>220.24</v>
      </c>
      <c r="AU771" s="2204">
        <v>220.24</v>
      </c>
      <c r="AV771" s="2204">
        <v>225.17</v>
      </c>
      <c r="AW771" s="2204">
        <v>220.47</v>
      </c>
      <c r="AX771" s="2204">
        <v>220.47</v>
      </c>
      <c r="AY771" s="2204">
        <v>220.59</v>
      </c>
      <c r="AZ771" s="2204">
        <v>220.59</v>
      </c>
      <c r="BA771" s="2123">
        <v>96.23</v>
      </c>
      <c r="BB771" s="2123">
        <v>96.23</v>
      </c>
      <c r="BC771" s="2123">
        <v>24.39</v>
      </c>
      <c r="BD771" s="2123">
        <v>24.56</v>
      </c>
      <c r="BE771" s="2123">
        <v>27.36</v>
      </c>
      <c r="BF771" s="2123">
        <v>27.36</v>
      </c>
      <c r="BG771" s="2123">
        <v>24.41</v>
      </c>
      <c r="BH771" s="2123">
        <v>24.41</v>
      </c>
      <c r="BI771" s="2123">
        <v>24.21</v>
      </c>
      <c r="BJ771" s="2123">
        <v>24.21</v>
      </c>
      <c r="BK771" s="2123">
        <v>24.21</v>
      </c>
      <c r="BL771" s="2123">
        <v>24.21</v>
      </c>
      <c r="BM771" s="2123">
        <v>55.75</v>
      </c>
      <c r="BN771" s="2123">
        <v>55.75</v>
      </c>
      <c r="BO771" s="2123">
        <v>174.91</v>
      </c>
      <c r="BP771" s="2123">
        <v>174.91</v>
      </c>
      <c r="BQ771" s="2123">
        <v>174.91</v>
      </c>
      <c r="BR771" s="2123">
        <v>174.91</v>
      </c>
      <c r="BS771" s="2123">
        <v>226.09</v>
      </c>
      <c r="BT771" s="2123">
        <v>226.09</v>
      </c>
      <c r="BU771" s="2123">
        <v>226.09</v>
      </c>
      <c r="BV771" s="2123">
        <v>226.09</v>
      </c>
      <c r="BW771" s="2123">
        <v>226.09</v>
      </c>
      <c r="BX771" s="2123">
        <v>226.09</v>
      </c>
      <c r="BY771" s="2123">
        <v>50.59</v>
      </c>
      <c r="BZ771" s="2123">
        <v>50.59</v>
      </c>
      <c r="CA771" s="2123">
        <v>167.35</v>
      </c>
      <c r="CB771" s="2123">
        <v>167.35</v>
      </c>
      <c r="CC771" s="2123">
        <v>169.84</v>
      </c>
      <c r="CD771" s="2123">
        <v>169.84</v>
      </c>
      <c r="CE771" s="2123">
        <v>222.72</v>
      </c>
      <c r="CF771" s="2123">
        <v>222.72</v>
      </c>
      <c r="CG771" s="2123"/>
      <c r="CH771" s="2123"/>
      <c r="CI771" s="2123"/>
      <c r="CJ771" s="2123"/>
      <c r="CK771" s="2123">
        <v>125.83</v>
      </c>
      <c r="CL771" s="2123">
        <v>125.83</v>
      </c>
      <c r="CM771" s="2123">
        <v>254.14</v>
      </c>
      <c r="CN771" s="2123">
        <v>254.14</v>
      </c>
      <c r="CO771" s="2123">
        <v>327.14999999999998</v>
      </c>
      <c r="CP771" s="2123">
        <v>327.14999999999998</v>
      </c>
      <c r="CQ771" s="2123">
        <v>327.14999999999998</v>
      </c>
      <c r="CR771" s="2123">
        <v>327.14999999999998</v>
      </c>
      <c r="CS771" s="2123"/>
      <c r="CT771" s="2123"/>
      <c r="CU771" s="2123"/>
      <c r="CV771" s="2123"/>
      <c r="CW771" s="2123">
        <v>117.66</v>
      </c>
      <c r="CX771" s="2123">
        <v>117.66</v>
      </c>
      <c r="CY771" s="2123">
        <v>245.87</v>
      </c>
      <c r="CZ771" s="2123">
        <v>245.87</v>
      </c>
      <c r="DA771" s="2123">
        <v>245.87</v>
      </c>
      <c r="DB771" s="2123">
        <v>245.87</v>
      </c>
      <c r="DC771" s="2123">
        <v>316.85000000000002</v>
      </c>
      <c r="DD771" s="2123">
        <v>316.85000000000002</v>
      </c>
      <c r="DE771" s="2123">
        <v>316.85000000000002</v>
      </c>
      <c r="DF771" s="2123">
        <v>316.85000000000002</v>
      </c>
      <c r="DG771" s="2123"/>
      <c r="DH771" s="2123"/>
      <c r="DI771" s="2123">
        <v>31.08</v>
      </c>
      <c r="DJ771" s="2123">
        <v>31.08</v>
      </c>
      <c r="DK771" s="2123">
        <v>31.08</v>
      </c>
      <c r="DL771" s="2123">
        <v>31.08</v>
      </c>
      <c r="DM771" s="2123">
        <v>31.08</v>
      </c>
      <c r="DN771" s="2123">
        <v>31.08</v>
      </c>
      <c r="DO771" s="2123"/>
      <c r="DP771" s="2123"/>
      <c r="DQ771" s="2123"/>
      <c r="DR771" s="2123"/>
      <c r="DS771" s="2123"/>
      <c r="DT771" s="2123"/>
      <c r="DU771" s="2123">
        <v>13.82</v>
      </c>
      <c r="DV771" s="2123">
        <v>13.82</v>
      </c>
      <c r="DW771" s="2123">
        <v>13.28</v>
      </c>
      <c r="DX771" s="2123">
        <v>13.28</v>
      </c>
      <c r="DY771" s="2123">
        <v>13.28</v>
      </c>
      <c r="DZ771" s="2123">
        <v>13.28</v>
      </c>
      <c r="EA771" s="2123"/>
      <c r="EB771" s="2123"/>
      <c r="EC771" s="2123"/>
      <c r="ED771" s="2123"/>
      <c r="EE771" s="2123"/>
      <c r="EF771" s="2123"/>
      <c r="EG771" s="2123">
        <v>14.83</v>
      </c>
      <c r="EH771" s="2123">
        <v>15</v>
      </c>
      <c r="EI771" s="2123">
        <v>12.07</v>
      </c>
      <c r="EJ771" s="2123">
        <v>12.07</v>
      </c>
      <c r="EK771" s="2123">
        <v>12.06</v>
      </c>
      <c r="EL771" s="2123">
        <v>12.06</v>
      </c>
      <c r="EM771" s="2123">
        <v>12.65</v>
      </c>
      <c r="EN771" s="2123">
        <v>12.65</v>
      </c>
      <c r="EO771" s="2123">
        <v>12.02</v>
      </c>
      <c r="EP771" s="2123">
        <v>12.02</v>
      </c>
      <c r="EQ771" s="2123">
        <v>12.37</v>
      </c>
      <c r="ER771" s="2123">
        <v>12.22</v>
      </c>
      <c r="ES771" s="2123">
        <v>56.82</v>
      </c>
      <c r="ET771" s="2123">
        <v>56.82</v>
      </c>
      <c r="EU771" s="2123">
        <v>247.81</v>
      </c>
      <c r="EV771" s="2123">
        <v>247.81</v>
      </c>
      <c r="EW771" s="2123">
        <v>242.46</v>
      </c>
      <c r="EX771" s="2123">
        <v>242.46</v>
      </c>
      <c r="EY771" s="2129">
        <f t="shared" si="56"/>
        <v>245.13499999999999</v>
      </c>
      <c r="EZ771" s="2129">
        <f t="shared" si="56"/>
        <v>245.13499999999999</v>
      </c>
      <c r="FA771" s="2123">
        <v>245.72</v>
      </c>
      <c r="FB771" s="2123">
        <v>245.72</v>
      </c>
      <c r="FC771" s="2123"/>
      <c r="FD771" s="2123"/>
      <c r="FE771" s="2123">
        <v>48.87</v>
      </c>
      <c r="FF771" s="2123">
        <v>48.87</v>
      </c>
      <c r="FG771" s="2123">
        <v>208.81</v>
      </c>
      <c r="FH771" s="2123">
        <v>208.81</v>
      </c>
      <c r="FI771" s="2123">
        <v>208.81</v>
      </c>
      <c r="FJ771" s="2123">
        <v>210.2</v>
      </c>
      <c r="FK771" s="2123">
        <v>208.38</v>
      </c>
      <c r="FL771" s="2123">
        <v>208.38</v>
      </c>
      <c r="FM771" s="2123">
        <v>209.06</v>
      </c>
      <c r="FN771" s="2123">
        <v>209.06</v>
      </c>
      <c r="FO771" s="2123"/>
      <c r="FP771" s="2123"/>
      <c r="FQ771" s="2123">
        <v>110.39</v>
      </c>
      <c r="FR771" s="2123">
        <v>110.39</v>
      </c>
      <c r="FS771" s="2123">
        <v>221.66</v>
      </c>
      <c r="FT771" s="2123">
        <v>221.66</v>
      </c>
      <c r="FU771" s="2123">
        <v>221.66</v>
      </c>
      <c r="FV771" s="2123">
        <v>221.66</v>
      </c>
      <c r="FW771" s="2123">
        <v>222.05</v>
      </c>
      <c r="FX771" s="2123">
        <v>222.05</v>
      </c>
      <c r="FY771" s="2123"/>
      <c r="FZ771" s="2123"/>
      <c r="GA771" s="2123"/>
      <c r="GB771" s="2123"/>
      <c r="GC771" s="2123">
        <v>77.989999999999995</v>
      </c>
      <c r="GD771" s="2123">
        <v>77.989999999999995</v>
      </c>
      <c r="GE771" s="2123">
        <v>175.27</v>
      </c>
      <c r="GF771" s="2123">
        <v>175.27</v>
      </c>
      <c r="GG771" s="2123">
        <v>175.27</v>
      </c>
      <c r="GH771" s="2123">
        <v>175.27</v>
      </c>
      <c r="GI771" s="2123">
        <v>192.51</v>
      </c>
      <c r="GJ771" s="2123">
        <v>192.51</v>
      </c>
      <c r="GK771" s="2123">
        <v>217.26</v>
      </c>
      <c r="GL771" s="2123">
        <v>217.26</v>
      </c>
      <c r="GM771" s="2123"/>
      <c r="GN771" s="2123"/>
      <c r="GO771" s="2123">
        <v>41.76</v>
      </c>
      <c r="GP771" s="2123">
        <v>41.76</v>
      </c>
      <c r="GQ771" s="2123">
        <v>36.47</v>
      </c>
      <c r="GR771" s="2123">
        <v>36.47</v>
      </c>
      <c r="GS771" s="2123">
        <v>36.47</v>
      </c>
      <c r="GT771" s="2123">
        <v>35.17</v>
      </c>
      <c r="GU771" s="2123">
        <v>35.17</v>
      </c>
      <c r="GV771" s="2123">
        <v>35.409999999999997</v>
      </c>
      <c r="GW771" s="2123">
        <v>207.01</v>
      </c>
      <c r="GX771" s="2123">
        <v>207.01</v>
      </c>
      <c r="GY771" s="2123"/>
      <c r="GZ771" s="2123"/>
      <c r="HA771" s="2123">
        <v>29.15</v>
      </c>
      <c r="HB771" s="2123">
        <v>29.15</v>
      </c>
      <c r="HC771" s="2123">
        <v>22.67</v>
      </c>
      <c r="HD771" s="2123">
        <v>22.67</v>
      </c>
      <c r="HE771" s="2123">
        <v>23.32</v>
      </c>
      <c r="HF771" s="2123">
        <v>23.32</v>
      </c>
      <c r="HG771" s="2123">
        <v>23.32</v>
      </c>
      <c r="HH771" s="2123">
        <v>23.32</v>
      </c>
      <c r="HI771" s="2123">
        <v>23.32</v>
      </c>
      <c r="HJ771" s="2123">
        <v>23.32</v>
      </c>
      <c r="HK771" s="2123">
        <v>23.43</v>
      </c>
      <c r="HL771" s="2123">
        <v>23.61</v>
      </c>
      <c r="HM771" s="2123">
        <v>40.78</v>
      </c>
      <c r="HN771" s="2123">
        <v>40.78</v>
      </c>
      <c r="HO771" s="2123">
        <v>31.99</v>
      </c>
      <c r="HP771" s="2123">
        <v>31.99</v>
      </c>
      <c r="HQ771" s="2123">
        <v>32.99</v>
      </c>
      <c r="HR771" s="2123">
        <v>32.99</v>
      </c>
      <c r="HS771" s="2123">
        <v>32.99</v>
      </c>
      <c r="HT771" s="2123">
        <v>32.99</v>
      </c>
      <c r="HU771" s="2123">
        <v>32.99</v>
      </c>
      <c r="HV771" s="2123">
        <v>32.99</v>
      </c>
      <c r="HW771" s="2123">
        <v>33.03</v>
      </c>
      <c r="HX771" s="2123">
        <v>33.03</v>
      </c>
    </row>
    <row r="772" spans="2:232" s="2040" customFormat="1" ht="14" hidden="1" x14ac:dyDescent="0.3">
      <c r="B772" s="2203">
        <v>78</v>
      </c>
      <c r="C772" s="2204">
        <v>46.24</v>
      </c>
      <c r="D772" s="2204">
        <v>46.24</v>
      </c>
      <c r="E772" s="2204">
        <v>46.35</v>
      </c>
      <c r="F772" s="2204">
        <v>46.35</v>
      </c>
      <c r="G772" s="2204">
        <v>179.67</v>
      </c>
      <c r="H772" s="2204">
        <v>179.67</v>
      </c>
      <c r="I772" s="2204">
        <v>170.47</v>
      </c>
      <c r="J772" s="2204">
        <v>170.47</v>
      </c>
      <c r="K772" s="2204">
        <v>175.05</v>
      </c>
      <c r="L772" s="2204">
        <v>175.05</v>
      </c>
      <c r="M772" s="2204"/>
      <c r="N772" s="2204"/>
      <c r="O772" s="2204">
        <v>144.71</v>
      </c>
      <c r="P772" s="2204">
        <v>144.71</v>
      </c>
      <c r="Q772" s="2204">
        <v>144.25</v>
      </c>
      <c r="R772" s="2204">
        <v>144.72</v>
      </c>
      <c r="S772" s="2204">
        <v>268.21999999999997</v>
      </c>
      <c r="T772" s="2204">
        <v>268.16000000000003</v>
      </c>
      <c r="U772" s="2204">
        <v>258.85000000000002</v>
      </c>
      <c r="V772" s="2204">
        <v>258.85000000000002</v>
      </c>
      <c r="W772" s="2204">
        <v>268.16000000000003</v>
      </c>
      <c r="X772" s="2204">
        <v>268.16000000000003</v>
      </c>
      <c r="Y772" s="2204">
        <v>258.85000000000002</v>
      </c>
      <c r="Z772" s="2204">
        <v>268.16000000000003</v>
      </c>
      <c r="AA772" s="2204">
        <v>268.16000000000003</v>
      </c>
      <c r="AB772" s="2204">
        <v>268.16000000000003</v>
      </c>
      <c r="AC772" s="2204">
        <v>258.85000000000002</v>
      </c>
      <c r="AD772" s="2204">
        <v>258.85000000000002</v>
      </c>
      <c r="AE772" s="2204">
        <v>280.89</v>
      </c>
      <c r="AF772" s="2204">
        <v>272.81</v>
      </c>
      <c r="AG772" s="2204">
        <v>280.89</v>
      </c>
      <c r="AH772" s="2204">
        <v>280.89</v>
      </c>
      <c r="AI772" s="2204">
        <v>272.81</v>
      </c>
      <c r="AJ772" s="2204">
        <v>272.81</v>
      </c>
      <c r="AK772" s="2204">
        <v>273.20999999999998</v>
      </c>
      <c r="AL772" s="2204">
        <v>273.20999999999998</v>
      </c>
      <c r="AM772" s="2204">
        <v>76.5</v>
      </c>
      <c r="AN772" s="2204">
        <v>73.72</v>
      </c>
      <c r="AO772" s="2204">
        <v>73.72</v>
      </c>
      <c r="AP772" s="2204">
        <v>73.59</v>
      </c>
      <c r="AQ772" s="2204">
        <v>73.900000000000006</v>
      </c>
      <c r="AR772" s="2204">
        <v>73.900000000000006</v>
      </c>
      <c r="AS772" s="2204">
        <v>221.32</v>
      </c>
      <c r="AT772" s="2204">
        <v>221.32</v>
      </c>
      <c r="AU772" s="2204">
        <v>221.32</v>
      </c>
      <c r="AV772" s="2204">
        <v>226.25</v>
      </c>
      <c r="AW772" s="2204">
        <v>221.54</v>
      </c>
      <c r="AX772" s="2204">
        <v>221.54</v>
      </c>
      <c r="AY772" s="2204">
        <v>221.66</v>
      </c>
      <c r="AZ772" s="2204">
        <v>221.66</v>
      </c>
      <c r="BA772" s="2123">
        <v>96.66</v>
      </c>
      <c r="BB772" s="2123">
        <v>96.66</v>
      </c>
      <c r="BC772" s="2123">
        <v>24.51</v>
      </c>
      <c r="BD772" s="2123">
        <v>24.68</v>
      </c>
      <c r="BE772" s="2123">
        <v>27.46</v>
      </c>
      <c r="BF772" s="2123">
        <v>27.46</v>
      </c>
      <c r="BG772" s="2123">
        <v>24.54</v>
      </c>
      <c r="BH772" s="2123">
        <v>24.54</v>
      </c>
      <c r="BI772" s="2123">
        <v>24.34</v>
      </c>
      <c r="BJ772" s="2123">
        <v>24.34</v>
      </c>
      <c r="BK772" s="2123">
        <v>24.34</v>
      </c>
      <c r="BL772" s="2123">
        <v>24.34</v>
      </c>
      <c r="BM772" s="2123">
        <v>55.94</v>
      </c>
      <c r="BN772" s="2123">
        <v>55.94</v>
      </c>
      <c r="BO772" s="2123">
        <v>175.62</v>
      </c>
      <c r="BP772" s="2123">
        <v>175.62</v>
      </c>
      <c r="BQ772" s="2123">
        <v>175.62</v>
      </c>
      <c r="BR772" s="2123">
        <v>175.62</v>
      </c>
      <c r="BS772" s="2123">
        <v>227.18</v>
      </c>
      <c r="BT772" s="2123">
        <v>227.18</v>
      </c>
      <c r="BU772" s="2123">
        <v>227.18</v>
      </c>
      <c r="BV772" s="2123">
        <v>227.18</v>
      </c>
      <c r="BW772" s="2123">
        <v>227.18</v>
      </c>
      <c r="BX772" s="2123">
        <v>227.18</v>
      </c>
      <c r="BY772" s="2123">
        <v>50.74</v>
      </c>
      <c r="BZ772" s="2123">
        <v>50.74</v>
      </c>
      <c r="CA772" s="2123">
        <v>167.93</v>
      </c>
      <c r="CB772" s="2123">
        <v>167.93</v>
      </c>
      <c r="CC772" s="2123">
        <v>170.44</v>
      </c>
      <c r="CD772" s="2123">
        <v>170.44</v>
      </c>
      <c r="CE772" s="2123">
        <v>223.65</v>
      </c>
      <c r="CF772" s="2123">
        <v>223.65</v>
      </c>
      <c r="CG772" s="2123"/>
      <c r="CH772" s="2123"/>
      <c r="CI772" s="2123"/>
      <c r="CJ772" s="2123"/>
      <c r="CK772" s="2123">
        <v>126.2</v>
      </c>
      <c r="CL772" s="2123">
        <v>126.2</v>
      </c>
      <c r="CM772" s="2123">
        <v>254.77</v>
      </c>
      <c r="CN772" s="2123">
        <v>254.77</v>
      </c>
      <c r="CO772" s="2123">
        <v>328.19</v>
      </c>
      <c r="CP772" s="2123">
        <v>328.19</v>
      </c>
      <c r="CQ772" s="2123">
        <v>328.19</v>
      </c>
      <c r="CR772" s="2123">
        <v>328.19</v>
      </c>
      <c r="CS772" s="2123"/>
      <c r="CT772" s="2123"/>
      <c r="CU772" s="2123"/>
      <c r="CV772" s="2123"/>
      <c r="CW772" s="2123">
        <v>118.02</v>
      </c>
      <c r="CX772" s="2123">
        <v>118.02</v>
      </c>
      <c r="CY772" s="2123">
        <v>246.54</v>
      </c>
      <c r="CZ772" s="2123">
        <v>246.54</v>
      </c>
      <c r="DA772" s="2123">
        <v>246.54</v>
      </c>
      <c r="DB772" s="2123">
        <v>246.54</v>
      </c>
      <c r="DC772" s="2123">
        <v>317.92</v>
      </c>
      <c r="DD772" s="2123">
        <v>317.92</v>
      </c>
      <c r="DE772" s="2123">
        <v>317.92</v>
      </c>
      <c r="DF772" s="2123">
        <v>317.92</v>
      </c>
      <c r="DG772" s="2123"/>
      <c r="DH772" s="2123"/>
      <c r="DI772" s="2123">
        <v>31.17</v>
      </c>
      <c r="DJ772" s="2123">
        <v>31.17</v>
      </c>
      <c r="DK772" s="2123">
        <v>31.17</v>
      </c>
      <c r="DL772" s="2123">
        <v>31.17</v>
      </c>
      <c r="DM772" s="2123">
        <v>31.17</v>
      </c>
      <c r="DN772" s="2123">
        <v>31.17</v>
      </c>
      <c r="DO772" s="2123"/>
      <c r="DP772" s="2123"/>
      <c r="DQ772" s="2123"/>
      <c r="DR772" s="2123"/>
      <c r="DS772" s="2123"/>
      <c r="DT772" s="2123"/>
      <c r="DU772" s="2123">
        <v>13.87</v>
      </c>
      <c r="DV772" s="2123">
        <v>13.87</v>
      </c>
      <c r="DW772" s="2123">
        <v>13.33</v>
      </c>
      <c r="DX772" s="2123">
        <v>13.33</v>
      </c>
      <c r="DY772" s="2123">
        <v>13.33</v>
      </c>
      <c r="DZ772" s="2123">
        <v>13.33</v>
      </c>
      <c r="EA772" s="2123"/>
      <c r="EB772" s="2123"/>
      <c r="EC772" s="2123"/>
      <c r="ED772" s="2123"/>
      <c r="EE772" s="2123"/>
      <c r="EF772" s="2123"/>
      <c r="EG772" s="2123">
        <v>14.87</v>
      </c>
      <c r="EH772" s="2123">
        <v>15.04</v>
      </c>
      <c r="EI772" s="2123">
        <v>12.13</v>
      </c>
      <c r="EJ772" s="2123">
        <v>12.13</v>
      </c>
      <c r="EK772" s="2123">
        <v>12.13</v>
      </c>
      <c r="EL772" s="2123">
        <v>12.13</v>
      </c>
      <c r="EM772" s="2123">
        <v>12.71</v>
      </c>
      <c r="EN772" s="2123">
        <v>12.71</v>
      </c>
      <c r="EO772" s="2123">
        <v>12.08</v>
      </c>
      <c r="EP772" s="2123">
        <v>12.08</v>
      </c>
      <c r="EQ772" s="2123">
        <v>12.43</v>
      </c>
      <c r="ER772" s="2123">
        <v>12.28</v>
      </c>
      <c r="ES772" s="2123">
        <v>57</v>
      </c>
      <c r="ET772" s="2123">
        <v>57</v>
      </c>
      <c r="EU772" s="2123">
        <v>248.9</v>
      </c>
      <c r="EV772" s="2123">
        <v>248.9</v>
      </c>
      <c r="EW772" s="2123">
        <v>243.54</v>
      </c>
      <c r="EX772" s="2123">
        <v>243.54</v>
      </c>
      <c r="EY772" s="2129">
        <f t="shared" si="56"/>
        <v>246.22</v>
      </c>
      <c r="EZ772" s="2129">
        <f t="shared" si="56"/>
        <v>246.22</v>
      </c>
      <c r="FA772" s="2123">
        <v>246.76</v>
      </c>
      <c r="FB772" s="2123">
        <v>246.76</v>
      </c>
      <c r="FC772" s="2123"/>
      <c r="FD772" s="2123"/>
      <c r="FE772" s="2123">
        <v>49.02</v>
      </c>
      <c r="FF772" s="2123">
        <v>49.02</v>
      </c>
      <c r="FG772" s="2123">
        <v>209.74</v>
      </c>
      <c r="FH772" s="2123">
        <v>209.74</v>
      </c>
      <c r="FI772" s="2123">
        <v>209.74</v>
      </c>
      <c r="FJ772" s="2123">
        <v>211.11</v>
      </c>
      <c r="FK772" s="2123">
        <v>209.32</v>
      </c>
      <c r="FL772" s="2123">
        <v>209.32</v>
      </c>
      <c r="FM772" s="2123">
        <v>209.99</v>
      </c>
      <c r="FN772" s="2123">
        <v>209.99</v>
      </c>
      <c r="FO772" s="2123"/>
      <c r="FP772" s="2123"/>
      <c r="FQ772" s="2123">
        <v>110.74</v>
      </c>
      <c r="FR772" s="2123">
        <v>110.74</v>
      </c>
      <c r="FS772" s="2123">
        <v>222.47</v>
      </c>
      <c r="FT772" s="2123">
        <v>222.47</v>
      </c>
      <c r="FU772" s="2123">
        <v>222.47</v>
      </c>
      <c r="FV772" s="2123">
        <v>222.47</v>
      </c>
      <c r="FW772" s="2123">
        <v>222.86</v>
      </c>
      <c r="FX772" s="2123">
        <v>222.86</v>
      </c>
      <c r="FY772" s="2123"/>
      <c r="FZ772" s="2123"/>
      <c r="GA772" s="2123"/>
      <c r="GB772" s="2123"/>
      <c r="GC772" s="2123">
        <v>78.239999999999995</v>
      </c>
      <c r="GD772" s="2123">
        <v>78.239999999999995</v>
      </c>
      <c r="GE772" s="2123">
        <v>175.77</v>
      </c>
      <c r="GF772" s="2123">
        <v>175.77</v>
      </c>
      <c r="GG772" s="2123">
        <v>175.77</v>
      </c>
      <c r="GH772" s="2123">
        <v>175.77</v>
      </c>
      <c r="GI772" s="2123">
        <v>193.63</v>
      </c>
      <c r="GJ772" s="2123">
        <v>193.63</v>
      </c>
      <c r="GK772" s="2123">
        <v>218.18</v>
      </c>
      <c r="GL772" s="2123">
        <v>218.18</v>
      </c>
      <c r="GM772" s="2123"/>
      <c r="GN772" s="2123"/>
      <c r="GO772" s="2123">
        <v>41.89</v>
      </c>
      <c r="GP772" s="2123">
        <v>41.89</v>
      </c>
      <c r="GQ772" s="2123">
        <v>36.630000000000003</v>
      </c>
      <c r="GR772" s="2123">
        <v>36.630000000000003</v>
      </c>
      <c r="GS772" s="2123">
        <v>36.630000000000003</v>
      </c>
      <c r="GT772" s="2123">
        <v>35.32</v>
      </c>
      <c r="GU772" s="2123">
        <v>35.32</v>
      </c>
      <c r="GV772" s="2123">
        <v>35.56</v>
      </c>
      <c r="GW772" s="2123">
        <v>207.87</v>
      </c>
      <c r="GX772" s="2123">
        <v>207.87</v>
      </c>
      <c r="GY772" s="2123"/>
      <c r="GZ772" s="2123"/>
      <c r="HA772" s="2123">
        <v>29.23</v>
      </c>
      <c r="HB772" s="2123">
        <v>29.23</v>
      </c>
      <c r="HC772" s="2123">
        <v>22.77</v>
      </c>
      <c r="HD772" s="2123">
        <v>22.77</v>
      </c>
      <c r="HE772" s="2123">
        <v>23.45</v>
      </c>
      <c r="HF772" s="2123">
        <v>23.45</v>
      </c>
      <c r="HG772" s="2123">
        <v>23.45</v>
      </c>
      <c r="HH772" s="2123">
        <v>23.45</v>
      </c>
      <c r="HI772" s="2123">
        <v>23.45</v>
      </c>
      <c r="HJ772" s="2123">
        <v>23.45</v>
      </c>
      <c r="HK772" s="2123">
        <v>23.53</v>
      </c>
      <c r="HL772" s="2123">
        <v>23.71</v>
      </c>
      <c r="HM772" s="2123">
        <v>40.92</v>
      </c>
      <c r="HN772" s="2123">
        <v>40.92</v>
      </c>
      <c r="HO772" s="2123">
        <v>32.18</v>
      </c>
      <c r="HP772" s="2123">
        <v>32.18</v>
      </c>
      <c r="HQ772" s="2123">
        <v>33.18</v>
      </c>
      <c r="HR772" s="2123">
        <v>33.18</v>
      </c>
      <c r="HS772" s="2123">
        <v>33.18</v>
      </c>
      <c r="HT772" s="2123">
        <v>33.18</v>
      </c>
      <c r="HU772" s="2123">
        <v>33.18</v>
      </c>
      <c r="HV772" s="2123">
        <v>33.18</v>
      </c>
      <c r="HW772" s="2123">
        <v>33.21</v>
      </c>
      <c r="HX772" s="2123">
        <v>33.21</v>
      </c>
    </row>
    <row r="773" spans="2:232" s="2040" customFormat="1" ht="14" hidden="1" x14ac:dyDescent="0.3">
      <c r="B773" s="2203">
        <v>79</v>
      </c>
      <c r="C773" s="2204">
        <v>46.38</v>
      </c>
      <c r="D773" s="2204">
        <v>46.38</v>
      </c>
      <c r="E773" s="2204">
        <v>46.49</v>
      </c>
      <c r="F773" s="2204">
        <v>46.49</v>
      </c>
      <c r="G773" s="2204">
        <v>180.26</v>
      </c>
      <c r="H773" s="2204">
        <v>180.26</v>
      </c>
      <c r="I773" s="2204">
        <v>171.16</v>
      </c>
      <c r="J773" s="2204">
        <v>171.16</v>
      </c>
      <c r="K773" s="2204">
        <v>175.66</v>
      </c>
      <c r="L773" s="2204">
        <v>175.66</v>
      </c>
      <c r="M773" s="2204"/>
      <c r="N773" s="2204"/>
      <c r="O773" s="2204">
        <v>145.16999999999999</v>
      </c>
      <c r="P773" s="2204">
        <v>145.16999999999999</v>
      </c>
      <c r="Q773" s="2204">
        <v>144.69999999999999</v>
      </c>
      <c r="R773" s="2204">
        <v>145.16999999999999</v>
      </c>
      <c r="S773" s="2204">
        <v>269.41999999999996</v>
      </c>
      <c r="T773" s="2204">
        <v>269.33</v>
      </c>
      <c r="U773" s="2204">
        <v>259.98</v>
      </c>
      <c r="V773" s="2204">
        <v>259.98</v>
      </c>
      <c r="W773" s="2204">
        <v>269.33</v>
      </c>
      <c r="X773" s="2204">
        <v>269.33</v>
      </c>
      <c r="Y773" s="2204">
        <v>259.98</v>
      </c>
      <c r="Z773" s="2204">
        <v>269.33</v>
      </c>
      <c r="AA773" s="2204">
        <v>269.33</v>
      </c>
      <c r="AB773" s="2204">
        <v>269.33</v>
      </c>
      <c r="AC773" s="2204">
        <v>259.98</v>
      </c>
      <c r="AD773" s="2204">
        <v>259.98</v>
      </c>
      <c r="AE773" s="2204">
        <v>281.94</v>
      </c>
      <c r="AF773" s="2204">
        <v>273.83</v>
      </c>
      <c r="AG773" s="2204">
        <v>281.94</v>
      </c>
      <c r="AH773" s="2204">
        <v>281.94</v>
      </c>
      <c r="AI773" s="2204">
        <v>273.83</v>
      </c>
      <c r="AJ773" s="2204">
        <v>273.83</v>
      </c>
      <c r="AK773" s="2204">
        <v>274.22000000000003</v>
      </c>
      <c r="AL773" s="2204">
        <v>274.22000000000003</v>
      </c>
      <c r="AM773" s="2204">
        <v>76.739999999999995</v>
      </c>
      <c r="AN773" s="2204">
        <v>73.95</v>
      </c>
      <c r="AO773" s="2204">
        <v>73.95</v>
      </c>
      <c r="AP773" s="2204">
        <v>73.849999999999994</v>
      </c>
      <c r="AQ773" s="2204">
        <v>74.150000000000006</v>
      </c>
      <c r="AR773" s="2204">
        <v>74.150000000000006</v>
      </c>
      <c r="AS773" s="2204">
        <v>222.29</v>
      </c>
      <c r="AT773" s="2204">
        <v>222.29</v>
      </c>
      <c r="AU773" s="2204">
        <v>222.29</v>
      </c>
      <c r="AV773" s="2204">
        <v>227.23</v>
      </c>
      <c r="AW773" s="2204">
        <v>222.51</v>
      </c>
      <c r="AX773" s="2204">
        <v>222.51</v>
      </c>
      <c r="AY773" s="2204">
        <v>222.63</v>
      </c>
      <c r="AZ773" s="2204">
        <v>222.63</v>
      </c>
      <c r="BA773" s="2123">
        <v>97.12</v>
      </c>
      <c r="BB773" s="2123">
        <v>97.12</v>
      </c>
      <c r="BC773" s="2123">
        <v>24.62</v>
      </c>
      <c r="BD773" s="2123">
        <v>24.79</v>
      </c>
      <c r="BE773" s="2123">
        <v>27.56</v>
      </c>
      <c r="BF773" s="2123">
        <v>27.56</v>
      </c>
      <c r="BG773" s="2123">
        <v>24.68</v>
      </c>
      <c r="BH773" s="2123">
        <v>24.68</v>
      </c>
      <c r="BI773" s="2123">
        <v>24.48</v>
      </c>
      <c r="BJ773" s="2123">
        <v>24.48</v>
      </c>
      <c r="BK773" s="2123">
        <v>24.48</v>
      </c>
      <c r="BL773" s="2123">
        <v>24.48</v>
      </c>
      <c r="BM773" s="2123">
        <v>56.12</v>
      </c>
      <c r="BN773" s="2123">
        <v>56.12</v>
      </c>
      <c r="BO773" s="2123">
        <v>176.29</v>
      </c>
      <c r="BP773" s="2123">
        <v>176.29</v>
      </c>
      <c r="BQ773" s="2123">
        <v>176.29</v>
      </c>
      <c r="BR773" s="2123">
        <v>176.29</v>
      </c>
      <c r="BS773" s="2123">
        <v>228.22</v>
      </c>
      <c r="BT773" s="2123">
        <v>228.22</v>
      </c>
      <c r="BU773" s="2123">
        <v>228.22</v>
      </c>
      <c r="BV773" s="2123">
        <v>228.22</v>
      </c>
      <c r="BW773" s="2123">
        <v>228.22</v>
      </c>
      <c r="BX773" s="2123">
        <v>228.22</v>
      </c>
      <c r="BY773" s="2123">
        <v>50.94</v>
      </c>
      <c r="BZ773" s="2123">
        <v>50.94</v>
      </c>
      <c r="CA773" s="2123">
        <v>168.75</v>
      </c>
      <c r="CB773" s="2123">
        <v>168.75</v>
      </c>
      <c r="CC773" s="2123">
        <v>171.28</v>
      </c>
      <c r="CD773" s="2123">
        <v>171.28</v>
      </c>
      <c r="CE773" s="2123">
        <v>224.95</v>
      </c>
      <c r="CF773" s="2123">
        <v>224.95</v>
      </c>
      <c r="CG773" s="2123"/>
      <c r="CH773" s="2123"/>
      <c r="CI773" s="2123"/>
      <c r="CJ773" s="2123"/>
      <c r="CK773" s="2123">
        <v>126.56</v>
      </c>
      <c r="CL773" s="2123">
        <v>126.56</v>
      </c>
      <c r="CM773" s="2123">
        <v>255.46</v>
      </c>
      <c r="CN773" s="2123">
        <v>255.46</v>
      </c>
      <c r="CO773" s="2123">
        <v>329.31</v>
      </c>
      <c r="CP773" s="2123">
        <v>329.31</v>
      </c>
      <c r="CQ773" s="2123">
        <v>329.31</v>
      </c>
      <c r="CR773" s="2123">
        <v>329.31</v>
      </c>
      <c r="CS773" s="2123"/>
      <c r="CT773" s="2123"/>
      <c r="CU773" s="2123"/>
      <c r="CV773" s="2123"/>
      <c r="CW773" s="2123">
        <v>118.45</v>
      </c>
      <c r="CX773" s="2123">
        <v>118.45</v>
      </c>
      <c r="CY773" s="2123">
        <v>247.31</v>
      </c>
      <c r="CZ773" s="2123">
        <v>247.31</v>
      </c>
      <c r="DA773" s="2123">
        <v>247.31</v>
      </c>
      <c r="DB773" s="2123">
        <v>247.31</v>
      </c>
      <c r="DC773" s="2123">
        <v>319.17</v>
      </c>
      <c r="DD773" s="2123">
        <v>319.17</v>
      </c>
      <c r="DE773" s="2123">
        <v>319.17</v>
      </c>
      <c r="DF773" s="2123">
        <v>319.17</v>
      </c>
      <c r="DG773" s="2123"/>
      <c r="DH773" s="2123"/>
      <c r="DI773" s="2123">
        <v>31.26</v>
      </c>
      <c r="DJ773" s="2123">
        <v>31.26</v>
      </c>
      <c r="DK773" s="2123">
        <v>31.26</v>
      </c>
      <c r="DL773" s="2123">
        <v>31.26</v>
      </c>
      <c r="DM773" s="2123">
        <v>31.26</v>
      </c>
      <c r="DN773" s="2123">
        <v>31.26</v>
      </c>
      <c r="DO773" s="2123"/>
      <c r="DP773" s="2123"/>
      <c r="DQ773" s="2123"/>
      <c r="DR773" s="2123"/>
      <c r="DS773" s="2123"/>
      <c r="DT773" s="2123"/>
      <c r="DU773" s="2123">
        <v>13.92</v>
      </c>
      <c r="DV773" s="2123">
        <v>13.92</v>
      </c>
      <c r="DW773" s="2123">
        <v>13.39</v>
      </c>
      <c r="DX773" s="2123">
        <v>13.39</v>
      </c>
      <c r="DY773" s="2123">
        <v>13.39</v>
      </c>
      <c r="DZ773" s="2123">
        <v>13.39</v>
      </c>
      <c r="EA773" s="2123"/>
      <c r="EB773" s="2123"/>
      <c r="EC773" s="2123"/>
      <c r="ED773" s="2123"/>
      <c r="EE773" s="2123"/>
      <c r="EF773" s="2123"/>
      <c r="EG773" s="2123">
        <v>14.92</v>
      </c>
      <c r="EH773" s="2123">
        <v>15.09</v>
      </c>
      <c r="EI773" s="2123">
        <v>12.19</v>
      </c>
      <c r="EJ773" s="2123">
        <v>12.19</v>
      </c>
      <c r="EK773" s="2123">
        <v>12.19</v>
      </c>
      <c r="EL773" s="2123">
        <v>12.19</v>
      </c>
      <c r="EM773" s="2123">
        <v>12.77</v>
      </c>
      <c r="EN773" s="2123">
        <v>12.77</v>
      </c>
      <c r="EO773" s="2123">
        <v>12.13</v>
      </c>
      <c r="EP773" s="2123">
        <v>12.13</v>
      </c>
      <c r="EQ773" s="2123">
        <v>12.49</v>
      </c>
      <c r="ER773" s="2123">
        <v>12.33</v>
      </c>
      <c r="ES773" s="2123">
        <v>57.17</v>
      </c>
      <c r="ET773" s="2123">
        <v>57.17</v>
      </c>
      <c r="EU773" s="2123">
        <v>249.96</v>
      </c>
      <c r="EV773" s="2123">
        <v>249.96</v>
      </c>
      <c r="EW773" s="2123">
        <v>244.6</v>
      </c>
      <c r="EX773" s="2123">
        <v>244.6</v>
      </c>
      <c r="EY773" s="2129">
        <f t="shared" si="56"/>
        <v>247.28</v>
      </c>
      <c r="EZ773" s="2129">
        <f t="shared" si="56"/>
        <v>247.28</v>
      </c>
      <c r="FA773" s="2123">
        <v>247.78</v>
      </c>
      <c r="FB773" s="2123">
        <v>247.78</v>
      </c>
      <c r="FC773" s="2123"/>
      <c r="FD773" s="2123"/>
      <c r="FE773" s="2123">
        <v>49.17</v>
      </c>
      <c r="FF773" s="2123">
        <v>49.17</v>
      </c>
      <c r="FG773" s="2123">
        <v>210.66</v>
      </c>
      <c r="FH773" s="2123">
        <v>210.66</v>
      </c>
      <c r="FI773" s="2123">
        <v>210.66</v>
      </c>
      <c r="FJ773" s="2123">
        <v>212</v>
      </c>
      <c r="FK773" s="2123">
        <v>210.25</v>
      </c>
      <c r="FL773" s="2123">
        <v>210.25</v>
      </c>
      <c r="FM773" s="2123">
        <v>210.89</v>
      </c>
      <c r="FN773" s="2123">
        <v>210.89</v>
      </c>
      <c r="FO773" s="2123"/>
      <c r="FP773" s="2123"/>
      <c r="FQ773" s="2123">
        <v>111.08</v>
      </c>
      <c r="FR773" s="2123">
        <v>111.08</v>
      </c>
      <c r="FS773" s="2123">
        <v>223.27</v>
      </c>
      <c r="FT773" s="2123">
        <v>223.27</v>
      </c>
      <c r="FU773" s="2123">
        <v>223.27</v>
      </c>
      <c r="FV773" s="2123">
        <v>223.27</v>
      </c>
      <c r="FW773" s="2123">
        <v>223.64</v>
      </c>
      <c r="FX773" s="2123">
        <v>223.64</v>
      </c>
      <c r="FY773" s="2123"/>
      <c r="FZ773" s="2123"/>
      <c r="GA773" s="2123"/>
      <c r="GB773" s="2123"/>
      <c r="GC773" s="2123">
        <v>78.48</v>
      </c>
      <c r="GD773" s="2123">
        <v>78.48</v>
      </c>
      <c r="GE773" s="2123">
        <v>176.26</v>
      </c>
      <c r="GF773" s="2123">
        <v>176.26</v>
      </c>
      <c r="GG773" s="2123">
        <v>176.26</v>
      </c>
      <c r="GH773" s="2123">
        <v>176.26</v>
      </c>
      <c r="GI773" s="2123">
        <v>194.72</v>
      </c>
      <c r="GJ773" s="2123">
        <v>194.72</v>
      </c>
      <c r="GK773" s="2123">
        <v>219.07</v>
      </c>
      <c r="GL773" s="2123">
        <v>219.07</v>
      </c>
      <c r="GM773" s="2123"/>
      <c r="GN773" s="2123"/>
      <c r="GO773" s="2123">
        <v>42.02</v>
      </c>
      <c r="GP773" s="2123">
        <v>42.02</v>
      </c>
      <c r="GQ773" s="2123">
        <v>36.799999999999997</v>
      </c>
      <c r="GR773" s="2123">
        <v>36.799999999999997</v>
      </c>
      <c r="GS773" s="2123">
        <v>36.799999999999997</v>
      </c>
      <c r="GT773" s="2123">
        <v>35.49</v>
      </c>
      <c r="GU773" s="2123">
        <v>35.49</v>
      </c>
      <c r="GV773" s="2123">
        <v>35.72</v>
      </c>
      <c r="GW773" s="2123">
        <v>208.81</v>
      </c>
      <c r="GX773" s="2123">
        <v>208.81</v>
      </c>
      <c r="GY773" s="2123"/>
      <c r="GZ773" s="2123"/>
      <c r="HA773" s="2123">
        <v>29.32</v>
      </c>
      <c r="HB773" s="2123">
        <v>29.32</v>
      </c>
      <c r="HC773" s="2123">
        <v>22.9</v>
      </c>
      <c r="HD773" s="2123">
        <v>22.9</v>
      </c>
      <c r="HE773" s="2123">
        <v>23.55</v>
      </c>
      <c r="HF773" s="2123">
        <v>23.55</v>
      </c>
      <c r="HG773" s="2123">
        <v>23.55</v>
      </c>
      <c r="HH773" s="2123">
        <v>23.55</v>
      </c>
      <c r="HI773" s="2123">
        <v>23.55</v>
      </c>
      <c r="HJ773" s="2123">
        <v>23.55</v>
      </c>
      <c r="HK773" s="2123">
        <v>23.65</v>
      </c>
      <c r="HL773" s="2123">
        <v>23.82</v>
      </c>
      <c r="HM773" s="2123">
        <v>41.06</v>
      </c>
      <c r="HN773" s="2123">
        <v>41.06</v>
      </c>
      <c r="HO773" s="2123">
        <v>32.380000000000003</v>
      </c>
      <c r="HP773" s="2123">
        <v>32.380000000000003</v>
      </c>
      <c r="HQ773" s="2123">
        <v>33.32</v>
      </c>
      <c r="HR773" s="2123">
        <v>33.32</v>
      </c>
      <c r="HS773" s="2123">
        <v>33.32</v>
      </c>
      <c r="HT773" s="2123">
        <v>33.32</v>
      </c>
      <c r="HU773" s="2123">
        <v>33.32</v>
      </c>
      <c r="HV773" s="2123">
        <v>33.32</v>
      </c>
      <c r="HW773" s="2123">
        <v>33.4</v>
      </c>
      <c r="HX773" s="2123">
        <v>33.4</v>
      </c>
    </row>
    <row r="774" spans="2:232" s="2040" customFormat="1" ht="14" hidden="1" x14ac:dyDescent="0.3">
      <c r="B774" s="2203">
        <v>80</v>
      </c>
      <c r="C774" s="2204">
        <v>46.51</v>
      </c>
      <c r="D774" s="2204">
        <v>46.51</v>
      </c>
      <c r="E774" s="2204">
        <v>46.61</v>
      </c>
      <c r="F774" s="2204">
        <v>46.61</v>
      </c>
      <c r="G774" s="2204">
        <v>180.91</v>
      </c>
      <c r="H774" s="2204">
        <v>180.91</v>
      </c>
      <c r="I774" s="2204">
        <v>171.77</v>
      </c>
      <c r="J774" s="2204">
        <v>171.77</v>
      </c>
      <c r="K774" s="2204">
        <v>176.18</v>
      </c>
      <c r="L774" s="2204">
        <v>176.18</v>
      </c>
      <c r="M774" s="2204"/>
      <c r="N774" s="2204"/>
      <c r="O774" s="2204">
        <v>145.61000000000001</v>
      </c>
      <c r="P774" s="2204">
        <v>145.61000000000001</v>
      </c>
      <c r="Q774" s="2204">
        <v>145.13</v>
      </c>
      <c r="R774" s="2204">
        <v>145.62</v>
      </c>
      <c r="S774" s="2204">
        <v>270.60999999999996</v>
      </c>
      <c r="T774" s="2204">
        <v>270.48</v>
      </c>
      <c r="U774" s="2204">
        <v>261.08999999999997</v>
      </c>
      <c r="V774" s="2204">
        <v>261.08999999999997</v>
      </c>
      <c r="W774" s="2204">
        <v>270.48</v>
      </c>
      <c r="X774" s="2204">
        <v>270.48</v>
      </c>
      <c r="Y774" s="2204">
        <v>261.08999999999997</v>
      </c>
      <c r="Z774" s="2204">
        <v>270.48</v>
      </c>
      <c r="AA774" s="2204">
        <v>270.48</v>
      </c>
      <c r="AB774" s="2204">
        <v>270.48</v>
      </c>
      <c r="AC774" s="2204">
        <v>261.08999999999997</v>
      </c>
      <c r="AD774" s="2204">
        <v>261.08999999999997</v>
      </c>
      <c r="AE774" s="2204">
        <v>282.97000000000003</v>
      </c>
      <c r="AF774" s="2204">
        <v>274.83</v>
      </c>
      <c r="AG774" s="2204">
        <v>282.97000000000003</v>
      </c>
      <c r="AH774" s="2204">
        <v>282.97000000000003</v>
      </c>
      <c r="AI774" s="2204">
        <v>274.83</v>
      </c>
      <c r="AJ774" s="2204">
        <v>274.83</v>
      </c>
      <c r="AK774" s="2204">
        <v>275.20999999999998</v>
      </c>
      <c r="AL774" s="2204">
        <v>275.20999999999998</v>
      </c>
      <c r="AM774" s="2204">
        <v>76.959999999999994</v>
      </c>
      <c r="AN774" s="2204">
        <v>74.17</v>
      </c>
      <c r="AO774" s="2204">
        <v>74.17</v>
      </c>
      <c r="AP774" s="2204">
        <v>74.040000000000006</v>
      </c>
      <c r="AQ774" s="2204">
        <v>74.33</v>
      </c>
      <c r="AR774" s="2204">
        <v>74.33</v>
      </c>
      <c r="AS774" s="2204">
        <v>223.02</v>
      </c>
      <c r="AT774" s="2204">
        <v>223.02</v>
      </c>
      <c r="AU774" s="2204">
        <v>223.02</v>
      </c>
      <c r="AV774" s="2204">
        <v>227.97</v>
      </c>
      <c r="AW774" s="2204">
        <v>223.23</v>
      </c>
      <c r="AX774" s="2204">
        <v>223.23</v>
      </c>
      <c r="AY774" s="2204">
        <v>223.35</v>
      </c>
      <c r="AZ774" s="2204">
        <v>223.35</v>
      </c>
      <c r="BA774" s="2123">
        <v>97.43</v>
      </c>
      <c r="BB774" s="2123">
        <v>97.43</v>
      </c>
      <c r="BC774" s="2123">
        <v>24.74</v>
      </c>
      <c r="BD774" s="2123">
        <v>24.9</v>
      </c>
      <c r="BE774" s="2123">
        <v>27.63</v>
      </c>
      <c r="BF774" s="2123">
        <v>27.63</v>
      </c>
      <c r="BG774" s="2123">
        <v>24.77</v>
      </c>
      <c r="BH774" s="2123">
        <v>24.77</v>
      </c>
      <c r="BI774" s="2123">
        <v>24.57</v>
      </c>
      <c r="BJ774" s="2123">
        <v>24.57</v>
      </c>
      <c r="BK774" s="2123">
        <v>24.57</v>
      </c>
      <c r="BL774" s="2123">
        <v>24.57</v>
      </c>
      <c r="BM774" s="2123">
        <v>56.25</v>
      </c>
      <c r="BN774" s="2123">
        <v>56.25</v>
      </c>
      <c r="BO774" s="2123">
        <v>176.74</v>
      </c>
      <c r="BP774" s="2123">
        <v>176.74</v>
      </c>
      <c r="BQ774" s="2123">
        <v>176.74</v>
      </c>
      <c r="BR774" s="2123">
        <v>176.74</v>
      </c>
      <c r="BS774" s="2123">
        <v>228.91</v>
      </c>
      <c r="BT774" s="2123">
        <v>228.91</v>
      </c>
      <c r="BU774" s="2123">
        <v>228.91</v>
      </c>
      <c r="BV774" s="2123">
        <v>228.91</v>
      </c>
      <c r="BW774" s="2123">
        <v>228.91</v>
      </c>
      <c r="BX774" s="2123">
        <v>228.91</v>
      </c>
      <c r="BY774" s="2123">
        <v>51.06</v>
      </c>
      <c r="BZ774" s="2123">
        <v>51.06</v>
      </c>
      <c r="CA774" s="2123">
        <v>169.2</v>
      </c>
      <c r="CB774" s="2123">
        <v>169.2</v>
      </c>
      <c r="CC774" s="2123">
        <v>171.75</v>
      </c>
      <c r="CD774" s="2123">
        <v>171.75</v>
      </c>
      <c r="CE774" s="2123">
        <v>225.67</v>
      </c>
      <c r="CF774" s="2123">
        <v>225.67</v>
      </c>
      <c r="CG774" s="2123"/>
      <c r="CH774" s="2123"/>
      <c r="CI774" s="2123"/>
      <c r="CJ774" s="2123"/>
      <c r="CK774" s="2123">
        <v>126.91</v>
      </c>
      <c r="CL774" s="2123">
        <v>126.91</v>
      </c>
      <c r="CM774" s="2123">
        <v>256.08999999999997</v>
      </c>
      <c r="CN774" s="2123">
        <v>256.08999999999997</v>
      </c>
      <c r="CO774" s="2123">
        <v>330.36</v>
      </c>
      <c r="CP774" s="2123">
        <v>330.36</v>
      </c>
      <c r="CQ774" s="2123">
        <v>330.36</v>
      </c>
      <c r="CR774" s="2123">
        <v>330.36</v>
      </c>
      <c r="CS774" s="2123"/>
      <c r="CT774" s="2123"/>
      <c r="CU774" s="2123"/>
      <c r="CV774" s="2123"/>
      <c r="CW774" s="2123">
        <v>118.77</v>
      </c>
      <c r="CX774" s="2123">
        <v>118.77</v>
      </c>
      <c r="CY774" s="2123">
        <v>247.89</v>
      </c>
      <c r="CZ774" s="2123">
        <v>247.89</v>
      </c>
      <c r="DA774" s="2123">
        <v>247.89</v>
      </c>
      <c r="DB774" s="2123">
        <v>247.89</v>
      </c>
      <c r="DC774" s="2123">
        <v>320.12</v>
      </c>
      <c r="DD774" s="2123">
        <v>320.12</v>
      </c>
      <c r="DE774" s="2123">
        <v>320.12</v>
      </c>
      <c r="DF774" s="2123">
        <v>320.12</v>
      </c>
      <c r="DG774" s="2123"/>
      <c r="DH774" s="2123"/>
      <c r="DI774" s="2123">
        <v>31.34</v>
      </c>
      <c r="DJ774" s="2123">
        <v>31.34</v>
      </c>
      <c r="DK774" s="2123">
        <v>31.34</v>
      </c>
      <c r="DL774" s="2123">
        <v>31.34</v>
      </c>
      <c r="DM774" s="2123">
        <v>31.34</v>
      </c>
      <c r="DN774" s="2123">
        <v>31.34</v>
      </c>
      <c r="DO774" s="2123"/>
      <c r="DP774" s="2123"/>
      <c r="DQ774" s="2123"/>
      <c r="DR774" s="2123"/>
      <c r="DS774" s="2123"/>
      <c r="DT774" s="2123"/>
      <c r="DU774" s="2123">
        <v>13.96</v>
      </c>
      <c r="DV774" s="2123">
        <v>13.96</v>
      </c>
      <c r="DW774" s="2123">
        <v>13.43</v>
      </c>
      <c r="DX774" s="2123">
        <v>13.43</v>
      </c>
      <c r="DY774" s="2123">
        <v>13.43</v>
      </c>
      <c r="DZ774" s="2123">
        <v>13.43</v>
      </c>
      <c r="EA774" s="2123"/>
      <c r="EB774" s="2123"/>
      <c r="EC774" s="2123"/>
      <c r="ED774" s="2123"/>
      <c r="EE774" s="2123"/>
      <c r="EF774" s="2123"/>
      <c r="EG774" s="2123">
        <v>14.96</v>
      </c>
      <c r="EH774" s="2123">
        <v>15.13</v>
      </c>
      <c r="EI774" s="2123">
        <v>12.25</v>
      </c>
      <c r="EJ774" s="2123">
        <v>12.25</v>
      </c>
      <c r="EK774" s="2123">
        <v>12.25</v>
      </c>
      <c r="EL774" s="2123">
        <v>12.25</v>
      </c>
      <c r="EM774" s="2123">
        <v>12.82</v>
      </c>
      <c r="EN774" s="2123">
        <v>12.82</v>
      </c>
      <c r="EO774" s="2123">
        <v>12.19</v>
      </c>
      <c r="EP774" s="2123">
        <v>12.19</v>
      </c>
      <c r="EQ774" s="2123">
        <v>12.54</v>
      </c>
      <c r="ER774" s="2123">
        <v>12.39</v>
      </c>
      <c r="ES774" s="2123">
        <v>57.34</v>
      </c>
      <c r="ET774" s="2123">
        <v>57.34</v>
      </c>
      <c r="EU774" s="2123">
        <v>251.01</v>
      </c>
      <c r="EV774" s="2123">
        <v>251.01</v>
      </c>
      <c r="EW774" s="2123">
        <v>245.63</v>
      </c>
      <c r="EX774" s="2123">
        <v>245.63</v>
      </c>
      <c r="EY774" s="2129">
        <f t="shared" si="56"/>
        <v>248.32</v>
      </c>
      <c r="EZ774" s="2129">
        <f t="shared" si="56"/>
        <v>248.32</v>
      </c>
      <c r="FA774" s="2123">
        <v>248.78</v>
      </c>
      <c r="FB774" s="2123">
        <v>248.78</v>
      </c>
      <c r="FC774" s="2123"/>
      <c r="FD774" s="2123"/>
      <c r="FE774" s="2123">
        <v>49.32</v>
      </c>
      <c r="FF774" s="2123">
        <v>49.32</v>
      </c>
      <c r="FG774" s="2123">
        <v>211.56</v>
      </c>
      <c r="FH774" s="2123">
        <v>211.56</v>
      </c>
      <c r="FI774" s="2123">
        <v>211.56</v>
      </c>
      <c r="FJ774" s="2123">
        <v>212.87</v>
      </c>
      <c r="FK774" s="2123">
        <v>211.15</v>
      </c>
      <c r="FL774" s="2123">
        <v>211.15</v>
      </c>
      <c r="FM774" s="2123">
        <v>211.78</v>
      </c>
      <c r="FN774" s="2123">
        <v>211.78</v>
      </c>
      <c r="FO774" s="2123"/>
      <c r="FP774" s="2123"/>
      <c r="FQ774" s="2123">
        <v>111.42</v>
      </c>
      <c r="FR774" s="2123">
        <v>111.42</v>
      </c>
      <c r="FS774" s="2123">
        <v>224.05</v>
      </c>
      <c r="FT774" s="2123">
        <v>224.05</v>
      </c>
      <c r="FU774" s="2123">
        <v>224.05</v>
      </c>
      <c r="FV774" s="2123">
        <v>224.05</v>
      </c>
      <c r="FW774" s="2123">
        <v>224.42</v>
      </c>
      <c r="FX774" s="2123">
        <v>224.42</v>
      </c>
      <c r="FY774" s="2123"/>
      <c r="FZ774" s="2123"/>
      <c r="GA774" s="2123"/>
      <c r="GB774" s="2123"/>
      <c r="GC774" s="2123">
        <v>78.709999999999994</v>
      </c>
      <c r="GD774" s="2123">
        <v>78.709999999999994</v>
      </c>
      <c r="GE774" s="2123">
        <v>176.74</v>
      </c>
      <c r="GF774" s="2123">
        <v>176.74</v>
      </c>
      <c r="GG774" s="2123">
        <v>176.74</v>
      </c>
      <c r="GH774" s="2123">
        <v>176.74</v>
      </c>
      <c r="GI774" s="2123">
        <v>195.79</v>
      </c>
      <c r="GJ774" s="2123">
        <v>195.79</v>
      </c>
      <c r="GK774" s="2123">
        <v>219.94</v>
      </c>
      <c r="GL774" s="2123">
        <v>219.94</v>
      </c>
      <c r="GM774" s="2123"/>
      <c r="GN774" s="2123"/>
      <c r="GO774" s="2123">
        <v>42.14</v>
      </c>
      <c r="GP774" s="2123">
        <v>42.14</v>
      </c>
      <c r="GQ774" s="2123">
        <v>36.93</v>
      </c>
      <c r="GR774" s="2123">
        <v>36.93</v>
      </c>
      <c r="GS774" s="2123">
        <v>36.93</v>
      </c>
      <c r="GT774" s="2123">
        <v>35.61</v>
      </c>
      <c r="GU774" s="2123">
        <v>35.61</v>
      </c>
      <c r="GV774" s="2123">
        <v>35.840000000000003</v>
      </c>
      <c r="GW774" s="2123">
        <v>209.5</v>
      </c>
      <c r="GX774" s="2123">
        <v>209.5</v>
      </c>
      <c r="GY774" s="2123"/>
      <c r="GZ774" s="2123"/>
      <c r="HA774" s="2123">
        <v>29.4</v>
      </c>
      <c r="HB774" s="2123">
        <v>29.4</v>
      </c>
      <c r="HC774" s="2123">
        <v>23.01</v>
      </c>
      <c r="HD774" s="2123">
        <v>23.01</v>
      </c>
      <c r="HE774" s="2123">
        <v>23.71</v>
      </c>
      <c r="HF774" s="2123">
        <v>23.71</v>
      </c>
      <c r="HG774" s="2123">
        <v>23.71</v>
      </c>
      <c r="HH774" s="2123">
        <v>23.71</v>
      </c>
      <c r="HI774" s="2123">
        <v>23.71</v>
      </c>
      <c r="HJ774" s="2123">
        <v>23.71</v>
      </c>
      <c r="HK774" s="2123">
        <v>23.76</v>
      </c>
      <c r="HL774" s="2123">
        <v>23.93</v>
      </c>
      <c r="HM774" s="2123">
        <v>41.16</v>
      </c>
      <c r="HN774" s="2123">
        <v>41.16</v>
      </c>
      <c r="HO774" s="2123">
        <v>32.520000000000003</v>
      </c>
      <c r="HP774" s="2123">
        <v>32.520000000000003</v>
      </c>
      <c r="HQ774" s="2123">
        <v>33.520000000000003</v>
      </c>
      <c r="HR774" s="2123">
        <v>33.520000000000003</v>
      </c>
      <c r="HS774" s="2123">
        <v>33.520000000000003</v>
      </c>
      <c r="HT774" s="2123">
        <v>33.520000000000003</v>
      </c>
      <c r="HU774" s="2123">
        <v>33.520000000000003</v>
      </c>
      <c r="HV774" s="2123">
        <v>33.520000000000003</v>
      </c>
      <c r="HW774" s="2123">
        <v>33.53</v>
      </c>
      <c r="HX774" s="2123">
        <v>33.53</v>
      </c>
    </row>
    <row r="775" spans="2:232" s="2040" customFormat="1" ht="14" hidden="1" x14ac:dyDescent="0.3">
      <c r="B775" s="2203">
        <v>81</v>
      </c>
      <c r="C775" s="2204">
        <v>46.64</v>
      </c>
      <c r="D775" s="2204">
        <v>46.64</v>
      </c>
      <c r="E775" s="2204">
        <v>46.73</v>
      </c>
      <c r="F775" s="2204">
        <v>46.73</v>
      </c>
      <c r="G775" s="2204">
        <v>181.47</v>
      </c>
      <c r="H775" s="2204">
        <v>181.47</v>
      </c>
      <c r="I775" s="2204">
        <v>172.42</v>
      </c>
      <c r="J775" s="2204">
        <v>172.42</v>
      </c>
      <c r="K775" s="2204">
        <v>176.76</v>
      </c>
      <c r="L775" s="2204">
        <v>176.76</v>
      </c>
      <c r="M775" s="2204"/>
      <c r="N775" s="2204"/>
      <c r="O775" s="2204">
        <v>146.06</v>
      </c>
      <c r="P775" s="2204">
        <v>146.06</v>
      </c>
      <c r="Q775" s="2204">
        <v>145.57</v>
      </c>
      <c r="R775" s="2204">
        <v>146.06</v>
      </c>
      <c r="S775" s="2204">
        <v>271.77999999999997</v>
      </c>
      <c r="T775" s="2204">
        <v>271.60000000000002</v>
      </c>
      <c r="U775" s="2204">
        <v>262.17</v>
      </c>
      <c r="V775" s="2204">
        <v>262.17</v>
      </c>
      <c r="W775" s="2204">
        <v>271.60000000000002</v>
      </c>
      <c r="X775" s="2204">
        <v>271.60000000000002</v>
      </c>
      <c r="Y775" s="2204">
        <v>262.17</v>
      </c>
      <c r="Z775" s="2204">
        <v>271.60000000000002</v>
      </c>
      <c r="AA775" s="2204">
        <v>271.60000000000002</v>
      </c>
      <c r="AB775" s="2204">
        <v>271.60000000000002</v>
      </c>
      <c r="AC775" s="2204">
        <v>262.17</v>
      </c>
      <c r="AD775" s="2204">
        <v>262.17</v>
      </c>
      <c r="AE775" s="2204">
        <v>283.98</v>
      </c>
      <c r="AF775" s="2204">
        <v>275.81</v>
      </c>
      <c r="AG775" s="2204">
        <v>283.98</v>
      </c>
      <c r="AH775" s="2204">
        <v>283.98</v>
      </c>
      <c r="AI775" s="2204">
        <v>275.81</v>
      </c>
      <c r="AJ775" s="2204">
        <v>275.81</v>
      </c>
      <c r="AK775" s="2204">
        <v>276.18</v>
      </c>
      <c r="AL775" s="2204">
        <v>276.18</v>
      </c>
      <c r="AM775" s="2204">
        <v>77.19</v>
      </c>
      <c r="AN775" s="2204">
        <v>74.38</v>
      </c>
      <c r="AO775" s="2204">
        <v>74.38</v>
      </c>
      <c r="AP775" s="2204">
        <v>74.23</v>
      </c>
      <c r="AQ775" s="2204">
        <v>74.510000000000005</v>
      </c>
      <c r="AR775" s="2204">
        <v>74.510000000000005</v>
      </c>
      <c r="AS775" s="2204">
        <v>223.72</v>
      </c>
      <c r="AT775" s="2204">
        <v>223.72</v>
      </c>
      <c r="AU775" s="2204">
        <v>223.72</v>
      </c>
      <c r="AV775" s="2204">
        <v>228.68</v>
      </c>
      <c r="AW775" s="2204">
        <v>223.93</v>
      </c>
      <c r="AX775" s="2204">
        <v>223.93</v>
      </c>
      <c r="AY775" s="2204">
        <v>224.05</v>
      </c>
      <c r="AZ775" s="2204">
        <v>224.05</v>
      </c>
      <c r="BA775" s="2123">
        <v>97.84</v>
      </c>
      <c r="BB775" s="2123">
        <v>97.84</v>
      </c>
      <c r="BC775" s="2123">
        <v>24.85</v>
      </c>
      <c r="BD775" s="2123">
        <v>25.01</v>
      </c>
      <c r="BE775" s="2123">
        <v>27.72</v>
      </c>
      <c r="BF775" s="2123">
        <v>27.72</v>
      </c>
      <c r="BG775" s="2123">
        <v>24.89</v>
      </c>
      <c r="BH775" s="2123">
        <v>24.89</v>
      </c>
      <c r="BI775" s="2123">
        <v>24.69</v>
      </c>
      <c r="BJ775" s="2123">
        <v>24.69</v>
      </c>
      <c r="BK775" s="2123">
        <v>24.69</v>
      </c>
      <c r="BL775" s="2123">
        <v>24.69</v>
      </c>
      <c r="BM775" s="2123">
        <v>56.4</v>
      </c>
      <c r="BN775" s="2123">
        <v>56.4</v>
      </c>
      <c r="BO775" s="2123">
        <v>177.31</v>
      </c>
      <c r="BP775" s="2123">
        <v>177.31</v>
      </c>
      <c r="BQ775" s="2123">
        <v>177.31</v>
      </c>
      <c r="BR775" s="2123">
        <v>177.31</v>
      </c>
      <c r="BS775" s="2123">
        <v>229.8</v>
      </c>
      <c r="BT775" s="2123">
        <v>229.8</v>
      </c>
      <c r="BU775" s="2123">
        <v>229.8</v>
      </c>
      <c r="BV775" s="2123">
        <v>229.8</v>
      </c>
      <c r="BW775" s="2123">
        <v>229.8</v>
      </c>
      <c r="BX775" s="2123">
        <v>229.8</v>
      </c>
      <c r="BY775" s="2123">
        <v>51.2</v>
      </c>
      <c r="BZ775" s="2123">
        <v>51.2</v>
      </c>
      <c r="CA775" s="2123">
        <v>169.74</v>
      </c>
      <c r="CB775" s="2123">
        <v>169.74</v>
      </c>
      <c r="CC775" s="2123">
        <v>172.29</v>
      </c>
      <c r="CD775" s="2123">
        <v>172.29</v>
      </c>
      <c r="CE775" s="2123">
        <v>226.51</v>
      </c>
      <c r="CF775" s="2123">
        <v>226.51</v>
      </c>
      <c r="CG775" s="2123"/>
      <c r="CH775" s="2123"/>
      <c r="CI775" s="2123"/>
      <c r="CJ775" s="2123"/>
      <c r="CK775" s="2123">
        <v>127.27</v>
      </c>
      <c r="CL775" s="2123">
        <v>127.27</v>
      </c>
      <c r="CM775" s="2123">
        <v>256.70999999999998</v>
      </c>
      <c r="CN775" s="2123">
        <v>256.70999999999998</v>
      </c>
      <c r="CO775" s="2123">
        <v>331.37</v>
      </c>
      <c r="CP775" s="2123">
        <v>331.37</v>
      </c>
      <c r="CQ775" s="2123">
        <v>331.37</v>
      </c>
      <c r="CR775" s="2123">
        <v>331.37</v>
      </c>
      <c r="CS775" s="2123"/>
      <c r="CT775" s="2123"/>
      <c r="CU775" s="2123"/>
      <c r="CV775" s="2123"/>
      <c r="CW775" s="2123">
        <v>119.1</v>
      </c>
      <c r="CX775" s="2123">
        <v>119.1</v>
      </c>
      <c r="CY775" s="2123">
        <v>248.5</v>
      </c>
      <c r="CZ775" s="2123">
        <v>248.5</v>
      </c>
      <c r="DA775" s="2123">
        <v>248.5</v>
      </c>
      <c r="DB775" s="2123">
        <v>248.5</v>
      </c>
      <c r="DC775" s="2123">
        <v>321.11</v>
      </c>
      <c r="DD775" s="2123">
        <v>321.11</v>
      </c>
      <c r="DE775" s="2123">
        <v>321.11</v>
      </c>
      <c r="DF775" s="2123">
        <v>321.11</v>
      </c>
      <c r="DG775" s="2123"/>
      <c r="DH775" s="2123"/>
      <c r="DI775" s="2123">
        <v>31.42</v>
      </c>
      <c r="DJ775" s="2123">
        <v>31.42</v>
      </c>
      <c r="DK775" s="2123">
        <v>31.42</v>
      </c>
      <c r="DL775" s="2123">
        <v>31.42</v>
      </c>
      <c r="DM775" s="2123">
        <v>31.42</v>
      </c>
      <c r="DN775" s="2123">
        <v>31.42</v>
      </c>
      <c r="DO775" s="2123"/>
      <c r="DP775" s="2123"/>
      <c r="DQ775" s="2123"/>
      <c r="DR775" s="2123"/>
      <c r="DS775" s="2123"/>
      <c r="DT775" s="2123"/>
      <c r="DU775" s="2123">
        <v>14.01</v>
      </c>
      <c r="DV775" s="2123">
        <v>14.01</v>
      </c>
      <c r="DW775" s="2123">
        <v>13.48</v>
      </c>
      <c r="DX775" s="2123">
        <v>13.48</v>
      </c>
      <c r="DY775" s="2123">
        <v>13.48</v>
      </c>
      <c r="DZ775" s="2123">
        <v>13.48</v>
      </c>
      <c r="EA775" s="2123"/>
      <c r="EB775" s="2123"/>
      <c r="EC775" s="2123"/>
      <c r="ED775" s="2123"/>
      <c r="EE775" s="2123"/>
      <c r="EF775" s="2123"/>
      <c r="EG775" s="2123">
        <v>15</v>
      </c>
      <c r="EH775" s="2123">
        <v>15.17</v>
      </c>
      <c r="EI775" s="2123">
        <v>12.31</v>
      </c>
      <c r="EJ775" s="2123">
        <v>12.31</v>
      </c>
      <c r="EK775" s="2123">
        <v>12.31</v>
      </c>
      <c r="EL775" s="2123">
        <v>12.31</v>
      </c>
      <c r="EM775" s="2123">
        <v>12.88</v>
      </c>
      <c r="EN775" s="2123">
        <v>12.88</v>
      </c>
      <c r="EO775" s="2123">
        <v>12.24</v>
      </c>
      <c r="EP775" s="2123">
        <v>12.24</v>
      </c>
      <c r="EQ775" s="2123">
        <v>12.6</v>
      </c>
      <c r="ER775" s="2123">
        <v>12.44</v>
      </c>
      <c r="ES775" s="2123">
        <v>57.51</v>
      </c>
      <c r="ET775" s="2123">
        <v>57.51</v>
      </c>
      <c r="EU775" s="2123">
        <v>252.03</v>
      </c>
      <c r="EV775" s="2123">
        <v>252.03</v>
      </c>
      <c r="EW775" s="2123">
        <v>246.65</v>
      </c>
      <c r="EX775" s="2123">
        <v>246.65</v>
      </c>
      <c r="EY775" s="2129">
        <f t="shared" si="56"/>
        <v>249.34</v>
      </c>
      <c r="EZ775" s="2129">
        <f t="shared" si="56"/>
        <v>249.34</v>
      </c>
      <c r="FA775" s="2123">
        <v>249.75</v>
      </c>
      <c r="FB775" s="2123">
        <v>249.75</v>
      </c>
      <c r="FC775" s="2123"/>
      <c r="FD775" s="2123"/>
      <c r="FE775" s="2123">
        <v>49.46</v>
      </c>
      <c r="FF775" s="2123">
        <v>49.46</v>
      </c>
      <c r="FG775" s="2123">
        <v>212.44</v>
      </c>
      <c r="FH775" s="2123">
        <v>212.44</v>
      </c>
      <c r="FI775" s="2123">
        <v>212.44</v>
      </c>
      <c r="FJ775" s="2123">
        <v>213.72</v>
      </c>
      <c r="FK775" s="2123">
        <v>212.04</v>
      </c>
      <c r="FL775" s="2123">
        <v>212.04</v>
      </c>
      <c r="FM775" s="2123">
        <v>212.66</v>
      </c>
      <c r="FN775" s="2123">
        <v>212.66</v>
      </c>
      <c r="FO775" s="2123"/>
      <c r="FP775" s="2123"/>
      <c r="FQ775" s="2123">
        <v>111.74</v>
      </c>
      <c r="FR775" s="2123">
        <v>111.74</v>
      </c>
      <c r="FS775" s="2123">
        <v>224.81</v>
      </c>
      <c r="FT775" s="2123">
        <v>224.81</v>
      </c>
      <c r="FU775" s="2123">
        <v>224.81</v>
      </c>
      <c r="FV775" s="2123">
        <v>224.81</v>
      </c>
      <c r="FW775" s="2123">
        <v>225.17</v>
      </c>
      <c r="FX775" s="2123">
        <v>225.17</v>
      </c>
      <c r="FY775" s="2123"/>
      <c r="FZ775" s="2123"/>
      <c r="GA775" s="2123"/>
      <c r="GB775" s="2123"/>
      <c r="GC775" s="2123">
        <v>78.94</v>
      </c>
      <c r="GD775" s="2123">
        <v>78.94</v>
      </c>
      <c r="GE775" s="2123">
        <v>177.21</v>
      </c>
      <c r="GF775" s="2123">
        <v>177.21</v>
      </c>
      <c r="GG775" s="2123">
        <v>177.21</v>
      </c>
      <c r="GH775" s="2123">
        <v>177.21</v>
      </c>
      <c r="GI775" s="2123">
        <v>196.84</v>
      </c>
      <c r="GJ775" s="2123">
        <v>196.84</v>
      </c>
      <c r="GK775" s="2123">
        <v>220.8</v>
      </c>
      <c r="GL775" s="2123">
        <v>220.8</v>
      </c>
      <c r="GM775" s="2123"/>
      <c r="GN775" s="2123"/>
      <c r="GO775" s="2123">
        <v>42.27</v>
      </c>
      <c r="GP775" s="2123">
        <v>42.27</v>
      </c>
      <c r="GQ775" s="2123">
        <v>37.06</v>
      </c>
      <c r="GR775" s="2123">
        <v>37.06</v>
      </c>
      <c r="GS775" s="2123">
        <v>37.06</v>
      </c>
      <c r="GT775" s="2123">
        <v>35.75</v>
      </c>
      <c r="GU775" s="2123">
        <v>35.75</v>
      </c>
      <c r="GV775" s="2123">
        <v>35.97</v>
      </c>
      <c r="GW775" s="2123">
        <v>210.25</v>
      </c>
      <c r="GX775" s="2123">
        <v>210.25</v>
      </c>
      <c r="GY775" s="2123"/>
      <c r="GZ775" s="2123"/>
      <c r="HA775" s="2123">
        <v>29.51</v>
      </c>
      <c r="HB775" s="2123">
        <v>29.51</v>
      </c>
      <c r="HC775" s="2123">
        <v>23.17</v>
      </c>
      <c r="HD775" s="2123">
        <v>23.17</v>
      </c>
      <c r="HE775" s="2123">
        <v>23.8</v>
      </c>
      <c r="HF775" s="2123">
        <v>23.8</v>
      </c>
      <c r="HG775" s="2123">
        <v>23.8</v>
      </c>
      <c r="HH775" s="2123">
        <v>23.8</v>
      </c>
      <c r="HI775" s="2123">
        <v>23.8</v>
      </c>
      <c r="HJ775" s="2123">
        <v>23.8</v>
      </c>
      <c r="HK775" s="2123">
        <v>23.91</v>
      </c>
      <c r="HL775" s="2123">
        <v>24.08</v>
      </c>
      <c r="HM775" s="2123">
        <v>41.31</v>
      </c>
      <c r="HN775" s="2123">
        <v>41.31</v>
      </c>
      <c r="HO775" s="2123">
        <v>32.729999999999997</v>
      </c>
      <c r="HP775" s="2123">
        <v>32.729999999999997</v>
      </c>
      <c r="HQ775" s="2123">
        <v>33.700000000000003</v>
      </c>
      <c r="HR775" s="2123">
        <v>33.700000000000003</v>
      </c>
      <c r="HS775" s="2123">
        <v>33.700000000000003</v>
      </c>
      <c r="HT775" s="2123">
        <v>33.700000000000003</v>
      </c>
      <c r="HU775" s="2123">
        <v>33.700000000000003</v>
      </c>
      <c r="HV775" s="2123">
        <v>33.700000000000003</v>
      </c>
      <c r="HW775" s="2123">
        <v>33.729999999999997</v>
      </c>
      <c r="HX775" s="2123">
        <v>33.729999999999997</v>
      </c>
    </row>
    <row r="776" spans="2:232" s="2040" customFormat="1" ht="14" hidden="1" x14ac:dyDescent="0.3">
      <c r="B776" s="2203">
        <v>82</v>
      </c>
      <c r="C776" s="2204">
        <v>46.75</v>
      </c>
      <c r="D776" s="2204">
        <v>46.75</v>
      </c>
      <c r="E776" s="2204">
        <v>46.84</v>
      </c>
      <c r="F776" s="2204">
        <v>46.84</v>
      </c>
      <c r="G776" s="2204">
        <v>182.16</v>
      </c>
      <c r="H776" s="2204">
        <v>182.16</v>
      </c>
      <c r="I776" s="2204">
        <v>172.99</v>
      </c>
      <c r="J776" s="2204">
        <v>172.99</v>
      </c>
      <c r="K776" s="2204">
        <v>177.26</v>
      </c>
      <c r="L776" s="2204">
        <v>177.26</v>
      </c>
      <c r="M776" s="2204"/>
      <c r="N776" s="2204"/>
      <c r="O776" s="2204">
        <v>146.54</v>
      </c>
      <c r="P776" s="2204">
        <v>146.54</v>
      </c>
      <c r="Q776" s="2204">
        <v>146.04</v>
      </c>
      <c r="R776" s="2204">
        <v>146.55000000000001</v>
      </c>
      <c r="S776" s="2204">
        <v>273.08</v>
      </c>
      <c r="T776" s="2204">
        <v>272.7</v>
      </c>
      <c r="U776" s="2204">
        <v>263.23</v>
      </c>
      <c r="V776" s="2204">
        <v>263.23</v>
      </c>
      <c r="W776" s="2204">
        <v>272.7</v>
      </c>
      <c r="X776" s="2204">
        <v>272.7</v>
      </c>
      <c r="Y776" s="2204">
        <v>263.23</v>
      </c>
      <c r="Z776" s="2204">
        <v>272.7</v>
      </c>
      <c r="AA776" s="2204">
        <v>272.7</v>
      </c>
      <c r="AB776" s="2204">
        <v>272.7</v>
      </c>
      <c r="AC776" s="2204">
        <v>263.23</v>
      </c>
      <c r="AD776" s="2204">
        <v>263.23</v>
      </c>
      <c r="AE776" s="2204">
        <v>284.97000000000003</v>
      </c>
      <c r="AF776" s="2204">
        <v>276.76</v>
      </c>
      <c r="AG776" s="2204">
        <v>284.97000000000003</v>
      </c>
      <c r="AH776" s="2204">
        <v>284.97000000000003</v>
      </c>
      <c r="AI776" s="2204">
        <v>276.76</v>
      </c>
      <c r="AJ776" s="2204">
        <v>276.76</v>
      </c>
      <c r="AK776" s="2204">
        <v>277.13</v>
      </c>
      <c r="AL776" s="2204">
        <v>277.13</v>
      </c>
      <c r="AM776" s="2204">
        <v>77.400000000000006</v>
      </c>
      <c r="AN776" s="2204">
        <v>74.59</v>
      </c>
      <c r="AO776" s="2204">
        <v>74.59</v>
      </c>
      <c r="AP776" s="2204">
        <v>74.48</v>
      </c>
      <c r="AQ776" s="2204">
        <v>74.760000000000005</v>
      </c>
      <c r="AR776" s="2204">
        <v>74.760000000000005</v>
      </c>
      <c r="AS776" s="2204">
        <v>224.71</v>
      </c>
      <c r="AT776" s="2204">
        <v>224.71</v>
      </c>
      <c r="AU776" s="2204">
        <v>224.71</v>
      </c>
      <c r="AV776" s="2204">
        <v>229.68</v>
      </c>
      <c r="AW776" s="2204">
        <v>224.92</v>
      </c>
      <c r="AX776" s="2204">
        <v>224.92</v>
      </c>
      <c r="AY776" s="2204">
        <v>225.04</v>
      </c>
      <c r="AZ776" s="2204">
        <v>225.04</v>
      </c>
      <c r="BA776" s="2123">
        <v>98.32</v>
      </c>
      <c r="BB776" s="2123">
        <v>98.32</v>
      </c>
      <c r="BC776" s="2123">
        <v>24.96</v>
      </c>
      <c r="BD776" s="2123">
        <v>25.12</v>
      </c>
      <c r="BE776" s="2123">
        <v>27.83</v>
      </c>
      <c r="BF776" s="2123">
        <v>27.83</v>
      </c>
      <c r="BG776" s="2123">
        <v>25.04</v>
      </c>
      <c r="BH776" s="2123">
        <v>25.04</v>
      </c>
      <c r="BI776" s="2123">
        <v>24.83</v>
      </c>
      <c r="BJ776" s="2123">
        <v>24.83</v>
      </c>
      <c r="BK776" s="2123">
        <v>24.83</v>
      </c>
      <c r="BL776" s="2123">
        <v>24.83</v>
      </c>
      <c r="BM776" s="2123">
        <v>56.58</v>
      </c>
      <c r="BN776" s="2123">
        <v>56.58</v>
      </c>
      <c r="BO776" s="2123">
        <v>177.97</v>
      </c>
      <c r="BP776" s="2123">
        <v>177.97</v>
      </c>
      <c r="BQ776" s="2123">
        <v>177.97</v>
      </c>
      <c r="BR776" s="2123">
        <v>177.97</v>
      </c>
      <c r="BS776" s="2123">
        <v>230.82</v>
      </c>
      <c r="BT776" s="2123">
        <v>230.82</v>
      </c>
      <c r="BU776" s="2123">
        <v>230.82</v>
      </c>
      <c r="BV776" s="2123">
        <v>230.82</v>
      </c>
      <c r="BW776" s="2123">
        <v>230.82</v>
      </c>
      <c r="BX776" s="2123">
        <v>230.82</v>
      </c>
      <c r="BY776" s="2123">
        <v>51.38</v>
      </c>
      <c r="BZ776" s="2123">
        <v>51.38</v>
      </c>
      <c r="CA776" s="2123">
        <v>170.46</v>
      </c>
      <c r="CB776" s="2123">
        <v>170.46</v>
      </c>
      <c r="CC776" s="2123">
        <v>173.03</v>
      </c>
      <c r="CD776" s="2123">
        <v>173.03</v>
      </c>
      <c r="CE776" s="2123">
        <v>227.66</v>
      </c>
      <c r="CF776" s="2123">
        <v>227.66</v>
      </c>
      <c r="CG776" s="2123"/>
      <c r="CH776" s="2123"/>
      <c r="CI776" s="2123"/>
      <c r="CJ776" s="2123"/>
      <c r="CK776" s="2123">
        <v>127.63</v>
      </c>
      <c r="CL776" s="2123">
        <v>127.63</v>
      </c>
      <c r="CM776" s="2123">
        <v>257.32</v>
      </c>
      <c r="CN776" s="2123">
        <v>257.32</v>
      </c>
      <c r="CO776" s="2123">
        <v>332.36</v>
      </c>
      <c r="CP776" s="2123">
        <v>332.36</v>
      </c>
      <c r="CQ776" s="2123">
        <v>332.36</v>
      </c>
      <c r="CR776" s="2123">
        <v>332.36</v>
      </c>
      <c r="CS776" s="2123"/>
      <c r="CT776" s="2123"/>
      <c r="CU776" s="2123"/>
      <c r="CV776" s="2123"/>
      <c r="CW776" s="2123">
        <v>119.44</v>
      </c>
      <c r="CX776" s="2123">
        <v>119.44</v>
      </c>
      <c r="CY776" s="2123">
        <v>249.1</v>
      </c>
      <c r="CZ776" s="2123">
        <v>249.1</v>
      </c>
      <c r="DA776" s="2123">
        <v>249.1</v>
      </c>
      <c r="DB776" s="2123">
        <v>249.1</v>
      </c>
      <c r="DC776" s="2123">
        <v>322.08999999999997</v>
      </c>
      <c r="DD776" s="2123">
        <v>322.08999999999997</v>
      </c>
      <c r="DE776" s="2123">
        <v>322.08999999999997</v>
      </c>
      <c r="DF776" s="2123">
        <v>322.08999999999997</v>
      </c>
      <c r="DG776" s="2123"/>
      <c r="DH776" s="2123"/>
      <c r="DI776" s="2123">
        <v>31.51</v>
      </c>
      <c r="DJ776" s="2123">
        <v>31.51</v>
      </c>
      <c r="DK776" s="2123">
        <v>31.51</v>
      </c>
      <c r="DL776" s="2123">
        <v>31.51</v>
      </c>
      <c r="DM776" s="2123">
        <v>31.51</v>
      </c>
      <c r="DN776" s="2123">
        <v>31.51</v>
      </c>
      <c r="DO776" s="2123"/>
      <c r="DP776" s="2123"/>
      <c r="DQ776" s="2123"/>
      <c r="DR776" s="2123"/>
      <c r="DS776" s="2123"/>
      <c r="DT776" s="2123"/>
      <c r="DU776" s="2123">
        <v>14.05</v>
      </c>
      <c r="DV776" s="2123">
        <v>14.05</v>
      </c>
      <c r="DW776" s="2123">
        <v>13.52</v>
      </c>
      <c r="DX776" s="2123">
        <v>13.52</v>
      </c>
      <c r="DY776" s="2123">
        <v>13.52</v>
      </c>
      <c r="DZ776" s="2123">
        <v>13.52</v>
      </c>
      <c r="EA776" s="2123"/>
      <c r="EB776" s="2123"/>
      <c r="EC776" s="2123"/>
      <c r="ED776" s="2123"/>
      <c r="EE776" s="2123"/>
      <c r="EF776" s="2123"/>
      <c r="EG776" s="2123">
        <v>15.05</v>
      </c>
      <c r="EH776" s="2123">
        <v>15.21</v>
      </c>
      <c r="EI776" s="2123">
        <v>12.36</v>
      </c>
      <c r="EJ776" s="2123">
        <v>12.36</v>
      </c>
      <c r="EK776" s="2123">
        <v>12.36</v>
      </c>
      <c r="EL776" s="2123">
        <v>12.36</v>
      </c>
      <c r="EM776" s="2123">
        <v>12.93</v>
      </c>
      <c r="EN776" s="2123">
        <v>12.93</v>
      </c>
      <c r="EO776" s="2123">
        <v>12.3</v>
      </c>
      <c r="EP776" s="2123">
        <v>12.3</v>
      </c>
      <c r="EQ776" s="2123">
        <v>12.65</v>
      </c>
      <c r="ER776" s="2123">
        <v>12.49</v>
      </c>
      <c r="ES776" s="2123">
        <v>57.67</v>
      </c>
      <c r="ET776" s="2123">
        <v>57.67</v>
      </c>
      <c r="EU776" s="2123">
        <v>253.04</v>
      </c>
      <c r="EV776" s="2123">
        <v>253.04</v>
      </c>
      <c r="EW776" s="2123">
        <v>247.64</v>
      </c>
      <c r="EX776" s="2123">
        <v>247.64</v>
      </c>
      <c r="EY776" s="2129">
        <f t="shared" si="56"/>
        <v>250.33999999999997</v>
      </c>
      <c r="EZ776" s="2129">
        <f t="shared" si="56"/>
        <v>250.33999999999997</v>
      </c>
      <c r="FA776" s="2123">
        <v>250.71</v>
      </c>
      <c r="FB776" s="2123">
        <v>250.71</v>
      </c>
      <c r="FC776" s="2123"/>
      <c r="FD776" s="2123"/>
      <c r="FE776" s="2123">
        <v>49.61</v>
      </c>
      <c r="FF776" s="2123">
        <v>49.61</v>
      </c>
      <c r="FG776" s="2123">
        <v>213.3</v>
      </c>
      <c r="FH776" s="2123">
        <v>213.3</v>
      </c>
      <c r="FI776" s="2123">
        <v>213.3</v>
      </c>
      <c r="FJ776" s="2123">
        <v>214.56</v>
      </c>
      <c r="FK776" s="2123">
        <v>212.91</v>
      </c>
      <c r="FL776" s="2123">
        <v>212.91</v>
      </c>
      <c r="FM776" s="2123">
        <v>213.51</v>
      </c>
      <c r="FN776" s="2123">
        <v>213.51</v>
      </c>
      <c r="FO776" s="2123"/>
      <c r="FP776" s="2123"/>
      <c r="FQ776" s="2123">
        <v>112.06</v>
      </c>
      <c r="FR776" s="2123">
        <v>112.06</v>
      </c>
      <c r="FS776" s="2123">
        <v>225.56</v>
      </c>
      <c r="FT776" s="2123">
        <v>225.56</v>
      </c>
      <c r="FU776" s="2123">
        <v>225.56</v>
      </c>
      <c r="FV776" s="2123">
        <v>225.56</v>
      </c>
      <c r="FW776" s="2123">
        <v>225.91</v>
      </c>
      <c r="FX776" s="2123">
        <v>225.91</v>
      </c>
      <c r="FY776" s="2123"/>
      <c r="FZ776" s="2123"/>
      <c r="GA776" s="2123"/>
      <c r="GB776" s="2123"/>
      <c r="GC776" s="2123">
        <v>79.16</v>
      </c>
      <c r="GD776" s="2123">
        <v>79.16</v>
      </c>
      <c r="GE776" s="2123">
        <v>177.67</v>
      </c>
      <c r="GF776" s="2123">
        <v>177.67</v>
      </c>
      <c r="GG776" s="2123">
        <v>177.67</v>
      </c>
      <c r="GH776" s="2123">
        <v>177.67</v>
      </c>
      <c r="GI776" s="2123">
        <v>197.87</v>
      </c>
      <c r="GJ776" s="2123">
        <v>197.87</v>
      </c>
      <c r="GK776" s="2123">
        <v>221.64</v>
      </c>
      <c r="GL776" s="2123">
        <v>221.64</v>
      </c>
      <c r="GM776" s="2123"/>
      <c r="GN776" s="2123"/>
      <c r="GO776" s="2123">
        <v>42.39</v>
      </c>
      <c r="GP776" s="2123">
        <v>42.39</v>
      </c>
      <c r="GQ776" s="2123">
        <v>37.24</v>
      </c>
      <c r="GR776" s="2123">
        <v>37.24</v>
      </c>
      <c r="GS776" s="2123">
        <v>37.24</v>
      </c>
      <c r="GT776" s="2123">
        <v>35.909999999999997</v>
      </c>
      <c r="GU776" s="2123">
        <v>35.909999999999997</v>
      </c>
      <c r="GV776" s="2123">
        <v>36.130000000000003</v>
      </c>
      <c r="GW776" s="2123">
        <v>211.2</v>
      </c>
      <c r="GX776" s="2123">
        <v>211.2</v>
      </c>
      <c r="GY776" s="2123"/>
      <c r="GZ776" s="2123"/>
      <c r="HA776" s="2123">
        <v>29.57</v>
      </c>
      <c r="HB776" s="2123">
        <v>29.57</v>
      </c>
      <c r="HC776" s="2123">
        <v>23.26</v>
      </c>
      <c r="HD776" s="2123">
        <v>23.26</v>
      </c>
      <c r="HE776" s="2123">
        <v>23.96</v>
      </c>
      <c r="HF776" s="2123">
        <v>23.96</v>
      </c>
      <c r="HG776" s="2123">
        <v>23.96</v>
      </c>
      <c r="HH776" s="2123">
        <v>23.96</v>
      </c>
      <c r="HI776" s="2123">
        <v>23.96</v>
      </c>
      <c r="HJ776" s="2123">
        <v>23.96</v>
      </c>
      <c r="HK776" s="2123">
        <v>24</v>
      </c>
      <c r="HL776" s="2123">
        <v>24.16</v>
      </c>
      <c r="HM776" s="2123">
        <v>41.45</v>
      </c>
      <c r="HN776" s="2123">
        <v>41.45</v>
      </c>
      <c r="HO776" s="2123">
        <v>32.92</v>
      </c>
      <c r="HP776" s="2123">
        <v>32.92</v>
      </c>
      <c r="HQ776" s="2123">
        <v>33.83</v>
      </c>
      <c r="HR776" s="2123">
        <v>33.83</v>
      </c>
      <c r="HS776" s="2123">
        <v>33.83</v>
      </c>
      <c r="HT776" s="2123">
        <v>33.83</v>
      </c>
      <c r="HU776" s="2123">
        <v>33.83</v>
      </c>
      <c r="HV776" s="2123">
        <v>33.83</v>
      </c>
      <c r="HW776" s="2123">
        <v>33.909999999999997</v>
      </c>
      <c r="HX776" s="2123">
        <v>33.909999999999997</v>
      </c>
    </row>
    <row r="777" spans="2:232" s="2040" customFormat="1" ht="14" hidden="1" x14ac:dyDescent="0.3">
      <c r="B777" s="2203">
        <v>83</v>
      </c>
      <c r="C777" s="2204">
        <v>46.89</v>
      </c>
      <c r="D777" s="2204">
        <v>46.89</v>
      </c>
      <c r="E777" s="2204">
        <v>46.98</v>
      </c>
      <c r="F777" s="2204">
        <v>46.98</v>
      </c>
      <c r="G777" s="2204">
        <v>182.79</v>
      </c>
      <c r="H777" s="2204">
        <v>182.79</v>
      </c>
      <c r="I777" s="2204">
        <v>173.71</v>
      </c>
      <c r="J777" s="2204">
        <v>173.71</v>
      </c>
      <c r="K777" s="2204">
        <v>177.88</v>
      </c>
      <c r="L777" s="2204">
        <v>177.88</v>
      </c>
      <c r="M777" s="2204"/>
      <c r="N777" s="2204"/>
      <c r="O777" s="2204">
        <v>146.97</v>
      </c>
      <c r="P777" s="2204">
        <v>146.97</v>
      </c>
      <c r="Q777" s="2204">
        <v>146.46</v>
      </c>
      <c r="R777" s="2204">
        <v>146.97999999999999</v>
      </c>
      <c r="S777" s="2204">
        <v>274.21999999999997</v>
      </c>
      <c r="T777" s="2204">
        <v>273.77999999999997</v>
      </c>
      <c r="U777" s="2204">
        <v>264.27</v>
      </c>
      <c r="V777" s="2204">
        <v>264.27</v>
      </c>
      <c r="W777" s="2204">
        <v>273.77999999999997</v>
      </c>
      <c r="X777" s="2204">
        <v>273.77999999999997</v>
      </c>
      <c r="Y777" s="2204">
        <v>264.27</v>
      </c>
      <c r="Z777" s="2204">
        <v>273.77999999999997</v>
      </c>
      <c r="AA777" s="2204">
        <v>273.77999999999997</v>
      </c>
      <c r="AB777" s="2204">
        <v>273.77999999999997</v>
      </c>
      <c r="AC777" s="2204">
        <v>264.27</v>
      </c>
      <c r="AD777" s="2204">
        <v>264.27</v>
      </c>
      <c r="AE777" s="2204">
        <v>285.93</v>
      </c>
      <c r="AF777" s="2204">
        <v>277.7</v>
      </c>
      <c r="AG777" s="2204">
        <v>285.93</v>
      </c>
      <c r="AH777" s="2204">
        <v>285.93</v>
      </c>
      <c r="AI777" s="2204">
        <v>277.7</v>
      </c>
      <c r="AJ777" s="2204">
        <v>277.7</v>
      </c>
      <c r="AK777" s="2204">
        <v>278.06</v>
      </c>
      <c r="AL777" s="2204">
        <v>278.06</v>
      </c>
      <c r="AM777" s="2204">
        <v>77.62</v>
      </c>
      <c r="AN777" s="2204">
        <v>74.8</v>
      </c>
      <c r="AO777" s="2204">
        <v>74.8</v>
      </c>
      <c r="AP777" s="2204">
        <v>74.709999999999994</v>
      </c>
      <c r="AQ777" s="2204">
        <v>74.98</v>
      </c>
      <c r="AR777" s="2204">
        <v>74.98</v>
      </c>
      <c r="AS777" s="2204">
        <v>225.56</v>
      </c>
      <c r="AT777" s="2204">
        <v>225.56</v>
      </c>
      <c r="AU777" s="2204">
        <v>225.56</v>
      </c>
      <c r="AV777" s="2204">
        <v>230.53</v>
      </c>
      <c r="AW777" s="2204">
        <v>225.76</v>
      </c>
      <c r="AX777" s="2204">
        <v>225.76</v>
      </c>
      <c r="AY777" s="2204">
        <v>225.88</v>
      </c>
      <c r="AZ777" s="2204">
        <v>225.88</v>
      </c>
      <c r="BA777" s="2123">
        <v>98.71</v>
      </c>
      <c r="BB777" s="2123">
        <v>98.71</v>
      </c>
      <c r="BC777" s="2123">
        <v>25.06</v>
      </c>
      <c r="BD777" s="2123">
        <v>25.22</v>
      </c>
      <c r="BE777" s="2123">
        <v>27.91</v>
      </c>
      <c r="BF777" s="2123">
        <v>27.91</v>
      </c>
      <c r="BG777" s="2123">
        <v>25.15</v>
      </c>
      <c r="BH777" s="2123">
        <v>25.15</v>
      </c>
      <c r="BI777" s="2123">
        <v>24.95</v>
      </c>
      <c r="BJ777" s="2123">
        <v>24.95</v>
      </c>
      <c r="BK777" s="2123">
        <v>24.95</v>
      </c>
      <c r="BL777" s="2123">
        <v>24.95</v>
      </c>
      <c r="BM777" s="2123">
        <v>56.73</v>
      </c>
      <c r="BN777" s="2123">
        <v>56.73</v>
      </c>
      <c r="BO777" s="2123">
        <v>178.49</v>
      </c>
      <c r="BP777" s="2123">
        <v>178.49</v>
      </c>
      <c r="BQ777" s="2123">
        <v>178.49</v>
      </c>
      <c r="BR777" s="2123">
        <v>178.49</v>
      </c>
      <c r="BS777" s="2123">
        <v>231.61</v>
      </c>
      <c r="BT777" s="2123">
        <v>231.61</v>
      </c>
      <c r="BU777" s="2123">
        <v>231.61</v>
      </c>
      <c r="BV777" s="2123">
        <v>231.61</v>
      </c>
      <c r="BW777" s="2123">
        <v>231.61</v>
      </c>
      <c r="BX777" s="2123">
        <v>231.61</v>
      </c>
      <c r="BY777" s="2123">
        <v>51.51</v>
      </c>
      <c r="BZ777" s="2123">
        <v>51.51</v>
      </c>
      <c r="CA777" s="2123">
        <v>170.96</v>
      </c>
      <c r="CB777" s="2123">
        <v>170.96</v>
      </c>
      <c r="CC777" s="2123">
        <v>173.55</v>
      </c>
      <c r="CD777" s="2123">
        <v>173.55</v>
      </c>
      <c r="CE777" s="2123">
        <v>228.45</v>
      </c>
      <c r="CF777" s="2123">
        <v>228.45</v>
      </c>
      <c r="CG777" s="2123"/>
      <c r="CH777" s="2123"/>
      <c r="CI777" s="2123"/>
      <c r="CJ777" s="2123"/>
      <c r="CK777" s="2123">
        <v>127.91</v>
      </c>
      <c r="CL777" s="2123">
        <v>127.91</v>
      </c>
      <c r="CM777" s="2123">
        <v>257.91000000000003</v>
      </c>
      <c r="CN777" s="2123">
        <v>257.91000000000003</v>
      </c>
      <c r="CO777" s="2123">
        <v>333.34</v>
      </c>
      <c r="CP777" s="2123">
        <v>333.34</v>
      </c>
      <c r="CQ777" s="2123">
        <v>333.34</v>
      </c>
      <c r="CR777" s="2123">
        <v>333.34</v>
      </c>
      <c r="CS777" s="2123"/>
      <c r="CT777" s="2123"/>
      <c r="CU777" s="2123"/>
      <c r="CV777" s="2123"/>
      <c r="CW777" s="2123">
        <v>119.74</v>
      </c>
      <c r="CX777" s="2123">
        <v>119.74</v>
      </c>
      <c r="CY777" s="2123">
        <v>249.66</v>
      </c>
      <c r="CZ777" s="2123">
        <v>249.66</v>
      </c>
      <c r="DA777" s="2123">
        <v>249.66</v>
      </c>
      <c r="DB777" s="2123">
        <v>249.66</v>
      </c>
      <c r="DC777" s="2123">
        <v>323</v>
      </c>
      <c r="DD777" s="2123">
        <v>323</v>
      </c>
      <c r="DE777" s="2123">
        <v>323</v>
      </c>
      <c r="DF777" s="2123">
        <v>323</v>
      </c>
      <c r="DG777" s="2123"/>
      <c r="DH777" s="2123"/>
      <c r="DI777" s="2123">
        <v>31.59</v>
      </c>
      <c r="DJ777" s="2123">
        <v>31.59</v>
      </c>
      <c r="DK777" s="2123">
        <v>31.59</v>
      </c>
      <c r="DL777" s="2123">
        <v>31.59</v>
      </c>
      <c r="DM777" s="2123">
        <v>31.59</v>
      </c>
      <c r="DN777" s="2123">
        <v>31.59</v>
      </c>
      <c r="DO777" s="2123"/>
      <c r="DP777" s="2123"/>
      <c r="DQ777" s="2123"/>
      <c r="DR777" s="2123"/>
      <c r="DS777" s="2123"/>
      <c r="DT777" s="2123"/>
      <c r="DU777" s="2123">
        <v>14.09</v>
      </c>
      <c r="DV777" s="2123">
        <v>14.09</v>
      </c>
      <c r="DW777" s="2123">
        <v>13.58</v>
      </c>
      <c r="DX777" s="2123">
        <v>13.58</v>
      </c>
      <c r="DY777" s="2123">
        <v>13.58</v>
      </c>
      <c r="DZ777" s="2123">
        <v>13.58</v>
      </c>
      <c r="EA777" s="2123"/>
      <c r="EB777" s="2123"/>
      <c r="EC777" s="2123"/>
      <c r="ED777" s="2123"/>
      <c r="EE777" s="2123"/>
      <c r="EF777" s="2123"/>
      <c r="EG777" s="2123">
        <v>15.09</v>
      </c>
      <c r="EH777" s="2123">
        <v>15.25</v>
      </c>
      <c r="EI777" s="2123">
        <v>12.42</v>
      </c>
      <c r="EJ777" s="2123">
        <v>12.42</v>
      </c>
      <c r="EK777" s="2123">
        <v>12.42</v>
      </c>
      <c r="EL777" s="2123">
        <v>12.42</v>
      </c>
      <c r="EM777" s="2123">
        <v>12.98</v>
      </c>
      <c r="EN777" s="2123">
        <v>12.98</v>
      </c>
      <c r="EO777" s="2123">
        <v>12.35</v>
      </c>
      <c r="EP777" s="2123">
        <v>12.35</v>
      </c>
      <c r="EQ777" s="2123">
        <v>12.71</v>
      </c>
      <c r="ER777" s="2123">
        <v>12.54</v>
      </c>
      <c r="ES777" s="2123">
        <v>57.83</v>
      </c>
      <c r="ET777" s="2123">
        <v>57.83</v>
      </c>
      <c r="EU777" s="2123">
        <v>254.02</v>
      </c>
      <c r="EV777" s="2123">
        <v>254.02</v>
      </c>
      <c r="EW777" s="2123">
        <v>248.61</v>
      </c>
      <c r="EX777" s="2123">
        <v>248.61</v>
      </c>
      <c r="EY777" s="2129">
        <f t="shared" si="56"/>
        <v>251.315</v>
      </c>
      <c r="EZ777" s="2129">
        <f t="shared" si="56"/>
        <v>251.315</v>
      </c>
      <c r="FA777" s="2123">
        <v>251.65</v>
      </c>
      <c r="FB777" s="2123">
        <v>251.65</v>
      </c>
      <c r="FC777" s="2123"/>
      <c r="FD777" s="2123"/>
      <c r="FE777" s="2123">
        <v>49.74</v>
      </c>
      <c r="FF777" s="2123">
        <v>49.74</v>
      </c>
      <c r="FG777" s="2123">
        <v>214.14</v>
      </c>
      <c r="FH777" s="2123">
        <v>214.14</v>
      </c>
      <c r="FI777" s="2123">
        <v>214.14</v>
      </c>
      <c r="FJ777" s="2123">
        <v>215.38</v>
      </c>
      <c r="FK777" s="2123">
        <v>213.76</v>
      </c>
      <c r="FL777" s="2123">
        <v>213.76</v>
      </c>
      <c r="FM777" s="2123">
        <v>214.35</v>
      </c>
      <c r="FN777" s="2123">
        <v>214.35</v>
      </c>
      <c r="FO777" s="2123"/>
      <c r="FP777" s="2123"/>
      <c r="FQ777" s="2123">
        <v>112.38</v>
      </c>
      <c r="FR777" s="2123">
        <v>112.38</v>
      </c>
      <c r="FS777" s="2123">
        <v>226.29</v>
      </c>
      <c r="FT777" s="2123">
        <v>226.29</v>
      </c>
      <c r="FU777" s="2123">
        <v>226.29</v>
      </c>
      <c r="FV777" s="2123">
        <v>226.29</v>
      </c>
      <c r="FW777" s="2123">
        <v>226.63</v>
      </c>
      <c r="FX777" s="2123">
        <v>226.63</v>
      </c>
      <c r="FY777" s="2123"/>
      <c r="FZ777" s="2123"/>
      <c r="GA777" s="2123"/>
      <c r="GB777" s="2123"/>
      <c r="GC777" s="2123">
        <v>79.38</v>
      </c>
      <c r="GD777" s="2123">
        <v>79.38</v>
      </c>
      <c r="GE777" s="2123">
        <v>178.12</v>
      </c>
      <c r="GF777" s="2123">
        <v>178.12</v>
      </c>
      <c r="GG777" s="2123">
        <v>178.12</v>
      </c>
      <c r="GH777" s="2123">
        <v>178.12</v>
      </c>
      <c r="GI777" s="2123">
        <v>198.88</v>
      </c>
      <c r="GJ777" s="2123">
        <v>198.88</v>
      </c>
      <c r="GK777" s="2123">
        <v>222.46</v>
      </c>
      <c r="GL777" s="2123">
        <v>222.46</v>
      </c>
      <c r="GM777" s="2123"/>
      <c r="GN777" s="2123"/>
      <c r="GO777" s="2123">
        <v>42.5</v>
      </c>
      <c r="GP777" s="2123">
        <v>42.5</v>
      </c>
      <c r="GQ777" s="2123">
        <v>37.380000000000003</v>
      </c>
      <c r="GR777" s="2123">
        <v>37.380000000000003</v>
      </c>
      <c r="GS777" s="2123">
        <v>37.380000000000003</v>
      </c>
      <c r="GT777" s="2123">
        <v>36.049999999999997</v>
      </c>
      <c r="GU777" s="2123">
        <v>36.049999999999997</v>
      </c>
      <c r="GV777" s="2123">
        <v>36.26</v>
      </c>
      <c r="GW777" s="2123">
        <v>211.95</v>
      </c>
      <c r="GX777" s="2123">
        <v>211.95</v>
      </c>
      <c r="GY777" s="2123"/>
      <c r="GZ777" s="2123"/>
      <c r="HA777" s="2123">
        <v>29.69</v>
      </c>
      <c r="HB777" s="2123">
        <v>29.69</v>
      </c>
      <c r="HC777" s="2123">
        <v>23.43</v>
      </c>
      <c r="HD777" s="2123">
        <v>23.43</v>
      </c>
      <c r="HE777" s="2123">
        <v>24.04</v>
      </c>
      <c r="HF777" s="2123">
        <v>24.04</v>
      </c>
      <c r="HG777" s="2123">
        <v>24.04</v>
      </c>
      <c r="HH777" s="2123">
        <v>24.04</v>
      </c>
      <c r="HI777" s="2123">
        <v>24.04</v>
      </c>
      <c r="HJ777" s="2123">
        <v>24.04</v>
      </c>
      <c r="HK777" s="2123">
        <v>24.16</v>
      </c>
      <c r="HL777" s="2123">
        <v>24.32</v>
      </c>
      <c r="HM777" s="2123">
        <v>41.55</v>
      </c>
      <c r="HN777" s="2123">
        <v>41.55</v>
      </c>
      <c r="HO777" s="2123">
        <v>33.06</v>
      </c>
      <c r="HP777" s="2123">
        <v>33.06</v>
      </c>
      <c r="HQ777" s="2123">
        <v>33.97</v>
      </c>
      <c r="HR777" s="2123">
        <v>33.97</v>
      </c>
      <c r="HS777" s="2123">
        <v>33.97</v>
      </c>
      <c r="HT777" s="2123">
        <v>33.97</v>
      </c>
      <c r="HU777" s="2123">
        <v>33.97</v>
      </c>
      <c r="HV777" s="2123">
        <v>33.97</v>
      </c>
      <c r="HW777" s="2123">
        <v>34.049999999999997</v>
      </c>
      <c r="HX777" s="2123">
        <v>34.049999999999997</v>
      </c>
    </row>
    <row r="778" spans="2:232" s="2040" customFormat="1" ht="14" hidden="1" x14ac:dyDescent="0.3">
      <c r="B778" s="2203">
        <v>84</v>
      </c>
      <c r="C778" s="2204">
        <v>47.02</v>
      </c>
      <c r="D778" s="2204">
        <v>47.02</v>
      </c>
      <c r="E778" s="2204">
        <v>47.11</v>
      </c>
      <c r="F778" s="2204">
        <v>47.11</v>
      </c>
      <c r="G778" s="2204">
        <v>183.33</v>
      </c>
      <c r="H778" s="2204">
        <v>183.33</v>
      </c>
      <c r="I778" s="2204">
        <v>174.35</v>
      </c>
      <c r="J778" s="2204">
        <v>174.35</v>
      </c>
      <c r="K778" s="2204">
        <v>178.44</v>
      </c>
      <c r="L778" s="2204">
        <v>178.44</v>
      </c>
      <c r="M778" s="2204"/>
      <c r="N778" s="2204"/>
      <c r="O778" s="2204">
        <v>147.36000000000001</v>
      </c>
      <c r="P778" s="2204">
        <v>147.36000000000001</v>
      </c>
      <c r="Q778" s="2204">
        <v>146.85</v>
      </c>
      <c r="R778" s="2204">
        <v>147.37</v>
      </c>
      <c r="S778" s="2204">
        <v>275.26</v>
      </c>
      <c r="T778" s="2204">
        <v>274.83</v>
      </c>
      <c r="U778" s="2204">
        <v>265.29000000000002</v>
      </c>
      <c r="V778" s="2204">
        <v>265.29000000000002</v>
      </c>
      <c r="W778" s="2204">
        <v>274.83</v>
      </c>
      <c r="X778" s="2204">
        <v>274.83</v>
      </c>
      <c r="Y778" s="2204">
        <v>265.29000000000002</v>
      </c>
      <c r="Z778" s="2204">
        <v>274.83</v>
      </c>
      <c r="AA778" s="2204">
        <v>274.83</v>
      </c>
      <c r="AB778" s="2204">
        <v>274.83</v>
      </c>
      <c r="AC778" s="2204">
        <v>265.29000000000002</v>
      </c>
      <c r="AD778" s="2204">
        <v>265.29000000000002</v>
      </c>
      <c r="AE778" s="2204">
        <v>286.88</v>
      </c>
      <c r="AF778" s="2204">
        <v>278.62</v>
      </c>
      <c r="AG778" s="2204">
        <v>286.88</v>
      </c>
      <c r="AH778" s="2204">
        <v>286.88</v>
      </c>
      <c r="AI778" s="2204">
        <v>278.62</v>
      </c>
      <c r="AJ778" s="2204">
        <v>278.62</v>
      </c>
      <c r="AK778" s="2204">
        <v>278.97000000000003</v>
      </c>
      <c r="AL778" s="2204">
        <v>278.97000000000003</v>
      </c>
      <c r="AM778" s="2204">
        <v>77.83</v>
      </c>
      <c r="AN778" s="2204">
        <v>75</v>
      </c>
      <c r="AO778" s="2204">
        <v>75</v>
      </c>
      <c r="AP778" s="2204">
        <v>74.92</v>
      </c>
      <c r="AQ778" s="2204">
        <v>75.180000000000007</v>
      </c>
      <c r="AR778" s="2204">
        <v>75.180000000000007</v>
      </c>
      <c r="AS778" s="2204">
        <v>226.37</v>
      </c>
      <c r="AT778" s="2204">
        <v>226.37</v>
      </c>
      <c r="AU778" s="2204">
        <v>226.37</v>
      </c>
      <c r="AV778" s="2204">
        <v>231.35</v>
      </c>
      <c r="AW778" s="2204">
        <v>226.56</v>
      </c>
      <c r="AX778" s="2204">
        <v>226.56</v>
      </c>
      <c r="AY778" s="2204">
        <v>226.68</v>
      </c>
      <c r="AZ778" s="2204">
        <v>226.68</v>
      </c>
      <c r="BA778" s="2123">
        <v>99.05</v>
      </c>
      <c r="BB778" s="2123">
        <v>99.05</v>
      </c>
      <c r="BC778" s="2123">
        <v>25.17</v>
      </c>
      <c r="BD778" s="2123">
        <v>25.32</v>
      </c>
      <c r="BE778" s="2123">
        <v>27.99</v>
      </c>
      <c r="BF778" s="2123">
        <v>27.99</v>
      </c>
      <c r="BG778" s="2123">
        <v>25.26</v>
      </c>
      <c r="BH778" s="2123">
        <v>25.26</v>
      </c>
      <c r="BI778" s="2123">
        <v>25.05</v>
      </c>
      <c r="BJ778" s="2123">
        <v>25.05</v>
      </c>
      <c r="BK778" s="2123">
        <v>25.05</v>
      </c>
      <c r="BL778" s="2123">
        <v>25.05</v>
      </c>
      <c r="BM778" s="2123">
        <v>56.89</v>
      </c>
      <c r="BN778" s="2123">
        <v>56.89</v>
      </c>
      <c r="BO778" s="2123">
        <v>179.07</v>
      </c>
      <c r="BP778" s="2123">
        <v>179.07</v>
      </c>
      <c r="BQ778" s="2123">
        <v>179.07</v>
      </c>
      <c r="BR778" s="2123">
        <v>179.07</v>
      </c>
      <c r="BS778" s="2123">
        <v>232.52</v>
      </c>
      <c r="BT778" s="2123">
        <v>232.52</v>
      </c>
      <c r="BU778" s="2123">
        <v>232.52</v>
      </c>
      <c r="BV778" s="2123">
        <v>232.52</v>
      </c>
      <c r="BW778" s="2123">
        <v>232.52</v>
      </c>
      <c r="BX778" s="2123">
        <v>232.52</v>
      </c>
      <c r="BY778" s="2123">
        <v>51.65</v>
      </c>
      <c r="BZ778" s="2123">
        <v>51.65</v>
      </c>
      <c r="CA778" s="2123">
        <v>171.52</v>
      </c>
      <c r="CB778" s="2123">
        <v>171.52</v>
      </c>
      <c r="CC778" s="2123">
        <v>174.12</v>
      </c>
      <c r="CD778" s="2123">
        <v>174.12</v>
      </c>
      <c r="CE778" s="2123">
        <v>229.34</v>
      </c>
      <c r="CF778" s="2123">
        <v>229.34</v>
      </c>
      <c r="CG778" s="2123"/>
      <c r="CH778" s="2123"/>
      <c r="CI778" s="2123"/>
      <c r="CJ778" s="2123"/>
      <c r="CK778" s="2123">
        <v>128.24</v>
      </c>
      <c r="CL778" s="2123">
        <v>128.24</v>
      </c>
      <c r="CM778" s="2123">
        <v>258.51</v>
      </c>
      <c r="CN778" s="2123">
        <v>258.51</v>
      </c>
      <c r="CO778" s="2123">
        <v>334.33</v>
      </c>
      <c r="CP778" s="2123">
        <v>334.33</v>
      </c>
      <c r="CQ778" s="2123">
        <v>334.33</v>
      </c>
      <c r="CR778" s="2123">
        <v>334.33</v>
      </c>
      <c r="CS778" s="2123"/>
      <c r="CT778" s="2123"/>
      <c r="CU778" s="2123"/>
      <c r="CV778" s="2123"/>
      <c r="CW778" s="2123">
        <v>120.09</v>
      </c>
      <c r="CX778" s="2123">
        <v>120.09</v>
      </c>
      <c r="CY778" s="2123">
        <v>250.29</v>
      </c>
      <c r="CZ778" s="2123">
        <v>250.29</v>
      </c>
      <c r="DA778" s="2123">
        <v>250.29</v>
      </c>
      <c r="DB778" s="2123">
        <v>250.29</v>
      </c>
      <c r="DC778" s="2123">
        <v>324.02999999999997</v>
      </c>
      <c r="DD778" s="2123">
        <v>324.02999999999997</v>
      </c>
      <c r="DE778" s="2123">
        <v>324.02999999999997</v>
      </c>
      <c r="DF778" s="2123">
        <v>324.02999999999997</v>
      </c>
      <c r="DG778" s="2123"/>
      <c r="DH778" s="2123"/>
      <c r="DI778" s="2123">
        <v>31.69</v>
      </c>
      <c r="DJ778" s="2123">
        <v>31.69</v>
      </c>
      <c r="DK778" s="2123">
        <v>31.69</v>
      </c>
      <c r="DL778" s="2123">
        <v>31.69</v>
      </c>
      <c r="DM778" s="2123">
        <v>31.69</v>
      </c>
      <c r="DN778" s="2123">
        <v>31.69</v>
      </c>
      <c r="DO778" s="2123"/>
      <c r="DP778" s="2123"/>
      <c r="DQ778" s="2123"/>
      <c r="DR778" s="2123"/>
      <c r="DS778" s="2123"/>
      <c r="DT778" s="2123"/>
      <c r="DU778" s="2123">
        <v>14.13</v>
      </c>
      <c r="DV778" s="2123">
        <v>14.13</v>
      </c>
      <c r="DW778" s="2123">
        <v>13.64</v>
      </c>
      <c r="DX778" s="2123">
        <v>13.64</v>
      </c>
      <c r="DY778" s="2123">
        <v>13.64</v>
      </c>
      <c r="DZ778" s="2123">
        <v>13.64</v>
      </c>
      <c r="EA778" s="2123"/>
      <c r="EB778" s="2123"/>
      <c r="EC778" s="2123"/>
      <c r="ED778" s="2123"/>
      <c r="EE778" s="2123"/>
      <c r="EF778" s="2123"/>
      <c r="EG778" s="2123">
        <v>15.13</v>
      </c>
      <c r="EH778" s="2123">
        <v>15.29</v>
      </c>
      <c r="EI778" s="2123">
        <v>12.48</v>
      </c>
      <c r="EJ778" s="2123">
        <v>12.48</v>
      </c>
      <c r="EK778" s="2123">
        <v>12.48</v>
      </c>
      <c r="EL778" s="2123">
        <v>12.48</v>
      </c>
      <c r="EM778" s="2123">
        <v>13.03</v>
      </c>
      <c r="EN778" s="2123">
        <v>13.03</v>
      </c>
      <c r="EO778" s="2123">
        <v>12.4</v>
      </c>
      <c r="EP778" s="2123">
        <v>12.4</v>
      </c>
      <c r="EQ778" s="2123">
        <v>12.76</v>
      </c>
      <c r="ER778" s="2123">
        <v>12.59</v>
      </c>
      <c r="ES778" s="2123">
        <v>57.99</v>
      </c>
      <c r="ET778" s="2123">
        <v>57.99</v>
      </c>
      <c r="EU778" s="2123">
        <v>254.99</v>
      </c>
      <c r="EV778" s="2123">
        <v>254.99</v>
      </c>
      <c r="EW778" s="2123">
        <v>249.57</v>
      </c>
      <c r="EX778" s="2123">
        <v>249.57</v>
      </c>
      <c r="EY778" s="2129">
        <f t="shared" si="56"/>
        <v>252.28</v>
      </c>
      <c r="EZ778" s="2129">
        <f t="shared" si="56"/>
        <v>252.28</v>
      </c>
      <c r="FA778" s="2123">
        <v>252.57</v>
      </c>
      <c r="FB778" s="2123">
        <v>252.57</v>
      </c>
      <c r="FC778" s="2123"/>
      <c r="FD778" s="2123"/>
      <c r="FE778" s="2123">
        <v>49.88</v>
      </c>
      <c r="FF778" s="2123">
        <v>49.88</v>
      </c>
      <c r="FG778" s="2123">
        <v>214.97</v>
      </c>
      <c r="FH778" s="2123">
        <v>214.97</v>
      </c>
      <c r="FI778" s="2123">
        <v>214.97</v>
      </c>
      <c r="FJ778" s="2123">
        <v>216.18</v>
      </c>
      <c r="FK778" s="2123">
        <v>214.59</v>
      </c>
      <c r="FL778" s="2123">
        <v>214.59</v>
      </c>
      <c r="FM778" s="2123">
        <v>215.17</v>
      </c>
      <c r="FN778" s="2123">
        <v>215.17</v>
      </c>
      <c r="FO778" s="2123"/>
      <c r="FP778" s="2123"/>
      <c r="FQ778" s="2123">
        <v>112.68</v>
      </c>
      <c r="FR778" s="2123">
        <v>112.68</v>
      </c>
      <c r="FS778" s="2123">
        <v>227.01</v>
      </c>
      <c r="FT778" s="2123">
        <v>227.01</v>
      </c>
      <c r="FU778" s="2123">
        <v>227.01</v>
      </c>
      <c r="FV778" s="2123">
        <v>227.01</v>
      </c>
      <c r="FW778" s="2123">
        <v>227.34</v>
      </c>
      <c r="FX778" s="2123">
        <v>227.34</v>
      </c>
      <c r="FY778" s="2123"/>
      <c r="FZ778" s="2123"/>
      <c r="GA778" s="2123"/>
      <c r="GB778" s="2123"/>
      <c r="GC778" s="2123">
        <v>79.59</v>
      </c>
      <c r="GD778" s="2123">
        <v>79.59</v>
      </c>
      <c r="GE778" s="2123">
        <v>178.56</v>
      </c>
      <c r="GF778" s="2123">
        <v>178.56</v>
      </c>
      <c r="GG778" s="2123">
        <v>178.56</v>
      </c>
      <c r="GH778" s="2123">
        <v>178.56</v>
      </c>
      <c r="GI778" s="2123">
        <v>199.87</v>
      </c>
      <c r="GJ778" s="2123">
        <v>199.87</v>
      </c>
      <c r="GK778" s="2123">
        <v>223.27</v>
      </c>
      <c r="GL778" s="2123">
        <v>223.27</v>
      </c>
      <c r="GM778" s="2123"/>
      <c r="GN778" s="2123"/>
      <c r="GO778" s="2123">
        <v>42.62</v>
      </c>
      <c r="GP778" s="2123">
        <v>42.62</v>
      </c>
      <c r="GQ778" s="2123">
        <v>37.56</v>
      </c>
      <c r="GR778" s="2123">
        <v>37.56</v>
      </c>
      <c r="GS778" s="2123">
        <v>37.56</v>
      </c>
      <c r="GT778" s="2123">
        <v>36.229999999999997</v>
      </c>
      <c r="GU778" s="2123">
        <v>36.229999999999997</v>
      </c>
      <c r="GV778" s="2123">
        <v>36.44</v>
      </c>
      <c r="GW778" s="2123">
        <v>212.97</v>
      </c>
      <c r="GX778" s="2123">
        <v>212.97</v>
      </c>
      <c r="GY778" s="2123"/>
      <c r="GZ778" s="2123"/>
      <c r="HA778" s="2123">
        <v>29.75</v>
      </c>
      <c r="HB778" s="2123">
        <v>29.75</v>
      </c>
      <c r="HC778" s="2123">
        <v>23.51</v>
      </c>
      <c r="HD778" s="2123">
        <v>23.51</v>
      </c>
      <c r="HE778" s="2123">
        <v>24.11</v>
      </c>
      <c r="HF778" s="2123">
        <v>24.11</v>
      </c>
      <c r="HG778" s="2123">
        <v>24.11</v>
      </c>
      <c r="HH778" s="2123">
        <v>24.11</v>
      </c>
      <c r="HI778" s="2123">
        <v>24.11</v>
      </c>
      <c r="HJ778" s="2123">
        <v>24.11</v>
      </c>
      <c r="HK778" s="2123">
        <v>24.24</v>
      </c>
      <c r="HL778" s="2123">
        <v>24.39</v>
      </c>
      <c r="HM778" s="2123">
        <v>41.65</v>
      </c>
      <c r="HN778" s="2123">
        <v>41.65</v>
      </c>
      <c r="HO778" s="2123">
        <v>33.200000000000003</v>
      </c>
      <c r="HP778" s="2123">
        <v>33.200000000000003</v>
      </c>
      <c r="HQ778" s="2123">
        <v>34.090000000000003</v>
      </c>
      <c r="HR778" s="2123">
        <v>34.090000000000003</v>
      </c>
      <c r="HS778" s="2123">
        <v>34.090000000000003</v>
      </c>
      <c r="HT778" s="2123">
        <v>34.090000000000003</v>
      </c>
      <c r="HU778" s="2123">
        <v>34.090000000000003</v>
      </c>
      <c r="HV778" s="2123">
        <v>34.090000000000003</v>
      </c>
      <c r="HW778" s="2123">
        <v>34.18</v>
      </c>
      <c r="HX778" s="2123">
        <v>34.18</v>
      </c>
    </row>
    <row r="779" spans="2:232" s="2040" customFormat="1" ht="14" hidden="1" x14ac:dyDescent="0.3">
      <c r="B779" s="2203">
        <v>85</v>
      </c>
      <c r="C779" s="2204">
        <v>47.13</v>
      </c>
      <c r="D779" s="2204">
        <v>47.13</v>
      </c>
      <c r="E779" s="2204">
        <v>47.21</v>
      </c>
      <c r="F779" s="2204">
        <v>47.21</v>
      </c>
      <c r="G779" s="2204">
        <v>183.96</v>
      </c>
      <c r="H779" s="2204">
        <v>183.96</v>
      </c>
      <c r="I779" s="2204">
        <v>174.89</v>
      </c>
      <c r="J779" s="2204">
        <v>174.89</v>
      </c>
      <c r="K779" s="2204">
        <v>178.92</v>
      </c>
      <c r="L779" s="2204">
        <v>178.92</v>
      </c>
      <c r="M779" s="2204"/>
      <c r="N779" s="2204"/>
      <c r="O779" s="2204">
        <v>147.68</v>
      </c>
      <c r="P779" s="2204">
        <v>147.68</v>
      </c>
      <c r="Q779" s="2204">
        <v>147.15</v>
      </c>
      <c r="R779" s="2204">
        <v>147.68</v>
      </c>
      <c r="S779" s="2204">
        <v>276.09999999999997</v>
      </c>
      <c r="T779" s="2204">
        <v>275.87</v>
      </c>
      <c r="U779" s="2204">
        <v>266.29000000000002</v>
      </c>
      <c r="V779" s="2204">
        <v>266.29000000000002</v>
      </c>
      <c r="W779" s="2204">
        <v>275.87</v>
      </c>
      <c r="X779" s="2204">
        <v>275.87</v>
      </c>
      <c r="Y779" s="2204">
        <v>266.29000000000002</v>
      </c>
      <c r="Z779" s="2204">
        <v>275.87</v>
      </c>
      <c r="AA779" s="2204">
        <v>275.87</v>
      </c>
      <c r="AB779" s="2204">
        <v>275.87</v>
      </c>
      <c r="AC779" s="2204">
        <v>266.29000000000002</v>
      </c>
      <c r="AD779" s="2204">
        <v>266.29000000000002</v>
      </c>
      <c r="AE779" s="2204">
        <v>287.81</v>
      </c>
      <c r="AF779" s="2204">
        <v>279.52</v>
      </c>
      <c r="AG779" s="2204">
        <v>287.81</v>
      </c>
      <c r="AH779" s="2204">
        <v>287.81</v>
      </c>
      <c r="AI779" s="2204">
        <v>279.52</v>
      </c>
      <c r="AJ779" s="2204">
        <v>279.52</v>
      </c>
      <c r="AK779" s="2204">
        <v>279.86</v>
      </c>
      <c r="AL779" s="2204">
        <v>279.86</v>
      </c>
      <c r="AM779" s="2204">
        <v>78.03</v>
      </c>
      <c r="AN779" s="2204">
        <v>75.2</v>
      </c>
      <c r="AO779" s="2204">
        <v>75.2</v>
      </c>
      <c r="AP779" s="2204">
        <v>75.11</v>
      </c>
      <c r="AQ779" s="2204">
        <v>75.37</v>
      </c>
      <c r="AR779" s="2204">
        <v>75.37</v>
      </c>
      <c r="AS779" s="2204">
        <v>227.1</v>
      </c>
      <c r="AT779" s="2204">
        <v>227.1</v>
      </c>
      <c r="AU779" s="2204">
        <v>227.1</v>
      </c>
      <c r="AV779" s="2204">
        <v>232.09</v>
      </c>
      <c r="AW779" s="2204">
        <v>227.29</v>
      </c>
      <c r="AX779" s="2204">
        <v>227.29</v>
      </c>
      <c r="AY779" s="2204">
        <v>227.41</v>
      </c>
      <c r="AZ779" s="2204">
        <v>227.41</v>
      </c>
      <c r="BA779" s="2123">
        <v>99.32</v>
      </c>
      <c r="BB779" s="2123">
        <v>99.32</v>
      </c>
      <c r="BC779" s="2123">
        <v>25.27</v>
      </c>
      <c r="BD779" s="2123">
        <v>25.42</v>
      </c>
      <c r="BE779" s="2123">
        <v>28.05</v>
      </c>
      <c r="BF779" s="2123">
        <v>28.05</v>
      </c>
      <c r="BG779" s="2123">
        <v>25.34</v>
      </c>
      <c r="BH779" s="2123">
        <v>25.34</v>
      </c>
      <c r="BI779" s="2123">
        <v>25.13</v>
      </c>
      <c r="BJ779" s="2123">
        <v>25.13</v>
      </c>
      <c r="BK779" s="2123">
        <v>25.13</v>
      </c>
      <c r="BL779" s="2123">
        <v>25.13</v>
      </c>
      <c r="BM779" s="2123">
        <v>57.03</v>
      </c>
      <c r="BN779" s="2123">
        <v>57.03</v>
      </c>
      <c r="BO779" s="2123">
        <v>179.61</v>
      </c>
      <c r="BP779" s="2123">
        <v>179.61</v>
      </c>
      <c r="BQ779" s="2123">
        <v>179.61</v>
      </c>
      <c r="BR779" s="2123">
        <v>179.61</v>
      </c>
      <c r="BS779" s="2123">
        <v>233.36</v>
      </c>
      <c r="BT779" s="2123">
        <v>233.36</v>
      </c>
      <c r="BU779" s="2123">
        <v>233.36</v>
      </c>
      <c r="BV779" s="2123">
        <v>233.36</v>
      </c>
      <c r="BW779" s="2123">
        <v>233.36</v>
      </c>
      <c r="BX779" s="2123">
        <v>233.36</v>
      </c>
      <c r="BY779" s="2123">
        <v>51.79</v>
      </c>
      <c r="BZ779" s="2123">
        <v>51.79</v>
      </c>
      <c r="CA779" s="2123">
        <v>172.07</v>
      </c>
      <c r="CB779" s="2123">
        <v>172.07</v>
      </c>
      <c r="CC779" s="2123">
        <v>174.69</v>
      </c>
      <c r="CD779" s="2123">
        <v>174.69</v>
      </c>
      <c r="CE779" s="2123">
        <v>230.23</v>
      </c>
      <c r="CF779" s="2123">
        <v>230.23</v>
      </c>
      <c r="CG779" s="2123"/>
      <c r="CH779" s="2123"/>
      <c r="CI779" s="2123"/>
      <c r="CJ779" s="2123"/>
      <c r="CK779" s="2123">
        <v>128.55000000000001</v>
      </c>
      <c r="CL779" s="2123">
        <v>128.55000000000001</v>
      </c>
      <c r="CM779" s="2123">
        <v>259.11</v>
      </c>
      <c r="CN779" s="2123">
        <v>259.11</v>
      </c>
      <c r="CO779" s="2123">
        <v>335.3</v>
      </c>
      <c r="CP779" s="2123">
        <v>335.3</v>
      </c>
      <c r="CQ779" s="2123">
        <v>335.3</v>
      </c>
      <c r="CR779" s="2123">
        <v>335.3</v>
      </c>
      <c r="CS779" s="2123"/>
      <c r="CT779" s="2123"/>
      <c r="CU779" s="2123"/>
      <c r="CV779" s="2123"/>
      <c r="CW779" s="2123">
        <v>120.35</v>
      </c>
      <c r="CX779" s="2123">
        <v>120.35</v>
      </c>
      <c r="CY779" s="2123">
        <v>250.76</v>
      </c>
      <c r="CZ779" s="2123">
        <v>250.76</v>
      </c>
      <c r="DA779" s="2123">
        <v>250.76</v>
      </c>
      <c r="DB779" s="2123">
        <v>250.76</v>
      </c>
      <c r="DC779" s="2123">
        <v>324.8</v>
      </c>
      <c r="DD779" s="2123">
        <v>324.8</v>
      </c>
      <c r="DE779" s="2123">
        <v>324.8</v>
      </c>
      <c r="DF779" s="2123">
        <v>324.8</v>
      </c>
      <c r="DG779" s="2123"/>
      <c r="DH779" s="2123"/>
      <c r="DI779" s="2123">
        <v>31.77</v>
      </c>
      <c r="DJ779" s="2123">
        <v>31.77</v>
      </c>
      <c r="DK779" s="2123">
        <v>31.77</v>
      </c>
      <c r="DL779" s="2123">
        <v>31.77</v>
      </c>
      <c r="DM779" s="2123">
        <v>31.77</v>
      </c>
      <c r="DN779" s="2123">
        <v>31.77</v>
      </c>
      <c r="DO779" s="2123"/>
      <c r="DP779" s="2123"/>
      <c r="DQ779" s="2123"/>
      <c r="DR779" s="2123"/>
      <c r="DS779" s="2123"/>
      <c r="DT779" s="2123"/>
      <c r="DU779" s="2123">
        <v>14.15</v>
      </c>
      <c r="DV779" s="2123">
        <v>14.15</v>
      </c>
      <c r="DW779" s="2123">
        <v>13.66</v>
      </c>
      <c r="DX779" s="2123">
        <v>13.66</v>
      </c>
      <c r="DY779" s="2123">
        <v>13.66</v>
      </c>
      <c r="DZ779" s="2123">
        <v>13.66</v>
      </c>
      <c r="EA779" s="2123"/>
      <c r="EB779" s="2123"/>
      <c r="EC779" s="2123"/>
      <c r="ED779" s="2123"/>
      <c r="EE779" s="2123"/>
      <c r="EF779" s="2123"/>
      <c r="EG779" s="2123">
        <v>15.16</v>
      </c>
      <c r="EH779" s="2123">
        <v>15.33</v>
      </c>
      <c r="EI779" s="2123">
        <v>12.53</v>
      </c>
      <c r="EJ779" s="2123">
        <v>12.53</v>
      </c>
      <c r="EK779" s="2123">
        <v>12.53</v>
      </c>
      <c r="EL779" s="2123">
        <v>12.53</v>
      </c>
      <c r="EM779" s="2123">
        <v>13.09</v>
      </c>
      <c r="EN779" s="2123">
        <v>13.09</v>
      </c>
      <c r="EO779" s="2123">
        <v>12.45</v>
      </c>
      <c r="EP779" s="2123">
        <v>12.45</v>
      </c>
      <c r="EQ779" s="2123">
        <v>12.81</v>
      </c>
      <c r="ER779" s="2123">
        <v>12.64</v>
      </c>
      <c r="ES779" s="2123">
        <v>58.14</v>
      </c>
      <c r="ET779" s="2123">
        <v>58.14</v>
      </c>
      <c r="EU779" s="2123">
        <v>255.93</v>
      </c>
      <c r="EV779" s="2123">
        <v>255.93</v>
      </c>
      <c r="EW779" s="2123">
        <v>250.5</v>
      </c>
      <c r="EX779" s="2123">
        <v>250.5</v>
      </c>
      <c r="EY779" s="2129">
        <f t="shared" si="56"/>
        <v>253.215</v>
      </c>
      <c r="EZ779" s="2129">
        <f t="shared" si="56"/>
        <v>253.215</v>
      </c>
      <c r="FA779" s="2123">
        <v>253.47</v>
      </c>
      <c r="FB779" s="2123">
        <v>253.47</v>
      </c>
      <c r="FC779" s="2123"/>
      <c r="FD779" s="2123"/>
      <c r="FE779" s="2123">
        <v>50.01</v>
      </c>
      <c r="FF779" s="2123">
        <v>50.01</v>
      </c>
      <c r="FG779" s="2123">
        <v>215.78</v>
      </c>
      <c r="FH779" s="2123">
        <v>215.78</v>
      </c>
      <c r="FI779" s="2123">
        <v>215.78</v>
      </c>
      <c r="FJ779" s="2123">
        <v>216.97</v>
      </c>
      <c r="FK779" s="2123">
        <v>215.41</v>
      </c>
      <c r="FL779" s="2123">
        <v>215.41</v>
      </c>
      <c r="FM779" s="2123">
        <v>215.97</v>
      </c>
      <c r="FN779" s="2123">
        <v>215.97</v>
      </c>
      <c r="FO779" s="2123"/>
      <c r="FP779" s="2123"/>
      <c r="FQ779" s="2123">
        <v>112.98</v>
      </c>
      <c r="FR779" s="2123">
        <v>112.98</v>
      </c>
      <c r="FS779" s="2123">
        <v>227.72</v>
      </c>
      <c r="FT779" s="2123">
        <v>227.72</v>
      </c>
      <c r="FU779" s="2123">
        <v>227.72</v>
      </c>
      <c r="FV779" s="2123">
        <v>227.72</v>
      </c>
      <c r="FW779" s="2123">
        <v>228.03</v>
      </c>
      <c r="FX779" s="2123">
        <v>228.03</v>
      </c>
      <c r="FY779" s="2123"/>
      <c r="FZ779" s="2123"/>
      <c r="GA779" s="2123"/>
      <c r="GB779" s="2123"/>
      <c r="GC779" s="2123">
        <v>79.8</v>
      </c>
      <c r="GD779" s="2123">
        <v>79.8</v>
      </c>
      <c r="GE779" s="2123">
        <v>179</v>
      </c>
      <c r="GF779" s="2123">
        <v>179</v>
      </c>
      <c r="GG779" s="2123">
        <v>179</v>
      </c>
      <c r="GH779" s="2123">
        <v>179</v>
      </c>
      <c r="GI779" s="2123">
        <v>200.85</v>
      </c>
      <c r="GJ779" s="2123">
        <v>200.85</v>
      </c>
      <c r="GK779" s="2123">
        <v>224.06</v>
      </c>
      <c r="GL779" s="2123">
        <v>224.06</v>
      </c>
      <c r="GM779" s="2123"/>
      <c r="GN779" s="2123"/>
      <c r="GO779" s="2123">
        <v>42.73</v>
      </c>
      <c r="GP779" s="2123">
        <v>42.73</v>
      </c>
      <c r="GQ779" s="2123">
        <v>37.71</v>
      </c>
      <c r="GR779" s="2123">
        <v>37.71</v>
      </c>
      <c r="GS779" s="2123">
        <v>37.71</v>
      </c>
      <c r="GT779" s="2123">
        <v>36.369999999999997</v>
      </c>
      <c r="GU779" s="2123">
        <v>36.369999999999997</v>
      </c>
      <c r="GV779" s="2123">
        <v>36.58</v>
      </c>
      <c r="GW779" s="2123">
        <v>213.75</v>
      </c>
      <c r="GX779" s="2123">
        <v>213.75</v>
      </c>
      <c r="GY779" s="2123"/>
      <c r="GZ779" s="2123"/>
      <c r="HA779" s="2123">
        <v>29.79</v>
      </c>
      <c r="HB779" s="2123">
        <v>29.79</v>
      </c>
      <c r="HC779" s="2123">
        <v>23.58</v>
      </c>
      <c r="HD779" s="2123">
        <v>23.58</v>
      </c>
      <c r="HE779" s="2123">
        <v>24.19</v>
      </c>
      <c r="HF779" s="2123">
        <v>24.19</v>
      </c>
      <c r="HG779" s="2123">
        <v>24.19</v>
      </c>
      <c r="HH779" s="2123">
        <v>24.19</v>
      </c>
      <c r="HI779" s="2123">
        <v>24.19</v>
      </c>
      <c r="HJ779" s="2123">
        <v>24.19</v>
      </c>
      <c r="HK779" s="2123">
        <v>24.3</v>
      </c>
      <c r="HL779" s="2123">
        <v>24.45</v>
      </c>
      <c r="HM779" s="2123">
        <v>41.73</v>
      </c>
      <c r="HN779" s="2123">
        <v>41.73</v>
      </c>
      <c r="HO779" s="2123">
        <v>33.32</v>
      </c>
      <c r="HP779" s="2123">
        <v>33.32</v>
      </c>
      <c r="HQ779" s="2123">
        <v>34.229999999999997</v>
      </c>
      <c r="HR779" s="2123">
        <v>34.229999999999997</v>
      </c>
      <c r="HS779" s="2123">
        <v>34.229999999999997</v>
      </c>
      <c r="HT779" s="2123">
        <v>34.229999999999997</v>
      </c>
      <c r="HU779" s="2123">
        <v>34.229999999999997</v>
      </c>
      <c r="HV779" s="2123">
        <v>34.229999999999997</v>
      </c>
      <c r="HW779" s="2123">
        <v>34.299999999999997</v>
      </c>
      <c r="HX779" s="2123">
        <v>34.299999999999997</v>
      </c>
    </row>
    <row r="780" spans="2:232" s="2040" customFormat="1" ht="14" hidden="1" x14ac:dyDescent="0.3">
      <c r="B780" s="2203">
        <v>86</v>
      </c>
      <c r="C780" s="2204">
        <v>47.26</v>
      </c>
      <c r="D780" s="2204">
        <v>47.26</v>
      </c>
      <c r="E780" s="2204">
        <v>47.34</v>
      </c>
      <c r="F780" s="2204">
        <v>47.34</v>
      </c>
      <c r="G780" s="2204">
        <v>184.54</v>
      </c>
      <c r="H780" s="2204">
        <v>184.54</v>
      </c>
      <c r="I780" s="2204">
        <v>175.53</v>
      </c>
      <c r="J780" s="2204">
        <v>175.53</v>
      </c>
      <c r="K780" s="2204">
        <v>179.48</v>
      </c>
      <c r="L780" s="2204">
        <v>179.48</v>
      </c>
      <c r="M780" s="2204"/>
      <c r="N780" s="2204"/>
      <c r="O780" s="2204">
        <v>148.05000000000001</v>
      </c>
      <c r="P780" s="2204">
        <v>148.05000000000001</v>
      </c>
      <c r="Q780" s="2204">
        <v>147.52000000000001</v>
      </c>
      <c r="R780" s="2204">
        <v>148.06</v>
      </c>
      <c r="S780" s="2204">
        <v>277.09999999999997</v>
      </c>
      <c r="T780" s="2204">
        <v>276.88</v>
      </c>
      <c r="U780" s="2204">
        <v>267.27</v>
      </c>
      <c r="V780" s="2204">
        <v>267.27</v>
      </c>
      <c r="W780" s="2204">
        <v>276.88</v>
      </c>
      <c r="X780" s="2204">
        <v>276.88</v>
      </c>
      <c r="Y780" s="2204">
        <v>267.27</v>
      </c>
      <c r="Z780" s="2204">
        <v>276.88</v>
      </c>
      <c r="AA780" s="2204">
        <v>276.88</v>
      </c>
      <c r="AB780" s="2204">
        <v>276.88</v>
      </c>
      <c r="AC780" s="2204">
        <v>267.27</v>
      </c>
      <c r="AD780" s="2204">
        <v>267.27</v>
      </c>
      <c r="AE780" s="2204">
        <v>288.70999999999998</v>
      </c>
      <c r="AF780" s="2204">
        <v>280.39999999999998</v>
      </c>
      <c r="AG780" s="2204">
        <v>288.70999999999998</v>
      </c>
      <c r="AH780" s="2204">
        <v>288.70999999999998</v>
      </c>
      <c r="AI780" s="2204">
        <v>280.39999999999998</v>
      </c>
      <c r="AJ780" s="2204">
        <v>280.39999999999998</v>
      </c>
      <c r="AK780" s="2204">
        <v>280.74</v>
      </c>
      <c r="AL780" s="2204">
        <v>280.74</v>
      </c>
      <c r="AM780" s="2204">
        <v>78.23</v>
      </c>
      <c r="AN780" s="2204">
        <v>75.39</v>
      </c>
      <c r="AO780" s="2204">
        <v>75.39</v>
      </c>
      <c r="AP780" s="2204">
        <v>75.31</v>
      </c>
      <c r="AQ780" s="2204">
        <v>75.56</v>
      </c>
      <c r="AR780" s="2204">
        <v>75.56</v>
      </c>
      <c r="AS780" s="2204">
        <v>227.89</v>
      </c>
      <c r="AT780" s="2204">
        <v>227.89</v>
      </c>
      <c r="AU780" s="2204">
        <v>227.89</v>
      </c>
      <c r="AV780" s="2204">
        <v>232.89</v>
      </c>
      <c r="AW780" s="2204">
        <v>228.07</v>
      </c>
      <c r="AX780" s="2204">
        <v>228.07</v>
      </c>
      <c r="AY780" s="2204">
        <v>228.19</v>
      </c>
      <c r="AZ780" s="2204">
        <v>228.19</v>
      </c>
      <c r="BA780" s="2123">
        <v>99.6</v>
      </c>
      <c r="BB780" s="2123">
        <v>99.6</v>
      </c>
      <c r="BC780" s="2123">
        <v>25.37</v>
      </c>
      <c r="BD780" s="2123">
        <v>25.52</v>
      </c>
      <c r="BE780" s="2123">
        <v>28.11</v>
      </c>
      <c r="BF780" s="2123">
        <v>28.11</v>
      </c>
      <c r="BG780" s="2123">
        <v>25.42</v>
      </c>
      <c r="BH780" s="2123">
        <v>25.42</v>
      </c>
      <c r="BI780" s="2123">
        <v>25.21</v>
      </c>
      <c r="BJ780" s="2123">
        <v>25.21</v>
      </c>
      <c r="BK780" s="2123">
        <v>25.21</v>
      </c>
      <c r="BL780" s="2123">
        <v>25.21</v>
      </c>
      <c r="BM780" s="2123">
        <v>57.17</v>
      </c>
      <c r="BN780" s="2123">
        <v>57.17</v>
      </c>
      <c r="BO780" s="2123">
        <v>180.1</v>
      </c>
      <c r="BP780" s="2123">
        <v>180.1</v>
      </c>
      <c r="BQ780" s="2123">
        <v>180.1</v>
      </c>
      <c r="BR780" s="2123">
        <v>180.1</v>
      </c>
      <c r="BS780" s="2123">
        <v>234.12</v>
      </c>
      <c r="BT780" s="2123">
        <v>234.12</v>
      </c>
      <c r="BU780" s="2123">
        <v>234.12</v>
      </c>
      <c r="BV780" s="2123">
        <v>234.12</v>
      </c>
      <c r="BW780" s="2123">
        <v>234.12</v>
      </c>
      <c r="BX780" s="2123">
        <v>234.12</v>
      </c>
      <c r="BY780" s="2123">
        <v>51.89</v>
      </c>
      <c r="BZ780" s="2123">
        <v>51.89</v>
      </c>
      <c r="CA780" s="2123">
        <v>172.48</v>
      </c>
      <c r="CB780" s="2123">
        <v>172.48</v>
      </c>
      <c r="CC780" s="2123">
        <v>175.11</v>
      </c>
      <c r="CD780" s="2123">
        <v>175.11</v>
      </c>
      <c r="CE780" s="2123">
        <v>230.88</v>
      </c>
      <c r="CF780" s="2123">
        <v>230.88</v>
      </c>
      <c r="CG780" s="2123"/>
      <c r="CH780" s="2123"/>
      <c r="CI780" s="2123"/>
      <c r="CJ780" s="2123"/>
      <c r="CK780" s="2123">
        <v>128.86000000000001</v>
      </c>
      <c r="CL780" s="2123">
        <v>128.86000000000001</v>
      </c>
      <c r="CM780" s="2123">
        <v>259.58</v>
      </c>
      <c r="CN780" s="2123">
        <v>259.58</v>
      </c>
      <c r="CO780" s="2123">
        <v>336.09</v>
      </c>
      <c r="CP780" s="2123">
        <v>336.09</v>
      </c>
      <c r="CQ780" s="2123">
        <v>336.09</v>
      </c>
      <c r="CR780" s="2123">
        <v>336.09</v>
      </c>
      <c r="CS780" s="2123"/>
      <c r="CT780" s="2123"/>
      <c r="CU780" s="2123"/>
      <c r="CV780" s="2123"/>
      <c r="CW780" s="2123">
        <v>120.64</v>
      </c>
      <c r="CX780" s="2123">
        <v>120.64</v>
      </c>
      <c r="CY780" s="2123">
        <v>251.29</v>
      </c>
      <c r="CZ780" s="2123">
        <v>251.29</v>
      </c>
      <c r="DA780" s="2123">
        <v>251.29</v>
      </c>
      <c r="DB780" s="2123">
        <v>251.29</v>
      </c>
      <c r="DC780" s="2123">
        <v>325.64</v>
      </c>
      <c r="DD780" s="2123">
        <v>325.64</v>
      </c>
      <c r="DE780" s="2123">
        <v>325.64</v>
      </c>
      <c r="DF780" s="2123">
        <v>325.64</v>
      </c>
      <c r="DG780" s="2123"/>
      <c r="DH780" s="2123"/>
      <c r="DI780" s="2123">
        <v>31.86</v>
      </c>
      <c r="DJ780" s="2123">
        <v>31.86</v>
      </c>
      <c r="DK780" s="2123">
        <v>31.86</v>
      </c>
      <c r="DL780" s="2123">
        <v>31.86</v>
      </c>
      <c r="DM780" s="2123">
        <v>31.86</v>
      </c>
      <c r="DN780" s="2123">
        <v>31.86</v>
      </c>
      <c r="DO780" s="2123"/>
      <c r="DP780" s="2123"/>
      <c r="DQ780" s="2123"/>
      <c r="DR780" s="2123"/>
      <c r="DS780" s="2123"/>
      <c r="DT780" s="2123"/>
      <c r="DU780" s="2123">
        <v>14.19</v>
      </c>
      <c r="DV780" s="2123">
        <v>14.19</v>
      </c>
      <c r="DW780" s="2123">
        <v>13.71</v>
      </c>
      <c r="DX780" s="2123">
        <v>13.71</v>
      </c>
      <c r="DY780" s="2123">
        <v>13.71</v>
      </c>
      <c r="DZ780" s="2123">
        <v>13.71</v>
      </c>
      <c r="EA780" s="2123"/>
      <c r="EB780" s="2123"/>
      <c r="EC780" s="2123"/>
      <c r="ED780" s="2123"/>
      <c r="EE780" s="2123"/>
      <c r="EF780" s="2123"/>
      <c r="EG780" s="2123">
        <v>15.2</v>
      </c>
      <c r="EH780" s="2123">
        <v>15.37</v>
      </c>
      <c r="EI780" s="2123">
        <v>12.58</v>
      </c>
      <c r="EJ780" s="2123">
        <v>12.58</v>
      </c>
      <c r="EK780" s="2123">
        <v>12.58</v>
      </c>
      <c r="EL780" s="2123">
        <v>12.58</v>
      </c>
      <c r="EM780" s="2123">
        <v>13.13</v>
      </c>
      <c r="EN780" s="2123">
        <v>13.13</v>
      </c>
      <c r="EO780" s="2123">
        <v>12.5</v>
      </c>
      <c r="EP780" s="2123">
        <v>12.5</v>
      </c>
      <c r="EQ780" s="2123">
        <v>12.86</v>
      </c>
      <c r="ER780" s="2123">
        <v>12.69</v>
      </c>
      <c r="ES780" s="2123">
        <v>58.29</v>
      </c>
      <c r="ET780" s="2123">
        <v>58.29</v>
      </c>
      <c r="EU780" s="2123">
        <v>256.86</v>
      </c>
      <c r="EV780" s="2123">
        <v>256.86</v>
      </c>
      <c r="EW780" s="2123">
        <v>251.42</v>
      </c>
      <c r="EX780" s="2123">
        <v>251.42</v>
      </c>
      <c r="EY780" s="2129">
        <f t="shared" si="56"/>
        <v>254.14</v>
      </c>
      <c r="EZ780" s="2129">
        <f t="shared" si="56"/>
        <v>254.14</v>
      </c>
      <c r="FA780" s="2123">
        <v>254.36</v>
      </c>
      <c r="FB780" s="2123">
        <v>254.36</v>
      </c>
      <c r="FC780" s="2123"/>
      <c r="FD780" s="2123"/>
      <c r="FE780" s="2123">
        <v>50.14</v>
      </c>
      <c r="FF780" s="2123">
        <v>50.14</v>
      </c>
      <c r="FG780" s="2123">
        <v>216.58</v>
      </c>
      <c r="FH780" s="2123">
        <v>216.58</v>
      </c>
      <c r="FI780" s="2123">
        <v>216.58</v>
      </c>
      <c r="FJ780" s="2123">
        <v>217.74</v>
      </c>
      <c r="FK780" s="2123">
        <v>216.22</v>
      </c>
      <c r="FL780" s="2123">
        <v>216.22</v>
      </c>
      <c r="FM780" s="2123">
        <v>216.76</v>
      </c>
      <c r="FN780" s="2123">
        <v>216.76</v>
      </c>
      <c r="FO780" s="2123"/>
      <c r="FP780" s="2123"/>
      <c r="FQ780" s="2123">
        <v>113.28</v>
      </c>
      <c r="FR780" s="2123">
        <v>113.28</v>
      </c>
      <c r="FS780" s="2123">
        <v>228.4</v>
      </c>
      <c r="FT780" s="2123">
        <v>228.4</v>
      </c>
      <c r="FU780" s="2123">
        <v>228.4</v>
      </c>
      <c r="FV780" s="2123">
        <v>228.4</v>
      </c>
      <c r="FW780" s="2123">
        <v>228.71</v>
      </c>
      <c r="FX780" s="2123">
        <v>228.71</v>
      </c>
      <c r="FY780" s="2123"/>
      <c r="FZ780" s="2123"/>
      <c r="GA780" s="2123"/>
      <c r="GB780" s="2123"/>
      <c r="GC780" s="2123">
        <v>80</v>
      </c>
      <c r="GD780" s="2123">
        <v>80</v>
      </c>
      <c r="GE780" s="2123">
        <v>179.42</v>
      </c>
      <c r="GF780" s="2123">
        <v>179.42</v>
      </c>
      <c r="GG780" s="2123">
        <v>179.42</v>
      </c>
      <c r="GH780" s="2123">
        <v>179.42</v>
      </c>
      <c r="GI780" s="2123">
        <v>201.8</v>
      </c>
      <c r="GJ780" s="2123">
        <v>201.8</v>
      </c>
      <c r="GK780" s="2123">
        <v>224.83</v>
      </c>
      <c r="GL780" s="2123">
        <v>224.83</v>
      </c>
      <c r="GM780" s="2123"/>
      <c r="GN780" s="2123"/>
      <c r="GO780" s="2123">
        <v>42.84</v>
      </c>
      <c r="GP780" s="2123">
        <v>42.84</v>
      </c>
      <c r="GQ780" s="2123">
        <v>37.85</v>
      </c>
      <c r="GR780" s="2123">
        <v>37.85</v>
      </c>
      <c r="GS780" s="2123">
        <v>37.85</v>
      </c>
      <c r="GT780" s="2123">
        <v>36.51</v>
      </c>
      <c r="GU780" s="2123">
        <v>36.51</v>
      </c>
      <c r="GV780" s="2123">
        <v>36.72</v>
      </c>
      <c r="GW780" s="2123">
        <v>214.56</v>
      </c>
      <c r="GX780" s="2123">
        <v>214.56</v>
      </c>
      <c r="GY780" s="2123"/>
      <c r="GZ780" s="2123"/>
      <c r="HA780" s="2123">
        <v>29.85</v>
      </c>
      <c r="HB780" s="2123">
        <v>29.85</v>
      </c>
      <c r="HC780" s="2123">
        <v>23.67</v>
      </c>
      <c r="HD780" s="2123">
        <v>23.67</v>
      </c>
      <c r="HE780" s="2123">
        <v>24.29</v>
      </c>
      <c r="HF780" s="2123">
        <v>24.29</v>
      </c>
      <c r="HG780" s="2123">
        <v>24.29</v>
      </c>
      <c r="HH780" s="2123">
        <v>24.29</v>
      </c>
      <c r="HI780" s="2123">
        <v>24.29</v>
      </c>
      <c r="HJ780" s="2123">
        <v>24.29</v>
      </c>
      <c r="HK780" s="2123">
        <v>24.38</v>
      </c>
      <c r="HL780" s="2123">
        <v>24.53</v>
      </c>
      <c r="HM780" s="2123">
        <v>41.84</v>
      </c>
      <c r="HN780" s="2123">
        <v>41.84</v>
      </c>
      <c r="HO780" s="2123">
        <v>33.47</v>
      </c>
      <c r="HP780" s="2123">
        <v>33.47</v>
      </c>
      <c r="HQ780" s="2123">
        <v>34.369999999999997</v>
      </c>
      <c r="HR780" s="2123">
        <v>34.369999999999997</v>
      </c>
      <c r="HS780" s="2123">
        <v>34.369999999999997</v>
      </c>
      <c r="HT780" s="2123">
        <v>34.369999999999997</v>
      </c>
      <c r="HU780" s="2123">
        <v>34.369999999999997</v>
      </c>
      <c r="HV780" s="2123">
        <v>34.369999999999997</v>
      </c>
      <c r="HW780" s="2123">
        <v>34.44</v>
      </c>
      <c r="HX780" s="2123">
        <v>34.44</v>
      </c>
    </row>
    <row r="781" spans="2:232" s="2040" customFormat="1" ht="14" hidden="1" x14ac:dyDescent="0.3">
      <c r="B781" s="2203">
        <v>87</v>
      </c>
      <c r="C781" s="2204">
        <v>47.38</v>
      </c>
      <c r="D781" s="2204">
        <v>47.38</v>
      </c>
      <c r="E781" s="2204">
        <v>47.45</v>
      </c>
      <c r="F781" s="2204">
        <v>47.45</v>
      </c>
      <c r="G781" s="2204">
        <v>185.11</v>
      </c>
      <c r="H781" s="2204">
        <v>185.11</v>
      </c>
      <c r="I781" s="2204">
        <v>176.12</v>
      </c>
      <c r="J781" s="2204">
        <v>176.12</v>
      </c>
      <c r="K781" s="2204">
        <v>180</v>
      </c>
      <c r="L781" s="2204">
        <v>180</v>
      </c>
      <c r="M781" s="2204"/>
      <c r="N781" s="2204"/>
      <c r="O781" s="2204">
        <v>148.41999999999999</v>
      </c>
      <c r="P781" s="2204">
        <v>148.41999999999999</v>
      </c>
      <c r="Q781" s="2204">
        <v>147.88</v>
      </c>
      <c r="R781" s="2204">
        <v>148.43</v>
      </c>
      <c r="S781" s="2204">
        <v>278.08999999999997</v>
      </c>
      <c r="T781" s="2204">
        <v>277.88</v>
      </c>
      <c r="U781" s="2204">
        <v>268.23</v>
      </c>
      <c r="V781" s="2204">
        <v>268.23</v>
      </c>
      <c r="W781" s="2204">
        <v>277.88</v>
      </c>
      <c r="X781" s="2204">
        <v>277.88</v>
      </c>
      <c r="Y781" s="2204">
        <v>268.23</v>
      </c>
      <c r="Z781" s="2204">
        <v>277.88</v>
      </c>
      <c r="AA781" s="2204">
        <v>277.88</v>
      </c>
      <c r="AB781" s="2204">
        <v>277.88</v>
      </c>
      <c r="AC781" s="2204">
        <v>268.23</v>
      </c>
      <c r="AD781" s="2204">
        <v>268.23</v>
      </c>
      <c r="AE781" s="2204">
        <v>289.61</v>
      </c>
      <c r="AF781" s="2204">
        <v>281.26</v>
      </c>
      <c r="AG781" s="2204">
        <v>289.61</v>
      </c>
      <c r="AH781" s="2204">
        <v>289.61</v>
      </c>
      <c r="AI781" s="2204">
        <v>281.26</v>
      </c>
      <c r="AJ781" s="2204">
        <v>281.26</v>
      </c>
      <c r="AK781" s="2204">
        <v>281.58999999999997</v>
      </c>
      <c r="AL781" s="2204">
        <v>281.58999999999997</v>
      </c>
      <c r="AM781" s="2204">
        <v>78.430000000000007</v>
      </c>
      <c r="AN781" s="2204">
        <v>75.58</v>
      </c>
      <c r="AO781" s="2204">
        <v>75.58</v>
      </c>
      <c r="AP781" s="2204">
        <v>75.5</v>
      </c>
      <c r="AQ781" s="2204">
        <v>75.75</v>
      </c>
      <c r="AR781" s="2204">
        <v>75.75</v>
      </c>
      <c r="AS781" s="2204">
        <v>228.62</v>
      </c>
      <c r="AT781" s="2204">
        <v>228.62</v>
      </c>
      <c r="AU781" s="2204">
        <v>228.62</v>
      </c>
      <c r="AV781" s="2204">
        <v>233.62</v>
      </c>
      <c r="AW781" s="2204">
        <v>228.8</v>
      </c>
      <c r="AX781" s="2204">
        <v>228.8</v>
      </c>
      <c r="AY781" s="2204">
        <v>228.91</v>
      </c>
      <c r="AZ781" s="2204">
        <v>228.91</v>
      </c>
      <c r="BA781" s="2123">
        <v>99.93</v>
      </c>
      <c r="BB781" s="2123">
        <v>99.93</v>
      </c>
      <c r="BC781" s="2123">
        <v>25.47</v>
      </c>
      <c r="BD781" s="2123">
        <v>25.62</v>
      </c>
      <c r="BE781" s="2123">
        <v>28.19</v>
      </c>
      <c r="BF781" s="2123">
        <v>28.19</v>
      </c>
      <c r="BG781" s="2123">
        <v>25.52</v>
      </c>
      <c r="BH781" s="2123">
        <v>25.52</v>
      </c>
      <c r="BI781" s="2123">
        <v>25.31</v>
      </c>
      <c r="BJ781" s="2123">
        <v>25.31</v>
      </c>
      <c r="BK781" s="2123">
        <v>25.31</v>
      </c>
      <c r="BL781" s="2123">
        <v>25.31</v>
      </c>
      <c r="BM781" s="2123">
        <v>57.31</v>
      </c>
      <c r="BN781" s="2123">
        <v>57.31</v>
      </c>
      <c r="BO781" s="2123">
        <v>180.63</v>
      </c>
      <c r="BP781" s="2123">
        <v>180.63</v>
      </c>
      <c r="BQ781" s="2123">
        <v>180.63</v>
      </c>
      <c r="BR781" s="2123">
        <v>180.63</v>
      </c>
      <c r="BS781" s="2123">
        <v>234.94</v>
      </c>
      <c r="BT781" s="2123">
        <v>234.94</v>
      </c>
      <c r="BU781" s="2123">
        <v>234.94</v>
      </c>
      <c r="BV781" s="2123">
        <v>234.94</v>
      </c>
      <c r="BW781" s="2123">
        <v>234.94</v>
      </c>
      <c r="BX781" s="2123">
        <v>234.94</v>
      </c>
      <c r="BY781" s="2123">
        <v>52.02</v>
      </c>
      <c r="BZ781" s="2123">
        <v>52.02</v>
      </c>
      <c r="CA781" s="2123">
        <v>172.99</v>
      </c>
      <c r="CB781" s="2123">
        <v>172.99</v>
      </c>
      <c r="CC781" s="2123">
        <v>175.63</v>
      </c>
      <c r="CD781" s="2123">
        <v>175.63</v>
      </c>
      <c r="CE781" s="2123">
        <v>231.69</v>
      </c>
      <c r="CF781" s="2123">
        <v>231.69</v>
      </c>
      <c r="CG781" s="2123"/>
      <c r="CH781" s="2123"/>
      <c r="CI781" s="2123"/>
      <c r="CJ781" s="2123"/>
      <c r="CK781" s="2123">
        <v>129.16999999999999</v>
      </c>
      <c r="CL781" s="2123">
        <v>129.16999999999999</v>
      </c>
      <c r="CM781" s="2123">
        <v>260.12</v>
      </c>
      <c r="CN781" s="2123">
        <v>260.12</v>
      </c>
      <c r="CO781" s="2123">
        <v>336.98</v>
      </c>
      <c r="CP781" s="2123">
        <v>336.98</v>
      </c>
      <c r="CQ781" s="2123">
        <v>336.98</v>
      </c>
      <c r="CR781" s="2123">
        <v>336.98</v>
      </c>
      <c r="CS781" s="2123"/>
      <c r="CT781" s="2123"/>
      <c r="CU781" s="2123"/>
      <c r="CV781" s="2123"/>
      <c r="CW781" s="2123">
        <v>120.95</v>
      </c>
      <c r="CX781" s="2123">
        <v>120.95</v>
      </c>
      <c r="CY781" s="2123">
        <v>251.83</v>
      </c>
      <c r="CZ781" s="2123">
        <v>251.83</v>
      </c>
      <c r="DA781" s="2123">
        <v>251.83</v>
      </c>
      <c r="DB781" s="2123">
        <v>251.83</v>
      </c>
      <c r="DC781" s="2123">
        <v>326.54000000000002</v>
      </c>
      <c r="DD781" s="2123">
        <v>326.54000000000002</v>
      </c>
      <c r="DE781" s="2123">
        <v>326.54000000000002</v>
      </c>
      <c r="DF781" s="2123">
        <v>326.54000000000002</v>
      </c>
      <c r="DG781" s="2123"/>
      <c r="DH781" s="2123"/>
      <c r="DI781" s="2123">
        <v>31.94</v>
      </c>
      <c r="DJ781" s="2123">
        <v>31.94</v>
      </c>
      <c r="DK781" s="2123">
        <v>31.94</v>
      </c>
      <c r="DL781" s="2123">
        <v>31.94</v>
      </c>
      <c r="DM781" s="2123">
        <v>31.94</v>
      </c>
      <c r="DN781" s="2123">
        <v>31.94</v>
      </c>
      <c r="DO781" s="2123"/>
      <c r="DP781" s="2123"/>
      <c r="DQ781" s="2123"/>
      <c r="DR781" s="2123"/>
      <c r="DS781" s="2123"/>
      <c r="DT781" s="2123"/>
      <c r="DU781" s="2123">
        <v>14.22</v>
      </c>
      <c r="DV781" s="2123">
        <v>14.22</v>
      </c>
      <c r="DW781" s="2123">
        <v>13.75</v>
      </c>
      <c r="DX781" s="2123">
        <v>13.75</v>
      </c>
      <c r="DY781" s="2123">
        <v>13.75</v>
      </c>
      <c r="DZ781" s="2123">
        <v>13.75</v>
      </c>
      <c r="EA781" s="2123"/>
      <c r="EB781" s="2123"/>
      <c r="EC781" s="2123"/>
      <c r="ED781" s="2123"/>
      <c r="EE781" s="2123"/>
      <c r="EF781" s="2123"/>
      <c r="EG781" s="2123">
        <v>15.24</v>
      </c>
      <c r="EH781" s="2123">
        <v>15.4</v>
      </c>
      <c r="EI781" s="2123">
        <v>12.63</v>
      </c>
      <c r="EJ781" s="2123">
        <v>12.63</v>
      </c>
      <c r="EK781" s="2123">
        <v>12.64</v>
      </c>
      <c r="EL781" s="2123">
        <v>12.64</v>
      </c>
      <c r="EM781" s="2123">
        <v>13.18</v>
      </c>
      <c r="EN781" s="2123">
        <v>13.18</v>
      </c>
      <c r="EO781" s="2123">
        <v>12.55</v>
      </c>
      <c r="EP781" s="2123">
        <v>12.55</v>
      </c>
      <c r="EQ781" s="2123">
        <v>12.91</v>
      </c>
      <c r="ER781" s="2123">
        <v>12.74</v>
      </c>
      <c r="ES781" s="2123">
        <v>58.44</v>
      </c>
      <c r="ET781" s="2123">
        <v>58.44</v>
      </c>
      <c r="EU781" s="2123">
        <v>257.77</v>
      </c>
      <c r="EV781" s="2123">
        <v>257.77</v>
      </c>
      <c r="EW781" s="2123">
        <v>252.32</v>
      </c>
      <c r="EX781" s="2123">
        <v>252.32</v>
      </c>
      <c r="EY781" s="2129">
        <f t="shared" si="56"/>
        <v>255.04499999999999</v>
      </c>
      <c r="EZ781" s="2129">
        <f t="shared" si="56"/>
        <v>255.04499999999999</v>
      </c>
      <c r="FA781" s="2123">
        <v>255.22</v>
      </c>
      <c r="FB781" s="2123">
        <v>255.22</v>
      </c>
      <c r="FC781" s="2123"/>
      <c r="FD781" s="2123"/>
      <c r="FE781" s="2123">
        <v>50.27</v>
      </c>
      <c r="FF781" s="2123">
        <v>50.27</v>
      </c>
      <c r="FG781" s="2123">
        <v>217.36</v>
      </c>
      <c r="FH781" s="2123">
        <v>217.36</v>
      </c>
      <c r="FI781" s="2123">
        <v>217.36</v>
      </c>
      <c r="FJ781" s="2123">
        <v>218.5</v>
      </c>
      <c r="FK781" s="2123">
        <v>217</v>
      </c>
      <c r="FL781" s="2123">
        <v>217</v>
      </c>
      <c r="FM781" s="2123">
        <v>217.53</v>
      </c>
      <c r="FN781" s="2123">
        <v>217.53</v>
      </c>
      <c r="FO781" s="2123"/>
      <c r="FP781" s="2123"/>
      <c r="FQ781" s="2123">
        <v>113.57</v>
      </c>
      <c r="FR781" s="2123">
        <v>113.57</v>
      </c>
      <c r="FS781" s="2123">
        <v>229.08</v>
      </c>
      <c r="FT781" s="2123">
        <v>229.08</v>
      </c>
      <c r="FU781" s="2123">
        <v>229.08</v>
      </c>
      <c r="FV781" s="2123">
        <v>229.08</v>
      </c>
      <c r="FW781" s="2123">
        <v>229.38</v>
      </c>
      <c r="FX781" s="2123">
        <v>229.38</v>
      </c>
      <c r="FY781" s="2123"/>
      <c r="FZ781" s="2123"/>
      <c r="GA781" s="2123"/>
      <c r="GB781" s="2123"/>
      <c r="GC781" s="2123">
        <v>80.209999999999994</v>
      </c>
      <c r="GD781" s="2123">
        <v>80.209999999999994</v>
      </c>
      <c r="GE781" s="2123">
        <v>179.83</v>
      </c>
      <c r="GF781" s="2123">
        <v>179.83</v>
      </c>
      <c r="GG781" s="2123">
        <v>179.83</v>
      </c>
      <c r="GH781" s="2123">
        <v>179.83</v>
      </c>
      <c r="GI781" s="2123">
        <v>202.74</v>
      </c>
      <c r="GJ781" s="2123">
        <v>202.74</v>
      </c>
      <c r="GK781" s="2123">
        <v>225.59</v>
      </c>
      <c r="GL781" s="2123">
        <v>225.59</v>
      </c>
      <c r="GM781" s="2123"/>
      <c r="GN781" s="2123"/>
      <c r="GO781" s="2123">
        <v>42.95</v>
      </c>
      <c r="GP781" s="2123">
        <v>42.95</v>
      </c>
      <c r="GQ781" s="2123">
        <v>37.99</v>
      </c>
      <c r="GR781" s="2123">
        <v>37.99</v>
      </c>
      <c r="GS781" s="2123">
        <v>37.99</v>
      </c>
      <c r="GT781" s="2123">
        <v>36.65</v>
      </c>
      <c r="GU781" s="2123">
        <v>36.65</v>
      </c>
      <c r="GV781" s="2123">
        <v>36.85</v>
      </c>
      <c r="GW781" s="2123">
        <v>215.32</v>
      </c>
      <c r="GX781" s="2123">
        <v>215.32</v>
      </c>
      <c r="GY781" s="2123"/>
      <c r="GZ781" s="2123"/>
      <c r="HA781" s="2123">
        <v>29.93</v>
      </c>
      <c r="HB781" s="2123">
        <v>29.93</v>
      </c>
      <c r="HC781" s="2123">
        <v>23.77</v>
      </c>
      <c r="HD781" s="2123">
        <v>23.77</v>
      </c>
      <c r="HE781" s="2123">
        <v>24.39</v>
      </c>
      <c r="HF781" s="2123">
        <v>24.39</v>
      </c>
      <c r="HG781" s="2123">
        <v>24.39</v>
      </c>
      <c r="HH781" s="2123">
        <v>24.39</v>
      </c>
      <c r="HI781" s="2123">
        <v>24.39</v>
      </c>
      <c r="HJ781" s="2123">
        <v>24.39</v>
      </c>
      <c r="HK781" s="2123">
        <v>24.49</v>
      </c>
      <c r="HL781" s="2123">
        <v>24.63</v>
      </c>
      <c r="HM781" s="2123">
        <v>41.94</v>
      </c>
      <c r="HN781" s="2123">
        <v>41.94</v>
      </c>
      <c r="HO781" s="2123">
        <v>33.619999999999997</v>
      </c>
      <c r="HP781" s="2123">
        <v>33.619999999999997</v>
      </c>
      <c r="HQ781" s="2123">
        <v>34.51</v>
      </c>
      <c r="HR781" s="2123">
        <v>34.51</v>
      </c>
      <c r="HS781" s="2123">
        <v>34.51</v>
      </c>
      <c r="HT781" s="2123">
        <v>34.51</v>
      </c>
      <c r="HU781" s="2123">
        <v>34.51</v>
      </c>
      <c r="HV781" s="2123">
        <v>34.51</v>
      </c>
      <c r="HW781" s="2123">
        <v>34.58</v>
      </c>
      <c r="HX781" s="2123">
        <v>34.58</v>
      </c>
    </row>
    <row r="782" spans="2:232" s="2040" customFormat="1" ht="14" hidden="1" x14ac:dyDescent="0.3">
      <c r="B782" s="2203">
        <v>88</v>
      </c>
      <c r="C782" s="2204">
        <v>47.49</v>
      </c>
      <c r="D782" s="2204">
        <v>47.49</v>
      </c>
      <c r="E782" s="2204">
        <v>47.56</v>
      </c>
      <c r="F782" s="2204">
        <v>47.56</v>
      </c>
      <c r="G782" s="2204">
        <v>185.67</v>
      </c>
      <c r="H782" s="2204">
        <v>185.67</v>
      </c>
      <c r="I782" s="2204">
        <v>176.71</v>
      </c>
      <c r="J782" s="2204">
        <v>176.71</v>
      </c>
      <c r="K782" s="2204">
        <v>180.51</v>
      </c>
      <c r="L782" s="2204">
        <v>180.51</v>
      </c>
      <c r="M782" s="2204"/>
      <c r="N782" s="2204"/>
      <c r="O782" s="2204">
        <v>148.79</v>
      </c>
      <c r="P782" s="2204">
        <v>148.79</v>
      </c>
      <c r="Q782" s="2204">
        <v>148.24</v>
      </c>
      <c r="R782" s="2204">
        <v>148.80000000000001</v>
      </c>
      <c r="S782" s="2204">
        <v>279.07</v>
      </c>
      <c r="T782" s="2204">
        <v>278.86</v>
      </c>
      <c r="U782" s="2204">
        <v>269.18</v>
      </c>
      <c r="V782" s="2204">
        <v>269.18</v>
      </c>
      <c r="W782" s="2204">
        <v>278.86</v>
      </c>
      <c r="X782" s="2204">
        <v>278.86</v>
      </c>
      <c r="Y782" s="2204">
        <v>269.18</v>
      </c>
      <c r="Z782" s="2204">
        <v>278.86</v>
      </c>
      <c r="AA782" s="2204">
        <v>278.86</v>
      </c>
      <c r="AB782" s="2204">
        <v>278.86</v>
      </c>
      <c r="AC782" s="2204">
        <v>269.18</v>
      </c>
      <c r="AD782" s="2204">
        <v>269.18</v>
      </c>
      <c r="AE782" s="2204">
        <v>290.48</v>
      </c>
      <c r="AF782" s="2204">
        <v>282.11</v>
      </c>
      <c r="AG782" s="2204">
        <v>290.48</v>
      </c>
      <c r="AH782" s="2204">
        <v>290.48</v>
      </c>
      <c r="AI782" s="2204">
        <v>282.11</v>
      </c>
      <c r="AJ782" s="2204">
        <v>282.11</v>
      </c>
      <c r="AK782" s="2204">
        <v>282.43</v>
      </c>
      <c r="AL782" s="2204">
        <v>282.43</v>
      </c>
      <c r="AM782" s="2204">
        <v>78.62</v>
      </c>
      <c r="AN782" s="2204">
        <v>75.77</v>
      </c>
      <c r="AO782" s="2204">
        <v>75.77</v>
      </c>
      <c r="AP782" s="2204">
        <v>75.69</v>
      </c>
      <c r="AQ782" s="2204">
        <v>75.930000000000007</v>
      </c>
      <c r="AR782" s="2204">
        <v>75.930000000000007</v>
      </c>
      <c r="AS782" s="2204">
        <v>229.33</v>
      </c>
      <c r="AT782" s="2204">
        <v>229.33</v>
      </c>
      <c r="AU782" s="2204">
        <v>229.33</v>
      </c>
      <c r="AV782" s="2204">
        <v>234.34</v>
      </c>
      <c r="AW782" s="2204">
        <v>229.5</v>
      </c>
      <c r="AX782" s="2204">
        <v>229.5</v>
      </c>
      <c r="AY782" s="2204">
        <v>229.62</v>
      </c>
      <c r="AZ782" s="2204">
        <v>229.62</v>
      </c>
      <c r="BA782" s="2123">
        <v>100.25</v>
      </c>
      <c r="BB782" s="2123">
        <v>100.25</v>
      </c>
      <c r="BC782" s="2123">
        <v>25.57</v>
      </c>
      <c r="BD782" s="2123">
        <v>25.71</v>
      </c>
      <c r="BE782" s="2123">
        <v>28.26</v>
      </c>
      <c r="BF782" s="2123">
        <v>28.26</v>
      </c>
      <c r="BG782" s="2123">
        <v>25.62</v>
      </c>
      <c r="BH782" s="2123">
        <v>25.62</v>
      </c>
      <c r="BI782" s="2123">
        <v>25.4</v>
      </c>
      <c r="BJ782" s="2123">
        <v>25.4</v>
      </c>
      <c r="BK782" s="2123">
        <v>25.4</v>
      </c>
      <c r="BL782" s="2123">
        <v>25.4</v>
      </c>
      <c r="BM782" s="2123">
        <v>57.45</v>
      </c>
      <c r="BN782" s="2123">
        <v>57.45</v>
      </c>
      <c r="BO782" s="2123">
        <v>181.14</v>
      </c>
      <c r="BP782" s="2123">
        <v>181.14</v>
      </c>
      <c r="BQ782" s="2123">
        <v>181.14</v>
      </c>
      <c r="BR782" s="2123">
        <v>181.14</v>
      </c>
      <c r="BS782" s="2123">
        <v>235.74</v>
      </c>
      <c r="BT782" s="2123">
        <v>235.74</v>
      </c>
      <c r="BU782" s="2123">
        <v>235.74</v>
      </c>
      <c r="BV782" s="2123">
        <v>235.74</v>
      </c>
      <c r="BW782" s="2123">
        <v>235.74</v>
      </c>
      <c r="BX782" s="2123">
        <v>235.74</v>
      </c>
      <c r="BY782" s="2123">
        <v>52.15</v>
      </c>
      <c r="BZ782" s="2123">
        <v>52.15</v>
      </c>
      <c r="CA782" s="2123">
        <v>173.49</v>
      </c>
      <c r="CB782" s="2123">
        <v>173.49</v>
      </c>
      <c r="CC782" s="2123">
        <v>176.15</v>
      </c>
      <c r="CD782" s="2123">
        <v>176.15</v>
      </c>
      <c r="CE782" s="2123">
        <v>232.5</v>
      </c>
      <c r="CF782" s="2123">
        <v>232.5</v>
      </c>
      <c r="CG782" s="2123"/>
      <c r="CH782" s="2123"/>
      <c r="CI782" s="2123"/>
      <c r="CJ782" s="2123"/>
      <c r="CK782" s="2123">
        <v>129.46</v>
      </c>
      <c r="CL782" s="2123">
        <v>129.46</v>
      </c>
      <c r="CM782" s="2123">
        <v>260.64999999999998</v>
      </c>
      <c r="CN782" s="2123">
        <v>260.64999999999998</v>
      </c>
      <c r="CO782" s="2123">
        <v>337.85</v>
      </c>
      <c r="CP782" s="2123">
        <v>337.85</v>
      </c>
      <c r="CQ782" s="2123">
        <v>337.85</v>
      </c>
      <c r="CR782" s="2123">
        <v>337.85</v>
      </c>
      <c r="CS782" s="2123"/>
      <c r="CT782" s="2123"/>
      <c r="CU782" s="2123"/>
      <c r="CV782" s="2123"/>
      <c r="CW782" s="2123">
        <v>121.24</v>
      </c>
      <c r="CX782" s="2123">
        <v>121.24</v>
      </c>
      <c r="CY782" s="2123">
        <v>252.37</v>
      </c>
      <c r="CZ782" s="2123">
        <v>252.37</v>
      </c>
      <c r="DA782" s="2123">
        <v>252.37</v>
      </c>
      <c r="DB782" s="2123">
        <v>252.37</v>
      </c>
      <c r="DC782" s="2123">
        <v>327.41000000000003</v>
      </c>
      <c r="DD782" s="2123">
        <v>327.41000000000003</v>
      </c>
      <c r="DE782" s="2123">
        <v>327.41000000000003</v>
      </c>
      <c r="DF782" s="2123">
        <v>327.41000000000003</v>
      </c>
      <c r="DG782" s="2123"/>
      <c r="DH782" s="2123"/>
      <c r="DI782" s="2123">
        <v>32.020000000000003</v>
      </c>
      <c r="DJ782" s="2123">
        <v>32.020000000000003</v>
      </c>
      <c r="DK782" s="2123">
        <v>32.020000000000003</v>
      </c>
      <c r="DL782" s="2123">
        <v>32.020000000000003</v>
      </c>
      <c r="DM782" s="2123">
        <v>32.020000000000003</v>
      </c>
      <c r="DN782" s="2123">
        <v>32.020000000000003</v>
      </c>
      <c r="DO782" s="2123"/>
      <c r="DP782" s="2123"/>
      <c r="DQ782" s="2123"/>
      <c r="DR782" s="2123"/>
      <c r="DS782" s="2123"/>
      <c r="DT782" s="2123"/>
      <c r="DU782" s="2123">
        <v>14.26</v>
      </c>
      <c r="DV782" s="2123">
        <v>14.26</v>
      </c>
      <c r="DW782" s="2123">
        <v>13.8</v>
      </c>
      <c r="DX782" s="2123">
        <v>13.8</v>
      </c>
      <c r="DY782" s="2123">
        <v>13.8</v>
      </c>
      <c r="DZ782" s="2123">
        <v>13.8</v>
      </c>
      <c r="EA782" s="2123"/>
      <c r="EB782" s="2123"/>
      <c r="EC782" s="2123"/>
      <c r="ED782" s="2123"/>
      <c r="EE782" s="2123"/>
      <c r="EF782" s="2123"/>
      <c r="EG782" s="2123">
        <v>15.28</v>
      </c>
      <c r="EH782" s="2123">
        <v>15.44</v>
      </c>
      <c r="EI782" s="2123">
        <v>12.69</v>
      </c>
      <c r="EJ782" s="2123">
        <v>12.69</v>
      </c>
      <c r="EK782" s="2123">
        <v>12.69</v>
      </c>
      <c r="EL782" s="2123">
        <v>12.69</v>
      </c>
      <c r="EM782" s="2123">
        <v>13.23</v>
      </c>
      <c r="EN782" s="2123">
        <v>13.23</v>
      </c>
      <c r="EO782" s="2123">
        <v>12.6</v>
      </c>
      <c r="EP782" s="2123">
        <v>12.6</v>
      </c>
      <c r="EQ782" s="2123">
        <v>12.96</v>
      </c>
      <c r="ER782" s="2123">
        <v>12.78</v>
      </c>
      <c r="ES782" s="2123">
        <v>58.58</v>
      </c>
      <c r="ET782" s="2123">
        <v>58.58</v>
      </c>
      <c r="EU782" s="2123">
        <v>258.66000000000003</v>
      </c>
      <c r="EV782" s="2123">
        <v>258.66000000000003</v>
      </c>
      <c r="EW782" s="2123">
        <v>253.21</v>
      </c>
      <c r="EX782" s="2123">
        <v>253.21</v>
      </c>
      <c r="EY782" s="2129">
        <f t="shared" si="56"/>
        <v>255.935</v>
      </c>
      <c r="EZ782" s="2129">
        <f t="shared" si="56"/>
        <v>255.935</v>
      </c>
      <c r="FA782" s="2123">
        <v>256.07</v>
      </c>
      <c r="FB782" s="2123">
        <v>256.07</v>
      </c>
      <c r="FC782" s="2123"/>
      <c r="FD782" s="2123"/>
      <c r="FE782" s="2123">
        <v>50.39</v>
      </c>
      <c r="FF782" s="2123">
        <v>50.39</v>
      </c>
      <c r="FG782" s="2123">
        <v>218.13</v>
      </c>
      <c r="FH782" s="2123">
        <v>218.13</v>
      </c>
      <c r="FI782" s="2123">
        <v>218.13</v>
      </c>
      <c r="FJ782" s="2123">
        <v>219.25</v>
      </c>
      <c r="FK782" s="2123">
        <v>217.78</v>
      </c>
      <c r="FL782" s="2123">
        <v>217.78</v>
      </c>
      <c r="FM782" s="2123">
        <v>218.29</v>
      </c>
      <c r="FN782" s="2123">
        <v>218.29</v>
      </c>
      <c r="FO782" s="2123"/>
      <c r="FP782" s="2123"/>
      <c r="FQ782" s="2123">
        <v>113.85</v>
      </c>
      <c r="FR782" s="2123">
        <v>113.85</v>
      </c>
      <c r="FS782" s="2123">
        <v>229.74</v>
      </c>
      <c r="FT782" s="2123">
        <v>229.74</v>
      </c>
      <c r="FU782" s="2123">
        <v>229.74</v>
      </c>
      <c r="FV782" s="2123">
        <v>229.74</v>
      </c>
      <c r="FW782" s="2123">
        <v>230.03</v>
      </c>
      <c r="FX782" s="2123">
        <v>230.03</v>
      </c>
      <c r="FY782" s="2123"/>
      <c r="FZ782" s="2123"/>
      <c r="GA782" s="2123"/>
      <c r="GB782" s="2123"/>
      <c r="GC782" s="2123">
        <v>80.400000000000006</v>
      </c>
      <c r="GD782" s="2123">
        <v>80.400000000000006</v>
      </c>
      <c r="GE782" s="2123">
        <v>180.24</v>
      </c>
      <c r="GF782" s="2123">
        <v>180.24</v>
      </c>
      <c r="GG782" s="2123">
        <v>180.24</v>
      </c>
      <c r="GH782" s="2123">
        <v>180.24</v>
      </c>
      <c r="GI782" s="2123">
        <v>203.67</v>
      </c>
      <c r="GJ782" s="2123">
        <v>203.67</v>
      </c>
      <c r="GK782" s="2123">
        <v>226.34</v>
      </c>
      <c r="GL782" s="2123">
        <v>226.34</v>
      </c>
      <c r="GM782" s="2123"/>
      <c r="GN782" s="2123"/>
      <c r="GO782" s="2123">
        <v>43.05</v>
      </c>
      <c r="GP782" s="2123">
        <v>43.05</v>
      </c>
      <c r="GQ782" s="2123">
        <v>38.130000000000003</v>
      </c>
      <c r="GR782" s="2123">
        <v>38.130000000000003</v>
      </c>
      <c r="GS782" s="2123">
        <v>38.130000000000003</v>
      </c>
      <c r="GT782" s="2123">
        <v>36.79</v>
      </c>
      <c r="GU782" s="2123">
        <v>36.79</v>
      </c>
      <c r="GV782" s="2123">
        <v>36.979999999999997</v>
      </c>
      <c r="GW782" s="2123">
        <v>216.07</v>
      </c>
      <c r="GX782" s="2123">
        <v>216.07</v>
      </c>
      <c r="GY782" s="2123"/>
      <c r="GZ782" s="2123"/>
      <c r="HA782" s="2123">
        <v>30</v>
      </c>
      <c r="HB782" s="2123">
        <v>30</v>
      </c>
      <c r="HC782" s="2123">
        <v>23.88</v>
      </c>
      <c r="HD782" s="2123">
        <v>23.88</v>
      </c>
      <c r="HE782" s="2123">
        <v>24.49</v>
      </c>
      <c r="HF782" s="2123">
        <v>24.49</v>
      </c>
      <c r="HG782" s="2123">
        <v>24.49</v>
      </c>
      <c r="HH782" s="2123">
        <v>24.49</v>
      </c>
      <c r="HI782" s="2123">
        <v>24.49</v>
      </c>
      <c r="HJ782" s="2123">
        <v>24.49</v>
      </c>
      <c r="HK782" s="2123">
        <v>24.59</v>
      </c>
      <c r="HL782" s="2123">
        <v>24.73</v>
      </c>
      <c r="HM782" s="2123">
        <v>42.04</v>
      </c>
      <c r="HN782" s="2123">
        <v>42.04</v>
      </c>
      <c r="HO782" s="2123">
        <v>33.770000000000003</v>
      </c>
      <c r="HP782" s="2123">
        <v>33.770000000000003</v>
      </c>
      <c r="HQ782" s="2123">
        <v>34.65</v>
      </c>
      <c r="HR782" s="2123">
        <v>34.65</v>
      </c>
      <c r="HS782" s="2123">
        <v>34.65</v>
      </c>
      <c r="HT782" s="2123">
        <v>34.65</v>
      </c>
      <c r="HU782" s="2123">
        <v>34.65</v>
      </c>
      <c r="HV782" s="2123">
        <v>34.65</v>
      </c>
      <c r="HW782" s="2123">
        <v>34.72</v>
      </c>
      <c r="HX782" s="2123">
        <v>34.72</v>
      </c>
    </row>
    <row r="783" spans="2:232" s="2040" customFormat="1" ht="14" hidden="1" x14ac:dyDescent="0.3">
      <c r="B783" s="2203">
        <v>89</v>
      </c>
      <c r="C783" s="2204">
        <v>47.61</v>
      </c>
      <c r="D783" s="2204">
        <v>47.61</v>
      </c>
      <c r="E783" s="2204">
        <v>47.67</v>
      </c>
      <c r="F783" s="2204">
        <v>47.67</v>
      </c>
      <c r="G783" s="2204">
        <v>186.22</v>
      </c>
      <c r="H783" s="2204">
        <v>186.22</v>
      </c>
      <c r="I783" s="2204">
        <v>177.28</v>
      </c>
      <c r="J783" s="2204">
        <v>177.28</v>
      </c>
      <c r="K783" s="2204">
        <v>181.01</v>
      </c>
      <c r="L783" s="2204">
        <v>181.01</v>
      </c>
      <c r="M783" s="2204"/>
      <c r="N783" s="2204"/>
      <c r="O783" s="2204">
        <v>149.15</v>
      </c>
      <c r="P783" s="2204">
        <v>149.15</v>
      </c>
      <c r="Q783" s="2204">
        <v>148.59</v>
      </c>
      <c r="R783" s="2204">
        <v>149.15</v>
      </c>
      <c r="S783" s="2204">
        <v>280.02999999999997</v>
      </c>
      <c r="T783" s="2204">
        <v>279.81</v>
      </c>
      <c r="U783" s="2204">
        <v>270.10000000000002</v>
      </c>
      <c r="V783" s="2204">
        <v>270.10000000000002</v>
      </c>
      <c r="W783" s="2204">
        <v>279.81</v>
      </c>
      <c r="X783" s="2204">
        <v>279.81</v>
      </c>
      <c r="Y783" s="2204">
        <v>270.10000000000002</v>
      </c>
      <c r="Z783" s="2204">
        <v>279.81</v>
      </c>
      <c r="AA783" s="2204">
        <v>279.81</v>
      </c>
      <c r="AB783" s="2204">
        <v>279.81</v>
      </c>
      <c r="AC783" s="2204">
        <v>270.10000000000002</v>
      </c>
      <c r="AD783" s="2204">
        <v>270.10000000000002</v>
      </c>
      <c r="AE783" s="2204">
        <v>291.33999999999997</v>
      </c>
      <c r="AF783" s="2204">
        <v>282.94</v>
      </c>
      <c r="AG783" s="2204">
        <v>291.33999999999997</v>
      </c>
      <c r="AH783" s="2204">
        <v>291.33999999999997</v>
      </c>
      <c r="AI783" s="2204">
        <v>282.94</v>
      </c>
      <c r="AJ783" s="2204">
        <v>282.94</v>
      </c>
      <c r="AK783" s="2204">
        <v>283.26</v>
      </c>
      <c r="AL783" s="2204">
        <v>283.26</v>
      </c>
      <c r="AM783" s="2204">
        <v>78.81</v>
      </c>
      <c r="AN783" s="2204">
        <v>75.95</v>
      </c>
      <c r="AO783" s="2204">
        <v>75.95</v>
      </c>
      <c r="AP783" s="2204">
        <v>75.87</v>
      </c>
      <c r="AQ783" s="2204">
        <v>76.11</v>
      </c>
      <c r="AR783" s="2204">
        <v>76.11</v>
      </c>
      <c r="AS783" s="2204">
        <v>230.03</v>
      </c>
      <c r="AT783" s="2204">
        <v>230.03</v>
      </c>
      <c r="AU783" s="2204">
        <v>230.03</v>
      </c>
      <c r="AV783" s="2204">
        <v>235.04</v>
      </c>
      <c r="AW783" s="2204">
        <v>230.2</v>
      </c>
      <c r="AX783" s="2204">
        <v>230.2</v>
      </c>
      <c r="AY783" s="2204">
        <v>230.31</v>
      </c>
      <c r="AZ783" s="2204">
        <v>230.31</v>
      </c>
      <c r="BA783" s="2123">
        <v>100.56</v>
      </c>
      <c r="BB783" s="2123">
        <v>100.56</v>
      </c>
      <c r="BC783" s="2123">
        <v>25.66</v>
      </c>
      <c r="BD783" s="2123">
        <v>25.8</v>
      </c>
      <c r="BE783" s="2123">
        <v>28.33</v>
      </c>
      <c r="BF783" s="2123">
        <v>28.33</v>
      </c>
      <c r="BG783" s="2123">
        <v>25.71</v>
      </c>
      <c r="BH783" s="2123">
        <v>25.71</v>
      </c>
      <c r="BI783" s="2123">
        <v>25.5</v>
      </c>
      <c r="BJ783" s="2123">
        <v>25.5</v>
      </c>
      <c r="BK783" s="2123">
        <v>25.5</v>
      </c>
      <c r="BL783" s="2123">
        <v>25.5</v>
      </c>
      <c r="BM783" s="2123">
        <v>57.59</v>
      </c>
      <c r="BN783" s="2123">
        <v>57.59</v>
      </c>
      <c r="BO783" s="2123">
        <v>181.65</v>
      </c>
      <c r="BP783" s="2123">
        <v>181.65</v>
      </c>
      <c r="BQ783" s="2123">
        <v>181.65</v>
      </c>
      <c r="BR783" s="2123">
        <v>181.65</v>
      </c>
      <c r="BS783" s="2123">
        <v>236.52</v>
      </c>
      <c r="BT783" s="2123">
        <v>236.52</v>
      </c>
      <c r="BU783" s="2123">
        <v>236.52</v>
      </c>
      <c r="BV783" s="2123">
        <v>236.52</v>
      </c>
      <c r="BW783" s="2123">
        <v>236.52</v>
      </c>
      <c r="BX783" s="2123">
        <v>236.52</v>
      </c>
      <c r="BY783" s="2123">
        <v>52.27</v>
      </c>
      <c r="BZ783" s="2123">
        <v>52.27</v>
      </c>
      <c r="CA783" s="2123">
        <v>173.99</v>
      </c>
      <c r="CB783" s="2123">
        <v>173.99</v>
      </c>
      <c r="CC783" s="2123">
        <v>176.65</v>
      </c>
      <c r="CD783" s="2123">
        <v>176.65</v>
      </c>
      <c r="CE783" s="2123">
        <v>233.28</v>
      </c>
      <c r="CF783" s="2123">
        <v>233.28</v>
      </c>
      <c r="CG783" s="2123"/>
      <c r="CH783" s="2123"/>
      <c r="CI783" s="2123"/>
      <c r="CJ783" s="2123"/>
      <c r="CK783" s="2123">
        <v>129.75</v>
      </c>
      <c r="CL783" s="2123">
        <v>129.75</v>
      </c>
      <c r="CM783" s="2123">
        <v>261.17</v>
      </c>
      <c r="CN783" s="2123">
        <v>261.17</v>
      </c>
      <c r="CO783" s="2123">
        <v>338.7</v>
      </c>
      <c r="CP783" s="2123">
        <v>338.7</v>
      </c>
      <c r="CQ783" s="2123">
        <v>338.7</v>
      </c>
      <c r="CR783" s="2123">
        <v>338.7</v>
      </c>
      <c r="CS783" s="2123"/>
      <c r="CT783" s="2123"/>
      <c r="CU783" s="2123"/>
      <c r="CV783" s="2123"/>
      <c r="CW783" s="2123">
        <v>121.53</v>
      </c>
      <c r="CX783" s="2123">
        <v>121.53</v>
      </c>
      <c r="CY783" s="2123">
        <v>252.9</v>
      </c>
      <c r="CZ783" s="2123">
        <v>252.9</v>
      </c>
      <c r="DA783" s="2123">
        <v>252.9</v>
      </c>
      <c r="DB783" s="2123">
        <v>252.9</v>
      </c>
      <c r="DC783" s="2123">
        <v>328.27</v>
      </c>
      <c r="DD783" s="2123">
        <v>328.27</v>
      </c>
      <c r="DE783" s="2123">
        <v>328.27</v>
      </c>
      <c r="DF783" s="2123">
        <v>328.27</v>
      </c>
      <c r="DG783" s="2123"/>
      <c r="DH783" s="2123"/>
      <c r="DI783" s="2123">
        <v>32.090000000000003</v>
      </c>
      <c r="DJ783" s="2123">
        <v>32.090000000000003</v>
      </c>
      <c r="DK783" s="2123">
        <v>32.090000000000003</v>
      </c>
      <c r="DL783" s="2123">
        <v>32.090000000000003</v>
      </c>
      <c r="DM783" s="2123">
        <v>32.090000000000003</v>
      </c>
      <c r="DN783" s="2123">
        <v>32.090000000000003</v>
      </c>
      <c r="DO783" s="2123"/>
      <c r="DP783" s="2123"/>
      <c r="DQ783" s="2123"/>
      <c r="DR783" s="2123"/>
      <c r="DS783" s="2123"/>
      <c r="DT783" s="2123"/>
      <c r="DU783" s="2123">
        <v>14.29</v>
      </c>
      <c r="DV783" s="2123">
        <v>14.29</v>
      </c>
      <c r="DW783" s="2123">
        <v>13.84</v>
      </c>
      <c r="DX783" s="2123">
        <v>13.84</v>
      </c>
      <c r="DY783" s="2123">
        <v>13.84</v>
      </c>
      <c r="DZ783" s="2123">
        <v>13.84</v>
      </c>
      <c r="EA783" s="2123"/>
      <c r="EB783" s="2123"/>
      <c r="EC783" s="2123"/>
      <c r="ED783" s="2123"/>
      <c r="EE783" s="2123"/>
      <c r="EF783" s="2123"/>
      <c r="EG783" s="2123">
        <v>15.31</v>
      </c>
      <c r="EH783" s="2123">
        <v>15.47</v>
      </c>
      <c r="EI783" s="2123">
        <v>12.74</v>
      </c>
      <c r="EJ783" s="2123">
        <v>12.74</v>
      </c>
      <c r="EK783" s="2123">
        <v>12.74</v>
      </c>
      <c r="EL783" s="2123">
        <v>12.74</v>
      </c>
      <c r="EM783" s="2123">
        <v>13.28</v>
      </c>
      <c r="EN783" s="2123">
        <v>13.28</v>
      </c>
      <c r="EO783" s="2123">
        <v>12.64</v>
      </c>
      <c r="EP783" s="2123">
        <v>12.64</v>
      </c>
      <c r="EQ783" s="2123">
        <v>13.01</v>
      </c>
      <c r="ER783" s="2123">
        <v>12.83</v>
      </c>
      <c r="ES783" s="2123">
        <v>58.72</v>
      </c>
      <c r="ET783" s="2123">
        <v>58.72</v>
      </c>
      <c r="EU783" s="2123">
        <v>259.54000000000002</v>
      </c>
      <c r="EV783" s="2123">
        <v>259.54000000000002</v>
      </c>
      <c r="EW783" s="2123">
        <v>254.07</v>
      </c>
      <c r="EX783" s="2123">
        <v>254.07</v>
      </c>
      <c r="EY783" s="2129">
        <f t="shared" si="56"/>
        <v>256.80500000000001</v>
      </c>
      <c r="EZ783" s="2129">
        <f t="shared" si="56"/>
        <v>256.80500000000001</v>
      </c>
      <c r="FA783" s="2123">
        <v>256.91000000000003</v>
      </c>
      <c r="FB783" s="2123">
        <v>256.91000000000003</v>
      </c>
      <c r="FC783" s="2123"/>
      <c r="FD783" s="2123"/>
      <c r="FE783" s="2123">
        <v>50.51</v>
      </c>
      <c r="FF783" s="2123">
        <v>50.51</v>
      </c>
      <c r="FG783" s="2123">
        <v>218.88</v>
      </c>
      <c r="FH783" s="2123">
        <v>218.88</v>
      </c>
      <c r="FI783" s="2123">
        <v>218.88</v>
      </c>
      <c r="FJ783" s="2123">
        <v>219.98</v>
      </c>
      <c r="FK783" s="2123">
        <v>218.53</v>
      </c>
      <c r="FL783" s="2123">
        <v>218.53</v>
      </c>
      <c r="FM783" s="2123">
        <v>219.03</v>
      </c>
      <c r="FN783" s="2123">
        <v>219.03</v>
      </c>
      <c r="FO783" s="2123"/>
      <c r="FP783" s="2123"/>
      <c r="FQ783" s="2123">
        <v>114.12</v>
      </c>
      <c r="FR783" s="2123">
        <v>114.12</v>
      </c>
      <c r="FS783" s="2123">
        <v>230.39</v>
      </c>
      <c r="FT783" s="2123">
        <v>230.39</v>
      </c>
      <c r="FU783" s="2123">
        <v>230.39</v>
      </c>
      <c r="FV783" s="2123">
        <v>230.39</v>
      </c>
      <c r="FW783" s="2123">
        <v>230.67</v>
      </c>
      <c r="FX783" s="2123">
        <v>230.67</v>
      </c>
      <c r="FY783" s="2123"/>
      <c r="FZ783" s="2123"/>
      <c r="GA783" s="2123"/>
      <c r="GB783" s="2123"/>
      <c r="GC783" s="2123">
        <v>80.59</v>
      </c>
      <c r="GD783" s="2123">
        <v>80.59</v>
      </c>
      <c r="GE783" s="2123">
        <v>180.64</v>
      </c>
      <c r="GF783" s="2123">
        <v>180.64</v>
      </c>
      <c r="GG783" s="2123">
        <v>180.64</v>
      </c>
      <c r="GH783" s="2123">
        <v>180.64</v>
      </c>
      <c r="GI783" s="2123">
        <v>204.57</v>
      </c>
      <c r="GJ783" s="2123">
        <v>204.57</v>
      </c>
      <c r="GK783" s="2123">
        <v>227.07</v>
      </c>
      <c r="GL783" s="2123">
        <v>227.07</v>
      </c>
      <c r="GM783" s="2123"/>
      <c r="GN783" s="2123"/>
      <c r="GO783" s="2123">
        <v>43.16</v>
      </c>
      <c r="GP783" s="2123">
        <v>43.16</v>
      </c>
      <c r="GQ783" s="2123">
        <v>38.270000000000003</v>
      </c>
      <c r="GR783" s="2123">
        <v>38.270000000000003</v>
      </c>
      <c r="GS783" s="2123">
        <v>38.270000000000003</v>
      </c>
      <c r="GT783" s="2123">
        <v>36.92</v>
      </c>
      <c r="GU783" s="2123">
        <v>36.92</v>
      </c>
      <c r="GV783" s="2123">
        <v>37.11</v>
      </c>
      <c r="GW783" s="2123">
        <v>216.81</v>
      </c>
      <c r="GX783" s="2123">
        <v>216.81</v>
      </c>
      <c r="GY783" s="2123"/>
      <c r="GZ783" s="2123"/>
      <c r="HA783" s="2123">
        <v>30.07</v>
      </c>
      <c r="HB783" s="2123">
        <v>30.07</v>
      </c>
      <c r="HC783" s="2123">
        <v>23.98</v>
      </c>
      <c r="HD783" s="2123">
        <v>23.98</v>
      </c>
      <c r="HE783" s="2123">
        <v>24.59</v>
      </c>
      <c r="HF783" s="2123">
        <v>24.59</v>
      </c>
      <c r="HG783" s="2123">
        <v>24.59</v>
      </c>
      <c r="HH783" s="2123">
        <v>24.59</v>
      </c>
      <c r="HI783" s="2123">
        <v>24.59</v>
      </c>
      <c r="HJ783" s="2123">
        <v>24.59</v>
      </c>
      <c r="HK783" s="2123">
        <v>24.68</v>
      </c>
      <c r="HL783" s="2123">
        <v>24.83</v>
      </c>
      <c r="HM783" s="2123">
        <v>42.14</v>
      </c>
      <c r="HN783" s="2123">
        <v>42.14</v>
      </c>
      <c r="HO783" s="2123">
        <v>33.909999999999997</v>
      </c>
      <c r="HP783" s="2123">
        <v>33.909999999999997</v>
      </c>
      <c r="HQ783" s="2123">
        <v>34.79</v>
      </c>
      <c r="HR783" s="2123">
        <v>34.79</v>
      </c>
      <c r="HS783" s="2123">
        <v>34.79</v>
      </c>
      <c r="HT783" s="2123">
        <v>34.79</v>
      </c>
      <c r="HU783" s="2123">
        <v>34.79</v>
      </c>
      <c r="HV783" s="2123">
        <v>34.79</v>
      </c>
      <c r="HW783" s="2123">
        <v>34.85</v>
      </c>
      <c r="HX783" s="2123">
        <v>34.85</v>
      </c>
    </row>
    <row r="784" spans="2:232" s="2040" customFormat="1" ht="14" hidden="1" x14ac:dyDescent="0.3">
      <c r="B784" s="2203">
        <v>90</v>
      </c>
      <c r="C784" s="2204">
        <v>47.72</v>
      </c>
      <c r="D784" s="2204">
        <v>47.72</v>
      </c>
      <c r="E784" s="2204">
        <v>47.78</v>
      </c>
      <c r="F784" s="2204">
        <v>47.78</v>
      </c>
      <c r="G784" s="2204">
        <v>186.75</v>
      </c>
      <c r="H784" s="2204">
        <v>186.75</v>
      </c>
      <c r="I784" s="2204">
        <v>177.84</v>
      </c>
      <c r="J784" s="2204">
        <v>177.84</v>
      </c>
      <c r="K784" s="2204">
        <v>181.5</v>
      </c>
      <c r="L784" s="2204">
        <v>181.5</v>
      </c>
      <c r="M784" s="2204"/>
      <c r="N784" s="2204"/>
      <c r="O784" s="2204">
        <v>149.5</v>
      </c>
      <c r="P784" s="2204">
        <v>149.5</v>
      </c>
      <c r="Q784" s="2204">
        <v>148.94</v>
      </c>
      <c r="R784" s="2204">
        <v>149.5</v>
      </c>
      <c r="S784" s="2204">
        <v>280.96999999999997</v>
      </c>
      <c r="T784" s="2204">
        <v>280.75</v>
      </c>
      <c r="U784" s="2204">
        <v>271.01</v>
      </c>
      <c r="V784" s="2204">
        <v>271.01</v>
      </c>
      <c r="W784" s="2204">
        <v>280.75</v>
      </c>
      <c r="X784" s="2204">
        <v>280.75</v>
      </c>
      <c r="Y784" s="2204">
        <v>271.01</v>
      </c>
      <c r="Z784" s="2204">
        <v>280.75</v>
      </c>
      <c r="AA784" s="2204">
        <v>280.75</v>
      </c>
      <c r="AB784" s="2204">
        <v>280.75</v>
      </c>
      <c r="AC784" s="2204">
        <v>271.01</v>
      </c>
      <c r="AD784" s="2204">
        <v>271.01</v>
      </c>
      <c r="AE784" s="2204">
        <v>292.17</v>
      </c>
      <c r="AF784" s="2204">
        <v>283.76</v>
      </c>
      <c r="AG784" s="2204">
        <v>292.17</v>
      </c>
      <c r="AH784" s="2204">
        <v>292.17</v>
      </c>
      <c r="AI784" s="2204">
        <v>283.76</v>
      </c>
      <c r="AJ784" s="2204">
        <v>283.76</v>
      </c>
      <c r="AK784" s="2204">
        <v>284.07</v>
      </c>
      <c r="AL784" s="2204">
        <v>284.07</v>
      </c>
      <c r="AM784" s="2204">
        <v>78.989999999999995</v>
      </c>
      <c r="AN784" s="2204">
        <v>76.13</v>
      </c>
      <c r="AO784" s="2204">
        <v>76.13</v>
      </c>
      <c r="AP784" s="2204">
        <v>76.05</v>
      </c>
      <c r="AQ784" s="2204">
        <v>76.28</v>
      </c>
      <c r="AR784" s="2204">
        <v>76.28</v>
      </c>
      <c r="AS784" s="2204">
        <v>230.71</v>
      </c>
      <c r="AT784" s="2204">
        <v>230.71</v>
      </c>
      <c r="AU784" s="2204">
        <v>230.71</v>
      </c>
      <c r="AV784" s="2204">
        <v>235.74</v>
      </c>
      <c r="AW784" s="2204">
        <v>230.88</v>
      </c>
      <c r="AX784" s="2204">
        <v>230.88</v>
      </c>
      <c r="AY784" s="2204">
        <v>230.99</v>
      </c>
      <c r="AZ784" s="2204">
        <v>230.99</v>
      </c>
      <c r="BA784" s="2123">
        <v>100.87</v>
      </c>
      <c r="BB784" s="2123">
        <v>100.87</v>
      </c>
      <c r="BC784" s="2123">
        <v>25.76</v>
      </c>
      <c r="BD784" s="2123">
        <v>25.89</v>
      </c>
      <c r="BE784" s="2123">
        <v>28.4</v>
      </c>
      <c r="BF784" s="2123">
        <v>28.4</v>
      </c>
      <c r="BG784" s="2123">
        <v>25.81</v>
      </c>
      <c r="BH784" s="2123">
        <v>25.81</v>
      </c>
      <c r="BI784" s="2123">
        <v>25.59</v>
      </c>
      <c r="BJ784" s="2123">
        <v>25.59</v>
      </c>
      <c r="BK784" s="2123">
        <v>25.59</v>
      </c>
      <c r="BL784" s="2123">
        <v>25.59</v>
      </c>
      <c r="BM784" s="2123">
        <v>57.72</v>
      </c>
      <c r="BN784" s="2123">
        <v>57.72</v>
      </c>
      <c r="BO784" s="2123">
        <v>182.14</v>
      </c>
      <c r="BP784" s="2123">
        <v>182.14</v>
      </c>
      <c r="BQ784" s="2123">
        <v>182.14</v>
      </c>
      <c r="BR784" s="2123">
        <v>182.14</v>
      </c>
      <c r="BS784" s="2123">
        <v>237.29</v>
      </c>
      <c r="BT784" s="2123">
        <v>237.29</v>
      </c>
      <c r="BU784" s="2123">
        <v>237.29</v>
      </c>
      <c r="BV784" s="2123">
        <v>237.29</v>
      </c>
      <c r="BW784" s="2123">
        <v>237.29</v>
      </c>
      <c r="BX784" s="2123">
        <v>237.29</v>
      </c>
      <c r="BY784" s="2123">
        <v>52.4</v>
      </c>
      <c r="BZ784" s="2123">
        <v>52.4</v>
      </c>
      <c r="CA784" s="2123">
        <v>174.47</v>
      </c>
      <c r="CB784" s="2123">
        <v>174.47</v>
      </c>
      <c r="CC784" s="2123">
        <v>177.15</v>
      </c>
      <c r="CD784" s="2123">
        <v>177.15</v>
      </c>
      <c r="CE784" s="2123">
        <v>234.05</v>
      </c>
      <c r="CF784" s="2123">
        <v>234.05</v>
      </c>
      <c r="CG784" s="2123"/>
      <c r="CH784" s="2123"/>
      <c r="CI784" s="2123"/>
      <c r="CJ784" s="2123"/>
      <c r="CK784" s="2123">
        <v>130.04</v>
      </c>
      <c r="CL784" s="2123">
        <v>130.04</v>
      </c>
      <c r="CM784" s="2123">
        <v>261.68</v>
      </c>
      <c r="CN784" s="2123">
        <v>261.68</v>
      </c>
      <c r="CO784" s="2123">
        <v>339.54</v>
      </c>
      <c r="CP784" s="2123">
        <v>339.54</v>
      </c>
      <c r="CQ784" s="2123">
        <v>339.54</v>
      </c>
      <c r="CR784" s="2123">
        <v>339.54</v>
      </c>
      <c r="CS784" s="2123"/>
      <c r="CT784" s="2123"/>
      <c r="CU784" s="2123"/>
      <c r="CV784" s="2123"/>
      <c r="CW784" s="2123">
        <v>121.82</v>
      </c>
      <c r="CX784" s="2123">
        <v>121.82</v>
      </c>
      <c r="CY784" s="2123">
        <v>253.41</v>
      </c>
      <c r="CZ784" s="2123">
        <v>253.41</v>
      </c>
      <c r="DA784" s="2123">
        <v>253.41</v>
      </c>
      <c r="DB784" s="2123">
        <v>253.41</v>
      </c>
      <c r="DC784" s="2123">
        <v>329.12</v>
      </c>
      <c r="DD784" s="2123">
        <v>329.12</v>
      </c>
      <c r="DE784" s="2123">
        <v>329.12</v>
      </c>
      <c r="DF784" s="2123">
        <v>329.12</v>
      </c>
      <c r="DG784" s="2123"/>
      <c r="DH784" s="2123"/>
      <c r="DI784" s="2123">
        <v>32.17</v>
      </c>
      <c r="DJ784" s="2123">
        <v>32.17</v>
      </c>
      <c r="DK784" s="2123">
        <v>32.17</v>
      </c>
      <c r="DL784" s="2123">
        <v>32.17</v>
      </c>
      <c r="DM784" s="2123">
        <v>32.17</v>
      </c>
      <c r="DN784" s="2123">
        <v>32.17</v>
      </c>
      <c r="DO784" s="2123"/>
      <c r="DP784" s="2123"/>
      <c r="DQ784" s="2123"/>
      <c r="DR784" s="2123"/>
      <c r="DS784" s="2123"/>
      <c r="DT784" s="2123"/>
      <c r="DU784" s="2123">
        <v>14.32</v>
      </c>
      <c r="DV784" s="2123">
        <v>14.32</v>
      </c>
      <c r="DW784" s="2123">
        <v>13.89</v>
      </c>
      <c r="DX784" s="2123">
        <v>13.89</v>
      </c>
      <c r="DY784" s="2123">
        <v>13.89</v>
      </c>
      <c r="DZ784" s="2123">
        <v>13.89</v>
      </c>
      <c r="EA784" s="2123"/>
      <c r="EB784" s="2123"/>
      <c r="EC784" s="2123"/>
      <c r="ED784" s="2123"/>
      <c r="EE784" s="2123"/>
      <c r="EF784" s="2123"/>
      <c r="EG784" s="2123">
        <v>15.35</v>
      </c>
      <c r="EH784" s="2123">
        <v>15.51</v>
      </c>
      <c r="EI784" s="2123">
        <v>12.78</v>
      </c>
      <c r="EJ784" s="2123">
        <v>12.78</v>
      </c>
      <c r="EK784" s="2123">
        <v>12.79</v>
      </c>
      <c r="EL784" s="2123">
        <v>12.79</v>
      </c>
      <c r="EM784" s="2123">
        <v>13.32</v>
      </c>
      <c r="EN784" s="2123">
        <v>13.32</v>
      </c>
      <c r="EO784" s="2123">
        <v>12.69</v>
      </c>
      <c r="EP784" s="2123">
        <v>12.69</v>
      </c>
      <c r="EQ784" s="2123">
        <v>13.06</v>
      </c>
      <c r="ER784" s="2123">
        <v>12.87</v>
      </c>
      <c r="ES784" s="2123">
        <v>58.86</v>
      </c>
      <c r="ET784" s="2123">
        <v>58.86</v>
      </c>
      <c r="EU784" s="2123">
        <v>260.39</v>
      </c>
      <c r="EV784" s="2123">
        <v>260.39</v>
      </c>
      <c r="EW784" s="2123">
        <v>254.92</v>
      </c>
      <c r="EX784" s="2123">
        <v>254.92</v>
      </c>
      <c r="EY784" s="2129">
        <f t="shared" si="56"/>
        <v>257.65499999999997</v>
      </c>
      <c r="EZ784" s="2129">
        <f t="shared" si="56"/>
        <v>257.65499999999997</v>
      </c>
      <c r="FA784" s="2123">
        <v>257.72000000000003</v>
      </c>
      <c r="FB784" s="2123">
        <v>257.72000000000003</v>
      </c>
      <c r="FC784" s="2123"/>
      <c r="FD784" s="2123"/>
      <c r="FE784" s="2123">
        <v>50.63</v>
      </c>
      <c r="FF784" s="2123">
        <v>50.63</v>
      </c>
      <c r="FG784" s="2123">
        <v>219.62</v>
      </c>
      <c r="FH784" s="2123">
        <v>219.62</v>
      </c>
      <c r="FI784" s="2123">
        <v>219.62</v>
      </c>
      <c r="FJ784" s="2123">
        <v>220.7</v>
      </c>
      <c r="FK784" s="2123">
        <v>219.28</v>
      </c>
      <c r="FL784" s="2123">
        <v>219.28</v>
      </c>
      <c r="FM784" s="2123">
        <v>219.76</v>
      </c>
      <c r="FN784" s="2123">
        <v>219.76</v>
      </c>
      <c r="FO784" s="2123"/>
      <c r="FP784" s="2123"/>
      <c r="FQ784" s="2123">
        <v>114.4</v>
      </c>
      <c r="FR784" s="2123">
        <v>114.4</v>
      </c>
      <c r="FS784" s="2123">
        <v>231.03</v>
      </c>
      <c r="FT784" s="2123">
        <v>231.03</v>
      </c>
      <c r="FU784" s="2123">
        <v>231.03</v>
      </c>
      <c r="FV784" s="2123">
        <v>231.03</v>
      </c>
      <c r="FW784" s="2123">
        <v>231.3</v>
      </c>
      <c r="FX784" s="2123">
        <v>231.3</v>
      </c>
      <c r="FY784" s="2123"/>
      <c r="FZ784" s="2123"/>
      <c r="GA784" s="2123"/>
      <c r="GB784" s="2123"/>
      <c r="GC784" s="2123">
        <v>80.78</v>
      </c>
      <c r="GD784" s="2123">
        <v>80.78</v>
      </c>
      <c r="GE784" s="2123">
        <v>181.03</v>
      </c>
      <c r="GF784" s="2123">
        <v>181.03</v>
      </c>
      <c r="GG784" s="2123">
        <v>181.03</v>
      </c>
      <c r="GH784" s="2123">
        <v>181.03</v>
      </c>
      <c r="GI784" s="2123">
        <v>205.46</v>
      </c>
      <c r="GJ784" s="2123">
        <v>205.46</v>
      </c>
      <c r="GK784" s="2123">
        <v>227.78</v>
      </c>
      <c r="GL784" s="2123">
        <v>227.78</v>
      </c>
      <c r="GM784" s="2123"/>
      <c r="GN784" s="2123"/>
      <c r="GO784" s="2123">
        <v>43.26</v>
      </c>
      <c r="GP784" s="2123">
        <v>43.26</v>
      </c>
      <c r="GQ784" s="2123">
        <v>38.4</v>
      </c>
      <c r="GR784" s="2123">
        <v>38.4</v>
      </c>
      <c r="GS784" s="2123">
        <v>38.4</v>
      </c>
      <c r="GT784" s="2123">
        <v>37.049999999999997</v>
      </c>
      <c r="GU784" s="2123">
        <v>37.049999999999997</v>
      </c>
      <c r="GV784" s="2123">
        <v>37.229999999999997</v>
      </c>
      <c r="GW784" s="2123">
        <v>217.53</v>
      </c>
      <c r="GX784" s="2123">
        <v>217.53</v>
      </c>
      <c r="GY784" s="2123"/>
      <c r="GZ784" s="2123"/>
      <c r="HA784" s="2123">
        <v>30.14</v>
      </c>
      <c r="HB784" s="2123">
        <v>30.14</v>
      </c>
      <c r="HC784" s="2123">
        <v>24.09</v>
      </c>
      <c r="HD784" s="2123">
        <v>24.09</v>
      </c>
      <c r="HE784" s="2123">
        <v>24.69</v>
      </c>
      <c r="HF784" s="2123">
        <v>24.69</v>
      </c>
      <c r="HG784" s="2123">
        <v>24.69</v>
      </c>
      <c r="HH784" s="2123">
        <v>24.69</v>
      </c>
      <c r="HI784" s="2123">
        <v>24.69</v>
      </c>
      <c r="HJ784" s="2123">
        <v>24.69</v>
      </c>
      <c r="HK784" s="2123">
        <v>24.78</v>
      </c>
      <c r="HL784" s="2123">
        <v>24.92</v>
      </c>
      <c r="HM784" s="2123">
        <v>42.24</v>
      </c>
      <c r="HN784" s="2123">
        <v>42.24</v>
      </c>
      <c r="HO784" s="2123">
        <v>34.049999999999997</v>
      </c>
      <c r="HP784" s="2123">
        <v>34.049999999999997</v>
      </c>
      <c r="HQ784" s="2123">
        <v>34.92</v>
      </c>
      <c r="HR784" s="2123">
        <v>34.92</v>
      </c>
      <c r="HS784" s="2123">
        <v>34.92</v>
      </c>
      <c r="HT784" s="2123">
        <v>34.92</v>
      </c>
      <c r="HU784" s="2123">
        <v>34.92</v>
      </c>
      <c r="HV784" s="2123">
        <v>34.92</v>
      </c>
      <c r="HW784" s="2123">
        <v>34.99</v>
      </c>
      <c r="HX784" s="2123">
        <v>34.99</v>
      </c>
    </row>
    <row r="785" spans="2:232" s="2040" customFormat="1" ht="14" hidden="1" x14ac:dyDescent="0.3">
      <c r="B785" s="2203">
        <v>91</v>
      </c>
      <c r="C785" s="2204">
        <v>47.83</v>
      </c>
      <c r="D785" s="2204">
        <v>47.83</v>
      </c>
      <c r="E785" s="2204">
        <v>47.89</v>
      </c>
      <c r="F785" s="2204">
        <v>47.89</v>
      </c>
      <c r="G785" s="2204">
        <v>187.28</v>
      </c>
      <c r="H785" s="2204">
        <v>187.28</v>
      </c>
      <c r="I785" s="2204">
        <v>178.39</v>
      </c>
      <c r="J785" s="2204">
        <v>178.39</v>
      </c>
      <c r="K785" s="2204">
        <v>181.98</v>
      </c>
      <c r="L785" s="2204">
        <v>181.98</v>
      </c>
      <c r="M785" s="2204"/>
      <c r="N785" s="2204"/>
      <c r="O785" s="2204">
        <v>149.84</v>
      </c>
      <c r="P785" s="2204">
        <v>149.84</v>
      </c>
      <c r="Q785" s="2204">
        <v>149.27000000000001</v>
      </c>
      <c r="R785" s="2204">
        <v>149.85</v>
      </c>
      <c r="S785" s="2204">
        <v>281.89</v>
      </c>
      <c r="T785" s="2204">
        <v>281.68</v>
      </c>
      <c r="U785" s="2204">
        <v>271.89999999999998</v>
      </c>
      <c r="V785" s="2204">
        <v>271.89999999999998</v>
      </c>
      <c r="W785" s="2204">
        <v>281.68</v>
      </c>
      <c r="X785" s="2204">
        <v>281.68</v>
      </c>
      <c r="Y785" s="2204">
        <v>271.89999999999998</v>
      </c>
      <c r="Z785" s="2204">
        <v>281.68</v>
      </c>
      <c r="AA785" s="2204">
        <v>281.68</v>
      </c>
      <c r="AB785" s="2204">
        <v>281.68</v>
      </c>
      <c r="AC785" s="2204">
        <v>271.89999999999998</v>
      </c>
      <c r="AD785" s="2204">
        <v>271.89999999999998</v>
      </c>
      <c r="AE785" s="2204">
        <v>293</v>
      </c>
      <c r="AF785" s="2204">
        <v>284.56</v>
      </c>
      <c r="AG785" s="2204">
        <v>293</v>
      </c>
      <c r="AH785" s="2204">
        <v>293</v>
      </c>
      <c r="AI785" s="2204">
        <v>284.56</v>
      </c>
      <c r="AJ785" s="2204">
        <v>284.56</v>
      </c>
      <c r="AK785" s="2204">
        <v>284.86</v>
      </c>
      <c r="AL785" s="2204">
        <v>284.86</v>
      </c>
      <c r="AM785" s="2204">
        <v>79.17</v>
      </c>
      <c r="AN785" s="2204">
        <v>76.3</v>
      </c>
      <c r="AO785" s="2204">
        <v>76.3</v>
      </c>
      <c r="AP785" s="2204">
        <v>76.22</v>
      </c>
      <c r="AQ785" s="2204">
        <v>76.45</v>
      </c>
      <c r="AR785" s="2204">
        <v>76.45</v>
      </c>
      <c r="AS785" s="2204">
        <v>231.38</v>
      </c>
      <c r="AT785" s="2204">
        <v>231.38</v>
      </c>
      <c r="AU785" s="2204">
        <v>231.38</v>
      </c>
      <c r="AV785" s="2204">
        <v>236.42</v>
      </c>
      <c r="AW785" s="2204">
        <v>231.54</v>
      </c>
      <c r="AX785" s="2204">
        <v>231.54</v>
      </c>
      <c r="AY785" s="2204">
        <v>231.66</v>
      </c>
      <c r="AZ785" s="2204">
        <v>231.66</v>
      </c>
      <c r="BA785" s="2123">
        <v>101.18</v>
      </c>
      <c r="BB785" s="2123">
        <v>101.18</v>
      </c>
      <c r="BC785" s="2123">
        <v>25.85</v>
      </c>
      <c r="BD785" s="2123">
        <v>25.98</v>
      </c>
      <c r="BE785" s="2123">
        <v>28.46</v>
      </c>
      <c r="BF785" s="2123">
        <v>28.46</v>
      </c>
      <c r="BG785" s="2123">
        <v>25.9</v>
      </c>
      <c r="BH785" s="2123">
        <v>25.9</v>
      </c>
      <c r="BI785" s="2123">
        <v>25.68</v>
      </c>
      <c r="BJ785" s="2123">
        <v>25.68</v>
      </c>
      <c r="BK785" s="2123">
        <v>25.68</v>
      </c>
      <c r="BL785" s="2123">
        <v>25.68</v>
      </c>
      <c r="BM785" s="2123">
        <v>57.86</v>
      </c>
      <c r="BN785" s="2123">
        <v>57.86</v>
      </c>
      <c r="BO785" s="2123">
        <v>182.63</v>
      </c>
      <c r="BP785" s="2123">
        <v>182.63</v>
      </c>
      <c r="BQ785" s="2123">
        <v>182.63</v>
      </c>
      <c r="BR785" s="2123">
        <v>182.63</v>
      </c>
      <c r="BS785" s="2123">
        <v>238.04</v>
      </c>
      <c r="BT785" s="2123">
        <v>238.04</v>
      </c>
      <c r="BU785" s="2123">
        <v>238.04</v>
      </c>
      <c r="BV785" s="2123">
        <v>238.04</v>
      </c>
      <c r="BW785" s="2123">
        <v>238.04</v>
      </c>
      <c r="BX785" s="2123">
        <v>238.04</v>
      </c>
      <c r="BY785" s="2123">
        <v>52.52</v>
      </c>
      <c r="BZ785" s="2123">
        <v>52.52</v>
      </c>
      <c r="CA785" s="2123">
        <v>174.95</v>
      </c>
      <c r="CB785" s="2123">
        <v>174.95</v>
      </c>
      <c r="CC785" s="2123">
        <v>177.64</v>
      </c>
      <c r="CD785" s="2123">
        <v>177.64</v>
      </c>
      <c r="CE785" s="2123">
        <v>234.81</v>
      </c>
      <c r="CF785" s="2123">
        <v>234.81</v>
      </c>
      <c r="CG785" s="2123"/>
      <c r="CH785" s="2123"/>
      <c r="CI785" s="2123"/>
      <c r="CJ785" s="2123"/>
      <c r="CK785" s="2123">
        <v>130.32</v>
      </c>
      <c r="CL785" s="2123">
        <v>130.32</v>
      </c>
      <c r="CM785" s="2123">
        <v>262.17</v>
      </c>
      <c r="CN785" s="2123">
        <v>262.17</v>
      </c>
      <c r="CO785" s="2123">
        <v>340.36</v>
      </c>
      <c r="CP785" s="2123">
        <v>340.36</v>
      </c>
      <c r="CQ785" s="2123">
        <v>340.36</v>
      </c>
      <c r="CR785" s="2123">
        <v>340.36</v>
      </c>
      <c r="CS785" s="2123"/>
      <c r="CT785" s="2123"/>
      <c r="CU785" s="2123"/>
      <c r="CV785" s="2123"/>
      <c r="CW785" s="2123">
        <v>122.1</v>
      </c>
      <c r="CX785" s="2123">
        <v>122.1</v>
      </c>
      <c r="CY785" s="2123">
        <v>253.92</v>
      </c>
      <c r="CZ785" s="2123">
        <v>253.92</v>
      </c>
      <c r="DA785" s="2123">
        <v>253.92</v>
      </c>
      <c r="DB785" s="2123">
        <v>253.92</v>
      </c>
      <c r="DC785" s="2123">
        <v>329.94</v>
      </c>
      <c r="DD785" s="2123">
        <v>329.94</v>
      </c>
      <c r="DE785" s="2123">
        <v>329.94</v>
      </c>
      <c r="DF785" s="2123">
        <v>329.94</v>
      </c>
      <c r="DG785" s="2123"/>
      <c r="DH785" s="2123"/>
      <c r="DI785" s="2123">
        <v>32.24</v>
      </c>
      <c r="DJ785" s="2123">
        <v>32.24</v>
      </c>
      <c r="DK785" s="2123">
        <v>32.24</v>
      </c>
      <c r="DL785" s="2123">
        <v>32.24</v>
      </c>
      <c r="DM785" s="2123">
        <v>32.24</v>
      </c>
      <c r="DN785" s="2123">
        <v>32.24</v>
      </c>
      <c r="DO785" s="2123"/>
      <c r="DP785" s="2123"/>
      <c r="DQ785" s="2123"/>
      <c r="DR785" s="2123"/>
      <c r="DS785" s="2123"/>
      <c r="DT785" s="2123"/>
      <c r="DU785" s="2123">
        <v>14.36</v>
      </c>
      <c r="DV785" s="2123">
        <v>14.36</v>
      </c>
      <c r="DW785" s="2123">
        <v>13.94</v>
      </c>
      <c r="DX785" s="2123">
        <v>13.94</v>
      </c>
      <c r="DY785" s="2123">
        <v>13.94</v>
      </c>
      <c r="DZ785" s="2123">
        <v>13.94</v>
      </c>
      <c r="EA785" s="2123"/>
      <c r="EB785" s="2123"/>
      <c r="EC785" s="2123"/>
      <c r="ED785" s="2123"/>
      <c r="EE785" s="2123"/>
      <c r="EF785" s="2123"/>
      <c r="EG785" s="2123">
        <v>15.38</v>
      </c>
      <c r="EH785" s="2123">
        <v>15.54</v>
      </c>
      <c r="EI785" s="2123">
        <v>12.83</v>
      </c>
      <c r="EJ785" s="2123">
        <v>12.83</v>
      </c>
      <c r="EK785" s="2123">
        <v>12.84</v>
      </c>
      <c r="EL785" s="2123">
        <v>12.84</v>
      </c>
      <c r="EM785" s="2123">
        <v>13.37</v>
      </c>
      <c r="EN785" s="2123">
        <v>13.37</v>
      </c>
      <c r="EO785" s="2123">
        <v>12.73</v>
      </c>
      <c r="EP785" s="2123">
        <v>12.73</v>
      </c>
      <c r="EQ785" s="2123">
        <v>13.11</v>
      </c>
      <c r="ER785" s="2123">
        <v>12.91</v>
      </c>
      <c r="ES785" s="2123">
        <v>58.99</v>
      </c>
      <c r="ET785" s="2123">
        <v>58.99</v>
      </c>
      <c r="EU785" s="2123">
        <v>261.24</v>
      </c>
      <c r="EV785" s="2123">
        <v>261.24</v>
      </c>
      <c r="EW785" s="2123">
        <v>255.76</v>
      </c>
      <c r="EX785" s="2123">
        <v>255.76</v>
      </c>
      <c r="EY785" s="2129">
        <f t="shared" si="56"/>
        <v>258.5</v>
      </c>
      <c r="EZ785" s="2129">
        <f t="shared" si="56"/>
        <v>258.5</v>
      </c>
      <c r="FA785" s="2123">
        <v>258.52999999999997</v>
      </c>
      <c r="FB785" s="2123">
        <v>258.52999999999997</v>
      </c>
      <c r="FC785" s="2123"/>
      <c r="FD785" s="2123"/>
      <c r="FE785" s="2123">
        <v>50.75</v>
      </c>
      <c r="FF785" s="2123">
        <v>50.75</v>
      </c>
      <c r="FG785" s="2123">
        <v>220.34</v>
      </c>
      <c r="FH785" s="2123">
        <v>220.34</v>
      </c>
      <c r="FI785" s="2123">
        <v>220.34</v>
      </c>
      <c r="FJ785" s="2123">
        <v>221.4</v>
      </c>
      <c r="FK785" s="2123">
        <v>220.01</v>
      </c>
      <c r="FL785" s="2123">
        <v>220.01</v>
      </c>
      <c r="FM785" s="2123">
        <v>220.48</v>
      </c>
      <c r="FN785" s="2123">
        <v>220.48</v>
      </c>
      <c r="FO785" s="2123"/>
      <c r="FP785" s="2123"/>
      <c r="FQ785" s="2123">
        <v>114.66</v>
      </c>
      <c r="FR785" s="2123">
        <v>114.66</v>
      </c>
      <c r="FS785" s="2123">
        <v>231.66</v>
      </c>
      <c r="FT785" s="2123">
        <v>231.66</v>
      </c>
      <c r="FU785" s="2123">
        <v>231.66</v>
      </c>
      <c r="FV785" s="2123">
        <v>231.66</v>
      </c>
      <c r="FW785" s="2123">
        <v>231.92</v>
      </c>
      <c r="FX785" s="2123">
        <v>231.92</v>
      </c>
      <c r="FY785" s="2123"/>
      <c r="FZ785" s="2123"/>
      <c r="GA785" s="2123"/>
      <c r="GB785" s="2123"/>
      <c r="GC785" s="2123">
        <v>80.97</v>
      </c>
      <c r="GD785" s="2123">
        <v>80.97</v>
      </c>
      <c r="GE785" s="2123">
        <v>181.41</v>
      </c>
      <c r="GF785" s="2123">
        <v>181.41</v>
      </c>
      <c r="GG785" s="2123">
        <v>181.41</v>
      </c>
      <c r="GH785" s="2123">
        <v>181.41</v>
      </c>
      <c r="GI785" s="2123">
        <v>206.33</v>
      </c>
      <c r="GJ785" s="2123">
        <v>206.33</v>
      </c>
      <c r="GK785" s="2123">
        <v>228.49</v>
      </c>
      <c r="GL785" s="2123">
        <v>228.49</v>
      </c>
      <c r="GM785" s="2123"/>
      <c r="GN785" s="2123"/>
      <c r="GO785" s="2123">
        <v>43.36</v>
      </c>
      <c r="GP785" s="2123">
        <v>43.36</v>
      </c>
      <c r="GQ785" s="2123">
        <v>38.53</v>
      </c>
      <c r="GR785" s="2123">
        <v>38.53</v>
      </c>
      <c r="GS785" s="2123">
        <v>38.53</v>
      </c>
      <c r="GT785" s="2123">
        <v>37.17</v>
      </c>
      <c r="GU785" s="2123">
        <v>37.17</v>
      </c>
      <c r="GV785" s="2123">
        <v>37.36</v>
      </c>
      <c r="GW785" s="2123">
        <v>218.24</v>
      </c>
      <c r="GX785" s="2123">
        <v>218.24</v>
      </c>
      <c r="GY785" s="2123"/>
      <c r="GZ785" s="2123"/>
      <c r="HA785" s="2123">
        <v>30.21</v>
      </c>
      <c r="HB785" s="2123">
        <v>30.21</v>
      </c>
      <c r="HC785" s="2123">
        <v>24.19</v>
      </c>
      <c r="HD785" s="2123">
        <v>24.19</v>
      </c>
      <c r="HE785" s="2123">
        <v>24.78</v>
      </c>
      <c r="HF785" s="2123">
        <v>24.78</v>
      </c>
      <c r="HG785" s="2123">
        <v>24.78</v>
      </c>
      <c r="HH785" s="2123">
        <v>24.78</v>
      </c>
      <c r="HI785" s="2123">
        <v>24.78</v>
      </c>
      <c r="HJ785" s="2123">
        <v>24.78</v>
      </c>
      <c r="HK785" s="2123">
        <v>24.88</v>
      </c>
      <c r="HL785" s="2123">
        <v>25.01</v>
      </c>
      <c r="HM785" s="2123">
        <v>42.34</v>
      </c>
      <c r="HN785" s="2123">
        <v>42.34</v>
      </c>
      <c r="HO785" s="2123">
        <v>34.19</v>
      </c>
      <c r="HP785" s="2123">
        <v>34.19</v>
      </c>
      <c r="HQ785" s="2123">
        <v>35.049999999999997</v>
      </c>
      <c r="HR785" s="2123">
        <v>35.049999999999997</v>
      </c>
      <c r="HS785" s="2123">
        <v>35.049999999999997</v>
      </c>
      <c r="HT785" s="2123">
        <v>35.049999999999997</v>
      </c>
      <c r="HU785" s="2123">
        <v>35.049999999999997</v>
      </c>
      <c r="HV785" s="2123">
        <v>35.049999999999997</v>
      </c>
      <c r="HW785" s="2123">
        <v>35.119999999999997</v>
      </c>
      <c r="HX785" s="2123">
        <v>35.119999999999997</v>
      </c>
    </row>
    <row r="786" spans="2:232" s="2040" customFormat="1" ht="14" hidden="1" x14ac:dyDescent="0.3">
      <c r="B786" s="2203">
        <v>92</v>
      </c>
      <c r="C786" s="2204">
        <v>47.93</v>
      </c>
      <c r="D786" s="2204">
        <v>47.93</v>
      </c>
      <c r="E786" s="2204">
        <v>47.99</v>
      </c>
      <c r="F786" s="2204">
        <v>47.99</v>
      </c>
      <c r="G786" s="2204">
        <v>187.8</v>
      </c>
      <c r="H786" s="2204">
        <v>187.8</v>
      </c>
      <c r="I786" s="2204">
        <v>178.93</v>
      </c>
      <c r="J786" s="2204">
        <v>178.93</v>
      </c>
      <c r="K786" s="2204">
        <v>182.46</v>
      </c>
      <c r="L786" s="2204">
        <v>182.46</v>
      </c>
      <c r="M786" s="2204"/>
      <c r="N786" s="2204"/>
      <c r="O786" s="2204">
        <v>150.18</v>
      </c>
      <c r="P786" s="2204">
        <v>150.18</v>
      </c>
      <c r="Q786" s="2204">
        <v>149.6</v>
      </c>
      <c r="R786" s="2204">
        <v>150.19</v>
      </c>
      <c r="S786" s="2204">
        <v>282.8</v>
      </c>
      <c r="T786" s="2204">
        <v>282.58</v>
      </c>
      <c r="U786" s="2204">
        <v>272.77</v>
      </c>
      <c r="V786" s="2204">
        <v>272.77</v>
      </c>
      <c r="W786" s="2204">
        <v>282.58</v>
      </c>
      <c r="X786" s="2204">
        <v>282.58</v>
      </c>
      <c r="Y786" s="2204">
        <v>272.77</v>
      </c>
      <c r="Z786" s="2204">
        <v>282.58</v>
      </c>
      <c r="AA786" s="2204">
        <v>282.58</v>
      </c>
      <c r="AB786" s="2204">
        <v>282.58</v>
      </c>
      <c r="AC786" s="2204">
        <v>272.77</v>
      </c>
      <c r="AD786" s="2204">
        <v>272.77</v>
      </c>
      <c r="AE786" s="2204">
        <v>293.81</v>
      </c>
      <c r="AF786" s="2204">
        <v>285.33999999999997</v>
      </c>
      <c r="AG786" s="2204">
        <v>293.81</v>
      </c>
      <c r="AH786" s="2204">
        <v>293.81</v>
      </c>
      <c r="AI786" s="2204">
        <v>285.33999999999997</v>
      </c>
      <c r="AJ786" s="2204">
        <v>285.33999999999997</v>
      </c>
      <c r="AK786" s="2204">
        <v>285.64</v>
      </c>
      <c r="AL786" s="2204">
        <v>285.64</v>
      </c>
      <c r="AM786" s="2204">
        <v>79.349999999999994</v>
      </c>
      <c r="AN786" s="2204">
        <v>76.47</v>
      </c>
      <c r="AO786" s="2204">
        <v>76.47</v>
      </c>
      <c r="AP786" s="2204">
        <v>76.400000000000006</v>
      </c>
      <c r="AQ786" s="2204">
        <v>76.61</v>
      </c>
      <c r="AR786" s="2204">
        <v>76.61</v>
      </c>
      <c r="AS786" s="2204">
        <v>232.04</v>
      </c>
      <c r="AT786" s="2204">
        <v>232.04</v>
      </c>
      <c r="AU786" s="2204">
        <v>232.04</v>
      </c>
      <c r="AV786" s="2204">
        <v>237.08</v>
      </c>
      <c r="AW786" s="2204">
        <v>232.2</v>
      </c>
      <c r="AX786" s="2204">
        <v>232.2</v>
      </c>
      <c r="AY786" s="2204">
        <v>232.32</v>
      </c>
      <c r="AZ786" s="2204">
        <v>232.32</v>
      </c>
      <c r="BA786" s="2123">
        <v>101.48</v>
      </c>
      <c r="BB786" s="2123">
        <v>101.48</v>
      </c>
      <c r="BC786" s="2123">
        <v>25.94</v>
      </c>
      <c r="BD786" s="2123">
        <v>26.07</v>
      </c>
      <c r="BE786" s="2123">
        <v>28.53</v>
      </c>
      <c r="BF786" s="2123">
        <v>28.53</v>
      </c>
      <c r="BG786" s="2123">
        <v>25.99</v>
      </c>
      <c r="BH786" s="2123">
        <v>25.99</v>
      </c>
      <c r="BI786" s="2123">
        <v>25.77</v>
      </c>
      <c r="BJ786" s="2123">
        <v>25.77</v>
      </c>
      <c r="BK786" s="2123">
        <v>25.77</v>
      </c>
      <c r="BL786" s="2123">
        <v>25.77</v>
      </c>
      <c r="BM786" s="2123">
        <v>57.99</v>
      </c>
      <c r="BN786" s="2123">
        <v>57.99</v>
      </c>
      <c r="BO786" s="2123">
        <v>183.1</v>
      </c>
      <c r="BP786" s="2123">
        <v>183.1</v>
      </c>
      <c r="BQ786" s="2123">
        <v>183.1</v>
      </c>
      <c r="BR786" s="2123">
        <v>183.1</v>
      </c>
      <c r="BS786" s="2123">
        <v>238.78</v>
      </c>
      <c r="BT786" s="2123">
        <v>238.78</v>
      </c>
      <c r="BU786" s="2123">
        <v>238.78</v>
      </c>
      <c r="BV786" s="2123">
        <v>238.78</v>
      </c>
      <c r="BW786" s="2123">
        <v>238.78</v>
      </c>
      <c r="BX786" s="2123">
        <v>238.78</v>
      </c>
      <c r="BY786" s="2123">
        <v>52.63</v>
      </c>
      <c r="BZ786" s="2123">
        <v>52.63</v>
      </c>
      <c r="CA786" s="2123">
        <v>175.41</v>
      </c>
      <c r="CB786" s="2123">
        <v>175.41</v>
      </c>
      <c r="CC786" s="2123">
        <v>178.12</v>
      </c>
      <c r="CD786" s="2123">
        <v>178.12</v>
      </c>
      <c r="CE786" s="2123">
        <v>235.56</v>
      </c>
      <c r="CF786" s="2123">
        <v>235.56</v>
      </c>
      <c r="CG786" s="2123"/>
      <c r="CH786" s="2123"/>
      <c r="CI786" s="2123"/>
      <c r="CJ786" s="2123"/>
      <c r="CK786" s="2123">
        <v>130.6</v>
      </c>
      <c r="CL786" s="2123">
        <v>130.6</v>
      </c>
      <c r="CM786" s="2123">
        <v>262.66000000000003</v>
      </c>
      <c r="CN786" s="2123">
        <v>262.66000000000003</v>
      </c>
      <c r="CO786" s="2123">
        <v>341.16</v>
      </c>
      <c r="CP786" s="2123">
        <v>341.16</v>
      </c>
      <c r="CQ786" s="2123">
        <v>341.16</v>
      </c>
      <c r="CR786" s="2123">
        <v>341.16</v>
      </c>
      <c r="CS786" s="2123"/>
      <c r="CT786" s="2123"/>
      <c r="CU786" s="2123"/>
      <c r="CV786" s="2123"/>
      <c r="CW786" s="2123">
        <v>122.37</v>
      </c>
      <c r="CX786" s="2123">
        <v>122.37</v>
      </c>
      <c r="CY786" s="2123">
        <v>254.42</v>
      </c>
      <c r="CZ786" s="2123">
        <v>254.42</v>
      </c>
      <c r="DA786" s="2123">
        <v>254.42</v>
      </c>
      <c r="DB786" s="2123">
        <v>254.42</v>
      </c>
      <c r="DC786" s="2123">
        <v>330.75</v>
      </c>
      <c r="DD786" s="2123">
        <v>330.75</v>
      </c>
      <c r="DE786" s="2123">
        <v>330.75</v>
      </c>
      <c r="DF786" s="2123">
        <v>330.75</v>
      </c>
      <c r="DG786" s="2123"/>
      <c r="DH786" s="2123"/>
      <c r="DI786" s="2123">
        <v>32.31</v>
      </c>
      <c r="DJ786" s="2123">
        <v>32.31</v>
      </c>
      <c r="DK786" s="2123">
        <v>32.31</v>
      </c>
      <c r="DL786" s="2123">
        <v>32.31</v>
      </c>
      <c r="DM786" s="2123">
        <v>32.31</v>
      </c>
      <c r="DN786" s="2123">
        <v>32.31</v>
      </c>
      <c r="DO786" s="2123"/>
      <c r="DP786" s="2123"/>
      <c r="DQ786" s="2123"/>
      <c r="DR786" s="2123"/>
      <c r="DS786" s="2123"/>
      <c r="DT786" s="2123"/>
      <c r="DU786" s="2123">
        <v>14.39</v>
      </c>
      <c r="DV786" s="2123">
        <v>14.39</v>
      </c>
      <c r="DW786" s="2123">
        <v>13.97</v>
      </c>
      <c r="DX786" s="2123">
        <v>13.97</v>
      </c>
      <c r="DY786" s="2123">
        <v>13.97</v>
      </c>
      <c r="DZ786" s="2123">
        <v>13.97</v>
      </c>
      <c r="EA786" s="2123"/>
      <c r="EB786" s="2123"/>
      <c r="EC786" s="2123"/>
      <c r="ED786" s="2123"/>
      <c r="EE786" s="2123"/>
      <c r="EF786" s="2123"/>
      <c r="EG786" s="2123">
        <v>15.42</v>
      </c>
      <c r="EH786" s="2123">
        <v>15.57</v>
      </c>
      <c r="EI786" s="2123">
        <v>12.88</v>
      </c>
      <c r="EJ786" s="2123">
        <v>12.88</v>
      </c>
      <c r="EK786" s="2123">
        <v>12.88</v>
      </c>
      <c r="EL786" s="2123">
        <v>12.88</v>
      </c>
      <c r="EM786" s="2123">
        <v>13.41</v>
      </c>
      <c r="EN786" s="2123">
        <v>13.41</v>
      </c>
      <c r="EO786" s="2123">
        <v>12.78</v>
      </c>
      <c r="EP786" s="2123">
        <v>12.78</v>
      </c>
      <c r="EQ786" s="2123">
        <v>13.15</v>
      </c>
      <c r="ER786" s="2123">
        <v>12.96</v>
      </c>
      <c r="ES786" s="2123">
        <v>59.13</v>
      </c>
      <c r="ET786" s="2123">
        <v>59.13</v>
      </c>
      <c r="EU786" s="2123">
        <v>262.07</v>
      </c>
      <c r="EV786" s="2123">
        <v>262.07</v>
      </c>
      <c r="EW786" s="2123">
        <v>256.58</v>
      </c>
      <c r="EX786" s="2123">
        <v>256.58</v>
      </c>
      <c r="EY786" s="2129">
        <f t="shared" si="56"/>
        <v>259.32499999999999</v>
      </c>
      <c r="EZ786" s="2129">
        <f t="shared" si="56"/>
        <v>259.32499999999999</v>
      </c>
      <c r="FA786" s="2123">
        <v>259.32</v>
      </c>
      <c r="FB786" s="2123">
        <v>259.32</v>
      </c>
      <c r="FC786" s="2123"/>
      <c r="FD786" s="2123"/>
      <c r="FE786" s="2123">
        <v>50.87</v>
      </c>
      <c r="FF786" s="2123">
        <v>50.87</v>
      </c>
      <c r="FG786" s="2123">
        <v>221.05</v>
      </c>
      <c r="FH786" s="2123">
        <v>221.05</v>
      </c>
      <c r="FI786" s="2123">
        <v>221.05</v>
      </c>
      <c r="FJ786" s="2123">
        <v>222.09</v>
      </c>
      <c r="FK786" s="2123">
        <v>220.73</v>
      </c>
      <c r="FL786" s="2123">
        <v>220.73</v>
      </c>
      <c r="FM786" s="2123">
        <v>221.19</v>
      </c>
      <c r="FN786" s="2123">
        <v>221.19</v>
      </c>
      <c r="FO786" s="2123"/>
      <c r="FP786" s="2123"/>
      <c r="FQ786" s="2123">
        <v>114.92</v>
      </c>
      <c r="FR786" s="2123">
        <v>114.92</v>
      </c>
      <c r="FS786" s="2123">
        <v>232.27</v>
      </c>
      <c r="FT786" s="2123">
        <v>232.27</v>
      </c>
      <c r="FU786" s="2123">
        <v>232.27</v>
      </c>
      <c r="FV786" s="2123">
        <v>232.27</v>
      </c>
      <c r="FW786" s="2123">
        <v>232.52</v>
      </c>
      <c r="FX786" s="2123">
        <v>232.52</v>
      </c>
      <c r="FY786" s="2123"/>
      <c r="FZ786" s="2123"/>
      <c r="GA786" s="2123"/>
      <c r="GB786" s="2123"/>
      <c r="GC786" s="2123">
        <v>81.150000000000006</v>
      </c>
      <c r="GD786" s="2123">
        <v>81.150000000000006</v>
      </c>
      <c r="GE786" s="2123">
        <v>181.78</v>
      </c>
      <c r="GF786" s="2123">
        <v>181.78</v>
      </c>
      <c r="GG786" s="2123">
        <v>181.78</v>
      </c>
      <c r="GH786" s="2123">
        <v>181.78</v>
      </c>
      <c r="GI786" s="2123">
        <v>207.19</v>
      </c>
      <c r="GJ786" s="2123">
        <v>207.19</v>
      </c>
      <c r="GK786" s="2123">
        <v>229.18</v>
      </c>
      <c r="GL786" s="2123">
        <v>229.18</v>
      </c>
      <c r="GM786" s="2123"/>
      <c r="GN786" s="2123"/>
      <c r="GO786" s="2123">
        <v>43.45</v>
      </c>
      <c r="GP786" s="2123">
        <v>43.45</v>
      </c>
      <c r="GQ786" s="2123">
        <v>38.659999999999997</v>
      </c>
      <c r="GR786" s="2123">
        <v>38.659999999999997</v>
      </c>
      <c r="GS786" s="2123">
        <v>38.659999999999997</v>
      </c>
      <c r="GT786" s="2123">
        <v>37.299999999999997</v>
      </c>
      <c r="GU786" s="2123">
        <v>37.299999999999997</v>
      </c>
      <c r="GV786" s="2123">
        <v>37.479999999999997</v>
      </c>
      <c r="GW786" s="2123">
        <v>218.94</v>
      </c>
      <c r="GX786" s="2123">
        <v>218.94</v>
      </c>
      <c r="GY786" s="2123"/>
      <c r="GZ786" s="2123"/>
      <c r="HA786" s="2123">
        <v>30.28</v>
      </c>
      <c r="HB786" s="2123">
        <v>30.28</v>
      </c>
      <c r="HC786" s="2123">
        <v>24.28</v>
      </c>
      <c r="HD786" s="2123">
        <v>24.28</v>
      </c>
      <c r="HE786" s="2123">
        <v>24.87</v>
      </c>
      <c r="HF786" s="2123">
        <v>24.87</v>
      </c>
      <c r="HG786" s="2123">
        <v>24.87</v>
      </c>
      <c r="HH786" s="2123">
        <v>24.87</v>
      </c>
      <c r="HI786" s="2123">
        <v>24.87</v>
      </c>
      <c r="HJ786" s="2123">
        <v>24.87</v>
      </c>
      <c r="HK786" s="2123">
        <v>24.97</v>
      </c>
      <c r="HL786" s="2123">
        <v>25.1</v>
      </c>
      <c r="HM786" s="2123">
        <v>42.43</v>
      </c>
      <c r="HN786" s="2123">
        <v>42.43</v>
      </c>
      <c r="HO786" s="2123">
        <v>34.32</v>
      </c>
      <c r="HP786" s="2123">
        <v>34.32</v>
      </c>
      <c r="HQ786" s="2123">
        <v>35.18</v>
      </c>
      <c r="HR786" s="2123">
        <v>35.18</v>
      </c>
      <c r="HS786" s="2123">
        <v>35.18</v>
      </c>
      <c r="HT786" s="2123">
        <v>35.18</v>
      </c>
      <c r="HU786" s="2123">
        <v>35.18</v>
      </c>
      <c r="HV786" s="2123">
        <v>35.18</v>
      </c>
      <c r="HW786" s="2123">
        <v>35.25</v>
      </c>
      <c r="HX786" s="2123">
        <v>35.25</v>
      </c>
    </row>
    <row r="787" spans="2:232" s="2040" customFormat="1" ht="14" hidden="1" x14ac:dyDescent="0.3">
      <c r="B787" s="2203">
        <v>93</v>
      </c>
      <c r="C787" s="2204">
        <v>48.04</v>
      </c>
      <c r="D787" s="2204">
        <v>48.04</v>
      </c>
      <c r="E787" s="2204">
        <v>48.09</v>
      </c>
      <c r="F787" s="2204">
        <v>48.09</v>
      </c>
      <c r="G787" s="2204">
        <v>188.31</v>
      </c>
      <c r="H787" s="2204">
        <v>188.31</v>
      </c>
      <c r="I787" s="2204">
        <v>179.46</v>
      </c>
      <c r="J787" s="2204">
        <v>179.46</v>
      </c>
      <c r="K787" s="2204">
        <v>182.92</v>
      </c>
      <c r="L787" s="2204">
        <v>182.92</v>
      </c>
      <c r="M787" s="2204"/>
      <c r="N787" s="2204"/>
      <c r="O787" s="2204">
        <v>150.51</v>
      </c>
      <c r="P787" s="2204">
        <v>150.51</v>
      </c>
      <c r="Q787" s="2204">
        <v>149.93</v>
      </c>
      <c r="R787" s="2204">
        <v>150.52000000000001</v>
      </c>
      <c r="S787" s="2204">
        <v>283.69</v>
      </c>
      <c r="T787" s="2204">
        <v>283.47000000000003</v>
      </c>
      <c r="U787" s="2204">
        <v>273.63</v>
      </c>
      <c r="V787" s="2204">
        <v>273.63</v>
      </c>
      <c r="W787" s="2204">
        <v>283.47000000000003</v>
      </c>
      <c r="X787" s="2204">
        <v>283.47000000000003</v>
      </c>
      <c r="Y787" s="2204">
        <v>273.63</v>
      </c>
      <c r="Z787" s="2204">
        <v>283.47000000000003</v>
      </c>
      <c r="AA787" s="2204">
        <v>283.47000000000003</v>
      </c>
      <c r="AB787" s="2204">
        <v>283.47000000000003</v>
      </c>
      <c r="AC787" s="2204">
        <v>273.63</v>
      </c>
      <c r="AD787" s="2204">
        <v>273.63</v>
      </c>
      <c r="AE787" s="2204">
        <v>294.60000000000002</v>
      </c>
      <c r="AF787" s="2204">
        <v>286.11</v>
      </c>
      <c r="AG787" s="2204">
        <v>294.60000000000002</v>
      </c>
      <c r="AH787" s="2204">
        <v>294.60000000000002</v>
      </c>
      <c r="AI787" s="2204">
        <v>286.11</v>
      </c>
      <c r="AJ787" s="2204">
        <v>286.11</v>
      </c>
      <c r="AK787" s="2204">
        <v>286.39999999999998</v>
      </c>
      <c r="AL787" s="2204">
        <v>286.39999999999998</v>
      </c>
      <c r="AM787" s="2204">
        <v>79.53</v>
      </c>
      <c r="AN787" s="2204">
        <v>76.64</v>
      </c>
      <c r="AO787" s="2204">
        <v>76.64</v>
      </c>
      <c r="AP787" s="2204">
        <v>76.56</v>
      </c>
      <c r="AQ787" s="2204">
        <v>76.78</v>
      </c>
      <c r="AR787" s="2204">
        <v>76.78</v>
      </c>
      <c r="AS787" s="2204">
        <v>232.69</v>
      </c>
      <c r="AT787" s="2204">
        <v>232.69</v>
      </c>
      <c r="AU787" s="2204">
        <v>232.69</v>
      </c>
      <c r="AV787" s="2204">
        <v>237.74</v>
      </c>
      <c r="AW787" s="2204">
        <v>232.84</v>
      </c>
      <c r="AX787" s="2204">
        <v>232.84</v>
      </c>
      <c r="AY787" s="2204">
        <v>232.96</v>
      </c>
      <c r="AZ787" s="2204">
        <v>232.96</v>
      </c>
      <c r="BA787" s="2123">
        <v>101.77</v>
      </c>
      <c r="BB787" s="2123">
        <v>101.77</v>
      </c>
      <c r="BC787" s="2123">
        <v>26.03</v>
      </c>
      <c r="BD787" s="2123">
        <v>26.16</v>
      </c>
      <c r="BE787" s="2123">
        <v>28.6</v>
      </c>
      <c r="BF787" s="2123">
        <v>28.6</v>
      </c>
      <c r="BG787" s="2123">
        <v>26.08</v>
      </c>
      <c r="BH787" s="2123">
        <v>26.08</v>
      </c>
      <c r="BI787" s="2123">
        <v>25.86</v>
      </c>
      <c r="BJ787" s="2123">
        <v>25.86</v>
      </c>
      <c r="BK787" s="2123">
        <v>25.86</v>
      </c>
      <c r="BL787" s="2123">
        <v>25.86</v>
      </c>
      <c r="BM787" s="2123">
        <v>58.11</v>
      </c>
      <c r="BN787" s="2123">
        <v>58.11</v>
      </c>
      <c r="BO787" s="2123">
        <v>183.57</v>
      </c>
      <c r="BP787" s="2123">
        <v>183.57</v>
      </c>
      <c r="BQ787" s="2123">
        <v>183.57</v>
      </c>
      <c r="BR787" s="2123">
        <v>183.57</v>
      </c>
      <c r="BS787" s="2123">
        <v>239.51</v>
      </c>
      <c r="BT787" s="2123">
        <v>239.51</v>
      </c>
      <c r="BU787" s="2123">
        <v>239.51</v>
      </c>
      <c r="BV787" s="2123">
        <v>239.51</v>
      </c>
      <c r="BW787" s="2123">
        <v>239.51</v>
      </c>
      <c r="BX787" s="2123">
        <v>239.51</v>
      </c>
      <c r="BY787" s="2123">
        <v>52.75</v>
      </c>
      <c r="BZ787" s="2123">
        <v>52.75</v>
      </c>
      <c r="CA787" s="2123">
        <v>175.87</v>
      </c>
      <c r="CB787" s="2123">
        <v>175.87</v>
      </c>
      <c r="CC787" s="2123">
        <v>178.58</v>
      </c>
      <c r="CD787" s="2123">
        <v>178.58</v>
      </c>
      <c r="CE787" s="2123">
        <v>236.29</v>
      </c>
      <c r="CF787" s="2123">
        <v>236.29</v>
      </c>
      <c r="CG787" s="2123"/>
      <c r="CH787" s="2123"/>
      <c r="CI787" s="2123"/>
      <c r="CJ787" s="2123"/>
      <c r="CK787" s="2123">
        <v>130.87</v>
      </c>
      <c r="CL787" s="2123">
        <v>130.87</v>
      </c>
      <c r="CM787" s="2123">
        <v>263.14</v>
      </c>
      <c r="CN787" s="2123">
        <v>263.14</v>
      </c>
      <c r="CO787" s="2123">
        <v>341.95</v>
      </c>
      <c r="CP787" s="2123">
        <v>341.95</v>
      </c>
      <c r="CQ787" s="2123">
        <v>341.95</v>
      </c>
      <c r="CR787" s="2123">
        <v>341.95</v>
      </c>
      <c r="CS787" s="2123"/>
      <c r="CT787" s="2123"/>
      <c r="CU787" s="2123"/>
      <c r="CV787" s="2123"/>
      <c r="CW787" s="2123">
        <v>122.64</v>
      </c>
      <c r="CX787" s="2123">
        <v>122.64</v>
      </c>
      <c r="CY787" s="2123">
        <v>254.9</v>
      </c>
      <c r="CZ787" s="2123">
        <v>254.9</v>
      </c>
      <c r="DA787" s="2123">
        <v>254.9</v>
      </c>
      <c r="DB787" s="2123">
        <v>254.9</v>
      </c>
      <c r="DC787" s="2123">
        <v>331.55</v>
      </c>
      <c r="DD787" s="2123">
        <v>331.55</v>
      </c>
      <c r="DE787" s="2123">
        <v>331.55</v>
      </c>
      <c r="DF787" s="2123">
        <v>331.55</v>
      </c>
      <c r="DG787" s="2123"/>
      <c r="DH787" s="2123"/>
      <c r="DI787" s="2123">
        <v>32.380000000000003</v>
      </c>
      <c r="DJ787" s="2123">
        <v>32.380000000000003</v>
      </c>
      <c r="DK787" s="2123">
        <v>32.380000000000003</v>
      </c>
      <c r="DL787" s="2123">
        <v>32.380000000000003</v>
      </c>
      <c r="DM787" s="2123">
        <v>32.380000000000003</v>
      </c>
      <c r="DN787" s="2123">
        <v>32.380000000000003</v>
      </c>
      <c r="DO787" s="2123"/>
      <c r="DP787" s="2123"/>
      <c r="DQ787" s="2123"/>
      <c r="DR787" s="2123"/>
      <c r="DS787" s="2123"/>
      <c r="DT787" s="2123"/>
      <c r="DU787" s="2123">
        <v>14.42</v>
      </c>
      <c r="DV787" s="2123">
        <v>14.42</v>
      </c>
      <c r="DW787" s="2123">
        <v>13.99</v>
      </c>
      <c r="DX787" s="2123">
        <v>13.99</v>
      </c>
      <c r="DY787" s="2123">
        <v>13.99</v>
      </c>
      <c r="DZ787" s="2123">
        <v>13.99</v>
      </c>
      <c r="EA787" s="2123"/>
      <c r="EB787" s="2123"/>
      <c r="EC787" s="2123"/>
      <c r="ED787" s="2123"/>
      <c r="EE787" s="2123"/>
      <c r="EF787" s="2123"/>
      <c r="EG787" s="2123">
        <v>15.45</v>
      </c>
      <c r="EH787" s="2123">
        <v>15.61</v>
      </c>
      <c r="EI787" s="2123">
        <v>12.93</v>
      </c>
      <c r="EJ787" s="2123">
        <v>12.93</v>
      </c>
      <c r="EK787" s="2123">
        <v>12.93</v>
      </c>
      <c r="EL787" s="2123">
        <v>12.93</v>
      </c>
      <c r="EM787" s="2123">
        <v>13.46</v>
      </c>
      <c r="EN787" s="2123">
        <v>13.46</v>
      </c>
      <c r="EO787" s="2123">
        <v>12.82</v>
      </c>
      <c r="EP787" s="2123">
        <v>12.82</v>
      </c>
      <c r="EQ787" s="2123">
        <v>13.2</v>
      </c>
      <c r="ER787" s="2123">
        <v>13</v>
      </c>
      <c r="ES787" s="2123">
        <v>59.26</v>
      </c>
      <c r="ET787" s="2123">
        <v>59.26</v>
      </c>
      <c r="EU787" s="2123">
        <v>262.88</v>
      </c>
      <c r="EV787" s="2123">
        <v>262.88</v>
      </c>
      <c r="EW787" s="2123">
        <v>257.38</v>
      </c>
      <c r="EX787" s="2123">
        <v>257.38</v>
      </c>
      <c r="EY787" s="2129">
        <f t="shared" si="56"/>
        <v>260.13</v>
      </c>
      <c r="EZ787" s="2129">
        <f t="shared" si="56"/>
        <v>260.13</v>
      </c>
      <c r="FA787" s="2123">
        <v>260.08999999999997</v>
      </c>
      <c r="FB787" s="2123">
        <v>260.08999999999997</v>
      </c>
      <c r="FC787" s="2123"/>
      <c r="FD787" s="2123"/>
      <c r="FE787" s="2123">
        <v>50.98</v>
      </c>
      <c r="FF787" s="2123">
        <v>50.98</v>
      </c>
      <c r="FG787" s="2123">
        <v>221.75</v>
      </c>
      <c r="FH787" s="2123">
        <v>221.75</v>
      </c>
      <c r="FI787" s="2123">
        <v>221.75</v>
      </c>
      <c r="FJ787" s="2123">
        <v>222.77</v>
      </c>
      <c r="FK787" s="2123">
        <v>221.43</v>
      </c>
      <c r="FL787" s="2123">
        <v>221.43</v>
      </c>
      <c r="FM787" s="2123">
        <v>221.88</v>
      </c>
      <c r="FN787" s="2123">
        <v>221.88</v>
      </c>
      <c r="FO787" s="2123"/>
      <c r="FP787" s="2123"/>
      <c r="FQ787" s="2123">
        <v>115.18</v>
      </c>
      <c r="FR787" s="2123">
        <v>115.18</v>
      </c>
      <c r="FS787" s="2123">
        <v>232.87</v>
      </c>
      <c r="FT787" s="2123">
        <v>232.87</v>
      </c>
      <c r="FU787" s="2123">
        <v>232.87</v>
      </c>
      <c r="FV787" s="2123">
        <v>232.87</v>
      </c>
      <c r="FW787" s="2123">
        <v>233.12</v>
      </c>
      <c r="FX787" s="2123">
        <v>233.12</v>
      </c>
      <c r="FY787" s="2123"/>
      <c r="FZ787" s="2123"/>
      <c r="GA787" s="2123"/>
      <c r="GB787" s="2123"/>
      <c r="GC787" s="2123">
        <v>81.33</v>
      </c>
      <c r="GD787" s="2123">
        <v>81.33</v>
      </c>
      <c r="GE787" s="2123">
        <v>182.15</v>
      </c>
      <c r="GF787" s="2123">
        <v>182.15</v>
      </c>
      <c r="GG787" s="2123">
        <v>182.15</v>
      </c>
      <c r="GH787" s="2123">
        <v>182.15</v>
      </c>
      <c r="GI787" s="2123">
        <v>208.04</v>
      </c>
      <c r="GJ787" s="2123">
        <v>208.04</v>
      </c>
      <c r="GK787" s="2123">
        <v>229.86</v>
      </c>
      <c r="GL787" s="2123">
        <v>229.86</v>
      </c>
      <c r="GM787" s="2123"/>
      <c r="GN787" s="2123"/>
      <c r="GO787" s="2123">
        <v>43.55</v>
      </c>
      <c r="GP787" s="2123">
        <v>43.55</v>
      </c>
      <c r="GQ787" s="2123">
        <v>38.78</v>
      </c>
      <c r="GR787" s="2123">
        <v>38.78</v>
      </c>
      <c r="GS787" s="2123">
        <v>38.78</v>
      </c>
      <c r="GT787" s="2123">
        <v>37.42</v>
      </c>
      <c r="GU787" s="2123">
        <v>37.42</v>
      </c>
      <c r="GV787" s="2123">
        <v>37.6</v>
      </c>
      <c r="GW787" s="2123">
        <v>219.62</v>
      </c>
      <c r="GX787" s="2123">
        <v>219.62</v>
      </c>
      <c r="GY787" s="2123"/>
      <c r="GZ787" s="2123"/>
      <c r="HA787" s="2123">
        <v>30.34</v>
      </c>
      <c r="HB787" s="2123">
        <v>30.34</v>
      </c>
      <c r="HC787" s="2123">
        <v>24.38</v>
      </c>
      <c r="HD787" s="2123">
        <v>24.38</v>
      </c>
      <c r="HE787" s="2123">
        <v>24.96</v>
      </c>
      <c r="HF787" s="2123">
        <v>24.96</v>
      </c>
      <c r="HG787" s="2123">
        <v>24.96</v>
      </c>
      <c r="HH787" s="2123">
        <v>24.96</v>
      </c>
      <c r="HI787" s="2123">
        <v>24.96</v>
      </c>
      <c r="HJ787" s="2123">
        <v>24.96</v>
      </c>
      <c r="HK787" s="2123">
        <v>25.06</v>
      </c>
      <c r="HL787" s="2123">
        <v>25.19</v>
      </c>
      <c r="HM787" s="2123">
        <v>42.52</v>
      </c>
      <c r="HN787" s="2123">
        <v>42.52</v>
      </c>
      <c r="HO787" s="2123">
        <v>34.46</v>
      </c>
      <c r="HP787" s="2123">
        <v>34.46</v>
      </c>
      <c r="HQ787" s="2123">
        <v>35.299999999999997</v>
      </c>
      <c r="HR787" s="2123">
        <v>35.299999999999997</v>
      </c>
      <c r="HS787" s="2123">
        <v>35.299999999999997</v>
      </c>
      <c r="HT787" s="2123">
        <v>35.299999999999997</v>
      </c>
      <c r="HU787" s="2123">
        <v>35.299999999999997</v>
      </c>
      <c r="HV787" s="2123">
        <v>35.299999999999997</v>
      </c>
      <c r="HW787" s="2123">
        <v>35.369999999999997</v>
      </c>
      <c r="HX787" s="2123">
        <v>35.369999999999997</v>
      </c>
    </row>
    <row r="788" spans="2:232" s="2040" customFormat="1" ht="14" hidden="1" x14ac:dyDescent="0.3">
      <c r="B788" s="2203">
        <v>94</v>
      </c>
      <c r="C788" s="2204">
        <v>48.14</v>
      </c>
      <c r="D788" s="2204">
        <v>48.14</v>
      </c>
      <c r="E788" s="2204">
        <v>48.19</v>
      </c>
      <c r="F788" s="2204">
        <v>48.19</v>
      </c>
      <c r="G788" s="2204">
        <v>188.81</v>
      </c>
      <c r="H788" s="2204">
        <v>188.81</v>
      </c>
      <c r="I788" s="2204">
        <v>179.98</v>
      </c>
      <c r="J788" s="2204">
        <v>179.98</v>
      </c>
      <c r="K788" s="2204">
        <v>183.38</v>
      </c>
      <c r="L788" s="2204">
        <v>183.38</v>
      </c>
      <c r="M788" s="2204"/>
      <c r="N788" s="2204"/>
      <c r="O788" s="2204">
        <v>150.83000000000001</v>
      </c>
      <c r="P788" s="2204">
        <v>150.83000000000001</v>
      </c>
      <c r="Q788" s="2204">
        <v>150.25</v>
      </c>
      <c r="R788" s="2204">
        <v>150.84</v>
      </c>
      <c r="S788" s="2204">
        <v>284.56</v>
      </c>
      <c r="T788" s="2204">
        <v>284.35000000000002</v>
      </c>
      <c r="U788" s="2204">
        <v>274.48</v>
      </c>
      <c r="V788" s="2204">
        <v>274.48</v>
      </c>
      <c r="W788" s="2204">
        <v>284.35000000000002</v>
      </c>
      <c r="X788" s="2204">
        <v>284.35000000000002</v>
      </c>
      <c r="Y788" s="2204">
        <v>274.48</v>
      </c>
      <c r="Z788" s="2204">
        <v>284.35000000000002</v>
      </c>
      <c r="AA788" s="2204">
        <v>284.35000000000002</v>
      </c>
      <c r="AB788" s="2204">
        <v>284.35000000000002</v>
      </c>
      <c r="AC788" s="2204">
        <v>274.48</v>
      </c>
      <c r="AD788" s="2204">
        <v>274.48</v>
      </c>
      <c r="AE788" s="2204">
        <v>295.38</v>
      </c>
      <c r="AF788" s="2204">
        <v>286.87</v>
      </c>
      <c r="AG788" s="2204">
        <v>295.38</v>
      </c>
      <c r="AH788" s="2204">
        <v>295.38</v>
      </c>
      <c r="AI788" s="2204">
        <v>286.87</v>
      </c>
      <c r="AJ788" s="2204">
        <v>286.87</v>
      </c>
      <c r="AK788" s="2204">
        <v>287.14999999999998</v>
      </c>
      <c r="AL788" s="2204">
        <v>287.14999999999998</v>
      </c>
      <c r="AM788" s="2204">
        <v>79.7</v>
      </c>
      <c r="AN788" s="2204">
        <v>76.81</v>
      </c>
      <c r="AO788" s="2204">
        <v>76.81</v>
      </c>
      <c r="AP788" s="2204">
        <v>76.73</v>
      </c>
      <c r="AQ788" s="2204">
        <v>76.94</v>
      </c>
      <c r="AR788" s="2204">
        <v>76.94</v>
      </c>
      <c r="AS788" s="2204">
        <v>233.33</v>
      </c>
      <c r="AT788" s="2204">
        <v>233.33</v>
      </c>
      <c r="AU788" s="2204">
        <v>233.33</v>
      </c>
      <c r="AV788" s="2204">
        <v>238.38</v>
      </c>
      <c r="AW788" s="2204">
        <v>233.47</v>
      </c>
      <c r="AX788" s="2204">
        <v>233.47</v>
      </c>
      <c r="AY788" s="2204">
        <v>233.59</v>
      </c>
      <c r="AZ788" s="2204">
        <v>233.59</v>
      </c>
      <c r="BA788" s="2123">
        <v>102.06</v>
      </c>
      <c r="BB788" s="2123">
        <v>102.06</v>
      </c>
      <c r="BC788" s="2123">
        <v>26.11</v>
      </c>
      <c r="BD788" s="2123">
        <v>26.24</v>
      </c>
      <c r="BE788" s="2123">
        <v>28.66</v>
      </c>
      <c r="BF788" s="2123">
        <v>28.66</v>
      </c>
      <c r="BG788" s="2123">
        <v>26.16</v>
      </c>
      <c r="BH788" s="2123">
        <v>26.16</v>
      </c>
      <c r="BI788" s="2123">
        <v>25.94</v>
      </c>
      <c r="BJ788" s="2123">
        <v>25.94</v>
      </c>
      <c r="BK788" s="2123">
        <v>25.94</v>
      </c>
      <c r="BL788" s="2123">
        <v>25.94</v>
      </c>
      <c r="BM788" s="2123">
        <v>58.24</v>
      </c>
      <c r="BN788" s="2123">
        <v>58.24</v>
      </c>
      <c r="BO788" s="2123">
        <v>184.03</v>
      </c>
      <c r="BP788" s="2123">
        <v>184.03</v>
      </c>
      <c r="BQ788" s="2123">
        <v>184.03</v>
      </c>
      <c r="BR788" s="2123">
        <v>184.03</v>
      </c>
      <c r="BS788" s="2123">
        <v>240.22</v>
      </c>
      <c r="BT788" s="2123">
        <v>240.22</v>
      </c>
      <c r="BU788" s="2123">
        <v>240.22</v>
      </c>
      <c r="BV788" s="2123">
        <v>240.22</v>
      </c>
      <c r="BW788" s="2123">
        <v>240.22</v>
      </c>
      <c r="BX788" s="2123">
        <v>240.22</v>
      </c>
      <c r="BY788" s="2123">
        <v>52.86</v>
      </c>
      <c r="BZ788" s="2123">
        <v>52.86</v>
      </c>
      <c r="CA788" s="2123">
        <v>176.32</v>
      </c>
      <c r="CB788" s="2123">
        <v>176.32</v>
      </c>
      <c r="CC788" s="2123">
        <v>179.04</v>
      </c>
      <c r="CD788" s="2123">
        <v>179.04</v>
      </c>
      <c r="CE788" s="2123">
        <v>237</v>
      </c>
      <c r="CF788" s="2123">
        <v>237</v>
      </c>
      <c r="CG788" s="2123"/>
      <c r="CH788" s="2123"/>
      <c r="CI788" s="2123"/>
      <c r="CJ788" s="2123"/>
      <c r="CK788" s="2123">
        <v>131.13</v>
      </c>
      <c r="CL788" s="2123">
        <v>131.13</v>
      </c>
      <c r="CM788" s="2123">
        <v>263.61</v>
      </c>
      <c r="CN788" s="2123">
        <v>263.61</v>
      </c>
      <c r="CO788" s="2123">
        <v>342.73</v>
      </c>
      <c r="CP788" s="2123">
        <v>342.73</v>
      </c>
      <c r="CQ788" s="2123">
        <v>342.73</v>
      </c>
      <c r="CR788" s="2123">
        <v>342.73</v>
      </c>
      <c r="CS788" s="2123"/>
      <c r="CT788" s="2123"/>
      <c r="CU788" s="2123"/>
      <c r="CV788" s="2123"/>
      <c r="CW788" s="2123">
        <v>122.91</v>
      </c>
      <c r="CX788" s="2123">
        <v>122.91</v>
      </c>
      <c r="CY788" s="2123">
        <v>255.38</v>
      </c>
      <c r="CZ788" s="2123">
        <v>255.38</v>
      </c>
      <c r="DA788" s="2123">
        <v>255.38</v>
      </c>
      <c r="DB788" s="2123">
        <v>255.38</v>
      </c>
      <c r="DC788" s="2123">
        <v>332.33</v>
      </c>
      <c r="DD788" s="2123">
        <v>332.33</v>
      </c>
      <c r="DE788" s="2123">
        <v>332.33</v>
      </c>
      <c r="DF788" s="2123">
        <v>332.33</v>
      </c>
      <c r="DG788" s="2123"/>
      <c r="DH788" s="2123"/>
      <c r="DI788" s="2123">
        <v>32.450000000000003</v>
      </c>
      <c r="DJ788" s="2123">
        <v>32.450000000000003</v>
      </c>
      <c r="DK788" s="2123">
        <v>32.450000000000003</v>
      </c>
      <c r="DL788" s="2123">
        <v>32.450000000000003</v>
      </c>
      <c r="DM788" s="2123">
        <v>32.450000000000003</v>
      </c>
      <c r="DN788" s="2123">
        <v>32.450000000000003</v>
      </c>
      <c r="DO788" s="2123"/>
      <c r="DP788" s="2123"/>
      <c r="DQ788" s="2123"/>
      <c r="DR788" s="2123"/>
      <c r="DS788" s="2123"/>
      <c r="DT788" s="2123"/>
      <c r="DU788" s="2123">
        <v>14.45</v>
      </c>
      <c r="DV788" s="2123">
        <v>14.45</v>
      </c>
      <c r="DW788" s="2123">
        <v>14.03</v>
      </c>
      <c r="DX788" s="2123">
        <v>14.03</v>
      </c>
      <c r="DY788" s="2123">
        <v>14.03</v>
      </c>
      <c r="DZ788" s="2123">
        <v>14.03</v>
      </c>
      <c r="EA788" s="2123"/>
      <c r="EB788" s="2123"/>
      <c r="EC788" s="2123"/>
      <c r="ED788" s="2123"/>
      <c r="EE788" s="2123"/>
      <c r="EF788" s="2123"/>
      <c r="EG788" s="2123">
        <v>15.48</v>
      </c>
      <c r="EH788" s="2123">
        <v>15.64</v>
      </c>
      <c r="EI788" s="2123">
        <v>12.97</v>
      </c>
      <c r="EJ788" s="2123">
        <v>12.97</v>
      </c>
      <c r="EK788" s="2123">
        <v>12.98</v>
      </c>
      <c r="EL788" s="2123">
        <v>12.98</v>
      </c>
      <c r="EM788" s="2123">
        <v>13.5</v>
      </c>
      <c r="EN788" s="2123">
        <v>13.5</v>
      </c>
      <c r="EO788" s="2123">
        <v>12.87</v>
      </c>
      <c r="EP788" s="2123">
        <v>12.87</v>
      </c>
      <c r="EQ788" s="2123">
        <v>13.24</v>
      </c>
      <c r="ER788" s="2123">
        <v>13.04</v>
      </c>
      <c r="ES788" s="2123">
        <v>59.38</v>
      </c>
      <c r="ET788" s="2123">
        <v>59.38</v>
      </c>
      <c r="EU788" s="2123">
        <v>263.68</v>
      </c>
      <c r="EV788" s="2123">
        <v>263.68</v>
      </c>
      <c r="EW788" s="2123">
        <v>258.17</v>
      </c>
      <c r="EX788" s="2123">
        <v>258.17</v>
      </c>
      <c r="EY788" s="2129">
        <f t="shared" si="56"/>
        <v>260.92500000000001</v>
      </c>
      <c r="EZ788" s="2129">
        <f t="shared" si="56"/>
        <v>260.92500000000001</v>
      </c>
      <c r="FA788" s="2123">
        <v>260.85000000000002</v>
      </c>
      <c r="FB788" s="2123">
        <v>260.85000000000002</v>
      </c>
      <c r="FC788" s="2123"/>
      <c r="FD788" s="2123"/>
      <c r="FE788" s="2123">
        <v>51.09</v>
      </c>
      <c r="FF788" s="2123">
        <v>51.09</v>
      </c>
      <c r="FG788" s="2123">
        <v>222.44</v>
      </c>
      <c r="FH788" s="2123">
        <v>222.44</v>
      </c>
      <c r="FI788" s="2123">
        <v>222.44</v>
      </c>
      <c r="FJ788" s="2123">
        <v>223.44</v>
      </c>
      <c r="FK788" s="2123">
        <v>222.12</v>
      </c>
      <c r="FL788" s="2123">
        <v>222.12</v>
      </c>
      <c r="FM788" s="2123">
        <v>222.55</v>
      </c>
      <c r="FN788" s="2123">
        <v>222.55</v>
      </c>
      <c r="FO788" s="2123"/>
      <c r="FP788" s="2123"/>
      <c r="FQ788" s="2123">
        <v>115.43</v>
      </c>
      <c r="FR788" s="2123">
        <v>115.43</v>
      </c>
      <c r="FS788" s="2123">
        <v>233.46</v>
      </c>
      <c r="FT788" s="2123">
        <v>233.46</v>
      </c>
      <c r="FU788" s="2123">
        <v>233.46</v>
      </c>
      <c r="FV788" s="2123">
        <v>233.46</v>
      </c>
      <c r="FW788" s="2123">
        <v>233.7</v>
      </c>
      <c r="FX788" s="2123">
        <v>233.7</v>
      </c>
      <c r="FY788" s="2123"/>
      <c r="FZ788" s="2123"/>
      <c r="GA788" s="2123"/>
      <c r="GB788" s="2123"/>
      <c r="GC788" s="2123">
        <v>81.5</v>
      </c>
      <c r="GD788" s="2123">
        <v>81.5</v>
      </c>
      <c r="GE788" s="2123">
        <v>182.51</v>
      </c>
      <c r="GF788" s="2123">
        <v>182.51</v>
      </c>
      <c r="GG788" s="2123">
        <v>182.51</v>
      </c>
      <c r="GH788" s="2123">
        <v>182.51</v>
      </c>
      <c r="GI788" s="2123">
        <v>208.87</v>
      </c>
      <c r="GJ788" s="2123">
        <v>208.87</v>
      </c>
      <c r="GK788" s="2123">
        <v>230.52</v>
      </c>
      <c r="GL788" s="2123">
        <v>230.52</v>
      </c>
      <c r="GM788" s="2123"/>
      <c r="GN788" s="2123"/>
      <c r="GO788" s="2123">
        <v>43.64</v>
      </c>
      <c r="GP788" s="2123">
        <v>43.64</v>
      </c>
      <c r="GQ788" s="2123">
        <v>38.909999999999997</v>
      </c>
      <c r="GR788" s="2123">
        <v>38.909999999999997</v>
      </c>
      <c r="GS788" s="2123">
        <v>38.909999999999997</v>
      </c>
      <c r="GT788" s="2123">
        <v>37.54</v>
      </c>
      <c r="GU788" s="2123">
        <v>37.54</v>
      </c>
      <c r="GV788" s="2123">
        <v>37.71</v>
      </c>
      <c r="GW788" s="2123">
        <v>220.29</v>
      </c>
      <c r="GX788" s="2123">
        <v>220.29</v>
      </c>
      <c r="GY788" s="2123"/>
      <c r="GZ788" s="2123"/>
      <c r="HA788" s="2123">
        <v>30.41</v>
      </c>
      <c r="HB788" s="2123">
        <v>30.41</v>
      </c>
      <c r="HC788" s="2123">
        <v>24.47</v>
      </c>
      <c r="HD788" s="2123">
        <v>24.47</v>
      </c>
      <c r="HE788" s="2123">
        <v>25.05</v>
      </c>
      <c r="HF788" s="2123">
        <v>25.05</v>
      </c>
      <c r="HG788" s="2123">
        <v>25.05</v>
      </c>
      <c r="HH788" s="2123">
        <v>25.05</v>
      </c>
      <c r="HI788" s="2123">
        <v>25.05</v>
      </c>
      <c r="HJ788" s="2123">
        <v>25.05</v>
      </c>
      <c r="HK788" s="2123">
        <v>25.15</v>
      </c>
      <c r="HL788" s="2123">
        <v>25.28</v>
      </c>
      <c r="HM788" s="2123">
        <v>42.62</v>
      </c>
      <c r="HN788" s="2123">
        <v>42.62</v>
      </c>
      <c r="HO788" s="2123">
        <v>34.590000000000003</v>
      </c>
      <c r="HP788" s="2123">
        <v>34.590000000000003</v>
      </c>
      <c r="HQ788" s="2123">
        <v>35.43</v>
      </c>
      <c r="HR788" s="2123">
        <v>35.43</v>
      </c>
      <c r="HS788" s="2123">
        <v>35.43</v>
      </c>
      <c r="HT788" s="2123">
        <v>35.43</v>
      </c>
      <c r="HU788" s="2123">
        <v>35.43</v>
      </c>
      <c r="HV788" s="2123">
        <v>35.43</v>
      </c>
      <c r="HW788" s="2123">
        <v>35.5</v>
      </c>
      <c r="HX788" s="2123">
        <v>35.5</v>
      </c>
    </row>
    <row r="789" spans="2:232" s="2040" customFormat="1" ht="14" hidden="1" x14ac:dyDescent="0.3">
      <c r="B789" s="2203">
        <v>95</v>
      </c>
      <c r="C789" s="2204">
        <v>48.24</v>
      </c>
      <c r="D789" s="2204">
        <v>48.24</v>
      </c>
      <c r="E789" s="2204">
        <v>48.29</v>
      </c>
      <c r="F789" s="2204">
        <v>48.29</v>
      </c>
      <c r="G789" s="2204">
        <v>189.3</v>
      </c>
      <c r="H789" s="2204">
        <v>189.3</v>
      </c>
      <c r="I789" s="2204">
        <v>180.49</v>
      </c>
      <c r="J789" s="2204">
        <v>180.49</v>
      </c>
      <c r="K789" s="2204">
        <v>183.83</v>
      </c>
      <c r="L789" s="2204">
        <v>183.83</v>
      </c>
      <c r="M789" s="2204"/>
      <c r="N789" s="2204"/>
      <c r="O789" s="2204">
        <v>151.15</v>
      </c>
      <c r="P789" s="2204">
        <v>151.15</v>
      </c>
      <c r="Q789" s="2204">
        <v>150.56</v>
      </c>
      <c r="R789" s="2204">
        <v>151.16</v>
      </c>
      <c r="S789" s="2204">
        <v>285.42</v>
      </c>
      <c r="T789" s="2204">
        <v>285.2</v>
      </c>
      <c r="U789" s="2204">
        <v>275.31</v>
      </c>
      <c r="V789" s="2204">
        <v>275.31</v>
      </c>
      <c r="W789" s="2204">
        <v>285.2</v>
      </c>
      <c r="X789" s="2204">
        <v>285.2</v>
      </c>
      <c r="Y789" s="2204">
        <v>275.31</v>
      </c>
      <c r="Z789" s="2204">
        <v>285.2</v>
      </c>
      <c r="AA789" s="2204">
        <v>285.2</v>
      </c>
      <c r="AB789" s="2204">
        <v>285.2</v>
      </c>
      <c r="AC789" s="2204">
        <v>275.31</v>
      </c>
      <c r="AD789" s="2204">
        <v>275.31</v>
      </c>
      <c r="AE789" s="2204">
        <v>296.14</v>
      </c>
      <c r="AF789" s="2204">
        <v>287.61</v>
      </c>
      <c r="AG789" s="2204">
        <v>296.14</v>
      </c>
      <c r="AH789" s="2204">
        <v>296.14</v>
      </c>
      <c r="AI789" s="2204">
        <v>287.61</v>
      </c>
      <c r="AJ789" s="2204">
        <v>287.61</v>
      </c>
      <c r="AK789" s="2204">
        <v>287.88</v>
      </c>
      <c r="AL789" s="2204">
        <v>287.88</v>
      </c>
      <c r="AM789" s="2204">
        <v>79.86</v>
      </c>
      <c r="AN789" s="2204">
        <v>76.97</v>
      </c>
      <c r="AO789" s="2204">
        <v>76.97</v>
      </c>
      <c r="AP789" s="2204">
        <v>76.89</v>
      </c>
      <c r="AQ789" s="2204">
        <v>77.099999999999994</v>
      </c>
      <c r="AR789" s="2204">
        <v>77.099999999999994</v>
      </c>
      <c r="AS789" s="2204">
        <v>233.95</v>
      </c>
      <c r="AT789" s="2204">
        <v>233.95</v>
      </c>
      <c r="AU789" s="2204">
        <v>233.95</v>
      </c>
      <c r="AV789" s="2204">
        <v>239.01</v>
      </c>
      <c r="AW789" s="2204">
        <v>234.09</v>
      </c>
      <c r="AX789" s="2204">
        <v>234.09</v>
      </c>
      <c r="AY789" s="2204">
        <v>234.21</v>
      </c>
      <c r="AZ789" s="2204">
        <v>234.21</v>
      </c>
      <c r="BA789" s="2123">
        <v>102.34</v>
      </c>
      <c r="BB789" s="2123">
        <v>102.34</v>
      </c>
      <c r="BC789" s="2123">
        <v>26.2</v>
      </c>
      <c r="BD789" s="2123">
        <v>26.33</v>
      </c>
      <c r="BE789" s="2123">
        <v>28.72</v>
      </c>
      <c r="BF789" s="2123">
        <v>28.72</v>
      </c>
      <c r="BG789" s="2123">
        <v>26.25</v>
      </c>
      <c r="BH789" s="2123">
        <v>26.25</v>
      </c>
      <c r="BI789" s="2123">
        <v>26.03</v>
      </c>
      <c r="BJ789" s="2123">
        <v>26.03</v>
      </c>
      <c r="BK789" s="2123">
        <v>26.03</v>
      </c>
      <c r="BL789" s="2123">
        <v>26.03</v>
      </c>
      <c r="BM789" s="2123">
        <v>58.36</v>
      </c>
      <c r="BN789" s="2123">
        <v>58.36</v>
      </c>
      <c r="BO789" s="2123">
        <v>184.48</v>
      </c>
      <c r="BP789" s="2123">
        <v>184.48</v>
      </c>
      <c r="BQ789" s="2123">
        <v>184.48</v>
      </c>
      <c r="BR789" s="2123">
        <v>184.48</v>
      </c>
      <c r="BS789" s="2123">
        <v>240.92</v>
      </c>
      <c r="BT789" s="2123">
        <v>240.92</v>
      </c>
      <c r="BU789" s="2123">
        <v>240.92</v>
      </c>
      <c r="BV789" s="2123">
        <v>240.92</v>
      </c>
      <c r="BW789" s="2123">
        <v>240.92</v>
      </c>
      <c r="BX789" s="2123">
        <v>240.92</v>
      </c>
      <c r="BY789" s="2123">
        <v>52.97</v>
      </c>
      <c r="BZ789" s="2123">
        <v>52.97</v>
      </c>
      <c r="CA789" s="2123">
        <v>176.76</v>
      </c>
      <c r="CB789" s="2123">
        <v>176.76</v>
      </c>
      <c r="CC789" s="2123">
        <v>179.49</v>
      </c>
      <c r="CD789" s="2123">
        <v>179.49</v>
      </c>
      <c r="CE789" s="2123">
        <v>237.71</v>
      </c>
      <c r="CF789" s="2123">
        <v>237.71</v>
      </c>
      <c r="CG789" s="2123"/>
      <c r="CH789" s="2123"/>
      <c r="CI789" s="2123"/>
      <c r="CJ789" s="2123"/>
      <c r="CK789" s="2123">
        <v>131.38999999999999</v>
      </c>
      <c r="CL789" s="2123">
        <v>131.38999999999999</v>
      </c>
      <c r="CM789" s="2123">
        <v>264.07</v>
      </c>
      <c r="CN789" s="2123">
        <v>264.07</v>
      </c>
      <c r="CO789" s="2123">
        <v>343.49</v>
      </c>
      <c r="CP789" s="2123">
        <v>343.49</v>
      </c>
      <c r="CQ789" s="2123">
        <v>343.49</v>
      </c>
      <c r="CR789" s="2123">
        <v>343.49</v>
      </c>
      <c r="CS789" s="2123"/>
      <c r="CT789" s="2123"/>
      <c r="CU789" s="2123"/>
      <c r="CV789" s="2123"/>
      <c r="CW789" s="2123">
        <v>123.17</v>
      </c>
      <c r="CX789" s="2123">
        <v>123.17</v>
      </c>
      <c r="CY789" s="2123">
        <v>255.85</v>
      </c>
      <c r="CZ789" s="2123">
        <v>255.85</v>
      </c>
      <c r="DA789" s="2123">
        <v>255.85</v>
      </c>
      <c r="DB789" s="2123">
        <v>255.85</v>
      </c>
      <c r="DC789" s="2123">
        <v>333.1</v>
      </c>
      <c r="DD789" s="2123">
        <v>333.1</v>
      </c>
      <c r="DE789" s="2123">
        <v>333.1</v>
      </c>
      <c r="DF789" s="2123">
        <v>333.1</v>
      </c>
      <c r="DG789" s="2123"/>
      <c r="DH789" s="2123"/>
      <c r="DI789" s="2123">
        <v>32.520000000000003</v>
      </c>
      <c r="DJ789" s="2123">
        <v>32.520000000000003</v>
      </c>
      <c r="DK789" s="2123">
        <v>32.520000000000003</v>
      </c>
      <c r="DL789" s="2123">
        <v>32.520000000000003</v>
      </c>
      <c r="DM789" s="2123">
        <v>32.520000000000003</v>
      </c>
      <c r="DN789" s="2123">
        <v>32.520000000000003</v>
      </c>
      <c r="DO789" s="2123"/>
      <c r="DP789" s="2123"/>
      <c r="DQ789" s="2123"/>
      <c r="DR789" s="2123"/>
      <c r="DS789" s="2123"/>
      <c r="DT789" s="2123"/>
      <c r="DU789" s="2123">
        <v>14.48</v>
      </c>
      <c r="DV789" s="2123">
        <v>14.48</v>
      </c>
      <c r="DW789" s="2123">
        <v>14.07</v>
      </c>
      <c r="DX789" s="2123">
        <v>14.07</v>
      </c>
      <c r="DY789" s="2123">
        <v>14.07</v>
      </c>
      <c r="DZ789" s="2123">
        <v>14.07</v>
      </c>
      <c r="EA789" s="2123"/>
      <c r="EB789" s="2123"/>
      <c r="EC789" s="2123"/>
      <c r="ED789" s="2123"/>
      <c r="EE789" s="2123"/>
      <c r="EF789" s="2123"/>
      <c r="EG789" s="2123">
        <v>15.51</v>
      </c>
      <c r="EH789" s="2123">
        <v>15.67</v>
      </c>
      <c r="EI789" s="2123">
        <v>13.02</v>
      </c>
      <c r="EJ789" s="2123">
        <v>13.02</v>
      </c>
      <c r="EK789" s="2123">
        <v>13.02</v>
      </c>
      <c r="EL789" s="2123">
        <v>13.02</v>
      </c>
      <c r="EM789" s="2123">
        <v>13.54</v>
      </c>
      <c r="EN789" s="2123">
        <v>13.54</v>
      </c>
      <c r="EO789" s="2123">
        <v>12.91</v>
      </c>
      <c r="EP789" s="2123">
        <v>12.91</v>
      </c>
      <c r="EQ789" s="2123">
        <v>13.28</v>
      </c>
      <c r="ER789" s="2123">
        <v>13.08</v>
      </c>
      <c r="ES789" s="2123">
        <v>59.51</v>
      </c>
      <c r="ET789" s="2123">
        <v>59.51</v>
      </c>
      <c r="EU789" s="2123">
        <v>264.45999999999998</v>
      </c>
      <c r="EV789" s="2123">
        <v>264.45999999999998</v>
      </c>
      <c r="EW789" s="2123">
        <v>258.95</v>
      </c>
      <c r="EX789" s="2123">
        <v>258.95</v>
      </c>
      <c r="EY789" s="2129">
        <f t="shared" si="56"/>
        <v>261.70499999999998</v>
      </c>
      <c r="EZ789" s="2129">
        <f t="shared" si="56"/>
        <v>261.70499999999998</v>
      </c>
      <c r="FA789" s="2123">
        <v>261.60000000000002</v>
      </c>
      <c r="FB789" s="2123">
        <v>261.60000000000002</v>
      </c>
      <c r="FC789" s="2123"/>
      <c r="FD789" s="2123"/>
      <c r="FE789" s="2123">
        <v>51.2</v>
      </c>
      <c r="FF789" s="2123">
        <v>51.2</v>
      </c>
      <c r="FG789" s="2123">
        <v>223.11</v>
      </c>
      <c r="FH789" s="2123">
        <v>223.11</v>
      </c>
      <c r="FI789" s="2123">
        <v>223.11</v>
      </c>
      <c r="FJ789" s="2123">
        <v>224.1</v>
      </c>
      <c r="FK789" s="2123">
        <v>222.8</v>
      </c>
      <c r="FL789" s="2123">
        <v>222.8</v>
      </c>
      <c r="FM789" s="2123">
        <v>223.22</v>
      </c>
      <c r="FN789" s="2123">
        <v>223.22</v>
      </c>
      <c r="FO789" s="2123"/>
      <c r="FP789" s="2123"/>
      <c r="FQ789" s="2123">
        <v>115.67</v>
      </c>
      <c r="FR789" s="2123">
        <v>115.67</v>
      </c>
      <c r="FS789" s="2123">
        <v>234.04</v>
      </c>
      <c r="FT789" s="2123">
        <v>234.04</v>
      </c>
      <c r="FU789" s="2123">
        <v>234.04</v>
      </c>
      <c r="FV789" s="2123">
        <v>234.04</v>
      </c>
      <c r="FW789" s="2123">
        <v>234.27</v>
      </c>
      <c r="FX789" s="2123">
        <v>234.27</v>
      </c>
      <c r="FY789" s="2123"/>
      <c r="FZ789" s="2123"/>
      <c r="GA789" s="2123"/>
      <c r="GB789" s="2123"/>
      <c r="GC789" s="2123">
        <v>81.680000000000007</v>
      </c>
      <c r="GD789" s="2123">
        <v>81.680000000000007</v>
      </c>
      <c r="GE789" s="2123">
        <v>182.87</v>
      </c>
      <c r="GF789" s="2123">
        <v>182.87</v>
      </c>
      <c r="GG789" s="2123">
        <v>182.87</v>
      </c>
      <c r="GH789" s="2123">
        <v>182.87</v>
      </c>
      <c r="GI789" s="2123">
        <v>209.68</v>
      </c>
      <c r="GJ789" s="2123">
        <v>209.68</v>
      </c>
      <c r="GK789" s="2123">
        <v>231.17</v>
      </c>
      <c r="GL789" s="2123">
        <v>231.17</v>
      </c>
      <c r="GM789" s="2123"/>
      <c r="GN789" s="2123"/>
      <c r="GO789" s="2123">
        <v>43.74</v>
      </c>
      <c r="GP789" s="2123">
        <v>43.74</v>
      </c>
      <c r="GQ789" s="2123">
        <v>39.03</v>
      </c>
      <c r="GR789" s="2123">
        <v>39.03</v>
      </c>
      <c r="GS789" s="2123">
        <v>39.03</v>
      </c>
      <c r="GT789" s="2123">
        <v>37.659999999999997</v>
      </c>
      <c r="GU789" s="2123">
        <v>37.659999999999997</v>
      </c>
      <c r="GV789" s="2123">
        <v>37.83</v>
      </c>
      <c r="GW789" s="2123">
        <v>220.95</v>
      </c>
      <c r="GX789" s="2123">
        <v>220.95</v>
      </c>
      <c r="GY789" s="2123"/>
      <c r="GZ789" s="2123"/>
      <c r="HA789" s="2123">
        <v>30.47</v>
      </c>
      <c r="HB789" s="2123">
        <v>30.47</v>
      </c>
      <c r="HC789" s="2123">
        <v>24.57</v>
      </c>
      <c r="HD789" s="2123">
        <v>24.57</v>
      </c>
      <c r="HE789" s="2123">
        <v>25.14</v>
      </c>
      <c r="HF789" s="2123">
        <v>25.14</v>
      </c>
      <c r="HG789" s="2123">
        <v>25.14</v>
      </c>
      <c r="HH789" s="2123">
        <v>25.14</v>
      </c>
      <c r="HI789" s="2123">
        <v>25.14</v>
      </c>
      <c r="HJ789" s="2123">
        <v>25.14</v>
      </c>
      <c r="HK789" s="2123">
        <v>25.24</v>
      </c>
      <c r="HL789" s="2123">
        <v>25.37</v>
      </c>
      <c r="HM789" s="2123">
        <v>42.71</v>
      </c>
      <c r="HN789" s="2123">
        <v>42.71</v>
      </c>
      <c r="HO789" s="2123">
        <v>34.72</v>
      </c>
      <c r="HP789" s="2123">
        <v>34.72</v>
      </c>
      <c r="HQ789" s="2123">
        <v>35.549999999999997</v>
      </c>
      <c r="HR789" s="2123">
        <v>35.549999999999997</v>
      </c>
      <c r="HS789" s="2123">
        <v>35.549999999999997</v>
      </c>
      <c r="HT789" s="2123">
        <v>35.549999999999997</v>
      </c>
      <c r="HU789" s="2123">
        <v>35.549999999999997</v>
      </c>
      <c r="HV789" s="2123">
        <v>35.549999999999997</v>
      </c>
      <c r="HW789" s="2123">
        <v>35.619999999999997</v>
      </c>
      <c r="HX789" s="2123">
        <v>35.619999999999997</v>
      </c>
    </row>
    <row r="790" spans="2:232" s="2040" customFormat="1" ht="14" hidden="1" x14ac:dyDescent="0.3">
      <c r="B790" s="2203">
        <v>96</v>
      </c>
      <c r="C790" s="2204">
        <v>48.34</v>
      </c>
      <c r="D790" s="2204">
        <v>48.34</v>
      </c>
      <c r="E790" s="2204">
        <v>48.39</v>
      </c>
      <c r="F790" s="2204">
        <v>48.39</v>
      </c>
      <c r="G790" s="2204">
        <v>189.78</v>
      </c>
      <c r="H790" s="2204">
        <v>189.78</v>
      </c>
      <c r="I790" s="2204">
        <v>180.99</v>
      </c>
      <c r="J790" s="2204">
        <v>180.99</v>
      </c>
      <c r="K790" s="2204">
        <v>184.27</v>
      </c>
      <c r="L790" s="2204">
        <v>184.27</v>
      </c>
      <c r="M790" s="2204"/>
      <c r="N790" s="2204"/>
      <c r="O790" s="2204">
        <v>151.46</v>
      </c>
      <c r="P790" s="2204">
        <v>151.46</v>
      </c>
      <c r="Q790" s="2204">
        <v>150.87</v>
      </c>
      <c r="R790" s="2204">
        <v>151.47</v>
      </c>
      <c r="S790" s="2204">
        <v>286.26</v>
      </c>
      <c r="T790" s="2204">
        <v>286.05</v>
      </c>
      <c r="U790" s="2204">
        <v>276.12</v>
      </c>
      <c r="V790" s="2204">
        <v>276.12</v>
      </c>
      <c r="W790" s="2204">
        <v>286.05</v>
      </c>
      <c r="X790" s="2204">
        <v>286.05</v>
      </c>
      <c r="Y790" s="2204">
        <v>276.12</v>
      </c>
      <c r="Z790" s="2204">
        <v>286.05</v>
      </c>
      <c r="AA790" s="2204">
        <v>286.05</v>
      </c>
      <c r="AB790" s="2204">
        <v>286.05</v>
      </c>
      <c r="AC790" s="2204">
        <v>276.12</v>
      </c>
      <c r="AD790" s="2204">
        <v>276.12</v>
      </c>
      <c r="AE790" s="2204">
        <v>296.89</v>
      </c>
      <c r="AF790" s="2204">
        <v>288.33999999999997</v>
      </c>
      <c r="AG790" s="2204">
        <v>296.89</v>
      </c>
      <c r="AH790" s="2204">
        <v>296.89</v>
      </c>
      <c r="AI790" s="2204">
        <v>288.33999999999997</v>
      </c>
      <c r="AJ790" s="2204">
        <v>288.33999999999997</v>
      </c>
      <c r="AK790" s="2204">
        <v>288.61</v>
      </c>
      <c r="AL790" s="2204">
        <v>288.61</v>
      </c>
      <c r="AM790" s="2204">
        <v>80.03</v>
      </c>
      <c r="AN790" s="2204">
        <v>77.13</v>
      </c>
      <c r="AO790" s="2204">
        <v>77.13</v>
      </c>
      <c r="AP790" s="2204">
        <v>77.05</v>
      </c>
      <c r="AQ790" s="2204">
        <v>77.25</v>
      </c>
      <c r="AR790" s="2204">
        <v>77.25</v>
      </c>
      <c r="AS790" s="2204">
        <v>234.56</v>
      </c>
      <c r="AT790" s="2204">
        <v>234.56</v>
      </c>
      <c r="AU790" s="2204">
        <v>234.56</v>
      </c>
      <c r="AV790" s="2204">
        <v>239.63</v>
      </c>
      <c r="AW790" s="2204">
        <v>234.7</v>
      </c>
      <c r="AX790" s="2204">
        <v>234.7</v>
      </c>
      <c r="AY790" s="2204">
        <v>234.82</v>
      </c>
      <c r="AZ790" s="2204">
        <v>234.82</v>
      </c>
      <c r="BA790" s="2123">
        <v>102.62</v>
      </c>
      <c r="BB790" s="2123">
        <v>102.62</v>
      </c>
      <c r="BC790" s="2123">
        <v>26.28</v>
      </c>
      <c r="BD790" s="2123">
        <v>26.41</v>
      </c>
      <c r="BE790" s="2123">
        <v>28.78</v>
      </c>
      <c r="BF790" s="2123">
        <v>28.78</v>
      </c>
      <c r="BG790" s="2123">
        <v>26.33</v>
      </c>
      <c r="BH790" s="2123">
        <v>26.33</v>
      </c>
      <c r="BI790" s="2123">
        <v>26.11</v>
      </c>
      <c r="BJ790" s="2123">
        <v>26.11</v>
      </c>
      <c r="BK790" s="2123">
        <v>26.11</v>
      </c>
      <c r="BL790" s="2123">
        <v>26.11</v>
      </c>
      <c r="BM790" s="2123">
        <v>58.48</v>
      </c>
      <c r="BN790" s="2123">
        <v>58.48</v>
      </c>
      <c r="BO790" s="2123">
        <v>184.92</v>
      </c>
      <c r="BP790" s="2123">
        <v>184.92</v>
      </c>
      <c r="BQ790" s="2123">
        <v>184.92</v>
      </c>
      <c r="BR790" s="2123">
        <v>184.92</v>
      </c>
      <c r="BS790" s="2123">
        <v>241.61</v>
      </c>
      <c r="BT790" s="2123">
        <v>241.61</v>
      </c>
      <c r="BU790" s="2123">
        <v>241.61</v>
      </c>
      <c r="BV790" s="2123">
        <v>241.61</v>
      </c>
      <c r="BW790" s="2123">
        <v>241.61</v>
      </c>
      <c r="BX790" s="2123">
        <v>241.61</v>
      </c>
      <c r="BY790" s="2123">
        <v>53.08</v>
      </c>
      <c r="BZ790" s="2123">
        <v>53.08</v>
      </c>
      <c r="CA790" s="2123">
        <v>177.19</v>
      </c>
      <c r="CB790" s="2123">
        <v>177.19</v>
      </c>
      <c r="CC790" s="2123">
        <v>179.94</v>
      </c>
      <c r="CD790" s="2123">
        <v>179.94</v>
      </c>
      <c r="CE790" s="2123">
        <v>238.4</v>
      </c>
      <c r="CF790" s="2123">
        <v>238.4</v>
      </c>
      <c r="CG790" s="2123"/>
      <c r="CH790" s="2123"/>
      <c r="CI790" s="2123"/>
      <c r="CJ790" s="2123"/>
      <c r="CK790" s="2123">
        <v>131.65</v>
      </c>
      <c r="CL790" s="2123">
        <v>131.65</v>
      </c>
      <c r="CM790" s="2123">
        <v>264.52</v>
      </c>
      <c r="CN790" s="2123">
        <v>264.52</v>
      </c>
      <c r="CO790" s="2123">
        <v>344.24</v>
      </c>
      <c r="CP790" s="2123">
        <v>344.24</v>
      </c>
      <c r="CQ790" s="2123">
        <v>344.24</v>
      </c>
      <c r="CR790" s="2123">
        <v>344.24</v>
      </c>
      <c r="CS790" s="2123"/>
      <c r="CT790" s="2123"/>
      <c r="CU790" s="2123"/>
      <c r="CV790" s="2123"/>
      <c r="CW790" s="2123">
        <v>123.42</v>
      </c>
      <c r="CX790" s="2123">
        <v>123.42</v>
      </c>
      <c r="CY790" s="2123">
        <v>256.31</v>
      </c>
      <c r="CZ790" s="2123">
        <v>256.31</v>
      </c>
      <c r="DA790" s="2123">
        <v>256.31</v>
      </c>
      <c r="DB790" s="2123">
        <v>256.31</v>
      </c>
      <c r="DC790" s="2123">
        <v>333.85</v>
      </c>
      <c r="DD790" s="2123">
        <v>333.85</v>
      </c>
      <c r="DE790" s="2123">
        <v>333.85</v>
      </c>
      <c r="DF790" s="2123">
        <v>333.85</v>
      </c>
      <c r="DG790" s="2123"/>
      <c r="DH790" s="2123"/>
      <c r="DI790" s="2123">
        <v>32.590000000000003</v>
      </c>
      <c r="DJ790" s="2123">
        <v>32.590000000000003</v>
      </c>
      <c r="DK790" s="2123">
        <v>32.590000000000003</v>
      </c>
      <c r="DL790" s="2123">
        <v>32.590000000000003</v>
      </c>
      <c r="DM790" s="2123">
        <v>32.590000000000003</v>
      </c>
      <c r="DN790" s="2123">
        <v>32.590000000000003</v>
      </c>
      <c r="DO790" s="2123"/>
      <c r="DP790" s="2123"/>
      <c r="DQ790" s="2123"/>
      <c r="DR790" s="2123"/>
      <c r="DS790" s="2123"/>
      <c r="DT790" s="2123"/>
      <c r="DU790" s="2123">
        <v>14.51</v>
      </c>
      <c r="DV790" s="2123">
        <v>14.51</v>
      </c>
      <c r="DW790" s="2123">
        <v>14.1</v>
      </c>
      <c r="DX790" s="2123">
        <v>14.1</v>
      </c>
      <c r="DY790" s="2123">
        <v>14.1</v>
      </c>
      <c r="DZ790" s="2123">
        <v>14.1</v>
      </c>
      <c r="EA790" s="2123"/>
      <c r="EB790" s="2123"/>
      <c r="EC790" s="2123"/>
      <c r="ED790" s="2123"/>
      <c r="EE790" s="2123"/>
      <c r="EF790" s="2123"/>
      <c r="EG790" s="2123">
        <v>15.54</v>
      </c>
      <c r="EH790" s="2123">
        <v>15.7</v>
      </c>
      <c r="EI790" s="2123">
        <v>13.06</v>
      </c>
      <c r="EJ790" s="2123">
        <v>13.06</v>
      </c>
      <c r="EK790" s="2123">
        <v>13.07</v>
      </c>
      <c r="EL790" s="2123">
        <v>13.07</v>
      </c>
      <c r="EM790" s="2123">
        <v>13.58</v>
      </c>
      <c r="EN790" s="2123">
        <v>13.58</v>
      </c>
      <c r="EO790" s="2123">
        <v>12.95</v>
      </c>
      <c r="EP790" s="2123">
        <v>12.95</v>
      </c>
      <c r="EQ790" s="2123">
        <v>13.33</v>
      </c>
      <c r="ER790" s="2123">
        <v>13.12</v>
      </c>
      <c r="ES790" s="2123">
        <v>59.63</v>
      </c>
      <c r="ET790" s="2123">
        <v>59.63</v>
      </c>
      <c r="EU790" s="2123">
        <v>265.23</v>
      </c>
      <c r="EV790" s="2123">
        <v>265.23</v>
      </c>
      <c r="EW790" s="2123">
        <v>259.70999999999998</v>
      </c>
      <c r="EX790" s="2123">
        <v>259.70999999999998</v>
      </c>
      <c r="EY790" s="2129">
        <f t="shared" si="56"/>
        <v>262.47000000000003</v>
      </c>
      <c r="EZ790" s="2129">
        <f t="shared" si="56"/>
        <v>262.47000000000003</v>
      </c>
      <c r="FA790" s="2123">
        <v>262.33</v>
      </c>
      <c r="FB790" s="2123">
        <v>262.33</v>
      </c>
      <c r="FC790" s="2123"/>
      <c r="FD790" s="2123"/>
      <c r="FE790" s="2123">
        <v>51.3</v>
      </c>
      <c r="FF790" s="2123">
        <v>51.3</v>
      </c>
      <c r="FG790" s="2123">
        <v>223.77</v>
      </c>
      <c r="FH790" s="2123">
        <v>223.77</v>
      </c>
      <c r="FI790" s="2123">
        <v>223.77</v>
      </c>
      <c r="FJ790" s="2123">
        <v>224.74</v>
      </c>
      <c r="FK790" s="2123">
        <v>223.47</v>
      </c>
      <c r="FL790" s="2123">
        <v>223.47</v>
      </c>
      <c r="FM790" s="2123">
        <v>223.88</v>
      </c>
      <c r="FN790" s="2123">
        <v>223.88</v>
      </c>
      <c r="FO790" s="2123"/>
      <c r="FP790" s="2123"/>
      <c r="FQ790" s="2123">
        <v>115.92</v>
      </c>
      <c r="FR790" s="2123">
        <v>115.92</v>
      </c>
      <c r="FS790" s="2123">
        <v>234.61</v>
      </c>
      <c r="FT790" s="2123">
        <v>234.61</v>
      </c>
      <c r="FU790" s="2123">
        <v>234.61</v>
      </c>
      <c r="FV790" s="2123">
        <v>234.61</v>
      </c>
      <c r="FW790" s="2123">
        <v>234.83</v>
      </c>
      <c r="FX790" s="2123">
        <v>234.83</v>
      </c>
      <c r="FY790" s="2123"/>
      <c r="FZ790" s="2123"/>
      <c r="GA790" s="2123"/>
      <c r="GB790" s="2123"/>
      <c r="GC790" s="2123">
        <v>81.84</v>
      </c>
      <c r="GD790" s="2123">
        <v>81.84</v>
      </c>
      <c r="GE790" s="2123">
        <v>183.21</v>
      </c>
      <c r="GF790" s="2123">
        <v>183.21</v>
      </c>
      <c r="GG790" s="2123">
        <v>183.21</v>
      </c>
      <c r="GH790" s="2123">
        <v>183.21</v>
      </c>
      <c r="GI790" s="2123">
        <v>210.48</v>
      </c>
      <c r="GJ790" s="2123">
        <v>210.48</v>
      </c>
      <c r="GK790" s="2123">
        <v>231.82</v>
      </c>
      <c r="GL790" s="2123">
        <v>231.82</v>
      </c>
      <c r="GM790" s="2123"/>
      <c r="GN790" s="2123"/>
      <c r="GO790" s="2123">
        <v>43.83</v>
      </c>
      <c r="GP790" s="2123">
        <v>43.83</v>
      </c>
      <c r="GQ790" s="2123">
        <v>39.15</v>
      </c>
      <c r="GR790" s="2123">
        <v>39.15</v>
      </c>
      <c r="GS790" s="2123">
        <v>39.15</v>
      </c>
      <c r="GT790" s="2123">
        <v>37.770000000000003</v>
      </c>
      <c r="GU790" s="2123">
        <v>37.770000000000003</v>
      </c>
      <c r="GV790" s="2123">
        <v>37.94</v>
      </c>
      <c r="GW790" s="2123">
        <v>221.59</v>
      </c>
      <c r="GX790" s="2123">
        <v>221.59</v>
      </c>
      <c r="GY790" s="2123"/>
      <c r="GZ790" s="2123"/>
      <c r="HA790" s="2123">
        <v>30.53</v>
      </c>
      <c r="HB790" s="2123">
        <v>30.53</v>
      </c>
      <c r="HC790" s="2123">
        <v>24.66</v>
      </c>
      <c r="HD790" s="2123">
        <v>24.66</v>
      </c>
      <c r="HE790" s="2123">
        <v>25.23</v>
      </c>
      <c r="HF790" s="2123">
        <v>25.23</v>
      </c>
      <c r="HG790" s="2123">
        <v>25.23</v>
      </c>
      <c r="HH790" s="2123">
        <v>25.23</v>
      </c>
      <c r="HI790" s="2123">
        <v>25.23</v>
      </c>
      <c r="HJ790" s="2123">
        <v>25.23</v>
      </c>
      <c r="HK790" s="2123">
        <v>25.33</v>
      </c>
      <c r="HL790" s="2123">
        <v>25.45</v>
      </c>
      <c r="HM790" s="2123">
        <v>42.79</v>
      </c>
      <c r="HN790" s="2123">
        <v>42.79</v>
      </c>
      <c r="HO790" s="2123">
        <v>34.840000000000003</v>
      </c>
      <c r="HP790" s="2123">
        <v>34.840000000000003</v>
      </c>
      <c r="HQ790" s="2123">
        <v>35.67</v>
      </c>
      <c r="HR790" s="2123">
        <v>35.67</v>
      </c>
      <c r="HS790" s="2123">
        <v>35.67</v>
      </c>
      <c r="HT790" s="2123">
        <v>35.67</v>
      </c>
      <c r="HU790" s="2123">
        <v>35.67</v>
      </c>
      <c r="HV790" s="2123">
        <v>35.67</v>
      </c>
      <c r="HW790" s="2123">
        <v>35.74</v>
      </c>
      <c r="HX790" s="2123">
        <v>35.74</v>
      </c>
    </row>
    <row r="791" spans="2:232" s="2040" customFormat="1" ht="14" hidden="1" x14ac:dyDescent="0.3">
      <c r="B791" s="2203">
        <v>97</v>
      </c>
      <c r="C791" s="2204">
        <v>48.44</v>
      </c>
      <c r="D791" s="2204">
        <v>48.44</v>
      </c>
      <c r="E791" s="2204">
        <v>48.48</v>
      </c>
      <c r="F791" s="2204">
        <v>48.48</v>
      </c>
      <c r="G791" s="2204">
        <v>190.25</v>
      </c>
      <c r="H791" s="2204">
        <v>190.25</v>
      </c>
      <c r="I791" s="2204">
        <v>181.48</v>
      </c>
      <c r="J791" s="2204">
        <v>181.48</v>
      </c>
      <c r="K791" s="2204">
        <v>184.7</v>
      </c>
      <c r="L791" s="2204">
        <v>184.7</v>
      </c>
      <c r="M791" s="2204"/>
      <c r="N791" s="2204"/>
      <c r="O791" s="2204">
        <v>151.77000000000001</v>
      </c>
      <c r="P791" s="2204">
        <v>151.77000000000001</v>
      </c>
      <c r="Q791" s="2204">
        <v>151.16999999999999</v>
      </c>
      <c r="R791" s="2204">
        <v>151.78</v>
      </c>
      <c r="S791" s="2204">
        <v>287.08999999999997</v>
      </c>
      <c r="T791" s="2204">
        <v>286.87</v>
      </c>
      <c r="U791" s="2204">
        <v>276.92</v>
      </c>
      <c r="V791" s="2204">
        <v>276.92</v>
      </c>
      <c r="W791" s="2204">
        <v>286.87</v>
      </c>
      <c r="X791" s="2204">
        <v>286.87</v>
      </c>
      <c r="Y791" s="2204">
        <v>276.92</v>
      </c>
      <c r="Z791" s="2204">
        <v>286.87</v>
      </c>
      <c r="AA791" s="2204">
        <v>286.87</v>
      </c>
      <c r="AB791" s="2204">
        <v>286.87</v>
      </c>
      <c r="AC791" s="2204">
        <v>276.92</v>
      </c>
      <c r="AD791" s="2204">
        <v>276.92</v>
      </c>
      <c r="AE791" s="2204">
        <v>297.63</v>
      </c>
      <c r="AF791" s="2204">
        <v>289.05</v>
      </c>
      <c r="AG791" s="2204">
        <v>297.63</v>
      </c>
      <c r="AH791" s="2204">
        <v>297.63</v>
      </c>
      <c r="AI791" s="2204">
        <v>289.05</v>
      </c>
      <c r="AJ791" s="2204">
        <v>289.05</v>
      </c>
      <c r="AK791" s="2204">
        <v>289.32</v>
      </c>
      <c r="AL791" s="2204">
        <v>289.32</v>
      </c>
      <c r="AM791" s="2204">
        <v>80.19</v>
      </c>
      <c r="AN791" s="2204">
        <v>77.28</v>
      </c>
      <c r="AO791" s="2204">
        <v>77.28</v>
      </c>
      <c r="AP791" s="2204">
        <v>77.209999999999994</v>
      </c>
      <c r="AQ791" s="2204">
        <v>77.400000000000006</v>
      </c>
      <c r="AR791" s="2204">
        <v>77.400000000000006</v>
      </c>
      <c r="AS791" s="2204">
        <v>235.16</v>
      </c>
      <c r="AT791" s="2204">
        <v>235.16</v>
      </c>
      <c r="AU791" s="2204">
        <v>235.16</v>
      </c>
      <c r="AV791" s="2204">
        <v>240.24</v>
      </c>
      <c r="AW791" s="2204">
        <v>235.3</v>
      </c>
      <c r="AX791" s="2204">
        <v>235.3</v>
      </c>
      <c r="AY791" s="2204">
        <v>235.41</v>
      </c>
      <c r="AZ791" s="2204">
        <v>235.41</v>
      </c>
      <c r="BA791" s="2123">
        <v>102.89</v>
      </c>
      <c r="BB791" s="2123">
        <v>102.89</v>
      </c>
      <c r="BC791" s="2123">
        <v>26.37</v>
      </c>
      <c r="BD791" s="2123">
        <v>26.49</v>
      </c>
      <c r="BE791" s="2123">
        <v>28.84</v>
      </c>
      <c r="BF791" s="2123">
        <v>28.84</v>
      </c>
      <c r="BG791" s="2123">
        <v>26.42</v>
      </c>
      <c r="BH791" s="2123">
        <v>26.42</v>
      </c>
      <c r="BI791" s="2123">
        <v>26.19</v>
      </c>
      <c r="BJ791" s="2123">
        <v>26.19</v>
      </c>
      <c r="BK791" s="2123">
        <v>26.19</v>
      </c>
      <c r="BL791" s="2123">
        <v>26.19</v>
      </c>
      <c r="BM791" s="2123">
        <v>58.6</v>
      </c>
      <c r="BN791" s="2123">
        <v>58.6</v>
      </c>
      <c r="BO791" s="2123">
        <v>185.36</v>
      </c>
      <c r="BP791" s="2123">
        <v>185.36</v>
      </c>
      <c r="BQ791" s="2123">
        <v>185.36</v>
      </c>
      <c r="BR791" s="2123">
        <v>185.36</v>
      </c>
      <c r="BS791" s="2123">
        <v>242.29</v>
      </c>
      <c r="BT791" s="2123">
        <v>242.29</v>
      </c>
      <c r="BU791" s="2123">
        <v>242.29</v>
      </c>
      <c r="BV791" s="2123">
        <v>242.29</v>
      </c>
      <c r="BW791" s="2123">
        <v>242.29</v>
      </c>
      <c r="BX791" s="2123">
        <v>242.29</v>
      </c>
      <c r="BY791" s="2123">
        <v>53.19</v>
      </c>
      <c r="BZ791" s="2123">
        <v>53.19</v>
      </c>
      <c r="CA791" s="2123">
        <v>177.61</v>
      </c>
      <c r="CB791" s="2123">
        <v>177.61</v>
      </c>
      <c r="CC791" s="2123">
        <v>180.37</v>
      </c>
      <c r="CD791" s="2123">
        <v>180.37</v>
      </c>
      <c r="CE791" s="2123">
        <v>239.08</v>
      </c>
      <c r="CF791" s="2123">
        <v>239.08</v>
      </c>
      <c r="CG791" s="2123"/>
      <c r="CH791" s="2123"/>
      <c r="CI791" s="2123"/>
      <c r="CJ791" s="2123"/>
      <c r="CK791" s="2123">
        <v>131.9</v>
      </c>
      <c r="CL791" s="2123">
        <v>131.9</v>
      </c>
      <c r="CM791" s="2123">
        <v>264.95999999999998</v>
      </c>
      <c r="CN791" s="2123">
        <v>264.95999999999998</v>
      </c>
      <c r="CO791" s="2123">
        <v>344.97</v>
      </c>
      <c r="CP791" s="2123">
        <v>344.97</v>
      </c>
      <c r="CQ791" s="2123">
        <v>344.97</v>
      </c>
      <c r="CR791" s="2123">
        <v>344.97</v>
      </c>
      <c r="CS791" s="2123"/>
      <c r="CT791" s="2123"/>
      <c r="CU791" s="2123"/>
      <c r="CV791" s="2123"/>
      <c r="CW791" s="2123">
        <v>123.67</v>
      </c>
      <c r="CX791" s="2123">
        <v>123.67</v>
      </c>
      <c r="CY791" s="2123">
        <v>256.76</v>
      </c>
      <c r="CZ791" s="2123">
        <v>256.76</v>
      </c>
      <c r="DA791" s="2123">
        <v>256.76</v>
      </c>
      <c r="DB791" s="2123">
        <v>256.76</v>
      </c>
      <c r="DC791" s="2123">
        <v>334.59</v>
      </c>
      <c r="DD791" s="2123">
        <v>334.59</v>
      </c>
      <c r="DE791" s="2123">
        <v>334.59</v>
      </c>
      <c r="DF791" s="2123">
        <v>334.59</v>
      </c>
      <c r="DG791" s="2123"/>
      <c r="DH791" s="2123"/>
      <c r="DI791" s="2123">
        <v>32.65</v>
      </c>
      <c r="DJ791" s="2123">
        <v>32.65</v>
      </c>
      <c r="DK791" s="2123">
        <v>32.65</v>
      </c>
      <c r="DL791" s="2123">
        <v>32.65</v>
      </c>
      <c r="DM791" s="2123">
        <v>32.65</v>
      </c>
      <c r="DN791" s="2123">
        <v>32.65</v>
      </c>
      <c r="DO791" s="2123"/>
      <c r="DP791" s="2123"/>
      <c r="DQ791" s="2123"/>
      <c r="DR791" s="2123"/>
      <c r="DS791" s="2123"/>
      <c r="DT791" s="2123"/>
      <c r="DU791" s="2123">
        <v>14.54</v>
      </c>
      <c r="DV791" s="2123">
        <v>14.54</v>
      </c>
      <c r="DW791" s="2123">
        <v>14.14</v>
      </c>
      <c r="DX791" s="2123">
        <v>14.14</v>
      </c>
      <c r="DY791" s="2123">
        <v>14.14</v>
      </c>
      <c r="DZ791" s="2123">
        <v>14.14</v>
      </c>
      <c r="EA791" s="2123"/>
      <c r="EB791" s="2123"/>
      <c r="EC791" s="2123"/>
      <c r="ED791" s="2123"/>
      <c r="EE791" s="2123"/>
      <c r="EF791" s="2123"/>
      <c r="EG791" s="2123">
        <v>15.57</v>
      </c>
      <c r="EH791" s="2123">
        <v>15.73</v>
      </c>
      <c r="EI791" s="2123">
        <v>13.11</v>
      </c>
      <c r="EJ791" s="2123">
        <v>13.11</v>
      </c>
      <c r="EK791" s="2123">
        <v>13.11</v>
      </c>
      <c r="EL791" s="2123">
        <v>13.11</v>
      </c>
      <c r="EM791" s="2123">
        <v>13.62</v>
      </c>
      <c r="EN791" s="2123">
        <v>13.62</v>
      </c>
      <c r="EO791" s="2123">
        <v>12.99</v>
      </c>
      <c r="EP791" s="2123">
        <v>12.99</v>
      </c>
      <c r="EQ791" s="2123">
        <v>13.37</v>
      </c>
      <c r="ER791" s="2123">
        <v>13.16</v>
      </c>
      <c r="ES791" s="2123">
        <v>59.75</v>
      </c>
      <c r="ET791" s="2123">
        <v>59.75</v>
      </c>
      <c r="EU791" s="2123">
        <v>265.99</v>
      </c>
      <c r="EV791" s="2123">
        <v>265.99</v>
      </c>
      <c r="EW791" s="2123">
        <v>260.45999999999998</v>
      </c>
      <c r="EX791" s="2123">
        <v>260.45999999999998</v>
      </c>
      <c r="EY791" s="2129">
        <f t="shared" si="56"/>
        <v>263.22500000000002</v>
      </c>
      <c r="EZ791" s="2129">
        <f t="shared" si="56"/>
        <v>263.22500000000002</v>
      </c>
      <c r="FA791" s="2123">
        <v>263.05</v>
      </c>
      <c r="FB791" s="2123">
        <v>263.05</v>
      </c>
      <c r="FC791" s="2123"/>
      <c r="FD791" s="2123"/>
      <c r="FE791" s="2123">
        <v>51.41</v>
      </c>
      <c r="FF791" s="2123">
        <v>51.41</v>
      </c>
      <c r="FG791" s="2123">
        <v>224.42</v>
      </c>
      <c r="FH791" s="2123">
        <v>224.42</v>
      </c>
      <c r="FI791" s="2123">
        <v>224.42</v>
      </c>
      <c r="FJ791" s="2123">
        <v>225.37</v>
      </c>
      <c r="FK791" s="2123">
        <v>224.12</v>
      </c>
      <c r="FL791" s="2123">
        <v>224.12</v>
      </c>
      <c r="FM791" s="2123">
        <v>224.52</v>
      </c>
      <c r="FN791" s="2123">
        <v>224.52</v>
      </c>
      <c r="FO791" s="2123"/>
      <c r="FP791" s="2123"/>
      <c r="FQ791" s="2123">
        <v>116.15</v>
      </c>
      <c r="FR791" s="2123">
        <v>116.15</v>
      </c>
      <c r="FS791" s="2123">
        <v>235.17</v>
      </c>
      <c r="FT791" s="2123">
        <v>235.17</v>
      </c>
      <c r="FU791" s="2123">
        <v>235.17</v>
      </c>
      <c r="FV791" s="2123">
        <v>235.17</v>
      </c>
      <c r="FW791" s="2123">
        <v>235.38</v>
      </c>
      <c r="FX791" s="2123">
        <v>235.38</v>
      </c>
      <c r="FY791" s="2123"/>
      <c r="FZ791" s="2123"/>
      <c r="GA791" s="2123"/>
      <c r="GB791" s="2123"/>
      <c r="GC791" s="2123">
        <v>82.01</v>
      </c>
      <c r="GD791" s="2123">
        <v>82.01</v>
      </c>
      <c r="GE791" s="2123">
        <v>183.56</v>
      </c>
      <c r="GF791" s="2123">
        <v>183.56</v>
      </c>
      <c r="GG791" s="2123">
        <v>183.56</v>
      </c>
      <c r="GH791" s="2123">
        <v>183.56</v>
      </c>
      <c r="GI791" s="2123">
        <v>211.27</v>
      </c>
      <c r="GJ791" s="2123">
        <v>211.27</v>
      </c>
      <c r="GK791" s="2123">
        <v>232.45</v>
      </c>
      <c r="GL791" s="2123">
        <v>232.45</v>
      </c>
      <c r="GM791" s="2123"/>
      <c r="GN791" s="2123"/>
      <c r="GO791" s="2123">
        <v>43.91</v>
      </c>
      <c r="GP791" s="2123">
        <v>43.91</v>
      </c>
      <c r="GQ791" s="2123">
        <v>39.26</v>
      </c>
      <c r="GR791" s="2123">
        <v>39.26</v>
      </c>
      <c r="GS791" s="2123">
        <v>39.26</v>
      </c>
      <c r="GT791" s="2123">
        <v>37.89</v>
      </c>
      <c r="GU791" s="2123">
        <v>37.89</v>
      </c>
      <c r="GV791" s="2123">
        <v>38.049999999999997</v>
      </c>
      <c r="GW791" s="2123">
        <v>222.23</v>
      </c>
      <c r="GX791" s="2123">
        <v>222.23</v>
      </c>
      <c r="GY791" s="2123"/>
      <c r="GZ791" s="2123"/>
      <c r="HA791" s="2123">
        <v>30.6</v>
      </c>
      <c r="HB791" s="2123">
        <v>30.6</v>
      </c>
      <c r="HC791" s="2123">
        <v>24.75</v>
      </c>
      <c r="HD791" s="2123">
        <v>24.75</v>
      </c>
      <c r="HE791" s="2123">
        <v>25.31</v>
      </c>
      <c r="HF791" s="2123">
        <v>25.31</v>
      </c>
      <c r="HG791" s="2123">
        <v>25.31</v>
      </c>
      <c r="HH791" s="2123">
        <v>25.31</v>
      </c>
      <c r="HI791" s="2123">
        <v>25.31</v>
      </c>
      <c r="HJ791" s="2123">
        <v>25.31</v>
      </c>
      <c r="HK791" s="2123">
        <v>25.41</v>
      </c>
      <c r="HL791" s="2123">
        <v>25.53</v>
      </c>
      <c r="HM791" s="2123">
        <v>42.88</v>
      </c>
      <c r="HN791" s="2123">
        <v>42.88</v>
      </c>
      <c r="HO791" s="2123">
        <v>34.97</v>
      </c>
      <c r="HP791" s="2123">
        <v>34.97</v>
      </c>
      <c r="HQ791" s="2123">
        <v>35.78</v>
      </c>
      <c r="HR791" s="2123">
        <v>35.78</v>
      </c>
      <c r="HS791" s="2123">
        <v>35.78</v>
      </c>
      <c r="HT791" s="2123">
        <v>35.78</v>
      </c>
      <c r="HU791" s="2123">
        <v>35.78</v>
      </c>
      <c r="HV791" s="2123">
        <v>35.78</v>
      </c>
      <c r="HW791" s="2123">
        <v>35.86</v>
      </c>
      <c r="HX791" s="2123">
        <v>35.86</v>
      </c>
    </row>
    <row r="792" spans="2:232" s="2040" customFormat="1" ht="14" hidden="1" x14ac:dyDescent="0.3">
      <c r="B792" s="2203">
        <v>98</v>
      </c>
      <c r="C792" s="2204">
        <v>48.54</v>
      </c>
      <c r="D792" s="2204">
        <v>48.54</v>
      </c>
      <c r="E792" s="2204">
        <v>48.58</v>
      </c>
      <c r="F792" s="2204">
        <v>48.58</v>
      </c>
      <c r="G792" s="2204">
        <v>190.72</v>
      </c>
      <c r="H792" s="2204">
        <v>190.72</v>
      </c>
      <c r="I792" s="2204">
        <v>181.97</v>
      </c>
      <c r="J792" s="2204">
        <v>181.97</v>
      </c>
      <c r="K792" s="2204">
        <v>185.12</v>
      </c>
      <c r="L792" s="2204">
        <v>185.12</v>
      </c>
      <c r="M792" s="2204"/>
      <c r="N792" s="2204"/>
      <c r="O792" s="2204">
        <v>152.07</v>
      </c>
      <c r="P792" s="2204">
        <v>152.07</v>
      </c>
      <c r="Q792" s="2204">
        <v>151.46</v>
      </c>
      <c r="R792" s="2204">
        <v>152.08000000000001</v>
      </c>
      <c r="S792" s="2204">
        <v>287.89999999999998</v>
      </c>
      <c r="T792" s="2204">
        <v>287.69</v>
      </c>
      <c r="U792" s="2204">
        <v>277.7</v>
      </c>
      <c r="V792" s="2204">
        <v>277.7</v>
      </c>
      <c r="W792" s="2204">
        <v>287.69</v>
      </c>
      <c r="X792" s="2204">
        <v>287.69</v>
      </c>
      <c r="Y792" s="2204">
        <v>277.7</v>
      </c>
      <c r="Z792" s="2204">
        <v>287.69</v>
      </c>
      <c r="AA792" s="2204">
        <v>287.69</v>
      </c>
      <c r="AB792" s="2204">
        <v>287.69</v>
      </c>
      <c r="AC792" s="2204">
        <v>277.7</v>
      </c>
      <c r="AD792" s="2204">
        <v>277.7</v>
      </c>
      <c r="AE792" s="2204">
        <v>298.35000000000002</v>
      </c>
      <c r="AF792" s="2204">
        <v>289.75</v>
      </c>
      <c r="AG792" s="2204">
        <v>298.35000000000002</v>
      </c>
      <c r="AH792" s="2204">
        <v>298.35000000000002</v>
      </c>
      <c r="AI792" s="2204">
        <v>289.75</v>
      </c>
      <c r="AJ792" s="2204">
        <v>289.75</v>
      </c>
      <c r="AK792" s="2204">
        <v>290.01</v>
      </c>
      <c r="AL792" s="2204">
        <v>290.01</v>
      </c>
      <c r="AM792" s="2204">
        <v>80.349999999999994</v>
      </c>
      <c r="AN792" s="2204">
        <v>77.44</v>
      </c>
      <c r="AO792" s="2204">
        <v>77.44</v>
      </c>
      <c r="AP792" s="2204">
        <v>77.36</v>
      </c>
      <c r="AQ792" s="2204">
        <v>77.55</v>
      </c>
      <c r="AR792" s="2204">
        <v>77.55</v>
      </c>
      <c r="AS792" s="2204">
        <v>235.76</v>
      </c>
      <c r="AT792" s="2204">
        <v>235.76</v>
      </c>
      <c r="AU792" s="2204">
        <v>235.76</v>
      </c>
      <c r="AV792" s="2204">
        <v>240.83</v>
      </c>
      <c r="AW792" s="2204">
        <v>235.88</v>
      </c>
      <c r="AX792" s="2204">
        <v>235.88</v>
      </c>
      <c r="AY792" s="2204">
        <v>236</v>
      </c>
      <c r="AZ792" s="2204">
        <v>236</v>
      </c>
      <c r="BA792" s="2123">
        <v>103.16</v>
      </c>
      <c r="BB792" s="2123">
        <v>103.16</v>
      </c>
      <c r="BC792" s="2123">
        <v>26.45</v>
      </c>
      <c r="BD792" s="2123">
        <v>26.57</v>
      </c>
      <c r="BE792" s="2123">
        <v>28.9</v>
      </c>
      <c r="BF792" s="2123">
        <v>28.9</v>
      </c>
      <c r="BG792" s="2123">
        <v>26.5</v>
      </c>
      <c r="BH792" s="2123">
        <v>26.5</v>
      </c>
      <c r="BI792" s="2123">
        <v>26.27</v>
      </c>
      <c r="BJ792" s="2123">
        <v>26.27</v>
      </c>
      <c r="BK792" s="2123">
        <v>26.27</v>
      </c>
      <c r="BL792" s="2123">
        <v>26.27</v>
      </c>
      <c r="BM792" s="2123">
        <v>58.71</v>
      </c>
      <c r="BN792" s="2123">
        <v>58.71</v>
      </c>
      <c r="BO792" s="2123">
        <v>185.78</v>
      </c>
      <c r="BP792" s="2123">
        <v>185.78</v>
      </c>
      <c r="BQ792" s="2123">
        <v>185.78</v>
      </c>
      <c r="BR792" s="2123">
        <v>185.78</v>
      </c>
      <c r="BS792" s="2123">
        <v>242.95</v>
      </c>
      <c r="BT792" s="2123">
        <v>242.95</v>
      </c>
      <c r="BU792" s="2123">
        <v>242.95</v>
      </c>
      <c r="BV792" s="2123">
        <v>242.95</v>
      </c>
      <c r="BW792" s="2123">
        <v>242.95</v>
      </c>
      <c r="BX792" s="2123">
        <v>242.95</v>
      </c>
      <c r="BY792" s="2123">
        <v>53.29</v>
      </c>
      <c r="BZ792" s="2123">
        <v>53.29</v>
      </c>
      <c r="CA792" s="2123">
        <v>178.03</v>
      </c>
      <c r="CB792" s="2123">
        <v>178.03</v>
      </c>
      <c r="CC792" s="2123">
        <v>180.8</v>
      </c>
      <c r="CD792" s="2123">
        <v>180.8</v>
      </c>
      <c r="CE792" s="2123">
        <v>239.75</v>
      </c>
      <c r="CF792" s="2123">
        <v>239.75</v>
      </c>
      <c r="CG792" s="2123"/>
      <c r="CH792" s="2123"/>
      <c r="CI792" s="2123"/>
      <c r="CJ792" s="2123"/>
      <c r="CK792" s="2123">
        <v>132.15</v>
      </c>
      <c r="CL792" s="2123">
        <v>132.15</v>
      </c>
      <c r="CM792" s="2123">
        <v>265.39999999999998</v>
      </c>
      <c r="CN792" s="2123">
        <v>265.39999999999998</v>
      </c>
      <c r="CO792" s="2123">
        <v>345.69</v>
      </c>
      <c r="CP792" s="2123">
        <v>345.69</v>
      </c>
      <c r="CQ792" s="2123">
        <v>345.69</v>
      </c>
      <c r="CR792" s="2123">
        <v>345.69</v>
      </c>
      <c r="CS792" s="2123"/>
      <c r="CT792" s="2123"/>
      <c r="CU792" s="2123"/>
      <c r="CV792" s="2123"/>
      <c r="CW792" s="2123">
        <v>123.92</v>
      </c>
      <c r="CX792" s="2123">
        <v>123.92</v>
      </c>
      <c r="CY792" s="2123">
        <v>257.2</v>
      </c>
      <c r="CZ792" s="2123">
        <v>257.2</v>
      </c>
      <c r="DA792" s="2123">
        <v>257.2</v>
      </c>
      <c r="DB792" s="2123">
        <v>257.2</v>
      </c>
      <c r="DC792" s="2123">
        <v>335.31</v>
      </c>
      <c r="DD792" s="2123">
        <v>335.31</v>
      </c>
      <c r="DE792" s="2123">
        <v>335.31</v>
      </c>
      <c r="DF792" s="2123">
        <v>335.31</v>
      </c>
      <c r="DG792" s="2123"/>
      <c r="DH792" s="2123"/>
      <c r="DI792" s="2123">
        <v>32.72</v>
      </c>
      <c r="DJ792" s="2123">
        <v>32.72</v>
      </c>
      <c r="DK792" s="2123">
        <v>32.72</v>
      </c>
      <c r="DL792" s="2123">
        <v>32.72</v>
      </c>
      <c r="DM792" s="2123">
        <v>32.72</v>
      </c>
      <c r="DN792" s="2123">
        <v>32.72</v>
      </c>
      <c r="DO792" s="2123"/>
      <c r="DP792" s="2123"/>
      <c r="DQ792" s="2123"/>
      <c r="DR792" s="2123"/>
      <c r="DS792" s="2123"/>
      <c r="DT792" s="2123"/>
      <c r="DU792" s="2123">
        <v>14.57</v>
      </c>
      <c r="DV792" s="2123">
        <v>14.57</v>
      </c>
      <c r="DW792" s="2123">
        <v>14.17</v>
      </c>
      <c r="DX792" s="2123">
        <v>14.17</v>
      </c>
      <c r="DY792" s="2123">
        <v>14.17</v>
      </c>
      <c r="DZ792" s="2123">
        <v>14.17</v>
      </c>
      <c r="EA792" s="2123"/>
      <c r="EB792" s="2123"/>
      <c r="EC792" s="2123"/>
      <c r="ED792" s="2123"/>
      <c r="EE792" s="2123"/>
      <c r="EF792" s="2123"/>
      <c r="EG792" s="2123">
        <v>15.61</v>
      </c>
      <c r="EH792" s="2123">
        <v>15.76</v>
      </c>
      <c r="EI792" s="2123">
        <v>13.15</v>
      </c>
      <c r="EJ792" s="2123">
        <v>13.15</v>
      </c>
      <c r="EK792" s="2123">
        <v>13.15</v>
      </c>
      <c r="EL792" s="2123">
        <v>13.15</v>
      </c>
      <c r="EM792" s="2123">
        <v>13.66</v>
      </c>
      <c r="EN792" s="2123">
        <v>13.66</v>
      </c>
      <c r="EO792" s="2123">
        <v>13.03</v>
      </c>
      <c r="EP792" s="2123">
        <v>13.03</v>
      </c>
      <c r="EQ792" s="2123">
        <v>13.41</v>
      </c>
      <c r="ER792" s="2123">
        <v>13.2</v>
      </c>
      <c r="ES792" s="2123">
        <v>59.87</v>
      </c>
      <c r="ET792" s="2123">
        <v>59.87</v>
      </c>
      <c r="EU792" s="2123">
        <v>266.73</v>
      </c>
      <c r="EV792" s="2123">
        <v>266.73</v>
      </c>
      <c r="EW792" s="2123">
        <v>261.19</v>
      </c>
      <c r="EX792" s="2123">
        <v>261.19</v>
      </c>
      <c r="EY792" s="2129">
        <f t="shared" si="56"/>
        <v>263.96000000000004</v>
      </c>
      <c r="EZ792" s="2129">
        <f t="shared" si="56"/>
        <v>263.96000000000004</v>
      </c>
      <c r="FA792" s="2123">
        <v>263.76</v>
      </c>
      <c r="FB792" s="2123">
        <v>263.76</v>
      </c>
      <c r="FC792" s="2123"/>
      <c r="FD792" s="2123"/>
      <c r="FE792" s="2123">
        <v>51.51</v>
      </c>
      <c r="FF792" s="2123">
        <v>51.51</v>
      </c>
      <c r="FG792" s="2123">
        <v>225.06</v>
      </c>
      <c r="FH792" s="2123">
        <v>225.06</v>
      </c>
      <c r="FI792" s="2123">
        <v>225.06</v>
      </c>
      <c r="FJ792" s="2123">
        <v>226</v>
      </c>
      <c r="FK792" s="2123">
        <v>224.77</v>
      </c>
      <c r="FL792" s="2123">
        <v>224.77</v>
      </c>
      <c r="FM792" s="2123">
        <v>225.15</v>
      </c>
      <c r="FN792" s="2123">
        <v>225.15</v>
      </c>
      <c r="FO792" s="2123"/>
      <c r="FP792" s="2123"/>
      <c r="FQ792" s="2123">
        <v>116.39</v>
      </c>
      <c r="FR792" s="2123">
        <v>116.39</v>
      </c>
      <c r="FS792" s="2123">
        <v>235.72</v>
      </c>
      <c r="FT792" s="2123">
        <v>235.72</v>
      </c>
      <c r="FU792" s="2123">
        <v>235.72</v>
      </c>
      <c r="FV792" s="2123">
        <v>235.72</v>
      </c>
      <c r="FW792" s="2123">
        <v>235.93</v>
      </c>
      <c r="FX792" s="2123">
        <v>235.93</v>
      </c>
      <c r="FY792" s="2123"/>
      <c r="FZ792" s="2123"/>
      <c r="GA792" s="2123"/>
      <c r="GB792" s="2123"/>
      <c r="GC792" s="2123">
        <v>82.17</v>
      </c>
      <c r="GD792" s="2123">
        <v>82.17</v>
      </c>
      <c r="GE792" s="2123">
        <v>183.89</v>
      </c>
      <c r="GF792" s="2123">
        <v>183.89</v>
      </c>
      <c r="GG792" s="2123">
        <v>183.89</v>
      </c>
      <c r="GH792" s="2123">
        <v>183.89</v>
      </c>
      <c r="GI792" s="2123">
        <v>212.05</v>
      </c>
      <c r="GJ792" s="2123">
        <v>212.05</v>
      </c>
      <c r="GK792" s="2123">
        <v>233.07</v>
      </c>
      <c r="GL792" s="2123">
        <v>233.07</v>
      </c>
      <c r="GM792" s="2123"/>
      <c r="GN792" s="2123"/>
      <c r="GO792" s="2123">
        <v>44</v>
      </c>
      <c r="GP792" s="2123">
        <v>44</v>
      </c>
      <c r="GQ792" s="2123">
        <v>39.380000000000003</v>
      </c>
      <c r="GR792" s="2123">
        <v>39.380000000000003</v>
      </c>
      <c r="GS792" s="2123">
        <v>39.380000000000003</v>
      </c>
      <c r="GT792" s="2123">
        <v>38</v>
      </c>
      <c r="GU792" s="2123">
        <v>38</v>
      </c>
      <c r="GV792" s="2123">
        <v>38.159999999999997</v>
      </c>
      <c r="GW792" s="2123">
        <v>222.85</v>
      </c>
      <c r="GX792" s="2123">
        <v>222.85</v>
      </c>
      <c r="GY792" s="2123"/>
      <c r="GZ792" s="2123"/>
      <c r="HA792" s="2123">
        <v>30.66</v>
      </c>
      <c r="HB792" s="2123">
        <v>30.66</v>
      </c>
      <c r="HC792" s="2123">
        <v>24.84</v>
      </c>
      <c r="HD792" s="2123">
        <v>24.84</v>
      </c>
      <c r="HE792" s="2123">
        <v>25.4</v>
      </c>
      <c r="HF792" s="2123">
        <v>25.4</v>
      </c>
      <c r="HG792" s="2123">
        <v>25.4</v>
      </c>
      <c r="HH792" s="2123">
        <v>25.4</v>
      </c>
      <c r="HI792" s="2123">
        <v>25.4</v>
      </c>
      <c r="HJ792" s="2123">
        <v>25.4</v>
      </c>
      <c r="HK792" s="2123">
        <v>25.49</v>
      </c>
      <c r="HL792" s="2123">
        <v>25.62</v>
      </c>
      <c r="HM792" s="2123">
        <v>42.96</v>
      </c>
      <c r="HN792" s="2123">
        <v>42.96</v>
      </c>
      <c r="HO792" s="2123">
        <v>35.090000000000003</v>
      </c>
      <c r="HP792" s="2123">
        <v>35.090000000000003</v>
      </c>
      <c r="HQ792" s="2123">
        <v>35.9</v>
      </c>
      <c r="HR792" s="2123">
        <v>35.9</v>
      </c>
      <c r="HS792" s="2123">
        <v>35.9</v>
      </c>
      <c r="HT792" s="2123">
        <v>35.9</v>
      </c>
      <c r="HU792" s="2123">
        <v>35.9</v>
      </c>
      <c r="HV792" s="2123">
        <v>35.9</v>
      </c>
      <c r="HW792" s="2123">
        <v>35.97</v>
      </c>
      <c r="HX792" s="2123">
        <v>35.97</v>
      </c>
    </row>
    <row r="793" spans="2:232" s="2040" customFormat="1" ht="14" hidden="1" x14ac:dyDescent="0.3">
      <c r="B793" s="2203">
        <v>99</v>
      </c>
      <c r="C793" s="2204">
        <v>48.63</v>
      </c>
      <c r="D793" s="2204">
        <v>48.63</v>
      </c>
      <c r="E793" s="2204">
        <v>48.67</v>
      </c>
      <c r="F793" s="2204">
        <v>48.67</v>
      </c>
      <c r="G793" s="2204">
        <v>191.17</v>
      </c>
      <c r="H793" s="2204">
        <v>191.17</v>
      </c>
      <c r="I793" s="2204">
        <v>182.45</v>
      </c>
      <c r="J793" s="2204">
        <v>182.45</v>
      </c>
      <c r="K793" s="2204">
        <v>185.54</v>
      </c>
      <c r="L793" s="2204">
        <v>185.54</v>
      </c>
      <c r="M793" s="2204"/>
      <c r="N793" s="2204"/>
      <c r="O793" s="2204">
        <v>152.37</v>
      </c>
      <c r="P793" s="2204">
        <v>152.37</v>
      </c>
      <c r="Q793" s="2204">
        <v>151.75</v>
      </c>
      <c r="R793" s="2204">
        <v>152.37</v>
      </c>
      <c r="S793" s="2204">
        <v>288.7</v>
      </c>
      <c r="T793" s="2204">
        <v>288.49</v>
      </c>
      <c r="U793" s="2204">
        <v>278.48</v>
      </c>
      <c r="V793" s="2204">
        <v>278.48</v>
      </c>
      <c r="W793" s="2204">
        <v>288.49</v>
      </c>
      <c r="X793" s="2204">
        <v>288.49</v>
      </c>
      <c r="Y793" s="2204">
        <v>278.48</v>
      </c>
      <c r="Z793" s="2204">
        <v>288.49</v>
      </c>
      <c r="AA793" s="2204">
        <v>288.49</v>
      </c>
      <c r="AB793" s="2204">
        <v>288.49</v>
      </c>
      <c r="AC793" s="2204">
        <v>278.48</v>
      </c>
      <c r="AD793" s="2204">
        <v>278.48</v>
      </c>
      <c r="AE793" s="2204">
        <v>299.06</v>
      </c>
      <c r="AF793" s="2204">
        <v>290.44</v>
      </c>
      <c r="AG793" s="2204">
        <v>299.06</v>
      </c>
      <c r="AH793" s="2204">
        <v>299.06</v>
      </c>
      <c r="AI793" s="2204">
        <v>290.44</v>
      </c>
      <c r="AJ793" s="2204">
        <v>290.44</v>
      </c>
      <c r="AK793" s="2204">
        <v>290.7</v>
      </c>
      <c r="AL793" s="2204">
        <v>290.7</v>
      </c>
      <c r="AM793" s="2204">
        <v>80.510000000000005</v>
      </c>
      <c r="AN793" s="2204">
        <v>77.59</v>
      </c>
      <c r="AO793" s="2204">
        <v>77.59</v>
      </c>
      <c r="AP793" s="2204">
        <v>77.510000000000005</v>
      </c>
      <c r="AQ793" s="2204">
        <v>77.7</v>
      </c>
      <c r="AR793" s="2204">
        <v>77.7</v>
      </c>
      <c r="AS793" s="2204">
        <v>236.34</v>
      </c>
      <c r="AT793" s="2204">
        <v>236.34</v>
      </c>
      <c r="AU793" s="2204">
        <v>236.34</v>
      </c>
      <c r="AV793" s="2204">
        <v>241.42</v>
      </c>
      <c r="AW793" s="2204">
        <v>236.46</v>
      </c>
      <c r="AX793" s="2204">
        <v>236.46</v>
      </c>
      <c r="AY793" s="2204">
        <v>236.57</v>
      </c>
      <c r="AZ793" s="2204">
        <v>236.57</v>
      </c>
      <c r="BA793" s="2123">
        <v>103.42</v>
      </c>
      <c r="BB793" s="2123">
        <v>103.42</v>
      </c>
      <c r="BC793" s="2123">
        <v>26.53</v>
      </c>
      <c r="BD793" s="2123">
        <v>26.64</v>
      </c>
      <c r="BE793" s="2123">
        <v>28.96</v>
      </c>
      <c r="BF793" s="2123">
        <v>28.96</v>
      </c>
      <c r="BG793" s="2123">
        <v>26.58</v>
      </c>
      <c r="BH793" s="2123">
        <v>26.58</v>
      </c>
      <c r="BI793" s="2123">
        <v>26.35</v>
      </c>
      <c r="BJ793" s="2123">
        <v>26.35</v>
      </c>
      <c r="BK793" s="2123">
        <v>26.35</v>
      </c>
      <c r="BL793" s="2123">
        <v>26.35</v>
      </c>
      <c r="BM793" s="2123">
        <v>58.83</v>
      </c>
      <c r="BN793" s="2123">
        <v>58.83</v>
      </c>
      <c r="BO793" s="2123">
        <v>186.2</v>
      </c>
      <c r="BP793" s="2123">
        <v>186.2</v>
      </c>
      <c r="BQ793" s="2123">
        <v>186.2</v>
      </c>
      <c r="BR793" s="2123">
        <v>186.2</v>
      </c>
      <c r="BS793" s="2123">
        <v>243.61</v>
      </c>
      <c r="BT793" s="2123">
        <v>243.61</v>
      </c>
      <c r="BU793" s="2123">
        <v>243.61</v>
      </c>
      <c r="BV793" s="2123">
        <v>243.61</v>
      </c>
      <c r="BW793" s="2123">
        <v>243.61</v>
      </c>
      <c r="BX793" s="2123">
        <v>243.61</v>
      </c>
      <c r="BY793" s="2123">
        <v>53.4</v>
      </c>
      <c r="BZ793" s="2123">
        <v>53.4</v>
      </c>
      <c r="CA793" s="2123">
        <v>178.44</v>
      </c>
      <c r="CB793" s="2123">
        <v>178.44</v>
      </c>
      <c r="CC793" s="2123">
        <v>181.22</v>
      </c>
      <c r="CD793" s="2123">
        <v>181.22</v>
      </c>
      <c r="CE793" s="2123">
        <v>240.4</v>
      </c>
      <c r="CF793" s="2123">
        <v>240.4</v>
      </c>
      <c r="CG793" s="2123"/>
      <c r="CH793" s="2123"/>
      <c r="CI793" s="2123"/>
      <c r="CJ793" s="2123"/>
      <c r="CK793" s="2123">
        <v>132.38999999999999</v>
      </c>
      <c r="CL793" s="2123">
        <v>132.38999999999999</v>
      </c>
      <c r="CM793" s="2123">
        <v>265.82</v>
      </c>
      <c r="CN793" s="2123">
        <v>265.82</v>
      </c>
      <c r="CO793" s="2123">
        <v>346.39</v>
      </c>
      <c r="CP793" s="2123">
        <v>346.39</v>
      </c>
      <c r="CQ793" s="2123">
        <v>346.39</v>
      </c>
      <c r="CR793" s="2123">
        <v>346.39</v>
      </c>
      <c r="CS793" s="2123"/>
      <c r="CT793" s="2123"/>
      <c r="CU793" s="2123"/>
      <c r="CV793" s="2123"/>
      <c r="CW793" s="2123">
        <v>124.16</v>
      </c>
      <c r="CX793" s="2123">
        <v>124.16</v>
      </c>
      <c r="CY793" s="2123">
        <v>257.64</v>
      </c>
      <c r="CZ793" s="2123">
        <v>257.64</v>
      </c>
      <c r="DA793" s="2123">
        <v>257.64</v>
      </c>
      <c r="DB793" s="2123">
        <v>257.64</v>
      </c>
      <c r="DC793" s="2123">
        <v>336.02</v>
      </c>
      <c r="DD793" s="2123">
        <v>336.02</v>
      </c>
      <c r="DE793" s="2123">
        <v>336.02</v>
      </c>
      <c r="DF793" s="2123">
        <v>336.02</v>
      </c>
      <c r="DG793" s="2123"/>
      <c r="DH793" s="2123"/>
      <c r="DI793" s="2123">
        <v>32.78</v>
      </c>
      <c r="DJ793" s="2123">
        <v>32.78</v>
      </c>
      <c r="DK793" s="2123">
        <v>32.78</v>
      </c>
      <c r="DL793" s="2123">
        <v>32.78</v>
      </c>
      <c r="DM793" s="2123">
        <v>32.78</v>
      </c>
      <c r="DN793" s="2123">
        <v>32.78</v>
      </c>
      <c r="DO793" s="2123"/>
      <c r="DP793" s="2123"/>
      <c r="DQ793" s="2123"/>
      <c r="DR793" s="2123"/>
      <c r="DS793" s="2123"/>
      <c r="DT793" s="2123"/>
      <c r="DU793" s="2123">
        <v>14.59</v>
      </c>
      <c r="DV793" s="2123">
        <v>14.59</v>
      </c>
      <c r="DW793" s="2123">
        <v>14.21</v>
      </c>
      <c r="DX793" s="2123">
        <v>14.21</v>
      </c>
      <c r="DY793" s="2123">
        <v>14.21</v>
      </c>
      <c r="DZ793" s="2123">
        <v>14.21</v>
      </c>
      <c r="EA793" s="2123"/>
      <c r="EB793" s="2123"/>
      <c r="EC793" s="2123"/>
      <c r="ED793" s="2123"/>
      <c r="EE793" s="2123"/>
      <c r="EF793" s="2123"/>
      <c r="EG793" s="2123">
        <v>15.63</v>
      </c>
      <c r="EH793" s="2123">
        <v>15.79</v>
      </c>
      <c r="EI793" s="2123">
        <v>13.19</v>
      </c>
      <c r="EJ793" s="2123">
        <v>13.19</v>
      </c>
      <c r="EK793" s="2123">
        <v>13.2</v>
      </c>
      <c r="EL793" s="2123">
        <v>13.2</v>
      </c>
      <c r="EM793" s="2123">
        <v>13.7</v>
      </c>
      <c r="EN793" s="2123">
        <v>13.7</v>
      </c>
      <c r="EO793" s="2123">
        <v>13.07</v>
      </c>
      <c r="EP793" s="2123">
        <v>13.07</v>
      </c>
      <c r="EQ793" s="2123">
        <v>13.45</v>
      </c>
      <c r="ER793" s="2123">
        <v>13.24</v>
      </c>
      <c r="ES793" s="2123">
        <v>59.99</v>
      </c>
      <c r="ET793" s="2123">
        <v>59.99</v>
      </c>
      <c r="EU793" s="2123">
        <v>267.45999999999998</v>
      </c>
      <c r="EV793" s="2123">
        <v>267.45999999999998</v>
      </c>
      <c r="EW793" s="2123">
        <v>261.92</v>
      </c>
      <c r="EX793" s="2123">
        <v>261.92</v>
      </c>
      <c r="EY793" s="2129">
        <f t="shared" si="56"/>
        <v>264.69</v>
      </c>
      <c r="EZ793" s="2129">
        <f t="shared" si="56"/>
        <v>264.69</v>
      </c>
      <c r="FA793" s="2123">
        <v>264.45</v>
      </c>
      <c r="FB793" s="2123">
        <v>264.45</v>
      </c>
      <c r="FC793" s="2123"/>
      <c r="FD793" s="2123"/>
      <c r="FE793" s="2123">
        <v>51.61</v>
      </c>
      <c r="FF793" s="2123">
        <v>51.61</v>
      </c>
      <c r="FG793" s="2123">
        <v>225.69</v>
      </c>
      <c r="FH793" s="2123">
        <v>225.69</v>
      </c>
      <c r="FI793" s="2123">
        <v>225.69</v>
      </c>
      <c r="FJ793" s="2123">
        <v>226.61</v>
      </c>
      <c r="FK793" s="2123">
        <v>225.4</v>
      </c>
      <c r="FL793" s="2123">
        <v>225.4</v>
      </c>
      <c r="FM793" s="2123">
        <v>225.77</v>
      </c>
      <c r="FN793" s="2123">
        <v>225.77</v>
      </c>
      <c r="FO793" s="2123"/>
      <c r="FP793" s="2123"/>
      <c r="FQ793" s="2123">
        <v>116.62</v>
      </c>
      <c r="FR793" s="2123">
        <v>116.62</v>
      </c>
      <c r="FS793" s="2123">
        <v>236.26</v>
      </c>
      <c r="FT793" s="2123">
        <v>236.26</v>
      </c>
      <c r="FU793" s="2123">
        <v>236.26</v>
      </c>
      <c r="FV793" s="2123">
        <v>236.26</v>
      </c>
      <c r="FW793" s="2123">
        <v>236.46</v>
      </c>
      <c r="FX793" s="2123">
        <v>236.46</v>
      </c>
      <c r="FY793" s="2123"/>
      <c r="FZ793" s="2123"/>
      <c r="GA793" s="2123"/>
      <c r="GB793" s="2123"/>
      <c r="GC793" s="2123">
        <v>82.33</v>
      </c>
      <c r="GD793" s="2123">
        <v>82.33</v>
      </c>
      <c r="GE793" s="2123">
        <v>184.22</v>
      </c>
      <c r="GF793" s="2123">
        <v>184.22</v>
      </c>
      <c r="GG793" s="2123">
        <v>184.22</v>
      </c>
      <c r="GH793" s="2123">
        <v>184.22</v>
      </c>
      <c r="GI793" s="2123">
        <v>212.81</v>
      </c>
      <c r="GJ793" s="2123">
        <v>212.81</v>
      </c>
      <c r="GK793" s="2123">
        <v>233.68</v>
      </c>
      <c r="GL793" s="2123">
        <v>233.68</v>
      </c>
      <c r="GM793" s="2123"/>
      <c r="GN793" s="2123"/>
      <c r="GO793" s="2123">
        <v>44.09</v>
      </c>
      <c r="GP793" s="2123">
        <v>44.09</v>
      </c>
      <c r="GQ793" s="2123">
        <v>39.49</v>
      </c>
      <c r="GR793" s="2123">
        <v>39.49</v>
      </c>
      <c r="GS793" s="2123">
        <v>39.49</v>
      </c>
      <c r="GT793" s="2123">
        <v>38.11</v>
      </c>
      <c r="GU793" s="2123">
        <v>38.11</v>
      </c>
      <c r="GV793" s="2123">
        <v>38.270000000000003</v>
      </c>
      <c r="GW793" s="2123">
        <v>223.47</v>
      </c>
      <c r="GX793" s="2123">
        <v>223.47</v>
      </c>
      <c r="GY793" s="2123"/>
      <c r="GZ793" s="2123"/>
      <c r="HA793" s="2123">
        <v>30.71</v>
      </c>
      <c r="HB793" s="2123">
        <v>30.71</v>
      </c>
      <c r="HC793" s="2123">
        <v>24.92</v>
      </c>
      <c r="HD793" s="2123">
        <v>24.92</v>
      </c>
      <c r="HE793" s="2123">
        <v>25.48</v>
      </c>
      <c r="HF793" s="2123">
        <v>25.48</v>
      </c>
      <c r="HG793" s="2123">
        <v>25.48</v>
      </c>
      <c r="HH793" s="2123">
        <v>25.48</v>
      </c>
      <c r="HI793" s="2123">
        <v>25.48</v>
      </c>
      <c r="HJ793" s="2123">
        <v>25.48</v>
      </c>
      <c r="HK793" s="2123">
        <v>25.58</v>
      </c>
      <c r="HL793" s="2123">
        <v>25.7</v>
      </c>
      <c r="HM793" s="2123">
        <v>43.05</v>
      </c>
      <c r="HN793" s="2123">
        <v>43.05</v>
      </c>
      <c r="HO793" s="2123">
        <v>35.21</v>
      </c>
      <c r="HP793" s="2123">
        <v>35.21</v>
      </c>
      <c r="HQ793" s="2123">
        <v>36.01</v>
      </c>
      <c r="HR793" s="2123">
        <v>36.01</v>
      </c>
      <c r="HS793" s="2123">
        <v>36.01</v>
      </c>
      <c r="HT793" s="2123">
        <v>36.01</v>
      </c>
      <c r="HU793" s="2123">
        <v>36.01</v>
      </c>
      <c r="HV793" s="2123">
        <v>36.01</v>
      </c>
      <c r="HW793" s="2123">
        <v>36.090000000000003</v>
      </c>
      <c r="HX793" s="2123">
        <v>36.090000000000003</v>
      </c>
    </row>
    <row r="794" spans="2:232" s="2040" customFormat="1" ht="14" hidden="1" x14ac:dyDescent="0.3">
      <c r="B794" s="2205">
        <v>100</v>
      </c>
      <c r="C794" s="2206">
        <v>48.72</v>
      </c>
      <c r="D794" s="2206">
        <v>48.72</v>
      </c>
      <c r="E794" s="2206">
        <v>48.76</v>
      </c>
      <c r="F794" s="2206">
        <v>48.76</v>
      </c>
      <c r="G794" s="2206">
        <v>191.62</v>
      </c>
      <c r="H794" s="2206">
        <v>191.62</v>
      </c>
      <c r="I794" s="2206">
        <v>182.91</v>
      </c>
      <c r="J794" s="2206">
        <v>182.91</v>
      </c>
      <c r="K794" s="2206">
        <v>185.95</v>
      </c>
      <c r="L794" s="2206">
        <v>185.95</v>
      </c>
      <c r="M794" s="2206"/>
      <c r="N794" s="2206"/>
      <c r="O794" s="2206">
        <v>152.66</v>
      </c>
      <c r="P794" s="2206">
        <v>152.66</v>
      </c>
      <c r="Q794" s="2206">
        <v>152.04</v>
      </c>
      <c r="R794" s="2206">
        <v>152.66</v>
      </c>
      <c r="S794" s="2206">
        <v>289.49</v>
      </c>
      <c r="T794" s="2206">
        <v>289.27</v>
      </c>
      <c r="U794" s="2206">
        <v>279.23</v>
      </c>
      <c r="V794" s="2206">
        <v>279.23</v>
      </c>
      <c r="W794" s="2206">
        <v>289.27</v>
      </c>
      <c r="X794" s="2206">
        <v>289.27</v>
      </c>
      <c r="Y794" s="2206">
        <v>279.23</v>
      </c>
      <c r="Z794" s="2206">
        <v>289.27</v>
      </c>
      <c r="AA794" s="2206">
        <v>289.27</v>
      </c>
      <c r="AB794" s="2206">
        <v>289.27</v>
      </c>
      <c r="AC794" s="2206">
        <v>279.23</v>
      </c>
      <c r="AD794" s="2206">
        <v>279.23</v>
      </c>
      <c r="AE794" s="2206">
        <v>299.76</v>
      </c>
      <c r="AF794" s="2206">
        <v>291.12</v>
      </c>
      <c r="AG794" s="2206">
        <v>299.76</v>
      </c>
      <c r="AH794" s="2206">
        <v>299.76</v>
      </c>
      <c r="AI794" s="2206">
        <v>291.12</v>
      </c>
      <c r="AJ794" s="2206">
        <v>291.12</v>
      </c>
      <c r="AK794" s="2206">
        <v>291.37</v>
      </c>
      <c r="AL794" s="2206">
        <v>291.37</v>
      </c>
      <c r="AM794" s="2206">
        <v>80.66</v>
      </c>
      <c r="AN794" s="2206">
        <v>77.73</v>
      </c>
      <c r="AO794" s="2206">
        <v>77.73</v>
      </c>
      <c r="AP794" s="2206">
        <v>77.66</v>
      </c>
      <c r="AQ794" s="2206">
        <v>77.84</v>
      </c>
      <c r="AR794" s="2206">
        <v>77.84</v>
      </c>
      <c r="AS794" s="2206">
        <v>236.91</v>
      </c>
      <c r="AT794" s="2206">
        <v>236.91</v>
      </c>
      <c r="AU794" s="2206">
        <v>236.91</v>
      </c>
      <c r="AV794" s="2206">
        <v>242</v>
      </c>
      <c r="AW794" s="2206">
        <v>237.03</v>
      </c>
      <c r="AX794" s="2206">
        <v>237.03</v>
      </c>
      <c r="AY794" s="2206">
        <v>237.14</v>
      </c>
      <c r="AZ794" s="2206">
        <v>237.14</v>
      </c>
      <c r="BA794" s="2207">
        <v>103.68</v>
      </c>
      <c r="BB794" s="2207">
        <v>103.68</v>
      </c>
      <c r="BC794" s="2207">
        <v>26.61</v>
      </c>
      <c r="BD794" s="2207">
        <v>26.72</v>
      </c>
      <c r="BE794" s="2207">
        <v>29.02</v>
      </c>
      <c r="BF794" s="2207">
        <v>29.02</v>
      </c>
      <c r="BG794" s="2207">
        <v>26.66</v>
      </c>
      <c r="BH794" s="2207">
        <v>26.66</v>
      </c>
      <c r="BI794" s="2207">
        <v>26.43</v>
      </c>
      <c r="BJ794" s="2207">
        <v>26.43</v>
      </c>
      <c r="BK794" s="2207">
        <v>26.43</v>
      </c>
      <c r="BL794" s="2207">
        <v>26.43</v>
      </c>
      <c r="BM794" s="2207">
        <v>58.94</v>
      </c>
      <c r="BN794" s="2207">
        <v>58.94</v>
      </c>
      <c r="BO794" s="2207">
        <v>186.61</v>
      </c>
      <c r="BP794" s="2207">
        <v>186.61</v>
      </c>
      <c r="BQ794" s="2207">
        <v>186.61</v>
      </c>
      <c r="BR794" s="2207">
        <v>186.61</v>
      </c>
      <c r="BS794" s="2207">
        <v>244.25</v>
      </c>
      <c r="BT794" s="2207">
        <v>244.25</v>
      </c>
      <c r="BU794" s="2207">
        <v>244.25</v>
      </c>
      <c r="BV794" s="2207">
        <v>244.25</v>
      </c>
      <c r="BW794" s="2207">
        <v>244.25</v>
      </c>
      <c r="BX794" s="2207">
        <v>244.25</v>
      </c>
      <c r="BY794" s="2207">
        <v>53.5</v>
      </c>
      <c r="BZ794" s="2207">
        <v>53.5</v>
      </c>
      <c r="CA794" s="2207">
        <v>178.84</v>
      </c>
      <c r="CB794" s="2207">
        <v>178.84</v>
      </c>
      <c r="CC794" s="2207">
        <v>181.63</v>
      </c>
      <c r="CD794" s="2207">
        <v>181.63</v>
      </c>
      <c r="CE794" s="2207">
        <v>241.05</v>
      </c>
      <c r="CF794" s="2207">
        <v>241.05</v>
      </c>
      <c r="CG794" s="2207"/>
      <c r="CH794" s="2207"/>
      <c r="CI794" s="2207"/>
      <c r="CJ794" s="2207"/>
      <c r="CK794" s="2207">
        <v>132.63</v>
      </c>
      <c r="CL794" s="2207">
        <v>132.63</v>
      </c>
      <c r="CM794" s="2207">
        <v>266.24</v>
      </c>
      <c r="CN794" s="2207">
        <v>266.24</v>
      </c>
      <c r="CO794" s="2207">
        <v>347.09</v>
      </c>
      <c r="CP794" s="2207">
        <v>347.09</v>
      </c>
      <c r="CQ794" s="2207">
        <v>347.09</v>
      </c>
      <c r="CR794" s="2207">
        <v>347.09</v>
      </c>
      <c r="CS794" s="2207"/>
      <c r="CT794" s="2207"/>
      <c r="CU794" s="2207"/>
      <c r="CV794" s="2207"/>
      <c r="CW794" s="2207">
        <v>124.39</v>
      </c>
      <c r="CX794" s="2207">
        <v>124.39</v>
      </c>
      <c r="CY794" s="2207">
        <v>258.07</v>
      </c>
      <c r="CZ794" s="2207">
        <v>258.07</v>
      </c>
      <c r="DA794" s="2207">
        <v>258.07</v>
      </c>
      <c r="DB794" s="2207">
        <v>258.07</v>
      </c>
      <c r="DC794" s="2207">
        <v>336.72</v>
      </c>
      <c r="DD794" s="2207">
        <v>336.72</v>
      </c>
      <c r="DE794" s="2207">
        <v>336.72</v>
      </c>
      <c r="DF794" s="2207">
        <v>336.72</v>
      </c>
      <c r="DG794" s="2207"/>
      <c r="DH794" s="2207"/>
      <c r="DI794" s="2207">
        <v>32.840000000000003</v>
      </c>
      <c r="DJ794" s="2207">
        <v>32.840000000000003</v>
      </c>
      <c r="DK794" s="2207">
        <v>32.840000000000003</v>
      </c>
      <c r="DL794" s="2207">
        <v>32.840000000000003</v>
      </c>
      <c r="DM794" s="2207">
        <v>32.840000000000003</v>
      </c>
      <c r="DN794" s="2207">
        <v>32.840000000000003</v>
      </c>
      <c r="DO794" s="2207"/>
      <c r="DP794" s="2207"/>
      <c r="DQ794" s="2207"/>
      <c r="DR794" s="2207"/>
      <c r="DS794" s="2207"/>
      <c r="DT794" s="2207"/>
      <c r="DU794" s="2207">
        <v>14.62</v>
      </c>
      <c r="DV794" s="2207">
        <v>14.62</v>
      </c>
      <c r="DW794" s="2207">
        <v>14.24</v>
      </c>
      <c r="DX794" s="2207">
        <v>14.24</v>
      </c>
      <c r="DY794" s="2207">
        <v>14.24</v>
      </c>
      <c r="DZ794" s="2207">
        <v>14.24</v>
      </c>
      <c r="EA794" s="2207"/>
      <c r="EB794" s="2207"/>
      <c r="EC794" s="2207"/>
      <c r="ED794" s="2207"/>
      <c r="EE794" s="2207"/>
      <c r="EF794" s="2207"/>
      <c r="EG794" s="2207">
        <v>15.66</v>
      </c>
      <c r="EH794" s="2207">
        <v>15.82</v>
      </c>
      <c r="EI794" s="2207">
        <v>13.23</v>
      </c>
      <c r="EJ794" s="2207">
        <v>13.23</v>
      </c>
      <c r="EK794" s="2207">
        <v>13.24</v>
      </c>
      <c r="EL794" s="2207">
        <v>13.24</v>
      </c>
      <c r="EM794" s="2207">
        <v>13.74</v>
      </c>
      <c r="EN794" s="2207">
        <v>13.74</v>
      </c>
      <c r="EO794" s="2207">
        <v>13.11</v>
      </c>
      <c r="EP794" s="2207">
        <v>13.11</v>
      </c>
      <c r="EQ794" s="2207">
        <v>13.49</v>
      </c>
      <c r="ER794" s="2207">
        <v>13.27</v>
      </c>
      <c r="ES794" s="2207">
        <v>60.1</v>
      </c>
      <c r="ET794" s="2207">
        <v>60.1</v>
      </c>
      <c r="EU794" s="2207">
        <v>268.18</v>
      </c>
      <c r="EV794" s="2207">
        <v>268.18</v>
      </c>
      <c r="EW794" s="2207">
        <v>262.63</v>
      </c>
      <c r="EX794" s="2207">
        <v>262.63</v>
      </c>
      <c r="EY794" s="2208">
        <f t="shared" si="56"/>
        <v>265.40499999999997</v>
      </c>
      <c r="EZ794" s="2208">
        <f t="shared" si="56"/>
        <v>265.40499999999997</v>
      </c>
      <c r="FA794" s="2207">
        <v>265.13</v>
      </c>
      <c r="FB794" s="2207">
        <v>265.13</v>
      </c>
      <c r="FC794" s="2207"/>
      <c r="FD794" s="2207"/>
      <c r="FE794" s="2207">
        <v>51.71</v>
      </c>
      <c r="FF794" s="2207">
        <v>51.71</v>
      </c>
      <c r="FG794" s="2207">
        <v>226.31</v>
      </c>
      <c r="FH794" s="2207">
        <v>226.31</v>
      </c>
      <c r="FI794" s="2207">
        <v>226.31</v>
      </c>
      <c r="FJ794" s="2207">
        <v>227.21</v>
      </c>
      <c r="FK794" s="2207">
        <v>226.02</v>
      </c>
      <c r="FL794" s="2207">
        <v>226.02</v>
      </c>
      <c r="FM794" s="2207">
        <v>226.38</v>
      </c>
      <c r="FN794" s="2207">
        <v>226.38</v>
      </c>
      <c r="FO794" s="2207"/>
      <c r="FP794" s="2207"/>
      <c r="FQ794" s="2207">
        <v>116.84</v>
      </c>
      <c r="FR794" s="2207">
        <v>116.84</v>
      </c>
      <c r="FS794" s="2207">
        <v>236.79</v>
      </c>
      <c r="FT794" s="2207">
        <v>236.79</v>
      </c>
      <c r="FU794" s="2207">
        <v>236.79</v>
      </c>
      <c r="FV794" s="2207">
        <v>236.79</v>
      </c>
      <c r="FW794" s="2207">
        <v>236.98</v>
      </c>
      <c r="FX794" s="2207">
        <v>236.98</v>
      </c>
      <c r="FY794" s="2207"/>
      <c r="FZ794" s="2207"/>
      <c r="GA794" s="2207"/>
      <c r="GB794" s="2207"/>
      <c r="GC794" s="2207">
        <v>82.49</v>
      </c>
      <c r="GD794" s="2207">
        <v>82.49</v>
      </c>
      <c r="GE794" s="2207">
        <v>184.54</v>
      </c>
      <c r="GF794" s="2207">
        <v>184.54</v>
      </c>
      <c r="GG794" s="2207">
        <v>184.54</v>
      </c>
      <c r="GH794" s="2207">
        <v>184.54</v>
      </c>
      <c r="GI794" s="2207">
        <v>213.56</v>
      </c>
      <c r="GJ794" s="2207">
        <v>213.56</v>
      </c>
      <c r="GK794" s="2207">
        <v>234.27</v>
      </c>
      <c r="GL794" s="2207">
        <v>234.27</v>
      </c>
      <c r="GM794" s="2207"/>
      <c r="GN794" s="2207"/>
      <c r="GO794" s="2207">
        <v>44.17</v>
      </c>
      <c r="GP794" s="2207">
        <v>44.17</v>
      </c>
      <c r="GQ794" s="2207">
        <v>39.6</v>
      </c>
      <c r="GR794" s="2207">
        <v>39.6</v>
      </c>
      <c r="GS794" s="2207">
        <v>39.6</v>
      </c>
      <c r="GT794" s="2207">
        <v>38.22</v>
      </c>
      <c r="GU794" s="2207">
        <v>38.22</v>
      </c>
      <c r="GV794" s="2207">
        <v>38.369999999999997</v>
      </c>
      <c r="GW794" s="2207">
        <v>224.07</v>
      </c>
      <c r="GX794" s="2207">
        <v>224.07</v>
      </c>
      <c r="GY794" s="2207"/>
      <c r="GZ794" s="2207"/>
      <c r="HA794" s="2207">
        <v>30.77</v>
      </c>
      <c r="HB794" s="2207">
        <v>30.77</v>
      </c>
      <c r="HC794" s="2207">
        <v>25.01</v>
      </c>
      <c r="HD794" s="2207">
        <v>25.01</v>
      </c>
      <c r="HE794" s="2207">
        <v>25.56</v>
      </c>
      <c r="HF794" s="2207">
        <v>25.56</v>
      </c>
      <c r="HG794" s="2207">
        <v>25.56</v>
      </c>
      <c r="HH794" s="2207">
        <v>25.56</v>
      </c>
      <c r="HI794" s="2207">
        <v>25.56</v>
      </c>
      <c r="HJ794" s="2207">
        <v>25.56</v>
      </c>
      <c r="HK794" s="2207">
        <v>25.66</v>
      </c>
      <c r="HL794" s="2207">
        <v>25.77</v>
      </c>
      <c r="HM794" s="2207">
        <v>43.13</v>
      </c>
      <c r="HN794" s="2207">
        <v>43.13</v>
      </c>
      <c r="HO794" s="2207">
        <v>35.33</v>
      </c>
      <c r="HP794" s="2207">
        <v>35.33</v>
      </c>
      <c r="HQ794" s="2207">
        <v>36.119999999999997</v>
      </c>
      <c r="HR794" s="2207">
        <v>36.119999999999997</v>
      </c>
      <c r="HS794" s="2207">
        <v>36.119999999999997</v>
      </c>
      <c r="HT794" s="2207">
        <v>36.119999999999997</v>
      </c>
      <c r="HU794" s="2207">
        <v>36.119999999999997</v>
      </c>
      <c r="HV794" s="2207">
        <v>36.119999999999997</v>
      </c>
      <c r="HW794" s="2207">
        <v>36.200000000000003</v>
      </c>
      <c r="HX794" s="2207">
        <v>36.200000000000003</v>
      </c>
    </row>
    <row r="795" spans="2:232" s="2040" customFormat="1" ht="14" hidden="1" x14ac:dyDescent="0.3"/>
    <row r="796" spans="2:232" s="892" customFormat="1" ht="14" hidden="1" x14ac:dyDescent="0.3"/>
    <row r="797" spans="2:232" s="892" customFormat="1" ht="14" hidden="1" x14ac:dyDescent="0.3"/>
    <row r="798" spans="2:232" s="892" customFormat="1" ht="14" hidden="1" x14ac:dyDescent="0.3"/>
    <row r="799" spans="2:232" s="892" customFormat="1" ht="14" hidden="1" x14ac:dyDescent="0.3"/>
    <row r="800" spans="2:232" s="892" customFormat="1" ht="14" hidden="1" x14ac:dyDescent="0.3"/>
    <row r="801" s="892" customFormat="1" ht="14" hidden="1" x14ac:dyDescent="0.3"/>
    <row r="802" s="892" customFormat="1" ht="14" hidden="1" x14ac:dyDescent="0.3"/>
    <row r="803" s="892" customFormat="1" ht="14" hidden="1" x14ac:dyDescent="0.3"/>
    <row r="804" s="892" customFormat="1" ht="14" hidden="1" x14ac:dyDescent="0.3"/>
    <row r="805" s="892" customFormat="1" ht="14" hidden="1" x14ac:dyDescent="0.3"/>
    <row r="806" s="892" customFormat="1" ht="14" hidden="1" x14ac:dyDescent="0.3"/>
    <row r="807" s="892" customFormat="1" ht="14" hidden="1" x14ac:dyDescent="0.3"/>
    <row r="808" s="892" customFormat="1" ht="14" hidden="1" x14ac:dyDescent="0.3"/>
    <row r="809" s="892" customFormat="1" ht="14" hidden="1" x14ac:dyDescent="0.3"/>
    <row r="810" s="892" customFormat="1" ht="14" hidden="1" x14ac:dyDescent="0.3"/>
    <row r="811" s="892" customFormat="1" ht="14" hidden="1" x14ac:dyDescent="0.3"/>
    <row r="812" s="892" customFormat="1" ht="14" hidden="1" x14ac:dyDescent="0.3"/>
    <row r="813" s="892" customFormat="1" ht="14" hidden="1" x14ac:dyDescent="0.3"/>
    <row r="814" s="1201" customFormat="1" ht="14" hidden="1" x14ac:dyDescent="0.3"/>
    <row r="815" s="1201" customFormat="1" ht="14" hidden="1" x14ac:dyDescent="0.3"/>
    <row r="816" s="1201" customFormat="1" ht="14" hidden="1" x14ac:dyDescent="0.3"/>
    <row r="817" s="1201" customFormat="1" ht="14" hidden="1" x14ac:dyDescent="0.3"/>
    <row r="818" s="1201" customFormat="1" ht="14" hidden="1" x14ac:dyDescent="0.3"/>
    <row r="819" s="1201" customFormat="1" ht="14" hidden="1" x14ac:dyDescent="0.3"/>
    <row r="820" s="1201" customFormat="1" ht="14" hidden="1" x14ac:dyDescent="0.3"/>
    <row r="821" s="1201" customFormat="1" ht="14" hidden="1" x14ac:dyDescent="0.3"/>
    <row r="822" s="1201" customFormat="1" ht="14" hidden="1" x14ac:dyDescent="0.3"/>
    <row r="823" s="1201" customFormat="1" ht="14" hidden="1" x14ac:dyDescent="0.3"/>
    <row r="824" s="1201" customFormat="1" ht="14" hidden="1" x14ac:dyDescent="0.3"/>
    <row r="825" s="1201" customFormat="1" ht="14" hidden="1" x14ac:dyDescent="0.3"/>
    <row r="826" s="1201" customFormat="1" ht="14" hidden="1" x14ac:dyDescent="0.3"/>
    <row r="827" s="1201" customFormat="1" ht="14" hidden="1" x14ac:dyDescent="0.3"/>
    <row r="828" s="1201" customFormat="1" ht="14" hidden="1" x14ac:dyDescent="0.3"/>
    <row r="829" s="1201" customFormat="1" ht="14" hidden="1" x14ac:dyDescent="0.3"/>
    <row r="830" s="1201" customFormat="1" ht="14" hidden="1" x14ac:dyDescent="0.3"/>
    <row r="831" s="1201" customFormat="1" ht="14" hidden="1" x14ac:dyDescent="0.3"/>
    <row r="832" s="1201" customFormat="1" ht="14" hidden="1" x14ac:dyDescent="0.3"/>
    <row r="833" s="1201" customFormat="1" ht="14" hidden="1" x14ac:dyDescent="0.3"/>
    <row r="834" s="1201" customFormat="1" ht="14" hidden="1" x14ac:dyDescent="0.3"/>
    <row r="835" s="1201" customFormat="1" ht="14" hidden="1" x14ac:dyDescent="0.3"/>
    <row r="836" s="1201" customFormat="1" ht="14" hidden="1" x14ac:dyDescent="0.3"/>
    <row r="837" s="1201" customFormat="1" ht="14" hidden="1" x14ac:dyDescent="0.3"/>
    <row r="838" s="1201" customFormat="1" ht="14" hidden="1" x14ac:dyDescent="0.3"/>
    <row r="839" s="1201" customFormat="1" ht="14" hidden="1" x14ac:dyDescent="0.3"/>
    <row r="840" s="1201" customFormat="1" ht="14" hidden="1" x14ac:dyDescent="0.3"/>
    <row r="841" s="1201" customFormat="1" ht="14" hidden="1" x14ac:dyDescent="0.3"/>
    <row r="842" s="1201" customFormat="1" ht="14" hidden="1" x14ac:dyDescent="0.3"/>
    <row r="843" s="1201" customFormat="1" ht="14" hidden="1" x14ac:dyDescent="0.3"/>
    <row r="844" s="1201" customFormat="1" ht="14" hidden="1" x14ac:dyDescent="0.3"/>
    <row r="845" s="1201" customFormat="1" ht="14" hidden="1" x14ac:dyDescent="0.3"/>
    <row r="846" s="1201" customFormat="1" ht="14" hidden="1" x14ac:dyDescent="0.3"/>
    <row r="847" s="1201" customFormat="1" ht="14" hidden="1" x14ac:dyDescent="0.3"/>
    <row r="848" s="1201" customFormat="1" ht="14" hidden="1" x14ac:dyDescent="0.3"/>
    <row r="849" s="1201" customFormat="1" ht="14" hidden="1" x14ac:dyDescent="0.3"/>
    <row r="850" s="1201" customFormat="1" ht="14" hidden="1" x14ac:dyDescent="0.3"/>
    <row r="851" s="1201" customFormat="1" ht="14" hidden="1" x14ac:dyDescent="0.3"/>
    <row r="852" s="1201" customFormat="1" ht="14" hidden="1" x14ac:dyDescent="0.3"/>
    <row r="853" s="1201" customFormat="1" ht="14" hidden="1" x14ac:dyDescent="0.3"/>
    <row r="854" s="1201" customFormat="1" ht="14" hidden="1" x14ac:dyDescent="0.3"/>
    <row r="855" s="1201" customFormat="1" ht="14" hidden="1" x14ac:dyDescent="0.3"/>
    <row r="856" s="1201" customFormat="1" ht="14" hidden="1" x14ac:dyDescent="0.3"/>
    <row r="857" s="1201" customFormat="1" ht="14" hidden="1" x14ac:dyDescent="0.3"/>
    <row r="858" s="1201" customFormat="1" ht="14" hidden="1" x14ac:dyDescent="0.3"/>
    <row r="859" s="1201" customFormat="1" ht="14" hidden="1" x14ac:dyDescent="0.3"/>
    <row r="860" s="1201" customFormat="1" ht="14" hidden="1" x14ac:dyDescent="0.3"/>
    <row r="861" s="1201" customFormat="1" ht="14" hidden="1" x14ac:dyDescent="0.3"/>
    <row r="862" s="1201" customFormat="1" ht="14" hidden="1" x14ac:dyDescent="0.3"/>
    <row r="863" s="1201" customFormat="1" ht="14" hidden="1" x14ac:dyDescent="0.3"/>
    <row r="864" s="1201" customFormat="1" ht="14" hidden="1" x14ac:dyDescent="0.3"/>
    <row r="865" s="1201" customFormat="1" ht="14" hidden="1" x14ac:dyDescent="0.3"/>
    <row r="866" s="1201" customFormat="1" ht="14" hidden="1" x14ac:dyDescent="0.3"/>
    <row r="867" s="1201" customFormat="1" ht="14" hidden="1" x14ac:dyDescent="0.3"/>
    <row r="868" s="1201" customFormat="1" ht="14" hidden="1" x14ac:dyDescent="0.3"/>
    <row r="869" s="1201" customFormat="1" ht="14" hidden="1" x14ac:dyDescent="0.3"/>
    <row r="870" s="1201" customFormat="1" ht="14" hidden="1" x14ac:dyDescent="0.3"/>
    <row r="871" s="1201" customFormat="1" ht="14" hidden="1" x14ac:dyDescent="0.3"/>
    <row r="872" s="1201" customFormat="1" ht="14" hidden="1" x14ac:dyDescent="0.3"/>
    <row r="873" s="1201" customFormat="1" ht="14" hidden="1" x14ac:dyDescent="0.3"/>
    <row r="874" s="1201" customFormat="1" ht="14" hidden="1" x14ac:dyDescent="0.3"/>
    <row r="875" s="1201" customFormat="1" ht="14" hidden="1" x14ac:dyDescent="0.3"/>
    <row r="876" s="1201" customFormat="1" ht="14" hidden="1" x14ac:dyDescent="0.3"/>
    <row r="877" s="1201" customFormat="1" ht="14" hidden="1" x14ac:dyDescent="0.3"/>
    <row r="878" s="1201" customFormat="1" ht="14" hidden="1" x14ac:dyDescent="0.3"/>
    <row r="879" s="1201" customFormat="1" ht="14" hidden="1" x14ac:dyDescent="0.3"/>
    <row r="880" s="1201" customFormat="1" ht="14" hidden="1" x14ac:dyDescent="0.3"/>
    <row r="881" s="1201" customFormat="1" ht="14" hidden="1" x14ac:dyDescent="0.3"/>
    <row r="882" s="1201" customFormat="1" ht="14" hidden="1" x14ac:dyDescent="0.3"/>
    <row r="883" s="1201" customFormat="1" ht="14" hidden="1" x14ac:dyDescent="0.3"/>
    <row r="884" s="1201" customFormat="1" ht="14" hidden="1" x14ac:dyDescent="0.3"/>
    <row r="885" s="1201" customFormat="1" ht="14" hidden="1" x14ac:dyDescent="0.3"/>
    <row r="886" s="1201" customFormat="1" ht="14" hidden="1" x14ac:dyDescent="0.3"/>
    <row r="887" s="1201" customFormat="1" ht="14" hidden="1" x14ac:dyDescent="0.3"/>
    <row r="888" s="1201" customFormat="1" ht="14" hidden="1" x14ac:dyDescent="0.3"/>
    <row r="889" s="1201" customFormat="1" ht="14" hidden="1" x14ac:dyDescent="0.3"/>
    <row r="890" s="1201" customFormat="1" ht="14" hidden="1" x14ac:dyDescent="0.3"/>
    <row r="891" s="1201" customFormat="1" ht="14" x14ac:dyDescent="0.3"/>
    <row r="892" s="1201" customFormat="1" ht="14" x14ac:dyDescent="0.3"/>
    <row r="893" s="1201" customFormat="1" ht="14" x14ac:dyDescent="0.3"/>
    <row r="894" s="1201" customFormat="1" ht="14" x14ac:dyDescent="0.3"/>
    <row r="895" s="1201" customFormat="1" ht="14" x14ac:dyDescent="0.3"/>
    <row r="896" s="1201" customFormat="1" ht="14" x14ac:dyDescent="0.3"/>
  </sheetData>
  <sheetProtection algorithmName="SHA-512" hashValue="oRONo7BA70oxjbxzGta9Cq3j8HbhbcWTEOPt4mlDAMiArUeJaQEAXre2u17klWyzCJ/bI12ybgyleyV5Zey1OQ==" saltValue="CfQ8dyQDsRMhyVpy2L5dwA==" spinCount="100000" sheet="1" objects="1" scenarios="1"/>
  <mergeCells count="86">
    <mergeCell ref="L522:M522"/>
    <mergeCell ref="B519:B520"/>
    <mergeCell ref="C519:C520"/>
    <mergeCell ref="D519:D520"/>
    <mergeCell ref="E519:H519"/>
    <mergeCell ref="I519:K519"/>
    <mergeCell ref="L110:L111"/>
    <mergeCell ref="L521:M521"/>
    <mergeCell ref="F110:F111"/>
    <mergeCell ref="G110:G111"/>
    <mergeCell ref="H110:H111"/>
    <mergeCell ref="D515:G515"/>
    <mergeCell ref="J515:M515"/>
    <mergeCell ref="I110:I111"/>
    <mergeCell ref="L519:N519"/>
    <mergeCell ref="E66:F66"/>
    <mergeCell ref="G66:H66"/>
    <mergeCell ref="G68:H68"/>
    <mergeCell ref="J110:J111"/>
    <mergeCell ref="K110:K111"/>
    <mergeCell ref="E60:F60"/>
    <mergeCell ref="G60:H60"/>
    <mergeCell ref="E64:F64"/>
    <mergeCell ref="G64:H64"/>
    <mergeCell ref="E61:F61"/>
    <mergeCell ref="G61:H61"/>
    <mergeCell ref="I48:J49"/>
    <mergeCell ref="E56:F56"/>
    <mergeCell ref="E57:F57"/>
    <mergeCell ref="E51:F51"/>
    <mergeCell ref="E52:F52"/>
    <mergeCell ref="E53:F53"/>
    <mergeCell ref="E48:F48"/>
    <mergeCell ref="D42:E42"/>
    <mergeCell ref="F42:G42"/>
    <mergeCell ref="H42:I42"/>
    <mergeCell ref="C47:D47"/>
    <mergeCell ref="G47:I47"/>
    <mergeCell ref="H39:I39"/>
    <mergeCell ref="D40:E40"/>
    <mergeCell ref="F40:G40"/>
    <mergeCell ref="H40:I40"/>
    <mergeCell ref="D41:E41"/>
    <mergeCell ref="F41:G41"/>
    <mergeCell ref="H41:I41"/>
    <mergeCell ref="B2:H5"/>
    <mergeCell ref="D9:F9"/>
    <mergeCell ref="D11:F11"/>
    <mergeCell ref="F13:G13"/>
    <mergeCell ref="D29:E29"/>
    <mergeCell ref="F29:G29"/>
    <mergeCell ref="H13:I13"/>
    <mergeCell ref="B581:C581"/>
    <mergeCell ref="E581:G581"/>
    <mergeCell ref="C75:D75"/>
    <mergeCell ref="C80:E80"/>
    <mergeCell ref="F80:G80"/>
    <mergeCell ref="C77:D77"/>
    <mergeCell ref="B81:B82"/>
    <mergeCell ref="B86:I88"/>
    <mergeCell ref="F101:G101"/>
    <mergeCell ref="F106:G106"/>
    <mergeCell ref="B110:C110"/>
    <mergeCell ref="D110:D111"/>
    <mergeCell ref="E110:E111"/>
    <mergeCell ref="F31:G31"/>
    <mergeCell ref="F33:G33"/>
    <mergeCell ref="D35:E35"/>
    <mergeCell ref="F35:G35"/>
    <mergeCell ref="H35:I35"/>
    <mergeCell ref="C73:D73"/>
    <mergeCell ref="T198:U198"/>
    <mergeCell ref="F71:G71"/>
    <mergeCell ref="B41:B42"/>
    <mergeCell ref="D36:E36"/>
    <mergeCell ref="F36:G36"/>
    <mergeCell ref="H36:I36"/>
    <mergeCell ref="D37:E37"/>
    <mergeCell ref="F37:G37"/>
    <mergeCell ref="H37:I37"/>
    <mergeCell ref="D38:E38"/>
    <mergeCell ref="F38:G38"/>
    <mergeCell ref="H38:I38"/>
    <mergeCell ref="D39:E39"/>
    <mergeCell ref="C71:D71"/>
    <mergeCell ref="F39:G39"/>
  </mergeCells>
  <conditionalFormatting sqref="H71">
    <cfRule type="expression" dxfId="117" priority="1">
      <formula>$U$200&gt;2</formula>
    </cfRule>
  </conditionalFormatting>
  <dataValidations count="21">
    <dataValidation type="list" allowBlank="1" showInputMessage="1" showErrorMessage="1" sqref="D29:E29" xr:uid="{D56F960D-E0D0-4F77-AB01-200F88BA9B6E}">
      <formula1>Milk.production</formula1>
    </dataValidation>
    <dataValidation type="whole" allowBlank="1" showInputMessage="1" showErrorMessage="1" error="If the herd's average lactation length is greater than 365 days, you must put 365 here as the assessment is only for a 12 month period" sqref="D33" xr:uid="{6DB1F556-1B76-4DB9-B1C6-68801DE17F01}">
      <formula1>1</formula1>
      <formula2>365</formula2>
    </dataValidation>
    <dataValidation type="list" allowBlank="1" showInputMessage="1" showErrorMessage="1" sqref="C71:D71" xr:uid="{57D63E95-6740-4B8A-B407-74BA8FF1E48A}">
      <formula1>Tree_Sequestration</formula1>
    </dataValidation>
    <dataValidation type="list" allowBlank="1" showInputMessage="1" showErrorMessage="1" sqref="F106" xr:uid="{6181D950-6016-4A49-B51F-5BE4A025E1B1}">
      <formula1>Heifer_Feedpad_Waste</formula1>
    </dataValidation>
    <dataValidation type="list" allowBlank="1" showInputMessage="1" showErrorMessage="1" sqref="F101" xr:uid="{F61B29F1-1E07-4ED8-B703-726C3E938320}">
      <formula1>Milker_Feedpad_Waste</formula1>
    </dataValidation>
    <dataValidation type="list" allowBlank="1" showInputMessage="1" showErrorMessage="1" sqref="G97" xr:uid="{99A5098B-7C09-46F1-86EF-B440677FC1F1}">
      <formula1>Pre_treament</formula1>
    </dataValidation>
    <dataValidation type="list" allowBlank="1" showInputMessage="1" showErrorMessage="1" sqref="F80:G80" xr:uid="{BD403929-50CE-479E-BE4C-001356B48961}">
      <formula1>Waste.Management</formula1>
    </dataValidation>
    <dataValidation type="list" allowBlank="1" showInputMessage="1" showErrorMessage="1" sqref="E48" xr:uid="{5864FF7A-4928-476A-8950-966A18611F4C}">
      <formula1>Fertiliser</formula1>
    </dataValidation>
    <dataValidation type="list" allowBlank="1" showInputMessage="1" showErrorMessage="1" sqref="D13" xr:uid="{2893A65D-AF68-44CB-87CE-A4C350458447}">
      <formula1>State</formula1>
    </dataValidation>
    <dataValidation type="whole" allowBlank="1" showInputMessage="1" showErrorMessage="1" sqref="G93:G95 G53" xr:uid="{B8E13580-B231-4DFA-9EE4-101DEF54D278}">
      <formula1>0</formula1>
      <formula2>100</formula2>
    </dataValidation>
    <dataValidation type="whole" allowBlank="1" showInputMessage="1" showErrorMessage="1" sqref="H104 H99" xr:uid="{93120B02-9DE4-4473-9616-AA8F621C8A3B}">
      <formula1>0</formula1>
      <formula2>365</formula2>
    </dataValidation>
    <dataValidation type="decimal" allowBlank="1" showInputMessage="1" showErrorMessage="1" sqref="G104 G99 G91" xr:uid="{CA8F31F0-9DAC-4DFD-9ACB-CDE2FB820C28}">
      <formula1>0</formula1>
      <formula2>24</formula2>
    </dataValidation>
    <dataValidation type="decimal" allowBlank="1" showInputMessage="1" showErrorMessage="1" sqref="H91" xr:uid="{2B415B1F-9A42-4910-A91D-B09DE7F9FE36}">
      <formula1>0</formula1>
      <formula2>365</formula2>
    </dataValidation>
    <dataValidation type="whole" allowBlank="1" showInputMessage="1" showErrorMessage="1" sqref="I77" xr:uid="{4FC19EC6-BA87-42C6-87D1-0677862EEC84}">
      <formula1>1</formula1>
      <formula2>100</formula2>
    </dataValidation>
    <dataValidation type="list" allowBlank="1" showInputMessage="1" showErrorMessage="1" sqref="C77" xr:uid="{3C4CC8E6-00F3-434A-ABD4-8E6C6A8F300D}">
      <formula1>OFFSET($C$611,MATCH($C$583,$C$612:$C$629,0),2,COUNTIF($C$612:$C$629,$C$583),2)</formula1>
    </dataValidation>
    <dataValidation type="list" allowBlank="1" showInputMessage="1" showErrorMessage="1" sqref="C75:D75" xr:uid="{16080C06-B777-49AF-977F-389D0EA1DC67}">
      <formula1>OFFSET($C$611,MATCH($C$583,$C$612:$C$629,0),5,COUNTIF($C$612:$C$629,$C$583),6)</formula1>
    </dataValidation>
    <dataValidation type="list" allowBlank="1" showInputMessage="1" showErrorMessage="1" sqref="C73:D73" xr:uid="{1C65E68C-4D4E-49FF-BC5D-5825AD9F06B4}">
      <formula1>INDIRECT(D13)</formula1>
    </dataValidation>
    <dataValidation type="whole" allowBlank="1" showInputMessage="1" showErrorMessage="1" error="Enter a whole number between 1 and 99. So if 10% from renewables, enter 10" sqref="G61:H61" xr:uid="{2BA01474-49A8-40D7-84B6-A728F8FC9867}">
      <formula1>0</formula1>
      <formula2>99</formula2>
    </dataValidation>
    <dataValidation type="list" allowBlank="1" showInputMessage="1" showErrorMessage="1" sqref="G60:H60" xr:uid="{B8836679-0974-4E5F-99D2-B8D9C7C8A801}">
      <formula1>$E$526:$E$527</formula1>
    </dataValidation>
    <dataValidation type="list" allowBlank="1" showInputMessage="1" showErrorMessage="1" sqref="K15" xr:uid="{89E5B8FA-8323-4BA8-B910-C3C5038CC834}">
      <formula1>$H$200:$H$201</formula1>
    </dataValidation>
    <dataValidation type="list" allowBlank="1" showInputMessage="1" showErrorMessage="1" sqref="H13:I13" xr:uid="{16C5DB22-E629-4F55-906A-81EC45E72FFB}">
      <formula1>$L$188:$L$204</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R1:X24"/>
  <sheetViews>
    <sheetView zoomScaleNormal="100" workbookViewId="0"/>
  </sheetViews>
  <sheetFormatPr defaultColWidth="9.1796875" defaultRowHeight="14.5" x14ac:dyDescent="0.35"/>
  <cols>
    <col min="1" max="16384" width="9.1796875" style="1"/>
  </cols>
  <sheetData>
    <row r="1" spans="24:24" s="919" customFormat="1" x14ac:dyDescent="0.35"/>
    <row r="13" spans="24:24" x14ac:dyDescent="0.35">
      <c r="X13" s="3"/>
    </row>
    <row r="18" spans="18:19" x14ac:dyDescent="0.35">
      <c r="R18" s="286"/>
      <c r="S18" s="286"/>
    </row>
    <row r="22" spans="18:19" x14ac:dyDescent="0.35">
      <c r="R22" s="3"/>
    </row>
    <row r="24" spans="18:19" x14ac:dyDescent="0.35">
      <c r="R24" s="3"/>
    </row>
  </sheetData>
  <sheetProtection algorithmName="SHA-512" hashValue="vvuvBCVMlVL5qdaxkYxDRmbuB6XAbVZpI1ESxx4UcORejd5RXsrRxvfMhlEg5pxvgtS7W2GPyK9RUuoucxyZNw==" saltValue="2ljIMzJ7ffdTgUd4Crpi1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BC675"/>
  <sheetViews>
    <sheetView zoomScale="85" zoomScaleNormal="85" workbookViewId="0"/>
  </sheetViews>
  <sheetFormatPr defaultColWidth="9.1796875" defaultRowHeight="14.5" x14ac:dyDescent="0.35"/>
  <cols>
    <col min="1" max="1" width="3.26953125" style="993" customWidth="1"/>
    <col min="2" max="3" width="42.6328125" style="993" customWidth="1"/>
    <col min="4" max="11" width="24.6328125" style="993" customWidth="1"/>
    <col min="12" max="12" width="27.6328125" style="993" customWidth="1"/>
    <col min="13" max="13" width="14" style="993" bestFit="1" customWidth="1"/>
    <col min="14" max="14" width="14.26953125" style="993" bestFit="1" customWidth="1"/>
    <col min="15" max="15" width="17.7265625" style="993" customWidth="1"/>
    <col min="16" max="16" width="15" style="993" bestFit="1" customWidth="1"/>
    <col min="17" max="17" width="10.81640625" style="993" bestFit="1" customWidth="1"/>
    <col min="18" max="18" width="11.7265625" style="993" bestFit="1" customWidth="1"/>
    <col min="19" max="19" width="41.26953125" style="993" bestFit="1" customWidth="1"/>
    <col min="20" max="20" width="32.1796875" style="993" bestFit="1" customWidth="1"/>
    <col min="21" max="21" width="10.7265625" style="993" bestFit="1" customWidth="1"/>
    <col min="22" max="22" width="13.453125" style="993" bestFit="1" customWidth="1"/>
    <col min="23" max="23" width="9.1796875" style="993"/>
    <col min="24" max="24" width="10.7265625" style="993" customWidth="1"/>
    <col min="25" max="25" width="9.1796875" style="993"/>
    <col min="26" max="26" width="22.453125" style="993" bestFit="1" customWidth="1"/>
    <col min="27" max="28" width="9.1796875" style="993"/>
    <col min="29" max="29" width="10.1796875" style="993" bestFit="1" customWidth="1"/>
    <col min="30" max="30" width="12.26953125" style="993" customWidth="1"/>
    <col min="31" max="33" width="9.1796875" style="993"/>
    <col min="34" max="34" width="20.453125" style="993" bestFit="1" customWidth="1"/>
    <col min="35" max="35" width="22.453125" style="993" customWidth="1"/>
    <col min="36" max="36" width="10.54296875" style="993" bestFit="1" customWidth="1"/>
    <col min="37" max="41" width="9.1796875" style="993"/>
    <col min="42" max="42" width="12" style="993" customWidth="1"/>
    <col min="43" max="43" width="38.81640625" style="993" customWidth="1"/>
    <col min="44" max="44" width="18.1796875" style="993" customWidth="1"/>
    <col min="45" max="45" width="9.1796875" style="993"/>
    <col min="46" max="46" width="36.7265625" style="993" customWidth="1"/>
    <col min="47" max="47" width="9.1796875" style="993"/>
    <col min="48" max="48" width="37.7265625" style="993" bestFit="1" customWidth="1"/>
    <col min="49" max="49" width="9.1796875" style="993"/>
    <col min="50" max="50" width="37.7265625" style="993" bestFit="1" customWidth="1"/>
    <col min="51" max="52" width="9.1796875" style="993"/>
    <col min="53" max="53" width="10.54296875" style="993" customWidth="1"/>
    <col min="54" max="57" width="10.54296875" style="993" bestFit="1" customWidth="1"/>
    <col min="58" max="16384" width="9.1796875" style="993"/>
  </cols>
  <sheetData>
    <row r="1" spans="1:11" ht="20.5" x14ac:dyDescent="0.45">
      <c r="A1" s="1318"/>
      <c r="J1" s="1249"/>
    </row>
    <row r="2" spans="1:11" ht="15" customHeight="1" x14ac:dyDescent="0.35">
      <c r="B2" s="2587" t="s">
        <v>1921</v>
      </c>
      <c r="C2" s="2587"/>
      <c r="D2" s="2587"/>
      <c r="E2" s="2587"/>
      <c r="F2" s="2587"/>
      <c r="G2" s="2587"/>
      <c r="H2" s="2587"/>
      <c r="I2" s="1250"/>
    </row>
    <row r="3" spans="1:11" ht="15" customHeight="1" x14ac:dyDescent="0.35">
      <c r="B3" s="2587"/>
      <c r="C3" s="2587"/>
      <c r="D3" s="2587"/>
      <c r="E3" s="2587"/>
      <c r="F3" s="2587"/>
      <c r="G3" s="2587"/>
      <c r="H3" s="2587"/>
      <c r="I3" s="1250"/>
    </row>
    <row r="4" spans="1:11" ht="15" customHeight="1" x14ac:dyDescent="0.35">
      <c r="B4" s="2587"/>
      <c r="C4" s="2587"/>
      <c r="D4" s="2587"/>
      <c r="E4" s="2587"/>
      <c r="F4" s="2587"/>
      <c r="G4" s="2587"/>
      <c r="H4" s="2587"/>
      <c r="I4" s="1250"/>
    </row>
    <row r="5" spans="1:11" ht="15" customHeight="1" x14ac:dyDescent="0.35">
      <c r="B5" s="2587"/>
      <c r="C5" s="2587"/>
      <c r="D5" s="2587"/>
      <c r="E5" s="2587"/>
      <c r="F5" s="2587"/>
      <c r="G5" s="2587"/>
      <c r="H5" s="2587"/>
      <c r="I5" s="1250"/>
    </row>
    <row r="7" spans="1:11" ht="17.5" x14ac:dyDescent="0.35">
      <c r="B7" s="1155" t="s">
        <v>1922</v>
      </c>
      <c r="C7" s="996"/>
      <c r="E7" s="1052"/>
    </row>
    <row r="8" spans="1:11" ht="17.5" x14ac:dyDescent="0.35">
      <c r="B8" s="1155" t="s">
        <v>1923</v>
      </c>
      <c r="C8" s="996"/>
      <c r="E8" s="1052"/>
    </row>
    <row r="9" spans="1:11" ht="17.5" x14ac:dyDescent="0.35">
      <c r="B9" s="1319"/>
      <c r="C9" s="977"/>
      <c r="D9" s="977"/>
      <c r="E9" s="1320"/>
      <c r="F9" s="977"/>
      <c r="G9" s="982"/>
      <c r="H9" s="977"/>
      <c r="I9" s="435"/>
      <c r="J9" s="435"/>
      <c r="K9" s="1332"/>
    </row>
    <row r="10" spans="1:11" ht="17.5" x14ac:dyDescent="0.35">
      <c r="B10" s="1222" t="s">
        <v>819</v>
      </c>
      <c r="C10" s="1220" t="s">
        <v>969</v>
      </c>
      <c r="D10" s="2629">
        <f>'Baseline farm'!D11:F11</f>
        <v>0</v>
      </c>
      <c r="E10" s="2629"/>
      <c r="F10" s="2629"/>
      <c r="G10" s="1198" t="s">
        <v>820</v>
      </c>
      <c r="H10" s="1053">
        <f>'Baseline farm'!H11</f>
        <v>0</v>
      </c>
      <c r="I10" s="1091"/>
      <c r="J10" s="1091"/>
      <c r="K10" s="1225"/>
    </row>
    <row r="11" spans="1:11" ht="17.5" x14ac:dyDescent="0.35">
      <c r="B11" s="1222"/>
      <c r="C11" s="1091"/>
      <c r="D11" s="1091"/>
      <c r="E11" s="1224"/>
      <c r="F11" s="1091"/>
      <c r="G11" s="1192"/>
      <c r="H11" s="1091"/>
      <c r="I11" s="1091"/>
      <c r="J11" s="1091"/>
      <c r="K11" s="1225"/>
    </row>
    <row r="12" spans="1:11" ht="17.5" x14ac:dyDescent="0.35">
      <c r="B12" s="1222"/>
      <c r="C12" s="1220" t="s">
        <v>821</v>
      </c>
      <c r="D12" s="2629">
        <f>'Baseline farm'!D13:F13</f>
        <v>0</v>
      </c>
      <c r="E12" s="2629"/>
      <c r="F12" s="2629"/>
      <c r="G12" s="1198" t="s">
        <v>911</v>
      </c>
      <c r="H12" s="1053">
        <f>'Baseline farm'!H13</f>
        <v>0</v>
      </c>
      <c r="I12" s="1224"/>
      <c r="J12" s="1224"/>
      <c r="K12" s="1225"/>
    </row>
    <row r="13" spans="1:11" ht="17.5" x14ac:dyDescent="0.35">
      <c r="B13" s="1222"/>
      <c r="C13" s="1091"/>
      <c r="D13" s="1091"/>
      <c r="E13" s="1224"/>
      <c r="F13" s="1091"/>
      <c r="G13" s="1224"/>
      <c r="H13" s="1224"/>
      <c r="I13" s="1224"/>
      <c r="J13" s="1224"/>
      <c r="K13" s="1225"/>
    </row>
    <row r="14" spans="1:11" ht="15.5" x14ac:dyDescent="0.35">
      <c r="B14" s="1226"/>
      <c r="C14" s="1322" t="s">
        <v>822</v>
      </c>
      <c r="D14" s="1053">
        <f>'Baseline farm'!D15</f>
        <v>0</v>
      </c>
      <c r="E14" s="1197"/>
      <c r="F14" s="2532" t="s">
        <v>1971</v>
      </c>
      <c r="G14" s="2532"/>
      <c r="H14" s="1593">
        <f>'Baseline farm'!H15</f>
        <v>0</v>
      </c>
      <c r="I14" s="1224"/>
      <c r="J14" s="1224"/>
      <c r="K14" s="1225"/>
    </row>
    <row r="15" spans="1:11" ht="17.5" x14ac:dyDescent="0.35">
      <c r="B15" s="1227"/>
      <c r="C15" s="991"/>
      <c r="D15" s="991"/>
      <c r="E15" s="991"/>
      <c r="F15" s="991"/>
      <c r="G15" s="991"/>
      <c r="H15" s="991"/>
      <c r="I15" s="1521"/>
      <c r="J15" s="1091"/>
      <c r="K15" s="1225"/>
    </row>
    <row r="16" spans="1:11" ht="15.5" x14ac:dyDescent="0.35">
      <c r="B16" s="992"/>
      <c r="C16" s="977"/>
      <c r="D16" s="442" t="s">
        <v>212</v>
      </c>
      <c r="E16" s="442" t="s">
        <v>1955</v>
      </c>
      <c r="F16" s="442" t="s">
        <v>1956</v>
      </c>
      <c r="G16" s="442" t="s">
        <v>1007</v>
      </c>
      <c r="H16" s="442" t="s">
        <v>1987</v>
      </c>
      <c r="I16" s="442" t="s">
        <v>1988</v>
      </c>
      <c r="J16" s="442" t="s">
        <v>1997</v>
      </c>
      <c r="K16" s="1653" t="str">
        <f>'Baseline farm'!H205</f>
        <v xml:space="preserve">Calves sold post-weaning </v>
      </c>
    </row>
    <row r="17" spans="2:34" ht="15.5" x14ac:dyDescent="0.35">
      <c r="B17" s="1194"/>
      <c r="C17" s="1091"/>
      <c r="D17" s="1198"/>
      <c r="E17" s="1198"/>
      <c r="F17" s="1198"/>
      <c r="G17" s="1198"/>
      <c r="H17" s="1198"/>
      <c r="I17" s="1198"/>
      <c r="J17" s="1198"/>
      <c r="K17" s="1656"/>
    </row>
    <row r="18" spans="2:34" ht="15.5" x14ac:dyDescent="0.35">
      <c r="B18" s="1217" t="s">
        <v>217</v>
      </c>
      <c r="C18" s="1091"/>
      <c r="D18" s="1053">
        <f>'Baseline farm'!D19</f>
        <v>0</v>
      </c>
      <c r="E18" s="1053">
        <f>'Baseline farm'!E19</f>
        <v>0</v>
      </c>
      <c r="F18" s="1053">
        <f>'Baseline farm'!F19</f>
        <v>0</v>
      </c>
      <c r="G18" s="1053">
        <f>'Baseline farm'!G19</f>
        <v>0</v>
      </c>
      <c r="H18" s="1053">
        <f>'Baseline farm'!H19</f>
        <v>0</v>
      </c>
      <c r="I18" s="1573">
        <f>'Baseline farm'!I19</f>
        <v>0</v>
      </c>
      <c r="J18" s="1186"/>
      <c r="K18" s="1561" t="s">
        <v>218</v>
      </c>
    </row>
    <row r="19" spans="2:34" ht="15.5" x14ac:dyDescent="0.35">
      <c r="B19" s="1217"/>
      <c r="C19" s="1091"/>
      <c r="D19" s="1186"/>
      <c r="E19" s="1186"/>
      <c r="F19" s="1186"/>
      <c r="G19" s="1186"/>
      <c r="H19" s="1186"/>
      <c r="I19" s="1186"/>
      <c r="J19" s="1186"/>
      <c r="K19" s="1561"/>
    </row>
    <row r="20" spans="2:34" ht="15.5" x14ac:dyDescent="0.35">
      <c r="B20" s="1217" t="s">
        <v>219</v>
      </c>
      <c r="C20" s="1091"/>
      <c r="D20" s="1053">
        <f>'Baseline farm'!D21</f>
        <v>0</v>
      </c>
      <c r="E20" s="1053">
        <f>'Baseline farm'!E21</f>
        <v>0</v>
      </c>
      <c r="F20" s="1053">
        <f>'Baseline farm'!F21</f>
        <v>0</v>
      </c>
      <c r="G20" s="1053">
        <f>'Baseline farm'!G21</f>
        <v>0</v>
      </c>
      <c r="H20" s="1053">
        <f>'Baseline farm'!H21</f>
        <v>0</v>
      </c>
      <c r="I20" s="1573">
        <f>'Baseline farm'!I21</f>
        <v>0</v>
      </c>
      <c r="J20" s="1186"/>
      <c r="K20" s="1561" t="s">
        <v>220</v>
      </c>
    </row>
    <row r="21" spans="2:34" ht="17" x14ac:dyDescent="0.4">
      <c r="B21" s="1217"/>
      <c r="C21" s="1092"/>
      <c r="D21" s="1186"/>
      <c r="E21" s="1186"/>
      <c r="F21" s="1186"/>
      <c r="G21" s="1186"/>
      <c r="H21" s="1186"/>
      <c r="I21" s="1186"/>
      <c r="J21" s="1186"/>
      <c r="K21" s="1561"/>
      <c r="L21" s="1323"/>
    </row>
    <row r="22" spans="2:34" ht="15.5" x14ac:dyDescent="0.35">
      <c r="B22" s="1217" t="s">
        <v>802</v>
      </c>
      <c r="C22" s="1091"/>
      <c r="D22" s="1215"/>
      <c r="E22" s="1053">
        <f>'Baseline farm'!E23</f>
        <v>0</v>
      </c>
      <c r="F22" s="1053">
        <f>'Baseline farm'!F23</f>
        <v>0</v>
      </c>
      <c r="G22" s="1186"/>
      <c r="H22" s="1053">
        <f>'Baseline farm'!H23</f>
        <v>0</v>
      </c>
      <c r="I22" s="1573">
        <f>'Baseline farm'!I23</f>
        <v>0</v>
      </c>
      <c r="J22" s="1186"/>
      <c r="K22" s="1561" t="s">
        <v>221</v>
      </c>
      <c r="L22" s="1324"/>
    </row>
    <row r="23" spans="2:34" ht="15.5" x14ac:dyDescent="0.35">
      <c r="B23" s="1217"/>
      <c r="C23" s="1091"/>
      <c r="D23" s="1215"/>
      <c r="E23" s="1091"/>
      <c r="F23" s="1091"/>
      <c r="G23" s="1091"/>
      <c r="H23" s="1091"/>
      <c r="I23" s="1091"/>
      <c r="J23" s="1215"/>
      <c r="K23" s="1561"/>
      <c r="L23" s="1324"/>
    </row>
    <row r="24" spans="2:34" ht="15.5" x14ac:dyDescent="0.35">
      <c r="B24" s="1217" t="s">
        <v>1929</v>
      </c>
      <c r="C24" s="1091"/>
      <c r="D24" s="1690">
        <f>'Baseline farm'!D25</f>
        <v>0</v>
      </c>
      <c r="E24" s="1690">
        <f>'Baseline farm'!E25</f>
        <v>0</v>
      </c>
      <c r="F24" s="1690">
        <f>'Baseline farm'!F25</f>
        <v>0</v>
      </c>
      <c r="G24" s="1690">
        <f>'Baseline farm'!G25</f>
        <v>0</v>
      </c>
      <c r="H24" s="1690">
        <f>'Baseline farm'!H25</f>
        <v>0</v>
      </c>
      <c r="I24" s="1690">
        <f>'Baseline farm'!I25</f>
        <v>0</v>
      </c>
      <c r="J24" s="1690">
        <f>'Baseline farm'!J25</f>
        <v>0</v>
      </c>
      <c r="K24" s="1561" t="s">
        <v>218</v>
      </c>
      <c r="L24" s="1324"/>
    </row>
    <row r="25" spans="2:34" ht="15.5" x14ac:dyDescent="0.35">
      <c r="B25" s="1217"/>
      <c r="C25" s="1091"/>
      <c r="D25" s="1215"/>
      <c r="E25" s="1529"/>
      <c r="F25" s="1529"/>
      <c r="G25" s="1529"/>
      <c r="H25" s="1529"/>
      <c r="I25" s="1572"/>
      <c r="J25" s="1687"/>
      <c r="K25" s="1561"/>
      <c r="L25" s="1324"/>
    </row>
    <row r="26" spans="2:34" ht="15.5" x14ac:dyDescent="0.35">
      <c r="B26" s="1217" t="s">
        <v>1928</v>
      </c>
      <c r="C26" s="1091"/>
      <c r="D26" s="1690">
        <f>'Baseline farm'!D27</f>
        <v>0</v>
      </c>
      <c r="E26" s="1690">
        <f>'Baseline farm'!E27</f>
        <v>0</v>
      </c>
      <c r="F26" s="1690">
        <f>'Baseline farm'!F27</f>
        <v>0</v>
      </c>
      <c r="G26" s="1690">
        <f>'Baseline farm'!G27</f>
        <v>0</v>
      </c>
      <c r="H26" s="1690">
        <f>'Baseline farm'!H27</f>
        <v>0</v>
      </c>
      <c r="I26" s="1690">
        <f>'Baseline farm'!I27</f>
        <v>0</v>
      </c>
      <c r="J26" s="1690">
        <f>'Baseline farm'!J27</f>
        <v>0</v>
      </c>
      <c r="K26" s="1561" t="s">
        <v>220</v>
      </c>
      <c r="L26" s="1324"/>
    </row>
    <row r="27" spans="2:34" ht="15.5" x14ac:dyDescent="0.35">
      <c r="B27" s="1217"/>
      <c r="C27" s="1091"/>
      <c r="D27" s="1091"/>
      <c r="E27" s="1091"/>
      <c r="F27" s="1091"/>
      <c r="G27" s="1091"/>
      <c r="H27" s="1091"/>
      <c r="I27" s="1091"/>
      <c r="J27" s="1091"/>
      <c r="K27" s="1561"/>
      <c r="L27" s="1324"/>
    </row>
    <row r="28" spans="2:34" ht="15.5" x14ac:dyDescent="0.35">
      <c r="B28" s="1218"/>
      <c r="C28" s="991"/>
      <c r="D28" s="979"/>
      <c r="E28" s="990"/>
      <c r="F28" s="990"/>
      <c r="G28" s="990"/>
      <c r="H28" s="990"/>
      <c r="I28" s="1522"/>
      <c r="J28" s="1605">
        <f>SUMPRODUCT(D24:J24,D26:J26)/1000</f>
        <v>0</v>
      </c>
      <c r="K28" s="1604" t="s">
        <v>1989</v>
      </c>
    </row>
    <row r="29" spans="2:34" ht="15.5" x14ac:dyDescent="0.35">
      <c r="B29" s="989" t="s">
        <v>737</v>
      </c>
      <c r="C29" s="1320"/>
      <c r="D29" s="1320"/>
      <c r="E29" s="1320"/>
      <c r="F29" s="1320"/>
      <c r="G29" s="1320"/>
      <c r="H29" s="1320"/>
      <c r="I29" s="1498"/>
      <c r="J29" s="1498"/>
      <c r="K29" s="1225"/>
    </row>
    <row r="30" spans="2:34" ht="15.5" x14ac:dyDescent="0.35">
      <c r="B30" s="1241"/>
      <c r="C30" s="1091" t="s">
        <v>991</v>
      </c>
      <c r="D30" s="2588">
        <f>'Baseline farm'!D31:E31</f>
        <v>0</v>
      </c>
      <c r="E30" s="2588"/>
      <c r="F30" s="2557" t="s">
        <v>1158</v>
      </c>
      <c r="G30" s="2557"/>
      <c r="H30" s="1053">
        <f>'Baseline farm'!H31</f>
        <v>0</v>
      </c>
      <c r="I30" s="1494" t="str">
        <f>IF(S203="1","litres of milk","kg milksolids")</f>
        <v>kg milksolids</v>
      </c>
      <c r="J30" s="1685"/>
      <c r="K30" s="1225"/>
    </row>
    <row r="31" spans="2:34" ht="18.5" x14ac:dyDescent="0.4">
      <c r="B31" s="1240"/>
      <c r="C31" s="1091"/>
      <c r="D31" s="1188"/>
      <c r="E31" s="1183"/>
      <c r="F31" s="1183"/>
      <c r="G31" s="1184"/>
      <c r="H31" s="1185"/>
      <c r="I31" s="1499"/>
      <c r="J31" s="1499"/>
      <c r="K31" s="1225"/>
      <c r="L31" s="1325"/>
    </row>
    <row r="32" spans="2:34" ht="15.5" x14ac:dyDescent="0.35">
      <c r="B32" s="1240"/>
      <c r="C32" s="1091" t="s">
        <v>1220</v>
      </c>
      <c r="D32" s="1053">
        <f>'Baseline farm'!D33</f>
        <v>0</v>
      </c>
      <c r="E32" s="1183" t="s">
        <v>222</v>
      </c>
      <c r="F32" s="2553" t="s">
        <v>1221</v>
      </c>
      <c r="G32" s="2553"/>
      <c r="H32" s="1053">
        <f>'Baseline farm'!H33</f>
        <v>0</v>
      </c>
      <c r="I32" s="1494" t="s">
        <v>222</v>
      </c>
      <c r="J32" s="1685"/>
      <c r="K32" s="1225"/>
      <c r="AA32" s="996"/>
      <c r="AB32" s="996"/>
      <c r="AC32" s="996"/>
      <c r="AD32" s="996"/>
      <c r="AE32" s="996"/>
      <c r="AF32" s="996"/>
      <c r="AG32" s="996"/>
      <c r="AH32" s="996"/>
    </row>
    <row r="33" spans="2:34" ht="15.5" x14ac:dyDescent="0.35">
      <c r="B33" s="1187"/>
      <c r="C33" s="1091"/>
      <c r="D33" s="1188"/>
      <c r="E33" s="1184"/>
      <c r="F33" s="1186"/>
      <c r="G33" s="1186"/>
      <c r="H33" s="1184"/>
      <c r="I33" s="1499"/>
      <c r="J33" s="1499"/>
      <c r="K33" s="1225"/>
      <c r="AA33" s="996"/>
      <c r="AB33" s="996"/>
      <c r="AC33" s="996"/>
      <c r="AD33" s="996"/>
      <c r="AE33" s="996"/>
      <c r="AF33" s="996"/>
      <c r="AG33" s="996"/>
      <c r="AH33" s="996"/>
    </row>
    <row r="34" spans="2:34" ht="15.5" x14ac:dyDescent="0.35">
      <c r="B34" s="1187"/>
      <c r="C34" s="1091" t="s">
        <v>476</v>
      </c>
      <c r="D34" s="1053">
        <f>'Baseline farm'!D35</f>
        <v>0</v>
      </c>
      <c r="E34" s="1184" t="s">
        <v>1161</v>
      </c>
      <c r="F34" s="2630" t="s">
        <v>746</v>
      </c>
      <c r="G34" s="2630"/>
      <c r="H34" s="1188" t="e">
        <f>P200</f>
        <v>#DIV/0!</v>
      </c>
      <c r="I34" s="1499"/>
      <c r="J34" s="1499"/>
      <c r="K34" s="1225"/>
      <c r="M34" s="1201"/>
      <c r="AA34" s="996"/>
      <c r="AB34" s="996"/>
      <c r="AC34" s="996"/>
      <c r="AD34" s="996"/>
      <c r="AE34" s="996"/>
      <c r="AF34" s="996"/>
      <c r="AG34" s="996"/>
      <c r="AH34" s="996"/>
    </row>
    <row r="35" spans="2:34" ht="15.5" x14ac:dyDescent="0.35">
      <c r="B35" s="978" t="s">
        <v>1011</v>
      </c>
      <c r="C35" s="977"/>
      <c r="D35" s="2631" t="s">
        <v>806</v>
      </c>
      <c r="E35" s="2631"/>
      <c r="F35" s="2632" t="s">
        <v>856</v>
      </c>
      <c r="G35" s="2632"/>
      <c r="H35" s="2632" t="s">
        <v>857</v>
      </c>
      <c r="I35" s="2581"/>
      <c r="J35" s="1688"/>
      <c r="K35" s="1332"/>
    </row>
    <row r="36" spans="2:34" ht="15.5" x14ac:dyDescent="0.35">
      <c r="B36" s="1191"/>
      <c r="C36" s="1091" t="s">
        <v>807</v>
      </c>
      <c r="D36" s="2578">
        <f>'Baseline farm'!D38:E38</f>
        <v>0</v>
      </c>
      <c r="E36" s="2578"/>
      <c r="F36" s="2578">
        <f>'Baseline farm'!F38:G38</f>
        <v>0</v>
      </c>
      <c r="G36" s="2578"/>
      <c r="H36" s="2578">
        <f>'Baseline farm'!H38:I38</f>
        <v>0</v>
      </c>
      <c r="I36" s="2578"/>
      <c r="J36" s="1499"/>
      <c r="K36" s="1225"/>
    </row>
    <row r="37" spans="2:34" ht="15.5" x14ac:dyDescent="0.35">
      <c r="B37" s="1219" t="s">
        <v>967</v>
      </c>
      <c r="C37" s="1091" t="s">
        <v>808</v>
      </c>
      <c r="D37" s="2578">
        <f>'Baseline farm'!D39:E39</f>
        <v>0</v>
      </c>
      <c r="E37" s="2578"/>
      <c r="F37" s="2578">
        <f>'Baseline farm'!F39:G39</f>
        <v>0</v>
      </c>
      <c r="G37" s="2578"/>
      <c r="H37" s="2578">
        <f>'Baseline farm'!H39:I39</f>
        <v>0</v>
      </c>
      <c r="I37" s="2578"/>
      <c r="J37" s="1499"/>
      <c r="K37" s="1225"/>
    </row>
    <row r="38" spans="2:34" ht="15.5" x14ac:dyDescent="0.35">
      <c r="B38" s="1219" t="s">
        <v>968</v>
      </c>
      <c r="C38" s="1091" t="s">
        <v>809</v>
      </c>
      <c r="D38" s="2578">
        <f>'Baseline farm'!D40:E40</f>
        <v>0</v>
      </c>
      <c r="E38" s="2578"/>
      <c r="F38" s="2578">
        <f>'Baseline farm'!F40:G40</f>
        <v>0</v>
      </c>
      <c r="G38" s="2578"/>
      <c r="H38" s="2578">
        <f>'Baseline farm'!H40:I40</f>
        <v>0</v>
      </c>
      <c r="I38" s="2578"/>
      <c r="J38" s="1499"/>
      <c r="K38" s="1225"/>
    </row>
    <row r="39" spans="2:34" ht="15.5" x14ac:dyDescent="0.35">
      <c r="B39" s="1196" t="e">
        <f>P204 &amp;" kg DM/cow.day"</f>
        <v>#DIV/0!</v>
      </c>
      <c r="C39" s="1091" t="s">
        <v>810</v>
      </c>
      <c r="D39" s="2578">
        <f>'Baseline farm'!D41:E41</f>
        <v>0</v>
      </c>
      <c r="E39" s="2578"/>
      <c r="F39" s="2578">
        <f>'Baseline farm'!F41:G41</f>
        <v>0</v>
      </c>
      <c r="G39" s="2578"/>
      <c r="H39" s="2578">
        <f>'Baseline farm'!H41:I41</f>
        <v>0</v>
      </c>
      <c r="I39" s="2578"/>
      <c r="J39" s="1499"/>
      <c r="K39" s="1225"/>
    </row>
    <row r="40" spans="2:34" ht="15.65" customHeight="1" x14ac:dyDescent="0.35">
      <c r="B40" s="1191"/>
      <c r="C40" s="1091" t="s">
        <v>811</v>
      </c>
      <c r="D40" s="2578">
        <f>'Baseline farm'!D42:E42</f>
        <v>0</v>
      </c>
      <c r="E40" s="2578"/>
      <c r="F40" s="2578">
        <f>'Baseline farm'!F42:G42</f>
        <v>0</v>
      </c>
      <c r="G40" s="2578"/>
      <c r="H40" s="2578">
        <f>'Baseline farm'!H42:I42</f>
        <v>0</v>
      </c>
      <c r="I40" s="2578"/>
      <c r="J40" s="1499"/>
      <c r="K40" s="1225"/>
    </row>
    <row r="41" spans="2:34" ht="15.65" customHeight="1" x14ac:dyDescent="0.35">
      <c r="B41" s="2549" t="s">
        <v>1203</v>
      </c>
      <c r="C41" s="1091" t="s">
        <v>812</v>
      </c>
      <c r="D41" s="2578">
        <f>'Baseline farm'!D43:E43</f>
        <v>0</v>
      </c>
      <c r="E41" s="2578"/>
      <c r="F41" s="2578">
        <f>'Baseline farm'!F43:G43</f>
        <v>0</v>
      </c>
      <c r="G41" s="2578"/>
      <c r="H41" s="2578">
        <f>'Baseline farm'!H43:I43</f>
        <v>0</v>
      </c>
      <c r="I41" s="2578"/>
      <c r="J41" s="1499"/>
      <c r="K41" s="1225"/>
    </row>
    <row r="42" spans="2:34" ht="15.65" customHeight="1" x14ac:dyDescent="0.35">
      <c r="B42" s="2550"/>
      <c r="C42" s="988" t="s">
        <v>815</v>
      </c>
      <c r="D42" s="2633">
        <f>SUM(D36:E41)</f>
        <v>0</v>
      </c>
      <c r="E42" s="2633"/>
      <c r="F42" s="2633" t="e">
        <f>P202</f>
        <v>#DIV/0!</v>
      </c>
      <c r="G42" s="2633"/>
      <c r="H42" s="2633" t="e">
        <f>P203</f>
        <v>#DIV/0!</v>
      </c>
      <c r="I42" s="2634"/>
      <c r="J42" s="1499"/>
      <c r="K42" s="1225"/>
    </row>
    <row r="43" spans="2:34" ht="15.5" x14ac:dyDescent="0.35">
      <c r="B43" s="1191"/>
      <c r="C43" s="1220"/>
      <c r="D43" s="1188"/>
      <c r="E43" s="1188"/>
      <c r="F43" s="1188"/>
      <c r="G43" s="1188"/>
      <c r="H43" s="1188"/>
      <c r="I43" s="1496"/>
      <c r="J43" s="1688"/>
      <c r="K43" s="1332"/>
      <c r="L43" s="1326"/>
    </row>
    <row r="44" spans="2:34" ht="15.5" x14ac:dyDescent="0.35">
      <c r="B44" s="1217" t="s">
        <v>1012</v>
      </c>
      <c r="C44" s="1221"/>
      <c r="D44" s="1248">
        <f>'Baseline farm'!D46</f>
        <v>0</v>
      </c>
      <c r="E44" s="1287" t="s">
        <v>222</v>
      </c>
      <c r="F44" s="1188"/>
      <c r="G44" s="1188"/>
      <c r="H44" s="1188"/>
      <c r="I44" s="1499"/>
      <c r="J44" s="1499"/>
      <c r="K44" s="1225"/>
      <c r="L44" s="1327"/>
    </row>
    <row r="45" spans="2:34" ht="15.5" x14ac:dyDescent="0.35">
      <c r="B45" s="1217" t="s">
        <v>1013</v>
      </c>
      <c r="C45" s="1221"/>
      <c r="D45" s="1248">
        <f>'Baseline farm'!D47</f>
        <v>0</v>
      </c>
      <c r="E45" s="1287" t="s">
        <v>222</v>
      </c>
      <c r="F45" s="1251"/>
      <c r="G45" s="1251"/>
      <c r="H45" s="1251"/>
      <c r="I45" s="1499"/>
      <c r="J45" s="1499"/>
      <c r="K45" s="1225"/>
    </row>
    <row r="46" spans="2:34" ht="17" x14ac:dyDescent="0.4">
      <c r="B46" s="1218"/>
      <c r="C46" s="987"/>
      <c r="D46" s="1328"/>
      <c r="E46" s="1328"/>
      <c r="F46" s="1328"/>
      <c r="G46" s="1328"/>
      <c r="H46" s="1328"/>
      <c r="I46" s="1499"/>
      <c r="J46" s="1499"/>
      <c r="K46" s="1225"/>
      <c r="M46" s="1323"/>
    </row>
    <row r="47" spans="2:34" ht="15.65" customHeight="1" x14ac:dyDescent="0.35">
      <c r="B47" s="986" t="s">
        <v>828</v>
      </c>
      <c r="C47" s="2635"/>
      <c r="D47" s="2635"/>
      <c r="E47" s="985"/>
      <c r="F47" s="984"/>
      <c r="G47" s="2635"/>
      <c r="H47" s="2635"/>
      <c r="I47" s="2539"/>
      <c r="J47" s="1686"/>
      <c r="K47" s="1332"/>
      <c r="L47" s="1329"/>
      <c r="M47" s="995"/>
      <c r="AA47" s="996"/>
      <c r="AB47" s="996"/>
      <c r="AC47" s="996"/>
      <c r="AD47" s="996"/>
      <c r="AE47" s="996"/>
      <c r="AF47" s="996"/>
      <c r="AG47" s="996"/>
      <c r="AH47" s="996"/>
    </row>
    <row r="48" spans="2:34" ht="15.65" customHeight="1" x14ac:dyDescent="0.35">
      <c r="B48" s="1243"/>
      <c r="C48" s="1091" t="s">
        <v>829</v>
      </c>
      <c r="D48" s="1244"/>
      <c r="E48" s="2629">
        <f>'Baseline farm'!E50:F50</f>
        <v>0</v>
      </c>
      <c r="F48" s="2629"/>
      <c r="G48" s="1244"/>
      <c r="H48" s="2589" t="s">
        <v>1114</v>
      </c>
      <c r="I48" s="2636"/>
      <c r="J48" s="1244"/>
      <c r="K48" s="1225"/>
      <c r="M48" s="995"/>
      <c r="AA48" s="996"/>
      <c r="AB48" s="996"/>
      <c r="AC48" s="996"/>
      <c r="AD48" s="996"/>
      <c r="AE48" s="996"/>
      <c r="AF48" s="996"/>
      <c r="AG48" s="996"/>
      <c r="AH48" s="996"/>
    </row>
    <row r="49" spans="2:34" ht="15.65" customHeight="1" x14ac:dyDescent="0.35">
      <c r="B49" s="1243"/>
      <c r="C49" s="1244"/>
      <c r="D49" s="1244"/>
      <c r="E49" s="1245"/>
      <c r="F49" s="1246"/>
      <c r="G49" s="1244"/>
      <c r="H49" s="2591"/>
      <c r="I49" s="2592"/>
      <c r="J49" s="1244"/>
      <c r="K49" s="1225"/>
      <c r="M49" s="995"/>
      <c r="AA49" s="996"/>
      <c r="AB49" s="996"/>
      <c r="AC49" s="996"/>
      <c r="AD49" s="996"/>
      <c r="AE49" s="996"/>
      <c r="AF49" s="996"/>
      <c r="AG49" s="996"/>
      <c r="AH49" s="996"/>
    </row>
    <row r="50" spans="2:34" ht="15.65" customHeight="1" x14ac:dyDescent="0.35">
      <c r="B50" s="1243"/>
      <c r="C50" s="1198" t="s">
        <v>1091</v>
      </c>
      <c r="D50" s="1244"/>
      <c r="E50" s="1245"/>
      <c r="F50" s="1246"/>
      <c r="G50" s="1279" t="s">
        <v>1093</v>
      </c>
      <c r="H50" s="1279"/>
      <c r="I50" s="1244"/>
      <c r="J50" s="1244"/>
      <c r="K50" s="1225"/>
      <c r="M50" s="995"/>
      <c r="AA50" s="996"/>
      <c r="AB50" s="996"/>
      <c r="AC50" s="996"/>
      <c r="AD50" s="996"/>
      <c r="AE50" s="996"/>
      <c r="AF50" s="996"/>
      <c r="AG50" s="996"/>
      <c r="AH50" s="996"/>
    </row>
    <row r="51" spans="2:34" ht="15.5" x14ac:dyDescent="0.35">
      <c r="B51" s="1195" t="s">
        <v>1002</v>
      </c>
      <c r="C51" s="1252">
        <f>'Baseline farm'!C53</f>
        <v>0</v>
      </c>
      <c r="D51" s="1091" t="s">
        <v>224</v>
      </c>
      <c r="E51" s="1247" t="s">
        <v>1094</v>
      </c>
      <c r="F51" s="1189"/>
      <c r="G51" s="1252">
        <f>'Baseline farm'!G53</f>
        <v>0</v>
      </c>
      <c r="H51" s="1254" t="str">
        <f>IF($T$192="1","kg per ha per annum","t per annum")</f>
        <v>t per annum</v>
      </c>
      <c r="I51" s="1500"/>
      <c r="J51" s="1500"/>
      <c r="K51" s="1225"/>
      <c r="M51" s="995"/>
      <c r="AA51" s="996"/>
      <c r="AB51" s="996"/>
      <c r="AC51" s="996"/>
      <c r="AD51" s="996"/>
      <c r="AE51" s="996"/>
      <c r="AF51" s="996"/>
      <c r="AG51" s="996"/>
      <c r="AH51" s="996"/>
    </row>
    <row r="52" spans="2:34" ht="15.5" x14ac:dyDescent="0.35">
      <c r="B52" s="1195" t="s">
        <v>1003</v>
      </c>
      <c r="C52" s="1252">
        <f>'Baseline farm'!C54</f>
        <v>0</v>
      </c>
      <c r="D52" s="1091" t="s">
        <v>224</v>
      </c>
      <c r="E52" s="1247" t="s">
        <v>1113</v>
      </c>
      <c r="F52" s="1189"/>
      <c r="G52" s="1252">
        <f>'Baseline farm'!G54</f>
        <v>0</v>
      </c>
      <c r="H52" s="1091" t="str">
        <f>H51</f>
        <v>t per annum</v>
      </c>
      <c r="I52" s="1500"/>
      <c r="J52" s="1500"/>
      <c r="K52" s="1225"/>
      <c r="M52" s="995"/>
      <c r="AA52" s="996"/>
      <c r="AB52" s="996"/>
      <c r="AC52" s="996"/>
      <c r="AD52" s="996"/>
      <c r="AE52" s="996"/>
      <c r="AF52" s="996"/>
      <c r="AG52" s="996"/>
      <c r="AH52" s="996"/>
    </row>
    <row r="53" spans="2:34" ht="15.5" x14ac:dyDescent="0.35">
      <c r="B53" s="1195"/>
      <c r="C53" s="1091"/>
      <c r="D53" s="1091"/>
      <c r="E53" s="1247" t="s">
        <v>1507</v>
      </c>
      <c r="F53" s="1189"/>
      <c r="G53" s="1463">
        <f>'Baseline farm'!G55</f>
        <v>0</v>
      </c>
      <c r="H53" s="1091" t="s">
        <v>222</v>
      </c>
      <c r="I53" s="1500"/>
      <c r="J53" s="1500"/>
      <c r="K53" s="1225"/>
      <c r="M53" s="995"/>
      <c r="AA53" s="996"/>
      <c r="AB53" s="996"/>
      <c r="AC53" s="996"/>
      <c r="AD53" s="996"/>
      <c r="AE53" s="996"/>
      <c r="AF53" s="996"/>
      <c r="AG53" s="996"/>
      <c r="AH53" s="996"/>
    </row>
    <row r="54" spans="2:34" ht="15.5" x14ac:dyDescent="0.35">
      <c r="B54" s="1193"/>
      <c r="C54" s="1091"/>
      <c r="D54" s="1091"/>
      <c r="E54" s="1091"/>
      <c r="F54" s="1091"/>
      <c r="G54" s="1091"/>
      <c r="H54" s="1091"/>
      <c r="I54" s="1499"/>
      <c r="J54" s="1499"/>
      <c r="K54" s="1225"/>
      <c r="M54" s="995"/>
      <c r="AA54" s="996"/>
      <c r="AB54" s="996"/>
      <c r="AC54" s="996"/>
      <c r="AD54" s="996"/>
      <c r="AE54" s="996"/>
      <c r="AF54" s="996"/>
      <c r="AG54" s="996"/>
      <c r="AH54" s="996"/>
    </row>
    <row r="55" spans="2:34" ht="15.5" x14ac:dyDescent="0.35">
      <c r="B55" s="1193"/>
      <c r="C55" s="1330" t="s">
        <v>1090</v>
      </c>
      <c r="D55" s="1228"/>
      <c r="E55" s="1330" t="s">
        <v>1096</v>
      </c>
      <c r="F55" s="1330" t="s">
        <v>1097</v>
      </c>
      <c r="G55" s="1330" t="s">
        <v>1098</v>
      </c>
      <c r="H55" s="1330" t="s">
        <v>1099</v>
      </c>
      <c r="I55" s="1224"/>
      <c r="J55" s="1224"/>
      <c r="K55" s="1225"/>
      <c r="M55" s="995"/>
      <c r="AA55" s="996"/>
      <c r="AB55" s="996"/>
      <c r="AC55" s="996"/>
      <c r="AD55" s="996"/>
      <c r="AE55" s="996"/>
      <c r="AF55" s="996"/>
      <c r="AG55" s="996"/>
      <c r="AH55" s="996"/>
    </row>
    <row r="56" spans="2:34" ht="15.5" x14ac:dyDescent="0.35">
      <c r="B56" s="1193" t="s">
        <v>1004</v>
      </c>
      <c r="C56" s="1252">
        <f>'Baseline farm'!C58</f>
        <v>0</v>
      </c>
      <c r="D56" s="1331" t="s">
        <v>1095</v>
      </c>
      <c r="E56" s="1252">
        <f>'Baseline farm'!G58</f>
        <v>0</v>
      </c>
      <c r="F56" s="1252">
        <f>'Baseline farm'!H58</f>
        <v>0</v>
      </c>
      <c r="G56" s="1252">
        <f>'Baseline farm'!I58</f>
        <v>0</v>
      </c>
      <c r="H56" s="1252">
        <f>'Baseline farm'!J58</f>
        <v>0</v>
      </c>
      <c r="I56" s="1254" t="str">
        <f>H51</f>
        <v>t per annum</v>
      </c>
      <c r="J56" s="1254"/>
      <c r="K56" s="1225"/>
      <c r="M56" s="995"/>
      <c r="AA56" s="996"/>
      <c r="AB56" s="996"/>
      <c r="AC56" s="996"/>
      <c r="AD56" s="996"/>
      <c r="AE56" s="996"/>
      <c r="AF56" s="996"/>
      <c r="AG56" s="996"/>
      <c r="AH56" s="996"/>
    </row>
    <row r="57" spans="2:34" ht="15.5" x14ac:dyDescent="0.35">
      <c r="B57" s="1193" t="s">
        <v>1005</v>
      </c>
      <c r="C57" s="1252">
        <f>'Baseline farm'!C59</f>
        <v>0</v>
      </c>
      <c r="D57" s="1331" t="s">
        <v>1095</v>
      </c>
      <c r="E57" s="1252">
        <f>'Baseline farm'!G59</f>
        <v>0</v>
      </c>
      <c r="F57" s="1252">
        <f>'Baseline farm'!H59</f>
        <v>0</v>
      </c>
      <c r="G57" s="1252">
        <f>'Baseline farm'!I59</f>
        <v>0</v>
      </c>
      <c r="H57" s="1252">
        <f>'Baseline farm'!J59</f>
        <v>0</v>
      </c>
      <c r="I57" s="1254" t="str">
        <f>H51</f>
        <v>t per annum</v>
      </c>
      <c r="J57" s="1254"/>
      <c r="K57" s="1225"/>
      <c r="M57" s="995"/>
      <c r="AA57" s="996"/>
      <c r="AB57" s="996"/>
      <c r="AC57" s="996"/>
      <c r="AD57" s="996"/>
      <c r="AE57" s="996"/>
      <c r="AF57" s="996"/>
      <c r="AG57" s="996"/>
      <c r="AH57" s="996"/>
    </row>
    <row r="58" spans="2:34" ht="15.5" x14ac:dyDescent="0.35">
      <c r="B58" s="1213"/>
      <c r="C58" s="1192"/>
      <c r="D58" s="1224"/>
      <c r="E58" s="1224"/>
      <c r="F58" s="1224"/>
      <c r="G58" s="1224"/>
      <c r="H58" s="1224"/>
      <c r="I58" s="1224"/>
      <c r="J58" s="1224"/>
      <c r="K58" s="1225"/>
      <c r="M58" s="995"/>
      <c r="AA58" s="996"/>
      <c r="AB58" s="996"/>
      <c r="AC58" s="996"/>
      <c r="AD58" s="996"/>
      <c r="AE58" s="996"/>
      <c r="AF58" s="996"/>
      <c r="AG58" s="996"/>
      <c r="AH58" s="996"/>
    </row>
    <row r="59" spans="2:34" ht="15.5" x14ac:dyDescent="0.35">
      <c r="B59" s="983" t="s">
        <v>855</v>
      </c>
      <c r="C59" s="982"/>
      <c r="D59" s="1320"/>
      <c r="E59" s="1320"/>
      <c r="F59" s="1320"/>
      <c r="G59" s="1320"/>
      <c r="H59" s="1320"/>
      <c r="I59" s="642"/>
      <c r="J59" s="642"/>
      <c r="K59" s="1332"/>
      <c r="M59" s="995"/>
      <c r="AA59" s="996"/>
      <c r="AB59" s="996"/>
      <c r="AC59" s="996"/>
      <c r="AD59" s="996"/>
      <c r="AE59" s="996"/>
      <c r="AF59" s="996"/>
      <c r="AG59" s="996"/>
      <c r="AH59" s="996"/>
    </row>
    <row r="60" spans="2:34" ht="15.5" x14ac:dyDescent="0.35">
      <c r="B60" s="1195" t="s">
        <v>795</v>
      </c>
      <c r="C60" s="1252">
        <f>'Baseline farm'!C62</f>
        <v>0</v>
      </c>
      <c r="D60" s="1285" t="s">
        <v>599</v>
      </c>
      <c r="E60" s="2557" t="s">
        <v>929</v>
      </c>
      <c r="F60" s="2557"/>
      <c r="G60" s="2588" t="s">
        <v>630</v>
      </c>
      <c r="H60" s="2588"/>
      <c r="I60" s="1493"/>
      <c r="J60" s="1687"/>
      <c r="K60" s="1225"/>
      <c r="M60" s="995"/>
      <c r="AA60" s="996"/>
      <c r="AB60" s="996"/>
      <c r="AC60" s="996"/>
      <c r="AD60" s="996"/>
      <c r="AE60" s="996"/>
      <c r="AF60" s="996"/>
      <c r="AG60" s="996"/>
      <c r="AH60" s="996"/>
    </row>
    <row r="61" spans="2:34" ht="15.5" x14ac:dyDescent="0.35">
      <c r="B61" s="1214" t="s">
        <v>801</v>
      </c>
      <c r="C61" s="1252">
        <f>'Baseline farm'!C63</f>
        <v>0</v>
      </c>
      <c r="D61" s="976" t="s">
        <v>1159</v>
      </c>
      <c r="E61" s="1333"/>
      <c r="F61" s="1333"/>
      <c r="G61" s="1334"/>
      <c r="H61" s="1334"/>
      <c r="I61" s="1523"/>
      <c r="J61" s="1094"/>
      <c r="K61" s="1225"/>
      <c r="M61" s="995"/>
      <c r="AA61" s="996"/>
      <c r="AB61" s="996"/>
      <c r="AC61" s="996"/>
      <c r="AD61" s="996"/>
      <c r="AE61" s="996"/>
      <c r="AF61" s="996"/>
      <c r="AG61" s="996"/>
      <c r="AH61" s="996"/>
    </row>
    <row r="62" spans="2:34" ht="15.5" x14ac:dyDescent="0.35">
      <c r="B62" s="992" t="s">
        <v>827</v>
      </c>
      <c r="C62" s="977"/>
      <c r="D62" s="977"/>
      <c r="E62" s="977"/>
      <c r="F62" s="977"/>
      <c r="G62" s="1091"/>
      <c r="H62" s="1091"/>
      <c r="I62" s="326"/>
      <c r="J62" s="326"/>
      <c r="K62" s="1332"/>
    </row>
    <row r="63" spans="2:34" ht="15.5" x14ac:dyDescent="0.35">
      <c r="B63" s="1193" t="s">
        <v>1092</v>
      </c>
      <c r="C63" s="1252">
        <f>'Baseline farm'!C66</f>
        <v>0</v>
      </c>
      <c r="D63" s="1197" t="s">
        <v>1160</v>
      </c>
      <c r="E63" s="2538" t="s">
        <v>823</v>
      </c>
      <c r="F63" s="2538"/>
      <c r="G63" s="2593">
        <f>'Baseline farm'!G66:H66</f>
        <v>0</v>
      </c>
      <c r="H63" s="2593"/>
      <c r="I63" s="1197" t="s">
        <v>1160</v>
      </c>
      <c r="J63" s="1197"/>
      <c r="K63" s="1225"/>
    </row>
    <row r="64" spans="2:34" ht="15.5" x14ac:dyDescent="0.35">
      <c r="B64" s="1193"/>
      <c r="C64" s="1192"/>
      <c r="D64" s="1091"/>
      <c r="E64" s="1091"/>
      <c r="F64" s="1091"/>
      <c r="G64" s="1091"/>
      <c r="H64" s="1091"/>
      <c r="I64" s="1094"/>
      <c r="J64" s="1094"/>
      <c r="K64" s="1225"/>
    </row>
    <row r="65" spans="1:34" ht="15.5" x14ac:dyDescent="0.35">
      <c r="B65" s="1193" t="s">
        <v>824</v>
      </c>
      <c r="C65" s="1252">
        <f>'Baseline farm'!C68</f>
        <v>0</v>
      </c>
      <c r="D65" s="1197" t="s">
        <v>1160</v>
      </c>
      <c r="E65" s="2538" t="s">
        <v>825</v>
      </c>
      <c r="F65" s="2538"/>
      <c r="G65" s="2593">
        <f>'Baseline farm'!G68:H68</f>
        <v>0</v>
      </c>
      <c r="H65" s="2593"/>
      <c r="I65" s="1197" t="s">
        <v>1160</v>
      </c>
      <c r="J65" s="1197"/>
      <c r="K65" s="1225"/>
    </row>
    <row r="66" spans="1:34" ht="15.5" x14ac:dyDescent="0.35">
      <c r="B66" s="1193"/>
      <c r="C66" s="1192"/>
      <c r="D66" s="1091"/>
      <c r="E66" s="1091"/>
      <c r="F66" s="1091"/>
      <c r="G66" s="1091"/>
      <c r="H66" s="1091"/>
      <c r="I66" s="1094"/>
      <c r="J66" s="1094"/>
      <c r="K66" s="1225"/>
    </row>
    <row r="67" spans="1:34" ht="15.5" x14ac:dyDescent="0.35">
      <c r="B67" s="1229" t="s">
        <v>826</v>
      </c>
      <c r="C67" s="1252">
        <f>'Baseline farm'!C70</f>
        <v>0</v>
      </c>
      <c r="D67" s="1197" t="s">
        <v>1160</v>
      </c>
      <c r="E67" s="1091" t="s">
        <v>940</v>
      </c>
      <c r="F67" s="1091"/>
      <c r="G67" s="2593">
        <f>'Baseline farm'!G70:H70</f>
        <v>0</v>
      </c>
      <c r="H67" s="2593"/>
      <c r="I67" s="1197" t="s">
        <v>1160</v>
      </c>
      <c r="J67" s="1197"/>
      <c r="K67" s="1225"/>
    </row>
    <row r="68" spans="1:34" ht="15.5" x14ac:dyDescent="0.35">
      <c r="B68" s="1230"/>
      <c r="C68" s="991"/>
      <c r="D68" s="991"/>
      <c r="E68" s="991"/>
      <c r="F68" s="991"/>
      <c r="G68" s="991"/>
      <c r="H68" s="991"/>
      <c r="I68" s="1523"/>
      <c r="J68" s="1094"/>
      <c r="K68" s="1225"/>
    </row>
    <row r="69" spans="1:34" ht="15.5" x14ac:dyDescent="0.35">
      <c r="B69" s="992" t="s">
        <v>796</v>
      </c>
      <c r="C69" s="1228"/>
      <c r="D69" s="1228"/>
      <c r="E69" s="981"/>
      <c r="F69" s="1092"/>
      <c r="G69" s="980"/>
      <c r="H69" s="977"/>
      <c r="I69" s="326"/>
      <c r="J69" s="326"/>
      <c r="K69" s="1332"/>
    </row>
    <row r="70" spans="1:34" s="879" customFormat="1" ht="15.5" x14ac:dyDescent="0.35">
      <c r="B70" s="1193" t="s">
        <v>1008</v>
      </c>
      <c r="C70" s="2540">
        <f>'Baseline farm'!C73</f>
        <v>0</v>
      </c>
      <c r="D70" s="2540"/>
      <c r="E70" s="1094"/>
      <c r="F70" s="2535" t="str">
        <f>IF(S199=3,"Carbon sequestered using other tools","")</f>
        <v>Carbon sequestered using other tools</v>
      </c>
      <c r="G70" s="2535"/>
      <c r="H70" s="1565" t="str">
        <f>IF('Baseline farm'!H73="","",'Baseline farm'!H73)</f>
        <v/>
      </c>
      <c r="I70" s="1563" t="str">
        <f>IF(S199=3,"t CO2e/ha","")</f>
        <v>t CO2e/ha</v>
      </c>
      <c r="J70" s="1684"/>
      <c r="K70" s="842"/>
    </row>
    <row r="71" spans="1:34" s="879" customFormat="1" ht="15.5" x14ac:dyDescent="0.35">
      <c r="B71" s="883"/>
      <c r="C71" s="419"/>
      <c r="D71" s="1091"/>
      <c r="E71" s="1094"/>
      <c r="F71" s="1095"/>
      <c r="G71" s="1095"/>
      <c r="H71" s="1091"/>
      <c r="I71" s="1094"/>
      <c r="J71" s="1094"/>
      <c r="K71" s="842"/>
    </row>
    <row r="72" spans="1:34" s="879" customFormat="1" ht="15.5" x14ac:dyDescent="0.35">
      <c r="B72" s="1570" t="s">
        <v>869</v>
      </c>
      <c r="C72" s="2541">
        <f>'Baseline farm'!C75</f>
        <v>0</v>
      </c>
      <c r="D72" s="2541"/>
      <c r="E72" s="1094"/>
      <c r="F72" s="1095"/>
      <c r="G72" s="1095"/>
      <c r="H72" s="1091"/>
      <c r="I72" s="1094"/>
      <c r="J72" s="1094"/>
      <c r="K72" s="842"/>
    </row>
    <row r="73" spans="1:34" s="879" customFormat="1" ht="15.5" x14ac:dyDescent="0.35">
      <c r="B73" s="883"/>
      <c r="C73" s="419"/>
      <c r="D73" s="1091"/>
      <c r="E73" s="1094"/>
      <c r="F73" s="1095"/>
      <c r="G73" s="1095"/>
      <c r="H73" s="1091"/>
      <c r="I73" s="1094"/>
      <c r="J73" s="1094"/>
      <c r="K73" s="842"/>
    </row>
    <row r="74" spans="1:34" s="879" customFormat="1" ht="15.5" x14ac:dyDescent="0.35">
      <c r="B74" s="456" t="s">
        <v>555</v>
      </c>
      <c r="C74" s="2541">
        <f>'Baseline farm'!C77</f>
        <v>0</v>
      </c>
      <c r="D74" s="2541"/>
      <c r="E74" s="1095"/>
      <c r="F74" s="1095"/>
      <c r="G74" s="1095"/>
      <c r="H74" s="1091"/>
      <c r="I74" s="1094"/>
      <c r="J74" s="1094"/>
      <c r="K74" s="842"/>
    </row>
    <row r="75" spans="1:34" s="879" customFormat="1" ht="15.5" x14ac:dyDescent="0.35">
      <c r="B75" s="883"/>
      <c r="C75" s="419"/>
      <c r="D75" s="1091"/>
      <c r="E75" s="1094"/>
      <c r="F75" s="1095"/>
      <c r="G75" s="1095"/>
      <c r="H75" s="1091"/>
      <c r="I75" s="1094"/>
      <c r="J75" s="1094"/>
      <c r="K75" s="842"/>
    </row>
    <row r="76" spans="1:34" s="879" customFormat="1" ht="15.5" x14ac:dyDescent="0.35">
      <c r="B76" s="1195" t="s">
        <v>1567</v>
      </c>
      <c r="C76" s="2541">
        <f>'Baseline farm'!C79</f>
        <v>0</v>
      </c>
      <c r="D76" s="2541"/>
      <c r="E76" s="1479"/>
      <c r="F76" s="1479" t="s">
        <v>1568</v>
      </c>
      <c r="G76" s="898">
        <f>'Baseline farm'!G79</f>
        <v>0</v>
      </c>
      <c r="H76" s="1231" t="s">
        <v>1569</v>
      </c>
      <c r="I76" s="898">
        <f>'Baseline farm'!I79</f>
        <v>0</v>
      </c>
      <c r="J76" s="898"/>
      <c r="K76" s="842"/>
      <c r="M76" s="440"/>
      <c r="AA76" s="880"/>
      <c r="AB76" s="880"/>
      <c r="AC76" s="880"/>
      <c r="AD76" s="880"/>
      <c r="AE76" s="880"/>
      <c r="AF76" s="880"/>
      <c r="AG76" s="880"/>
      <c r="AH76" s="880"/>
    </row>
    <row r="77" spans="1:34" s="879" customFormat="1" ht="15.5" x14ac:dyDescent="0.35">
      <c r="B77" s="1093"/>
      <c r="C77" s="417"/>
      <c r="D77" s="1091"/>
      <c r="E77" s="376"/>
      <c r="F77" s="1094"/>
      <c r="G77" s="1095"/>
      <c r="H77" s="1091"/>
      <c r="I77" s="1094"/>
      <c r="J77" s="1094"/>
      <c r="K77" s="842"/>
      <c r="M77" s="440"/>
      <c r="AA77" s="880"/>
      <c r="AB77" s="880"/>
      <c r="AC77" s="880"/>
      <c r="AD77" s="880"/>
      <c r="AE77" s="880"/>
      <c r="AF77" s="880"/>
      <c r="AG77" s="880"/>
      <c r="AH77" s="880"/>
    </row>
    <row r="78" spans="1:34" ht="15.5" x14ac:dyDescent="0.35">
      <c r="A78" s="996"/>
      <c r="B78" s="992" t="s">
        <v>861</v>
      </c>
      <c r="C78" s="1320"/>
      <c r="D78" s="1320"/>
      <c r="E78" s="1320"/>
      <c r="F78" s="1320"/>
      <c r="G78" s="1320"/>
      <c r="H78" s="1320"/>
      <c r="I78" s="642"/>
      <c r="J78" s="642"/>
      <c r="K78" s="1321"/>
      <c r="N78" s="995"/>
    </row>
    <row r="79" spans="1:34" ht="15.5" x14ac:dyDescent="0.35">
      <c r="A79" s="996"/>
      <c r="B79" s="1194"/>
      <c r="C79" s="2637" t="s">
        <v>863</v>
      </c>
      <c r="D79" s="2637"/>
      <c r="E79" s="2637"/>
      <c r="F79" s="2594" t="str">
        <f>'Baseline farm'!F82</f>
        <v>Default state-based factors and fractions</v>
      </c>
      <c r="G79" s="2594"/>
      <c r="H79" s="1288" t="s">
        <v>1222</v>
      </c>
      <c r="I79" s="1502" t="e">
        <f>D245</f>
        <v>#DIV/0!</v>
      </c>
      <c r="J79" s="1502"/>
      <c r="K79" s="1223"/>
      <c r="N79" s="995"/>
    </row>
    <row r="80" spans="1:34" ht="15.65" customHeight="1" x14ac:dyDescent="0.35">
      <c r="A80" s="996"/>
      <c r="B80" s="2571" t="s">
        <v>909</v>
      </c>
      <c r="C80" s="1224"/>
      <c r="D80" s="1224"/>
      <c r="E80" s="1224"/>
      <c r="F80" s="1224"/>
      <c r="G80" s="1224"/>
      <c r="H80" s="1224"/>
      <c r="I80" s="1224"/>
      <c r="J80" s="1224"/>
      <c r="K80" s="1223"/>
      <c r="N80" s="995"/>
    </row>
    <row r="81" spans="1:34" ht="15.5" x14ac:dyDescent="0.35">
      <c r="A81" s="996"/>
      <c r="B81" s="2571"/>
      <c r="C81" s="1198" t="s">
        <v>225</v>
      </c>
      <c r="D81" s="1198" t="s">
        <v>1388</v>
      </c>
      <c r="E81" s="1198" t="s">
        <v>1389</v>
      </c>
      <c r="F81" s="1198" t="s">
        <v>226</v>
      </c>
      <c r="G81" s="1198" t="s">
        <v>1390</v>
      </c>
      <c r="H81" s="1198" t="s">
        <v>1391</v>
      </c>
      <c r="I81" s="1198" t="s">
        <v>227</v>
      </c>
      <c r="J81" s="1198"/>
      <c r="K81" s="1223"/>
      <c r="N81" s="995"/>
    </row>
    <row r="82" spans="1:34" ht="15.5" x14ac:dyDescent="0.35">
      <c r="A82" s="996"/>
      <c r="B82" s="1193" t="s">
        <v>451</v>
      </c>
      <c r="C82" s="1202" t="e">
        <f>AH218</f>
        <v>#N/A</v>
      </c>
      <c r="D82" s="1202" t="e">
        <f>AI218</f>
        <v>#N/A</v>
      </c>
      <c r="E82" s="1202" t="e">
        <f>AK218</f>
        <v>#N/A</v>
      </c>
      <c r="F82" s="1202" t="e">
        <f>AJ218</f>
        <v>#N/A</v>
      </c>
      <c r="G82" s="1202">
        <f>0</f>
        <v>0</v>
      </c>
      <c r="H82" s="1202">
        <f>0</f>
        <v>0</v>
      </c>
      <c r="I82" s="1202" t="e">
        <f>AL218</f>
        <v>#N/A</v>
      </c>
      <c r="J82" s="1202"/>
      <c r="K82" s="1223"/>
      <c r="N82" s="995"/>
    </row>
    <row r="83" spans="1:34" ht="15.5" x14ac:dyDescent="0.35">
      <c r="A83" s="996"/>
      <c r="B83" s="1193" t="s">
        <v>862</v>
      </c>
      <c r="C83" s="1202">
        <f>IF($G$79=1,0,AH221)</f>
        <v>0</v>
      </c>
      <c r="D83" s="1202">
        <f>IF($G$79=1,0,AI221)</f>
        <v>0</v>
      </c>
      <c r="E83" s="1202">
        <f>IF($G$79=1,0,AK221)</f>
        <v>0</v>
      </c>
      <c r="F83" s="1202">
        <f>IF($G$79=1,0,AJ221)</f>
        <v>0</v>
      </c>
      <c r="G83" s="1202">
        <f>0</f>
        <v>0</v>
      </c>
      <c r="H83" s="1202">
        <f>0</f>
        <v>0</v>
      </c>
      <c r="I83" s="1202">
        <f>IF($G$79=1,100,AL221)</f>
        <v>100</v>
      </c>
      <c r="J83" s="1202"/>
      <c r="K83" s="1223"/>
      <c r="N83" s="995"/>
    </row>
    <row r="84" spans="1:34" ht="15.5" x14ac:dyDescent="0.35">
      <c r="A84" s="996"/>
      <c r="B84" s="1194"/>
      <c r="C84" s="1224"/>
      <c r="D84" s="1224"/>
      <c r="E84" s="1224"/>
      <c r="F84" s="1224"/>
      <c r="G84" s="1224"/>
      <c r="H84" s="1224"/>
      <c r="I84" s="1224"/>
      <c r="J84" s="1224"/>
      <c r="K84" s="1223"/>
      <c r="N84" s="995"/>
    </row>
    <row r="85" spans="1:34" ht="15.65" customHeight="1" x14ac:dyDescent="0.35">
      <c r="A85" s="996"/>
      <c r="B85" s="2585" t="s">
        <v>941</v>
      </c>
      <c r="C85" s="2586"/>
      <c r="D85" s="2586"/>
      <c r="E85" s="2586"/>
      <c r="F85" s="2586"/>
      <c r="G85" s="2586"/>
      <c r="H85" s="2586"/>
      <c r="I85" s="2586"/>
      <c r="J85" s="1689"/>
      <c r="K85" s="1223"/>
      <c r="N85" s="995"/>
    </row>
    <row r="86" spans="1:34" ht="15.65" customHeight="1" x14ac:dyDescent="0.35">
      <c r="A86" s="996"/>
      <c r="B86" s="2585"/>
      <c r="C86" s="2586"/>
      <c r="D86" s="2586"/>
      <c r="E86" s="2586"/>
      <c r="F86" s="2586"/>
      <c r="G86" s="2586"/>
      <c r="H86" s="2586"/>
      <c r="I86" s="2586"/>
      <c r="J86" s="1689"/>
      <c r="K86" s="1223"/>
      <c r="N86" s="995"/>
    </row>
    <row r="87" spans="1:34" ht="16.5" x14ac:dyDescent="0.35">
      <c r="A87" s="996"/>
      <c r="B87" s="2585"/>
      <c r="C87" s="2586"/>
      <c r="D87" s="2586"/>
      <c r="E87" s="2586"/>
      <c r="F87" s="2586"/>
      <c r="G87" s="2586"/>
      <c r="H87" s="2586"/>
      <c r="I87" s="2586"/>
      <c r="J87" s="1689"/>
      <c r="K87" s="1223"/>
      <c r="N87" s="995"/>
    </row>
    <row r="88" spans="1:34" ht="16.5" x14ac:dyDescent="0.35">
      <c r="A88" s="996"/>
      <c r="B88" s="1238"/>
      <c r="C88" s="1239"/>
      <c r="D88" s="1239"/>
      <c r="E88" s="1239"/>
      <c r="F88" s="1239"/>
      <c r="G88" s="1239"/>
      <c r="H88" s="1239"/>
      <c r="I88" s="1495"/>
      <c r="J88" s="1689"/>
      <c r="K88" s="1223"/>
      <c r="N88" s="995"/>
    </row>
    <row r="89" spans="1:34" s="996" customFormat="1" ht="15.5" x14ac:dyDescent="0.35">
      <c r="A89" s="993"/>
      <c r="B89" s="1194" t="s">
        <v>451</v>
      </c>
      <c r="C89" s="1091"/>
      <c r="D89" s="1091"/>
      <c r="E89" s="1091"/>
      <c r="F89" s="1091"/>
      <c r="G89" s="1198" t="s">
        <v>870</v>
      </c>
      <c r="H89" s="1198" t="s">
        <v>871</v>
      </c>
      <c r="I89" s="1091"/>
      <c r="J89" s="1091"/>
      <c r="K89" s="1225"/>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row>
    <row r="90" spans="1:34" s="996" customFormat="1" ht="15.5" x14ac:dyDescent="0.35">
      <c r="A90" s="993"/>
      <c r="B90" s="1193" t="s">
        <v>1223</v>
      </c>
      <c r="C90" s="1091"/>
      <c r="D90" s="1091"/>
      <c r="E90" s="1091"/>
      <c r="F90" s="1232"/>
      <c r="G90" s="1053">
        <f>'Baseline farm'!G92</f>
        <v>0</v>
      </c>
      <c r="H90" s="1053">
        <f>'Baseline farm'!H92</f>
        <v>0</v>
      </c>
      <c r="I90" s="1091"/>
      <c r="J90" s="1091"/>
      <c r="K90" s="1225"/>
      <c r="L90" s="993"/>
      <c r="M90" s="993"/>
      <c r="N90" s="993"/>
      <c r="O90" s="993"/>
      <c r="P90" s="993"/>
      <c r="Q90" s="993"/>
      <c r="R90" s="993"/>
      <c r="S90" s="993"/>
      <c r="T90" s="993"/>
      <c r="U90" s="993"/>
      <c r="V90" s="993"/>
      <c r="W90" s="993"/>
      <c r="X90" s="993"/>
      <c r="Y90" s="993"/>
      <c r="Z90" s="993"/>
      <c r="AA90" s="993"/>
      <c r="AB90" s="993"/>
      <c r="AC90" s="993"/>
      <c r="AD90" s="993"/>
      <c r="AE90" s="993"/>
      <c r="AF90" s="993"/>
      <c r="AG90" s="993"/>
      <c r="AH90" s="993"/>
    </row>
    <row r="91" spans="1:34" s="996" customFormat="1" ht="15.5" x14ac:dyDescent="0.35">
      <c r="A91" s="993"/>
      <c r="B91" s="1193"/>
      <c r="C91" s="1091"/>
      <c r="D91" s="1091"/>
      <c r="E91" s="1091"/>
      <c r="F91" s="1091"/>
      <c r="G91" s="1091"/>
      <c r="H91" s="1228"/>
      <c r="I91" s="1091"/>
      <c r="J91" s="1091"/>
      <c r="K91" s="1225"/>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row>
    <row r="92" spans="1:34" s="996" customFormat="1" ht="15.5" x14ac:dyDescent="0.35">
      <c r="A92" s="993"/>
      <c r="B92" s="1229" t="s">
        <v>1240</v>
      </c>
      <c r="C92" s="1091"/>
      <c r="D92" s="1192"/>
      <c r="E92" s="1192"/>
      <c r="F92" s="1092"/>
      <c r="G92" s="1053">
        <f>'Baseline farm'!G94</f>
        <v>0</v>
      </c>
      <c r="H92" s="1285" t="s">
        <v>222</v>
      </c>
      <c r="I92" s="1493"/>
      <c r="J92" s="1687"/>
      <c r="K92" s="1225"/>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row>
    <row r="93" spans="1:34" s="996" customFormat="1" ht="15.5" x14ac:dyDescent="0.35">
      <c r="A93" s="993"/>
      <c r="B93" s="1193" t="s">
        <v>1540</v>
      </c>
      <c r="C93" s="1192"/>
      <c r="D93" s="1192"/>
      <c r="E93" s="1192"/>
      <c r="F93" s="1092"/>
      <c r="G93" s="1053">
        <f>'Baseline farm'!G95</f>
        <v>0</v>
      </c>
      <c r="H93" s="1285" t="s">
        <v>222</v>
      </c>
      <c r="I93" s="1493"/>
      <c r="J93" s="1687"/>
      <c r="K93" s="1225"/>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row>
    <row r="94" spans="1:34" s="996" customFormat="1" ht="15.5" x14ac:dyDescent="0.35">
      <c r="A94" s="993"/>
      <c r="B94" s="1193" t="s">
        <v>1239</v>
      </c>
      <c r="C94" s="1192"/>
      <c r="D94" s="1192"/>
      <c r="E94" s="1192"/>
      <c r="F94" s="1092"/>
      <c r="G94" s="1192">
        <f>'Baseline farm'!G96</f>
        <v>100</v>
      </c>
      <c r="H94" s="1192"/>
      <c r="I94" s="1493"/>
      <c r="J94" s="1687"/>
      <c r="K94" s="1225"/>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row>
    <row r="95" spans="1:34" s="996" customFormat="1" ht="15.5" x14ac:dyDescent="0.35">
      <c r="A95" s="993"/>
      <c r="B95" s="1194"/>
      <c r="C95" s="1192"/>
      <c r="D95" s="1192"/>
      <c r="E95" s="1192"/>
      <c r="F95" s="1092"/>
      <c r="G95" s="1192"/>
      <c r="H95" s="1192"/>
      <c r="I95" s="1493"/>
      <c r="J95" s="1687"/>
      <c r="K95" s="1225"/>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row>
    <row r="96" spans="1:34" s="996" customFormat="1" ht="15.5" x14ac:dyDescent="0.35">
      <c r="A96" s="993"/>
      <c r="B96" s="1193" t="s">
        <v>1541</v>
      </c>
      <c r="C96" s="1192"/>
      <c r="D96" s="1192"/>
      <c r="E96" s="1192"/>
      <c r="F96" s="1092"/>
      <c r="G96" s="1053">
        <f>'Baseline farm'!G98</f>
        <v>0</v>
      </c>
      <c r="H96" s="1192"/>
      <c r="I96" s="1493"/>
      <c r="J96" s="1687"/>
      <c r="K96" s="1225"/>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row>
    <row r="97" spans="1:34" s="996" customFormat="1" ht="15.5" x14ac:dyDescent="0.35">
      <c r="A97" s="993"/>
      <c r="B97" s="1193"/>
      <c r="C97" s="1192"/>
      <c r="D97" s="1192"/>
      <c r="E97" s="1192"/>
      <c r="F97" s="1192"/>
      <c r="G97" s="1198" t="s">
        <v>870</v>
      </c>
      <c r="H97" s="1198" t="s">
        <v>871</v>
      </c>
      <c r="I97" s="1493"/>
      <c r="J97" s="1687"/>
      <c r="K97" s="1225"/>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row>
    <row r="98" spans="1:34" s="996" customFormat="1" ht="15.5" x14ac:dyDescent="0.35">
      <c r="A98" s="993"/>
      <c r="B98" s="1193" t="s">
        <v>1224</v>
      </c>
      <c r="C98" s="1192"/>
      <c r="D98" s="1192"/>
      <c r="E98" s="1192"/>
      <c r="F98" s="1192"/>
      <c r="G98" s="1053">
        <f>'Baseline farm'!G100</f>
        <v>0</v>
      </c>
      <c r="H98" s="1053">
        <f>'Baseline farm'!H100</f>
        <v>0</v>
      </c>
      <c r="I98" s="1493"/>
      <c r="J98" s="1687"/>
      <c r="K98" s="1225"/>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row>
    <row r="99" spans="1:34" s="996" customFormat="1" ht="15.5" x14ac:dyDescent="0.35">
      <c r="A99" s="993"/>
      <c r="B99" s="1193"/>
      <c r="C99" s="1192"/>
      <c r="D99" s="1192"/>
      <c r="E99" s="1192"/>
      <c r="F99" s="1192"/>
      <c r="G99" s="1192"/>
      <c r="H99" s="1192"/>
      <c r="I99" s="1493"/>
      <c r="J99" s="1687"/>
      <c r="K99" s="1225"/>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row>
    <row r="100" spans="1:34" s="996" customFormat="1" ht="15.5" x14ac:dyDescent="0.35">
      <c r="A100" s="993"/>
      <c r="B100" s="1193" t="s">
        <v>1212</v>
      </c>
      <c r="C100" s="1192"/>
      <c r="D100" s="1192"/>
      <c r="E100" s="1092"/>
      <c r="F100" s="2629">
        <f>'Baseline farm'!F102:G102</f>
        <v>0</v>
      </c>
      <c r="G100" s="2629"/>
      <c r="H100" s="1198" t="s">
        <v>931</v>
      </c>
      <c r="I100" s="1202" t="e">
        <f>AO218</f>
        <v>#N/A</v>
      </c>
      <c r="J100" s="1202"/>
      <c r="K100" s="1225"/>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row>
    <row r="101" spans="1:34" s="996" customFormat="1" ht="15.5" x14ac:dyDescent="0.35">
      <c r="A101" s="993"/>
      <c r="B101" s="1194"/>
      <c r="C101" s="1192"/>
      <c r="D101" s="1192"/>
      <c r="E101" s="1192"/>
      <c r="F101" s="1192"/>
      <c r="G101" s="1192"/>
      <c r="H101" s="1192"/>
      <c r="I101" s="1493"/>
      <c r="J101" s="1687"/>
      <c r="K101" s="1225"/>
      <c r="L101" s="993"/>
      <c r="M101" s="993"/>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row>
    <row r="102" spans="1:34" s="996" customFormat="1" ht="15.5" x14ac:dyDescent="0.35">
      <c r="A102" s="993"/>
      <c r="B102" s="1194" t="s">
        <v>876</v>
      </c>
      <c r="C102" s="1192"/>
      <c r="D102" s="1192"/>
      <c r="E102" s="1192"/>
      <c r="F102" s="1192"/>
      <c r="G102" s="1198" t="s">
        <v>870</v>
      </c>
      <c r="H102" s="1198" t="s">
        <v>871</v>
      </c>
      <c r="I102" s="1493"/>
      <c r="J102" s="1687"/>
      <c r="K102" s="1225"/>
      <c r="L102" s="993"/>
      <c r="M102" s="993"/>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row>
    <row r="103" spans="1:34" ht="15.5" x14ac:dyDescent="0.35">
      <c r="B103" s="1193" t="s">
        <v>989</v>
      </c>
      <c r="C103" s="1192"/>
      <c r="D103" s="1192"/>
      <c r="E103" s="1192"/>
      <c r="F103" s="1192"/>
      <c r="G103" s="1053">
        <f>'Baseline farm'!G105</f>
        <v>0</v>
      </c>
      <c r="H103" s="1053">
        <f>'Baseline farm'!H105</f>
        <v>0</v>
      </c>
      <c r="I103" s="1493"/>
      <c r="J103" s="1687"/>
      <c r="K103" s="1225"/>
    </row>
    <row r="104" spans="1:34" x14ac:dyDescent="0.35">
      <c r="B104" s="1335"/>
      <c r="C104" s="1233"/>
      <c r="D104" s="1233"/>
      <c r="E104" s="1233"/>
      <c r="F104" s="1233"/>
      <c r="G104" s="1233"/>
      <c r="H104" s="1233"/>
      <c r="I104" s="1233"/>
      <c r="J104" s="1233"/>
      <c r="K104" s="1225"/>
    </row>
    <row r="105" spans="1:34" ht="15.5" x14ac:dyDescent="0.35">
      <c r="B105" s="1193" t="s">
        <v>872</v>
      </c>
      <c r="C105" s="1233"/>
      <c r="D105" s="1233"/>
      <c r="E105" s="1228"/>
      <c r="F105" s="2594">
        <f>'Baseline farm'!F107:G107</f>
        <v>0</v>
      </c>
      <c r="G105" s="2594"/>
      <c r="H105" s="1198" t="s">
        <v>931</v>
      </c>
      <c r="I105" s="1524">
        <f>AO221</f>
        <v>1</v>
      </c>
      <c r="J105" s="1524"/>
      <c r="K105" s="1225"/>
    </row>
    <row r="106" spans="1:34" x14ac:dyDescent="0.35">
      <c r="B106" s="1234"/>
      <c r="C106" s="1336"/>
      <c r="D106" s="1336"/>
      <c r="E106" s="1336"/>
      <c r="F106" s="1336"/>
      <c r="G106" s="1336"/>
      <c r="H106" s="1336"/>
      <c r="I106" s="1525"/>
      <c r="J106" s="1525"/>
      <c r="K106" s="1526"/>
    </row>
    <row r="107" spans="1:34" x14ac:dyDescent="0.35">
      <c r="J107" s="1516"/>
      <c r="K107" s="1516"/>
    </row>
    <row r="108" spans="1:34" ht="15.5" x14ac:dyDescent="0.35">
      <c r="B108" s="1235" t="s">
        <v>637</v>
      </c>
    </row>
    <row r="109" spans="1:34" ht="25.15" customHeight="1" x14ac:dyDescent="0.35">
      <c r="B109" s="2569"/>
      <c r="C109" s="2570"/>
      <c r="D109" s="2638" t="str">
        <f>D16</f>
        <v>Milking Cows</v>
      </c>
      <c r="E109" s="2638" t="str">
        <f>E16</f>
        <v>Heifers &gt;1 yr age</v>
      </c>
      <c r="F109" s="2638" t="str">
        <f>F16</f>
        <v>Heifers &lt;1 yr age</v>
      </c>
      <c r="G109" s="2638" t="str">
        <f>G16</f>
        <v>Mature bulls</v>
      </c>
      <c r="H109" s="2645" t="s">
        <v>1987</v>
      </c>
      <c r="I109" s="2563" t="s">
        <v>1988</v>
      </c>
      <c r="J109" s="2638" t="s">
        <v>425</v>
      </c>
      <c r="K109" s="2645" t="s">
        <v>965</v>
      </c>
      <c r="L109" s="2559" t="s">
        <v>966</v>
      </c>
    </row>
    <row r="110" spans="1:34" ht="25.15" customHeight="1" x14ac:dyDescent="0.35">
      <c r="B110" s="1542"/>
      <c r="C110" s="1543"/>
      <c r="D110" s="2639"/>
      <c r="E110" s="2639"/>
      <c r="F110" s="2639"/>
      <c r="G110" s="2639"/>
      <c r="H110" s="2646"/>
      <c r="I110" s="2564"/>
      <c r="J110" s="2639"/>
      <c r="K110" s="2646"/>
      <c r="L110" s="2640"/>
    </row>
    <row r="111" spans="1:34" ht="15.5" x14ac:dyDescent="0.35">
      <c r="B111" s="844" t="s">
        <v>997</v>
      </c>
      <c r="C111" s="1216" t="s">
        <v>420</v>
      </c>
      <c r="D111" s="1280" t="e">
        <f t="shared" ref="D111:I111" si="0">SUM(D233:D233)*21*10^3</f>
        <v>#DIV/0!</v>
      </c>
      <c r="E111" s="1280">
        <f t="shared" si="0"/>
        <v>0</v>
      </c>
      <c r="F111" s="1280">
        <f t="shared" si="0"/>
        <v>0</v>
      </c>
      <c r="G111" s="1280">
        <f t="shared" si="0"/>
        <v>0</v>
      </c>
      <c r="H111" s="1280">
        <f t="shared" si="0"/>
        <v>0</v>
      </c>
      <c r="I111" s="1375">
        <f t="shared" si="0"/>
        <v>0</v>
      </c>
      <c r="J111" s="1280"/>
      <c r="K111" s="1280" t="e">
        <f>SUM(D111:I111)</f>
        <v>#DIV/0!</v>
      </c>
      <c r="L111" s="846" t="e">
        <f t="shared" ref="L111:L122" si="1">K111/($K$124-$K$127)</f>
        <v>#DIV/0!</v>
      </c>
      <c r="M111" s="1255"/>
      <c r="O111" s="1530"/>
      <c r="T111" s="995"/>
      <c r="U111" s="995"/>
      <c r="V111" s="996"/>
      <c r="W111" s="996"/>
      <c r="X111" s="996"/>
      <c r="Y111" s="996"/>
      <c r="Z111" s="996"/>
    </row>
    <row r="112" spans="1:34" ht="15.5" x14ac:dyDescent="0.35">
      <c r="B112" s="845"/>
      <c r="C112" s="994" t="s">
        <v>861</v>
      </c>
      <c r="D112" s="1280" t="e">
        <f t="shared" ref="D112:I112" si="2">SUM(D258:D258)*21*10^3</f>
        <v>#DIV/0!</v>
      </c>
      <c r="E112" s="1280">
        <f t="shared" si="2"/>
        <v>0</v>
      </c>
      <c r="F112" s="1280">
        <f t="shared" si="2"/>
        <v>0</v>
      </c>
      <c r="G112" s="1280">
        <f t="shared" si="2"/>
        <v>0</v>
      </c>
      <c r="H112" s="1280">
        <f t="shared" si="2"/>
        <v>0</v>
      </c>
      <c r="I112" s="1375">
        <f t="shared" si="2"/>
        <v>0</v>
      </c>
      <c r="J112" s="1280"/>
      <c r="K112" s="1280" t="e">
        <f>SUM(D112:I112)</f>
        <v>#DIV/0!</v>
      </c>
      <c r="L112" s="846" t="e">
        <f t="shared" si="1"/>
        <v>#DIV/0!</v>
      </c>
      <c r="M112" s="1255"/>
      <c r="O112" s="1530"/>
      <c r="T112" s="995"/>
      <c r="U112" s="995"/>
      <c r="V112" s="996"/>
      <c r="W112" s="996"/>
      <c r="X112" s="996"/>
      <c r="Y112" s="996"/>
      <c r="Z112" s="996"/>
    </row>
    <row r="113" spans="1:19" ht="15.5" x14ac:dyDescent="0.35">
      <c r="A113" s="996"/>
      <c r="B113" s="844" t="s">
        <v>998</v>
      </c>
      <c r="C113" s="994" t="s">
        <v>426</v>
      </c>
      <c r="D113" s="1280" t="e">
        <f t="shared" ref="D113:I113" si="3">SUM(D420:D420)*310*10^3</f>
        <v>#DIV/0!</v>
      </c>
      <c r="E113" s="1280" t="e">
        <f t="shared" si="3"/>
        <v>#N/A</v>
      </c>
      <c r="F113" s="1280" t="e">
        <f t="shared" si="3"/>
        <v>#N/A</v>
      </c>
      <c r="G113" s="1280" t="e">
        <f t="shared" si="3"/>
        <v>#N/A</v>
      </c>
      <c r="H113" s="1280" t="e">
        <f t="shared" si="3"/>
        <v>#N/A</v>
      </c>
      <c r="I113" s="1375" t="e">
        <f t="shared" si="3"/>
        <v>#N/A</v>
      </c>
      <c r="J113" s="1280"/>
      <c r="K113" s="1375" t="e">
        <f t="shared" ref="K113:K115" si="4">SUM(D113:I113)</f>
        <v>#DIV/0!</v>
      </c>
      <c r="L113" s="846" t="e">
        <f t="shared" si="1"/>
        <v>#DIV/0!</v>
      </c>
      <c r="O113" s="1530"/>
    </row>
    <row r="114" spans="1:19" ht="15.5" x14ac:dyDescent="0.35">
      <c r="A114" s="996"/>
      <c r="B114" s="845"/>
      <c r="C114" s="994" t="s">
        <v>1332</v>
      </c>
      <c r="D114" s="1280" t="e">
        <f t="shared" ref="D114:I114" si="5">SUM(D322,D375)*310*10^3</f>
        <v>#DIV/0!</v>
      </c>
      <c r="E114" s="1375" t="e">
        <f t="shared" si="5"/>
        <v>#N/A</v>
      </c>
      <c r="F114" s="1375" t="e">
        <f t="shared" si="5"/>
        <v>#N/A</v>
      </c>
      <c r="G114" s="1375" t="e">
        <f t="shared" si="5"/>
        <v>#N/A</v>
      </c>
      <c r="H114" s="1375" t="e">
        <f t="shared" si="5"/>
        <v>#N/A</v>
      </c>
      <c r="I114" s="1375" t="e">
        <f t="shared" si="5"/>
        <v>#N/A</v>
      </c>
      <c r="J114" s="1280"/>
      <c r="K114" s="1375" t="e">
        <f t="shared" si="4"/>
        <v>#DIV/0!</v>
      </c>
      <c r="L114" s="846" t="e">
        <f t="shared" si="1"/>
        <v>#DIV/0!</v>
      </c>
      <c r="O114" s="1530"/>
      <c r="P114" s="995"/>
      <c r="Q114" s="995"/>
      <c r="R114" s="995"/>
      <c r="S114" s="995"/>
    </row>
    <row r="115" spans="1:19" ht="15.5" x14ac:dyDescent="0.35">
      <c r="A115" s="996"/>
      <c r="B115" s="845"/>
      <c r="C115" s="994" t="s">
        <v>423</v>
      </c>
      <c r="D115" s="1280" t="e">
        <f t="shared" ref="D115:I115" si="6">(SUM(D457:D457)+SUM(D491:D491))*310*10^3</f>
        <v>#DIV/0!</v>
      </c>
      <c r="E115" s="1280" t="e">
        <f t="shared" si="6"/>
        <v>#N/A</v>
      </c>
      <c r="F115" s="1280" t="e">
        <f t="shared" si="6"/>
        <v>#N/A</v>
      </c>
      <c r="G115" s="1280" t="e">
        <f t="shared" si="6"/>
        <v>#N/A</v>
      </c>
      <c r="H115" s="1280" t="e">
        <f t="shared" si="6"/>
        <v>#N/A</v>
      </c>
      <c r="I115" s="1375" t="e">
        <f t="shared" si="6"/>
        <v>#N/A</v>
      </c>
      <c r="J115" s="1280"/>
      <c r="K115" s="1375" t="e">
        <f t="shared" si="4"/>
        <v>#DIV/0!</v>
      </c>
      <c r="L115" s="846" t="e">
        <f t="shared" si="1"/>
        <v>#DIV/0!</v>
      </c>
      <c r="O115" s="1530"/>
    </row>
    <row r="116" spans="1:19" ht="15.5" x14ac:dyDescent="0.35">
      <c r="A116" s="996"/>
      <c r="B116" s="845"/>
      <c r="C116" s="994" t="s">
        <v>424</v>
      </c>
      <c r="D116" s="1281"/>
      <c r="E116" s="1280"/>
      <c r="F116" s="1280"/>
      <c r="G116" s="1280"/>
      <c r="H116" s="1280"/>
      <c r="I116" s="1375"/>
      <c r="J116" s="1280">
        <f>C356</f>
        <v>0</v>
      </c>
      <c r="K116" s="1280">
        <f>J116</f>
        <v>0</v>
      </c>
      <c r="L116" s="846" t="e">
        <f t="shared" si="1"/>
        <v>#DIV/0!</v>
      </c>
      <c r="O116" s="1530"/>
    </row>
    <row r="117" spans="1:19" ht="15.5" x14ac:dyDescent="0.35">
      <c r="A117" s="996"/>
      <c r="B117" s="845"/>
      <c r="C117" s="994" t="s">
        <v>422</v>
      </c>
      <c r="D117" s="1281"/>
      <c r="E117" s="1280"/>
      <c r="F117" s="1280"/>
      <c r="G117" s="1280"/>
      <c r="H117" s="1280"/>
      <c r="I117" s="1375"/>
      <c r="J117" s="1280">
        <f>(SUM(D452:D455)+SUM(D486:D489))*310*10^3</f>
        <v>0</v>
      </c>
      <c r="K117" s="1280">
        <f>J117</f>
        <v>0</v>
      </c>
      <c r="L117" s="846" t="e">
        <f t="shared" si="1"/>
        <v>#DIV/0!</v>
      </c>
      <c r="O117" s="1530"/>
    </row>
    <row r="118" spans="1:19" ht="15.5" x14ac:dyDescent="0.35">
      <c r="A118" s="996"/>
      <c r="B118" s="844" t="s">
        <v>2163</v>
      </c>
      <c r="C118" s="994" t="s">
        <v>798</v>
      </c>
      <c r="D118" s="1281"/>
      <c r="E118" s="1280"/>
      <c r="F118" s="1280"/>
      <c r="G118" s="1280"/>
      <c r="H118" s="1280"/>
      <c r="I118" s="1375"/>
      <c r="J118" s="1280"/>
      <c r="K118" s="1280">
        <f>C569</f>
        <v>0</v>
      </c>
      <c r="L118" s="846" t="e">
        <f t="shared" si="1"/>
        <v>#DIV/0!</v>
      </c>
      <c r="M118" s="1255"/>
      <c r="O118" s="1530"/>
    </row>
    <row r="119" spans="1:19" ht="15.5" x14ac:dyDescent="0.35">
      <c r="A119" s="996"/>
      <c r="B119" s="844"/>
      <c r="C119" s="994" t="s">
        <v>799</v>
      </c>
      <c r="D119" s="1281"/>
      <c r="E119" s="1280"/>
      <c r="F119" s="1280"/>
      <c r="G119" s="1280"/>
      <c r="H119" s="1280"/>
      <c r="I119" s="1375"/>
      <c r="J119" s="1280"/>
      <c r="K119" s="1280">
        <f>C562+C563</f>
        <v>0</v>
      </c>
      <c r="L119" s="846" t="e">
        <f t="shared" si="1"/>
        <v>#DIV/0!</v>
      </c>
      <c r="M119" s="1255"/>
    </row>
    <row r="120" spans="1:19" ht="15.5" x14ac:dyDescent="0.35">
      <c r="A120" s="996"/>
      <c r="B120" s="844" t="s">
        <v>1968</v>
      </c>
      <c r="C120" s="994" t="s">
        <v>845</v>
      </c>
      <c r="D120" s="1281"/>
      <c r="E120" s="1280"/>
      <c r="F120" s="1280"/>
      <c r="G120" s="1280"/>
      <c r="H120" s="1280"/>
      <c r="I120" s="1375"/>
      <c r="J120" s="1280"/>
      <c r="K120" s="1280">
        <f>E593</f>
        <v>0</v>
      </c>
      <c r="L120" s="846" t="e">
        <f t="shared" si="1"/>
        <v>#DIV/0!</v>
      </c>
      <c r="M120" s="1255"/>
      <c r="O120" s="1530"/>
    </row>
    <row r="121" spans="1:19" ht="15.5" x14ac:dyDescent="0.35">
      <c r="A121" s="996"/>
      <c r="B121" s="844"/>
      <c r="C121" s="994" t="s">
        <v>846</v>
      </c>
      <c r="D121" s="1281"/>
      <c r="E121" s="1280"/>
      <c r="F121" s="1280"/>
      <c r="G121" s="1280"/>
      <c r="H121" s="1280"/>
      <c r="I121" s="1375"/>
      <c r="J121" s="1280"/>
      <c r="K121" s="1280">
        <f>E595-E593</f>
        <v>0</v>
      </c>
      <c r="L121" s="846" t="e">
        <f t="shared" si="1"/>
        <v>#DIV/0!</v>
      </c>
      <c r="M121" s="1255"/>
      <c r="O121" s="1530"/>
    </row>
    <row r="122" spans="1:19" ht="15.5" x14ac:dyDescent="0.35">
      <c r="A122" s="996"/>
      <c r="B122" s="844"/>
      <c r="C122" s="994" t="s">
        <v>828</v>
      </c>
      <c r="D122" s="1281"/>
      <c r="E122" s="1280"/>
      <c r="F122" s="1280"/>
      <c r="G122" s="1280"/>
      <c r="H122" s="1280"/>
      <c r="I122" s="1375"/>
      <c r="J122" s="1280"/>
      <c r="K122" s="1280">
        <f>E602</f>
        <v>0</v>
      </c>
      <c r="L122" s="846" t="e">
        <f t="shared" si="1"/>
        <v>#DIV/0!</v>
      </c>
      <c r="M122" s="1255"/>
      <c r="O122" s="1530"/>
    </row>
    <row r="123" spans="1:19" ht="15.5" x14ac:dyDescent="0.35">
      <c r="A123" s="996"/>
      <c r="B123" s="844"/>
      <c r="C123" s="994"/>
      <c r="D123" s="1281"/>
      <c r="E123" s="1375"/>
      <c r="F123" s="1375"/>
      <c r="G123" s="1375"/>
      <c r="H123" s="1375"/>
      <c r="I123" s="1375"/>
      <c r="J123" s="1375"/>
      <c r="K123" s="1375"/>
      <c r="L123" s="846"/>
      <c r="M123" s="1255"/>
      <c r="O123" s="1530"/>
    </row>
    <row r="124" spans="1:19" ht="18" x14ac:dyDescent="0.45">
      <c r="A124" s="996"/>
      <c r="B124" s="844" t="s">
        <v>1938</v>
      </c>
      <c r="C124" s="994"/>
      <c r="D124" s="1282" t="e">
        <f t="shared" ref="D124:K124" si="7">SUM(D111:D122)</f>
        <v>#DIV/0!</v>
      </c>
      <c r="E124" s="1282" t="e">
        <f t="shared" si="7"/>
        <v>#N/A</v>
      </c>
      <c r="F124" s="1282" t="e">
        <f t="shared" si="7"/>
        <v>#N/A</v>
      </c>
      <c r="G124" s="1282" t="e">
        <f t="shared" si="7"/>
        <v>#N/A</v>
      </c>
      <c r="H124" s="1282" t="e">
        <f t="shared" si="7"/>
        <v>#N/A</v>
      </c>
      <c r="I124" s="1282" t="e">
        <f t="shared" si="7"/>
        <v>#N/A</v>
      </c>
      <c r="J124" s="1282">
        <f t="shared" si="7"/>
        <v>0</v>
      </c>
      <c r="K124" s="1283" t="e">
        <f t="shared" si="7"/>
        <v>#DIV/0!</v>
      </c>
      <c r="L124" s="847" t="s">
        <v>1225</v>
      </c>
      <c r="O124" s="1530"/>
    </row>
    <row r="125" spans="1:19" ht="15.5" x14ac:dyDescent="0.35">
      <c r="B125" s="844" t="s">
        <v>942</v>
      </c>
      <c r="C125" s="994"/>
      <c r="D125" s="1284" t="e">
        <f t="shared" ref="D125:J125" si="8">D124/SUM($K$111:$K$122)</f>
        <v>#DIV/0!</v>
      </c>
      <c r="E125" s="1284" t="e">
        <f t="shared" si="8"/>
        <v>#N/A</v>
      </c>
      <c r="F125" s="1284" t="e">
        <f t="shared" si="8"/>
        <v>#N/A</v>
      </c>
      <c r="G125" s="1284" t="e">
        <f t="shared" si="8"/>
        <v>#N/A</v>
      </c>
      <c r="H125" s="1284" t="e">
        <f t="shared" si="8"/>
        <v>#N/A</v>
      </c>
      <c r="I125" s="1284" t="e">
        <f t="shared" si="8"/>
        <v>#N/A</v>
      </c>
      <c r="J125" s="1284" t="e">
        <f t="shared" si="8"/>
        <v>#DIV/0!</v>
      </c>
      <c r="K125" s="1212"/>
      <c r="L125" s="848"/>
    </row>
    <row r="126" spans="1:19" ht="15.5" x14ac:dyDescent="0.35">
      <c r="A126" s="996"/>
      <c r="B126" s="844"/>
      <c r="C126" s="994"/>
      <c r="D126" s="1281"/>
      <c r="E126" s="1375"/>
      <c r="F126" s="1375"/>
      <c r="G126" s="1375"/>
      <c r="H126" s="1375"/>
      <c r="I126" s="1375"/>
      <c r="J126" s="1375"/>
      <c r="K126" s="1375"/>
      <c r="L126" s="846"/>
    </row>
    <row r="127" spans="1:19" ht="15.5" x14ac:dyDescent="0.35">
      <c r="B127" s="844" t="s">
        <v>1936</v>
      </c>
      <c r="C127" s="994" t="s">
        <v>1027</v>
      </c>
      <c r="D127" s="1281"/>
      <c r="E127" s="1280"/>
      <c r="F127" s="1280"/>
      <c r="G127" s="1280"/>
      <c r="H127" s="1280"/>
      <c r="I127" s="1375"/>
      <c r="J127" s="1280"/>
      <c r="K127" s="1280">
        <f>'Baseline farm'!K132</f>
        <v>0</v>
      </c>
      <c r="L127" s="1549"/>
    </row>
    <row r="128" spans="1:19" x14ac:dyDescent="0.35">
      <c r="B128" s="1550"/>
      <c r="C128" s="1544"/>
      <c r="D128" s="1236"/>
      <c r="E128" s="1236"/>
      <c r="F128" s="1236"/>
      <c r="G128" s="1236"/>
      <c r="H128" s="1236"/>
      <c r="I128" s="1236"/>
      <c r="J128" s="1236"/>
      <c r="K128" s="1236"/>
      <c r="L128" s="1548"/>
    </row>
    <row r="129" spans="2:12" s="879" customFormat="1" ht="15.5" x14ac:dyDescent="0.35">
      <c r="B129" s="844" t="s">
        <v>1940</v>
      </c>
      <c r="C129" s="994"/>
      <c r="D129" s="1284"/>
      <c r="E129" s="1284"/>
      <c r="F129" s="1284"/>
      <c r="G129" s="1284"/>
      <c r="H129" s="1284"/>
      <c r="I129" s="1284"/>
      <c r="J129" s="1284"/>
      <c r="K129" s="1487" t="e">
        <f>K124+K127</f>
        <v>#DIV/0!</v>
      </c>
      <c r="L129" s="848"/>
    </row>
    <row r="130" spans="2:12" s="879" customFormat="1" ht="15.5" x14ac:dyDescent="0.35">
      <c r="B130" s="844"/>
      <c r="C130" s="994"/>
      <c r="D130" s="1284"/>
      <c r="E130" s="1284"/>
      <c r="F130" s="1284"/>
      <c r="G130" s="1284"/>
      <c r="H130" s="1284"/>
      <c r="I130" s="1284"/>
      <c r="J130" s="1284"/>
      <c r="K130" s="1487"/>
      <c r="L130" s="848"/>
    </row>
    <row r="131" spans="2:12" ht="18" x14ac:dyDescent="0.45">
      <c r="B131" s="1540" t="e">
        <f>_xlfn.CONCAT("GHG emissions intensity after ",ROUND(O256*100,0),"% of net emissions are allocated to milk production based on energy allocation")</f>
        <v>#DIV/0!</v>
      </c>
      <c r="C131" s="1544"/>
      <c r="D131" s="1236"/>
      <c r="E131" s="1236"/>
      <c r="F131" s="1236"/>
      <c r="G131" s="1236"/>
      <c r="H131" s="1236"/>
      <c r="I131" s="1236"/>
      <c r="J131" s="1236"/>
      <c r="K131" s="1090">
        <f>P220</f>
        <v>0</v>
      </c>
      <c r="L131" s="847" t="s">
        <v>1226</v>
      </c>
    </row>
    <row r="132" spans="2:12" ht="18" x14ac:dyDescent="0.45">
      <c r="B132" s="1540" t="e">
        <f>_xlfn.CONCAT("GHG emissions intensity after ",ROUND(O256*100,0),"% of net emissions are allocated to milk production based on energy allocation")</f>
        <v>#DIV/0!</v>
      </c>
      <c r="C132" s="1544"/>
      <c r="D132" s="1236"/>
      <c r="E132" s="1236"/>
      <c r="F132" s="1236"/>
      <c r="G132" s="1236"/>
      <c r="H132" s="1236"/>
      <c r="I132" s="1236"/>
      <c r="J132" s="1236"/>
      <c r="K132" s="1089">
        <f>P221</f>
        <v>0</v>
      </c>
      <c r="L132" s="847" t="s">
        <v>1227</v>
      </c>
    </row>
    <row r="133" spans="2:12" ht="18" x14ac:dyDescent="0.45">
      <c r="B133" s="1540" t="e">
        <f>_xlfn.CONCAT("GHG emissions intensity after ",ROUND(O257*100,0),"% of net emissions are allocated to meat production based on energy allocation")</f>
        <v>#N/A</v>
      </c>
      <c r="C133" s="1544"/>
      <c r="D133" s="1236"/>
      <c r="E133" s="1236"/>
      <c r="F133" s="1236"/>
      <c r="G133" s="1236"/>
      <c r="H133" s="1236"/>
      <c r="I133" s="1236"/>
      <c r="J133" s="1236"/>
      <c r="K133" s="1089">
        <f>P222</f>
        <v>0</v>
      </c>
      <c r="L133" s="847" t="s">
        <v>1995</v>
      </c>
    </row>
    <row r="134" spans="2:12" ht="15.5" x14ac:dyDescent="0.35">
      <c r="B134" s="844"/>
      <c r="C134" s="1544"/>
      <c r="D134" s="1236"/>
      <c r="E134" s="1236"/>
      <c r="F134" s="1236"/>
      <c r="G134" s="1236"/>
      <c r="H134" s="1236"/>
      <c r="I134" s="1236"/>
      <c r="J134" s="1236"/>
      <c r="K134" s="1089"/>
      <c r="L134" s="847"/>
    </row>
    <row r="135" spans="2:12" ht="18" x14ac:dyDescent="0.45">
      <c r="B135" s="844" t="s">
        <v>1986</v>
      </c>
      <c r="C135" s="1544"/>
      <c r="D135" s="1337" t="e">
        <f>'Baseline farm'!D129</f>
        <v>#DIV/0!</v>
      </c>
      <c r="E135" s="1337" t="e">
        <f>'Baseline farm'!E129</f>
        <v>#N/A</v>
      </c>
      <c r="F135" s="1337" t="e">
        <f>'Baseline farm'!F129</f>
        <v>#N/A</v>
      </c>
      <c r="G135" s="1337" t="e">
        <f>'Baseline farm'!G129</f>
        <v>#N/A</v>
      </c>
      <c r="H135" s="1337" t="e">
        <f>'Baseline farm'!H129</f>
        <v>#N/A</v>
      </c>
      <c r="I135" s="1337"/>
      <c r="J135" s="1337">
        <f>'Baseline farm'!J129</f>
        <v>0</v>
      </c>
      <c r="K135" s="1338" t="e">
        <f>'Baseline farm'!K129</f>
        <v>#DIV/0!</v>
      </c>
      <c r="L135" s="847" t="s">
        <v>1225</v>
      </c>
    </row>
    <row r="136" spans="2:12" ht="15.5" x14ac:dyDescent="0.35">
      <c r="B136" s="844"/>
      <c r="C136" s="1544"/>
      <c r="D136" s="1337"/>
      <c r="E136" s="1337"/>
      <c r="F136" s="1337"/>
      <c r="G136" s="1337"/>
      <c r="H136" s="1337"/>
      <c r="I136" s="1337"/>
      <c r="J136" s="1337"/>
      <c r="K136" s="1338"/>
      <c r="L136" s="847"/>
    </row>
    <row r="137" spans="2:12" ht="18" x14ac:dyDescent="0.45">
      <c r="B137" s="844" t="s">
        <v>2131</v>
      </c>
      <c r="C137" s="1544"/>
      <c r="D137" s="1236"/>
      <c r="E137" s="1236"/>
      <c r="F137" s="1236"/>
      <c r="G137" s="1236"/>
      <c r="H137" s="1236"/>
      <c r="I137" s="1236"/>
      <c r="J137" s="1236"/>
      <c r="K137" s="1089" t="e">
        <f>K124-K135</f>
        <v>#DIV/0!</v>
      </c>
      <c r="L137" s="847" t="s">
        <v>1225</v>
      </c>
    </row>
    <row r="138" spans="2:12" ht="15.5" x14ac:dyDescent="0.35">
      <c r="B138" s="1537" t="s">
        <v>2132</v>
      </c>
      <c r="C138" s="1541"/>
      <c r="D138" s="1541"/>
      <c r="E138" s="1541"/>
      <c r="F138" s="1541"/>
      <c r="G138" s="1541"/>
      <c r="H138" s="1541"/>
      <c r="I138" s="1541"/>
      <c r="J138" s="1541"/>
      <c r="K138" s="1535" t="e">
        <f>(K124-K135)/K124*100</f>
        <v>#DIV/0!</v>
      </c>
      <c r="L138" s="1536" t="s">
        <v>222</v>
      </c>
    </row>
    <row r="140" spans="2:12" ht="15.5" x14ac:dyDescent="0.35">
      <c r="B140" s="1257"/>
      <c r="C140" s="1257"/>
      <c r="D140" s="1258"/>
      <c r="E140" s="1258"/>
      <c r="F140" s="1258"/>
      <c r="G140" s="1258"/>
      <c r="H140" s="1258"/>
      <c r="I140" s="1258"/>
    </row>
    <row r="141" spans="2:12" ht="15.5" x14ac:dyDescent="0.35">
      <c r="B141" s="1257"/>
      <c r="C141" s="1257"/>
      <c r="D141" s="1258"/>
      <c r="E141" s="1258"/>
      <c r="F141" s="1258"/>
      <c r="G141" s="1258"/>
      <c r="H141" s="1258"/>
      <c r="I141" s="1258"/>
    </row>
    <row r="142" spans="2:12" ht="15.5" x14ac:dyDescent="0.35">
      <c r="B142" s="1257"/>
      <c r="C142" s="1257"/>
      <c r="D142" s="1258"/>
      <c r="E142" s="1258"/>
      <c r="F142" s="1258"/>
      <c r="G142" s="1258"/>
      <c r="H142" s="1258"/>
      <c r="I142" s="1258"/>
      <c r="J142" s="1259"/>
    </row>
    <row r="143" spans="2:12" ht="15.5" x14ac:dyDescent="0.35">
      <c r="B143" s="1257"/>
      <c r="C143" s="1257"/>
      <c r="D143" s="1258"/>
      <c r="E143" s="1258"/>
      <c r="F143" s="1258"/>
      <c r="G143" s="1258"/>
      <c r="H143" s="1258"/>
      <c r="I143" s="1258"/>
    </row>
    <row r="144" spans="2:12" ht="15.5" x14ac:dyDescent="0.35">
      <c r="B144" s="1257"/>
      <c r="C144" s="1257"/>
      <c r="D144" s="1258"/>
      <c r="E144" s="1258"/>
      <c r="F144" s="1258"/>
      <c r="G144" s="1258"/>
      <c r="H144" s="1258"/>
      <c r="I144" s="1258"/>
    </row>
    <row r="145" spans="2:9" ht="15.5" x14ac:dyDescent="0.35">
      <c r="B145" s="1257"/>
      <c r="C145" s="1257"/>
      <c r="D145" s="1258"/>
      <c r="E145" s="1258"/>
      <c r="F145" s="1258"/>
      <c r="G145" s="1258"/>
      <c r="H145" s="1258"/>
      <c r="I145" s="1258"/>
    </row>
    <row r="146" spans="2:9" ht="15.5" x14ac:dyDescent="0.35">
      <c r="B146" s="1257"/>
      <c r="C146" s="1257"/>
      <c r="D146" s="1258"/>
      <c r="E146" s="1258"/>
      <c r="F146" s="1258"/>
      <c r="G146" s="1258"/>
      <c r="H146" s="1258"/>
      <c r="I146" s="1258"/>
    </row>
    <row r="147" spans="2:9" ht="15.5" x14ac:dyDescent="0.35">
      <c r="B147" s="1257"/>
      <c r="C147" s="1257"/>
      <c r="D147" s="1258"/>
      <c r="E147" s="1258"/>
      <c r="F147" s="1258"/>
      <c r="G147" s="1258"/>
      <c r="H147" s="1258"/>
      <c r="I147" s="1258"/>
    </row>
    <row r="148" spans="2:9" ht="15.5" x14ac:dyDescent="0.35">
      <c r="B148" s="1257"/>
      <c r="C148" s="1257"/>
      <c r="D148" s="1258"/>
      <c r="E148" s="1258"/>
      <c r="F148" s="1258"/>
      <c r="G148" s="1258"/>
      <c r="H148" s="1258"/>
      <c r="I148" s="1258"/>
    </row>
    <row r="149" spans="2:9" ht="15.5" x14ac:dyDescent="0.35">
      <c r="B149" s="1257"/>
      <c r="C149" s="1257"/>
      <c r="D149" s="1258"/>
      <c r="E149" s="1258"/>
      <c r="F149" s="1258"/>
      <c r="G149" s="1258"/>
      <c r="H149" s="1258"/>
      <c r="I149" s="1258"/>
    </row>
    <row r="150" spans="2:9" ht="15.5" x14ac:dyDescent="0.35">
      <c r="B150" s="1257"/>
      <c r="C150" s="1257"/>
      <c r="D150" s="1258"/>
      <c r="E150" s="1258"/>
      <c r="F150" s="1258"/>
      <c r="G150" s="1258"/>
      <c r="H150" s="1258"/>
      <c r="I150" s="1258"/>
    </row>
    <row r="151" spans="2:9" ht="15.5" x14ac:dyDescent="0.35">
      <c r="B151" s="1257"/>
      <c r="C151" s="1257"/>
      <c r="D151" s="1258"/>
      <c r="E151" s="1258"/>
      <c r="F151" s="1258"/>
      <c r="G151" s="1258"/>
      <c r="H151" s="1258"/>
      <c r="I151" s="1258"/>
    </row>
    <row r="152" spans="2:9" ht="15.5" x14ac:dyDescent="0.35">
      <c r="B152" s="1257"/>
      <c r="C152" s="1257"/>
      <c r="D152" s="1258"/>
      <c r="E152" s="1258"/>
      <c r="F152" s="1258"/>
      <c r="G152" s="1258"/>
      <c r="H152" s="1258"/>
      <c r="I152" s="1258"/>
    </row>
    <row r="153" spans="2:9" ht="15.5" x14ac:dyDescent="0.35">
      <c r="B153" s="1257"/>
      <c r="C153" s="1257"/>
      <c r="D153" s="1258"/>
      <c r="E153" s="1258"/>
      <c r="F153" s="1258"/>
      <c r="G153" s="1258"/>
      <c r="H153" s="1258"/>
      <c r="I153" s="1258"/>
    </row>
    <row r="154" spans="2:9" ht="15.5" x14ac:dyDescent="0.35">
      <c r="B154" s="1257"/>
      <c r="C154" s="1257"/>
      <c r="D154" s="1258"/>
      <c r="E154" s="1258"/>
      <c r="F154" s="1258"/>
      <c r="G154" s="1258"/>
      <c r="H154" s="1258"/>
      <c r="I154" s="1258"/>
    </row>
    <row r="155" spans="2:9" ht="15.5" x14ac:dyDescent="0.35">
      <c r="B155" s="1257"/>
      <c r="C155" s="1257"/>
      <c r="D155" s="1258"/>
      <c r="E155" s="1258"/>
      <c r="F155" s="1258"/>
      <c r="G155" s="1258"/>
      <c r="H155" s="1258"/>
      <c r="I155" s="1258"/>
    </row>
    <row r="156" spans="2:9" ht="15.5" x14ac:dyDescent="0.35">
      <c r="B156" s="1257"/>
      <c r="C156" s="1257"/>
      <c r="D156" s="1258"/>
      <c r="E156" s="1258"/>
      <c r="F156" s="1258"/>
      <c r="G156" s="1258"/>
      <c r="H156" s="1258"/>
      <c r="I156" s="1258"/>
    </row>
    <row r="157" spans="2:9" ht="15.5" x14ac:dyDescent="0.35">
      <c r="B157" s="1257"/>
      <c r="C157" s="1257"/>
      <c r="D157" s="1258"/>
      <c r="E157" s="1258"/>
      <c r="F157" s="1258"/>
      <c r="G157" s="1258"/>
      <c r="H157" s="1258"/>
      <c r="I157" s="1258"/>
    </row>
    <row r="158" spans="2:9" ht="15.5" x14ac:dyDescent="0.35">
      <c r="B158" s="1257"/>
      <c r="C158" s="1257"/>
      <c r="D158" s="1258"/>
      <c r="E158" s="1258"/>
      <c r="F158" s="1258"/>
      <c r="G158" s="1258"/>
      <c r="H158" s="1258"/>
      <c r="I158" s="1258"/>
    </row>
    <row r="159" spans="2:9" ht="15.5" x14ac:dyDescent="0.35">
      <c r="B159" s="1257"/>
      <c r="C159" s="1257"/>
      <c r="D159" s="1258"/>
      <c r="E159" s="1258"/>
      <c r="F159" s="1258"/>
      <c r="G159" s="1258"/>
      <c r="H159" s="1258"/>
      <c r="I159" s="1258"/>
    </row>
    <row r="160" spans="2:9" ht="15.5" x14ac:dyDescent="0.35">
      <c r="B160" s="1257"/>
      <c r="C160" s="1257"/>
      <c r="D160" s="1258"/>
      <c r="E160" s="1258"/>
      <c r="F160" s="1258"/>
      <c r="G160" s="1258"/>
      <c r="H160" s="1258"/>
      <c r="I160" s="1258"/>
    </row>
    <row r="161" spans="2:9" ht="15.5" x14ac:dyDescent="0.35">
      <c r="B161" s="1257"/>
      <c r="C161" s="1257"/>
      <c r="D161" s="1258"/>
      <c r="E161" s="1258"/>
      <c r="F161" s="1258"/>
      <c r="G161" s="1258"/>
      <c r="H161" s="1258"/>
      <c r="I161" s="1258"/>
    </row>
    <row r="162" spans="2:9" ht="15.5" x14ac:dyDescent="0.35">
      <c r="B162" s="1257"/>
      <c r="C162" s="1257"/>
      <c r="D162" s="1253"/>
      <c r="E162" s="1253"/>
      <c r="F162" s="1253"/>
      <c r="G162" s="1253"/>
      <c r="H162" s="1253"/>
      <c r="I162" s="1253"/>
    </row>
    <row r="180" spans="2:55" s="1201" customFormat="1" ht="14" hidden="1" x14ac:dyDescent="0.3"/>
    <row r="181" spans="2:55" s="1201" customFormat="1" ht="14" hidden="1" x14ac:dyDescent="0.3"/>
    <row r="182" spans="2:55" s="1201" customFormat="1" ht="12" hidden="1" customHeight="1" x14ac:dyDescent="0.3"/>
    <row r="183" spans="2:55" s="1201" customFormat="1" ht="14" hidden="1" x14ac:dyDescent="0.3"/>
    <row r="184" spans="2:55" s="1201" customFormat="1" ht="14" hidden="1" x14ac:dyDescent="0.3"/>
    <row r="185" spans="2:55" s="1201" customFormat="1" ht="14" hidden="1" x14ac:dyDescent="0.3"/>
    <row r="186" spans="2:55" s="1201" customFormat="1" ht="14" hidden="1" x14ac:dyDescent="0.3"/>
    <row r="187" spans="2:55" s="1201" customFormat="1" ht="14" hidden="1" x14ac:dyDescent="0.3"/>
    <row r="188" spans="2:55" s="1201" customFormat="1" ht="14" hidden="1" x14ac:dyDescent="0.3"/>
    <row r="189" spans="2:55" s="1201" customFormat="1" ht="14" hidden="1" x14ac:dyDescent="0.3"/>
    <row r="190" spans="2:55" s="1201" customFormat="1" ht="15.5" hidden="1" x14ac:dyDescent="0.35">
      <c r="C190" s="1201" t="s">
        <v>260</v>
      </c>
      <c r="D190" s="1201" t="s">
        <v>912</v>
      </c>
      <c r="E190" s="1201" t="s">
        <v>913</v>
      </c>
      <c r="F190" s="1201" t="s">
        <v>866</v>
      </c>
      <c r="G190" s="1201" t="s">
        <v>914</v>
      </c>
      <c r="H190" s="1201" t="s">
        <v>867</v>
      </c>
      <c r="I190" s="1201" t="s">
        <v>868</v>
      </c>
      <c r="J190" s="1201" t="s">
        <v>915</v>
      </c>
      <c r="M190" s="1257"/>
      <c r="N190" s="1257" t="s">
        <v>738</v>
      </c>
      <c r="O190" s="1257"/>
      <c r="P190" s="1257"/>
      <c r="Q190" s="1257"/>
      <c r="R190" s="1257" t="s">
        <v>818</v>
      </c>
      <c r="S190" s="1257" t="s">
        <v>936</v>
      </c>
      <c r="T190" s="1257"/>
      <c r="U190" s="1257" t="s">
        <v>848</v>
      </c>
      <c r="V190" s="1257"/>
      <c r="W190" s="1257"/>
      <c r="AA190" s="1257" t="s">
        <v>861</v>
      </c>
      <c r="AB190" s="1201">
        <v>1</v>
      </c>
      <c r="AC190" s="1257" t="s">
        <v>865</v>
      </c>
      <c r="AG190" s="1201" t="s">
        <v>890</v>
      </c>
      <c r="AJ190" s="1201" t="s">
        <v>876</v>
      </c>
      <c r="AP190" s="1260" t="s">
        <v>451</v>
      </c>
      <c r="AT190" s="1201" t="s">
        <v>876</v>
      </c>
      <c r="AX190" s="1201" t="s">
        <v>898</v>
      </c>
    </row>
    <row r="191" spans="2:55" s="1201" customFormat="1" ht="15.5" hidden="1" x14ac:dyDescent="0.35">
      <c r="B191" s="1262">
        <v>1</v>
      </c>
      <c r="C191" s="1263" t="s">
        <v>912</v>
      </c>
      <c r="D191" s="889" t="s">
        <v>1547</v>
      </c>
      <c r="E191" s="889" t="s">
        <v>916</v>
      </c>
      <c r="F191" s="889" t="s">
        <v>1548</v>
      </c>
      <c r="G191" s="889" t="s">
        <v>1550</v>
      </c>
      <c r="H191" s="889" t="s">
        <v>1552</v>
      </c>
      <c r="I191" s="889" t="s">
        <v>1551</v>
      </c>
      <c r="M191" s="1257"/>
      <c r="N191" s="1257"/>
      <c r="O191" s="1257"/>
      <c r="P191" s="1257"/>
      <c r="Q191" s="1257"/>
      <c r="R191" s="1257"/>
      <c r="S191" s="1257" t="s">
        <v>935</v>
      </c>
      <c r="T191" s="1257"/>
      <c r="U191" s="1257" t="s">
        <v>849</v>
      </c>
      <c r="V191" s="1264" t="e">
        <f>L111</f>
        <v>#DIV/0!</v>
      </c>
      <c r="W191" s="1257"/>
      <c r="AB191" s="1257">
        <v>2</v>
      </c>
      <c r="AC191" s="1257" t="s">
        <v>864</v>
      </c>
      <c r="AE191" s="1257"/>
      <c r="AG191" s="1201" t="s">
        <v>878</v>
      </c>
      <c r="AH191" s="1201">
        <f>G90</f>
        <v>0</v>
      </c>
      <c r="AK191" s="1201" t="s">
        <v>884</v>
      </c>
      <c r="AM191" s="1201">
        <f>G103</f>
        <v>0</v>
      </c>
      <c r="AP191" s="1201" t="s">
        <v>885</v>
      </c>
      <c r="AR191" s="1261">
        <f>1-((AH191/24*AH192/365)+(AH196/24*AH197/365))</f>
        <v>1</v>
      </c>
      <c r="AT191" s="1201" t="s">
        <v>885</v>
      </c>
      <c r="AU191" s="1261">
        <f>1-(AM191/24*AM192/365)</f>
        <v>1</v>
      </c>
      <c r="AY191" s="1201" t="s">
        <v>225</v>
      </c>
      <c r="AZ191" s="1201" t="s">
        <v>1397</v>
      </c>
      <c r="BA191" s="1201" t="s">
        <v>226</v>
      </c>
      <c r="BB191" s="1201" t="s">
        <v>1389</v>
      </c>
      <c r="BC191" s="1201" t="s">
        <v>897</v>
      </c>
    </row>
    <row r="192" spans="2:55" s="1201" customFormat="1" ht="15.5" hidden="1" x14ac:dyDescent="0.35">
      <c r="B192" s="1262">
        <v>2</v>
      </c>
      <c r="C192" s="1263" t="s">
        <v>917</v>
      </c>
      <c r="D192" s="889" t="s">
        <v>1553</v>
      </c>
      <c r="E192" s="889" t="s">
        <v>1545</v>
      </c>
      <c r="F192" s="889" t="s">
        <v>1558</v>
      </c>
      <c r="G192" s="889" t="s">
        <v>1543</v>
      </c>
      <c r="H192" s="889" t="s">
        <v>1542</v>
      </c>
      <c r="I192" s="889"/>
      <c r="M192" s="1257"/>
      <c r="N192" s="1257" t="s">
        <v>739</v>
      </c>
      <c r="O192" s="1257"/>
      <c r="P192" s="1265">
        <f>IF(S203="1",H30,0)</f>
        <v>0</v>
      </c>
      <c r="Q192" s="1257"/>
      <c r="R192" s="1257" t="s">
        <v>228</v>
      </c>
      <c r="S192" s="1257">
        <f>E48</f>
        <v>0</v>
      </c>
      <c r="T192" s="1266" t="str">
        <f>IF(S192="kg of element per ha per annum","1","2")</f>
        <v>2</v>
      </c>
      <c r="U192" s="1257" t="s">
        <v>850</v>
      </c>
      <c r="V192" s="1264" t="e">
        <f>L112</f>
        <v>#DIV/0!</v>
      </c>
      <c r="W192" s="1257"/>
      <c r="AB192" s="1257" t="s">
        <v>228</v>
      </c>
      <c r="AC192" s="1266">
        <f>IF(F79="",1,IF(F79=AC190,1,2))</f>
        <v>1</v>
      </c>
      <c r="AE192" s="1257"/>
      <c r="AG192" s="1201" t="s">
        <v>879</v>
      </c>
      <c r="AH192" s="1267">
        <f>H90</f>
        <v>0</v>
      </c>
      <c r="AK192" s="1201" t="s">
        <v>871</v>
      </c>
      <c r="AM192" s="1201">
        <f>H103</f>
        <v>0</v>
      </c>
      <c r="AP192" s="1201" t="s">
        <v>886</v>
      </c>
      <c r="AR192" s="1261">
        <f>(AH191/24*AH192/365*AH193/100)*IF(Z197=2,0.8,1)</f>
        <v>0</v>
      </c>
      <c r="AT192" s="1201" t="s">
        <v>880</v>
      </c>
      <c r="AU192" s="1261">
        <f>IF(AL204=2,AM191/24*AM192/365,0)</f>
        <v>0</v>
      </c>
      <c r="AW192" s="1201">
        <v>1</v>
      </c>
      <c r="AX192" s="1263" t="s">
        <v>912</v>
      </c>
      <c r="AY192" s="1201">
        <v>90</v>
      </c>
      <c r="AZ192" s="1201">
        <v>35</v>
      </c>
      <c r="BA192" s="1201">
        <v>4</v>
      </c>
      <c r="BB192" s="1201">
        <v>0.5</v>
      </c>
      <c r="BC192" s="1201">
        <v>1</v>
      </c>
    </row>
    <row r="193" spans="2:55" s="1201" customFormat="1" ht="15.5" hidden="1" x14ac:dyDescent="0.35">
      <c r="B193" s="1262">
        <v>3</v>
      </c>
      <c r="C193" s="1263" t="s">
        <v>866</v>
      </c>
      <c r="D193" s="889" t="s">
        <v>1554</v>
      </c>
      <c r="E193" s="889" t="s">
        <v>1546</v>
      </c>
      <c r="F193" s="889" t="s">
        <v>1549</v>
      </c>
      <c r="G193" s="889"/>
      <c r="H193" s="889"/>
      <c r="I193" s="889"/>
      <c r="M193" s="1257"/>
      <c r="N193" s="1257" t="s">
        <v>740</v>
      </c>
      <c r="O193" s="1257"/>
      <c r="P193" s="1265">
        <f>IF(S203="2",H30,0)</f>
        <v>0</v>
      </c>
      <c r="Q193" s="1257"/>
      <c r="R193" s="1257"/>
      <c r="S193" s="1257"/>
      <c r="T193" s="1257"/>
      <c r="U193" s="1257" t="s">
        <v>851</v>
      </c>
      <c r="V193" s="1264" t="e">
        <f>L113+L114+#REF!</f>
        <v>#DIV/0!</v>
      </c>
      <c r="W193" s="1257"/>
      <c r="X193" s="1257"/>
      <c r="Y193" s="1257"/>
      <c r="Z193" s="1257"/>
      <c r="AE193" s="1257"/>
      <c r="AG193" s="1201" t="s">
        <v>1244</v>
      </c>
      <c r="AH193" s="1201">
        <f>G92</f>
        <v>0</v>
      </c>
      <c r="AK193" s="1201" t="s">
        <v>880</v>
      </c>
      <c r="AM193" s="1201">
        <f>IF(AL204=1,AH193,0)</f>
        <v>0</v>
      </c>
      <c r="AP193" s="1201" t="s">
        <v>1214</v>
      </c>
      <c r="AR193" s="1261">
        <f>(AH191/24*AH192/365*AH193/100)*IF(Z197=1,0,0.2)</f>
        <v>0</v>
      </c>
      <c r="AT193" s="1201" t="s">
        <v>1213</v>
      </c>
      <c r="AU193" s="1261">
        <f>IF(AM204=2,AM191/24*AM192/365*AM193/100)*IF(Z197=2,0.2,0)</f>
        <v>0</v>
      </c>
      <c r="AW193" s="1201">
        <v>2</v>
      </c>
      <c r="AX193" s="1263" t="s">
        <v>917</v>
      </c>
      <c r="AY193" s="1201">
        <v>90</v>
      </c>
      <c r="AZ193" s="1201">
        <v>35</v>
      </c>
      <c r="BA193" s="1201">
        <v>4</v>
      </c>
      <c r="BB193" s="1201">
        <v>0.5</v>
      </c>
      <c r="BC193" s="1201">
        <v>1</v>
      </c>
    </row>
    <row r="194" spans="2:55" s="1201" customFormat="1" ht="15.5" hidden="1" x14ac:dyDescent="0.35">
      <c r="B194" s="1262">
        <v>4</v>
      </c>
      <c r="C194" s="1263" t="s">
        <v>914</v>
      </c>
      <c r="D194" s="889" t="s">
        <v>1555</v>
      </c>
      <c r="E194" s="889"/>
      <c r="F194" s="889" t="s">
        <v>1544</v>
      </c>
      <c r="G194" s="889"/>
      <c r="H194" s="889"/>
      <c r="I194" s="889"/>
      <c r="M194" s="1257"/>
      <c r="N194" s="1257" t="s">
        <v>741</v>
      </c>
      <c r="O194" s="1257"/>
      <c r="P194" s="1268">
        <f>(IF(D32="",4,D32))</f>
        <v>0</v>
      </c>
      <c r="Q194" s="1257"/>
      <c r="R194" s="1257"/>
      <c r="S194" s="1257"/>
      <c r="T194" s="1257"/>
      <c r="U194" s="1257" t="s">
        <v>852</v>
      </c>
      <c r="V194" s="1264" t="e">
        <f>L116</f>
        <v>#DIV/0!</v>
      </c>
      <c r="W194" s="1257"/>
      <c r="X194" s="1257"/>
      <c r="Y194" s="1257"/>
      <c r="Z194" s="1257"/>
      <c r="AA194" s="1257"/>
      <c r="AB194" s="1257"/>
      <c r="AC194" s="1257"/>
      <c r="AD194" s="1257"/>
      <c r="AE194" s="1257"/>
      <c r="AG194" s="1201" t="s">
        <v>1450</v>
      </c>
      <c r="AH194" s="1201">
        <f>G93</f>
        <v>0</v>
      </c>
      <c r="AP194" s="1260" t="s">
        <v>887</v>
      </c>
      <c r="AR194" s="1261">
        <f>IF(Z197=1,(AH191/24*AH192/365*AH195/100),(AH191/24*AH192/365*AH195/100)*0.8)</f>
        <v>0</v>
      </c>
      <c r="AT194" s="1201" t="s">
        <v>895</v>
      </c>
      <c r="AU194" s="1261">
        <f>IF(AL204=3,(AM191/24*AM192/365)*IF(Z197=2,0.8,1),0)</f>
        <v>0</v>
      </c>
      <c r="AW194" s="1201">
        <v>3</v>
      </c>
      <c r="AX194" s="1263" t="s">
        <v>866</v>
      </c>
      <c r="AY194" s="1201">
        <v>90</v>
      </c>
      <c r="AZ194" s="1201">
        <v>35</v>
      </c>
      <c r="BA194" s="1201">
        <v>4</v>
      </c>
      <c r="BB194" s="1201">
        <v>0.5</v>
      </c>
      <c r="BC194" s="1201">
        <v>1</v>
      </c>
    </row>
    <row r="195" spans="2:55" s="1201" customFormat="1" ht="15.5" hidden="1" x14ac:dyDescent="0.35">
      <c r="B195" s="1262">
        <v>5</v>
      </c>
      <c r="C195" s="1263" t="s">
        <v>918</v>
      </c>
      <c r="D195" s="889" t="s">
        <v>1557</v>
      </c>
      <c r="E195" s="889"/>
      <c r="F195" s="889"/>
      <c r="G195" s="889"/>
      <c r="H195" s="889"/>
      <c r="I195" s="889"/>
      <c r="M195" s="1257"/>
      <c r="N195" s="1257" t="s">
        <v>742</v>
      </c>
      <c r="O195" s="1257"/>
      <c r="P195" s="1257">
        <f>IF(H32="",3.3,H32)</f>
        <v>0</v>
      </c>
      <c r="Q195" s="1257"/>
      <c r="R195" s="1257"/>
      <c r="S195" s="1257"/>
      <c r="T195" s="1257"/>
      <c r="U195" s="1257" t="s">
        <v>853</v>
      </c>
      <c r="V195" s="1264" t="e">
        <f>L115</f>
        <v>#DIV/0!</v>
      </c>
      <c r="W195" s="1257"/>
      <c r="X195" s="1257" t="s">
        <v>873</v>
      </c>
      <c r="Y195" s="1257">
        <v>1</v>
      </c>
      <c r="Z195" s="1257" t="s">
        <v>874</v>
      </c>
      <c r="AA195" s="1257"/>
      <c r="AB195" s="1257"/>
      <c r="AC195" s="1257"/>
      <c r="AD195" s="1257"/>
      <c r="AE195" s="1257"/>
      <c r="AG195" s="1201" t="s">
        <v>881</v>
      </c>
      <c r="AH195" s="1201">
        <f>100-AH193-AH194</f>
        <v>100</v>
      </c>
      <c r="AP195" s="1260" t="s">
        <v>901</v>
      </c>
      <c r="AR195" s="1261">
        <f>IF(Z197=1,0,(AH191/24*AH192/365*AH195/100)*0.2)</f>
        <v>0</v>
      </c>
      <c r="AT195" s="1201" t="s">
        <v>896</v>
      </c>
      <c r="AU195" s="1261">
        <f>IF(AL204=3,(AM191/24*AM192/365*IF(Z197=2,0.2,0)),0)</f>
        <v>0</v>
      </c>
      <c r="AW195" s="1201">
        <v>4</v>
      </c>
      <c r="AX195" s="1263" t="s">
        <v>914</v>
      </c>
      <c r="AY195" s="1201">
        <v>90</v>
      </c>
      <c r="AZ195" s="1201">
        <v>35</v>
      </c>
      <c r="BA195" s="1201">
        <v>5</v>
      </c>
      <c r="BB195" s="1201">
        <v>1</v>
      </c>
      <c r="BC195" s="1201">
        <v>2</v>
      </c>
    </row>
    <row r="196" spans="2:55" s="1201" customFormat="1" ht="15.5" hidden="1" x14ac:dyDescent="0.35">
      <c r="B196" s="1257">
        <v>6</v>
      </c>
      <c r="C196" s="1269" t="s">
        <v>919</v>
      </c>
      <c r="D196" s="889" t="s">
        <v>1556</v>
      </c>
      <c r="E196" s="889"/>
      <c r="F196" s="889"/>
      <c r="G196" s="889"/>
      <c r="H196" s="889"/>
      <c r="I196" s="889"/>
      <c r="M196" s="1257"/>
      <c r="N196" s="1257" t="s">
        <v>926</v>
      </c>
      <c r="P196" s="1265">
        <f>IF(P192=0,P193,(P192*(P194+P195)/100))</f>
        <v>0</v>
      </c>
      <c r="Q196" s="1257"/>
      <c r="R196" s="1257" t="s">
        <v>932</v>
      </c>
      <c r="S196" s="889" t="s">
        <v>1032</v>
      </c>
      <c r="T196" s="889"/>
      <c r="U196" s="1257" t="s">
        <v>854</v>
      </c>
      <c r="V196" s="1264" t="e">
        <f>L117</f>
        <v>#DIV/0!</v>
      </c>
      <c r="W196" s="1257"/>
      <c r="X196" s="1257"/>
      <c r="Y196" s="1257">
        <v>2</v>
      </c>
      <c r="Z196" s="1257" t="s">
        <v>875</v>
      </c>
      <c r="AA196" s="1257"/>
      <c r="AB196" s="1257"/>
      <c r="AC196" s="1257"/>
      <c r="AD196" s="1257"/>
      <c r="AE196" s="1257"/>
      <c r="AG196" s="1201" t="s">
        <v>882</v>
      </c>
      <c r="AH196" s="1201">
        <f>G98</f>
        <v>0</v>
      </c>
      <c r="AP196" s="1201" t="s">
        <v>893</v>
      </c>
      <c r="AR196" s="1261">
        <f>IF(AG204=1,(AH196/24*AH197/365),0)*IF(Z197=2,0.8,1)</f>
        <v>0</v>
      </c>
      <c r="AT196" s="1201" t="s">
        <v>1392</v>
      </c>
      <c r="AU196" s="1261">
        <f>IF(AL204=4,AM191/24*AM192/365,0)</f>
        <v>0</v>
      </c>
      <c r="AW196" s="1201">
        <v>5</v>
      </c>
      <c r="AX196" s="1263" t="s">
        <v>918</v>
      </c>
      <c r="AY196" s="1201">
        <v>90</v>
      </c>
      <c r="AZ196" s="1201">
        <v>35</v>
      </c>
      <c r="BA196" s="1201">
        <v>4</v>
      </c>
      <c r="BB196" s="1201">
        <v>0.5</v>
      </c>
      <c r="BC196" s="1201">
        <v>1</v>
      </c>
    </row>
    <row r="197" spans="2:55" s="1201" customFormat="1" ht="15.5" hidden="1" x14ac:dyDescent="0.35">
      <c r="B197" s="1262">
        <v>7</v>
      </c>
      <c r="C197" s="1263" t="s">
        <v>920</v>
      </c>
      <c r="M197" s="1257"/>
      <c r="N197" s="1257" t="s">
        <v>744</v>
      </c>
      <c r="O197" s="1257"/>
      <c r="P197" s="1265" t="e">
        <f>IF(P192=0,(P193/((P194+P195)/100)),P192)</f>
        <v>#DIV/0!</v>
      </c>
      <c r="Q197" s="1257"/>
      <c r="R197" s="1257"/>
      <c r="S197" s="889" t="s">
        <v>933</v>
      </c>
      <c r="T197" s="889"/>
      <c r="U197" s="1257" t="s">
        <v>855</v>
      </c>
      <c r="V197" s="1264" t="e">
        <f>L118+L119</f>
        <v>#DIV/0!</v>
      </c>
      <c r="W197" s="1257"/>
      <c r="X197" s="1257"/>
      <c r="Y197" s="1257" t="s">
        <v>228</v>
      </c>
      <c r="Z197" s="1266">
        <f>IF(G96="",1,IF(G96=Z195,1,2))</f>
        <v>2</v>
      </c>
      <c r="AA197" s="1257"/>
      <c r="AB197" s="1257"/>
      <c r="AC197" s="1257"/>
      <c r="AD197" s="1257"/>
      <c r="AE197" s="1257"/>
      <c r="AG197" s="1201" t="s">
        <v>883</v>
      </c>
      <c r="AH197" s="1201">
        <f>H98</f>
        <v>0</v>
      </c>
      <c r="AP197" s="1201" t="s">
        <v>1215</v>
      </c>
      <c r="AR197" s="1261">
        <f>IF(AG204=1,(AH196/24*AH197/365)*IF(Z197=2,0.2,0),0)</f>
        <v>0</v>
      </c>
      <c r="AT197" s="1201" t="s">
        <v>889</v>
      </c>
      <c r="AU197" s="1261">
        <f>AU193+AU195+AU196</f>
        <v>0</v>
      </c>
      <c r="AW197" s="1201">
        <v>6</v>
      </c>
      <c r="AX197" s="1269" t="s">
        <v>919</v>
      </c>
      <c r="AY197" s="1201">
        <v>90</v>
      </c>
      <c r="AZ197" s="1201">
        <v>35</v>
      </c>
      <c r="BA197" s="1201">
        <v>4</v>
      </c>
      <c r="BB197" s="1201">
        <v>0.5</v>
      </c>
      <c r="BC197" s="1201">
        <v>1</v>
      </c>
    </row>
    <row r="198" spans="2:55" s="1201" customFormat="1" ht="15.5" hidden="1" x14ac:dyDescent="0.35">
      <c r="B198" s="1270"/>
      <c r="M198" s="1257"/>
      <c r="N198" s="1257" t="s">
        <v>1219</v>
      </c>
      <c r="O198" s="1257"/>
      <c r="P198" s="429" t="e">
        <f>(P197*1.03)*(0.2534+0.1226*P194+0.0776*P195)</f>
        <v>#DIV/0!</v>
      </c>
      <c r="Q198" s="1257"/>
      <c r="S198" s="2575" t="s">
        <v>1950</v>
      </c>
      <c r="T198" s="2575"/>
      <c r="U198" s="1257" t="s">
        <v>844</v>
      </c>
      <c r="V198" s="1264" t="e">
        <f>SUM(L120:L122)</f>
        <v>#DIV/0!</v>
      </c>
      <c r="W198" s="1257"/>
      <c r="X198" s="1257"/>
      <c r="Y198" s="1257"/>
      <c r="Z198" s="1257"/>
      <c r="AA198" s="1257"/>
      <c r="AB198" s="1257"/>
      <c r="AC198" s="1257"/>
      <c r="AD198" s="1257"/>
      <c r="AE198" s="1257"/>
      <c r="AG198" s="1201" t="s">
        <v>891</v>
      </c>
      <c r="AJ198" s="1201" t="s">
        <v>892</v>
      </c>
      <c r="AP198" s="1201" t="s">
        <v>1216</v>
      </c>
      <c r="AR198" s="1261">
        <f>IF(AG204=2,(AH196/24*AH197/365*IF(Z197=2,0.8,1)),0)</f>
        <v>0</v>
      </c>
      <c r="AT198" s="1201" t="s">
        <v>1393</v>
      </c>
      <c r="AU198" s="1261">
        <f>IF(AL204=1,(AM191/24)*(AM192/365),0)</f>
        <v>0</v>
      </c>
      <c r="AW198" s="1201">
        <v>7</v>
      </c>
      <c r="AX198" s="1263" t="s">
        <v>920</v>
      </c>
      <c r="AY198" s="1201">
        <v>90</v>
      </c>
      <c r="AZ198" s="1201">
        <v>35</v>
      </c>
      <c r="BA198" s="1201">
        <v>5</v>
      </c>
      <c r="BB198" s="1201">
        <v>1</v>
      </c>
      <c r="BC198" s="1201">
        <v>2</v>
      </c>
    </row>
    <row r="199" spans="2:55" s="1201" customFormat="1" ht="15.5" hidden="1" x14ac:dyDescent="0.35">
      <c r="M199" s="1257"/>
      <c r="N199" s="1257" t="s">
        <v>745</v>
      </c>
      <c r="O199" s="1257"/>
      <c r="P199" s="1268" t="e">
        <f>ROUND((P198/D18/D34),1)</f>
        <v>#DIV/0!</v>
      </c>
      <c r="Q199" s="1257"/>
      <c r="R199" s="1257" t="s">
        <v>228</v>
      </c>
      <c r="S199" s="1266">
        <f>IF(C70=S196,1,IF(C70=S197,2,3))</f>
        <v>3</v>
      </c>
      <c r="T199" s="1257"/>
      <c r="U199" s="1257"/>
      <c r="V199" s="1257"/>
      <c r="W199" s="1257"/>
      <c r="AB199" s="1257"/>
      <c r="AC199" s="1257"/>
      <c r="AD199" s="1257"/>
      <c r="AE199" s="1257"/>
      <c r="AP199" s="1201" t="s">
        <v>894</v>
      </c>
      <c r="AR199" s="1261">
        <f>(IF(AG204=2,(AH196/24*AH197/365*IF(Z197=2,0.2,0)),0))</f>
        <v>0</v>
      </c>
      <c r="AW199" s="1201" t="s">
        <v>228</v>
      </c>
      <c r="AX199" s="1201" t="e">
        <f>VLOOKUP($D$14,$AX$192:$BC$198,1,FALSE)</f>
        <v>#N/A</v>
      </c>
      <c r="AY199" s="1201" t="e">
        <f>VLOOKUP($D$14,$AX$192:$BC$198,2,FALSE)</f>
        <v>#N/A</v>
      </c>
      <c r="AZ199" s="1201" t="e">
        <f>VLOOKUP($D$14,$AX$192:$BC$198,3,FALSE)</f>
        <v>#N/A</v>
      </c>
      <c r="BA199" s="1201" t="e">
        <f>VLOOKUP($D$14,$AX$192:$BC$198,4,FALSE)</f>
        <v>#N/A</v>
      </c>
      <c r="BB199" s="1201" t="e">
        <f>VLOOKUP($D$14,$AX$192:$BC$198,5,FALSE)</f>
        <v>#N/A</v>
      </c>
      <c r="BC199" s="1201" t="e">
        <f>VLOOKUP($D$14,$AX$192:$BC$198,6,FALSE)</f>
        <v>#N/A</v>
      </c>
    </row>
    <row r="200" spans="2:55" s="1201" customFormat="1" ht="15.5" hidden="1" x14ac:dyDescent="0.35">
      <c r="B200" s="1201" t="s">
        <v>921</v>
      </c>
      <c r="C200" s="1262">
        <f>D14</f>
        <v>0</v>
      </c>
      <c r="D200" s="1257" t="s">
        <v>922</v>
      </c>
      <c r="E200" s="1201">
        <f>H14</f>
        <v>0</v>
      </c>
      <c r="G200" s="1201" t="s">
        <v>2049</v>
      </c>
      <c r="H200" s="1201" t="s">
        <v>2068</v>
      </c>
      <c r="M200" s="1257"/>
      <c r="N200" s="1257" t="s">
        <v>743</v>
      </c>
      <c r="O200" s="1257"/>
      <c r="P200" s="1268" t="e">
        <f>(P197/D18/D34)</f>
        <v>#DIV/0!</v>
      </c>
      <c r="Q200" s="1257"/>
      <c r="R200" s="1257"/>
      <c r="S200" s="1257"/>
      <c r="T200" s="1257"/>
      <c r="U200" s="1257"/>
      <c r="V200" s="1257"/>
      <c r="W200" s="1257"/>
      <c r="AE200" s="1257"/>
      <c r="AF200" s="1257">
        <v>1</v>
      </c>
      <c r="AG200" s="1201" t="s">
        <v>1242</v>
      </c>
      <c r="AH200" s="1257"/>
      <c r="AI200" s="1257"/>
      <c r="AJ200" s="1201" t="s">
        <v>877</v>
      </c>
      <c r="AK200" s="1201">
        <v>1</v>
      </c>
      <c r="AL200" s="1201" t="s">
        <v>1242</v>
      </c>
      <c r="AP200" s="1260" t="s">
        <v>888</v>
      </c>
      <c r="AR200" s="1261">
        <f>(IF(AG204=3,(AH196/24*AH197/365),0))</f>
        <v>0</v>
      </c>
    </row>
    <row r="201" spans="2:55" s="1201" customFormat="1" ht="15.5" hidden="1" x14ac:dyDescent="0.35">
      <c r="G201" s="892"/>
      <c r="H201" s="892" t="s">
        <v>2069</v>
      </c>
      <c r="M201" s="1257"/>
      <c r="N201" s="1257"/>
      <c r="O201" s="1257"/>
      <c r="P201" s="1257"/>
      <c r="Q201" s="1257"/>
      <c r="R201" s="1257" t="s">
        <v>738</v>
      </c>
      <c r="S201" s="1257" t="s">
        <v>992</v>
      </c>
      <c r="T201" s="1257"/>
      <c r="U201" s="1257"/>
      <c r="V201" s="1257"/>
      <c r="W201" s="1257"/>
      <c r="AE201" s="1257"/>
      <c r="AF201" s="1257">
        <v>2</v>
      </c>
      <c r="AG201" s="1201" t="s">
        <v>930</v>
      </c>
      <c r="AH201" s="1257"/>
      <c r="AI201" s="1257"/>
      <c r="AK201" s="1201">
        <v>2</v>
      </c>
      <c r="AL201" s="1201" t="s">
        <v>930</v>
      </c>
      <c r="AP201" s="1201" t="s">
        <v>1394</v>
      </c>
      <c r="AR201" s="1261">
        <f>IF(AG204=4,(AH196/24*AH197/365),0)</f>
        <v>0</v>
      </c>
      <c r="AW201" s="1201" t="s">
        <v>905</v>
      </c>
      <c r="AY201" s="1271" t="e">
        <f>AY199*AR204</f>
        <v>#N/A</v>
      </c>
      <c r="AZ201" s="1271" t="e">
        <f>AZ199*AR203</f>
        <v>#N/A</v>
      </c>
      <c r="BA201" s="1271" t="e">
        <f>BA199*AR202</f>
        <v>#N/A</v>
      </c>
      <c r="BB201" s="1271" t="e">
        <f>BB199*AR205</f>
        <v>#N/A</v>
      </c>
      <c r="BC201" s="1271" t="e">
        <f>BC199*AR191</f>
        <v>#N/A</v>
      </c>
    </row>
    <row r="202" spans="2:55" s="1201" customFormat="1" ht="15.5" hidden="1" x14ac:dyDescent="0.35">
      <c r="G202" s="892" t="s">
        <v>228</v>
      </c>
      <c r="H202" s="892">
        <f>'Baseline farm'!H204</f>
        <v>2</v>
      </c>
      <c r="M202" s="1257"/>
      <c r="N202" s="1257" t="s">
        <v>813</v>
      </c>
      <c r="O202" s="1257"/>
      <c r="P202" s="1268" t="e">
        <f>((D36*F36)+(D37*F37)+(D38*F38)+(D39*F39)+(D40*F40)+(D41*F41))/D42</f>
        <v>#DIV/0!</v>
      </c>
      <c r="Q202" s="1257"/>
      <c r="R202" s="1257"/>
      <c r="S202" s="1257" t="s">
        <v>993</v>
      </c>
      <c r="T202" s="1257"/>
      <c r="U202" s="1257"/>
      <c r="V202" s="1257"/>
      <c r="W202" s="1257"/>
      <c r="AE202" s="1257"/>
      <c r="AF202" s="1257">
        <v>3</v>
      </c>
      <c r="AG202" s="1257" t="s">
        <v>1243</v>
      </c>
      <c r="AH202" s="1257"/>
      <c r="AI202" s="1257"/>
      <c r="AK202" s="1201">
        <v>3</v>
      </c>
      <c r="AL202" s="1257" t="s">
        <v>1243</v>
      </c>
      <c r="AP202" s="1260" t="s">
        <v>889</v>
      </c>
      <c r="AR202" s="1261">
        <f>AR193+AR197+AR200+AR195+AR199</f>
        <v>0</v>
      </c>
      <c r="AW202" s="1201" t="s">
        <v>899</v>
      </c>
      <c r="AY202" s="1271"/>
      <c r="AZ202" s="1271"/>
      <c r="BA202" s="1271"/>
      <c r="BB202" s="1271"/>
      <c r="BC202" s="1271" t="e">
        <f>SUM(AY201:BC201)</f>
        <v>#N/A</v>
      </c>
    </row>
    <row r="203" spans="2:55" s="1201" customFormat="1" ht="15.5" hidden="1" x14ac:dyDescent="0.35">
      <c r="G203" s="892"/>
      <c r="H203" s="892" t="str">
        <f>IF(H202=1,H200,H201)</f>
        <v xml:space="preserve">Calves sold post-weaning </v>
      </c>
      <c r="M203" s="1257"/>
      <c r="N203" s="1257" t="s">
        <v>814</v>
      </c>
      <c r="O203" s="1257"/>
      <c r="P203" s="1268" t="e">
        <f>((D36*H36)+(D37*H37)+(D38*H38)+(D39*H39)+(D40*H40)+(D41*H41))/D42</f>
        <v>#DIV/0!</v>
      </c>
      <c r="Q203" s="1257"/>
      <c r="R203" s="1257" t="s">
        <v>228</v>
      </c>
      <c r="S203" s="1266" t="str">
        <f>IF(D30=S201,"1","2")</f>
        <v>2</v>
      </c>
      <c r="T203" s="1257"/>
      <c r="U203" s="1257"/>
      <c r="V203" s="1257"/>
      <c r="W203" s="1257"/>
      <c r="AE203" s="1257"/>
      <c r="AF203" s="1257">
        <v>4</v>
      </c>
      <c r="AG203" s="1257" t="s">
        <v>1241</v>
      </c>
      <c r="AH203" s="1257"/>
      <c r="AI203" s="1257"/>
      <c r="AK203" s="1201">
        <v>4</v>
      </c>
      <c r="AL203" s="1257" t="s">
        <v>1241</v>
      </c>
      <c r="AP203" s="1260" t="s">
        <v>1451</v>
      </c>
      <c r="AR203" s="1261">
        <f>(AH191/24)*(AH192/365)*(AH194/100)</f>
        <v>0</v>
      </c>
    </row>
    <row r="204" spans="2:55" s="1201" customFormat="1" ht="15.5" hidden="1" x14ac:dyDescent="0.35">
      <c r="M204" s="1257"/>
      <c r="N204" s="1257" t="s">
        <v>1217</v>
      </c>
      <c r="O204" s="1257"/>
      <c r="P204" s="1268" t="e">
        <f>ROUND((1.185+(0.00454*D20)-(0.0000026*(D20)^2)+((0.315*0)))^2*1.1+((H34*D34/365)*3.054/0.6/(0.00795*P202-0.0014)/18.4),1)</f>
        <v>#DIV/0!</v>
      </c>
      <c r="Q204" s="1257"/>
      <c r="R204" s="1257"/>
      <c r="S204" s="1257"/>
      <c r="T204" s="1257"/>
      <c r="U204" s="1257"/>
      <c r="V204" s="1257"/>
      <c r="W204" s="1257"/>
      <c r="X204" s="1257"/>
      <c r="Y204" s="1257"/>
      <c r="Z204" s="1257"/>
      <c r="AA204" s="1257"/>
      <c r="AE204" s="1257"/>
      <c r="AF204" s="1201" t="s">
        <v>228</v>
      </c>
      <c r="AG204" s="1201">
        <f>IF(F100=AG200,1,IF(F100=AG201,2,IF(F100=AG202,3,4)))</f>
        <v>4</v>
      </c>
      <c r="AH204" s="1257"/>
      <c r="AI204" s="1257"/>
      <c r="AK204" s="1201" t="s">
        <v>228</v>
      </c>
      <c r="AL204" s="1201">
        <f>IF(F105=AL200,1,IF(F105=AL201,2,IF(F105=AL202,3,4)))</f>
        <v>4</v>
      </c>
      <c r="AP204" s="1201" t="s">
        <v>900</v>
      </c>
      <c r="AR204" s="1261">
        <f>AR194+AR198</f>
        <v>0</v>
      </c>
      <c r="AW204" s="1201" t="s">
        <v>906</v>
      </c>
      <c r="AY204" s="1201" t="e">
        <f>AY199*AU194</f>
        <v>#N/A</v>
      </c>
      <c r="AZ204" s="1201" t="e">
        <f>AZ199*AU198</f>
        <v>#N/A</v>
      </c>
      <c r="BA204" s="1201" t="e">
        <f>BA199*AU197</f>
        <v>#N/A</v>
      </c>
      <c r="BB204" s="1201" t="e">
        <f>BB199*AU192</f>
        <v>#N/A</v>
      </c>
      <c r="BC204" s="1201" t="e">
        <f>BC199*AU191</f>
        <v>#N/A</v>
      </c>
    </row>
    <row r="205" spans="2:55" s="1201" customFormat="1" ht="15.5" hidden="1" x14ac:dyDescent="0.35">
      <c r="M205" s="1257"/>
      <c r="N205" s="1257"/>
      <c r="O205" s="1257"/>
      <c r="P205" s="1257"/>
      <c r="Q205" s="1257"/>
      <c r="R205" s="1257"/>
      <c r="S205" s="1257"/>
      <c r="T205" s="1257"/>
      <c r="U205" s="1257"/>
      <c r="V205" s="1257"/>
      <c r="W205" s="1257"/>
      <c r="X205" s="1257"/>
      <c r="Y205" s="1257"/>
      <c r="Z205" s="1257"/>
      <c r="AA205" s="1257"/>
      <c r="AB205" s="1257"/>
      <c r="AC205" s="1257"/>
      <c r="AD205" s="1257"/>
      <c r="AE205" s="1257"/>
      <c r="AP205" s="1201" t="s">
        <v>1395</v>
      </c>
      <c r="AR205" s="1261">
        <f>AR192+AR196</f>
        <v>0</v>
      </c>
      <c r="AW205" s="1201" t="s">
        <v>899</v>
      </c>
      <c r="BC205" s="1271" t="e">
        <f>SUM(AY204:BC204)</f>
        <v>#N/A</v>
      </c>
    </row>
    <row r="206" spans="2:55" s="1201" customFormat="1" ht="17.5" hidden="1" x14ac:dyDescent="0.35">
      <c r="B206" s="1272" t="s">
        <v>639</v>
      </c>
      <c r="D206" s="1257"/>
      <c r="E206" s="1257"/>
      <c r="M206" s="1257"/>
      <c r="N206" s="1257" t="s">
        <v>1913</v>
      </c>
      <c r="O206" s="1257"/>
      <c r="P206" s="1265" t="e">
        <f>K129*1000</f>
        <v>#DIV/0!</v>
      </c>
      <c r="Q206" s="1257"/>
      <c r="R206" s="1257"/>
      <c r="S206" s="1257"/>
      <c r="T206" s="1257"/>
      <c r="U206" s="1257"/>
      <c r="V206" s="1257"/>
      <c r="W206" s="1257"/>
      <c r="X206" s="1257"/>
      <c r="Y206" s="1257"/>
      <c r="Z206" s="1257"/>
      <c r="AA206" s="1257"/>
      <c r="AB206" s="1257"/>
      <c r="AC206" s="1257"/>
      <c r="AD206" s="1257"/>
      <c r="AR206" s="1261"/>
    </row>
    <row r="207" spans="2:55" s="1201" customFormat="1" ht="15.5" hidden="1" x14ac:dyDescent="0.35">
      <c r="M207" s="1257"/>
      <c r="N207" s="1257" t="s">
        <v>1935</v>
      </c>
      <c r="O207" s="1257"/>
      <c r="P207" s="1273" t="e">
        <f>P206/P198</f>
        <v>#DIV/0!</v>
      </c>
      <c r="Q207" s="1257"/>
      <c r="R207" s="1257"/>
      <c r="S207" s="1257"/>
      <c r="T207" s="1257"/>
      <c r="U207" s="1257"/>
      <c r="V207" s="1257"/>
      <c r="W207" s="1257"/>
      <c r="X207" s="1257"/>
      <c r="Y207" s="1257"/>
      <c r="Z207" s="1257"/>
      <c r="AA207" s="1257"/>
      <c r="AB207" s="1257"/>
      <c r="AC207" s="1257"/>
      <c r="AD207" s="1257"/>
      <c r="AE207" s="1257"/>
      <c r="AF207" s="1257"/>
      <c r="AG207" s="1620" t="s">
        <v>225</v>
      </c>
      <c r="AH207" s="1266" t="s">
        <v>1397</v>
      </c>
      <c r="AI207" s="1266" t="s">
        <v>229</v>
      </c>
      <c r="AJ207" s="1266" t="s">
        <v>1389</v>
      </c>
      <c r="AK207" s="1266" t="s">
        <v>1396</v>
      </c>
      <c r="AM207" s="1266"/>
      <c r="AN207" s="1266" t="s">
        <v>899</v>
      </c>
    </row>
    <row r="208" spans="2:55" s="1201" customFormat="1" ht="15.5" hidden="1" x14ac:dyDescent="0.35">
      <c r="B208" s="1096" t="s">
        <v>0</v>
      </c>
      <c r="C208" s="1096" t="s">
        <v>216</v>
      </c>
      <c r="D208" s="1097" t="str">
        <f t="shared" ref="D208:I208" si="9">D16</f>
        <v>Milking Cows</v>
      </c>
      <c r="E208" s="1097" t="str">
        <f t="shared" si="9"/>
        <v>Heifers &gt;1 yr age</v>
      </c>
      <c r="F208" s="1097" t="str">
        <f t="shared" si="9"/>
        <v>Heifers &lt;1 yr age</v>
      </c>
      <c r="G208" s="1097" t="str">
        <f t="shared" si="9"/>
        <v>Mature bulls</v>
      </c>
      <c r="H208" s="1097" t="str">
        <f t="shared" si="9"/>
        <v xml:space="preserve">Other stock &lt; 1 yr age </v>
      </c>
      <c r="I208" s="1097" t="str">
        <f t="shared" si="9"/>
        <v>Other stock &gt; 1 yr age</v>
      </c>
      <c r="J208" s="1097" t="s">
        <v>215</v>
      </c>
      <c r="K208" s="1098" t="s">
        <v>230</v>
      </c>
      <c r="N208" s="1257" t="s">
        <v>928</v>
      </c>
      <c r="O208" s="1257"/>
      <c r="P208" s="1268" t="e">
        <f>P206/P196</f>
        <v>#DIV/0!</v>
      </c>
      <c r="AF208" s="1257">
        <v>1</v>
      </c>
      <c r="AG208" s="1263" t="s">
        <v>912</v>
      </c>
      <c r="AH208" s="1620">
        <v>6</v>
      </c>
      <c r="AI208" s="1620">
        <v>0.5</v>
      </c>
      <c r="AJ208" s="1620">
        <v>0</v>
      </c>
      <c r="AK208" s="1620">
        <v>1.5</v>
      </c>
      <c r="AL208" s="1620">
        <v>92</v>
      </c>
      <c r="AN208" s="1620"/>
      <c r="AO208" s="1620">
        <v>6.5025000000000004</v>
      </c>
    </row>
    <row r="209" spans="2:54" s="1201" customFormat="1" ht="15.5" hidden="1" x14ac:dyDescent="0.35">
      <c r="B209" s="1099"/>
      <c r="C209" s="1099"/>
      <c r="D209" s="1099"/>
      <c r="E209" s="1099"/>
      <c r="F209" s="1099"/>
      <c r="G209" s="1099"/>
      <c r="H209" s="1099"/>
      <c r="I209" s="1099"/>
      <c r="J209" s="1099"/>
      <c r="K209" s="1100"/>
      <c r="AF209" s="1257">
        <v>2</v>
      </c>
      <c r="AG209" s="1263" t="s">
        <v>917</v>
      </c>
      <c r="AH209" s="1620">
        <v>6</v>
      </c>
      <c r="AI209" s="1620">
        <v>0.5</v>
      </c>
      <c r="AJ209" s="1620">
        <v>0</v>
      </c>
      <c r="AK209" s="1620">
        <v>1.5</v>
      </c>
      <c r="AL209" s="1620">
        <v>92</v>
      </c>
      <c r="AN209" s="1620"/>
      <c r="AO209" s="1620">
        <v>6.5025000000000004</v>
      </c>
    </row>
    <row r="210" spans="2:54" s="1201" customFormat="1" ht="15.5" hidden="1" x14ac:dyDescent="0.35">
      <c r="B210" s="1101" t="s">
        <v>231</v>
      </c>
      <c r="C210" s="1099"/>
      <c r="D210" s="1101" t="s">
        <v>816</v>
      </c>
      <c r="E210" s="1101"/>
      <c r="F210" s="1101"/>
      <c r="G210" s="1101"/>
      <c r="H210" s="1099"/>
      <c r="I210" s="1099"/>
      <c r="J210" s="1099"/>
      <c r="K210" s="1102" t="s">
        <v>1398</v>
      </c>
      <c r="N210" s="1257" t="s">
        <v>1933</v>
      </c>
      <c r="O210" s="1257"/>
      <c r="P210" s="1531" t="e">
        <f>P198</f>
        <v>#DIV/0!</v>
      </c>
      <c r="AF210" s="1257">
        <v>3</v>
      </c>
      <c r="AG210" s="1263" t="s">
        <v>866</v>
      </c>
      <c r="AH210" s="1620">
        <v>6</v>
      </c>
      <c r="AI210" s="1620">
        <v>0.5</v>
      </c>
      <c r="AJ210" s="1620">
        <v>0</v>
      </c>
      <c r="AK210" s="1620">
        <v>1.5</v>
      </c>
      <c r="AL210" s="1620">
        <v>92</v>
      </c>
      <c r="AN210" s="1620"/>
      <c r="AO210" s="1620">
        <v>6.5025000000000004</v>
      </c>
    </row>
    <row r="211" spans="2:54" s="1201" customFormat="1" ht="15.5" hidden="1" x14ac:dyDescent="0.35">
      <c r="B211" s="1099"/>
      <c r="C211" s="1099" t="s">
        <v>434</v>
      </c>
      <c r="D211" s="1425" t="e">
        <f>(1.185+(0.00454*D20)-(0.0000026*(D20)^2)+((0.315*D22)))^2*1.1+D215</f>
        <v>#DIV/0!</v>
      </c>
      <c r="E211" s="850">
        <f>(1.185+(0.00454*E20)-(0.0000026*(E20)^2)+((0.315*E22)))^2*1+E215</f>
        <v>1.4042250000000001</v>
      </c>
      <c r="F211" s="850">
        <f>(1.185+(0.00454*F20)-(0.0000026*(F20)^2)+((0.315*F22)))^2*1+F215</f>
        <v>1.4042250000000001</v>
      </c>
      <c r="G211" s="850">
        <f>(1.185+(0.00454*G20)-(0.0000026*(G20)^2)+((0.315*G22)))^2*1+G215</f>
        <v>1.4042250000000001</v>
      </c>
      <c r="H211" s="850">
        <f>(1.185+(0.00454*H20)-(0.0000026*(H20)^2)+((0.315*H22)))^2*1+H215</f>
        <v>1.4042250000000001</v>
      </c>
      <c r="I211" s="850">
        <f>(1.185+(0.00454*I20)-(0.0000026*(I20)^2)+((0.315*I22)))^2*1+I215</f>
        <v>1.4042250000000001</v>
      </c>
      <c r="J211" s="1104" t="s">
        <v>232</v>
      </c>
      <c r="K211" s="1100"/>
      <c r="N211" s="1257" t="s">
        <v>1926</v>
      </c>
      <c r="O211" s="1257"/>
      <c r="P211" s="1620" t="s">
        <v>1927</v>
      </c>
      <c r="Q211" s="1552" t="s">
        <v>1930</v>
      </c>
      <c r="R211" s="1552" t="s">
        <v>1931</v>
      </c>
      <c r="S211" s="1552" t="s">
        <v>1932</v>
      </c>
      <c r="T211" s="1552" t="s">
        <v>1991</v>
      </c>
      <c r="U211" s="1201" t="s">
        <v>1990</v>
      </c>
      <c r="AF211" s="1257">
        <v>4</v>
      </c>
      <c r="AG211" s="1263" t="s">
        <v>914</v>
      </c>
      <c r="AH211" s="1620">
        <v>3</v>
      </c>
      <c r="AI211" s="1620">
        <v>0</v>
      </c>
      <c r="AJ211" s="1620">
        <v>0</v>
      </c>
      <c r="AK211" s="1620">
        <v>7</v>
      </c>
      <c r="AL211" s="1620">
        <v>90</v>
      </c>
      <c r="AN211" s="1620"/>
      <c r="AO211" s="1620">
        <v>4.57</v>
      </c>
    </row>
    <row r="212" spans="2:54" s="1201" customFormat="1" ht="15.5" hidden="1" x14ac:dyDescent="0.35">
      <c r="B212" s="1099"/>
      <c r="C212" s="1099"/>
      <c r="D212" s="1103"/>
      <c r="E212" s="1103"/>
      <c r="F212" s="1103"/>
      <c r="G212" s="1103"/>
      <c r="H212" s="1103"/>
      <c r="I212" s="1103"/>
      <c r="J212" s="1104"/>
      <c r="K212" s="1100"/>
      <c r="N212" s="1257" t="s">
        <v>1927</v>
      </c>
      <c r="O212" s="1257"/>
      <c r="P212" s="1620">
        <f t="shared" ref="P212:U212" si="10">IF(AND(D24&gt;0,D26=""),(D24*D20),(D24*D26))</f>
        <v>0</v>
      </c>
      <c r="Q212" s="1620">
        <f t="shared" si="10"/>
        <v>0</v>
      </c>
      <c r="R212" s="1620">
        <f t="shared" si="10"/>
        <v>0</v>
      </c>
      <c r="S212" s="1620">
        <f t="shared" si="10"/>
        <v>0</v>
      </c>
      <c r="T212" s="1620">
        <f t="shared" si="10"/>
        <v>0</v>
      </c>
      <c r="U212" s="1620">
        <f t="shared" si="10"/>
        <v>0</v>
      </c>
      <c r="AF212" s="1262">
        <v>5</v>
      </c>
      <c r="AG212" s="1263" t="s">
        <v>918</v>
      </c>
      <c r="AH212" s="1620">
        <v>10</v>
      </c>
      <c r="AI212" s="1620">
        <v>0.5</v>
      </c>
      <c r="AJ212" s="1620">
        <v>0</v>
      </c>
      <c r="AK212" s="1620">
        <v>1</v>
      </c>
      <c r="AL212" s="1620">
        <v>88.5</v>
      </c>
      <c r="AN212" s="1620"/>
      <c r="AO212" s="1620">
        <v>10.07</v>
      </c>
    </row>
    <row r="213" spans="2:54" s="1201" customFormat="1" ht="15.5" hidden="1" x14ac:dyDescent="0.35">
      <c r="B213" s="1101" t="s">
        <v>233</v>
      </c>
      <c r="C213" s="1104"/>
      <c r="D213" s="1101" t="s">
        <v>1399</v>
      </c>
      <c r="E213" s="1101"/>
      <c r="F213" s="1099"/>
      <c r="G213" s="1099"/>
      <c r="H213" s="1099"/>
      <c r="I213" s="1099"/>
      <c r="J213" s="1099"/>
      <c r="K213" s="1100"/>
      <c r="N213" s="1257" t="s">
        <v>1934</v>
      </c>
      <c r="O213" s="1257"/>
      <c r="P213" s="1620">
        <f>SUM(P212:U212)</f>
        <v>0</v>
      </c>
      <c r="AF213" s="1257">
        <v>6</v>
      </c>
      <c r="AG213" s="1269" t="s">
        <v>919</v>
      </c>
      <c r="AH213" s="1620">
        <v>2</v>
      </c>
      <c r="AI213" s="1620">
        <v>0</v>
      </c>
      <c r="AJ213" s="1620">
        <v>0</v>
      </c>
      <c r="AK213" s="1620">
        <v>6</v>
      </c>
      <c r="AL213" s="1620">
        <v>92</v>
      </c>
      <c r="AN213" s="1620"/>
      <c r="AO213" s="1620">
        <v>2.75</v>
      </c>
    </row>
    <row r="214" spans="2:54" s="1201" customFormat="1" ht="15.5" hidden="1" x14ac:dyDescent="0.35">
      <c r="B214" s="1099"/>
      <c r="C214" s="1099"/>
      <c r="D214" s="1101" t="s">
        <v>234</v>
      </c>
      <c r="E214" s="1099"/>
      <c r="F214" s="1099"/>
      <c r="G214" s="1099"/>
      <c r="H214" s="1099"/>
      <c r="I214" s="1099"/>
      <c r="J214" s="1099"/>
      <c r="K214" s="1102" t="s">
        <v>1400</v>
      </c>
      <c r="P214" s="1257"/>
      <c r="AF214" s="1257">
        <v>7</v>
      </c>
      <c r="AG214" s="1263" t="s">
        <v>920</v>
      </c>
      <c r="AH214" s="1620">
        <v>3</v>
      </c>
      <c r="AI214" s="1620">
        <v>0</v>
      </c>
      <c r="AJ214" s="1620">
        <v>0</v>
      </c>
      <c r="AK214" s="1620">
        <v>7</v>
      </c>
      <c r="AL214" s="1620">
        <v>90</v>
      </c>
      <c r="AN214" s="1620"/>
      <c r="AO214" s="1620">
        <v>4.57</v>
      </c>
    </row>
    <row r="215" spans="2:54" s="1201" customFormat="1" ht="15.5" hidden="1" x14ac:dyDescent="0.35">
      <c r="B215" s="1099"/>
      <c r="C215" s="1099" t="s">
        <v>434</v>
      </c>
      <c r="D215" s="1205" t="e">
        <f>(P200*D34/365)*3.054/0.6/((0.00795*F42)-0.0014)/18.4</f>
        <v>#DIV/0!</v>
      </c>
      <c r="E215" s="1103">
        <f>0*3.054/0.6/(0.00795*D44-0.0014)/18.4</f>
        <v>0</v>
      </c>
      <c r="F215" s="1103">
        <f>0*3.054/0.6/(0.00795*D45-0.0014)/18.4</f>
        <v>0</v>
      </c>
      <c r="G215" s="1103">
        <f>0*3.054/0.6/(0.00795*D44-0.0014)/18.4</f>
        <v>0</v>
      </c>
      <c r="H215" s="1103">
        <f>0*3.054/0.6/(0.00795*D44-0.0014)/18.4</f>
        <v>0</v>
      </c>
      <c r="I215" s="1103">
        <f>0*3.054/0.6/(0.00795*D44-0.0014)/18.4</f>
        <v>0</v>
      </c>
      <c r="J215" s="1104" t="s">
        <v>232</v>
      </c>
      <c r="K215" s="1100"/>
      <c r="N215" s="1257"/>
      <c r="O215" s="1257"/>
      <c r="P215" s="1533"/>
      <c r="Q215" s="1620"/>
      <c r="R215" s="1620"/>
      <c r="AK215" s="1620"/>
      <c r="AL215" s="1620"/>
      <c r="AM215" s="1620"/>
      <c r="AN215" s="1620"/>
      <c r="AO215" s="1620"/>
    </row>
    <row r="216" spans="2:54" s="1201" customFormat="1" ht="15.5" hidden="1" x14ac:dyDescent="0.35">
      <c r="B216" s="1099"/>
      <c r="C216" s="1099"/>
      <c r="D216" s="1103"/>
      <c r="E216" s="1103"/>
      <c r="F216" s="1103"/>
      <c r="G216" s="1103"/>
      <c r="H216" s="1103"/>
      <c r="I216" s="1103"/>
      <c r="J216" s="1104"/>
      <c r="K216" s="1100"/>
      <c r="N216" s="1257"/>
      <c r="O216" s="1257"/>
      <c r="P216" s="1533"/>
      <c r="Q216" s="1258"/>
      <c r="R216" s="1609"/>
      <c r="AF216" s="1257" t="s">
        <v>902</v>
      </c>
      <c r="AG216" s="1257">
        <f>C200</f>
        <v>0</v>
      </c>
      <c r="AH216" s="1620" t="e">
        <f>VLOOKUP($D$14,$AG$208:$AO$214,2,FALSE)</f>
        <v>#N/A</v>
      </c>
      <c r="AI216" s="1620" t="e">
        <f>VLOOKUP($C$200,$AG$208:$AO$214,3,FALSE)</f>
        <v>#N/A</v>
      </c>
      <c r="AJ216" s="1620" t="e">
        <f>VLOOKUP($C$200,$AG$208:$AO$214,4,FALSE)</f>
        <v>#N/A</v>
      </c>
      <c r="AK216" s="1620" t="e">
        <f>VLOOKUP($C$200,$AG$208:$AO$214,5,FALSE)</f>
        <v>#N/A</v>
      </c>
      <c r="AL216" s="1620" t="e">
        <f>VLOOKUP($C$200,$AG$208:$AO$214,6,FALSE)</f>
        <v>#N/A</v>
      </c>
      <c r="AM216" s="1620"/>
      <c r="AN216" s="1620"/>
      <c r="AO216" s="1620" t="e">
        <f>VLOOKUP($C$200,$AG$208:$AO$214,9,FALSE)</f>
        <v>#N/A</v>
      </c>
    </row>
    <row r="217" spans="2:54" s="1201" customFormat="1" ht="15.5" hidden="1" x14ac:dyDescent="0.35">
      <c r="B217" s="1101" t="s">
        <v>1380</v>
      </c>
      <c r="C217" s="1104"/>
      <c r="D217" s="1105" t="s">
        <v>1381</v>
      </c>
      <c r="E217" s="1099"/>
      <c r="F217" s="1099"/>
      <c r="G217" s="1099"/>
      <c r="H217" s="1099"/>
      <c r="I217" s="1099"/>
      <c r="J217" s="1099"/>
      <c r="K217" s="1102" t="s">
        <v>1382</v>
      </c>
      <c r="N217" s="1257"/>
      <c r="O217" s="1257"/>
      <c r="P217" s="1257"/>
      <c r="Q217" s="1257"/>
      <c r="R217" s="1257"/>
      <c r="AF217" s="1257" t="s">
        <v>904</v>
      </c>
      <c r="AG217" s="1257"/>
      <c r="AH217" s="1258">
        <f>AR204*100</f>
        <v>0</v>
      </c>
      <c r="AI217" s="1258">
        <f>AR203*100</f>
        <v>0</v>
      </c>
      <c r="AJ217" s="1258">
        <f>AR202*100</f>
        <v>0</v>
      </c>
      <c r="AK217" s="1258">
        <f>AR205*100</f>
        <v>0</v>
      </c>
      <c r="AL217" s="1258">
        <f>AR191*100</f>
        <v>100</v>
      </c>
      <c r="AM217" s="1258"/>
      <c r="AN217" s="1620"/>
      <c r="AO217" s="1258" t="e">
        <f>BC202</f>
        <v>#N/A</v>
      </c>
    </row>
    <row r="218" spans="2:54" s="1201" customFormat="1" ht="15.5" hidden="1" x14ac:dyDescent="0.35">
      <c r="B218" s="1099"/>
      <c r="C218" s="1099" t="s">
        <v>434</v>
      </c>
      <c r="D218" s="1103" t="e">
        <f t="shared" ref="D218:I218" si="11">D211*18.4</f>
        <v>#DIV/0!</v>
      </c>
      <c r="E218" s="1103">
        <f t="shared" si="11"/>
        <v>25.83774</v>
      </c>
      <c r="F218" s="1103">
        <f t="shared" si="11"/>
        <v>25.83774</v>
      </c>
      <c r="G218" s="1103">
        <f t="shared" si="11"/>
        <v>25.83774</v>
      </c>
      <c r="H218" s="1103">
        <f t="shared" si="11"/>
        <v>25.83774</v>
      </c>
      <c r="I218" s="1103">
        <f t="shared" si="11"/>
        <v>25.83774</v>
      </c>
      <c r="J218" s="1104" t="s">
        <v>1383</v>
      </c>
      <c r="K218" s="1100"/>
      <c r="AF218" s="1201" t="s">
        <v>903</v>
      </c>
      <c r="AH218" s="1258" t="e">
        <f>IF($AC$192=1,AH216,AH217)</f>
        <v>#N/A</v>
      </c>
      <c r="AI218" s="1258" t="e">
        <f>IF($AC$192=1,AI216,AI217)</f>
        <v>#N/A</v>
      </c>
      <c r="AJ218" s="1258" t="e">
        <f>IF($AC$192=1,AJ216,AJ217)</f>
        <v>#N/A</v>
      </c>
      <c r="AK218" s="1258" t="e">
        <f>IF($AC$192=1,AK216,AK217)</f>
        <v>#N/A</v>
      </c>
      <c r="AL218" s="1258" t="e">
        <f>IF($AC$192=1,AL216,AL217)</f>
        <v>#N/A</v>
      </c>
      <c r="AM218" s="1258"/>
      <c r="AN218" s="1258"/>
      <c r="AO218" s="1258" t="e">
        <f>IF($AC$192=1,AO216,AO217)</f>
        <v>#N/A</v>
      </c>
    </row>
    <row r="219" spans="2:54" s="1201" customFormat="1" ht="15.5" hidden="1" x14ac:dyDescent="0.35">
      <c r="B219" s="1099"/>
      <c r="C219" s="1099"/>
      <c r="D219" s="1103"/>
      <c r="E219" s="1103"/>
      <c r="F219" s="1103"/>
      <c r="G219" s="1103"/>
      <c r="H219" s="1103"/>
      <c r="I219" s="1103"/>
      <c r="J219" s="1104"/>
      <c r="K219" s="1100"/>
      <c r="N219" s="1257"/>
      <c r="O219" s="1257"/>
      <c r="P219" s="1265"/>
      <c r="AF219" s="1257" t="s">
        <v>902</v>
      </c>
      <c r="AH219" s="1620">
        <v>0</v>
      </c>
      <c r="AI219" s="1620">
        <v>0</v>
      </c>
      <c r="AJ219" s="1620">
        <v>0</v>
      </c>
      <c r="AK219" s="1620">
        <v>0</v>
      </c>
      <c r="AL219" s="1620">
        <v>100</v>
      </c>
      <c r="AM219" s="1620"/>
      <c r="AN219" s="1620"/>
      <c r="AO219" s="1620">
        <f>IF(OR(D14="Queensland",D14="Northern.Territory"),2,1)</f>
        <v>1</v>
      </c>
    </row>
    <row r="220" spans="2:54" s="1201" customFormat="1" ht="15.5" hidden="1" x14ac:dyDescent="0.35">
      <c r="B220" s="1101" t="s">
        <v>6</v>
      </c>
      <c r="C220" s="1104"/>
      <c r="D220" s="1101" t="s">
        <v>235</v>
      </c>
      <c r="E220" s="1104"/>
      <c r="F220" s="1104"/>
      <c r="G220" s="1104"/>
      <c r="H220" s="1099"/>
      <c r="I220" s="1099"/>
      <c r="J220" s="1099"/>
      <c r="K220" s="1102" t="s">
        <v>1384</v>
      </c>
      <c r="N220" s="1257"/>
      <c r="O220" s="1257"/>
      <c r="P220" s="1533"/>
      <c r="AF220" s="1201" t="s">
        <v>907</v>
      </c>
      <c r="AH220" s="1258">
        <f>AU194*100</f>
        <v>0</v>
      </c>
      <c r="AI220" s="1258">
        <f>AU198*100</f>
        <v>0</v>
      </c>
      <c r="AJ220" s="1258">
        <f>AU197*100</f>
        <v>0</v>
      </c>
      <c r="AK220" s="1258">
        <f>AU192*100</f>
        <v>0</v>
      </c>
      <c r="AL220" s="1258">
        <f>AU191*100</f>
        <v>100</v>
      </c>
      <c r="AM220" s="1258"/>
      <c r="AN220" s="1620"/>
      <c r="AO220" s="1274" t="e">
        <f>BC205</f>
        <v>#N/A</v>
      </c>
    </row>
    <row r="221" spans="2:54" s="1201" customFormat="1" ht="15.5" hidden="1" x14ac:dyDescent="0.35">
      <c r="B221" s="1099"/>
      <c r="C221" s="1099" t="s">
        <v>434</v>
      </c>
      <c r="D221" s="1103" t="e">
        <f t="shared" ref="D221:I221" si="12">D211/(1.185+(0.00454*D20)-(0.0000026*(D20)^2)+((0.315*0)))^2</f>
        <v>#DIV/0!</v>
      </c>
      <c r="E221" s="1103">
        <f t="shared" si="12"/>
        <v>1</v>
      </c>
      <c r="F221" s="1103">
        <f t="shared" si="12"/>
        <v>1</v>
      </c>
      <c r="G221" s="1103">
        <f t="shared" si="12"/>
        <v>1</v>
      </c>
      <c r="H221" s="1103">
        <f t="shared" si="12"/>
        <v>1</v>
      </c>
      <c r="I221" s="1103">
        <f t="shared" si="12"/>
        <v>1</v>
      </c>
      <c r="J221" s="1104" t="s">
        <v>232</v>
      </c>
      <c r="K221" s="1100"/>
      <c r="N221" s="1257"/>
      <c r="O221" s="1257"/>
      <c r="P221" s="1533"/>
      <c r="AF221" s="1257" t="s">
        <v>908</v>
      </c>
      <c r="AH221" s="1258">
        <f>IF($AC$192=1,AH219,AH220)</f>
        <v>0</v>
      </c>
      <c r="AI221" s="1258">
        <f>IF($AC$192=1,AI219,AI220)</f>
        <v>0</v>
      </c>
      <c r="AJ221" s="1258">
        <f>IF($AC$192=1,AJ219,AJ220)</f>
        <v>0</v>
      </c>
      <c r="AK221" s="1258">
        <f>IF($AC$192=1,AK219,AK220)</f>
        <v>0</v>
      </c>
      <c r="AL221" s="1258">
        <f>IF($AC$192=1,AL219,AL220)</f>
        <v>100</v>
      </c>
      <c r="AM221" s="1258"/>
      <c r="AN221" s="1258"/>
      <c r="AO221" s="1258">
        <f>IF($AC$192=1,AO219,AO220)</f>
        <v>1</v>
      </c>
    </row>
    <row r="222" spans="2:54" s="1201" customFormat="1" ht="15.5" hidden="1" x14ac:dyDescent="0.35">
      <c r="B222" s="1099"/>
      <c r="C222" s="1099"/>
      <c r="D222" s="1103"/>
      <c r="E222" s="1103"/>
      <c r="F222" s="1103"/>
      <c r="G222" s="1103"/>
      <c r="H222" s="1103"/>
      <c r="I222" s="1103"/>
      <c r="J222" s="1104"/>
      <c r="K222" s="1100"/>
      <c r="N222" s="1257"/>
      <c r="O222" s="1257"/>
      <c r="P222" s="1533"/>
      <c r="AF222" s="1257"/>
      <c r="AG222" s="1257"/>
      <c r="AH222" s="1257"/>
      <c r="AI222" s="1257"/>
      <c r="AJ222" s="1257"/>
      <c r="AK222" s="1257"/>
      <c r="AL222" s="1257"/>
      <c r="AM222" s="1257"/>
      <c r="AN222" s="1257"/>
    </row>
    <row r="223" spans="2:54" s="1201" customFormat="1" ht="15.5" hidden="1" x14ac:dyDescent="0.35">
      <c r="B223" s="1101" t="s">
        <v>1385</v>
      </c>
      <c r="C223" s="1104"/>
      <c r="D223" s="1101" t="s">
        <v>1386</v>
      </c>
      <c r="E223" s="1104"/>
      <c r="F223" s="1104"/>
      <c r="G223" s="1099"/>
      <c r="H223" s="1099"/>
      <c r="I223" s="1099"/>
      <c r="J223" s="1099"/>
      <c r="K223" s="1102" t="s">
        <v>1387</v>
      </c>
      <c r="N223" s="1257"/>
      <c r="O223" s="1257"/>
      <c r="P223" s="1257"/>
      <c r="AT223" s="1257"/>
      <c r="AU223" s="1257"/>
      <c r="AV223" s="1257"/>
      <c r="AW223" s="1257"/>
      <c r="AX223" s="1257"/>
      <c r="AY223" s="1257"/>
      <c r="AZ223" s="1257"/>
      <c r="BA223" s="1257"/>
      <c r="BB223" s="1257"/>
    </row>
    <row r="224" spans="2:54" s="1201" customFormat="1" ht="15.5" hidden="1" x14ac:dyDescent="0.35">
      <c r="B224" s="1099"/>
      <c r="C224" s="1099" t="s">
        <v>434</v>
      </c>
      <c r="D224" s="1103" t="e">
        <f>1.3+(0.112*F42)+D221*(2.37-(0.05*F42))</f>
        <v>#DIV/0!</v>
      </c>
      <c r="E224" s="1103">
        <f>1.3+(0.112*D44)+E221*(2.37-(0.05*D44))</f>
        <v>3.67</v>
      </c>
      <c r="F224" s="1103">
        <f>1.3+(0.112*D44)+F221*(2.37-(0.05*D44))</f>
        <v>3.67</v>
      </c>
      <c r="G224" s="1103">
        <f>1.3+(0.112*D44)+G221*(2.37-(0.05*D44))</f>
        <v>3.67</v>
      </c>
      <c r="H224" s="1103">
        <f>1.3+(0.112*D44)+H221*(2.37-(0.05*D44))</f>
        <v>3.67</v>
      </c>
      <c r="I224" s="1103">
        <f>1.3+(0.112*D44)+I221*(2.37-(0.05*D44))</f>
        <v>3.67</v>
      </c>
      <c r="J224" s="1099" t="s">
        <v>222</v>
      </c>
      <c r="K224" s="1100"/>
      <c r="N224" s="1257" t="s">
        <v>2066</v>
      </c>
      <c r="O224" s="1257"/>
      <c r="P224" s="1257"/>
      <c r="Q224" s="1257"/>
      <c r="R224" s="1257"/>
      <c r="S224" s="1257"/>
      <c r="T224" s="1257"/>
      <c r="U224" s="1257"/>
    </row>
    <row r="225" spans="2:22" s="1201" customFormat="1" ht="15.5" hidden="1" x14ac:dyDescent="0.35">
      <c r="B225" s="1099"/>
      <c r="C225" s="1099"/>
      <c r="D225" s="1103"/>
      <c r="E225" s="1103"/>
      <c r="F225" s="1103"/>
      <c r="G225" s="1103"/>
      <c r="H225" s="1103"/>
      <c r="I225" s="1103"/>
      <c r="J225" s="1099"/>
      <c r="K225" s="1100"/>
      <c r="N225" s="1257"/>
      <c r="O225" s="1257"/>
      <c r="P225" s="1257"/>
      <c r="Q225" s="1553"/>
      <c r="R225" s="1257"/>
      <c r="S225" s="1257"/>
      <c r="T225" s="1257"/>
      <c r="U225" s="1257"/>
    </row>
    <row r="226" spans="2:22" s="1201" customFormat="1" ht="15.5" hidden="1" x14ac:dyDescent="0.35">
      <c r="B226" s="1101" t="s">
        <v>236</v>
      </c>
      <c r="C226" s="1099"/>
      <c r="D226" s="1101" t="s">
        <v>1401</v>
      </c>
      <c r="E226" s="1104"/>
      <c r="F226" s="1099"/>
      <c r="G226" s="1099"/>
      <c r="H226" s="1099"/>
      <c r="I226" s="1099"/>
      <c r="J226" s="1099"/>
      <c r="K226" s="1102" t="s">
        <v>1402</v>
      </c>
      <c r="N226" s="525" t="s">
        <v>2050</v>
      </c>
      <c r="O226" s="1657">
        <f>D24*D26+G24*G26</f>
        <v>0</v>
      </c>
      <c r="P226" s="525"/>
      <c r="Q226" s="525"/>
      <c r="R226" s="525"/>
      <c r="S226" s="525"/>
      <c r="T226" s="525"/>
      <c r="U226" s="525"/>
    </row>
    <row r="227" spans="2:22" s="1201" customFormat="1" ht="15.5" hidden="1" x14ac:dyDescent="0.35">
      <c r="B227" s="1099"/>
      <c r="C227" s="1099"/>
      <c r="D227" s="1101" t="s">
        <v>1403</v>
      </c>
      <c r="E227" s="1104"/>
      <c r="F227" s="1104"/>
      <c r="G227" s="1099"/>
      <c r="H227" s="1099"/>
      <c r="I227" s="1099"/>
      <c r="J227" s="1099"/>
      <c r="K227" s="1100"/>
      <c r="N227" s="525" t="s">
        <v>2012</v>
      </c>
      <c r="O227" s="1657">
        <f>IF(H202=1,J24*J26,0)</f>
        <v>0</v>
      </c>
      <c r="P227" s="525"/>
      <c r="Q227" s="525"/>
      <c r="R227" s="525"/>
      <c r="S227" s="525"/>
      <c r="T227" s="525"/>
      <c r="U227" s="525"/>
    </row>
    <row r="228" spans="2:22" s="1201" customFormat="1" ht="15.5" hidden="1" x14ac:dyDescent="0.35">
      <c r="B228" s="1099"/>
      <c r="C228" s="1099" t="s">
        <v>434</v>
      </c>
      <c r="D228" s="850" t="e">
        <f t="shared" ref="D228:I228" si="13">D224/100*D218/55.22</f>
        <v>#DIV/0!</v>
      </c>
      <c r="E228" s="850">
        <f t="shared" si="13"/>
        <v>1.7172130713509596E-2</v>
      </c>
      <c r="F228" s="850">
        <f t="shared" si="13"/>
        <v>1.7172130713509596E-2</v>
      </c>
      <c r="G228" s="850">
        <f t="shared" si="13"/>
        <v>1.7172130713509596E-2</v>
      </c>
      <c r="H228" s="850">
        <f t="shared" si="13"/>
        <v>1.7172130713509596E-2</v>
      </c>
      <c r="I228" s="850">
        <f t="shared" si="13"/>
        <v>1.7172130713509596E-2</v>
      </c>
      <c r="J228" s="1104" t="s">
        <v>237</v>
      </c>
      <c r="K228" s="1100"/>
      <c r="N228" s="525" t="s">
        <v>2013</v>
      </c>
      <c r="O228" s="1657">
        <f>IF(H202=2,J24*J26,0)</f>
        <v>0</v>
      </c>
      <c r="P228" s="525"/>
      <c r="Q228" s="525"/>
      <c r="R228" s="525"/>
      <c r="S228" s="525"/>
      <c r="T228" s="525"/>
      <c r="U228" s="525"/>
    </row>
    <row r="229" spans="2:22" s="1201" customFormat="1" ht="15.5" hidden="1" x14ac:dyDescent="0.35">
      <c r="B229" s="1099"/>
      <c r="C229" s="1099"/>
      <c r="D229" s="1099"/>
      <c r="E229" s="1099"/>
      <c r="F229" s="1099"/>
      <c r="G229" s="1099"/>
      <c r="H229" s="1099"/>
      <c r="I229" s="1099"/>
      <c r="J229" s="1099"/>
      <c r="K229" s="1100"/>
      <c r="N229" s="525" t="s">
        <v>2014</v>
      </c>
      <c r="O229" s="1657">
        <f>SUMPRODUCT(E24:F24,E26:F26)</f>
        <v>0</v>
      </c>
      <c r="P229" s="525"/>
      <c r="Q229" s="525"/>
      <c r="R229" s="525"/>
      <c r="S229" s="525"/>
      <c r="T229" s="525"/>
      <c r="U229" s="525"/>
    </row>
    <row r="230" spans="2:22" s="1201" customFormat="1" ht="15.5" hidden="1" x14ac:dyDescent="0.35">
      <c r="B230" s="1107" t="s">
        <v>238</v>
      </c>
      <c r="C230" s="1099"/>
      <c r="D230" s="1099"/>
      <c r="E230" s="1099"/>
      <c r="F230" s="1099"/>
      <c r="G230" s="1099"/>
      <c r="H230" s="1099"/>
      <c r="I230" s="1099"/>
      <c r="J230" s="1099"/>
      <c r="K230" s="1100"/>
      <c r="N230" s="525" t="s">
        <v>2015</v>
      </c>
      <c r="O230" s="1657">
        <f>SUMPRODUCT(H24:I24,H26:I26)</f>
        <v>0</v>
      </c>
      <c r="P230" s="525"/>
      <c r="Q230" s="525"/>
      <c r="R230" s="525"/>
      <c r="S230" s="525"/>
      <c r="T230" s="525"/>
      <c r="U230" s="525"/>
    </row>
    <row r="231" spans="2:22" s="1201" customFormat="1" ht="15.5" hidden="1" x14ac:dyDescent="0.35">
      <c r="B231" s="1099"/>
      <c r="C231" s="1099"/>
      <c r="D231" s="1108" t="s">
        <v>1404</v>
      </c>
      <c r="E231" s="1099"/>
      <c r="F231" s="1099"/>
      <c r="G231" s="1099"/>
      <c r="H231" s="1099"/>
      <c r="I231" s="1099"/>
      <c r="J231" s="1099"/>
      <c r="K231" s="1102" t="s">
        <v>239</v>
      </c>
      <c r="N231" s="525" t="s">
        <v>2016</v>
      </c>
      <c r="O231" s="1657">
        <f>SUM(O226:O230)</f>
        <v>0</v>
      </c>
      <c r="P231" s="525"/>
      <c r="Q231" s="525"/>
      <c r="R231" s="525"/>
      <c r="S231" s="525"/>
      <c r="T231" s="525"/>
      <c r="U231" s="525"/>
    </row>
    <row r="232" spans="2:22" s="1201" customFormat="1" ht="15.5" hidden="1" x14ac:dyDescent="0.35">
      <c r="B232" s="1099"/>
      <c r="C232" s="1099"/>
      <c r="D232" s="1099"/>
      <c r="E232" s="1099"/>
      <c r="F232" s="1099"/>
      <c r="G232" s="1099"/>
      <c r="H232" s="1099"/>
      <c r="I232" s="1099"/>
      <c r="J232" s="1099"/>
      <c r="K232" s="1100"/>
      <c r="N232" s="525"/>
      <c r="O232" s="1657"/>
      <c r="P232" s="525"/>
      <c r="Q232" s="525"/>
      <c r="R232" s="525"/>
      <c r="S232" s="525"/>
      <c r="T232" s="525"/>
      <c r="U232" s="525"/>
    </row>
    <row r="233" spans="2:22" s="1201" customFormat="1" ht="15.5" hidden="1" x14ac:dyDescent="0.35">
      <c r="B233" s="1099"/>
      <c r="C233" s="1099" t="s">
        <v>434</v>
      </c>
      <c r="D233" s="1109" t="e">
        <f t="shared" ref="D233:I233" si="14">(365*D18*D228)*10^-6</f>
        <v>#DIV/0!</v>
      </c>
      <c r="E233" s="1109">
        <f t="shared" si="14"/>
        <v>0</v>
      </c>
      <c r="F233" s="1109">
        <f t="shared" si="14"/>
        <v>0</v>
      </c>
      <c r="G233" s="1109">
        <f t="shared" si="14"/>
        <v>0</v>
      </c>
      <c r="H233" s="1109">
        <f t="shared" si="14"/>
        <v>0</v>
      </c>
      <c r="I233" s="1109">
        <f t="shared" si="14"/>
        <v>0</v>
      </c>
      <c r="J233" s="1099" t="s">
        <v>435</v>
      </c>
      <c r="K233" s="1100"/>
      <c r="N233" s="525"/>
      <c r="O233" s="1658" t="s">
        <v>2017</v>
      </c>
      <c r="P233" s="1659" t="s">
        <v>2018</v>
      </c>
      <c r="Q233" s="1660" t="s">
        <v>2019</v>
      </c>
      <c r="R233" s="1658" t="s">
        <v>2020</v>
      </c>
      <c r="S233" s="1660" t="s">
        <v>2021</v>
      </c>
      <c r="T233" s="525"/>
      <c r="U233" s="525"/>
    </row>
    <row r="234" spans="2:22" s="1201" customFormat="1" ht="15.5" hidden="1" x14ac:dyDescent="0.35">
      <c r="B234" s="1099"/>
      <c r="C234" s="1099"/>
      <c r="D234" s="1099"/>
      <c r="E234" s="1099"/>
      <c r="F234" s="1099"/>
      <c r="G234" s="1099"/>
      <c r="H234" s="1099"/>
      <c r="I234" s="1099"/>
      <c r="J234" s="1099"/>
      <c r="K234" s="1100"/>
      <c r="N234" s="525" t="s">
        <v>2022</v>
      </c>
      <c r="O234" s="1661">
        <v>15</v>
      </c>
      <c r="P234" s="1657">
        <f>O226*O234</f>
        <v>0</v>
      </c>
      <c r="Q234" s="1662" t="e">
        <f>P234/$P$239</f>
        <v>#DIV/0!</v>
      </c>
      <c r="R234" s="1657">
        <f>O226*O234</f>
        <v>0</v>
      </c>
      <c r="S234" s="1662" t="e">
        <f>R234/$R$239</f>
        <v>#DIV/0!</v>
      </c>
      <c r="T234" s="1700"/>
      <c r="U234" s="1700"/>
      <c r="V234" s="1700"/>
    </row>
    <row r="235" spans="2:22" s="1201" customFormat="1" ht="15.5" hidden="1" x14ac:dyDescent="0.35">
      <c r="B235" s="1107" t="s">
        <v>240</v>
      </c>
      <c r="C235" s="1355" t="e">
        <f>SUM(D233:I233)</f>
        <v>#DIV/0!</v>
      </c>
      <c r="D235" s="1110"/>
      <c r="E235" s="1110"/>
      <c r="F235" s="1110"/>
      <c r="G235" s="1110"/>
      <c r="H235" s="1110"/>
      <c r="I235" s="1110"/>
      <c r="J235" s="1111" t="s">
        <v>241</v>
      </c>
      <c r="K235" s="1100"/>
      <c r="N235" s="525" t="s">
        <v>2023</v>
      </c>
      <c r="O235" s="1661">
        <v>27.5</v>
      </c>
      <c r="P235" s="1657">
        <f>O227*O235</f>
        <v>0</v>
      </c>
      <c r="Q235" s="1662" t="e">
        <f>P235/$P$239</f>
        <v>#DIV/0!</v>
      </c>
      <c r="R235" s="1657">
        <f>O227*O235</f>
        <v>0</v>
      </c>
      <c r="S235" s="1662" t="e">
        <f>R235/$R$239</f>
        <v>#DIV/0!</v>
      </c>
      <c r="T235" s="1700"/>
      <c r="U235" s="1700"/>
      <c r="V235" s="1700"/>
    </row>
    <row r="236" spans="2:22" s="1201" customFormat="1" ht="15.5" hidden="1" x14ac:dyDescent="0.35">
      <c r="B236" s="1107" t="s">
        <v>242</v>
      </c>
      <c r="C236" s="1355" t="e">
        <f>C235*21</f>
        <v>#DIV/0!</v>
      </c>
      <c r="D236" s="1110"/>
      <c r="E236" s="1110"/>
      <c r="F236" s="1110"/>
      <c r="G236" s="1110"/>
      <c r="H236" s="1110"/>
      <c r="I236" s="1110"/>
      <c r="J236" s="1111" t="s">
        <v>243</v>
      </c>
      <c r="K236" s="1100"/>
      <c r="N236" s="525" t="s">
        <v>2024</v>
      </c>
      <c r="O236" s="1661">
        <v>15</v>
      </c>
      <c r="P236" s="1657">
        <f>O228*O236</f>
        <v>0</v>
      </c>
      <c r="Q236" s="1662" t="e">
        <f>P236/$P$239</f>
        <v>#DIV/0!</v>
      </c>
      <c r="R236" s="1657">
        <f>O228*O236</f>
        <v>0</v>
      </c>
      <c r="S236" s="1662" t="e">
        <f>R236/$R$239</f>
        <v>#DIV/0!</v>
      </c>
      <c r="T236" s="1700"/>
      <c r="U236" s="1700"/>
      <c r="V236" s="1700"/>
    </row>
    <row r="237" spans="2:22" s="1201" customFormat="1" ht="15.5" hidden="1" x14ac:dyDescent="0.35">
      <c r="B237" s="1289" t="s">
        <v>242</v>
      </c>
      <c r="C237" s="1290" t="e">
        <f>C236*10^3</f>
        <v>#DIV/0!</v>
      </c>
      <c r="D237" s="1291"/>
      <c r="E237" s="1291"/>
      <c r="F237" s="1291"/>
      <c r="G237" s="1291"/>
      <c r="H237" s="1291"/>
      <c r="I237" s="1585"/>
      <c r="J237" s="1292" t="s">
        <v>244</v>
      </c>
      <c r="K237" s="1293"/>
      <c r="N237" s="525" t="s">
        <v>2025</v>
      </c>
      <c r="O237" s="1661">
        <v>11</v>
      </c>
      <c r="P237" s="1657">
        <f>O229*O237</f>
        <v>0</v>
      </c>
      <c r="Q237" s="1662" t="e">
        <f>P237/$P$239</f>
        <v>#DIV/0!</v>
      </c>
      <c r="R237" s="1657">
        <f>O229*O237</f>
        <v>0</v>
      </c>
      <c r="S237" s="1662" t="e">
        <f>R237/$R$239</f>
        <v>#DIV/0!</v>
      </c>
      <c r="T237" s="1700"/>
      <c r="U237" s="1700"/>
      <c r="V237" s="1700"/>
    </row>
    <row r="238" spans="2:22" s="1201" customFormat="1" ht="15.5" hidden="1" x14ac:dyDescent="0.35">
      <c r="N238" s="1663" t="s">
        <v>2026</v>
      </c>
      <c r="O238" s="1664">
        <v>11</v>
      </c>
      <c r="P238" s="1665"/>
      <c r="Q238" s="1662" t="e">
        <f>P238/$P$239</f>
        <v>#DIV/0!</v>
      </c>
      <c r="R238" s="1665">
        <f>O230*O238</f>
        <v>0</v>
      </c>
      <c r="S238" s="1662" t="e">
        <f>R238/$R$239</f>
        <v>#DIV/0!</v>
      </c>
      <c r="T238" s="525"/>
      <c r="U238" s="525"/>
    </row>
    <row r="239" spans="2:22" s="1201" customFormat="1" ht="15.5" hidden="1" x14ac:dyDescent="0.35">
      <c r="B239" s="1112" t="s">
        <v>421</v>
      </c>
      <c r="C239" s="1112"/>
      <c r="D239" s="1113" t="str">
        <f t="shared" ref="D239:I239" si="15">D16</f>
        <v>Milking Cows</v>
      </c>
      <c r="E239" s="1113" t="str">
        <f t="shared" si="15"/>
        <v>Heifers &gt;1 yr age</v>
      </c>
      <c r="F239" s="1113" t="str">
        <f t="shared" si="15"/>
        <v>Heifers &lt;1 yr age</v>
      </c>
      <c r="G239" s="1113" t="str">
        <f t="shared" si="15"/>
        <v>Mature bulls</v>
      </c>
      <c r="H239" s="1113" t="str">
        <f t="shared" si="15"/>
        <v xml:space="preserve">Other stock &lt; 1 yr age </v>
      </c>
      <c r="I239" s="1113" t="str">
        <f t="shared" si="15"/>
        <v>Other stock &gt; 1 yr age</v>
      </c>
      <c r="J239" s="1113" t="s">
        <v>1957</v>
      </c>
      <c r="K239" s="1114" t="s">
        <v>230</v>
      </c>
      <c r="N239" s="1681" t="s">
        <v>2027</v>
      </c>
      <c r="O239" s="1682"/>
      <c r="P239" s="1683">
        <f>SUM(P234:P238)</f>
        <v>0</v>
      </c>
      <c r="Q239" s="1680" t="e">
        <f>SUM(Q234:Q238)</f>
        <v>#DIV/0!</v>
      </c>
      <c r="R239" s="1683">
        <f>SUM(R234:R238)</f>
        <v>0</v>
      </c>
      <c r="S239" s="1680" t="e">
        <f>SUM(S234:S238)</f>
        <v>#DIV/0!</v>
      </c>
      <c r="T239" s="525"/>
      <c r="U239" s="525"/>
    </row>
    <row r="240" spans="2:22" s="1201" customFormat="1" ht="15.5" hidden="1" x14ac:dyDescent="0.35">
      <c r="B240" s="1115" t="s">
        <v>246</v>
      </c>
      <c r="C240" s="1116">
        <v>0.08</v>
      </c>
      <c r="D240" s="1117"/>
      <c r="E240" s="1116"/>
      <c r="F240" s="1116"/>
      <c r="G240" s="1116"/>
      <c r="H240" s="1116"/>
      <c r="I240" s="1116"/>
      <c r="J240" s="1116" t="s">
        <v>247</v>
      </c>
      <c r="K240" s="1118"/>
      <c r="N240" s="525"/>
      <c r="O240" s="525"/>
      <c r="P240" s="1657"/>
      <c r="Q240" s="525"/>
      <c r="R240" s="525"/>
      <c r="S240" s="525"/>
      <c r="T240" s="525"/>
      <c r="U240" s="525"/>
    </row>
    <row r="241" spans="2:21" s="1201" customFormat="1" ht="15.5" hidden="1" x14ac:dyDescent="0.35">
      <c r="B241" s="1115" t="s">
        <v>248</v>
      </c>
      <c r="C241" s="1116">
        <v>0.24</v>
      </c>
      <c r="D241" s="1117"/>
      <c r="E241" s="1116"/>
      <c r="F241" s="1116"/>
      <c r="G241" s="1116"/>
      <c r="H241" s="1116"/>
      <c r="I241" s="1116"/>
      <c r="J241" s="1116" t="s">
        <v>249</v>
      </c>
      <c r="K241" s="1118"/>
      <c r="N241" s="525" t="s">
        <v>2028</v>
      </c>
      <c r="O241" s="1661">
        <v>3.1</v>
      </c>
      <c r="P241" s="1657" t="e">
        <f>P198*O241</f>
        <v>#DIV/0!</v>
      </c>
      <c r="Q241" s="525"/>
      <c r="R241" s="1657" t="e">
        <f>P241</f>
        <v>#DIV/0!</v>
      </c>
      <c r="S241" s="525"/>
      <c r="T241" s="525"/>
      <c r="U241" s="1668"/>
    </row>
    <row r="242" spans="2:21" s="1201" customFormat="1" ht="15.5" hidden="1" x14ac:dyDescent="0.35">
      <c r="B242" s="1294" t="s">
        <v>250</v>
      </c>
      <c r="C242" s="1295">
        <v>0.66200000000000003</v>
      </c>
      <c r="D242" s="1296"/>
      <c r="E242" s="1295"/>
      <c r="F242" s="1295"/>
      <c r="G242" s="1295"/>
      <c r="H242" s="1295"/>
      <c r="I242" s="1582"/>
      <c r="J242" s="1295" t="s">
        <v>251</v>
      </c>
      <c r="K242" s="1297"/>
      <c r="N242" s="525"/>
      <c r="O242" s="525"/>
      <c r="P242" s="1657"/>
      <c r="Q242" s="525"/>
      <c r="R242" s="525"/>
      <c r="S242" s="525"/>
      <c r="T242" s="525"/>
      <c r="U242" s="525"/>
    </row>
    <row r="243" spans="2:21" s="1201" customFormat="1" ht="15.5" hidden="1" x14ac:dyDescent="0.35">
      <c r="B243" s="1117"/>
      <c r="C243" s="1119"/>
      <c r="D243" s="1117"/>
      <c r="E243" s="1117"/>
      <c r="F243" s="1117"/>
      <c r="G243" s="1117"/>
      <c r="H243" s="1117"/>
      <c r="I243" s="1117"/>
      <c r="J243" s="1117"/>
      <c r="K243" s="1118"/>
      <c r="N243" s="525" t="s">
        <v>2029</v>
      </c>
      <c r="O243" s="525"/>
      <c r="P243" s="1657" t="e">
        <f>P241+P239</f>
        <v>#DIV/0!</v>
      </c>
      <c r="Q243" s="525"/>
      <c r="R243" s="1657" t="e">
        <f>R241+R239</f>
        <v>#DIV/0!</v>
      </c>
      <c r="S243" s="525"/>
      <c r="T243" s="525"/>
      <c r="U243" s="525"/>
    </row>
    <row r="244" spans="2:21" s="1201" customFormat="1" ht="15.5" hidden="1" x14ac:dyDescent="0.35">
      <c r="B244" s="1115" t="s">
        <v>252</v>
      </c>
      <c r="C244" s="1115" t="s">
        <v>253</v>
      </c>
      <c r="D244" s="1116"/>
      <c r="E244" s="1117"/>
      <c r="F244" s="1117"/>
      <c r="G244" s="1117"/>
      <c r="H244" s="1117"/>
      <c r="I244" s="1117"/>
      <c r="J244" s="1117"/>
      <c r="K244" s="1120" t="s">
        <v>254</v>
      </c>
      <c r="N244" s="525"/>
      <c r="O244" s="525"/>
      <c r="P244" s="525"/>
      <c r="Q244" s="525"/>
      <c r="R244" s="525"/>
      <c r="S244" s="525"/>
      <c r="T244" s="525"/>
      <c r="U244" s="525"/>
    </row>
    <row r="245" spans="2:21" s="1201" customFormat="1" ht="15.5" hidden="1" x14ac:dyDescent="0.35">
      <c r="B245" s="1117"/>
      <c r="C245" s="1117" t="s">
        <v>434</v>
      </c>
      <c r="D245" s="1121" t="e">
        <f>D211*(1-(F42/100))*(1-$C$240)</f>
        <v>#DIV/0!</v>
      </c>
      <c r="E245" s="1121">
        <f>E211*(1-(D44/100))*(1-$C$240)</f>
        <v>1.291887</v>
      </c>
      <c r="F245" s="1121">
        <f>F211*(1-(D44/100))*(1-$C$240)</f>
        <v>1.291887</v>
      </c>
      <c r="G245" s="1121">
        <f>G211*(1-(D44/100))*(1-$C$240)</f>
        <v>1.291887</v>
      </c>
      <c r="H245" s="1121">
        <f>H211*(1-(D44/100))*(1-$C$240)</f>
        <v>1.291887</v>
      </c>
      <c r="I245" s="1121">
        <f>I211*(1-(D44/100))*(1-$C$240)</f>
        <v>1.291887</v>
      </c>
      <c r="J245" s="1116" t="s">
        <v>255</v>
      </c>
      <c r="K245" s="1118"/>
      <c r="N245" s="525" t="s">
        <v>2030</v>
      </c>
      <c r="O245" s="525"/>
      <c r="P245" s="1697" t="e">
        <f>P241/P243</f>
        <v>#DIV/0!</v>
      </c>
      <c r="Q245" s="1698"/>
      <c r="R245" s="1697" t="e">
        <f>R241/R243</f>
        <v>#DIV/0!</v>
      </c>
      <c r="S245" s="1696"/>
      <c r="T245" s="1698"/>
      <c r="U245" s="1696"/>
    </row>
    <row r="246" spans="2:21" s="1201" customFormat="1" ht="15.5" hidden="1" x14ac:dyDescent="0.35">
      <c r="B246" s="1117"/>
      <c r="C246" s="1117"/>
      <c r="D246" s="1117"/>
      <c r="E246" s="1117"/>
      <c r="F246" s="1117"/>
      <c r="G246" s="1117"/>
      <c r="H246" s="1117"/>
      <c r="I246" s="1117"/>
      <c r="J246" s="1117"/>
      <c r="K246" s="1118"/>
      <c r="N246" s="525"/>
      <c r="O246" s="1669"/>
      <c r="P246" s="525"/>
      <c r="Q246" s="1658"/>
      <c r="R246" s="525"/>
      <c r="S246" s="525"/>
      <c r="T246" s="525"/>
      <c r="U246" s="525"/>
    </row>
    <row r="247" spans="2:21" s="1201" customFormat="1" ht="15.5" hidden="1" x14ac:dyDescent="0.35">
      <c r="B247" s="1115" t="s">
        <v>256</v>
      </c>
      <c r="C247" s="1115" t="s">
        <v>257</v>
      </c>
      <c r="D247" s="1116"/>
      <c r="E247" s="1116"/>
      <c r="F247" s="1409"/>
      <c r="G247" s="1409"/>
      <c r="H247" s="1117"/>
      <c r="I247" s="1117"/>
      <c r="J247" s="1409"/>
      <c r="K247" s="1120" t="s">
        <v>258</v>
      </c>
      <c r="N247" s="525" t="s">
        <v>2031</v>
      </c>
      <c r="O247" s="1670">
        <f>K118+K120+K121</f>
        <v>0</v>
      </c>
      <c r="P247" s="1700"/>
      <c r="Q247" s="1670"/>
      <c r="R247" s="525"/>
      <c r="S247" s="525"/>
      <c r="T247" s="525"/>
      <c r="U247" s="525"/>
    </row>
    <row r="248" spans="2:21" s="1201" customFormat="1" ht="15.5" hidden="1" x14ac:dyDescent="0.35">
      <c r="B248" s="1117"/>
      <c r="C248" s="1116" t="s">
        <v>259</v>
      </c>
      <c r="D248" s="1117"/>
      <c r="E248" s="1117"/>
      <c r="F248" s="1117"/>
      <c r="G248" s="1117"/>
      <c r="H248" s="1117"/>
      <c r="I248" s="1117"/>
      <c r="J248" s="1117"/>
      <c r="K248" s="1118"/>
      <c r="N248" s="525" t="s">
        <v>2032</v>
      </c>
      <c r="O248" s="1670" t="e">
        <f>H124+I124</f>
        <v>#N/A</v>
      </c>
      <c r="P248" s="1700"/>
      <c r="Q248" s="1670"/>
      <c r="R248" s="525"/>
      <c r="S248" s="525"/>
      <c r="T248" s="525"/>
      <c r="U248" s="525"/>
    </row>
    <row r="249" spans="2:21" s="1201" customFormat="1" ht="15.5" hidden="1" x14ac:dyDescent="0.35">
      <c r="B249" s="1117"/>
      <c r="C249" s="1116"/>
      <c r="D249" s="1116"/>
      <c r="E249" s="1409"/>
      <c r="F249" s="1409"/>
      <c r="G249" s="1409"/>
      <c r="H249" s="1409"/>
      <c r="I249" s="1409"/>
      <c r="J249" s="1117"/>
      <c r="K249" s="1118"/>
      <c r="N249" s="525" t="s">
        <v>2033</v>
      </c>
      <c r="O249" s="1670" t="e">
        <f>SUM(D124:G124)</f>
        <v>#DIV/0!</v>
      </c>
      <c r="P249" s="1700"/>
      <c r="Q249" s="1670"/>
      <c r="R249" s="525"/>
      <c r="S249" s="525"/>
      <c r="T249" s="525"/>
      <c r="U249" s="525"/>
    </row>
    <row r="250" spans="2:21" s="1201" customFormat="1" ht="15.5" hidden="1" x14ac:dyDescent="0.35">
      <c r="B250" s="1117"/>
      <c r="C250" s="1117"/>
      <c r="D250" s="1117"/>
      <c r="E250" s="1117"/>
      <c r="F250" s="1117"/>
      <c r="G250" s="1117"/>
      <c r="H250" s="1117"/>
      <c r="I250" s="1117"/>
      <c r="J250" s="1117"/>
      <c r="K250" s="1123"/>
      <c r="N250" s="525" t="s">
        <v>2034</v>
      </c>
      <c r="O250" s="1670">
        <f>K116+K117+K119+K122+K127</f>
        <v>0</v>
      </c>
      <c r="P250" s="1700"/>
      <c r="Q250" s="1670"/>
      <c r="R250" s="525"/>
      <c r="S250" s="1696"/>
      <c r="T250" s="525"/>
      <c r="U250" s="525"/>
    </row>
    <row r="251" spans="2:21" s="1201" customFormat="1" ht="15.5" hidden="1" x14ac:dyDescent="0.35">
      <c r="B251" s="1117"/>
      <c r="C251" s="1115" t="s">
        <v>803</v>
      </c>
      <c r="D251" s="1117"/>
      <c r="E251" s="1117"/>
      <c r="F251" s="1117"/>
      <c r="G251" s="1117"/>
      <c r="H251" s="1117"/>
      <c r="I251" s="1117"/>
      <c r="J251" s="1117"/>
      <c r="K251" s="1122"/>
      <c r="N251" s="525" t="s">
        <v>2035</v>
      </c>
      <c r="O251" s="1670" t="e">
        <f>SUM(O247:O250)</f>
        <v>#N/A</v>
      </c>
      <c r="P251" s="1700"/>
      <c r="Q251" s="1670"/>
      <c r="R251" s="525"/>
      <c r="S251" s="1696"/>
      <c r="T251" s="525"/>
      <c r="U251" s="525"/>
    </row>
    <row r="252" spans="2:21" s="1201" customFormat="1" ht="15.5" hidden="1" x14ac:dyDescent="0.35">
      <c r="B252" s="1117"/>
      <c r="C252" s="1117"/>
      <c r="D252" s="1117"/>
      <c r="E252" s="1117"/>
      <c r="F252" s="1117"/>
      <c r="G252" s="1117"/>
      <c r="H252" s="1117"/>
      <c r="I252" s="1117"/>
      <c r="J252" s="1117"/>
      <c r="K252" s="1124"/>
      <c r="N252" s="525"/>
      <c r="O252" s="1657"/>
      <c r="P252" s="525"/>
      <c r="Q252" s="525"/>
      <c r="R252" s="525"/>
      <c r="S252" s="525"/>
      <c r="T252" s="525"/>
      <c r="U252" s="1672"/>
    </row>
    <row r="253" spans="2:21" s="1201" customFormat="1" ht="15.5" hidden="1" x14ac:dyDescent="0.35">
      <c r="B253" s="1117"/>
      <c r="C253" s="1117" t="s">
        <v>434</v>
      </c>
      <c r="D253" s="1125" t="e">
        <f>D245*$C$241*$AO$218%*$C$242</f>
        <v>#DIV/0!</v>
      </c>
      <c r="E253" s="1125">
        <f>E245*$C$241*$AO$221%*$C$242</f>
        <v>2.0525500656E-3</v>
      </c>
      <c r="F253" s="1125">
        <f>F245*$C$241*$AO$221%*$C$242</f>
        <v>2.0525500656E-3</v>
      </c>
      <c r="G253" s="1125">
        <f>G245*$C$241*$AO$221%*$C$242</f>
        <v>2.0525500656E-3</v>
      </c>
      <c r="H253" s="1125">
        <f>H245*$C$241*$AO$221%*$C$242</f>
        <v>2.0525500656E-3</v>
      </c>
      <c r="I253" s="1125">
        <f>I245*$C$241*$AO$221%*$C$242</f>
        <v>2.0525500656E-3</v>
      </c>
      <c r="J253" s="1116" t="s">
        <v>237</v>
      </c>
      <c r="K253" s="1118"/>
      <c r="N253" s="525" t="s">
        <v>2053</v>
      </c>
      <c r="O253" s="1659" t="e">
        <f>O247+O249*P245+O250*R245</f>
        <v>#DIV/0!</v>
      </c>
      <c r="P253" s="1700"/>
      <c r="Q253" s="1671" t="e">
        <f>O253*1000/P198</f>
        <v>#DIV/0!</v>
      </c>
      <c r="R253" s="1672" t="s">
        <v>2037</v>
      </c>
      <c r="S253" s="525"/>
      <c r="T253" s="1671"/>
      <c r="U253" s="1672"/>
    </row>
    <row r="254" spans="2:21" s="1201" customFormat="1" ht="15.5" hidden="1" x14ac:dyDescent="0.35">
      <c r="B254" s="1126"/>
      <c r="C254" s="1126"/>
      <c r="D254" s="1126"/>
      <c r="E254" s="1126"/>
      <c r="F254" s="1126"/>
      <c r="G254" s="1126"/>
      <c r="H254" s="1126"/>
      <c r="I254" s="1126"/>
      <c r="J254" s="1126"/>
      <c r="K254" s="1124"/>
      <c r="N254" s="525" t="s">
        <v>2054</v>
      </c>
      <c r="O254" s="1659" t="e">
        <f>O248+O249*(1-P245)+O250*(1-R245)</f>
        <v>#N/A</v>
      </c>
      <c r="P254" s="1700"/>
      <c r="Q254" s="1673" t="e">
        <f>O253*1000/P196</f>
        <v>#DIV/0!</v>
      </c>
      <c r="R254" s="1672" t="s">
        <v>2067</v>
      </c>
      <c r="S254" s="525"/>
      <c r="T254" s="1673"/>
      <c r="U254" s="525"/>
    </row>
    <row r="255" spans="2:21" s="1201" customFormat="1" ht="15.5" hidden="1" x14ac:dyDescent="0.35">
      <c r="B255" s="1115" t="s">
        <v>261</v>
      </c>
      <c r="C255" s="1115"/>
      <c r="D255" s="1115"/>
      <c r="E255" s="1116"/>
      <c r="F255" s="1116"/>
      <c r="G255" s="1116"/>
      <c r="H255" s="1116"/>
      <c r="I255" s="1116"/>
      <c r="J255" s="1116"/>
      <c r="K255" s="1118"/>
      <c r="N255" s="525"/>
      <c r="O255" s="1657"/>
      <c r="P255" s="1700"/>
      <c r="Q255" s="1673" t="e">
        <f>O254*1000/O231</f>
        <v>#N/A</v>
      </c>
      <c r="R255" s="1672" t="s">
        <v>2038</v>
      </c>
      <c r="S255" s="525"/>
      <c r="T255" s="525"/>
      <c r="U255" s="525"/>
    </row>
    <row r="256" spans="2:21" s="1201" customFormat="1" ht="15.5" hidden="1" x14ac:dyDescent="0.35">
      <c r="B256" s="1116"/>
      <c r="C256" s="1115" t="s">
        <v>1405</v>
      </c>
      <c r="D256" s="1116"/>
      <c r="E256" s="1116"/>
      <c r="F256" s="1116"/>
      <c r="G256" s="1116"/>
      <c r="H256" s="1116"/>
      <c r="I256" s="1116"/>
      <c r="J256" s="1116"/>
      <c r="K256" s="1120" t="s">
        <v>262</v>
      </c>
      <c r="N256" s="525" t="s">
        <v>2055</v>
      </c>
      <c r="O256" s="1669" t="e">
        <f>O253/O251</f>
        <v>#DIV/0!</v>
      </c>
      <c r="P256" s="1700"/>
      <c r="Q256" s="525"/>
      <c r="R256" s="525"/>
      <c r="S256" s="525"/>
      <c r="T256" s="525"/>
      <c r="U256" s="525"/>
    </row>
    <row r="257" spans="2:21" s="1201" customFormat="1" ht="15.5" hidden="1" x14ac:dyDescent="0.35">
      <c r="B257" s="1116"/>
      <c r="C257" s="1115"/>
      <c r="D257" s="1116"/>
      <c r="E257" s="1116"/>
      <c r="F257" s="1116"/>
      <c r="G257" s="1116"/>
      <c r="H257" s="1116"/>
      <c r="I257" s="1116"/>
      <c r="J257" s="1116"/>
      <c r="K257" s="1118"/>
      <c r="N257" s="525" t="s">
        <v>2056</v>
      </c>
      <c r="O257" s="1669" t="e">
        <f>O254/O251</f>
        <v>#N/A</v>
      </c>
      <c r="P257" s="1700"/>
      <c r="Q257" s="525"/>
      <c r="R257" s="525"/>
      <c r="S257" s="525"/>
      <c r="T257" s="525"/>
      <c r="U257" s="525"/>
    </row>
    <row r="258" spans="2:21" s="1201" customFormat="1" ht="15.5" hidden="1" x14ac:dyDescent="0.35">
      <c r="B258" s="1116"/>
      <c r="C258" s="1117" t="s">
        <v>434</v>
      </c>
      <c r="D258" s="1125" t="e">
        <f t="shared" ref="D258:I258" si="16">(365*D18*D253)*10^-6</f>
        <v>#DIV/0!</v>
      </c>
      <c r="E258" s="1125">
        <f t="shared" si="16"/>
        <v>0</v>
      </c>
      <c r="F258" s="1125">
        <f t="shared" si="16"/>
        <v>0</v>
      </c>
      <c r="G258" s="1125">
        <f t="shared" si="16"/>
        <v>0</v>
      </c>
      <c r="H258" s="1125">
        <f t="shared" si="16"/>
        <v>0</v>
      </c>
      <c r="I258" s="1125">
        <f t="shared" si="16"/>
        <v>0</v>
      </c>
      <c r="J258" s="1116" t="s">
        <v>435</v>
      </c>
      <c r="K258" s="1118"/>
      <c r="N258" s="525"/>
      <c r="O258" s="525"/>
      <c r="P258" s="525"/>
      <c r="Q258" s="525"/>
      <c r="R258" s="525"/>
      <c r="S258" s="525"/>
      <c r="T258" s="525"/>
      <c r="U258" s="525"/>
    </row>
    <row r="259" spans="2:21" s="1201" customFormat="1" ht="15.5" hidden="1" x14ac:dyDescent="0.35">
      <c r="B259" s="1116"/>
      <c r="C259" s="1116"/>
      <c r="D259" s="1116"/>
      <c r="E259" s="1116"/>
      <c r="F259" s="1116"/>
      <c r="G259" s="1116"/>
      <c r="H259" s="1116"/>
      <c r="I259" s="1116"/>
      <c r="J259" s="1117"/>
      <c r="K259" s="1118"/>
      <c r="N259" s="1668" t="s">
        <v>2039</v>
      </c>
      <c r="O259" s="1658" t="s">
        <v>2040</v>
      </c>
      <c r="P259" s="525"/>
      <c r="Q259" s="1660" t="s">
        <v>2041</v>
      </c>
      <c r="R259" s="1660" t="s">
        <v>2042</v>
      </c>
      <c r="S259" s="1660" t="s">
        <v>2043</v>
      </c>
      <c r="T259" s="1660" t="s">
        <v>2038</v>
      </c>
      <c r="U259" s="525"/>
    </row>
    <row r="260" spans="2:21" s="1201" customFormat="1" ht="15.5" hidden="1" x14ac:dyDescent="0.35">
      <c r="B260" s="1115" t="s">
        <v>263</v>
      </c>
      <c r="C260" s="1127" t="e">
        <f>SUM(D258:I258)</f>
        <v>#DIV/0!</v>
      </c>
      <c r="D260" s="1125"/>
      <c r="E260" s="1125"/>
      <c r="F260" s="1125"/>
      <c r="G260" s="1125"/>
      <c r="H260" s="1125"/>
      <c r="I260" s="1125"/>
      <c r="J260" s="1116" t="s">
        <v>264</v>
      </c>
      <c r="K260" s="1124"/>
      <c r="N260" s="525" t="s">
        <v>2051</v>
      </c>
      <c r="O260" s="1657">
        <f>O226</f>
        <v>0</v>
      </c>
      <c r="P260" s="525"/>
      <c r="Q260" s="1674" t="e">
        <f>$O$249*(1-$P$245)*Q234+$O$250*(1-$R$245)*S234</f>
        <v>#DIV/0!</v>
      </c>
      <c r="R260" s="1662" t="e">
        <f>Q260/$Q$265</f>
        <v>#DIV/0!</v>
      </c>
      <c r="S260" s="1675" t="e">
        <f>R260*$O$257</f>
        <v>#DIV/0!</v>
      </c>
      <c r="T260" s="1676" t="e">
        <f>Q260*1000/O260</f>
        <v>#DIV/0!</v>
      </c>
      <c r="U260" s="525"/>
    </row>
    <row r="261" spans="2:21" s="1201" customFormat="1" ht="15.5" hidden="1" x14ac:dyDescent="0.35">
      <c r="B261" s="1115" t="s">
        <v>263</v>
      </c>
      <c r="C261" s="1128" t="e">
        <f>C260*21</f>
        <v>#DIV/0!</v>
      </c>
      <c r="D261" s="1125"/>
      <c r="E261" s="1125"/>
      <c r="F261" s="1125"/>
      <c r="G261" s="1125"/>
      <c r="H261" s="1125"/>
      <c r="I261" s="1125"/>
      <c r="J261" s="1116" t="s">
        <v>265</v>
      </c>
      <c r="K261" s="1124"/>
      <c r="N261" s="525" t="s">
        <v>2044</v>
      </c>
      <c r="O261" s="1657">
        <f t="shared" ref="O261:O265" si="17">O227</f>
        <v>0</v>
      </c>
      <c r="P261" s="525"/>
      <c r="Q261" s="1674" t="e">
        <f t="shared" ref="Q261:Q263" si="18">$O$249*(1-$P$245)*Q235+$O$250*(1-$R$245)*S235</f>
        <v>#DIV/0!</v>
      </c>
      <c r="R261" s="1662" t="e">
        <f t="shared" ref="R261:R264" si="19">Q261/$Q$265</f>
        <v>#DIV/0!</v>
      </c>
      <c r="S261" s="1675" t="e">
        <f t="shared" ref="S261:S264" si="20">R261*$O$257</f>
        <v>#DIV/0!</v>
      </c>
      <c r="T261" s="1676" t="e">
        <f t="shared" ref="T261:T264" si="21">Q261*1000/O261</f>
        <v>#DIV/0!</v>
      </c>
      <c r="U261" s="525"/>
    </row>
    <row r="262" spans="2:21" s="1201" customFormat="1" ht="15.5" hidden="1" x14ac:dyDescent="0.35">
      <c r="B262" s="1294" t="s">
        <v>263</v>
      </c>
      <c r="C262" s="1298" t="e">
        <f>C261*10^3</f>
        <v>#DIV/0!</v>
      </c>
      <c r="D262" s="1299"/>
      <c r="E262" s="1299"/>
      <c r="F262" s="1299"/>
      <c r="G262" s="1299"/>
      <c r="H262" s="1299"/>
      <c r="I262" s="1586"/>
      <c r="J262" s="1296" t="s">
        <v>266</v>
      </c>
      <c r="K262" s="1297"/>
      <c r="N262" s="525" t="s">
        <v>2045</v>
      </c>
      <c r="O262" s="1657">
        <f t="shared" si="17"/>
        <v>0</v>
      </c>
      <c r="P262" s="525"/>
      <c r="Q262" s="1674" t="e">
        <f t="shared" si="18"/>
        <v>#DIV/0!</v>
      </c>
      <c r="R262" s="1662" t="e">
        <f t="shared" si="19"/>
        <v>#DIV/0!</v>
      </c>
      <c r="S262" s="1675" t="e">
        <f t="shared" si="20"/>
        <v>#DIV/0!</v>
      </c>
      <c r="T262" s="1676" t="e">
        <f t="shared" si="21"/>
        <v>#DIV/0!</v>
      </c>
      <c r="U262" s="525"/>
    </row>
    <row r="263" spans="2:21" s="1201" customFormat="1" ht="15.5" hidden="1" x14ac:dyDescent="0.35">
      <c r="N263" s="525" t="s">
        <v>2046</v>
      </c>
      <c r="O263" s="1657">
        <f t="shared" si="17"/>
        <v>0</v>
      </c>
      <c r="P263" s="525"/>
      <c r="Q263" s="1674" t="e">
        <f t="shared" si="18"/>
        <v>#DIV/0!</v>
      </c>
      <c r="R263" s="1662" t="e">
        <f t="shared" si="19"/>
        <v>#DIV/0!</v>
      </c>
      <c r="S263" s="1675" t="e">
        <f t="shared" si="20"/>
        <v>#DIV/0!</v>
      </c>
      <c r="T263" s="1676" t="e">
        <f t="shared" si="21"/>
        <v>#DIV/0!</v>
      </c>
      <c r="U263" s="525"/>
    </row>
    <row r="264" spans="2:21" s="1201" customFormat="1" ht="15.5" hidden="1" x14ac:dyDescent="0.35">
      <c r="B264" s="997" t="s">
        <v>267</v>
      </c>
      <c r="C264" s="997" t="s">
        <v>216</v>
      </c>
      <c r="D264" s="998" t="str">
        <f>D16</f>
        <v>Milking Cows</v>
      </c>
      <c r="E264" s="998" t="str">
        <f>E16</f>
        <v>Heifers &gt;1 yr age</v>
      </c>
      <c r="F264" s="998" t="str">
        <f>F16</f>
        <v>Heifers &lt;1 yr age</v>
      </c>
      <c r="G264" s="998" t="str">
        <f>G16</f>
        <v>Mature bulls</v>
      </c>
      <c r="H264" s="998" t="str">
        <f>H16</f>
        <v xml:space="preserve">Other stock &lt; 1 yr age </v>
      </c>
      <c r="I264" s="998" t="str">
        <f>H16</f>
        <v xml:space="preserve">Other stock &lt; 1 yr age </v>
      </c>
      <c r="J264" s="998" t="s">
        <v>215</v>
      </c>
      <c r="K264" s="999" t="s">
        <v>230</v>
      </c>
      <c r="N264" s="1663" t="s">
        <v>2047</v>
      </c>
      <c r="O264" s="1665">
        <f t="shared" si="17"/>
        <v>0</v>
      </c>
      <c r="P264" s="1663"/>
      <c r="Q264" s="1677" t="e">
        <f>O248+O250*(1-R245)*S238</f>
        <v>#N/A</v>
      </c>
      <c r="R264" s="1666" t="e">
        <f t="shared" si="19"/>
        <v>#N/A</v>
      </c>
      <c r="S264" s="1678" t="e">
        <f t="shared" si="20"/>
        <v>#N/A</v>
      </c>
      <c r="T264" s="1679" t="e">
        <f t="shared" si="21"/>
        <v>#N/A</v>
      </c>
      <c r="U264" s="525"/>
    </row>
    <row r="265" spans="2:21" s="1201" customFormat="1" ht="15.5" hidden="1" x14ac:dyDescent="0.35">
      <c r="B265" s="1000"/>
      <c r="C265" s="1000"/>
      <c r="D265" s="1000"/>
      <c r="E265" s="1000"/>
      <c r="F265" s="1000"/>
      <c r="G265" s="1000"/>
      <c r="H265" s="1000"/>
      <c r="I265" s="1000"/>
      <c r="J265" s="1000"/>
      <c r="K265" s="1001"/>
      <c r="N265" s="525" t="s">
        <v>2048</v>
      </c>
      <c r="O265" s="1657">
        <f t="shared" si="17"/>
        <v>0</v>
      </c>
      <c r="P265" s="525"/>
      <c r="Q265" s="1674" t="e">
        <f>SUM(Q260:Q264)</f>
        <v>#DIV/0!</v>
      </c>
      <c r="R265" s="1662" t="e">
        <f>SUM(R260:R264)</f>
        <v>#DIV/0!</v>
      </c>
      <c r="S265" s="1662" t="e">
        <f>SUM(S260:S264)</f>
        <v>#DIV/0!</v>
      </c>
      <c r="T265" s="1676" t="e">
        <f>Q265*1000/O265</f>
        <v>#DIV/0!</v>
      </c>
      <c r="U265" s="525"/>
    </row>
    <row r="266" spans="2:21" s="1201" customFormat="1" ht="15.5" hidden="1" x14ac:dyDescent="0.35">
      <c r="B266" s="1002" t="s">
        <v>268</v>
      </c>
      <c r="C266" s="1000"/>
      <c r="D266" s="1002" t="s">
        <v>269</v>
      </c>
      <c r="E266" s="1003"/>
      <c r="F266" s="1003"/>
      <c r="G266" s="1004"/>
      <c r="H266" s="1000"/>
      <c r="I266" s="1000"/>
      <c r="J266" s="1000"/>
      <c r="K266" s="1001" t="s">
        <v>270</v>
      </c>
      <c r="N266" s="525"/>
      <c r="O266" s="525"/>
      <c r="P266" s="525"/>
      <c r="Q266" s="525"/>
      <c r="R266" s="525"/>
      <c r="S266" s="525"/>
      <c r="T266" s="525"/>
      <c r="U266" s="1257"/>
    </row>
    <row r="267" spans="2:21" s="1201" customFormat="1" ht="15.5" hidden="1" x14ac:dyDescent="0.35">
      <c r="B267" s="1000"/>
      <c r="C267" s="1005" t="s">
        <v>434</v>
      </c>
      <c r="D267" s="1006" t="e">
        <f>D211*H42%</f>
        <v>#DIV/0!</v>
      </c>
      <c r="E267" s="1006">
        <f>E211*D45%</f>
        <v>0</v>
      </c>
      <c r="F267" s="1006">
        <f>F211*D45%</f>
        <v>0</v>
      </c>
      <c r="G267" s="1006">
        <f>G211*D45%</f>
        <v>0</v>
      </c>
      <c r="H267" s="1006">
        <f>H211*D45%</f>
        <v>0</v>
      </c>
      <c r="I267" s="1006">
        <f>I211*D45%</f>
        <v>0</v>
      </c>
      <c r="J267" s="1000" t="s">
        <v>255</v>
      </c>
      <c r="K267" s="1001"/>
    </row>
    <row r="268" spans="2:21" s="1201" customFormat="1" ht="15.5" hidden="1" x14ac:dyDescent="0.35">
      <c r="B268" s="1007"/>
      <c r="C268" s="1007"/>
      <c r="D268" s="1007"/>
      <c r="E268" s="1007"/>
      <c r="F268" s="1007"/>
      <c r="G268" s="1008"/>
      <c r="H268" s="1000"/>
      <c r="I268" s="1000"/>
      <c r="J268" s="1000"/>
      <c r="K268" s="1001"/>
    </row>
    <row r="269" spans="2:21" s="1201" customFormat="1" ht="15.5" hidden="1" x14ac:dyDescent="0.35">
      <c r="B269" s="1002" t="s">
        <v>271</v>
      </c>
      <c r="C269" s="1003"/>
      <c r="D269" s="1002" t="s">
        <v>272</v>
      </c>
      <c r="E269" s="1003"/>
      <c r="F269" s="1003"/>
      <c r="G269" s="1004"/>
      <c r="H269" s="1000"/>
      <c r="I269" s="1000"/>
      <c r="J269" s="1000"/>
      <c r="K269" s="1001" t="s">
        <v>273</v>
      </c>
    </row>
    <row r="270" spans="2:21" s="1201" customFormat="1" ht="15.5" hidden="1" x14ac:dyDescent="0.35">
      <c r="B270" s="1003"/>
      <c r="C270" s="1000"/>
      <c r="D270" s="1000" t="s">
        <v>274</v>
      </c>
      <c r="E270" s="1003"/>
      <c r="F270" s="1003"/>
      <c r="G270" s="1004"/>
      <c r="H270" s="1000"/>
      <c r="I270" s="1000"/>
      <c r="J270" s="1000"/>
      <c r="K270" s="1001"/>
    </row>
    <row r="271" spans="2:21" s="1201" customFormat="1" ht="15.5" hidden="1" x14ac:dyDescent="0.35">
      <c r="B271" s="1000"/>
      <c r="C271" s="1000"/>
      <c r="D271" s="1000" t="s">
        <v>275</v>
      </c>
      <c r="E271" s="1009"/>
      <c r="F271" s="1009"/>
      <c r="G271" s="1004"/>
      <c r="H271" s="1000"/>
      <c r="I271" s="1000"/>
      <c r="J271" s="1000"/>
      <c r="K271" s="1001"/>
    </row>
    <row r="272" spans="2:21" s="1201" customFormat="1" ht="15.5" hidden="1" x14ac:dyDescent="0.35">
      <c r="B272" s="1000"/>
      <c r="C272" s="1005" t="s">
        <v>434</v>
      </c>
      <c r="D272" s="1006" t="e">
        <f>(0.3*((D267*(1-((F42+10)/100))))+(0.105*((0.1604*F42-1.037)*D211*0.008))+(0.0152*D211))/6.25</f>
        <v>#DIV/0!</v>
      </c>
      <c r="E272" s="1006">
        <f>(0.3*((E267*(1-((D44+10)/100))))+(0.105*((0.1604*D44-1.037)*E211*0.008))+(0.0152*E211))/6.25</f>
        <v>3.2193644299200004E-3</v>
      </c>
      <c r="F272" s="1006">
        <f>(0.3*((F267*(1-((D44+10)/100))))+(0.105*((0.1604*D44-1.037)*F211*0.008))+(0.0152*F211))/6.25</f>
        <v>3.2193644299200004E-3</v>
      </c>
      <c r="G272" s="1006">
        <f>(0.3*((G267*(1-((D44+10)/100))))+(0.105*((0.1604*D44-1.037)*G211*0.008))+(0.0152*G211))/6.25</f>
        <v>3.2193644299200004E-3</v>
      </c>
      <c r="H272" s="1006">
        <f>(0.3*((H267*(1-((D44+10)/100))))+(0.105*((0.1604*D44-1.037)*H211*0.008))+(0.0152*H211))/6.25</f>
        <v>3.2193644299200004E-3</v>
      </c>
      <c r="I272" s="1006">
        <f>(0.3*((I267*(1-((D44+10)/100))))+(0.105*((0.1604*D44-1.037)*I211*0.008))+(0.0152*I211))/6.25</f>
        <v>3.2193644299200004E-3</v>
      </c>
      <c r="J272" s="1000" t="s">
        <v>255</v>
      </c>
      <c r="K272" s="1001"/>
    </row>
    <row r="273" spans="2:11" s="1201" customFormat="1" ht="15.5" hidden="1" x14ac:dyDescent="0.35">
      <c r="B273" s="1000"/>
      <c r="C273" s="1000"/>
      <c r="D273" s="1000"/>
      <c r="E273" s="1000"/>
      <c r="F273" s="1000"/>
      <c r="G273" s="1000"/>
      <c r="H273" s="1000"/>
      <c r="I273" s="1000"/>
      <c r="J273" s="1000"/>
      <c r="K273" s="1001"/>
    </row>
    <row r="274" spans="2:11" s="1201" customFormat="1" ht="18" hidden="1" x14ac:dyDescent="0.45">
      <c r="B274" s="1002" t="s">
        <v>276</v>
      </c>
      <c r="C274" s="1000"/>
      <c r="D274" s="1010" t="s">
        <v>1406</v>
      </c>
      <c r="E274" s="1011"/>
      <c r="F274" s="1011"/>
      <c r="G274" s="1011"/>
      <c r="H274" s="1011"/>
      <c r="I274" s="1011"/>
      <c r="J274" s="1000"/>
      <c r="K274" s="1001" t="s">
        <v>277</v>
      </c>
    </row>
    <row r="275" spans="2:11" s="1201" customFormat="1" ht="16" hidden="1" thickBot="1" x14ac:dyDescent="0.4">
      <c r="B275" s="1000"/>
      <c r="C275" s="1000"/>
      <c r="D275" s="1000"/>
      <c r="E275" s="1000"/>
      <c r="F275" s="1000"/>
      <c r="G275" s="1000"/>
      <c r="H275" s="1000"/>
      <c r="I275" s="1560"/>
      <c r="J275" s="1000"/>
      <c r="K275" s="1001"/>
    </row>
    <row r="276" spans="2:11" s="1201" customFormat="1" ht="16" hidden="1" thickBot="1" x14ac:dyDescent="0.4">
      <c r="B276" s="1012"/>
      <c r="C276" s="1013" t="s">
        <v>804</v>
      </c>
      <c r="D276" s="1014"/>
      <c r="E276" s="1014"/>
      <c r="F276" s="1014"/>
      <c r="G276" s="1014"/>
      <c r="H276" s="1014"/>
      <c r="I276" s="1587"/>
      <c r="J276" s="1000"/>
      <c r="K276" s="1001" t="s">
        <v>278</v>
      </c>
    </row>
    <row r="277" spans="2:11" s="1201" customFormat="1" ht="15.5" hidden="1" x14ac:dyDescent="0.35">
      <c r="B277" s="1000"/>
      <c r="C277" s="1013"/>
      <c r="D277" s="1014" t="s">
        <v>212</v>
      </c>
      <c r="E277" s="1014" t="s">
        <v>279</v>
      </c>
      <c r="F277" s="1014" t="s">
        <v>280</v>
      </c>
      <c r="G277" s="1014" t="s">
        <v>1007</v>
      </c>
      <c r="H277" s="1014" t="s">
        <v>282</v>
      </c>
      <c r="I277" s="1015" t="s">
        <v>281</v>
      </c>
      <c r="J277" s="1000"/>
      <c r="K277" s="1001"/>
    </row>
    <row r="278" spans="2:11" s="1201" customFormat="1" ht="15.5" hidden="1" x14ac:dyDescent="0.35">
      <c r="B278" s="1012">
        <v>1</v>
      </c>
      <c r="C278" s="1275" t="s">
        <v>912</v>
      </c>
      <c r="D278" s="1016">
        <v>550</v>
      </c>
      <c r="E278" s="1016">
        <v>550</v>
      </c>
      <c r="F278" s="1016">
        <v>550</v>
      </c>
      <c r="G278" s="1016">
        <v>770</v>
      </c>
      <c r="H278" s="1016">
        <v>770</v>
      </c>
      <c r="I278" s="1017">
        <v>770</v>
      </c>
      <c r="J278" s="1000"/>
      <c r="K278" s="1001"/>
    </row>
    <row r="279" spans="2:11" s="1201" customFormat="1" ht="15.5" hidden="1" x14ac:dyDescent="0.35">
      <c r="B279" s="1012">
        <v>2</v>
      </c>
      <c r="C279" s="1275" t="s">
        <v>917</v>
      </c>
      <c r="D279" s="1016">
        <v>580</v>
      </c>
      <c r="E279" s="1016">
        <v>580</v>
      </c>
      <c r="F279" s="1016">
        <v>580</v>
      </c>
      <c r="G279" s="1016">
        <v>770</v>
      </c>
      <c r="H279" s="1016">
        <v>770</v>
      </c>
      <c r="I279" s="1017">
        <v>770</v>
      </c>
      <c r="J279" s="1000"/>
      <c r="K279" s="1001"/>
    </row>
    <row r="280" spans="2:11" s="1201" customFormat="1" ht="15.5" hidden="1" x14ac:dyDescent="0.35">
      <c r="B280" s="1012">
        <v>3</v>
      </c>
      <c r="C280" s="1275" t="s">
        <v>866</v>
      </c>
      <c r="D280" s="1016">
        <v>550</v>
      </c>
      <c r="E280" s="1016">
        <v>550</v>
      </c>
      <c r="F280" s="1016">
        <v>550</v>
      </c>
      <c r="G280" s="1016">
        <v>770</v>
      </c>
      <c r="H280" s="1016">
        <v>770</v>
      </c>
      <c r="I280" s="1017">
        <v>770</v>
      </c>
      <c r="J280" s="1012"/>
      <c r="K280" s="1001"/>
    </row>
    <row r="281" spans="2:11" s="1201" customFormat="1" ht="15.5" hidden="1" x14ac:dyDescent="0.35">
      <c r="B281" s="1012">
        <v>4</v>
      </c>
      <c r="C281" s="1275" t="s">
        <v>914</v>
      </c>
      <c r="D281" s="1016">
        <v>580</v>
      </c>
      <c r="E281" s="1016">
        <v>580</v>
      </c>
      <c r="F281" s="1016">
        <v>580</v>
      </c>
      <c r="G281" s="1016">
        <v>770</v>
      </c>
      <c r="H281" s="1016">
        <v>770</v>
      </c>
      <c r="I281" s="1017">
        <v>770</v>
      </c>
      <c r="J281" s="1000"/>
      <c r="K281" s="1001"/>
    </row>
    <row r="282" spans="2:11" s="1201" customFormat="1" ht="15.5" hidden="1" x14ac:dyDescent="0.35">
      <c r="B282" s="1012">
        <v>5</v>
      </c>
      <c r="C282" s="1275" t="s">
        <v>918</v>
      </c>
      <c r="D282" s="1016">
        <v>550</v>
      </c>
      <c r="E282" s="1016">
        <v>550</v>
      </c>
      <c r="F282" s="1016">
        <v>550</v>
      </c>
      <c r="G282" s="1016">
        <v>770</v>
      </c>
      <c r="H282" s="1016">
        <v>770</v>
      </c>
      <c r="I282" s="1017">
        <v>770</v>
      </c>
      <c r="J282" s="1000"/>
      <c r="K282" s="1001"/>
    </row>
    <row r="283" spans="2:11" s="1201" customFormat="1" ht="15.5" hidden="1" x14ac:dyDescent="0.35">
      <c r="B283" s="1012">
        <v>6</v>
      </c>
      <c r="C283" s="1276" t="s">
        <v>919</v>
      </c>
      <c r="D283" s="1016">
        <v>550</v>
      </c>
      <c r="E283" s="1016">
        <v>550</v>
      </c>
      <c r="F283" s="1016">
        <v>550</v>
      </c>
      <c r="G283" s="1016">
        <v>770</v>
      </c>
      <c r="H283" s="1016">
        <v>770</v>
      </c>
      <c r="I283" s="1017">
        <v>770</v>
      </c>
      <c r="J283" s="1000"/>
      <c r="K283" s="1001"/>
    </row>
    <row r="284" spans="2:11" s="1201" customFormat="1" ht="16" hidden="1" thickBot="1" x14ac:dyDescent="0.4">
      <c r="B284" s="1012">
        <v>7</v>
      </c>
      <c r="C284" s="1277" t="s">
        <v>920</v>
      </c>
      <c r="D284" s="1016">
        <v>550</v>
      </c>
      <c r="E284" s="1016">
        <v>550</v>
      </c>
      <c r="F284" s="1016">
        <v>550</v>
      </c>
      <c r="G284" s="1016">
        <v>770</v>
      </c>
      <c r="H284" s="1016">
        <v>770</v>
      </c>
      <c r="I284" s="1588">
        <v>770</v>
      </c>
      <c r="J284" s="1000"/>
      <c r="K284" s="1001"/>
    </row>
    <row r="285" spans="2:11" s="1201" customFormat="1" ht="16" hidden="1" thickBot="1" x14ac:dyDescent="0.4">
      <c r="B285" s="1005" t="s">
        <v>228</v>
      </c>
      <c r="C285" s="1018" t="e">
        <f>VLOOKUP($D$14,$C$278:$H$284,1,FALSE)</f>
        <v>#N/A</v>
      </c>
      <c r="D285" s="1019" t="e">
        <f>VLOOKUP($C$200,$C$278:$H$284,2,FALSE)</f>
        <v>#N/A</v>
      </c>
      <c r="E285" s="1019" t="e">
        <f>VLOOKUP($C$200,$C$278:$H$284,3,FALSE)</f>
        <v>#N/A</v>
      </c>
      <c r="F285" s="1019" t="e">
        <f>VLOOKUP($C$200,$C$278:$H$284,4,FALSE)</f>
        <v>#N/A</v>
      </c>
      <c r="G285" s="1019" t="e">
        <f>VLOOKUP($C$200,$C$278:$H$284,5,FALSE)</f>
        <v>#N/A</v>
      </c>
      <c r="H285" s="1019" t="e">
        <f>VLOOKUP($C$200,$C$278:$H$284,6,FALSE)</f>
        <v>#N/A</v>
      </c>
      <c r="I285" s="1367" t="e">
        <f>VLOOKUP($C$200,$C$278:$I$284,7,FALSE)</f>
        <v>#N/A</v>
      </c>
      <c r="J285" s="1000"/>
      <c r="K285" s="1001"/>
    </row>
    <row r="286" spans="2:11" s="1201" customFormat="1" ht="16" hidden="1" thickBot="1" x14ac:dyDescent="0.4">
      <c r="B286" s="1000"/>
      <c r="C286" s="1018" t="s">
        <v>300</v>
      </c>
      <c r="D286" s="1020" t="e">
        <f t="shared" ref="D286:I286" si="22">IF(D285&gt;0,D20/D285,0)</f>
        <v>#N/A</v>
      </c>
      <c r="E286" s="1020" t="e">
        <f t="shared" si="22"/>
        <v>#N/A</v>
      </c>
      <c r="F286" s="1020" t="e">
        <f t="shared" si="22"/>
        <v>#N/A</v>
      </c>
      <c r="G286" s="1020" t="e">
        <f t="shared" si="22"/>
        <v>#N/A</v>
      </c>
      <c r="H286" s="1020" t="e">
        <f t="shared" si="22"/>
        <v>#N/A</v>
      </c>
      <c r="I286" s="1579" t="e">
        <f t="shared" si="22"/>
        <v>#N/A</v>
      </c>
      <c r="J286" s="1012"/>
      <c r="K286" s="1001"/>
    </row>
    <row r="287" spans="2:11" s="1201" customFormat="1" ht="15.5" hidden="1" x14ac:dyDescent="0.35">
      <c r="B287" s="1000"/>
      <c r="C287" s="1000"/>
      <c r="D287" s="1000"/>
      <c r="E287" s="1000"/>
      <c r="F287" s="1000"/>
      <c r="G287" s="1000"/>
      <c r="H287" s="1000"/>
      <c r="I287" s="1000"/>
      <c r="J287" s="1000"/>
      <c r="K287" s="1001"/>
    </row>
    <row r="288" spans="2:11" s="1201" customFormat="1" ht="15.5" hidden="1" x14ac:dyDescent="0.35">
      <c r="B288" s="1000"/>
      <c r="C288" s="1005" t="s">
        <v>434</v>
      </c>
      <c r="D288" s="1022" t="e">
        <f>((0.032*(H34*D34/365))+(0.212-0.008*(D221-2)-((0.14-0.008*(D221-2))/(1+EXP(-6*(D$286-0.4)))))*(0*0.92))/6.25</f>
        <v>#DIV/0!</v>
      </c>
      <c r="E288" s="1022" t="e">
        <f>((0.032*0)+(0.212-0.008*(E221-2)-((0.14-0.008*(E221-2))/(1+EXP(-6*(E$286-0.4)))))*(E22*0.92))/6.25</f>
        <v>#N/A</v>
      </c>
      <c r="F288" s="1022" t="e">
        <f>((0.032*0)+(0.212-0.008*(F221-2)-((0.14-0.008*(F221-2))/(1+EXP(-6*(F$286-0.4)))))*(F22*0.92))/6.25</f>
        <v>#N/A</v>
      </c>
      <c r="G288" s="1022" t="e">
        <f>((0.032*0)+(0.212-0.008*(G221-2)-((0.14-0.008*(G221-2))/(1+EXP(-6*(G$286-0.4)))))*(0*0.92))/6.25</f>
        <v>#N/A</v>
      </c>
      <c r="H288" s="1022" t="e">
        <f>((0.032*0)+(0.212-0.008*(H221-2)-((0.14-0.008*(H221-2))/(1+EXP(-6*(H$286-0.4)))))*(H22*0.92))/6.25</f>
        <v>#N/A</v>
      </c>
      <c r="I288" s="1022" t="e">
        <f>((0.032*0)+(0.212-0.008*(I221-2)-((0.14-0.008*(I221-2))/(1+EXP(-6*(I$286-0.4)))))*(I22*0.92))/6.25</f>
        <v>#N/A</v>
      </c>
      <c r="J288" s="1012" t="s">
        <v>283</v>
      </c>
      <c r="K288" s="1001"/>
    </row>
    <row r="289" spans="2:11" s="1201" customFormat="1" ht="15.5" hidden="1" x14ac:dyDescent="0.35">
      <c r="B289" s="1000"/>
      <c r="C289" s="1023"/>
      <c r="D289" s="1022"/>
      <c r="E289" s="1022"/>
      <c r="F289" s="1022"/>
      <c r="G289" s="1022"/>
      <c r="H289" s="1022"/>
      <c r="I289" s="1022"/>
      <c r="J289" s="1012"/>
      <c r="K289" s="1001"/>
    </row>
    <row r="290" spans="2:11" s="1201" customFormat="1" ht="18.5" hidden="1" x14ac:dyDescent="0.35">
      <c r="B290" s="1002" t="s">
        <v>284</v>
      </c>
      <c r="C290" s="1000"/>
      <c r="D290" s="1024" t="s">
        <v>285</v>
      </c>
      <c r="E290" s="1022"/>
      <c r="F290" s="1022"/>
      <c r="G290" s="1022"/>
      <c r="H290" s="1000"/>
      <c r="I290" s="1000"/>
      <c r="J290" s="1012"/>
      <c r="K290" s="1001" t="s">
        <v>286</v>
      </c>
    </row>
    <row r="291" spans="2:11" s="1201" customFormat="1" ht="15.5" hidden="1" x14ac:dyDescent="0.35">
      <c r="B291" s="1000"/>
      <c r="C291" s="1005" t="s">
        <v>434</v>
      </c>
      <c r="D291" s="1022" t="e">
        <f t="shared" ref="D291:I291" si="23">(D267/6.25)-D288-D272-((1.1*10^-4*D20^0.75)/6.25)</f>
        <v>#DIV/0!</v>
      </c>
      <c r="E291" s="1022" t="e">
        <f t="shared" si="23"/>
        <v>#N/A</v>
      </c>
      <c r="F291" s="1022" t="e">
        <f t="shared" si="23"/>
        <v>#N/A</v>
      </c>
      <c r="G291" s="1022" t="e">
        <f t="shared" si="23"/>
        <v>#N/A</v>
      </c>
      <c r="H291" s="1022" t="e">
        <f t="shared" si="23"/>
        <v>#N/A</v>
      </c>
      <c r="I291" s="1022" t="e">
        <f t="shared" si="23"/>
        <v>#N/A</v>
      </c>
      <c r="J291" s="1012" t="s">
        <v>283</v>
      </c>
      <c r="K291" s="1001"/>
    </row>
    <row r="292" spans="2:11" s="1201" customFormat="1" ht="15.5" hidden="1" x14ac:dyDescent="0.35">
      <c r="B292" s="1000"/>
      <c r="C292" s="1000"/>
      <c r="D292" s="1000"/>
      <c r="E292" s="1000"/>
      <c r="F292" s="1000"/>
      <c r="G292" s="1000"/>
      <c r="H292" s="1000"/>
      <c r="I292" s="1000"/>
      <c r="J292" s="1012"/>
      <c r="K292" s="1001"/>
    </row>
    <row r="293" spans="2:11" s="1201" customFormat="1" ht="15.5" hidden="1" x14ac:dyDescent="0.35">
      <c r="B293" s="1002" t="s">
        <v>444</v>
      </c>
      <c r="C293" s="1000"/>
      <c r="D293" s="1002" t="s">
        <v>436</v>
      </c>
      <c r="E293" s="1000"/>
      <c r="F293" s="1000"/>
      <c r="G293" s="1000"/>
      <c r="H293" s="1000"/>
      <c r="I293" s="1000"/>
      <c r="J293" s="1012"/>
      <c r="K293" s="1001" t="s">
        <v>287</v>
      </c>
    </row>
    <row r="294" spans="2:11" s="1201" customFormat="1" ht="15.5" hidden="1" x14ac:dyDescent="0.35">
      <c r="B294" s="1000"/>
      <c r="C294" s="1000"/>
      <c r="D294" s="1000"/>
      <c r="E294" s="1000"/>
      <c r="F294" s="1000"/>
      <c r="G294" s="1000"/>
      <c r="H294" s="1000"/>
      <c r="I294" s="1000"/>
      <c r="J294" s="1000"/>
      <c r="K294" s="1001"/>
    </row>
    <row r="295" spans="2:11" s="1201" customFormat="1" ht="15.5" hidden="1" x14ac:dyDescent="0.35">
      <c r="B295" s="1000"/>
      <c r="C295" s="1005" t="s">
        <v>434</v>
      </c>
      <c r="D295" s="1006" t="e">
        <f t="shared" ref="D295:I295" si="24">(365*D18*D272)*10^-6</f>
        <v>#DIV/0!</v>
      </c>
      <c r="E295" s="1006">
        <f t="shared" si="24"/>
        <v>0</v>
      </c>
      <c r="F295" s="1006">
        <f t="shared" si="24"/>
        <v>0</v>
      </c>
      <c r="G295" s="1006">
        <f t="shared" si="24"/>
        <v>0</v>
      </c>
      <c r="H295" s="1006">
        <f t="shared" si="24"/>
        <v>0</v>
      </c>
      <c r="I295" s="1006">
        <f t="shared" si="24"/>
        <v>0</v>
      </c>
      <c r="J295" s="1000" t="s">
        <v>438</v>
      </c>
      <c r="K295" s="1001"/>
    </row>
    <row r="296" spans="2:11" s="1201" customFormat="1" ht="15.5" hidden="1" x14ac:dyDescent="0.35">
      <c r="B296" s="1000"/>
      <c r="C296" s="1000"/>
      <c r="D296" s="1000"/>
      <c r="E296" s="1000"/>
      <c r="F296" s="1000"/>
      <c r="G296" s="1000"/>
      <c r="H296" s="1000"/>
      <c r="I296" s="1000"/>
      <c r="J296" s="1000"/>
      <c r="K296" s="1001"/>
    </row>
    <row r="297" spans="2:11" s="1201" customFormat="1" ht="15.5" hidden="1" x14ac:dyDescent="0.35">
      <c r="B297" s="1002" t="s">
        <v>445</v>
      </c>
      <c r="C297" s="1000"/>
      <c r="D297" s="1002" t="s">
        <v>437</v>
      </c>
      <c r="E297" s="1000"/>
      <c r="F297" s="1000"/>
      <c r="G297" s="1000"/>
      <c r="H297" s="1000"/>
      <c r="I297" s="1000"/>
      <c r="J297" s="1000"/>
      <c r="K297" s="1001" t="s">
        <v>289</v>
      </c>
    </row>
    <row r="298" spans="2:11" s="1201" customFormat="1" ht="15.5" hidden="1" x14ac:dyDescent="0.35">
      <c r="B298" s="1000"/>
      <c r="C298" s="1000"/>
      <c r="D298" s="1000"/>
      <c r="E298" s="1000"/>
      <c r="F298" s="1000"/>
      <c r="G298" s="1000"/>
      <c r="H298" s="1000"/>
      <c r="I298" s="1000"/>
      <c r="J298" s="1000"/>
      <c r="K298" s="1001"/>
    </row>
    <row r="299" spans="2:11" s="1201" customFormat="1" ht="15.5" hidden="1" x14ac:dyDescent="0.35">
      <c r="B299" s="1000"/>
      <c r="C299" s="1005" t="s">
        <v>434</v>
      </c>
      <c r="D299" s="1022" t="e">
        <f t="shared" ref="D299:I299" si="25">(365*D18*D291)*10^-6</f>
        <v>#DIV/0!</v>
      </c>
      <c r="E299" s="1022" t="e">
        <f t="shared" si="25"/>
        <v>#N/A</v>
      </c>
      <c r="F299" s="1022" t="e">
        <f t="shared" si="25"/>
        <v>#N/A</v>
      </c>
      <c r="G299" s="1022" t="e">
        <f t="shared" si="25"/>
        <v>#N/A</v>
      </c>
      <c r="H299" s="1022" t="e">
        <f t="shared" si="25"/>
        <v>#N/A</v>
      </c>
      <c r="I299" s="1022" t="e">
        <f t="shared" si="25"/>
        <v>#N/A</v>
      </c>
      <c r="J299" s="1000" t="s">
        <v>438</v>
      </c>
      <c r="K299" s="1001"/>
    </row>
    <row r="300" spans="2:11" s="1201" customFormat="1" ht="15.5" hidden="1" x14ac:dyDescent="0.35">
      <c r="B300" s="1000"/>
      <c r="C300" s="1000"/>
      <c r="D300" s="1000"/>
      <c r="E300" s="1000"/>
      <c r="F300" s="1000"/>
      <c r="G300" s="1000"/>
      <c r="H300" s="1000"/>
      <c r="I300" s="1000"/>
      <c r="J300" s="1000"/>
      <c r="K300" s="1001"/>
    </row>
    <row r="301" spans="2:11" s="1201" customFormat="1" ht="15.5" hidden="1" x14ac:dyDescent="0.35">
      <c r="B301" s="1002" t="s">
        <v>446</v>
      </c>
      <c r="C301" s="1000"/>
      <c r="D301" s="1002" t="s">
        <v>290</v>
      </c>
      <c r="E301" s="1000"/>
      <c r="F301" s="1000"/>
      <c r="G301" s="1000"/>
      <c r="H301" s="1000"/>
      <c r="I301" s="1000"/>
      <c r="J301" s="1000"/>
      <c r="K301" s="1001"/>
    </row>
    <row r="302" spans="2:11" s="1201" customFormat="1" ht="15.5" hidden="1" x14ac:dyDescent="0.35">
      <c r="B302" s="1000"/>
      <c r="C302" s="1000"/>
      <c r="D302" s="1025"/>
      <c r="E302" s="1025"/>
      <c r="F302" s="1025"/>
      <c r="G302" s="1025"/>
      <c r="H302" s="1025"/>
      <c r="I302" s="1025"/>
      <c r="J302" s="1012"/>
      <c r="K302" s="1001"/>
    </row>
    <row r="303" spans="2:11" s="1201" customFormat="1" ht="15.5" hidden="1" x14ac:dyDescent="0.35">
      <c r="B303" s="1000"/>
      <c r="C303" s="1005" t="s">
        <v>434</v>
      </c>
      <c r="D303" s="1025" t="e">
        <f t="shared" ref="D303:I303" si="26">D295+D299</f>
        <v>#DIV/0!</v>
      </c>
      <c r="E303" s="1025" t="e">
        <f t="shared" si="26"/>
        <v>#N/A</v>
      </c>
      <c r="F303" s="1025" t="e">
        <f t="shared" si="26"/>
        <v>#N/A</v>
      </c>
      <c r="G303" s="1025" t="e">
        <f t="shared" si="26"/>
        <v>#N/A</v>
      </c>
      <c r="H303" s="1025" t="e">
        <f t="shared" si="26"/>
        <v>#N/A</v>
      </c>
      <c r="I303" s="1025" t="e">
        <f t="shared" si="26"/>
        <v>#N/A</v>
      </c>
      <c r="J303" s="1000" t="s">
        <v>438</v>
      </c>
      <c r="K303" s="1001"/>
    </row>
    <row r="304" spans="2:11" s="1201" customFormat="1" ht="15.5" hidden="1" x14ac:dyDescent="0.35">
      <c r="B304" s="1000"/>
      <c r="C304" s="1005"/>
      <c r="D304" s="1000"/>
      <c r="E304" s="1000"/>
      <c r="F304" s="1000"/>
      <c r="G304" s="1000"/>
      <c r="H304" s="1000"/>
      <c r="I304" s="1000"/>
      <c r="J304" s="1000"/>
      <c r="K304" s="1001"/>
    </row>
    <row r="305" spans="2:11" s="1201" customFormat="1" ht="15.5" hidden="1" x14ac:dyDescent="0.35">
      <c r="B305" s="1002" t="s">
        <v>291</v>
      </c>
      <c r="C305" s="1023"/>
      <c r="D305" s="1002" t="s">
        <v>292</v>
      </c>
      <c r="E305" s="1023"/>
      <c r="F305" s="1023"/>
      <c r="G305" s="1023"/>
      <c r="H305" s="1012"/>
      <c r="I305" s="1012"/>
      <c r="J305" s="1000"/>
      <c r="K305" s="1001" t="s">
        <v>1407</v>
      </c>
    </row>
    <row r="306" spans="2:11" s="1201" customFormat="1" ht="15.5" hidden="1" x14ac:dyDescent="0.35">
      <c r="B306" s="1000"/>
      <c r="C306" s="1000"/>
      <c r="D306" s="1000" t="s">
        <v>293</v>
      </c>
      <c r="E306" s="1026"/>
      <c r="F306" s="1026"/>
      <c r="G306" s="1026"/>
      <c r="H306" s="1026"/>
      <c r="I306" s="1026"/>
      <c r="J306" s="1000"/>
      <c r="K306" s="1001" t="s">
        <v>1408</v>
      </c>
    </row>
    <row r="307" spans="2:11" s="1201" customFormat="1" ht="15.5" hidden="1" x14ac:dyDescent="0.35">
      <c r="B307" s="1000"/>
      <c r="C307" s="1000"/>
      <c r="D307" s="1000" t="s">
        <v>294</v>
      </c>
      <c r="E307" s="1000"/>
      <c r="F307" s="1000"/>
      <c r="G307" s="1000"/>
      <c r="H307" s="1000"/>
      <c r="I307" s="1000"/>
      <c r="J307" s="1000"/>
      <c r="K307" s="1001"/>
    </row>
    <row r="308" spans="2:11" s="1201" customFormat="1" ht="15.5" hidden="1" x14ac:dyDescent="0.35">
      <c r="B308" s="1000"/>
      <c r="C308" s="1000"/>
      <c r="D308" s="1000"/>
      <c r="E308" s="1000"/>
      <c r="F308" s="1000"/>
      <c r="G308" s="1000"/>
      <c r="H308" s="1000"/>
      <c r="I308" s="1000"/>
      <c r="J308" s="1000"/>
      <c r="K308" s="1027"/>
    </row>
    <row r="309" spans="2:11" s="1201" customFormat="1" ht="15.5" hidden="1" x14ac:dyDescent="0.35">
      <c r="B309" s="1028" t="s">
        <v>295</v>
      </c>
      <c r="C309" s="1000"/>
      <c r="D309" s="1002" t="s">
        <v>1409</v>
      </c>
      <c r="E309" s="1000"/>
      <c r="F309" s="1000"/>
      <c r="G309" s="1000"/>
      <c r="H309" s="1000"/>
      <c r="I309" s="1000"/>
      <c r="J309" s="1028" t="s">
        <v>296</v>
      </c>
      <c r="K309" s="1001"/>
    </row>
    <row r="310" spans="2:11" s="1201" customFormat="1" ht="15.5" hidden="1" x14ac:dyDescent="0.35">
      <c r="B310" s="1023" t="s">
        <v>1410</v>
      </c>
      <c r="C310" s="1005" t="s">
        <v>434</v>
      </c>
      <c r="D310" s="1029" t="e">
        <f>D303*$C$82%*$J$310*44/28</f>
        <v>#DIV/0!</v>
      </c>
      <c r="E310" s="1029" t="e">
        <f>E303*$C$83%*$J$310*44/28</f>
        <v>#N/A</v>
      </c>
      <c r="F310" s="1029" t="e">
        <f>F303*$C$83%*$J$310*44/28</f>
        <v>#N/A</v>
      </c>
      <c r="G310" s="1029" t="e">
        <f>G303*$C$83%*$J$310*44/28</f>
        <v>#N/A</v>
      </c>
      <c r="H310" s="1029" t="e">
        <f>H303*$C$83%*$J$310*44/28</f>
        <v>#N/A</v>
      </c>
      <c r="I310" s="1029" t="e">
        <f>I303*$C$83%*$J$310*44/28</f>
        <v>#N/A</v>
      </c>
      <c r="J310" s="1023">
        <v>1E-3</v>
      </c>
      <c r="K310" s="1001"/>
    </row>
    <row r="311" spans="2:11" s="1201" customFormat="1" ht="15.5" hidden="1" x14ac:dyDescent="0.35">
      <c r="B311" s="1000"/>
      <c r="C311" s="1000"/>
      <c r="D311" s="1000"/>
      <c r="E311" s="1000"/>
      <c r="F311" s="1000"/>
      <c r="G311" s="1000"/>
      <c r="H311" s="1000"/>
      <c r="I311" s="1000"/>
      <c r="J311" s="1000"/>
      <c r="K311" s="1001"/>
    </row>
    <row r="312" spans="2:11" s="1201" customFormat="1" ht="15.5" hidden="1" x14ac:dyDescent="0.35">
      <c r="B312" s="1023" t="s">
        <v>1411</v>
      </c>
      <c r="C312" s="1005" t="s">
        <v>434</v>
      </c>
      <c r="D312" s="1029" t="e">
        <f>D303*$D$82%*$J$312*44/28</f>
        <v>#DIV/0!</v>
      </c>
      <c r="E312" s="1029" t="e">
        <f>E303*$D$83%*$J$312*44/28</f>
        <v>#N/A</v>
      </c>
      <c r="F312" s="1029" t="e">
        <f>F303*$D$83%*$J$312*44/28</f>
        <v>#N/A</v>
      </c>
      <c r="G312" s="1029" t="e">
        <f>G303*$D$83%*$J$312*44/28</f>
        <v>#N/A</v>
      </c>
      <c r="H312" s="1029" t="e">
        <f>H303*$D$83%*$J$312*44/28</f>
        <v>#N/A</v>
      </c>
      <c r="I312" s="1029" t="e">
        <f>I303*$D$83%*$J$312*44/28</f>
        <v>#N/A</v>
      </c>
      <c r="J312" s="1023">
        <v>1E-3</v>
      </c>
      <c r="K312" s="1001"/>
    </row>
    <row r="313" spans="2:11" s="1201" customFormat="1" ht="15.5" hidden="1" x14ac:dyDescent="0.35">
      <c r="B313" s="1000"/>
      <c r="C313" s="1000"/>
      <c r="D313" s="1000"/>
      <c r="E313" s="1000"/>
      <c r="F313" s="1000"/>
      <c r="G313" s="1000"/>
      <c r="H313" s="1000"/>
      <c r="I313" s="1000"/>
      <c r="J313" s="1000"/>
      <c r="K313" s="1001"/>
    </row>
    <row r="314" spans="2:11" s="1201" customFormat="1" ht="15.5" hidden="1" x14ac:dyDescent="0.35">
      <c r="B314" s="1023" t="s">
        <v>1412</v>
      </c>
      <c r="C314" s="1005" t="s">
        <v>434</v>
      </c>
      <c r="D314" s="1029" t="e">
        <f>D303*$E$82%*$J$314*44/28</f>
        <v>#DIV/0!</v>
      </c>
      <c r="E314" s="1029" t="e">
        <f>E303*$E$83%*$J$314*44/28</f>
        <v>#N/A</v>
      </c>
      <c r="F314" s="1029" t="e">
        <f>F303*$E$83%*$J$314*44/28</f>
        <v>#N/A</v>
      </c>
      <c r="G314" s="1029" t="e">
        <f>G303*$E$83%*$J$314*44/28</f>
        <v>#N/A</v>
      </c>
      <c r="H314" s="1029" t="e">
        <f>H303*$E$83%*$J$314*44/28</f>
        <v>#N/A</v>
      </c>
      <c r="I314" s="1029" t="e">
        <f>I303*$E$83%*$J$314*44/28</f>
        <v>#N/A</v>
      </c>
      <c r="J314" s="1023">
        <v>0</v>
      </c>
      <c r="K314" s="1001"/>
    </row>
    <row r="315" spans="2:11" s="1201" customFormat="1" ht="15.5" hidden="1" x14ac:dyDescent="0.35">
      <c r="B315" s="1000"/>
      <c r="C315" s="1005"/>
      <c r="D315" s="1029"/>
      <c r="E315" s="1029"/>
      <c r="F315" s="1029"/>
      <c r="G315" s="1029"/>
      <c r="H315" s="1029"/>
      <c r="I315" s="1029"/>
      <c r="J315" s="1000"/>
      <c r="K315" s="1001"/>
    </row>
    <row r="316" spans="2:11" s="1201" customFormat="1" ht="15.5" hidden="1" x14ac:dyDescent="0.35">
      <c r="B316" s="1023" t="s">
        <v>1413</v>
      </c>
      <c r="C316" s="1005" t="s">
        <v>434</v>
      </c>
      <c r="D316" s="1029" t="e">
        <f>D303*($F$82%+$G$82%)*$J$316*44/28</f>
        <v>#DIV/0!</v>
      </c>
      <c r="E316" s="1029" t="e">
        <f>E303*($F$83%+$G$83%)*$J$316*44/28</f>
        <v>#N/A</v>
      </c>
      <c r="F316" s="1029" t="e">
        <f>F303*($F$83%+$G$83%)*$J$316*44/28</f>
        <v>#N/A</v>
      </c>
      <c r="G316" s="1029" t="e">
        <f>G303*($F$83%+$G$83%)*$J$316*44/28</f>
        <v>#N/A</v>
      </c>
      <c r="H316" s="1029" t="e">
        <f>H303*($F$83%+$G$83%)*$J$316*44/28</f>
        <v>#N/A</v>
      </c>
      <c r="I316" s="1029" t="e">
        <f>I303*($F$83%+$G$83%)*$J$316*44/28</f>
        <v>#N/A</v>
      </c>
      <c r="J316" s="1005">
        <v>0.02</v>
      </c>
      <c r="K316" s="1001"/>
    </row>
    <row r="317" spans="2:11" s="1201" customFormat="1" ht="15.5" hidden="1" x14ac:dyDescent="0.35">
      <c r="B317" s="1000"/>
      <c r="C317" s="1005"/>
      <c r="D317" s="1029"/>
      <c r="E317" s="1029"/>
      <c r="F317" s="1029"/>
      <c r="G317" s="1029"/>
      <c r="H317" s="1029"/>
      <c r="I317" s="1029"/>
      <c r="J317" s="1000"/>
      <c r="K317" s="1001"/>
    </row>
    <row r="318" spans="2:11" s="1201" customFormat="1" ht="15.5" hidden="1" x14ac:dyDescent="0.35">
      <c r="B318" s="1023" t="s">
        <v>1414</v>
      </c>
      <c r="C318" s="1005" t="s">
        <v>434</v>
      </c>
      <c r="D318" s="1029" t="e">
        <f>D303*$H$82%*$J$318*44/28</f>
        <v>#DIV/0!</v>
      </c>
      <c r="E318" s="1029" t="e">
        <f>E303*$H$83%*$J$318*44/28</f>
        <v>#N/A</v>
      </c>
      <c r="F318" s="1029" t="e">
        <f>F303*$H$83%*$J$318*44/28</f>
        <v>#N/A</v>
      </c>
      <c r="G318" s="1029" t="e">
        <f>G303*$H$83%*$J$318*44/28</f>
        <v>#N/A</v>
      </c>
      <c r="H318" s="1029" t="e">
        <f>H303*$H$83%*$J$318*44/28</f>
        <v>#N/A</v>
      </c>
      <c r="I318" s="1029" t="e">
        <f>I303*$H$83%*$J$318*44/28</f>
        <v>#N/A</v>
      </c>
      <c r="J318" s="1005">
        <v>1E-3</v>
      </c>
      <c r="K318" s="1001"/>
    </row>
    <row r="319" spans="2:11" s="1201" customFormat="1" ht="15.5" hidden="1" x14ac:dyDescent="0.35">
      <c r="B319" s="1000"/>
      <c r="C319" s="1005"/>
      <c r="D319" s="1029"/>
      <c r="E319" s="1029"/>
      <c r="F319" s="1029"/>
      <c r="G319" s="1029"/>
      <c r="H319" s="1029"/>
      <c r="I319" s="1029"/>
      <c r="J319" s="1000"/>
      <c r="K319" s="1001"/>
    </row>
    <row r="320" spans="2:11" s="1201" customFormat="1" ht="15.5" hidden="1" x14ac:dyDescent="0.35">
      <c r="B320" s="1023" t="s">
        <v>297</v>
      </c>
      <c r="C320" s="1005" t="s">
        <v>434</v>
      </c>
      <c r="D320" s="1029" t="e">
        <f>D303*$I$82%*$J$320*44/28</f>
        <v>#DIV/0!</v>
      </c>
      <c r="E320" s="1029" t="e">
        <f>E303*$I$83%*$J$320*44/28</f>
        <v>#N/A</v>
      </c>
      <c r="F320" s="1029" t="e">
        <f>F303*$I$83%*$J$320*44/28</f>
        <v>#N/A</v>
      </c>
      <c r="G320" s="1029" t="e">
        <f>G303*$I$83%*$J$320*44/28</f>
        <v>#N/A</v>
      </c>
      <c r="H320" s="1029" t="e">
        <f>H303*$I$83%*$J$320*44/28</f>
        <v>#N/A</v>
      </c>
      <c r="I320" s="1029" t="e">
        <f>I303*$I$83%*$J$320*44/28</f>
        <v>#N/A</v>
      </c>
      <c r="J320" s="1023">
        <v>0</v>
      </c>
      <c r="K320" s="1001"/>
    </row>
    <row r="321" spans="2:14" s="1201" customFormat="1" ht="15.5" hidden="1" x14ac:dyDescent="0.35">
      <c r="B321" s="1000"/>
      <c r="C321" s="1000"/>
      <c r="D321" s="1029"/>
      <c r="E321" s="1029"/>
      <c r="F321" s="1029"/>
      <c r="G321" s="1029"/>
      <c r="H321" s="1029"/>
      <c r="I321" s="1029"/>
      <c r="J321" s="1000"/>
      <c r="K321" s="1001"/>
    </row>
    <row r="322" spans="2:14" s="1201" customFormat="1" ht="15.5" hidden="1" x14ac:dyDescent="0.35">
      <c r="B322" s="1002" t="s">
        <v>1415</v>
      </c>
      <c r="C322" s="1005" t="s">
        <v>434</v>
      </c>
      <c r="D322" s="1029" t="e">
        <f t="shared" ref="D322:I322" si="27">SUM(D310,D312,D314,D316,D318,D320)</f>
        <v>#DIV/0!</v>
      </c>
      <c r="E322" s="1029" t="e">
        <f t="shared" si="27"/>
        <v>#N/A</v>
      </c>
      <c r="F322" s="1029" t="e">
        <f t="shared" si="27"/>
        <v>#N/A</v>
      </c>
      <c r="G322" s="1029" t="e">
        <f t="shared" si="27"/>
        <v>#N/A</v>
      </c>
      <c r="H322" s="1029" t="e">
        <f t="shared" si="27"/>
        <v>#N/A</v>
      </c>
      <c r="I322" s="1029" t="e">
        <f t="shared" si="27"/>
        <v>#N/A</v>
      </c>
      <c r="J322" s="1000" t="s">
        <v>439</v>
      </c>
      <c r="K322" s="1001"/>
    </row>
    <row r="323" spans="2:14" s="1201" customFormat="1" ht="15.5" hidden="1" x14ac:dyDescent="0.35">
      <c r="B323" s="1000"/>
      <c r="C323" s="1000"/>
      <c r="D323" s="1000"/>
      <c r="E323" s="1000"/>
      <c r="F323" s="1000"/>
      <c r="G323" s="1000"/>
      <c r="H323" s="1000"/>
      <c r="I323" s="1000"/>
      <c r="J323" s="1000"/>
      <c r="K323" s="1001"/>
    </row>
    <row r="324" spans="2:14" s="1201" customFormat="1" ht="15.5" hidden="1" x14ac:dyDescent="0.35">
      <c r="B324" s="1000" t="s">
        <v>1416</v>
      </c>
      <c r="C324" s="1005" t="s">
        <v>434</v>
      </c>
      <c r="D324" s="1029" t="e">
        <f t="shared" ref="D324:I324" si="28">SUM(D310,D312,D314,D316,D318)</f>
        <v>#DIV/0!</v>
      </c>
      <c r="E324" s="1029" t="e">
        <f t="shared" si="28"/>
        <v>#N/A</v>
      </c>
      <c r="F324" s="1029" t="e">
        <f t="shared" si="28"/>
        <v>#N/A</v>
      </c>
      <c r="G324" s="1029" t="e">
        <f t="shared" si="28"/>
        <v>#N/A</v>
      </c>
      <c r="H324" s="1029" t="e">
        <f t="shared" si="28"/>
        <v>#N/A</v>
      </c>
      <c r="I324" s="1029" t="e">
        <f t="shared" si="28"/>
        <v>#N/A</v>
      </c>
      <c r="J324" s="1000" t="s">
        <v>439</v>
      </c>
      <c r="K324" s="1001"/>
    </row>
    <row r="325" spans="2:14" s="1201" customFormat="1" ht="15.5" hidden="1" x14ac:dyDescent="0.35">
      <c r="B325" s="1000"/>
      <c r="C325" s="1005"/>
      <c r="D325" s="1000"/>
      <c r="E325" s="1000"/>
      <c r="F325" s="1000"/>
      <c r="G325" s="1000"/>
      <c r="H325" s="1000"/>
      <c r="I325" s="1000"/>
      <c r="J325" s="1000"/>
      <c r="K325" s="1001"/>
    </row>
    <row r="326" spans="2:14" s="1201" customFormat="1" ht="15.5" hidden="1" x14ac:dyDescent="0.35">
      <c r="B326" s="1002" t="s">
        <v>263</v>
      </c>
      <c r="C326" s="1029" t="e">
        <f>SUM(D322:I322)</f>
        <v>#DIV/0!</v>
      </c>
      <c r="D326" s="1000"/>
      <c r="E326" s="1000"/>
      <c r="F326" s="1000"/>
      <c r="G326" s="1000"/>
      <c r="H326" s="1000"/>
      <c r="I326" s="1000"/>
      <c r="J326" s="1026" t="s">
        <v>299</v>
      </c>
      <c r="K326" s="1001"/>
    </row>
    <row r="327" spans="2:14" s="1201" customFormat="1" ht="15.5" hidden="1" x14ac:dyDescent="0.35">
      <c r="B327" s="1002" t="s">
        <v>263</v>
      </c>
      <c r="C327" s="1030" t="e">
        <f>C326*310</f>
        <v>#DIV/0!</v>
      </c>
      <c r="D327" s="1000"/>
      <c r="E327" s="1000"/>
      <c r="F327" s="1000"/>
      <c r="G327" s="1000"/>
      <c r="H327" s="1000"/>
      <c r="I327" s="1000"/>
      <c r="J327" s="1000" t="s">
        <v>265</v>
      </c>
      <c r="K327" s="1001"/>
    </row>
    <row r="328" spans="2:14" s="1201" customFormat="1" ht="15.5" hidden="1" x14ac:dyDescent="0.35">
      <c r="B328" s="1300" t="s">
        <v>263</v>
      </c>
      <c r="C328" s="1301" t="e">
        <f>C327*10^3</f>
        <v>#DIV/0!</v>
      </c>
      <c r="D328" s="1302"/>
      <c r="E328" s="1302"/>
      <c r="F328" s="1302"/>
      <c r="G328" s="1302"/>
      <c r="H328" s="1302"/>
      <c r="I328" s="1583"/>
      <c r="J328" s="1302" t="s">
        <v>266</v>
      </c>
      <c r="K328" s="1303"/>
    </row>
    <row r="329" spans="2:14" s="1201" customFormat="1" ht="15.5" hidden="1" x14ac:dyDescent="0.35">
      <c r="M329" s="996"/>
      <c r="N329" s="996"/>
    </row>
    <row r="330" spans="2:14" s="1201" customFormat="1" ht="15.5" hidden="1" x14ac:dyDescent="0.35">
      <c r="B330" s="1031" t="s">
        <v>245</v>
      </c>
      <c r="C330" s="1032"/>
      <c r="D330" s="1033"/>
      <c r="E330" s="1033"/>
      <c r="F330" s="1033"/>
      <c r="G330" s="1033"/>
      <c r="H330" s="1033"/>
      <c r="I330" s="1033"/>
      <c r="J330" s="1034" t="s">
        <v>215</v>
      </c>
      <c r="K330" s="1035" t="s">
        <v>230</v>
      </c>
      <c r="L330" s="1036"/>
      <c r="M330" s="996"/>
      <c r="N330" s="996"/>
    </row>
    <row r="331" spans="2:14" s="1201" customFormat="1" ht="15.5" hidden="1" x14ac:dyDescent="0.35">
      <c r="B331" s="1037" t="s">
        <v>303</v>
      </c>
      <c r="C331" s="1371"/>
      <c r="D331" s="1371"/>
      <c r="E331" s="1371"/>
      <c r="F331" s="1371"/>
      <c r="G331" s="1371"/>
      <c r="H331" s="1371"/>
      <c r="I331" s="1371"/>
      <c r="J331" s="1371"/>
      <c r="K331" s="1038"/>
      <c r="L331" s="1036"/>
      <c r="M331" s="996"/>
      <c r="N331" s="996"/>
    </row>
    <row r="332" spans="2:14" s="1201" customFormat="1" ht="15.5" hidden="1" x14ac:dyDescent="0.35">
      <c r="B332" s="1037" t="s">
        <v>805</v>
      </c>
      <c r="C332" s="1037" t="s">
        <v>304</v>
      </c>
      <c r="D332" s="1371"/>
      <c r="E332" s="1371"/>
      <c r="F332" s="1371"/>
      <c r="G332" s="1371"/>
      <c r="H332" s="1371"/>
      <c r="I332" s="1371"/>
      <c r="J332" s="1371"/>
      <c r="K332" s="1038" t="s">
        <v>305</v>
      </c>
      <c r="L332" s="1036"/>
      <c r="M332" s="996"/>
      <c r="N332" s="996"/>
    </row>
    <row r="333" spans="2:14" s="1201" customFormat="1" ht="15.5" hidden="1" x14ac:dyDescent="0.35">
      <c r="B333" s="1371"/>
      <c r="C333" s="1371" t="s">
        <v>306</v>
      </c>
      <c r="D333" s="1371"/>
      <c r="E333" s="1371"/>
      <c r="F333" s="1371"/>
      <c r="G333" s="1371"/>
      <c r="H333" s="1371"/>
      <c r="I333" s="1371"/>
      <c r="J333" s="1371" t="s">
        <v>307</v>
      </c>
      <c r="K333" s="1038"/>
      <c r="L333" s="1036"/>
      <c r="M333" s="996"/>
      <c r="N333" s="996"/>
    </row>
    <row r="334" spans="2:14" s="1201" customFormat="1" ht="15.5" hidden="1" x14ac:dyDescent="0.35">
      <c r="B334" s="1371"/>
      <c r="C334" s="1371" t="s">
        <v>308</v>
      </c>
      <c r="D334" s="1371"/>
      <c r="E334" s="1371"/>
      <c r="F334" s="1371"/>
      <c r="G334" s="1371"/>
      <c r="H334" s="1371"/>
      <c r="I334" s="1371"/>
      <c r="J334" s="1371"/>
      <c r="K334" s="1038" t="s">
        <v>309</v>
      </c>
      <c r="L334" s="1036"/>
      <c r="M334" s="996"/>
      <c r="N334" s="996"/>
    </row>
    <row r="335" spans="2:14" s="1201" customFormat="1" ht="15.5" hidden="1" x14ac:dyDescent="0.35">
      <c r="B335" s="1371"/>
      <c r="C335" s="1371"/>
      <c r="D335" s="1371"/>
      <c r="E335" s="1371"/>
      <c r="F335" s="1371"/>
      <c r="G335" s="1371"/>
      <c r="H335" s="1371"/>
      <c r="I335" s="1371"/>
      <c r="J335" s="1371"/>
      <c r="K335" s="1038"/>
      <c r="L335" s="1036"/>
      <c r="M335" s="996"/>
      <c r="N335" s="996"/>
    </row>
    <row r="336" spans="2:14" s="1201" customFormat="1" ht="15.5" hidden="1" x14ac:dyDescent="0.35">
      <c r="B336" s="1372" t="s">
        <v>302</v>
      </c>
      <c r="C336" s="1039"/>
      <c r="D336" s="1050">
        <f>IF($T$192="1",($C$51*G51*10^-6),(G51*10^-3))</f>
        <v>0</v>
      </c>
      <c r="E336" s="1371"/>
      <c r="F336" s="1371"/>
      <c r="G336" s="1371"/>
      <c r="H336" s="1371"/>
      <c r="I336" s="1371"/>
      <c r="J336" s="1371" t="s">
        <v>859</v>
      </c>
      <c r="K336" s="1038"/>
      <c r="L336" s="1036"/>
      <c r="M336" s="996"/>
      <c r="N336" s="996"/>
    </row>
    <row r="337" spans="2:14" s="1201" customFormat="1" ht="15.5" hidden="1" x14ac:dyDescent="0.35">
      <c r="B337" s="1372" t="s">
        <v>858</v>
      </c>
      <c r="C337" s="1039"/>
      <c r="D337" s="1050">
        <f>IF($T$192="1",($C$52*G52)*10^-6,(G52*10^-3))</f>
        <v>0</v>
      </c>
      <c r="E337" s="1371"/>
      <c r="F337" s="1371"/>
      <c r="G337" s="1371"/>
      <c r="H337" s="1371"/>
      <c r="I337" s="1371"/>
      <c r="J337" s="1371" t="s">
        <v>859</v>
      </c>
      <c r="K337" s="1038"/>
      <c r="L337" s="996"/>
      <c r="M337" s="996"/>
      <c r="N337" s="996"/>
    </row>
    <row r="338" spans="2:14" s="1201" customFormat="1" ht="15.5" hidden="1" x14ac:dyDescent="0.35">
      <c r="B338" s="1371"/>
      <c r="C338" s="1371"/>
      <c r="D338" s="1050"/>
      <c r="E338" s="1371"/>
      <c r="F338" s="1371"/>
      <c r="G338" s="1371"/>
      <c r="H338" s="1371"/>
      <c r="I338" s="1371"/>
      <c r="J338" s="1371"/>
      <c r="K338" s="1038"/>
      <c r="L338" s="996"/>
      <c r="M338" s="996"/>
      <c r="N338" s="996"/>
    </row>
    <row r="339" spans="2:14" s="1201" customFormat="1" ht="15.5" hidden="1" x14ac:dyDescent="0.35">
      <c r="B339" s="1037" t="s">
        <v>310</v>
      </c>
      <c r="C339" s="1037" t="s">
        <v>311</v>
      </c>
      <c r="D339" s="1371"/>
      <c r="E339" s="1371"/>
      <c r="F339" s="1371"/>
      <c r="G339" s="1371"/>
      <c r="H339" s="1371"/>
      <c r="I339" s="1371"/>
      <c r="J339" s="1371" t="s">
        <v>860</v>
      </c>
      <c r="K339" s="1038" t="s">
        <v>313</v>
      </c>
      <c r="L339" s="996"/>
      <c r="M339" s="996"/>
      <c r="N339" s="996"/>
    </row>
    <row r="340" spans="2:14" s="1201" customFormat="1" ht="15.5" hidden="1" x14ac:dyDescent="0.35">
      <c r="B340" s="1371"/>
      <c r="C340" s="1371" t="s">
        <v>314</v>
      </c>
      <c r="D340" s="1371"/>
      <c r="E340" s="1371"/>
      <c r="F340" s="1371"/>
      <c r="G340" s="1371"/>
      <c r="H340" s="1371"/>
      <c r="I340" s="1371"/>
      <c r="J340" s="1371" t="s">
        <v>315</v>
      </c>
      <c r="K340" s="1038" t="s">
        <v>316</v>
      </c>
      <c r="L340" s="996"/>
      <c r="M340" s="996"/>
      <c r="N340" s="996"/>
    </row>
    <row r="341" spans="2:14" s="1201" customFormat="1" ht="15.5" hidden="1" x14ac:dyDescent="0.35">
      <c r="B341" s="1371"/>
      <c r="C341" s="1371"/>
      <c r="D341" s="1371"/>
      <c r="E341" s="1371"/>
      <c r="F341" s="1371"/>
      <c r="G341" s="1371"/>
      <c r="H341" s="1371"/>
      <c r="I341" s="1371"/>
      <c r="J341" s="1371"/>
      <c r="K341" s="1038"/>
      <c r="L341" s="996"/>
      <c r="M341" s="996"/>
      <c r="N341" s="996"/>
    </row>
    <row r="342" spans="2:14" s="1201" customFormat="1" ht="15.5" hidden="1" x14ac:dyDescent="0.35">
      <c r="B342" s="1129" t="s">
        <v>317</v>
      </c>
      <c r="C342" s="1130" t="s">
        <v>318</v>
      </c>
      <c r="D342" s="1371"/>
      <c r="E342" s="1041" t="s">
        <v>302</v>
      </c>
      <c r="F342" s="1371"/>
      <c r="G342" s="1050">
        <f>D336*$C$345*44/28</f>
        <v>0</v>
      </c>
      <c r="H342" s="1131"/>
      <c r="I342" s="1131"/>
      <c r="J342" s="1371" t="s">
        <v>860</v>
      </c>
      <c r="K342" s="1038"/>
      <c r="L342" s="996"/>
      <c r="M342" s="996"/>
      <c r="N342" s="996"/>
    </row>
    <row r="343" spans="2:14" s="1201" customFormat="1" ht="15.5" hidden="1" x14ac:dyDescent="0.35">
      <c r="B343" s="1132" t="s">
        <v>319</v>
      </c>
      <c r="C343" s="1133">
        <v>4.0000000000000001E-3</v>
      </c>
      <c r="D343" s="1371"/>
      <c r="E343" s="1041" t="s">
        <v>301</v>
      </c>
      <c r="F343" s="1371"/>
      <c r="G343" s="1050">
        <f>D337*$C$346*44/28</f>
        <v>0</v>
      </c>
      <c r="H343" s="1131"/>
      <c r="I343" s="1131"/>
      <c r="J343" s="1371" t="s">
        <v>860</v>
      </c>
      <c r="K343" s="1038"/>
      <c r="L343" s="996"/>
      <c r="M343" s="996"/>
      <c r="N343" s="996"/>
    </row>
    <row r="344" spans="2:14" s="1201" customFormat="1" ht="15.5" hidden="1" x14ac:dyDescent="0.35">
      <c r="B344" s="1132" t="s">
        <v>320</v>
      </c>
      <c r="C344" s="1133">
        <v>2.1000000000000001E-2</v>
      </c>
      <c r="D344" s="1371"/>
      <c r="E344" s="1372"/>
      <c r="F344" s="1371"/>
      <c r="G344" s="1040"/>
      <c r="H344" s="1131"/>
      <c r="I344" s="1131"/>
      <c r="J344" s="1371"/>
      <c r="K344" s="1038"/>
      <c r="L344" s="996"/>
      <c r="M344" s="996"/>
      <c r="N344" s="996"/>
    </row>
    <row r="345" spans="2:14" s="1201" customFormat="1" ht="15.5" hidden="1" x14ac:dyDescent="0.35">
      <c r="B345" s="1134" t="s">
        <v>321</v>
      </c>
      <c r="C345" s="1135">
        <v>4.0000000000000001E-3</v>
      </c>
      <c r="D345" s="1371"/>
      <c r="E345" s="1372"/>
      <c r="F345" s="1371"/>
      <c r="G345" s="1040"/>
      <c r="H345" s="1131"/>
      <c r="I345" s="1131"/>
      <c r="J345" s="1371"/>
      <c r="K345" s="1038"/>
      <c r="L345" s="996"/>
      <c r="M345" s="996"/>
      <c r="N345" s="996"/>
    </row>
    <row r="346" spans="2:14" s="1201" customFormat="1" ht="15.5" hidden="1" x14ac:dyDescent="0.35">
      <c r="B346" s="1134" t="s">
        <v>322</v>
      </c>
      <c r="C346" s="1135">
        <v>3.0000000000000001E-3</v>
      </c>
      <c r="D346" s="1371"/>
      <c r="E346" s="1371"/>
      <c r="F346" s="1371"/>
      <c r="G346" s="1040"/>
      <c r="H346" s="1131"/>
      <c r="I346" s="1131"/>
      <c r="J346" s="1371"/>
      <c r="K346" s="1038"/>
      <c r="L346" s="996"/>
      <c r="M346" s="996"/>
      <c r="N346" s="996"/>
    </row>
    <row r="347" spans="2:14" s="1201" customFormat="1" ht="15.5" hidden="1" x14ac:dyDescent="0.35">
      <c r="B347" s="1132" t="s">
        <v>323</v>
      </c>
      <c r="C347" s="1133">
        <v>1.2500000000000001E-2</v>
      </c>
      <c r="D347" s="1371"/>
      <c r="E347" s="1371"/>
      <c r="F347" s="1371"/>
      <c r="G347" s="1040"/>
      <c r="H347" s="1371"/>
      <c r="I347" s="1371"/>
      <c r="J347" s="1371"/>
      <c r="K347" s="1038"/>
      <c r="L347" s="996"/>
      <c r="M347" s="996"/>
      <c r="N347" s="996"/>
    </row>
    <row r="348" spans="2:14" s="1201" customFormat="1" ht="15.5" hidden="1" x14ac:dyDescent="0.35">
      <c r="B348" s="1132" t="s">
        <v>324</v>
      </c>
      <c r="C348" s="1133">
        <v>5.0000000000000001E-3</v>
      </c>
      <c r="D348" s="1371"/>
      <c r="E348" s="1041"/>
      <c r="F348" s="1371"/>
      <c r="G348" s="1373"/>
      <c r="H348" s="1136"/>
      <c r="I348" s="1136"/>
      <c r="J348" s="1371"/>
      <c r="K348" s="1038"/>
      <c r="L348" s="996"/>
      <c r="M348" s="996"/>
      <c r="N348" s="996"/>
    </row>
    <row r="349" spans="2:14" s="1201" customFormat="1" ht="15.5" hidden="1" x14ac:dyDescent="0.35">
      <c r="B349" s="1137" t="s">
        <v>325</v>
      </c>
      <c r="C349" s="1138">
        <v>2.1000000000000001E-2</v>
      </c>
      <c r="D349" s="1371"/>
      <c r="E349" s="1372"/>
      <c r="F349" s="1371"/>
      <c r="G349" s="1373"/>
      <c r="H349" s="1136"/>
      <c r="I349" s="1136"/>
      <c r="J349" s="1371"/>
      <c r="K349" s="1038"/>
      <c r="L349" s="996"/>
      <c r="M349" s="996"/>
      <c r="N349" s="996"/>
    </row>
    <row r="350" spans="2:14" s="1201" customFormat="1" ht="15.5" hidden="1" x14ac:dyDescent="0.35">
      <c r="B350" s="1371"/>
      <c r="C350" s="1371"/>
      <c r="D350" s="1371"/>
      <c r="E350" s="1372"/>
      <c r="F350" s="1371"/>
      <c r="G350" s="1373"/>
      <c r="H350" s="1136"/>
      <c r="I350" s="1136"/>
      <c r="J350" s="1371"/>
      <c r="K350" s="1038"/>
      <c r="L350" s="996"/>
      <c r="M350" s="996"/>
      <c r="N350" s="996"/>
    </row>
    <row r="351" spans="2:14" s="1201" customFormat="1" ht="15.5" hidden="1" x14ac:dyDescent="0.35">
      <c r="B351" s="1371"/>
      <c r="C351" s="1371"/>
      <c r="D351" s="1371"/>
      <c r="E351" s="1372"/>
      <c r="F351" s="1371"/>
      <c r="G351" s="1373"/>
      <c r="H351" s="1136"/>
      <c r="I351" s="1136"/>
      <c r="J351" s="1371"/>
      <c r="K351" s="1038"/>
      <c r="L351" s="996"/>
      <c r="M351" s="996"/>
      <c r="N351" s="996"/>
    </row>
    <row r="352" spans="2:14" s="1201" customFormat="1" ht="15.5" hidden="1" x14ac:dyDescent="0.35">
      <c r="B352" s="1371"/>
      <c r="C352" s="1371"/>
      <c r="D352" s="1371"/>
      <c r="E352" s="1371"/>
      <c r="F352" s="1371"/>
      <c r="G352" s="1040"/>
      <c r="H352" s="1139"/>
      <c r="I352" s="1139"/>
      <c r="J352" s="1371"/>
      <c r="K352" s="1038"/>
      <c r="L352" s="996"/>
      <c r="M352" s="996"/>
      <c r="N352" s="996"/>
    </row>
    <row r="353" spans="2:21" s="1201" customFormat="1" ht="15.5" hidden="1" x14ac:dyDescent="0.35">
      <c r="B353" s="1371"/>
      <c r="C353" s="1371"/>
      <c r="D353" s="1371"/>
      <c r="E353" s="1371"/>
      <c r="F353" s="1371"/>
      <c r="G353" s="1371"/>
      <c r="H353" s="1371"/>
      <c r="I353" s="1371"/>
      <c r="J353" s="1371"/>
      <c r="K353" s="1038"/>
      <c r="L353" s="996"/>
      <c r="M353" s="996"/>
      <c r="N353" s="996"/>
    </row>
    <row r="354" spans="2:21" s="1201" customFormat="1" ht="15.5" hidden="1" x14ac:dyDescent="0.35">
      <c r="B354" s="1037" t="s">
        <v>326</v>
      </c>
      <c r="C354" s="1054">
        <f>SUM(G342:G343)</f>
        <v>0</v>
      </c>
      <c r="D354" s="1371"/>
      <c r="E354" s="1371"/>
      <c r="F354" s="1371"/>
      <c r="G354" s="1371"/>
      <c r="H354" s="1371"/>
      <c r="I354" s="1371"/>
      <c r="J354" s="1371" t="s">
        <v>299</v>
      </c>
      <c r="K354" s="1038"/>
      <c r="L354" s="996"/>
      <c r="M354" s="996"/>
      <c r="N354" s="996"/>
    </row>
    <row r="355" spans="2:21" s="1201" customFormat="1" ht="15.5" hidden="1" x14ac:dyDescent="0.35">
      <c r="B355" s="1037" t="s">
        <v>326</v>
      </c>
      <c r="C355" s="1085">
        <f>C354*310</f>
        <v>0</v>
      </c>
      <c r="D355" s="1371"/>
      <c r="E355" s="1371"/>
      <c r="F355" s="1371"/>
      <c r="G355" s="1371"/>
      <c r="H355" s="1371"/>
      <c r="I355" s="1371"/>
      <c r="J355" s="1371" t="s">
        <v>265</v>
      </c>
      <c r="K355" s="1038"/>
      <c r="L355" s="996"/>
      <c r="M355" s="996"/>
      <c r="N355" s="996"/>
    </row>
    <row r="356" spans="2:21" s="1201" customFormat="1" ht="15.5" hidden="1" x14ac:dyDescent="0.35">
      <c r="B356" s="1037" t="s">
        <v>326</v>
      </c>
      <c r="C356" s="1042">
        <f>C355*10^3</f>
        <v>0</v>
      </c>
      <c r="D356" s="1371"/>
      <c r="E356" s="1372"/>
      <c r="F356" s="1372"/>
      <c r="G356" s="1372"/>
      <c r="H356" s="1372"/>
      <c r="I356" s="1372"/>
      <c r="J356" s="1371" t="s">
        <v>266</v>
      </c>
      <c r="K356" s="1038"/>
      <c r="L356" s="996"/>
      <c r="M356" s="996"/>
      <c r="N356" s="996"/>
    </row>
    <row r="357" spans="2:21" s="1201" customFormat="1" ht="15.5" hidden="1" x14ac:dyDescent="0.35">
      <c r="B357" s="1371"/>
      <c r="C357" s="1371"/>
      <c r="D357" s="1371"/>
      <c r="E357" s="1372"/>
      <c r="F357" s="1372"/>
      <c r="G357" s="1372"/>
      <c r="H357" s="1372"/>
      <c r="I357" s="1372"/>
      <c r="J357" s="1372"/>
      <c r="K357" s="1038"/>
      <c r="L357" s="996"/>
      <c r="M357" s="996"/>
      <c r="N357" s="996"/>
    </row>
    <row r="358" spans="2:21" s="1201" customFormat="1" ht="15.5" hidden="1" x14ac:dyDescent="0.35">
      <c r="B358" s="1037" t="s">
        <v>327</v>
      </c>
      <c r="C358" s="1371"/>
      <c r="D358" s="1371"/>
      <c r="E358" s="1372"/>
      <c r="F358" s="1372"/>
      <c r="G358" s="1043"/>
      <c r="H358" s="1043"/>
      <c r="I358" s="1043"/>
      <c r="J358" s="1372"/>
      <c r="K358" s="1038"/>
      <c r="L358" s="996"/>
      <c r="M358" s="996"/>
      <c r="N358" s="996"/>
    </row>
    <row r="359" spans="2:21" s="1201" customFormat="1" ht="15.5" hidden="1" x14ac:dyDescent="0.35">
      <c r="B359" s="1037" t="s">
        <v>328</v>
      </c>
      <c r="C359" s="1037" t="s">
        <v>1417</v>
      </c>
      <c r="D359" s="1371"/>
      <c r="E359" s="1372"/>
      <c r="F359" s="1372"/>
      <c r="G359" s="1372"/>
      <c r="H359" s="1372"/>
      <c r="I359" s="1372"/>
      <c r="J359" s="1372"/>
      <c r="K359" s="1038" t="s">
        <v>329</v>
      </c>
      <c r="L359" s="996"/>
      <c r="M359" s="996"/>
      <c r="N359" s="996"/>
    </row>
    <row r="360" spans="2:21" s="1201" customFormat="1" ht="15.5" hidden="1" x14ac:dyDescent="0.35">
      <c r="B360" s="1372"/>
      <c r="C360" s="1372" t="s">
        <v>330</v>
      </c>
      <c r="D360" s="1372"/>
      <c r="E360" s="1372"/>
      <c r="F360" s="1372"/>
      <c r="G360" s="1372"/>
      <c r="H360" s="1372"/>
      <c r="I360" s="1372"/>
      <c r="J360" s="1372"/>
      <c r="K360" s="1038"/>
      <c r="L360" s="996"/>
      <c r="M360" s="996"/>
      <c r="N360" s="996"/>
    </row>
    <row r="361" spans="2:21" s="1201" customFormat="1" ht="15.5" hidden="1" x14ac:dyDescent="0.35">
      <c r="B361" s="1372"/>
      <c r="C361" s="1371" t="s">
        <v>1418</v>
      </c>
      <c r="D361" s="1372"/>
      <c r="E361" s="1372"/>
      <c r="F361" s="1372"/>
      <c r="G361" s="1372"/>
      <c r="H361" s="1372"/>
      <c r="I361" s="1372"/>
      <c r="J361" s="1372"/>
      <c r="K361" s="1038"/>
      <c r="L361" s="996"/>
      <c r="M361" s="996"/>
      <c r="N361" s="996"/>
    </row>
    <row r="362" spans="2:21" s="1201" customFormat="1" ht="15.5" hidden="1" x14ac:dyDescent="0.35">
      <c r="B362" s="1371"/>
      <c r="C362" s="1371" t="s">
        <v>1419</v>
      </c>
      <c r="D362" s="1372"/>
      <c r="E362" s="1044"/>
      <c r="F362" s="1371"/>
      <c r="G362" s="1371"/>
      <c r="H362" s="1371"/>
      <c r="I362" s="1371"/>
      <c r="J362" s="1371"/>
      <c r="K362" s="1038"/>
      <c r="L362" s="996"/>
      <c r="M362" s="996"/>
      <c r="N362" s="996"/>
    </row>
    <row r="363" spans="2:21" s="1201" customFormat="1" ht="15.5" hidden="1" x14ac:dyDescent="0.35">
      <c r="B363" s="1371"/>
      <c r="C363" s="1372"/>
      <c r="D363" s="1372"/>
      <c r="E363" s="1044"/>
      <c r="F363" s="1371"/>
      <c r="G363" s="1371"/>
      <c r="H363" s="1371"/>
      <c r="I363" s="1371"/>
      <c r="J363" s="1371"/>
      <c r="K363" s="1038"/>
      <c r="L363" s="996"/>
      <c r="M363" s="996"/>
      <c r="N363" s="996"/>
    </row>
    <row r="364" spans="2:21" s="1201" customFormat="1" ht="15.5" hidden="1" x14ac:dyDescent="0.35">
      <c r="B364" s="1371"/>
      <c r="C364" s="1371"/>
      <c r="D364" s="1045" t="str">
        <f t="shared" ref="D364:I364" si="29">D16</f>
        <v>Milking Cows</v>
      </c>
      <c r="E364" s="1045" t="str">
        <f t="shared" si="29"/>
        <v>Heifers &gt;1 yr age</v>
      </c>
      <c r="F364" s="1045" t="str">
        <f t="shared" si="29"/>
        <v>Heifers &lt;1 yr age</v>
      </c>
      <c r="G364" s="1045" t="str">
        <f t="shared" si="29"/>
        <v>Mature bulls</v>
      </c>
      <c r="H364" s="1045" t="str">
        <f t="shared" si="29"/>
        <v xml:space="preserve">Other stock &lt; 1 yr age </v>
      </c>
      <c r="I364" s="1045" t="str">
        <f t="shared" si="29"/>
        <v>Other stock &gt; 1 yr age</v>
      </c>
      <c r="J364" s="1371"/>
      <c r="K364" s="1038"/>
      <c r="L364" s="996"/>
      <c r="M364" s="1047"/>
      <c r="N364" s="1048"/>
      <c r="T364" s="996"/>
      <c r="U364" s="996"/>
    </row>
    <row r="365" spans="2:21" s="1201" customFormat="1" ht="15.5" hidden="1" x14ac:dyDescent="0.35">
      <c r="B365" s="1037" t="s">
        <v>1420</v>
      </c>
      <c r="C365" s="1039" t="s">
        <v>440</v>
      </c>
      <c r="D365" s="1050" t="e">
        <f>D303*SUM($C$82:$H$82)%</f>
        <v>#DIV/0!</v>
      </c>
      <c r="E365" s="1050" t="e">
        <f>E303*SUM($C$83:$H$83)%</f>
        <v>#N/A</v>
      </c>
      <c r="F365" s="1050" t="e">
        <f>F303*SUM($C$83:$H$83)%</f>
        <v>#N/A</v>
      </c>
      <c r="G365" s="1050" t="e">
        <f>G303*SUM($C$83:$H$83)%</f>
        <v>#N/A</v>
      </c>
      <c r="H365" s="1050" t="e">
        <f>H303*SUM($C$83:$H$83)%</f>
        <v>#N/A</v>
      </c>
      <c r="I365" s="1050" t="e">
        <f>I303*SUM($C$83:$H$83)%</f>
        <v>#N/A</v>
      </c>
      <c r="J365" s="1371"/>
      <c r="K365" s="1038"/>
      <c r="L365" s="995"/>
      <c r="M365" s="1047"/>
      <c r="N365" s="1049"/>
      <c r="T365" s="996"/>
      <c r="U365" s="996"/>
    </row>
    <row r="366" spans="2:21" s="1201" customFormat="1" ht="15.5" hidden="1" x14ac:dyDescent="0.35">
      <c r="B366" s="1371"/>
      <c r="C366" s="1371"/>
      <c r="D366" s="1050"/>
      <c r="E366" s="1050"/>
      <c r="F366" s="1050"/>
      <c r="G366" s="1050"/>
      <c r="H366" s="1050"/>
      <c r="I366" s="1050"/>
      <c r="J366" s="1046"/>
      <c r="K366" s="1038"/>
      <c r="L366" s="995"/>
      <c r="M366" s="995"/>
      <c r="N366" s="1049"/>
      <c r="T366" s="996"/>
      <c r="U366" s="996"/>
    </row>
    <row r="367" spans="2:21" s="1201" customFormat="1" ht="15.5" hidden="1" x14ac:dyDescent="0.35">
      <c r="B367" s="1037" t="s">
        <v>1421</v>
      </c>
      <c r="C367" s="1039" t="s">
        <v>440</v>
      </c>
      <c r="D367" s="1050" t="e">
        <f t="shared" ref="D367:I367" si="30">D324/(44/28)</f>
        <v>#DIV/0!</v>
      </c>
      <c r="E367" s="1050" t="e">
        <f t="shared" si="30"/>
        <v>#N/A</v>
      </c>
      <c r="F367" s="1050" t="e">
        <f t="shared" si="30"/>
        <v>#N/A</v>
      </c>
      <c r="G367" s="1050" t="e">
        <f t="shared" si="30"/>
        <v>#N/A</v>
      </c>
      <c r="H367" s="1050" t="e">
        <f t="shared" si="30"/>
        <v>#N/A</v>
      </c>
      <c r="I367" s="1050" t="e">
        <f t="shared" si="30"/>
        <v>#N/A</v>
      </c>
      <c r="J367" s="1371"/>
      <c r="K367" s="1038"/>
      <c r="L367" s="996"/>
      <c r="M367" s="1052"/>
      <c r="N367" s="1049"/>
      <c r="O367" s="996"/>
      <c r="P367" s="996"/>
      <c r="Q367" s="996"/>
      <c r="R367" s="996"/>
      <c r="S367" s="996"/>
      <c r="T367" s="996"/>
      <c r="U367" s="996"/>
    </row>
    <row r="368" spans="2:21" s="1201" customFormat="1" ht="15.5" hidden="1" x14ac:dyDescent="0.35">
      <c r="B368" s="1371"/>
      <c r="C368" s="1371"/>
      <c r="D368" s="1050"/>
      <c r="E368" s="1050"/>
      <c r="F368" s="1050"/>
      <c r="G368" s="1050"/>
      <c r="H368" s="1050"/>
      <c r="I368" s="1050"/>
      <c r="J368" s="1371"/>
      <c r="K368" s="1051"/>
      <c r="L368" s="996"/>
      <c r="M368" s="1052"/>
      <c r="N368" s="1049"/>
      <c r="O368" s="996"/>
      <c r="P368" s="996"/>
      <c r="Q368" s="996"/>
      <c r="R368" s="996"/>
      <c r="S368" s="996"/>
      <c r="T368" s="996"/>
      <c r="U368" s="996"/>
    </row>
    <row r="369" spans="2:21" s="1201" customFormat="1" ht="15.5" hidden="1" x14ac:dyDescent="0.35">
      <c r="B369" s="1037" t="s">
        <v>1422</v>
      </c>
      <c r="C369" s="1039" t="s">
        <v>440</v>
      </c>
      <c r="D369" s="1203" t="e">
        <f>SUM(O447:T447)</f>
        <v>#DIV/0!</v>
      </c>
      <c r="E369" s="1203" t="e">
        <f>SUM(O449:T449)</f>
        <v>#N/A</v>
      </c>
      <c r="F369" s="1203" t="e">
        <f>SUM(O451:T451)</f>
        <v>#N/A</v>
      </c>
      <c r="G369" s="1203" t="e">
        <f>SUM(O453:T453)</f>
        <v>#N/A</v>
      </c>
      <c r="H369" s="1203" t="e">
        <f>SUM(O455:T455)</f>
        <v>#N/A</v>
      </c>
      <c r="I369" s="1203" t="e">
        <f>SUM(O457:T457)</f>
        <v>#N/A</v>
      </c>
      <c r="J369" s="1371"/>
      <c r="K369" s="1051"/>
      <c r="L369" s="996"/>
      <c r="M369" s="1052"/>
      <c r="N369" s="1052"/>
      <c r="O369" s="996"/>
      <c r="P369" s="996"/>
      <c r="Q369" s="996"/>
      <c r="R369" s="996"/>
      <c r="S369" s="996"/>
      <c r="T369" s="996"/>
      <c r="U369" s="996"/>
    </row>
    <row r="370" spans="2:21" s="1201" customFormat="1" ht="15.5" hidden="1" x14ac:dyDescent="0.35">
      <c r="B370" s="1371"/>
      <c r="C370" s="1039"/>
      <c r="D370" s="1050"/>
      <c r="E370" s="1211"/>
      <c r="F370" s="1211"/>
      <c r="G370" s="1211"/>
      <c r="H370" s="1211"/>
      <c r="I370" s="1211"/>
      <c r="J370" s="1371"/>
      <c r="K370" s="1051"/>
      <c r="L370" s="996"/>
      <c r="M370" s="1052"/>
      <c r="N370" s="1052"/>
      <c r="O370" s="996"/>
      <c r="P370" s="996"/>
      <c r="Q370" s="996"/>
      <c r="R370" s="996"/>
      <c r="S370" s="996"/>
      <c r="T370" s="996"/>
      <c r="U370" s="996"/>
    </row>
    <row r="371" spans="2:21" s="1201" customFormat="1" ht="15.5" hidden="1" x14ac:dyDescent="0.35">
      <c r="B371" s="1037" t="s">
        <v>1423</v>
      </c>
      <c r="C371" s="1039" t="s">
        <v>440</v>
      </c>
      <c r="D371" s="1050" t="e">
        <f t="shared" ref="D371:I371" si="31">D365-D367-D369</f>
        <v>#DIV/0!</v>
      </c>
      <c r="E371" s="1050" t="e">
        <f t="shared" si="31"/>
        <v>#N/A</v>
      </c>
      <c r="F371" s="1050" t="e">
        <f t="shared" si="31"/>
        <v>#N/A</v>
      </c>
      <c r="G371" s="1050" t="e">
        <f t="shared" si="31"/>
        <v>#N/A</v>
      </c>
      <c r="H371" s="1050" t="e">
        <f t="shared" si="31"/>
        <v>#N/A</v>
      </c>
      <c r="I371" s="1050" t="e">
        <f t="shared" si="31"/>
        <v>#N/A</v>
      </c>
      <c r="J371" s="1371"/>
      <c r="K371" s="1051"/>
      <c r="L371" s="996"/>
      <c r="M371" s="1744"/>
      <c r="N371" s="996"/>
      <c r="O371" s="996"/>
      <c r="P371" s="996"/>
      <c r="Q371" s="996"/>
      <c r="R371" s="996"/>
      <c r="S371" s="996"/>
      <c r="T371" s="996"/>
      <c r="U371" s="996"/>
    </row>
    <row r="372" spans="2:21" s="1201" customFormat="1" ht="15.5" hidden="1" x14ac:dyDescent="0.35">
      <c r="B372" s="1371"/>
      <c r="C372" s="1371"/>
      <c r="D372" s="1371"/>
      <c r="E372" s="1371"/>
      <c r="F372" s="1371"/>
      <c r="G372" s="1371"/>
      <c r="H372" s="1371"/>
      <c r="I372" s="1371"/>
      <c r="J372" s="1371"/>
      <c r="K372" s="1051"/>
      <c r="L372" s="995"/>
      <c r="M372" s="1049"/>
      <c r="N372" s="996"/>
      <c r="O372" s="996"/>
      <c r="P372" s="996"/>
      <c r="Q372" s="996"/>
      <c r="R372" s="996"/>
      <c r="S372" s="996"/>
      <c r="T372" s="996"/>
      <c r="U372" s="996"/>
    </row>
    <row r="373" spans="2:21" s="1201" customFormat="1" ht="15.5" hidden="1" x14ac:dyDescent="0.35">
      <c r="B373" s="1037" t="s">
        <v>331</v>
      </c>
      <c r="C373" s="1037" t="s">
        <v>332</v>
      </c>
      <c r="D373" s="1371"/>
      <c r="E373" s="1371"/>
      <c r="F373" s="1371"/>
      <c r="G373" s="1371"/>
      <c r="H373" s="1371"/>
      <c r="I373" s="1371"/>
      <c r="J373" s="1039"/>
      <c r="K373" s="1038" t="s">
        <v>333</v>
      </c>
      <c r="L373" s="995"/>
      <c r="M373" s="1055"/>
      <c r="N373" s="996"/>
      <c r="O373" s="996"/>
      <c r="P373" s="996"/>
      <c r="Q373" s="996"/>
      <c r="R373" s="996"/>
      <c r="S373" s="996"/>
      <c r="T373" s="996"/>
      <c r="U373" s="996"/>
    </row>
    <row r="374" spans="2:21" s="1201" customFormat="1" ht="15.5" hidden="1" x14ac:dyDescent="0.35">
      <c r="B374" s="1371"/>
      <c r="C374" s="1371" t="s">
        <v>334</v>
      </c>
      <c r="D374" s="1054">
        <v>0.01</v>
      </c>
      <c r="E374" s="1371"/>
      <c r="F374" s="1371"/>
      <c r="G374" s="1371"/>
      <c r="H374" s="1371"/>
      <c r="I374" s="1371"/>
      <c r="J374" s="1371"/>
      <c r="K374" s="1051"/>
      <c r="L374" s="995"/>
      <c r="M374" s="1744"/>
      <c r="N374" s="996"/>
      <c r="O374" s="996"/>
      <c r="P374" s="996"/>
      <c r="Q374" s="996"/>
      <c r="R374" s="996"/>
      <c r="S374" s="996"/>
      <c r="T374" s="996"/>
      <c r="U374" s="996"/>
    </row>
    <row r="375" spans="2:21" s="1201" customFormat="1" ht="15.5" hidden="1" x14ac:dyDescent="0.35">
      <c r="B375" s="1371"/>
      <c r="C375" s="1039" t="s">
        <v>440</v>
      </c>
      <c r="D375" s="1373" t="e">
        <f t="shared" ref="D375:I375" si="32">D371*$D$374*44/28</f>
        <v>#DIV/0!</v>
      </c>
      <c r="E375" s="1373" t="e">
        <f t="shared" si="32"/>
        <v>#N/A</v>
      </c>
      <c r="F375" s="1373" t="e">
        <f t="shared" si="32"/>
        <v>#N/A</v>
      </c>
      <c r="G375" s="1373" t="e">
        <f t="shared" si="32"/>
        <v>#N/A</v>
      </c>
      <c r="H375" s="1373" t="e">
        <f t="shared" si="32"/>
        <v>#N/A</v>
      </c>
      <c r="I375" s="1373" t="e">
        <f t="shared" si="32"/>
        <v>#N/A</v>
      </c>
      <c r="J375" s="1039" t="s">
        <v>298</v>
      </c>
      <c r="K375" s="1051"/>
      <c r="L375" s="995"/>
      <c r="M375" s="995"/>
      <c r="N375" s="995"/>
      <c r="O375" s="996"/>
      <c r="P375" s="996"/>
      <c r="Q375" s="996"/>
      <c r="R375" s="996"/>
      <c r="S375" s="996"/>
      <c r="T375" s="996"/>
      <c r="U375" s="996"/>
    </row>
    <row r="376" spans="2:21" s="1201" customFormat="1" ht="15.5" hidden="1" x14ac:dyDescent="0.35">
      <c r="B376" s="1371"/>
      <c r="C376" s="1371"/>
      <c r="D376" s="1371"/>
      <c r="E376" s="1371"/>
      <c r="F376" s="1371"/>
      <c r="G376" s="1371"/>
      <c r="H376" s="1371"/>
      <c r="I376" s="1371"/>
      <c r="J376" s="1371"/>
      <c r="K376" s="1051"/>
      <c r="L376" s="1056"/>
      <c r="M376" s="995"/>
      <c r="N376" s="995"/>
      <c r="O376" s="996"/>
      <c r="P376" s="996"/>
      <c r="Q376" s="996"/>
      <c r="R376" s="996"/>
      <c r="S376" s="996"/>
      <c r="T376" s="996"/>
      <c r="U376" s="996"/>
    </row>
    <row r="377" spans="2:21" s="1201" customFormat="1" ht="15.5" hidden="1" x14ac:dyDescent="0.35">
      <c r="B377" s="1037" t="s">
        <v>335</v>
      </c>
      <c r="C377" s="1037" t="s">
        <v>336</v>
      </c>
      <c r="D377" s="1371"/>
      <c r="E377" s="1371"/>
      <c r="F377" s="1371"/>
      <c r="G377" s="1371"/>
      <c r="H377" s="1371"/>
      <c r="I377" s="1371"/>
      <c r="J377" s="1371"/>
      <c r="K377" s="1038" t="s">
        <v>337</v>
      </c>
      <c r="L377" s="1056"/>
      <c r="M377" s="996"/>
      <c r="N377" s="996"/>
      <c r="O377" s="996"/>
      <c r="P377" s="996"/>
      <c r="Q377" s="996"/>
      <c r="R377" s="996"/>
      <c r="S377" s="996"/>
      <c r="T377" s="996"/>
      <c r="U377" s="996"/>
    </row>
    <row r="378" spans="2:21" s="1201" customFormat="1" ht="15.5" hidden="1" x14ac:dyDescent="0.35">
      <c r="B378" s="1371"/>
      <c r="C378" s="1371" t="s">
        <v>338</v>
      </c>
      <c r="D378" s="1371"/>
      <c r="E378" s="1371"/>
      <c r="F378" s="1371"/>
      <c r="G378" s="1371"/>
      <c r="H378" s="1371"/>
      <c r="I378" s="1371"/>
      <c r="J378" s="1039" t="s">
        <v>307</v>
      </c>
      <c r="K378" s="1140" t="s">
        <v>339</v>
      </c>
      <c r="L378" s="1036"/>
      <c r="M378" s="996"/>
      <c r="N378" s="996"/>
      <c r="O378" s="996"/>
      <c r="P378" s="996"/>
      <c r="Q378" s="996"/>
      <c r="R378" s="996"/>
      <c r="S378" s="996"/>
      <c r="T378" s="996"/>
      <c r="U378" s="996"/>
    </row>
    <row r="379" spans="2:21" s="1201" customFormat="1" ht="15.5" hidden="1" x14ac:dyDescent="0.35">
      <c r="B379" s="1371"/>
      <c r="C379" s="1371" t="s">
        <v>340</v>
      </c>
      <c r="D379" s="1371"/>
      <c r="E379" s="1371"/>
      <c r="F379" s="1371"/>
      <c r="G379" s="1371"/>
      <c r="H379" s="1371"/>
      <c r="I379" s="1371"/>
      <c r="J379" s="1039" t="s">
        <v>341</v>
      </c>
      <c r="K379" s="1038"/>
      <c r="L379" s="1036"/>
      <c r="M379" s="996"/>
      <c r="N379" s="996"/>
      <c r="O379" s="996"/>
      <c r="P379" s="996"/>
      <c r="Q379" s="996"/>
      <c r="R379" s="996"/>
      <c r="S379" s="996"/>
      <c r="T379" s="996"/>
      <c r="U379" s="996"/>
    </row>
    <row r="380" spans="2:21" s="1201" customFormat="1" ht="15.5" hidden="1" x14ac:dyDescent="0.35">
      <c r="B380" s="1371"/>
      <c r="C380" s="1371" t="s">
        <v>342</v>
      </c>
      <c r="D380" s="1371"/>
      <c r="E380" s="1371"/>
      <c r="F380" s="1371"/>
      <c r="G380" s="1371"/>
      <c r="H380" s="1371"/>
      <c r="I380" s="1371"/>
      <c r="J380" s="1371" t="s">
        <v>343</v>
      </c>
      <c r="K380" s="1038"/>
      <c r="L380" s="1036"/>
      <c r="M380" s="996"/>
      <c r="N380" s="996"/>
      <c r="O380" s="996"/>
      <c r="P380" s="996"/>
      <c r="Q380" s="996"/>
      <c r="R380" s="996"/>
      <c r="S380" s="996"/>
      <c r="T380" s="996"/>
      <c r="U380" s="996"/>
    </row>
    <row r="381" spans="2:21" s="1201" customFormat="1" ht="15.5" hidden="1" x14ac:dyDescent="0.35">
      <c r="B381" s="1371"/>
      <c r="C381" s="1371" t="s">
        <v>344</v>
      </c>
      <c r="D381" s="1371"/>
      <c r="E381" s="1371"/>
      <c r="F381" s="1371"/>
      <c r="G381" s="1371"/>
      <c r="H381" s="1371"/>
      <c r="I381" s="1371"/>
      <c r="J381" s="1371" t="s">
        <v>345</v>
      </c>
      <c r="K381" s="1038"/>
      <c r="L381" s="1036"/>
      <c r="M381" s="996"/>
      <c r="N381" s="996"/>
      <c r="O381" s="996"/>
      <c r="P381" s="996"/>
      <c r="Q381" s="996"/>
      <c r="R381" s="996"/>
      <c r="S381" s="996"/>
      <c r="T381" s="996"/>
      <c r="U381" s="996"/>
    </row>
    <row r="382" spans="2:21" s="1201" customFormat="1" ht="15.5" hidden="1" x14ac:dyDescent="0.35">
      <c r="B382" s="1371"/>
      <c r="C382" s="1371" t="s">
        <v>346</v>
      </c>
      <c r="D382" s="1371"/>
      <c r="E382" s="1371"/>
      <c r="F382" s="1371"/>
      <c r="G382" s="1371"/>
      <c r="H382" s="1371"/>
      <c r="I382" s="1371"/>
      <c r="J382" s="1371"/>
      <c r="K382" s="1038"/>
      <c r="L382" s="996"/>
      <c r="M382" s="996"/>
      <c r="N382" s="996"/>
      <c r="O382" s="996"/>
      <c r="P382" s="996"/>
      <c r="Q382" s="996"/>
      <c r="R382" s="996"/>
      <c r="S382" s="996"/>
      <c r="T382" s="996"/>
      <c r="U382" s="996"/>
    </row>
    <row r="383" spans="2:21" s="1201" customFormat="1" ht="15.5" hidden="1" x14ac:dyDescent="0.35">
      <c r="B383" s="1371"/>
      <c r="C383" s="1371" t="s">
        <v>347</v>
      </c>
      <c r="D383" s="1371"/>
      <c r="E383" s="1371"/>
      <c r="F383" s="1371"/>
      <c r="G383" s="1371"/>
      <c r="H383" s="1371"/>
      <c r="I383" s="1371"/>
      <c r="J383" s="1371"/>
      <c r="K383" s="1038"/>
      <c r="L383" s="996"/>
      <c r="M383" s="996"/>
      <c r="N383" s="996"/>
      <c r="O383" s="996"/>
      <c r="P383" s="996"/>
      <c r="Q383" s="996"/>
      <c r="R383" s="996"/>
      <c r="S383" s="996"/>
      <c r="T383" s="996"/>
      <c r="U383" s="996"/>
    </row>
    <row r="384" spans="2:21" s="1201" customFormat="1" ht="15.5" hidden="1" x14ac:dyDescent="0.35">
      <c r="B384" s="1371"/>
      <c r="C384" s="1371"/>
      <c r="D384" s="1371"/>
      <c r="E384" s="1371"/>
      <c r="F384" s="1371"/>
      <c r="G384" s="1371"/>
      <c r="H384" s="1371"/>
      <c r="I384" s="1371"/>
      <c r="J384" s="1371"/>
      <c r="K384" s="1038"/>
      <c r="L384" s="996"/>
      <c r="M384" s="996"/>
      <c r="N384" s="996"/>
      <c r="O384" s="996"/>
      <c r="P384" s="996"/>
      <c r="Q384" s="996"/>
      <c r="R384" s="996"/>
      <c r="S384" s="996"/>
      <c r="T384" s="996"/>
      <c r="U384" s="996"/>
    </row>
    <row r="385" spans="2:21" s="1201" customFormat="1" ht="15.5" hidden="1" x14ac:dyDescent="0.35">
      <c r="B385" s="1037" t="s">
        <v>348</v>
      </c>
      <c r="C385" s="1037" t="s">
        <v>349</v>
      </c>
      <c r="D385" s="1371"/>
      <c r="E385" s="1371"/>
      <c r="F385" s="1371"/>
      <c r="G385" s="1371"/>
      <c r="H385" s="1371"/>
      <c r="I385" s="1371"/>
      <c r="J385" s="1371" t="s">
        <v>312</v>
      </c>
      <c r="K385" s="1038" t="s">
        <v>350</v>
      </c>
      <c r="L385" s="996"/>
      <c r="M385" s="996"/>
      <c r="N385" s="996"/>
      <c r="O385" s="996"/>
      <c r="P385" s="996"/>
      <c r="Q385" s="996"/>
      <c r="R385" s="996"/>
      <c r="S385" s="996"/>
      <c r="T385" s="996"/>
      <c r="U385" s="996"/>
    </row>
    <row r="386" spans="2:21" s="1201" customFormat="1" ht="15.5" hidden="1" x14ac:dyDescent="0.35">
      <c r="B386" s="1371"/>
      <c r="C386" s="1371" t="s">
        <v>351</v>
      </c>
      <c r="D386" s="1371"/>
      <c r="E386" s="1371"/>
      <c r="F386" s="1371"/>
      <c r="G386" s="1371"/>
      <c r="H386" s="1371"/>
      <c r="I386" s="1371"/>
      <c r="J386" s="1371" t="s">
        <v>315</v>
      </c>
      <c r="K386" s="1140" t="s">
        <v>339</v>
      </c>
      <c r="L386" s="996"/>
      <c r="M386" s="1052"/>
      <c r="N386" s="996"/>
      <c r="O386" s="996"/>
      <c r="P386" s="996"/>
      <c r="Q386" s="996"/>
      <c r="R386" s="996"/>
      <c r="S386" s="996"/>
      <c r="T386" s="996"/>
      <c r="U386" s="996"/>
    </row>
    <row r="387" spans="2:21" s="1201" customFormat="1" ht="15.5" hidden="1" x14ac:dyDescent="0.35">
      <c r="B387" s="1371"/>
      <c r="C387" s="1371"/>
      <c r="D387" s="1371"/>
      <c r="E387" s="1371"/>
      <c r="F387" s="1371"/>
      <c r="G387" s="1371"/>
      <c r="H387" s="1371"/>
      <c r="I387" s="1371"/>
      <c r="J387" s="1371"/>
      <c r="K387" s="1038"/>
      <c r="L387" s="996"/>
      <c r="M387" s="996"/>
      <c r="N387" s="996"/>
      <c r="O387" s="996"/>
      <c r="P387" s="996"/>
      <c r="Q387" s="996"/>
      <c r="R387" s="996"/>
      <c r="S387" s="996"/>
      <c r="T387" s="996"/>
      <c r="U387" s="996"/>
    </row>
    <row r="388" spans="2:21" s="1201" customFormat="1" ht="15.5" hidden="1" x14ac:dyDescent="0.35">
      <c r="B388" s="1371"/>
      <c r="C388" s="1371"/>
      <c r="D388" s="1371"/>
      <c r="E388" s="1371"/>
      <c r="F388" s="1371"/>
      <c r="G388" s="1371"/>
      <c r="H388" s="1371"/>
      <c r="I388" s="1371"/>
      <c r="J388" s="1371"/>
      <c r="K388" s="1038"/>
      <c r="L388" s="996"/>
      <c r="M388" s="996"/>
      <c r="N388" s="996"/>
      <c r="O388" s="996"/>
      <c r="P388" s="996"/>
      <c r="Q388" s="996"/>
      <c r="R388" s="996"/>
      <c r="S388" s="996"/>
      <c r="T388" s="996"/>
      <c r="U388" s="996"/>
    </row>
    <row r="389" spans="2:21" s="1201" customFormat="1" ht="15.5" hidden="1" x14ac:dyDescent="0.35">
      <c r="B389" s="1371" t="s">
        <v>352</v>
      </c>
      <c r="C389" s="1371"/>
      <c r="D389" s="1371"/>
      <c r="E389" s="1371"/>
      <c r="F389" s="1371"/>
      <c r="G389" s="1371"/>
      <c r="H389" s="1371"/>
      <c r="I389" s="1371"/>
      <c r="J389" s="1371"/>
      <c r="K389" s="1038"/>
      <c r="L389" s="996"/>
      <c r="M389" s="996"/>
      <c r="N389" s="996"/>
      <c r="O389" s="996"/>
      <c r="P389" s="996"/>
      <c r="Q389" s="996"/>
      <c r="R389" s="996"/>
      <c r="S389" s="996"/>
      <c r="T389" s="996"/>
      <c r="U389" s="996"/>
    </row>
    <row r="390" spans="2:21" s="1201" customFormat="1" ht="15.5" hidden="1" x14ac:dyDescent="0.35">
      <c r="B390" s="1037" t="s">
        <v>353</v>
      </c>
      <c r="C390" s="1037" t="s">
        <v>354</v>
      </c>
      <c r="D390" s="1371"/>
      <c r="E390" s="1371"/>
      <c r="F390" s="1371"/>
      <c r="G390" s="1371"/>
      <c r="H390" s="1371"/>
      <c r="I390" s="1371"/>
      <c r="J390" s="1371"/>
      <c r="K390" s="1038" t="s">
        <v>355</v>
      </c>
      <c r="L390" s="996"/>
      <c r="M390" s="996"/>
      <c r="N390" s="996"/>
      <c r="O390" s="996"/>
      <c r="P390" s="996"/>
      <c r="Q390" s="996"/>
      <c r="R390" s="996"/>
      <c r="S390" s="996"/>
      <c r="T390" s="996"/>
      <c r="U390" s="996"/>
    </row>
    <row r="391" spans="2:21" s="1201" customFormat="1" ht="15.5" hidden="1" x14ac:dyDescent="0.35">
      <c r="B391" s="1371"/>
      <c r="C391" s="1371" t="s">
        <v>356</v>
      </c>
      <c r="D391" s="1371"/>
      <c r="E391" s="1371"/>
      <c r="F391" s="1371"/>
      <c r="G391" s="1371"/>
      <c r="H391" s="1371"/>
      <c r="I391" s="1371"/>
      <c r="J391" s="1371"/>
      <c r="K391" s="1140" t="s">
        <v>339</v>
      </c>
      <c r="L391" s="996"/>
      <c r="M391" s="996"/>
      <c r="N391" s="1057"/>
      <c r="O391" s="996"/>
      <c r="P391" s="996"/>
      <c r="Q391" s="996"/>
      <c r="R391" s="996"/>
      <c r="S391" s="996"/>
      <c r="T391" s="996"/>
      <c r="U391" s="996"/>
    </row>
    <row r="392" spans="2:21" s="1201" customFormat="1" ht="15.5" hidden="1" x14ac:dyDescent="0.35">
      <c r="B392" s="1371"/>
      <c r="C392" s="1371" t="s">
        <v>357</v>
      </c>
      <c r="D392" s="1371"/>
      <c r="E392" s="1371"/>
      <c r="F392" s="1371"/>
      <c r="G392" s="1371"/>
      <c r="H392" s="1371"/>
      <c r="I392" s="1371"/>
      <c r="J392" s="1371"/>
      <c r="K392" s="1038"/>
      <c r="L392" s="996"/>
      <c r="M392" s="996"/>
      <c r="N392" s="996"/>
      <c r="O392" s="996"/>
      <c r="P392" s="996"/>
      <c r="Q392" s="996"/>
      <c r="R392" s="996"/>
      <c r="S392" s="996"/>
      <c r="T392" s="996"/>
      <c r="U392" s="996"/>
    </row>
    <row r="393" spans="2:21" s="1201" customFormat="1" ht="15.5" hidden="1" x14ac:dyDescent="0.35">
      <c r="B393" s="1371"/>
      <c r="C393" s="1371" t="s">
        <v>358</v>
      </c>
      <c r="D393" s="1371"/>
      <c r="E393" s="1371"/>
      <c r="F393" s="1371"/>
      <c r="G393" s="1371"/>
      <c r="H393" s="1371"/>
      <c r="I393" s="1371"/>
      <c r="J393" s="1371"/>
      <c r="K393" s="1038"/>
      <c r="L393" s="996"/>
      <c r="M393" s="996"/>
      <c r="N393" s="996"/>
      <c r="O393" s="996"/>
      <c r="P393" s="996"/>
      <c r="Q393" s="996"/>
      <c r="R393" s="996"/>
      <c r="S393" s="996"/>
      <c r="T393" s="995"/>
      <c r="U393" s="995"/>
    </row>
    <row r="394" spans="2:21" s="1201" customFormat="1" ht="15.5" hidden="1" x14ac:dyDescent="0.35">
      <c r="B394" s="1371"/>
      <c r="C394" s="1371"/>
      <c r="D394" s="1371"/>
      <c r="E394" s="1371"/>
      <c r="F394" s="1371"/>
      <c r="G394" s="1371"/>
      <c r="H394" s="1371"/>
      <c r="I394" s="1371"/>
      <c r="J394" s="1371"/>
      <c r="K394" s="1038"/>
      <c r="L394" s="996"/>
      <c r="M394" s="996"/>
      <c r="N394" s="996"/>
      <c r="O394" s="996"/>
      <c r="P394" s="996"/>
      <c r="Q394" s="996"/>
      <c r="R394" s="996"/>
      <c r="S394" s="996"/>
      <c r="T394" s="1141"/>
      <c r="U394" s="1055"/>
    </row>
    <row r="395" spans="2:21" s="1201" customFormat="1" ht="15.5" hidden="1" x14ac:dyDescent="0.35">
      <c r="B395" s="1037" t="s">
        <v>359</v>
      </c>
      <c r="C395" s="1037" t="s">
        <v>349</v>
      </c>
      <c r="D395" s="1371"/>
      <c r="E395" s="1371"/>
      <c r="F395" s="1371"/>
      <c r="G395" s="1371"/>
      <c r="H395" s="1371"/>
      <c r="I395" s="1371"/>
      <c r="J395" s="1371" t="s">
        <v>312</v>
      </c>
      <c r="K395" s="1038" t="s">
        <v>360</v>
      </c>
      <c r="L395" s="996"/>
      <c r="M395" s="996"/>
      <c r="N395" s="996"/>
      <c r="O395" s="996"/>
      <c r="P395" s="996"/>
      <c r="Q395" s="996"/>
      <c r="R395" s="996"/>
      <c r="S395" s="996"/>
      <c r="T395" s="995"/>
      <c r="U395" s="1055"/>
    </row>
    <row r="396" spans="2:21" s="1201" customFormat="1" ht="15.5" hidden="1" x14ac:dyDescent="0.35">
      <c r="B396" s="1371"/>
      <c r="C396" s="1371" t="s">
        <v>351</v>
      </c>
      <c r="D396" s="1371"/>
      <c r="E396" s="1371"/>
      <c r="F396" s="1371"/>
      <c r="G396" s="1371"/>
      <c r="H396" s="1371"/>
      <c r="I396" s="1371"/>
      <c r="J396" s="1371" t="s">
        <v>315</v>
      </c>
      <c r="K396" s="1140" t="s">
        <v>339</v>
      </c>
      <c r="L396" s="996"/>
      <c r="M396" s="996"/>
      <c r="N396" s="996"/>
      <c r="O396" s="995"/>
      <c r="P396" s="995"/>
      <c r="Q396" s="995"/>
      <c r="R396" s="995"/>
      <c r="S396" s="995"/>
      <c r="T396" s="995"/>
      <c r="U396" s="1744"/>
    </row>
    <row r="397" spans="2:21" s="1201" customFormat="1" ht="15.5" hidden="1" x14ac:dyDescent="0.35">
      <c r="B397" s="1371"/>
      <c r="C397" s="1371"/>
      <c r="D397" s="1371"/>
      <c r="E397" s="1371"/>
      <c r="F397" s="1371"/>
      <c r="G397" s="1371"/>
      <c r="H397" s="1371"/>
      <c r="I397" s="1371"/>
      <c r="J397" s="1371"/>
      <c r="K397" s="1038"/>
      <c r="L397" s="996"/>
      <c r="M397" s="996"/>
      <c r="N397" s="996"/>
      <c r="O397" s="1141"/>
      <c r="P397" s="1141"/>
      <c r="Q397" s="1141"/>
      <c r="R397" s="1141"/>
      <c r="S397" s="1141"/>
      <c r="T397" s="995"/>
      <c r="U397" s="995"/>
    </row>
    <row r="398" spans="2:21" s="1201" customFormat="1" ht="15.5" hidden="1" x14ac:dyDescent="0.35">
      <c r="B398" s="1371"/>
      <c r="C398" s="1371"/>
      <c r="D398" s="1371"/>
      <c r="E398" s="1371"/>
      <c r="F398" s="1371"/>
      <c r="G398" s="1371"/>
      <c r="H398" s="1371"/>
      <c r="I398" s="1371"/>
      <c r="J398" s="1371"/>
      <c r="K398" s="1038"/>
      <c r="L398" s="996"/>
      <c r="M398" s="1052"/>
      <c r="N398" s="995"/>
      <c r="O398" s="995"/>
      <c r="P398" s="995"/>
      <c r="Q398" s="995"/>
      <c r="R398" s="995"/>
      <c r="S398" s="995"/>
      <c r="T398" s="995"/>
      <c r="U398" s="995"/>
    </row>
    <row r="399" spans="2:21" s="1201" customFormat="1" ht="15.5" hidden="1" x14ac:dyDescent="0.35">
      <c r="B399" s="1371"/>
      <c r="C399" s="1371"/>
      <c r="D399" s="1371"/>
      <c r="E399" s="1371"/>
      <c r="F399" s="1371"/>
      <c r="G399" s="1371"/>
      <c r="H399" s="1371"/>
      <c r="I399" s="1371"/>
      <c r="J399" s="1371"/>
      <c r="K399" s="1038"/>
      <c r="L399" s="996"/>
      <c r="M399" s="1052"/>
      <c r="N399" s="995"/>
      <c r="O399" s="995"/>
      <c r="P399" s="995"/>
      <c r="Q399" s="995"/>
      <c r="R399" s="995"/>
      <c r="S399" s="995"/>
      <c r="T399" s="995"/>
      <c r="U399" s="995"/>
    </row>
    <row r="400" spans="2:21" s="1201" customFormat="1" ht="15.5" hidden="1" x14ac:dyDescent="0.35">
      <c r="B400" s="1037" t="s">
        <v>361</v>
      </c>
      <c r="C400" s="1037" t="s">
        <v>362</v>
      </c>
      <c r="D400" s="1371"/>
      <c r="E400" s="1371"/>
      <c r="F400" s="1371"/>
      <c r="G400" s="1371"/>
      <c r="H400" s="1371"/>
      <c r="I400" s="1371"/>
      <c r="J400" s="1371" t="s">
        <v>312</v>
      </c>
      <c r="K400" s="1038" t="s">
        <v>363</v>
      </c>
      <c r="L400" s="996"/>
      <c r="M400" s="1052"/>
      <c r="N400" s="995"/>
      <c r="O400" s="995"/>
      <c r="P400" s="995"/>
      <c r="Q400" s="995"/>
      <c r="R400" s="995"/>
      <c r="S400" s="995"/>
      <c r="T400" s="996"/>
      <c r="U400" s="996"/>
    </row>
    <row r="401" spans="2:21" s="1201" customFormat="1" ht="15.5" hidden="1" x14ac:dyDescent="0.35">
      <c r="B401" s="1371"/>
      <c r="C401" s="1371" t="s">
        <v>364</v>
      </c>
      <c r="D401" s="1371"/>
      <c r="E401" s="1371"/>
      <c r="F401" s="1371"/>
      <c r="G401" s="1371"/>
      <c r="H401" s="1371"/>
      <c r="I401" s="1371"/>
      <c r="J401" s="1371" t="s">
        <v>224</v>
      </c>
      <c r="K401" s="1140" t="s">
        <v>339</v>
      </c>
      <c r="L401" s="996"/>
      <c r="M401" s="1052"/>
      <c r="N401" s="996"/>
      <c r="O401" s="995"/>
      <c r="P401" s="995"/>
      <c r="Q401" s="995"/>
      <c r="R401" s="995"/>
      <c r="S401" s="995"/>
      <c r="T401" s="996"/>
      <c r="U401" s="996"/>
    </row>
    <row r="402" spans="2:21" s="1201" customFormat="1" ht="15.5" hidden="1" x14ac:dyDescent="0.35">
      <c r="B402" s="1371"/>
      <c r="C402" s="1371" t="s">
        <v>365</v>
      </c>
      <c r="D402" s="1371"/>
      <c r="E402" s="1371"/>
      <c r="F402" s="1371"/>
      <c r="G402" s="1371"/>
      <c r="H402" s="1371"/>
      <c r="I402" s="1371"/>
      <c r="J402" s="1371" t="s">
        <v>366</v>
      </c>
      <c r="K402" s="1038"/>
      <c r="L402" s="996"/>
      <c r="M402" s="996"/>
      <c r="N402" s="1057"/>
      <c r="O402" s="995"/>
      <c r="P402" s="995"/>
      <c r="Q402" s="995"/>
      <c r="R402" s="995"/>
      <c r="S402" s="995"/>
      <c r="T402" s="996"/>
      <c r="U402" s="996"/>
    </row>
    <row r="403" spans="2:21" s="1201" customFormat="1" ht="15.5" hidden="1" x14ac:dyDescent="0.35">
      <c r="B403" s="1371"/>
      <c r="C403" s="1037"/>
      <c r="D403" s="1371"/>
      <c r="E403" s="1371"/>
      <c r="F403" s="1371"/>
      <c r="G403" s="1371"/>
      <c r="H403" s="1371"/>
      <c r="I403" s="1371"/>
      <c r="J403" s="1371"/>
      <c r="K403" s="1038"/>
      <c r="L403" s="996"/>
      <c r="M403" s="996"/>
      <c r="N403" s="1057"/>
      <c r="O403" s="1142"/>
      <c r="P403" s="996"/>
      <c r="Q403" s="996"/>
      <c r="R403" s="996"/>
      <c r="S403" s="996"/>
      <c r="T403" s="996"/>
      <c r="U403" s="996"/>
    </row>
    <row r="404" spans="2:21" s="1201" customFormat="1" ht="15.5" hidden="1" x14ac:dyDescent="0.35">
      <c r="B404" s="1371"/>
      <c r="C404" s="1372"/>
      <c r="D404" s="1372"/>
      <c r="E404" s="1044"/>
      <c r="F404" s="1039"/>
      <c r="G404" s="1371"/>
      <c r="H404" s="1371"/>
      <c r="I404" s="1371"/>
      <c r="J404" s="1371"/>
      <c r="K404" s="1038"/>
      <c r="L404" s="996"/>
      <c r="M404" s="996"/>
      <c r="N404" s="1057"/>
      <c r="O404" s="996"/>
      <c r="P404" s="996"/>
      <c r="Q404" s="996"/>
      <c r="R404" s="996"/>
      <c r="S404" s="996"/>
      <c r="T404" s="996"/>
      <c r="U404" s="996"/>
    </row>
    <row r="405" spans="2:21" s="1201" customFormat="1" ht="15.5" hidden="1" x14ac:dyDescent="0.35">
      <c r="B405" s="1371"/>
      <c r="C405" s="1371"/>
      <c r="D405" s="1371"/>
      <c r="E405" s="1371"/>
      <c r="F405" s="1371"/>
      <c r="G405" s="1371"/>
      <c r="H405" s="1371"/>
      <c r="I405" s="1371"/>
      <c r="J405" s="1371"/>
      <c r="K405" s="1038"/>
      <c r="L405" s="996"/>
      <c r="M405" s="996"/>
      <c r="N405" s="1057"/>
      <c r="O405" s="996"/>
      <c r="P405" s="996"/>
      <c r="Q405" s="996"/>
      <c r="R405" s="996"/>
      <c r="S405" s="996"/>
      <c r="T405" s="996"/>
      <c r="U405" s="996"/>
    </row>
    <row r="406" spans="2:21" s="1201" customFormat="1" ht="15.5" hidden="1" x14ac:dyDescent="0.35">
      <c r="B406" s="1371" t="s">
        <v>367</v>
      </c>
      <c r="C406" s="1371"/>
      <c r="D406" s="1371"/>
      <c r="E406" s="1371"/>
      <c r="F406" s="1371"/>
      <c r="G406" s="1371"/>
      <c r="H406" s="1371"/>
      <c r="I406" s="1371"/>
      <c r="J406" s="1371"/>
      <c r="K406" s="1038"/>
      <c r="L406" s="996"/>
      <c r="M406" s="996"/>
      <c r="N406" s="1057"/>
      <c r="O406" s="996"/>
      <c r="P406" s="996"/>
      <c r="Q406" s="996"/>
      <c r="R406" s="996"/>
      <c r="S406" s="996"/>
      <c r="T406" s="996"/>
      <c r="U406" s="996"/>
    </row>
    <row r="407" spans="2:21" s="1201" customFormat="1" ht="15.5" hidden="1" x14ac:dyDescent="0.35">
      <c r="B407" s="1037" t="s">
        <v>368</v>
      </c>
      <c r="C407" s="1371"/>
      <c r="D407" s="1371"/>
      <c r="E407" s="1371"/>
      <c r="F407" s="1371"/>
      <c r="G407" s="1371"/>
      <c r="H407" s="1371"/>
      <c r="I407" s="1371"/>
      <c r="J407" s="1371"/>
      <c r="K407" s="1038" t="s">
        <v>369</v>
      </c>
      <c r="L407" s="996"/>
      <c r="M407" s="996"/>
      <c r="N407" s="1057"/>
      <c r="O407" s="996"/>
      <c r="P407" s="996"/>
      <c r="Q407" s="996"/>
      <c r="R407" s="996"/>
      <c r="S407" s="996"/>
      <c r="T407" s="996"/>
      <c r="U407" s="996"/>
    </row>
    <row r="408" spans="2:21" s="1201" customFormat="1" ht="15.5" hidden="1" x14ac:dyDescent="0.35">
      <c r="B408" s="1371"/>
      <c r="C408" s="1037" t="s">
        <v>370</v>
      </c>
      <c r="D408" s="1371"/>
      <c r="E408" s="1371"/>
      <c r="F408" s="1371"/>
      <c r="G408" s="1371"/>
      <c r="H408" s="1371"/>
      <c r="I408" s="1371"/>
      <c r="J408" s="1371"/>
      <c r="K408" s="1038" t="s">
        <v>371</v>
      </c>
      <c r="L408" s="996"/>
      <c r="M408" s="996"/>
      <c r="N408" s="1057"/>
      <c r="O408" s="996"/>
      <c r="P408" s="996"/>
      <c r="Q408" s="996"/>
      <c r="R408" s="996"/>
      <c r="S408" s="996"/>
      <c r="T408" s="995"/>
      <c r="U408" s="995"/>
    </row>
    <row r="409" spans="2:21" s="1201" customFormat="1" ht="15.5" hidden="1" x14ac:dyDescent="0.35">
      <c r="B409" s="1371"/>
      <c r="C409" s="1371"/>
      <c r="D409" s="1371"/>
      <c r="E409" s="1371"/>
      <c r="F409" s="1371"/>
      <c r="G409" s="1371"/>
      <c r="H409" s="1371"/>
      <c r="I409" s="1371"/>
      <c r="J409" s="1371"/>
      <c r="K409" s="1051"/>
      <c r="L409" s="996"/>
      <c r="M409" s="1058"/>
      <c r="N409" s="1059"/>
      <c r="O409" s="996"/>
      <c r="P409" s="996"/>
      <c r="Q409" s="996"/>
      <c r="R409" s="996"/>
      <c r="S409" s="996"/>
      <c r="T409" s="1056"/>
      <c r="U409" s="995"/>
    </row>
    <row r="410" spans="2:21" s="1201" customFormat="1" ht="15.5" hidden="1" x14ac:dyDescent="0.35">
      <c r="B410" s="1040"/>
      <c r="C410" s="1039" t="s">
        <v>440</v>
      </c>
      <c r="D410" s="1050" t="e">
        <f>D295*I$82%</f>
        <v>#DIV/0!</v>
      </c>
      <c r="E410" s="1131">
        <f>E295*$I$83%</f>
        <v>0</v>
      </c>
      <c r="F410" s="1131">
        <f>F295*$I$83%</f>
        <v>0</v>
      </c>
      <c r="G410" s="1131">
        <f>G295*$I$83%</f>
        <v>0</v>
      </c>
      <c r="H410" s="1131">
        <f>H295*$I$83%</f>
        <v>0</v>
      </c>
      <c r="I410" s="1131">
        <f>I295*$I$83%</f>
        <v>0</v>
      </c>
      <c r="J410" s="1371" t="s">
        <v>288</v>
      </c>
      <c r="K410" s="1038"/>
      <c r="L410" s="1058"/>
      <c r="M410" s="1058"/>
      <c r="N410" s="1058"/>
      <c r="O410" s="996"/>
      <c r="P410" s="996"/>
      <c r="Q410" s="996"/>
      <c r="R410" s="996"/>
      <c r="S410" s="996"/>
      <c r="T410" s="1056"/>
      <c r="U410" s="995"/>
    </row>
    <row r="411" spans="2:21" s="1201" customFormat="1" ht="15.5" hidden="1" x14ac:dyDescent="0.35">
      <c r="B411" s="1371"/>
      <c r="C411" s="1371"/>
      <c r="D411" s="1050"/>
      <c r="E411" s="1131"/>
      <c r="F411" s="1131"/>
      <c r="G411" s="1131"/>
      <c r="H411" s="1131"/>
      <c r="I411" s="1131"/>
      <c r="J411" s="1371"/>
      <c r="K411" s="1038"/>
      <c r="L411" s="1058"/>
      <c r="M411" s="1058"/>
      <c r="N411" s="1059"/>
      <c r="O411" s="995"/>
      <c r="P411" s="995"/>
      <c r="Q411" s="995"/>
      <c r="R411" s="995"/>
      <c r="S411" s="995"/>
      <c r="T411" s="996"/>
      <c r="U411" s="996"/>
    </row>
    <row r="412" spans="2:21" s="1201" customFormat="1" ht="15.5" hidden="1" x14ac:dyDescent="0.35">
      <c r="B412" s="1371"/>
      <c r="C412" s="1037" t="s">
        <v>372</v>
      </c>
      <c r="D412" s="1050"/>
      <c r="E412" s="1131"/>
      <c r="F412" s="1131"/>
      <c r="G412" s="1131"/>
      <c r="H412" s="1131"/>
      <c r="I412" s="1131"/>
      <c r="J412" s="1371"/>
      <c r="K412" s="1038" t="s">
        <v>373</v>
      </c>
      <c r="L412" s="1058"/>
      <c r="M412" s="1058"/>
      <c r="N412" s="1059"/>
      <c r="O412" s="995"/>
      <c r="P412" s="995"/>
      <c r="Q412" s="995"/>
      <c r="R412" s="995"/>
      <c r="S412" s="995"/>
      <c r="T412" s="996"/>
      <c r="U412" s="996"/>
    </row>
    <row r="413" spans="2:21" s="1201" customFormat="1" ht="15.5" hidden="1" x14ac:dyDescent="0.35">
      <c r="B413" s="1371"/>
      <c r="C413" s="1371"/>
      <c r="D413" s="1050"/>
      <c r="E413" s="1131"/>
      <c r="F413" s="1131"/>
      <c r="G413" s="1131"/>
      <c r="H413" s="1131"/>
      <c r="I413" s="1131"/>
      <c r="J413" s="1371"/>
      <c r="K413" s="1051"/>
      <c r="L413" s="1058"/>
      <c r="M413" s="1058"/>
      <c r="N413" s="1059"/>
      <c r="O413" s="995"/>
      <c r="P413" s="1060"/>
      <c r="Q413" s="1060"/>
      <c r="R413" s="995"/>
      <c r="S413" s="995"/>
      <c r="T413" s="996"/>
      <c r="U413" s="996"/>
    </row>
    <row r="414" spans="2:21" s="1201" customFormat="1" ht="15.5" hidden="1" x14ac:dyDescent="0.35">
      <c r="B414" s="1371"/>
      <c r="C414" s="1039" t="s">
        <v>440</v>
      </c>
      <c r="D414" s="1050" t="e">
        <f>D299*$I$82%</f>
        <v>#DIV/0!</v>
      </c>
      <c r="E414" s="1131" t="e">
        <f>E299*$I$83%</f>
        <v>#N/A</v>
      </c>
      <c r="F414" s="1131" t="e">
        <f>F299*$I$83%</f>
        <v>#N/A</v>
      </c>
      <c r="G414" s="1131" t="e">
        <f>G299*$I$83%</f>
        <v>#N/A</v>
      </c>
      <c r="H414" s="1131" t="e">
        <f>H299*$I$83%</f>
        <v>#N/A</v>
      </c>
      <c r="I414" s="1131" t="e">
        <f>I299*$I$83%</f>
        <v>#N/A</v>
      </c>
      <c r="J414" s="1371" t="s">
        <v>288</v>
      </c>
      <c r="K414" s="1051"/>
      <c r="L414" s="1058"/>
      <c r="M414" s="996"/>
      <c r="N414" s="996"/>
      <c r="O414" s="996"/>
      <c r="P414" s="996"/>
      <c r="Q414" s="996"/>
      <c r="R414" s="996"/>
      <c r="S414" s="996"/>
      <c r="T414" s="996"/>
      <c r="U414" s="996"/>
    </row>
    <row r="415" spans="2:21" s="1201" customFormat="1" ht="15.5" hidden="1" x14ac:dyDescent="0.35">
      <c r="B415" s="1371"/>
      <c r="C415" s="1371"/>
      <c r="D415" s="1061"/>
      <c r="E415" s="1371"/>
      <c r="F415" s="1371"/>
      <c r="G415" s="1371"/>
      <c r="H415" s="1371"/>
      <c r="I415" s="1371"/>
      <c r="J415" s="1371"/>
      <c r="K415" s="1051"/>
      <c r="L415" s="996"/>
      <c r="M415" s="996"/>
      <c r="N415" s="996"/>
      <c r="O415" s="996"/>
      <c r="P415" s="996"/>
      <c r="Q415" s="996"/>
      <c r="R415" s="996"/>
      <c r="S415" s="996"/>
      <c r="T415" s="995"/>
      <c r="U415" s="995"/>
    </row>
    <row r="416" spans="2:21" s="1201" customFormat="1" ht="15.5" hidden="1" x14ac:dyDescent="0.35">
      <c r="B416" s="1037" t="s">
        <v>374</v>
      </c>
      <c r="C416" s="1037" t="s">
        <v>375</v>
      </c>
      <c r="D416" s="1371"/>
      <c r="E416" s="1371"/>
      <c r="F416" s="1371"/>
      <c r="G416" s="1371"/>
      <c r="H416" s="1371"/>
      <c r="I416" s="1371"/>
      <c r="J416" s="1371"/>
      <c r="K416" s="1038" t="s">
        <v>376</v>
      </c>
      <c r="L416" s="996"/>
      <c r="M416" s="996"/>
      <c r="N416" s="996"/>
      <c r="O416" s="996"/>
      <c r="P416" s="996"/>
      <c r="Q416" s="996"/>
      <c r="R416" s="996"/>
      <c r="S416" s="996"/>
      <c r="T416" s="995"/>
      <c r="U416" s="995"/>
    </row>
    <row r="417" spans="2:21" s="1201" customFormat="1" ht="15.5" hidden="1" x14ac:dyDescent="0.35">
      <c r="B417" s="1371"/>
      <c r="C417" s="1371" t="s">
        <v>377</v>
      </c>
      <c r="D417" s="1043">
        <v>5.0000000000000001E-3</v>
      </c>
      <c r="E417" s="1371"/>
      <c r="F417" s="1371"/>
      <c r="G417" s="1371"/>
      <c r="H417" s="1371"/>
      <c r="I417" s="1371"/>
      <c r="J417" s="1371"/>
      <c r="K417" s="1051"/>
      <c r="L417" s="996"/>
      <c r="M417" s="996"/>
      <c r="N417" s="996"/>
      <c r="O417" s="996"/>
      <c r="P417" s="996"/>
      <c r="Q417" s="996"/>
      <c r="R417" s="996"/>
      <c r="S417" s="996"/>
      <c r="T417" s="996"/>
      <c r="U417" s="996"/>
    </row>
    <row r="418" spans="2:21" s="1201" customFormat="1" ht="15.5" hidden="1" x14ac:dyDescent="0.35">
      <c r="B418" s="1371"/>
      <c r="C418" s="1371" t="s">
        <v>378</v>
      </c>
      <c r="D418" s="1372">
        <v>4.0000000000000001E-3</v>
      </c>
      <c r="E418" s="1371"/>
      <c r="F418" s="1371"/>
      <c r="G418" s="1371"/>
      <c r="H418" s="1371"/>
      <c r="I418" s="1371"/>
      <c r="J418" s="1371"/>
      <c r="K418" s="1051"/>
      <c r="L418" s="996"/>
      <c r="M418" s="996"/>
      <c r="N418" s="996"/>
      <c r="O418" s="995"/>
      <c r="P418" s="995"/>
      <c r="Q418" s="995"/>
      <c r="R418" s="995"/>
      <c r="S418" s="995"/>
      <c r="T418" s="996"/>
      <c r="U418" s="996"/>
    </row>
    <row r="419" spans="2:21" s="1201" customFormat="1" ht="15.5" hidden="1" x14ac:dyDescent="0.35">
      <c r="B419" s="1371"/>
      <c r="C419" s="1371"/>
      <c r="D419" s="1371"/>
      <c r="E419" s="1371"/>
      <c r="F419" s="1371"/>
      <c r="G419" s="1371"/>
      <c r="H419" s="1371"/>
      <c r="I419" s="1371"/>
      <c r="J419" s="1371"/>
      <c r="K419" s="1051"/>
      <c r="L419" s="996"/>
      <c r="M419" s="1062"/>
      <c r="N419" s="996"/>
      <c r="O419" s="995"/>
      <c r="P419" s="995"/>
      <c r="Q419" s="995"/>
      <c r="R419" s="995"/>
      <c r="S419" s="995"/>
      <c r="T419" s="996"/>
      <c r="U419" s="996"/>
    </row>
    <row r="420" spans="2:21" s="1201" customFormat="1" ht="15.5" hidden="1" x14ac:dyDescent="0.35">
      <c r="B420" s="1371"/>
      <c r="C420" s="1039" t="s">
        <v>440</v>
      </c>
      <c r="D420" s="1061" t="e">
        <f t="shared" ref="D420:I420" si="33">(D410*$D$417*44/28)+(D414*$D$418*44/28)</f>
        <v>#DIV/0!</v>
      </c>
      <c r="E420" s="1061" t="e">
        <f t="shared" si="33"/>
        <v>#N/A</v>
      </c>
      <c r="F420" s="1061" t="e">
        <f t="shared" si="33"/>
        <v>#N/A</v>
      </c>
      <c r="G420" s="1061" t="e">
        <f t="shared" si="33"/>
        <v>#N/A</v>
      </c>
      <c r="H420" s="1061" t="e">
        <f t="shared" si="33"/>
        <v>#N/A</v>
      </c>
      <c r="I420" s="1061" t="e">
        <f t="shared" si="33"/>
        <v>#N/A</v>
      </c>
      <c r="J420" s="1039" t="s">
        <v>298</v>
      </c>
      <c r="K420" s="1051"/>
      <c r="L420" s="996"/>
      <c r="M420" s="996"/>
      <c r="N420" s="996"/>
      <c r="O420" s="996"/>
      <c r="P420" s="996"/>
      <c r="Q420" s="996"/>
      <c r="R420" s="996"/>
      <c r="S420" s="996"/>
      <c r="T420" s="996"/>
      <c r="U420" s="996"/>
    </row>
    <row r="421" spans="2:21" s="1201" customFormat="1" ht="15.5" hidden="1" x14ac:dyDescent="0.35">
      <c r="B421" s="1371"/>
      <c r="C421" s="1371"/>
      <c r="D421" s="1371"/>
      <c r="E421" s="1371"/>
      <c r="F421" s="1371"/>
      <c r="G421" s="1371"/>
      <c r="H421" s="1371"/>
      <c r="I421" s="1371"/>
      <c r="J421" s="1371"/>
      <c r="K421" s="1051"/>
      <c r="L421" s="996"/>
      <c r="M421" s="996"/>
      <c r="N421" s="996"/>
      <c r="O421" s="996"/>
      <c r="P421" s="996"/>
      <c r="Q421" s="996"/>
      <c r="R421" s="996"/>
      <c r="S421" s="996"/>
      <c r="T421" s="996"/>
      <c r="U421" s="996"/>
    </row>
    <row r="422" spans="2:21" s="1201" customFormat="1" ht="15.5" hidden="1" x14ac:dyDescent="0.35">
      <c r="B422" s="1037" t="s">
        <v>379</v>
      </c>
      <c r="C422" s="1371"/>
      <c r="D422" s="1063"/>
      <c r="E422" s="1371"/>
      <c r="F422" s="1371"/>
      <c r="G422" s="1371"/>
      <c r="H422" s="1371"/>
      <c r="I422" s="1371"/>
      <c r="J422" s="1371"/>
      <c r="K422" s="1051"/>
      <c r="L422" s="996"/>
      <c r="O422" s="996"/>
      <c r="P422" s="996"/>
      <c r="Q422" s="996"/>
      <c r="R422" s="996"/>
      <c r="S422" s="996"/>
      <c r="T422" s="996"/>
      <c r="U422" s="996"/>
    </row>
    <row r="423" spans="2:21" s="1201" customFormat="1" ht="15.5" hidden="1" x14ac:dyDescent="0.35">
      <c r="B423" s="1371"/>
      <c r="C423" s="1039" t="s">
        <v>440</v>
      </c>
      <c r="D423" s="1040" t="e">
        <f t="shared" ref="D423:I423" si="34">D375+D420</f>
        <v>#DIV/0!</v>
      </c>
      <c r="E423" s="1040" t="e">
        <f t="shared" si="34"/>
        <v>#N/A</v>
      </c>
      <c r="F423" s="1040" t="e">
        <f t="shared" si="34"/>
        <v>#N/A</v>
      </c>
      <c r="G423" s="1040" t="e">
        <f t="shared" si="34"/>
        <v>#N/A</v>
      </c>
      <c r="H423" s="1040" t="e">
        <f t="shared" si="34"/>
        <v>#N/A</v>
      </c>
      <c r="I423" s="1040" t="e">
        <f t="shared" si="34"/>
        <v>#N/A</v>
      </c>
      <c r="J423" s="1039" t="s">
        <v>298</v>
      </c>
      <c r="K423" s="1051"/>
      <c r="O423" s="996"/>
      <c r="P423" s="996"/>
      <c r="Q423" s="996"/>
      <c r="R423" s="996"/>
      <c r="S423" s="996"/>
      <c r="T423" s="996"/>
      <c r="U423" s="996"/>
    </row>
    <row r="424" spans="2:21" s="1201" customFormat="1" ht="15.5" hidden="1" x14ac:dyDescent="0.35">
      <c r="B424" s="1371"/>
      <c r="C424" s="1039"/>
      <c r="D424" s="1040"/>
      <c r="E424" s="1040"/>
      <c r="F424" s="1040"/>
      <c r="G424" s="1040"/>
      <c r="H424" s="1040"/>
      <c r="I424" s="1040"/>
      <c r="J424" s="1039"/>
      <c r="K424" s="1064"/>
      <c r="M424" s="1066"/>
      <c r="N424" s="1066"/>
      <c r="O424" s="996"/>
      <c r="P424" s="996"/>
      <c r="Q424" s="996"/>
      <c r="R424" s="996"/>
      <c r="S424" s="996"/>
      <c r="T424" s="1067"/>
      <c r="U424" s="996"/>
    </row>
    <row r="425" spans="2:21" s="1201" customFormat="1" ht="15.5" hidden="1" x14ac:dyDescent="0.35">
      <c r="B425" s="1037" t="s">
        <v>263</v>
      </c>
      <c r="C425" s="1065" t="e">
        <f>SUM(D423:I423)</f>
        <v>#DIV/0!</v>
      </c>
      <c r="D425" s="1040"/>
      <c r="E425" s="1040"/>
      <c r="F425" s="1040"/>
      <c r="G425" s="1040"/>
      <c r="H425" s="1040"/>
      <c r="I425" s="1040"/>
      <c r="J425" s="1039" t="s">
        <v>299</v>
      </c>
      <c r="K425" s="1064"/>
      <c r="L425" s="1066"/>
      <c r="M425" s="1066"/>
      <c r="N425" s="1066"/>
      <c r="O425" s="996"/>
      <c r="P425" s="996"/>
      <c r="Q425" s="996"/>
      <c r="R425" s="996"/>
      <c r="S425" s="996"/>
      <c r="T425" s="996"/>
      <c r="U425" s="996"/>
    </row>
    <row r="426" spans="2:21" s="1201" customFormat="1" ht="15.5" hidden="1" x14ac:dyDescent="0.35">
      <c r="B426" s="1037" t="s">
        <v>263</v>
      </c>
      <c r="C426" s="1042" t="e">
        <f>C425*310</f>
        <v>#DIV/0!</v>
      </c>
      <c r="D426" s="1371"/>
      <c r="E426" s="1371"/>
      <c r="F426" s="1371"/>
      <c r="G426" s="1371"/>
      <c r="H426" s="1371"/>
      <c r="I426" s="1371"/>
      <c r="J426" s="1039" t="s">
        <v>265</v>
      </c>
      <c r="K426" s="1064"/>
      <c r="L426" s="1066"/>
      <c r="M426" s="1066"/>
      <c r="N426" s="1066"/>
      <c r="O426" s="996"/>
      <c r="P426" s="996"/>
      <c r="Q426" s="996"/>
      <c r="R426" s="996"/>
      <c r="S426" s="996"/>
      <c r="T426" s="996"/>
      <c r="U426" s="996"/>
    </row>
    <row r="427" spans="2:21" s="1201" customFormat="1" ht="15.5" hidden="1" x14ac:dyDescent="0.35">
      <c r="B427" s="1037" t="s">
        <v>263</v>
      </c>
      <c r="C427" s="1042" t="e">
        <f>C426*10^3</f>
        <v>#DIV/0!</v>
      </c>
      <c r="D427" s="1371"/>
      <c r="E427" s="1369"/>
      <c r="F427" s="1371"/>
      <c r="G427" s="1371"/>
      <c r="H427" s="1371"/>
      <c r="I427" s="1371"/>
      <c r="J427" s="1039" t="s">
        <v>266</v>
      </c>
      <c r="K427" s="1064"/>
      <c r="L427" s="1066"/>
      <c r="M427" s="1066"/>
      <c r="N427" s="1066"/>
      <c r="O427" s="1067"/>
      <c r="P427" s="1067"/>
      <c r="Q427" s="1067"/>
      <c r="R427" s="1067"/>
      <c r="S427" s="1067"/>
      <c r="T427" s="996"/>
      <c r="U427" s="996"/>
    </row>
    <row r="428" spans="2:21" s="1201" customFormat="1" ht="15.5" hidden="1" x14ac:dyDescent="0.35">
      <c r="B428" s="1371"/>
      <c r="C428" s="1371"/>
      <c r="D428" s="1371"/>
      <c r="E428" s="1371"/>
      <c r="F428" s="1371"/>
      <c r="G428" s="1371"/>
      <c r="H428" s="1371"/>
      <c r="I428" s="1371"/>
      <c r="J428" s="1371"/>
      <c r="K428" s="1064"/>
      <c r="L428" s="1066"/>
      <c r="M428" s="1066"/>
      <c r="N428" s="1066"/>
      <c r="O428" s="996"/>
      <c r="P428" s="996"/>
      <c r="Q428" s="996"/>
      <c r="R428" s="996"/>
      <c r="S428" s="996"/>
      <c r="T428" s="996"/>
      <c r="U428" s="996"/>
    </row>
    <row r="429" spans="2:21" s="1201" customFormat="1" ht="15.5" hidden="1" x14ac:dyDescent="0.35">
      <c r="B429" s="1037" t="s">
        <v>380</v>
      </c>
      <c r="C429" s="1037" t="s">
        <v>381</v>
      </c>
      <c r="D429" s="1371"/>
      <c r="E429" s="1371"/>
      <c r="F429" s="1371"/>
      <c r="G429" s="1371"/>
      <c r="H429" s="1371"/>
      <c r="I429" s="1371"/>
      <c r="J429" s="1371"/>
      <c r="K429" s="1038" t="s">
        <v>382</v>
      </c>
      <c r="L429" s="1036"/>
      <c r="M429" s="1066"/>
      <c r="N429" s="1066"/>
      <c r="O429" s="996"/>
      <c r="P429" s="996"/>
      <c r="Q429" s="996"/>
      <c r="R429" s="996"/>
      <c r="S429" s="996"/>
      <c r="T429" s="996"/>
      <c r="U429" s="996"/>
    </row>
    <row r="430" spans="2:21" s="1201" customFormat="1" ht="15.5" hidden="1" x14ac:dyDescent="0.35">
      <c r="B430" s="1371"/>
      <c r="C430" s="1371" t="s">
        <v>383</v>
      </c>
      <c r="D430" s="1371"/>
      <c r="E430" s="1371"/>
      <c r="F430" s="1371"/>
      <c r="G430" s="1371"/>
      <c r="H430" s="1371"/>
      <c r="I430" s="1371"/>
      <c r="J430" s="1371" t="s">
        <v>307</v>
      </c>
      <c r="K430" s="1038"/>
      <c r="L430" s="996"/>
      <c r="M430" s="1066"/>
      <c r="N430" s="1066"/>
      <c r="O430" s="996"/>
      <c r="P430" s="996"/>
      <c r="Q430" s="996"/>
      <c r="R430" s="996"/>
      <c r="S430" s="996"/>
      <c r="T430" s="996"/>
      <c r="U430" s="996"/>
    </row>
    <row r="431" spans="2:21" s="1201" customFormat="1" ht="16" hidden="1" thickBot="1" x14ac:dyDescent="0.4">
      <c r="B431" s="1371"/>
      <c r="C431" s="1371" t="s">
        <v>306</v>
      </c>
      <c r="D431" s="1371"/>
      <c r="E431" s="1371"/>
      <c r="F431" s="1371"/>
      <c r="G431" s="1371"/>
      <c r="H431" s="1371"/>
      <c r="I431" s="1371"/>
      <c r="J431" s="1068" t="s">
        <v>307</v>
      </c>
      <c r="K431" s="1038"/>
      <c r="L431" s="996"/>
      <c r="M431" s="1066"/>
      <c r="N431" s="1066"/>
      <c r="O431" s="996"/>
      <c r="P431" s="996"/>
      <c r="Q431" s="996"/>
      <c r="R431" s="996"/>
      <c r="S431" s="996"/>
      <c r="T431" s="996"/>
      <c r="U431" s="996"/>
    </row>
    <row r="432" spans="2:21" s="1201" customFormat="1" ht="15.5" hidden="1" x14ac:dyDescent="0.35">
      <c r="B432" s="1371"/>
      <c r="C432" s="1371" t="s">
        <v>1424</v>
      </c>
      <c r="D432" s="1371"/>
      <c r="E432" s="1371"/>
      <c r="F432" s="1371"/>
      <c r="G432" s="1371"/>
      <c r="H432" s="1371"/>
      <c r="I432" s="1371"/>
      <c r="J432" s="1068" t="s">
        <v>384</v>
      </c>
      <c r="K432" s="1038"/>
      <c r="L432" s="996"/>
      <c r="M432" s="1070" t="s">
        <v>1425</v>
      </c>
      <c r="N432" s="1071" t="s">
        <v>1426</v>
      </c>
      <c r="O432" s="1072" t="s">
        <v>1427</v>
      </c>
      <c r="P432" s="1072" t="s">
        <v>1428</v>
      </c>
      <c r="Q432" s="1072" t="s">
        <v>1429</v>
      </c>
      <c r="R432" s="1072" t="s">
        <v>1430</v>
      </c>
      <c r="S432" s="1072" t="s">
        <v>1431</v>
      </c>
      <c r="T432" s="1072" t="s">
        <v>1432</v>
      </c>
      <c r="U432" s="1073" t="s">
        <v>1433</v>
      </c>
    </row>
    <row r="433" spans="2:21" s="1201" customFormat="1" ht="15.5" hidden="1" x14ac:dyDescent="0.35">
      <c r="B433" s="1371"/>
      <c r="C433" s="1371"/>
      <c r="D433" s="1371"/>
      <c r="E433" s="1371"/>
      <c r="F433" s="1371"/>
      <c r="G433" s="1371"/>
      <c r="H433" s="1371"/>
      <c r="I433" s="1371"/>
      <c r="J433" s="1068"/>
      <c r="K433" s="1038"/>
      <c r="L433" s="996"/>
      <c r="M433" s="1074"/>
      <c r="N433" s="1075"/>
      <c r="O433" s="1372"/>
      <c r="P433" s="1372"/>
      <c r="Q433" s="1372"/>
      <c r="R433" s="1372"/>
      <c r="S433" s="1372"/>
      <c r="T433" s="1372"/>
      <c r="U433" s="1076"/>
    </row>
    <row r="434" spans="2:21" s="1201" customFormat="1" ht="15.5" hidden="1" x14ac:dyDescent="0.35">
      <c r="B434" s="1371" t="s">
        <v>385</v>
      </c>
      <c r="C434" s="1043" t="s">
        <v>807</v>
      </c>
      <c r="D434" s="1200">
        <f>D336*0.1</f>
        <v>0</v>
      </c>
      <c r="E434" s="1136"/>
      <c r="F434" s="1050"/>
      <c r="G434" s="1371"/>
      <c r="H434" s="1371"/>
      <c r="I434" s="1371"/>
      <c r="J434" s="1068" t="s">
        <v>438</v>
      </c>
      <c r="K434" s="1143"/>
      <c r="L434" s="995"/>
      <c r="M434" s="1077" t="s">
        <v>1434</v>
      </c>
      <c r="N434" s="1075"/>
      <c r="O434" s="1078">
        <v>0.35</v>
      </c>
      <c r="P434" s="1079">
        <v>0.4</v>
      </c>
      <c r="Q434" s="1078">
        <v>7.0000000000000007E-2</v>
      </c>
      <c r="R434" s="1078">
        <v>0.3</v>
      </c>
      <c r="S434" s="1078">
        <v>0.2</v>
      </c>
      <c r="T434" s="1078">
        <v>0</v>
      </c>
      <c r="U434" s="1080">
        <v>0.2</v>
      </c>
    </row>
    <row r="435" spans="2:21" s="1201" customFormat="1" ht="15.5" hidden="1" x14ac:dyDescent="0.35">
      <c r="B435" s="1371"/>
      <c r="C435" s="1043" t="s">
        <v>817</v>
      </c>
      <c r="D435" s="1200">
        <f>D337*0.1</f>
        <v>0</v>
      </c>
      <c r="E435" s="1044"/>
      <c r="F435" s="1371"/>
      <c r="G435" s="1371"/>
      <c r="H435" s="1371"/>
      <c r="I435" s="1371"/>
      <c r="J435" s="1068" t="s">
        <v>438</v>
      </c>
      <c r="K435" s="1143"/>
      <c r="L435" s="1047"/>
      <c r="M435" s="1074" t="s">
        <v>1435</v>
      </c>
      <c r="N435" s="1081" t="s">
        <v>440</v>
      </c>
      <c r="O435" s="1204" t="e">
        <f t="shared" ref="O435:U435" si="35">$D$303*C82%</f>
        <v>#DIV/0!</v>
      </c>
      <c r="P435" s="1204" t="e">
        <f t="shared" si="35"/>
        <v>#DIV/0!</v>
      </c>
      <c r="Q435" s="1204" t="e">
        <f t="shared" si="35"/>
        <v>#DIV/0!</v>
      </c>
      <c r="R435" s="1204" t="e">
        <f t="shared" si="35"/>
        <v>#DIV/0!</v>
      </c>
      <c r="S435" s="1204" t="e">
        <f t="shared" si="35"/>
        <v>#DIV/0!</v>
      </c>
      <c r="T435" s="1204" t="e">
        <f t="shared" si="35"/>
        <v>#DIV/0!</v>
      </c>
      <c r="U435" s="1206" t="e">
        <f t="shared" si="35"/>
        <v>#DIV/0!</v>
      </c>
    </row>
    <row r="436" spans="2:21" s="1201" customFormat="1" ht="15.5" hidden="1" x14ac:dyDescent="0.35">
      <c r="B436" s="1371"/>
      <c r="C436" s="1043"/>
      <c r="D436" s="1200"/>
      <c r="E436" s="1044"/>
      <c r="F436" s="1371"/>
      <c r="G436" s="1371"/>
      <c r="H436" s="1371"/>
      <c r="I436" s="1371"/>
      <c r="J436" s="1068"/>
      <c r="K436" s="1051"/>
      <c r="L436" s="1036"/>
      <c r="M436" s="1074"/>
      <c r="N436" s="1081"/>
      <c r="O436" s="1204"/>
      <c r="P436" s="1204"/>
      <c r="Q436" s="1204"/>
      <c r="R436" s="1204"/>
      <c r="S436" s="1204"/>
      <c r="T436" s="1204"/>
      <c r="U436" s="1206"/>
    </row>
    <row r="437" spans="2:21" s="1201" customFormat="1" ht="15.5" hidden="1" x14ac:dyDescent="0.35">
      <c r="B437" s="1371"/>
      <c r="C437" s="1043"/>
      <c r="D437" s="1200"/>
      <c r="E437" s="1044"/>
      <c r="F437" s="1371"/>
      <c r="G437" s="1371"/>
      <c r="H437" s="1371"/>
      <c r="I437" s="1371"/>
      <c r="J437" s="1068"/>
      <c r="K437" s="1038"/>
      <c r="L437" s="996"/>
      <c r="M437" s="1074" t="s">
        <v>1436</v>
      </c>
      <c r="N437" s="1081" t="s">
        <v>440</v>
      </c>
      <c r="O437" s="1204" t="e">
        <f t="shared" ref="O437:U437" si="36">$E$303*C83%</f>
        <v>#N/A</v>
      </c>
      <c r="P437" s="1204" t="e">
        <f t="shared" si="36"/>
        <v>#N/A</v>
      </c>
      <c r="Q437" s="1204" t="e">
        <f t="shared" si="36"/>
        <v>#N/A</v>
      </c>
      <c r="R437" s="1204" t="e">
        <f t="shared" si="36"/>
        <v>#N/A</v>
      </c>
      <c r="S437" s="1204" t="e">
        <f t="shared" si="36"/>
        <v>#N/A</v>
      </c>
      <c r="T437" s="1204" t="e">
        <f t="shared" si="36"/>
        <v>#N/A</v>
      </c>
      <c r="U437" s="1206" t="e">
        <f t="shared" si="36"/>
        <v>#N/A</v>
      </c>
    </row>
    <row r="438" spans="2:21" s="1201" customFormat="1" ht="15.5" hidden="1" x14ac:dyDescent="0.35">
      <c r="B438" s="1371"/>
      <c r="C438" s="1039"/>
      <c r="D438" s="1373"/>
      <c r="E438" s="1044"/>
      <c r="F438" s="1371"/>
      <c r="G438" s="1371"/>
      <c r="H438" s="1371"/>
      <c r="I438" s="1371"/>
      <c r="J438" s="1068"/>
      <c r="K438" s="1038"/>
      <c r="L438" s="996"/>
      <c r="M438" s="1074"/>
      <c r="N438" s="1081"/>
      <c r="O438" s="1204"/>
      <c r="P438" s="1204"/>
      <c r="Q438" s="1204"/>
      <c r="R438" s="1204"/>
      <c r="S438" s="1204"/>
      <c r="T438" s="1204"/>
      <c r="U438" s="1206"/>
    </row>
    <row r="439" spans="2:21" s="1201" customFormat="1" ht="15.5" hidden="1" x14ac:dyDescent="0.35">
      <c r="B439" s="1037" t="s">
        <v>386</v>
      </c>
      <c r="C439" s="1037" t="s">
        <v>1437</v>
      </c>
      <c r="D439" s="1371"/>
      <c r="E439" s="1371"/>
      <c r="F439" s="1371"/>
      <c r="G439" s="1371"/>
      <c r="H439" s="1371"/>
      <c r="I439" s="1371"/>
      <c r="J439" s="1371"/>
      <c r="K439" s="1038" t="s">
        <v>387</v>
      </c>
      <c r="L439" s="996"/>
      <c r="M439" s="1074" t="s">
        <v>1438</v>
      </c>
      <c r="N439" s="1081" t="s">
        <v>440</v>
      </c>
      <c r="O439" s="1204" t="e">
        <f t="shared" ref="O439:U439" si="37">$F$303*C83%</f>
        <v>#N/A</v>
      </c>
      <c r="P439" s="1204" t="e">
        <f t="shared" si="37"/>
        <v>#N/A</v>
      </c>
      <c r="Q439" s="1204" t="e">
        <f t="shared" si="37"/>
        <v>#N/A</v>
      </c>
      <c r="R439" s="1204" t="e">
        <f t="shared" si="37"/>
        <v>#N/A</v>
      </c>
      <c r="S439" s="1204" t="e">
        <f t="shared" si="37"/>
        <v>#N/A</v>
      </c>
      <c r="T439" s="1204" t="e">
        <f t="shared" si="37"/>
        <v>#N/A</v>
      </c>
      <c r="U439" s="1206" t="e">
        <f t="shared" si="37"/>
        <v>#N/A</v>
      </c>
    </row>
    <row r="440" spans="2:21" s="1201" customFormat="1" ht="15.5" hidden="1" x14ac:dyDescent="0.35">
      <c r="B440" s="1371"/>
      <c r="C440" s="1371" t="s">
        <v>388</v>
      </c>
      <c r="D440" s="1371"/>
      <c r="E440" s="1371"/>
      <c r="F440" s="1371"/>
      <c r="G440" s="1371"/>
      <c r="H440" s="1371"/>
      <c r="I440" s="1371"/>
      <c r="J440" s="1371"/>
      <c r="K440" s="1038" t="s">
        <v>389</v>
      </c>
      <c r="L440" s="996"/>
      <c r="M440" s="1074"/>
      <c r="N440" s="1372"/>
      <c r="O440" s="1204"/>
      <c r="P440" s="1204"/>
      <c r="Q440" s="1204"/>
      <c r="R440" s="1204"/>
      <c r="S440" s="1204"/>
      <c r="T440" s="1204"/>
      <c r="U440" s="1206"/>
    </row>
    <row r="441" spans="2:21" s="1201" customFormat="1" ht="15.5" hidden="1" x14ac:dyDescent="0.35">
      <c r="B441" s="1371"/>
      <c r="C441" s="1371"/>
      <c r="D441" s="1371"/>
      <c r="E441" s="1371"/>
      <c r="F441" s="1371"/>
      <c r="G441" s="1371"/>
      <c r="H441" s="1371"/>
      <c r="I441" s="1371"/>
      <c r="J441" s="1371"/>
      <c r="K441" s="1051"/>
      <c r="L441" s="996"/>
      <c r="M441" s="1074" t="s">
        <v>1958</v>
      </c>
      <c r="N441" s="1081" t="s">
        <v>440</v>
      </c>
      <c r="O441" s="1204" t="e">
        <f t="shared" ref="O441:U441" si="38">$G$303*C83%</f>
        <v>#N/A</v>
      </c>
      <c r="P441" s="1204" t="e">
        <f t="shared" si="38"/>
        <v>#N/A</v>
      </c>
      <c r="Q441" s="1204" t="e">
        <f t="shared" si="38"/>
        <v>#N/A</v>
      </c>
      <c r="R441" s="1204" t="e">
        <f t="shared" si="38"/>
        <v>#N/A</v>
      </c>
      <c r="S441" s="1204" t="e">
        <f t="shared" si="38"/>
        <v>#N/A</v>
      </c>
      <c r="T441" s="1204" t="e">
        <f t="shared" si="38"/>
        <v>#N/A</v>
      </c>
      <c r="U441" s="1206" t="e">
        <f t="shared" si="38"/>
        <v>#N/A</v>
      </c>
    </row>
    <row r="442" spans="2:21" s="1201" customFormat="1" ht="15.5" hidden="1" x14ac:dyDescent="0.35">
      <c r="B442" s="1371" t="s">
        <v>390</v>
      </c>
      <c r="C442" s="1039" t="s">
        <v>440</v>
      </c>
      <c r="D442" s="1373" t="e">
        <f>SUM(O447:U447)</f>
        <v>#DIV/0!</v>
      </c>
      <c r="E442" s="1044" t="e">
        <f>SUM(O449:U449)</f>
        <v>#N/A</v>
      </c>
      <c r="F442" s="1082" t="e">
        <f>SUM(O451:U451)</f>
        <v>#N/A</v>
      </c>
      <c r="G442" s="1082" t="e">
        <f>SUM(O453:U453)</f>
        <v>#N/A</v>
      </c>
      <c r="H442" s="1082" t="e">
        <f>SUM(O455:U455)</f>
        <v>#N/A</v>
      </c>
      <c r="I442" s="1082" t="e">
        <f>SUM(O457:U457)</f>
        <v>#N/A</v>
      </c>
      <c r="J442" s="1068" t="s">
        <v>288</v>
      </c>
      <c r="K442" s="1038"/>
      <c r="L442" s="996"/>
      <c r="M442" s="1074"/>
      <c r="N442" s="1372"/>
      <c r="O442" s="1204"/>
      <c r="P442" s="1204"/>
      <c r="Q442" s="1204"/>
      <c r="R442" s="1204"/>
      <c r="S442" s="1204"/>
      <c r="T442" s="1204"/>
      <c r="U442" s="1206"/>
    </row>
    <row r="443" spans="2:21" s="1201" customFormat="1" ht="15.5" hidden="1" x14ac:dyDescent="0.35">
      <c r="B443" s="1371"/>
      <c r="C443" s="1371"/>
      <c r="D443" s="1371"/>
      <c r="E443" s="1371"/>
      <c r="F443" s="1371"/>
      <c r="G443" s="1371"/>
      <c r="H443" s="1371"/>
      <c r="I443" s="1371"/>
      <c r="J443" s="1371"/>
      <c r="K443" s="1051"/>
      <c r="L443" s="996"/>
      <c r="M443" s="1074" t="s">
        <v>1440</v>
      </c>
      <c r="N443" s="1081" t="s">
        <v>440</v>
      </c>
      <c r="O443" s="1204" t="e">
        <f t="shared" ref="O443:U443" si="39">$H$303*C83%</f>
        <v>#N/A</v>
      </c>
      <c r="P443" s="1204" t="e">
        <f t="shared" si="39"/>
        <v>#N/A</v>
      </c>
      <c r="Q443" s="1204" t="e">
        <f t="shared" si="39"/>
        <v>#N/A</v>
      </c>
      <c r="R443" s="1204" t="e">
        <f t="shared" si="39"/>
        <v>#N/A</v>
      </c>
      <c r="S443" s="1204" t="e">
        <f t="shared" si="39"/>
        <v>#N/A</v>
      </c>
      <c r="T443" s="1204" t="e">
        <f t="shared" si="39"/>
        <v>#N/A</v>
      </c>
      <c r="U443" s="1206" t="e">
        <f t="shared" si="39"/>
        <v>#N/A</v>
      </c>
    </row>
    <row r="444" spans="2:21" s="1201" customFormat="1" ht="15.5" hidden="1" x14ac:dyDescent="0.35">
      <c r="B444" s="1037" t="s">
        <v>391</v>
      </c>
      <c r="C444" s="1041" t="s">
        <v>392</v>
      </c>
      <c r="D444" s="1372"/>
      <c r="E444" s="1372"/>
      <c r="F444" s="1372"/>
      <c r="G444" s="1372"/>
      <c r="H444" s="1372"/>
      <c r="I444" s="1372"/>
      <c r="J444" s="1372" t="s">
        <v>307</v>
      </c>
      <c r="K444" s="1038" t="s">
        <v>393</v>
      </c>
      <c r="L444" s="996"/>
      <c r="M444" s="1074"/>
      <c r="N444" s="1081"/>
      <c r="O444" s="1044"/>
      <c r="P444" s="1044"/>
      <c r="Q444" s="1044"/>
      <c r="R444" s="1044"/>
      <c r="S444" s="1204"/>
      <c r="T444" s="1044"/>
      <c r="U444" s="1207"/>
    </row>
    <row r="445" spans="2:21" s="1201" customFormat="1" ht="15.5" hidden="1" x14ac:dyDescent="0.35">
      <c r="B445" s="1371"/>
      <c r="C445" s="1372" t="s">
        <v>394</v>
      </c>
      <c r="D445" s="1372"/>
      <c r="E445" s="1372"/>
      <c r="F445" s="1372"/>
      <c r="G445" s="1372"/>
      <c r="H445" s="1372"/>
      <c r="I445" s="1372"/>
      <c r="J445" s="1372" t="s">
        <v>395</v>
      </c>
      <c r="K445" s="1038" t="s">
        <v>339</v>
      </c>
      <c r="L445" s="996"/>
      <c r="M445" s="1074" t="s">
        <v>1439</v>
      </c>
      <c r="N445" s="1081" t="s">
        <v>440</v>
      </c>
      <c r="O445" s="1204" t="e">
        <f t="shared" ref="O445:U445" si="40">$I$303*C83%</f>
        <v>#N/A</v>
      </c>
      <c r="P445" s="1204" t="e">
        <f t="shared" si="40"/>
        <v>#N/A</v>
      </c>
      <c r="Q445" s="1204" t="e">
        <f t="shared" si="40"/>
        <v>#N/A</v>
      </c>
      <c r="R445" s="1204" t="e">
        <f t="shared" si="40"/>
        <v>#N/A</v>
      </c>
      <c r="S445" s="1204" t="e">
        <f t="shared" si="40"/>
        <v>#N/A</v>
      </c>
      <c r="T445" s="1204" t="e">
        <f t="shared" si="40"/>
        <v>#N/A</v>
      </c>
      <c r="U445" s="1206" t="e">
        <f t="shared" si="40"/>
        <v>#N/A</v>
      </c>
    </row>
    <row r="446" spans="2:21" s="1201" customFormat="1" ht="15.5" hidden="1" x14ac:dyDescent="0.35">
      <c r="B446" s="1371"/>
      <c r="C446" s="1372" t="s">
        <v>396</v>
      </c>
      <c r="D446" s="1372"/>
      <c r="E446" s="1372"/>
      <c r="F446" s="1372"/>
      <c r="G446" s="1372"/>
      <c r="H446" s="1372"/>
      <c r="I446" s="1372"/>
      <c r="J446" s="1372"/>
      <c r="K446" s="1038"/>
      <c r="L446" s="996"/>
      <c r="M446" s="1074"/>
      <c r="N446" s="1372"/>
      <c r="O446" s="1044"/>
      <c r="P446" s="1044"/>
      <c r="Q446" s="1044"/>
      <c r="R446" s="1044"/>
      <c r="S446" s="1204"/>
      <c r="T446" s="1044"/>
      <c r="U446" s="1207"/>
    </row>
    <row r="447" spans="2:21" s="1201" customFormat="1" ht="15.5" hidden="1" x14ac:dyDescent="0.35">
      <c r="B447" s="1371"/>
      <c r="C447" s="1371"/>
      <c r="D447" s="1371"/>
      <c r="E447" s="1371"/>
      <c r="F447" s="1371"/>
      <c r="G447" s="1371"/>
      <c r="H447" s="1371"/>
      <c r="I447" s="1371"/>
      <c r="J447" s="1371"/>
      <c r="K447" s="1051"/>
      <c r="L447" s="996"/>
      <c r="M447" s="1074" t="s">
        <v>1441</v>
      </c>
      <c r="N447" s="1081" t="s">
        <v>440</v>
      </c>
      <c r="O447" s="1044" t="e">
        <f t="shared" ref="O447:U447" si="41">O435*O$434</f>
        <v>#DIV/0!</v>
      </c>
      <c r="P447" s="1044" t="e">
        <f t="shared" si="41"/>
        <v>#DIV/0!</v>
      </c>
      <c r="Q447" s="1044" t="e">
        <f t="shared" si="41"/>
        <v>#DIV/0!</v>
      </c>
      <c r="R447" s="1044" t="e">
        <f t="shared" si="41"/>
        <v>#DIV/0!</v>
      </c>
      <c r="S447" s="1044" t="e">
        <f t="shared" si="41"/>
        <v>#DIV/0!</v>
      </c>
      <c r="T447" s="1044" t="e">
        <f t="shared" si="41"/>
        <v>#DIV/0!</v>
      </c>
      <c r="U447" s="1207" t="e">
        <f t="shared" si="41"/>
        <v>#DIV/0!</v>
      </c>
    </row>
    <row r="448" spans="2:21" s="1201" customFormat="1" ht="15.5" hidden="1" x14ac:dyDescent="0.35">
      <c r="B448" s="1037" t="s">
        <v>397</v>
      </c>
      <c r="C448" s="1037" t="s">
        <v>349</v>
      </c>
      <c r="D448" s="1371"/>
      <c r="E448" s="1371"/>
      <c r="F448" s="1371"/>
      <c r="G448" s="1371"/>
      <c r="H448" s="1371"/>
      <c r="I448" s="1371"/>
      <c r="J448" s="1371"/>
      <c r="K448" s="1038" t="s">
        <v>398</v>
      </c>
      <c r="L448" s="996"/>
      <c r="M448" s="1074"/>
      <c r="N448" s="1081"/>
      <c r="O448" s="1208"/>
      <c r="P448" s="1208"/>
      <c r="Q448" s="1208"/>
      <c r="R448" s="1208"/>
      <c r="S448" s="1204"/>
      <c r="T448" s="1208"/>
      <c r="U448" s="1209"/>
    </row>
    <row r="449" spans="2:24" s="1201" customFormat="1" ht="15.5" hidden="1" x14ac:dyDescent="0.35">
      <c r="B449" s="1371"/>
      <c r="C449" s="1371" t="s">
        <v>399</v>
      </c>
      <c r="D449" s="1371"/>
      <c r="E449" s="1371"/>
      <c r="F449" s="1371"/>
      <c r="G449" s="1371"/>
      <c r="H449" s="1371"/>
      <c r="I449" s="1371"/>
      <c r="J449" s="1371" t="s">
        <v>307</v>
      </c>
      <c r="K449" s="1038"/>
      <c r="L449" s="996"/>
      <c r="M449" s="1074" t="s">
        <v>1442</v>
      </c>
      <c r="N449" s="1081" t="s">
        <v>440</v>
      </c>
      <c r="O449" s="1044" t="e">
        <f t="shared" ref="O449:U449" si="42">O437*O$434</f>
        <v>#N/A</v>
      </c>
      <c r="P449" s="1044" t="e">
        <f t="shared" si="42"/>
        <v>#N/A</v>
      </c>
      <c r="Q449" s="1044" t="e">
        <f t="shared" si="42"/>
        <v>#N/A</v>
      </c>
      <c r="R449" s="1044" t="e">
        <f t="shared" si="42"/>
        <v>#N/A</v>
      </c>
      <c r="S449" s="1044" t="e">
        <f t="shared" si="42"/>
        <v>#N/A</v>
      </c>
      <c r="T449" s="1044" t="e">
        <f t="shared" si="42"/>
        <v>#N/A</v>
      </c>
      <c r="U449" s="1207" t="e">
        <f t="shared" si="42"/>
        <v>#N/A</v>
      </c>
    </row>
    <row r="450" spans="2:24" s="1201" customFormat="1" ht="15.5" hidden="1" x14ac:dyDescent="0.35">
      <c r="B450" s="1371"/>
      <c r="C450" s="1371" t="s">
        <v>1444</v>
      </c>
      <c r="D450" s="1371"/>
      <c r="E450" s="1371"/>
      <c r="F450" s="1371"/>
      <c r="G450" s="1371"/>
      <c r="H450" s="1371"/>
      <c r="I450" s="1371"/>
      <c r="J450" s="1371" t="s">
        <v>315</v>
      </c>
      <c r="K450" s="1038"/>
      <c r="L450" s="996"/>
      <c r="M450" s="1074"/>
      <c r="N450" s="1081"/>
      <c r="O450" s="1044"/>
      <c r="P450" s="1044"/>
      <c r="Q450" s="1044"/>
      <c r="R450" s="1044"/>
      <c r="S450" s="1044"/>
      <c r="T450" s="1044"/>
      <c r="U450" s="1207"/>
    </row>
    <row r="451" spans="2:24" s="1201" customFormat="1" ht="15.5" hidden="1" x14ac:dyDescent="0.35">
      <c r="B451" s="1371"/>
      <c r="C451" s="1371"/>
      <c r="D451" s="1371"/>
      <c r="E451" s="1371"/>
      <c r="F451" s="1371"/>
      <c r="G451" s="1371"/>
      <c r="H451" s="1371"/>
      <c r="I451" s="1371"/>
      <c r="J451" s="1371"/>
      <c r="K451" s="1038"/>
      <c r="L451" s="996"/>
      <c r="M451" s="1074" t="s">
        <v>1443</v>
      </c>
      <c r="N451" s="1081" t="s">
        <v>440</v>
      </c>
      <c r="O451" s="1044" t="e">
        <f t="shared" ref="O451:U451" si="43">O439*O$434</f>
        <v>#N/A</v>
      </c>
      <c r="P451" s="1044" t="e">
        <f t="shared" si="43"/>
        <v>#N/A</v>
      </c>
      <c r="Q451" s="1044" t="e">
        <f t="shared" si="43"/>
        <v>#N/A</v>
      </c>
      <c r="R451" s="1044" t="e">
        <f t="shared" si="43"/>
        <v>#N/A</v>
      </c>
      <c r="S451" s="1044" t="e">
        <f t="shared" si="43"/>
        <v>#N/A</v>
      </c>
      <c r="T451" s="1044" t="e">
        <f t="shared" si="43"/>
        <v>#N/A</v>
      </c>
      <c r="U451" s="1207" t="e">
        <f t="shared" si="43"/>
        <v>#N/A</v>
      </c>
    </row>
    <row r="452" spans="2:24" s="1201" customFormat="1" ht="15.5" hidden="1" x14ac:dyDescent="0.35">
      <c r="B452" s="1371" t="s">
        <v>385</v>
      </c>
      <c r="C452" s="1043" t="s">
        <v>807</v>
      </c>
      <c r="D452" s="1373">
        <f>D434*0.01*44/28</f>
        <v>0</v>
      </c>
      <c r="E452" s="1136"/>
      <c r="F452" s="1371"/>
      <c r="G452" s="1371"/>
      <c r="H452" s="1371"/>
      <c r="I452" s="1371"/>
      <c r="J452" s="1068" t="s">
        <v>439</v>
      </c>
      <c r="K452" s="1038"/>
      <c r="L452" s="996"/>
      <c r="M452" s="1074"/>
      <c r="N452" s="1372"/>
      <c r="O452" s="1044"/>
      <c r="P452" s="1044"/>
      <c r="Q452" s="1044"/>
      <c r="R452" s="1044"/>
      <c r="S452" s="1044"/>
      <c r="T452" s="1044"/>
      <c r="U452" s="1207"/>
    </row>
    <row r="453" spans="2:24" s="1201" customFormat="1" ht="15.5" hidden="1" x14ac:dyDescent="0.35">
      <c r="B453" s="1371"/>
      <c r="C453" s="1043" t="s">
        <v>817</v>
      </c>
      <c r="D453" s="1373">
        <f>D435*0.01*44/28</f>
        <v>0</v>
      </c>
      <c r="E453" s="1374"/>
      <c r="F453" s="1371"/>
      <c r="G453" s="1371"/>
      <c r="H453" s="1371"/>
      <c r="I453" s="1371"/>
      <c r="J453" s="1068" t="s">
        <v>439</v>
      </c>
      <c r="K453" s="1038"/>
      <c r="L453" s="996"/>
      <c r="M453" s="1074" t="s">
        <v>1959</v>
      </c>
      <c r="N453" s="1081" t="s">
        <v>440</v>
      </c>
      <c r="O453" s="1044" t="e">
        <f t="shared" ref="O453:U453" si="44">O441*O$434</f>
        <v>#N/A</v>
      </c>
      <c r="P453" s="1044" t="e">
        <f t="shared" si="44"/>
        <v>#N/A</v>
      </c>
      <c r="Q453" s="1044" t="e">
        <f t="shared" si="44"/>
        <v>#N/A</v>
      </c>
      <c r="R453" s="1044" t="e">
        <f t="shared" si="44"/>
        <v>#N/A</v>
      </c>
      <c r="S453" s="1044" t="e">
        <f t="shared" si="44"/>
        <v>#N/A</v>
      </c>
      <c r="T453" s="1044" t="e">
        <f t="shared" si="44"/>
        <v>#N/A</v>
      </c>
      <c r="U453" s="1207" t="e">
        <f t="shared" si="44"/>
        <v>#N/A</v>
      </c>
    </row>
    <row r="454" spans="2:24" s="1201" customFormat="1" ht="15.5" hidden="1" x14ac:dyDescent="0.35">
      <c r="B454" s="1371"/>
      <c r="C454" s="1043"/>
      <c r="D454" s="1373"/>
      <c r="E454" s="1372"/>
      <c r="F454" s="1371"/>
      <c r="G454" s="1371"/>
      <c r="H454" s="1371"/>
      <c r="I454" s="1371"/>
      <c r="J454" s="1068"/>
      <c r="K454" s="1038"/>
      <c r="L454" s="996"/>
      <c r="M454" s="1074"/>
      <c r="N454" s="1372"/>
      <c r="O454" s="1044"/>
      <c r="P454" s="1044"/>
      <c r="Q454" s="1044"/>
      <c r="R454" s="1044"/>
      <c r="S454" s="1044"/>
      <c r="T454" s="1044"/>
      <c r="U454" s="1207"/>
    </row>
    <row r="455" spans="2:24" s="1201" customFormat="1" ht="15.5" hidden="1" x14ac:dyDescent="0.35">
      <c r="B455" s="1371"/>
      <c r="C455" s="1043"/>
      <c r="D455" s="1373"/>
      <c r="E455" s="1372"/>
      <c r="F455" s="1371"/>
      <c r="G455" s="1371"/>
      <c r="H455" s="1371"/>
      <c r="I455" s="1371"/>
      <c r="J455" s="1068"/>
      <c r="K455" s="1038"/>
      <c r="L455" s="996"/>
      <c r="M455" s="1074" t="s">
        <v>1446</v>
      </c>
      <c r="N455" s="1081" t="s">
        <v>440</v>
      </c>
      <c r="O455" s="1044" t="e">
        <f t="shared" ref="O455:U455" si="45">O443*O$434</f>
        <v>#N/A</v>
      </c>
      <c r="P455" s="1044" t="e">
        <f t="shared" si="45"/>
        <v>#N/A</v>
      </c>
      <c r="Q455" s="1044" t="e">
        <f t="shared" si="45"/>
        <v>#N/A</v>
      </c>
      <c r="R455" s="1044" t="e">
        <f t="shared" si="45"/>
        <v>#N/A</v>
      </c>
      <c r="S455" s="1044" t="e">
        <f t="shared" si="45"/>
        <v>#N/A</v>
      </c>
      <c r="T455" s="1044" t="e">
        <f t="shared" si="45"/>
        <v>#N/A</v>
      </c>
      <c r="U455" s="1207" t="e">
        <f t="shared" si="45"/>
        <v>#N/A</v>
      </c>
    </row>
    <row r="456" spans="2:24" s="1201" customFormat="1" ht="15.5" hidden="1" x14ac:dyDescent="0.35">
      <c r="B456" s="1371"/>
      <c r="C456" s="1043"/>
      <c r="D456" s="1372"/>
      <c r="E456" s="1372"/>
      <c r="F456" s="1371"/>
      <c r="G456" s="1371"/>
      <c r="H456" s="1371"/>
      <c r="I456" s="1371"/>
      <c r="J456" s="1371"/>
      <c r="K456" s="1038"/>
      <c r="L456" s="996"/>
      <c r="M456" s="1074"/>
      <c r="N456" s="1372"/>
      <c r="O456" s="1044"/>
      <c r="P456" s="1044"/>
      <c r="Q456" s="1044"/>
      <c r="R456" s="1044"/>
      <c r="S456" s="1044"/>
      <c r="T456" s="1044"/>
      <c r="U456" s="1207"/>
    </row>
    <row r="457" spans="2:24" s="1201" customFormat="1" ht="16" hidden="1" thickBot="1" x14ac:dyDescent="0.4">
      <c r="B457" s="1371" t="s">
        <v>390</v>
      </c>
      <c r="C457" s="1039" t="s">
        <v>440</v>
      </c>
      <c r="D457" s="1040" t="e">
        <f t="shared" ref="D457:I457" si="46">D442*0.01*44/28</f>
        <v>#DIV/0!</v>
      </c>
      <c r="E457" s="1040" t="e">
        <f t="shared" si="46"/>
        <v>#N/A</v>
      </c>
      <c r="F457" s="1040" t="e">
        <f t="shared" si="46"/>
        <v>#N/A</v>
      </c>
      <c r="G457" s="1040" t="e">
        <f t="shared" si="46"/>
        <v>#N/A</v>
      </c>
      <c r="H457" s="1040" t="e">
        <f t="shared" si="46"/>
        <v>#N/A</v>
      </c>
      <c r="I457" s="1040" t="e">
        <f t="shared" si="46"/>
        <v>#N/A</v>
      </c>
      <c r="J457" s="1068" t="s">
        <v>439</v>
      </c>
      <c r="K457" s="1038"/>
      <c r="L457" s="996"/>
      <c r="M457" s="1083" t="s">
        <v>1445</v>
      </c>
      <c r="N457" s="1088" t="s">
        <v>440</v>
      </c>
      <c r="O457" s="1210" t="e">
        <f>O445*O$434</f>
        <v>#N/A</v>
      </c>
      <c r="P457" s="1210" t="e">
        <f t="shared" ref="P457:U457" si="47">P445*P$434</f>
        <v>#N/A</v>
      </c>
      <c r="Q457" s="1210" t="e">
        <f t="shared" si="47"/>
        <v>#N/A</v>
      </c>
      <c r="R457" s="1210" t="e">
        <f t="shared" si="47"/>
        <v>#N/A</v>
      </c>
      <c r="S457" s="1210" t="e">
        <f>S445*S$434</f>
        <v>#N/A</v>
      </c>
      <c r="T457" s="1210" t="e">
        <f t="shared" si="47"/>
        <v>#N/A</v>
      </c>
      <c r="U457" s="1210" t="e">
        <f t="shared" si="47"/>
        <v>#N/A</v>
      </c>
    </row>
    <row r="458" spans="2:24" s="1201" customFormat="1" ht="15.5" hidden="1" x14ac:dyDescent="0.35">
      <c r="B458" s="1371"/>
      <c r="C458" s="1041"/>
      <c r="D458" s="1040"/>
      <c r="E458" s="1371"/>
      <c r="F458" s="1371"/>
      <c r="G458" s="1371"/>
      <c r="H458" s="1371"/>
      <c r="I458" s="1371"/>
      <c r="J458" s="1371"/>
      <c r="K458" s="1038"/>
      <c r="L458" s="996"/>
      <c r="M458" s="996"/>
      <c r="N458" s="996"/>
    </row>
    <row r="459" spans="2:24" s="1201" customFormat="1" ht="15.5" hidden="1" x14ac:dyDescent="0.35">
      <c r="B459" s="1041" t="s">
        <v>223</v>
      </c>
      <c r="C459" s="1039" t="s">
        <v>440</v>
      </c>
      <c r="D459" s="1040" t="e">
        <f>SUM(D452:D453)+SUM(D457:I457)</f>
        <v>#DIV/0!</v>
      </c>
      <c r="E459" s="1040"/>
      <c r="F459" s="1040"/>
      <c r="G459" s="1040"/>
      <c r="H459" s="1040"/>
      <c r="I459" s="1040"/>
      <c r="J459" s="1068" t="s">
        <v>439</v>
      </c>
      <c r="K459" s="1051"/>
      <c r="L459" s="996"/>
      <c r="M459" s="996"/>
      <c r="N459" s="996"/>
    </row>
    <row r="460" spans="2:24" s="1201" customFormat="1" ht="15.5" hidden="1" x14ac:dyDescent="0.35">
      <c r="B460" s="1041"/>
      <c r="C460" s="1041"/>
      <c r="D460" s="1040"/>
      <c r="E460" s="1371"/>
      <c r="F460" s="1371"/>
      <c r="G460" s="1371"/>
      <c r="H460" s="1371"/>
      <c r="I460" s="1371"/>
      <c r="J460" s="1068"/>
      <c r="K460" s="1038"/>
      <c r="L460" s="996"/>
      <c r="M460" s="996"/>
      <c r="N460" s="996"/>
      <c r="V460" s="1084"/>
      <c r="W460" s="1084"/>
      <c r="X460" s="1084"/>
    </row>
    <row r="461" spans="2:24" s="1201" customFormat="1" ht="15.5" hidden="1" x14ac:dyDescent="0.35">
      <c r="B461" s="1037" t="s">
        <v>263</v>
      </c>
      <c r="C461" s="1040" t="e">
        <f>SUM(D459:D459)</f>
        <v>#DIV/0!</v>
      </c>
      <c r="D461" s="1040"/>
      <c r="E461" s="1371"/>
      <c r="F461" s="1371"/>
      <c r="G461" s="1039"/>
      <c r="H461" s="1039"/>
      <c r="I461" s="1039"/>
      <c r="J461" s="1068" t="s">
        <v>299</v>
      </c>
      <c r="K461" s="1038"/>
      <c r="L461" s="996"/>
      <c r="M461" s="996"/>
      <c r="N461" s="996"/>
      <c r="V461" s="1084"/>
    </row>
    <row r="462" spans="2:24" s="1201" customFormat="1" ht="15.5" hidden="1" x14ac:dyDescent="0.35">
      <c r="B462" s="1037" t="s">
        <v>400</v>
      </c>
      <c r="C462" s="1046" t="e">
        <f>C461*310</f>
        <v>#DIV/0!</v>
      </c>
      <c r="D462" s="1371"/>
      <c r="E462" s="1371"/>
      <c r="F462" s="1371"/>
      <c r="G462" s="1371"/>
      <c r="H462" s="1371"/>
      <c r="I462" s="1371"/>
      <c r="J462" s="1068" t="s">
        <v>265</v>
      </c>
      <c r="K462" s="1038"/>
      <c r="L462" s="996"/>
      <c r="M462" s="996"/>
      <c r="N462" s="996"/>
      <c r="V462" s="1084"/>
    </row>
    <row r="463" spans="2:24" s="1201" customFormat="1" ht="15.5" hidden="1" x14ac:dyDescent="0.35">
      <c r="B463" s="1371"/>
      <c r="C463" s="1371"/>
      <c r="D463" s="1371"/>
      <c r="E463" s="1371"/>
      <c r="F463" s="1371"/>
      <c r="G463" s="1371"/>
      <c r="H463" s="1371"/>
      <c r="I463" s="1371"/>
      <c r="J463" s="1371"/>
      <c r="K463" s="1038"/>
      <c r="L463" s="996"/>
      <c r="M463" s="996"/>
      <c r="N463" s="996"/>
      <c r="V463" s="1084"/>
    </row>
    <row r="464" spans="2:24" s="1201" customFormat="1" ht="15.5" hidden="1" x14ac:dyDescent="0.35">
      <c r="B464" s="1037" t="s">
        <v>401</v>
      </c>
      <c r="C464" s="1371"/>
      <c r="D464" s="1371"/>
      <c r="E464" s="1371"/>
      <c r="F464" s="1371"/>
      <c r="G464" s="1371"/>
      <c r="H464" s="1371"/>
      <c r="I464" s="1371"/>
      <c r="J464" s="1371"/>
      <c r="K464" s="1038"/>
      <c r="L464" s="996"/>
      <c r="M464" s="996"/>
      <c r="N464" s="996"/>
    </row>
    <row r="465" spans="2:14" s="1201" customFormat="1" ht="15.5" hidden="1" x14ac:dyDescent="0.35">
      <c r="B465" s="1037" t="s">
        <v>402</v>
      </c>
      <c r="C465" s="1037" t="s">
        <v>403</v>
      </c>
      <c r="D465" s="1371"/>
      <c r="E465" s="1371"/>
      <c r="F465" s="1371"/>
      <c r="G465" s="1371"/>
      <c r="H465" s="1371"/>
      <c r="I465" s="1371"/>
      <c r="J465" s="1371"/>
      <c r="K465" s="1038" t="s">
        <v>404</v>
      </c>
      <c r="L465" s="996"/>
      <c r="M465" s="996"/>
      <c r="N465" s="996"/>
    </row>
    <row r="466" spans="2:14" s="1201" customFormat="1" ht="15.5" hidden="1" x14ac:dyDescent="0.35">
      <c r="B466" s="1371"/>
      <c r="C466" s="1371" t="s">
        <v>405</v>
      </c>
      <c r="D466" s="1371"/>
      <c r="E466" s="1371"/>
      <c r="F466" s="1371"/>
      <c r="G466" s="1371"/>
      <c r="H466" s="1371"/>
      <c r="I466" s="1371"/>
      <c r="J466" s="1371" t="s">
        <v>307</v>
      </c>
      <c r="K466" s="1038"/>
      <c r="L466" s="996"/>
      <c r="M466" s="996"/>
      <c r="N466" s="996"/>
    </row>
    <row r="467" spans="2:14" s="1201" customFormat="1" ht="15.5" hidden="1" x14ac:dyDescent="0.35">
      <c r="B467" s="1371"/>
      <c r="C467" s="1371" t="s">
        <v>406</v>
      </c>
      <c r="D467" s="1371" t="s">
        <v>1447</v>
      </c>
      <c r="E467" s="1371"/>
      <c r="F467" s="1371"/>
      <c r="G467" s="1371"/>
      <c r="H467" s="1371"/>
      <c r="I467" s="1371"/>
      <c r="J467" s="1371"/>
      <c r="K467" s="1038" t="s">
        <v>407</v>
      </c>
      <c r="L467" s="996"/>
      <c r="M467" s="996"/>
      <c r="N467" s="996"/>
    </row>
    <row r="468" spans="2:14" s="1201" customFormat="1" ht="15.5" hidden="1" x14ac:dyDescent="0.35">
      <c r="B468" s="1371"/>
      <c r="C468" s="1371" t="s">
        <v>408</v>
      </c>
      <c r="D468" s="1068">
        <v>0.3</v>
      </c>
      <c r="E468" s="1371"/>
      <c r="F468" s="1371"/>
      <c r="G468" s="1371"/>
      <c r="H468" s="1371"/>
      <c r="I468" s="1371"/>
      <c r="J468" s="1371" t="s">
        <v>384</v>
      </c>
      <c r="K468" s="1038"/>
      <c r="L468" s="1036"/>
      <c r="M468" s="996"/>
      <c r="N468" s="996"/>
    </row>
    <row r="469" spans="2:14" s="1201" customFormat="1" ht="15.5" hidden="1" x14ac:dyDescent="0.35">
      <c r="B469" s="1371"/>
      <c r="C469" s="1371"/>
      <c r="D469" s="1371"/>
      <c r="E469" s="1371"/>
      <c r="F469" s="1371"/>
      <c r="G469" s="1371"/>
      <c r="H469" s="1371"/>
      <c r="I469" s="1371"/>
      <c r="J469" s="1371"/>
      <c r="K469" s="1038"/>
      <c r="L469" s="996"/>
      <c r="M469" s="996"/>
      <c r="N469" s="996"/>
    </row>
    <row r="470" spans="2:14" s="1201" customFormat="1" ht="15.5" hidden="1" x14ac:dyDescent="0.35">
      <c r="B470" s="1371" t="s">
        <v>385</v>
      </c>
      <c r="C470" s="1043" t="s">
        <v>807</v>
      </c>
      <c r="D470" s="1373">
        <f>D336*0.3</f>
        <v>0</v>
      </c>
      <c r="E470" s="1373"/>
      <c r="F470" s="1371"/>
      <c r="G470" s="1371"/>
      <c r="H470" s="1371"/>
      <c r="I470" s="1371"/>
      <c r="J470" s="1371" t="s">
        <v>438</v>
      </c>
      <c r="K470" s="1038"/>
      <c r="L470" s="996"/>
      <c r="M470" s="996"/>
      <c r="N470" s="996"/>
    </row>
    <row r="471" spans="2:14" s="1201" customFormat="1" ht="15.5" hidden="1" x14ac:dyDescent="0.35">
      <c r="B471" s="1371"/>
      <c r="C471" s="1043" t="s">
        <v>817</v>
      </c>
      <c r="D471" s="1373">
        <f>D337*0.3</f>
        <v>0</v>
      </c>
      <c r="E471" s="1372"/>
      <c r="F471" s="1371"/>
      <c r="G471" s="1371"/>
      <c r="H471" s="1371"/>
      <c r="I471" s="1371"/>
      <c r="J471" s="1371" t="s">
        <v>438</v>
      </c>
      <c r="K471" s="1038"/>
      <c r="L471" s="996"/>
      <c r="M471" s="996"/>
      <c r="N471" s="996"/>
    </row>
    <row r="472" spans="2:14" s="1201" customFormat="1" ht="15.5" hidden="1" x14ac:dyDescent="0.35">
      <c r="B472" s="1371"/>
      <c r="C472" s="1043"/>
      <c r="D472" s="1373"/>
      <c r="E472" s="1372"/>
      <c r="F472" s="1371"/>
      <c r="G472" s="1371"/>
      <c r="H472" s="1371"/>
      <c r="I472" s="1371"/>
      <c r="J472" s="1371"/>
      <c r="K472" s="1038"/>
      <c r="L472" s="996"/>
      <c r="M472" s="996"/>
      <c r="N472" s="996"/>
    </row>
    <row r="473" spans="2:14" s="1201" customFormat="1" ht="15.5" hidden="1" x14ac:dyDescent="0.35">
      <c r="B473" s="1371"/>
      <c r="C473" s="1043"/>
      <c r="D473" s="1373"/>
      <c r="E473" s="1372"/>
      <c r="F473" s="1371"/>
      <c r="G473" s="1371"/>
      <c r="H473" s="1371"/>
      <c r="I473" s="1371"/>
      <c r="J473" s="1371"/>
      <c r="K473" s="1038"/>
      <c r="L473" s="996"/>
      <c r="M473" s="996"/>
      <c r="N473" s="996"/>
    </row>
    <row r="474" spans="2:14" s="1201" customFormat="1" ht="15.5" hidden="1" x14ac:dyDescent="0.35">
      <c r="B474" s="1371"/>
      <c r="C474" s="1371"/>
      <c r="D474" s="1371"/>
      <c r="E474" s="1371"/>
      <c r="F474" s="1371"/>
      <c r="G474" s="1371"/>
      <c r="H474" s="1371"/>
      <c r="I474" s="1371"/>
      <c r="J474" s="1371"/>
      <c r="K474" s="1038"/>
      <c r="L474" s="996"/>
      <c r="M474" s="996"/>
      <c r="N474" s="996"/>
    </row>
    <row r="475" spans="2:14" s="1201" customFormat="1" ht="15.5" hidden="1" x14ac:dyDescent="0.35">
      <c r="B475" s="1037" t="s">
        <v>409</v>
      </c>
      <c r="C475" s="1037" t="s">
        <v>410</v>
      </c>
      <c r="D475" s="1371"/>
      <c r="E475" s="1371"/>
      <c r="F475" s="1371"/>
      <c r="G475" s="1371"/>
      <c r="H475" s="1371"/>
      <c r="I475" s="1371"/>
      <c r="J475" s="1371" t="s">
        <v>288</v>
      </c>
      <c r="K475" s="1038" t="s">
        <v>411</v>
      </c>
      <c r="L475" s="996"/>
      <c r="M475" s="996"/>
      <c r="N475" s="996"/>
    </row>
    <row r="476" spans="2:14" s="1201" customFormat="1" ht="15.5" hidden="1" x14ac:dyDescent="0.35">
      <c r="B476" s="1371"/>
      <c r="C476" s="1371" t="s">
        <v>412</v>
      </c>
      <c r="D476" s="1371"/>
      <c r="E476" s="1371"/>
      <c r="F476" s="1371"/>
      <c r="G476" s="1371"/>
      <c r="H476" s="1371"/>
      <c r="I476" s="1371"/>
      <c r="J476" s="1371" t="s">
        <v>288</v>
      </c>
      <c r="K476" s="1038"/>
      <c r="L476" s="996"/>
      <c r="M476" s="996"/>
      <c r="N476" s="996"/>
    </row>
    <row r="477" spans="2:14" s="1201" customFormat="1" ht="15.5" hidden="1" x14ac:dyDescent="0.35">
      <c r="B477" s="1371"/>
      <c r="C477" s="1371" t="s">
        <v>413</v>
      </c>
      <c r="D477" s="1371"/>
      <c r="E477" s="1371"/>
      <c r="F477" s="1371"/>
      <c r="G477" s="1371"/>
      <c r="H477" s="1371"/>
      <c r="I477" s="1371"/>
      <c r="J477" s="1371" t="s">
        <v>288</v>
      </c>
      <c r="K477" s="1038"/>
      <c r="L477" s="996"/>
      <c r="M477" s="1062"/>
      <c r="N477" s="1062"/>
    </row>
    <row r="478" spans="2:14" s="1201" customFormat="1" ht="15.5" hidden="1" x14ac:dyDescent="0.35">
      <c r="B478" s="1371"/>
      <c r="C478" s="1371" t="s">
        <v>414</v>
      </c>
      <c r="D478" s="1371"/>
      <c r="E478" s="1371"/>
      <c r="F478" s="1371"/>
      <c r="G478" s="1371"/>
      <c r="H478" s="1371"/>
      <c r="I478" s="1371"/>
      <c r="J478" s="1371" t="s">
        <v>288</v>
      </c>
      <c r="K478" s="1038"/>
      <c r="L478" s="996"/>
      <c r="M478" s="1062"/>
      <c r="N478" s="1062"/>
    </row>
    <row r="479" spans="2:14" s="1201" customFormat="1" ht="15.5" hidden="1" x14ac:dyDescent="0.35">
      <c r="B479" s="1371"/>
      <c r="C479" s="1371"/>
      <c r="D479" s="1371"/>
      <c r="E479" s="1371"/>
      <c r="F479" s="1371"/>
      <c r="G479" s="1371"/>
      <c r="H479" s="1371"/>
      <c r="I479" s="1371"/>
      <c r="J479" s="1371"/>
      <c r="K479" s="1038"/>
      <c r="L479" s="996"/>
      <c r="M479" s="996"/>
      <c r="N479" s="996"/>
    </row>
    <row r="480" spans="2:14" s="1201" customFormat="1" ht="15.5" hidden="1" x14ac:dyDescent="0.35">
      <c r="B480" s="1371"/>
      <c r="C480" s="1039" t="s">
        <v>440</v>
      </c>
      <c r="D480" s="1085" t="e">
        <f t="shared" ref="D480:I480" si="48">SUM(D371,D414,D410)*1*0.3</f>
        <v>#DIV/0!</v>
      </c>
      <c r="E480" s="1085" t="e">
        <f t="shared" si="48"/>
        <v>#N/A</v>
      </c>
      <c r="F480" s="1085" t="e">
        <f t="shared" si="48"/>
        <v>#N/A</v>
      </c>
      <c r="G480" s="1085" t="e">
        <f t="shared" si="48"/>
        <v>#N/A</v>
      </c>
      <c r="H480" s="1085" t="e">
        <f t="shared" si="48"/>
        <v>#N/A</v>
      </c>
      <c r="I480" s="1085" t="e">
        <f t="shared" si="48"/>
        <v>#N/A</v>
      </c>
      <c r="J480" s="1371" t="s">
        <v>288</v>
      </c>
      <c r="K480" s="1038"/>
      <c r="L480" s="996"/>
      <c r="M480" s="996"/>
      <c r="N480" s="996"/>
    </row>
    <row r="481" spans="2:14" s="1201" customFormat="1" ht="15.5" hidden="1" x14ac:dyDescent="0.35">
      <c r="B481" s="1371"/>
      <c r="C481" s="1371"/>
      <c r="D481" s="1371"/>
      <c r="E481" s="1371"/>
      <c r="F481" s="1371"/>
      <c r="G481" s="1371"/>
      <c r="H481" s="1371"/>
      <c r="I481" s="1371"/>
      <c r="J481" s="1371"/>
      <c r="K481" s="1038"/>
      <c r="L481" s="996"/>
      <c r="M481" s="996"/>
      <c r="N481" s="996"/>
    </row>
    <row r="482" spans="2:14" s="1201" customFormat="1" ht="15.5" hidden="1" x14ac:dyDescent="0.35">
      <c r="B482" s="1037" t="s">
        <v>415</v>
      </c>
      <c r="C482" s="1037" t="s">
        <v>349</v>
      </c>
      <c r="D482" s="1371"/>
      <c r="E482" s="1371"/>
      <c r="F482" s="1371"/>
      <c r="G482" s="1371"/>
      <c r="H482" s="1371"/>
      <c r="I482" s="1371"/>
      <c r="J482" s="1371"/>
      <c r="K482" s="1038" t="s">
        <v>416</v>
      </c>
      <c r="L482" s="996"/>
      <c r="M482" s="996"/>
      <c r="N482" s="996"/>
    </row>
    <row r="483" spans="2:14" s="1201" customFormat="1" ht="15.5" hidden="1" x14ac:dyDescent="0.35">
      <c r="B483" s="1371"/>
      <c r="C483" s="1371" t="s">
        <v>417</v>
      </c>
      <c r="D483" s="1371"/>
      <c r="E483" s="1371"/>
      <c r="F483" s="1371"/>
      <c r="G483" s="1371"/>
      <c r="H483" s="1371"/>
      <c r="I483" s="1371"/>
      <c r="J483" s="1371" t="s">
        <v>307</v>
      </c>
      <c r="K483" s="1038"/>
      <c r="L483" s="996"/>
      <c r="M483" s="996"/>
      <c r="N483" s="996"/>
    </row>
    <row r="484" spans="2:14" s="1201" customFormat="1" ht="15.5" hidden="1" x14ac:dyDescent="0.35">
      <c r="B484" s="1371"/>
      <c r="C484" s="1371" t="s">
        <v>1448</v>
      </c>
      <c r="D484" s="1371"/>
      <c r="E484" s="1371"/>
      <c r="F484" s="1371"/>
      <c r="G484" s="1371"/>
      <c r="H484" s="1371"/>
      <c r="I484" s="1371"/>
      <c r="J484" s="1371" t="s">
        <v>315</v>
      </c>
      <c r="K484" s="1038"/>
      <c r="L484" s="996"/>
    </row>
    <row r="485" spans="2:14" s="1201" customFormat="1" ht="15.5" hidden="1" x14ac:dyDescent="0.35">
      <c r="B485" s="1371"/>
      <c r="C485" s="1371"/>
      <c r="D485" s="1371"/>
      <c r="E485" s="1371"/>
      <c r="F485" s="1371"/>
      <c r="G485" s="1371"/>
      <c r="H485" s="1371"/>
      <c r="I485" s="1371"/>
      <c r="J485" s="1371"/>
      <c r="K485" s="1038"/>
      <c r="L485" s="996"/>
    </row>
    <row r="486" spans="2:14" s="1201" customFormat="1" ht="15.5" hidden="1" x14ac:dyDescent="0.35">
      <c r="B486" s="1371" t="s">
        <v>385</v>
      </c>
      <c r="C486" s="1043" t="s">
        <v>807</v>
      </c>
      <c r="D486" s="1373">
        <f>D470*0.0125*44/28</f>
        <v>0</v>
      </c>
      <c r="E486" s="1200"/>
      <c r="F486" s="1371"/>
      <c r="G486" s="1369"/>
      <c r="H486" s="1371"/>
      <c r="I486" s="1371"/>
      <c r="J486" s="1371" t="s">
        <v>439</v>
      </c>
      <c r="K486" s="1038"/>
      <c r="L486" s="996"/>
    </row>
    <row r="487" spans="2:14" s="1201" customFormat="1" ht="15.5" hidden="1" x14ac:dyDescent="0.35">
      <c r="B487" s="1371"/>
      <c r="C487" s="1043" t="s">
        <v>817</v>
      </c>
      <c r="D487" s="1373">
        <f>D471*0.0125*44/28</f>
        <v>0</v>
      </c>
      <c r="E487" s="1372"/>
      <c r="F487" s="1371"/>
      <c r="G487" s="1369"/>
      <c r="H487" s="1371"/>
      <c r="I487" s="1371"/>
      <c r="J487" s="1371" t="s">
        <v>439</v>
      </c>
      <c r="K487" s="1038"/>
      <c r="L487" s="996"/>
    </row>
    <row r="488" spans="2:14" s="1201" customFormat="1" ht="15.5" hidden="1" x14ac:dyDescent="0.35">
      <c r="B488" s="1371"/>
      <c r="C488" s="1043"/>
      <c r="D488" s="1373"/>
      <c r="E488" s="1372"/>
      <c r="F488" s="1371"/>
      <c r="G488" s="1369"/>
      <c r="H488" s="1371"/>
      <c r="I488" s="1371"/>
      <c r="J488" s="1371"/>
      <c r="K488" s="1038"/>
      <c r="L488" s="996"/>
    </row>
    <row r="489" spans="2:14" s="1201" customFormat="1" ht="15.5" hidden="1" x14ac:dyDescent="0.35">
      <c r="B489" s="1371"/>
      <c r="C489" s="1043"/>
      <c r="D489" s="1373"/>
      <c r="E489" s="1372"/>
      <c r="F489" s="1371"/>
      <c r="G489" s="1369"/>
      <c r="H489" s="1371"/>
      <c r="I489" s="1371"/>
      <c r="J489" s="1371"/>
      <c r="K489" s="1038"/>
      <c r="L489" s="996"/>
    </row>
    <row r="490" spans="2:14" s="1201" customFormat="1" ht="15.5" hidden="1" x14ac:dyDescent="0.35">
      <c r="B490" s="1371"/>
      <c r="C490" s="1371"/>
      <c r="D490" s="1371"/>
      <c r="E490" s="1371"/>
      <c r="F490" s="1371"/>
      <c r="G490" s="1371"/>
      <c r="H490" s="1371"/>
      <c r="I490" s="1371"/>
      <c r="J490" s="1371"/>
      <c r="K490" s="1038"/>
      <c r="L490" s="996"/>
    </row>
    <row r="491" spans="2:14" s="1201" customFormat="1" ht="15.5" hidden="1" x14ac:dyDescent="0.35">
      <c r="B491" s="1371" t="s">
        <v>390</v>
      </c>
      <c r="C491" s="1039" t="s">
        <v>440</v>
      </c>
      <c r="D491" s="1040" t="e">
        <f t="shared" ref="D491:I491" si="49">D480*0.0125*44/28</f>
        <v>#DIV/0!</v>
      </c>
      <c r="E491" s="1040" t="e">
        <f t="shared" si="49"/>
        <v>#N/A</v>
      </c>
      <c r="F491" s="1040" t="e">
        <f t="shared" si="49"/>
        <v>#N/A</v>
      </c>
      <c r="G491" s="1040" t="e">
        <f t="shared" si="49"/>
        <v>#N/A</v>
      </c>
      <c r="H491" s="1040" t="e">
        <f t="shared" si="49"/>
        <v>#N/A</v>
      </c>
      <c r="I491" s="1040" t="e">
        <f t="shared" si="49"/>
        <v>#N/A</v>
      </c>
      <c r="J491" s="1371" t="s">
        <v>298</v>
      </c>
      <c r="K491" s="1038"/>
      <c r="L491" s="996"/>
    </row>
    <row r="492" spans="2:14" s="1201" customFormat="1" ht="15.5" hidden="1" x14ac:dyDescent="0.35">
      <c r="B492" s="1371"/>
      <c r="C492" s="1039"/>
      <c r="D492" s="1040"/>
      <c r="E492" s="1040"/>
      <c r="F492" s="1040"/>
      <c r="G492" s="1040"/>
      <c r="H492" s="1040"/>
      <c r="I492" s="1040"/>
      <c r="J492" s="1371"/>
      <c r="K492" s="1038"/>
      <c r="L492" s="996"/>
    </row>
    <row r="493" spans="2:14" s="1201" customFormat="1" ht="15.5" hidden="1" x14ac:dyDescent="0.35">
      <c r="B493" s="1037" t="s">
        <v>223</v>
      </c>
      <c r="C493" s="1039" t="s">
        <v>440</v>
      </c>
      <c r="D493" s="1373" t="e">
        <f>SUM(D486:D487)+SUM(D491:I491)</f>
        <v>#DIV/0!</v>
      </c>
      <c r="E493" s="1373"/>
      <c r="F493" s="1040"/>
      <c r="G493" s="1040"/>
      <c r="H493" s="1040"/>
      <c r="I493" s="1040"/>
      <c r="J493" s="1371" t="s">
        <v>439</v>
      </c>
      <c r="K493" s="1038"/>
      <c r="L493" s="996"/>
    </row>
    <row r="494" spans="2:14" s="1201" customFormat="1" ht="15.5" hidden="1" x14ac:dyDescent="0.35">
      <c r="B494" s="1037" t="s">
        <v>263</v>
      </c>
      <c r="C494" s="1086" t="e">
        <f>SUM(D493:D493)</f>
        <v>#DIV/0!</v>
      </c>
      <c r="D494" s="1040"/>
      <c r="E494" s="1040"/>
      <c r="F494" s="1040"/>
      <c r="G494" s="1040"/>
      <c r="H494" s="1040"/>
      <c r="I494" s="1040"/>
      <c r="J494" s="1371" t="s">
        <v>299</v>
      </c>
      <c r="K494" s="1038"/>
      <c r="L494" s="996"/>
    </row>
    <row r="495" spans="2:14" s="1201" customFormat="1" ht="15.5" hidden="1" x14ac:dyDescent="0.35">
      <c r="B495" s="1037" t="s">
        <v>418</v>
      </c>
      <c r="C495" s="1046" t="e">
        <f>C494*310</f>
        <v>#DIV/0!</v>
      </c>
      <c r="D495" s="1050"/>
      <c r="E495" s="1371"/>
      <c r="F495" s="1371"/>
      <c r="G495" s="1371"/>
      <c r="H495" s="1371"/>
      <c r="I495" s="1371"/>
      <c r="J495" s="1371" t="s">
        <v>265</v>
      </c>
      <c r="K495" s="1038"/>
      <c r="L495" s="996"/>
    </row>
    <row r="496" spans="2:14" s="1201" customFormat="1" ht="15.5" hidden="1" x14ac:dyDescent="0.35">
      <c r="B496" s="1037"/>
      <c r="C496" s="1046"/>
      <c r="D496" s="1050"/>
      <c r="E496" s="1371"/>
      <c r="F496" s="1371"/>
      <c r="G496" s="1371"/>
      <c r="H496" s="1371"/>
      <c r="I496" s="1371"/>
      <c r="J496" s="1371"/>
      <c r="K496" s="1038"/>
      <c r="L496" s="996"/>
    </row>
    <row r="497" spans="1:50" s="1201" customFormat="1" ht="15.5" hidden="1" x14ac:dyDescent="0.35">
      <c r="B497" s="1371"/>
      <c r="C497" s="1371"/>
      <c r="D497" s="1371"/>
      <c r="E497" s="1371"/>
      <c r="F497" s="1371"/>
      <c r="G497" s="1371"/>
      <c r="H497" s="1371"/>
      <c r="I497" s="1371"/>
      <c r="J497" s="1371"/>
      <c r="K497" s="1038"/>
      <c r="L497" s="996"/>
    </row>
    <row r="498" spans="1:50" s="1201" customFormat="1" ht="15.5" hidden="1" x14ac:dyDescent="0.35">
      <c r="B498" s="1041" t="s">
        <v>1449</v>
      </c>
      <c r="C498" s="1069" t="e">
        <f>C462+C495</f>
        <v>#DIV/0!</v>
      </c>
      <c r="D498" s="1372"/>
      <c r="E498" s="1372"/>
      <c r="F498" s="1372"/>
      <c r="G498" s="1372"/>
      <c r="H498" s="1372"/>
      <c r="I498" s="1372"/>
      <c r="J498" s="1372" t="s">
        <v>265</v>
      </c>
      <c r="K498" s="1087"/>
      <c r="L498" s="996"/>
    </row>
    <row r="499" spans="1:50" s="1201" customFormat="1" ht="15.5" hidden="1" x14ac:dyDescent="0.35">
      <c r="B499" s="1304" t="s">
        <v>1449</v>
      </c>
      <c r="C499" s="1305" t="e">
        <f>C498*10^3</f>
        <v>#DIV/0!</v>
      </c>
      <c r="D499" s="1306"/>
      <c r="E499" s="1306"/>
      <c r="F499" s="1306"/>
      <c r="G499" s="1306"/>
      <c r="H499" s="1306"/>
      <c r="I499" s="1584"/>
      <c r="J499" s="1306" t="s">
        <v>266</v>
      </c>
      <c r="K499" s="1307"/>
      <c r="L499" s="996"/>
    </row>
    <row r="500" spans="1:50" s="1201" customFormat="1" ht="15.5" hidden="1" x14ac:dyDescent="0.35">
      <c r="K500" s="996"/>
    </row>
    <row r="501" spans="1:50" s="1201" customFormat="1" ht="18" hidden="1" x14ac:dyDescent="0.4">
      <c r="B501" s="1145"/>
      <c r="C501" s="995"/>
      <c r="D501" s="995"/>
      <c r="E501" s="995"/>
      <c r="F501" s="995"/>
      <c r="G501" s="995"/>
      <c r="H501" s="995"/>
      <c r="I501" s="995"/>
      <c r="J501" s="995"/>
      <c r="K501" s="995"/>
    </row>
    <row r="502" spans="1:50" s="1201" customFormat="1" ht="18" hidden="1" x14ac:dyDescent="0.4">
      <c r="A502" s="1144" t="s">
        <v>556</v>
      </c>
      <c r="B502" s="1145"/>
      <c r="C502" s="995"/>
      <c r="D502" s="995"/>
      <c r="E502" s="995"/>
      <c r="F502" s="995"/>
      <c r="G502" s="995"/>
      <c r="H502" s="995"/>
      <c r="I502" s="995"/>
      <c r="J502" s="995"/>
      <c r="K502" s="995"/>
      <c r="L502" s="995"/>
      <c r="AH502" s="995"/>
      <c r="AI502" s="995"/>
      <c r="AJ502" s="995"/>
      <c r="AK502" s="995"/>
      <c r="AL502" s="995"/>
      <c r="AM502" s="995"/>
      <c r="AN502" s="995"/>
      <c r="AO502" s="995"/>
      <c r="AP502" s="995"/>
      <c r="AQ502" s="995"/>
      <c r="AR502" s="995"/>
      <c r="AS502" s="995"/>
      <c r="AT502" s="995"/>
      <c r="AU502" s="995"/>
      <c r="AV502" s="995"/>
      <c r="AW502" s="995"/>
      <c r="AX502" s="995"/>
    </row>
    <row r="503" spans="1:50" s="1201" customFormat="1" ht="17.5" hidden="1" x14ac:dyDescent="0.35">
      <c r="A503" s="1144"/>
      <c r="B503" s="1146" t="s">
        <v>557</v>
      </c>
      <c r="C503" s="1146">
        <v>0</v>
      </c>
      <c r="D503" s="1146">
        <f>C503+1</f>
        <v>1</v>
      </c>
      <c r="E503" s="1146">
        <f t="shared" ref="E503:AG503" si="50">D503+1</f>
        <v>2</v>
      </c>
      <c r="F503" s="1146">
        <f t="shared" si="50"/>
        <v>3</v>
      </c>
      <c r="G503" s="1146">
        <f t="shared" si="50"/>
        <v>4</v>
      </c>
      <c r="H503" s="1146">
        <f t="shared" si="50"/>
        <v>5</v>
      </c>
      <c r="I503" s="1146">
        <f t="shared" si="50"/>
        <v>6</v>
      </c>
      <c r="J503" s="1146">
        <f>I503+1</f>
        <v>7</v>
      </c>
      <c r="K503" s="1146">
        <f>J503+1</f>
        <v>8</v>
      </c>
      <c r="L503" s="1146">
        <f>K503+1</f>
        <v>9</v>
      </c>
      <c r="M503" s="1146">
        <f>L503+1</f>
        <v>10</v>
      </c>
      <c r="N503" s="1146">
        <f>M503+1</f>
        <v>11</v>
      </c>
      <c r="O503" s="1146">
        <f t="shared" si="50"/>
        <v>12</v>
      </c>
      <c r="P503" s="1146">
        <f t="shared" si="50"/>
        <v>13</v>
      </c>
      <c r="Q503" s="1146">
        <f>P503+1</f>
        <v>14</v>
      </c>
      <c r="R503" s="1146">
        <f t="shared" si="50"/>
        <v>15</v>
      </c>
      <c r="S503" s="1146">
        <f>R503+1</f>
        <v>16</v>
      </c>
      <c r="T503" s="1146">
        <f t="shared" si="50"/>
        <v>17</v>
      </c>
      <c r="U503" s="1146">
        <f>T503+1</f>
        <v>18</v>
      </c>
      <c r="V503" s="1146">
        <f>U503+1</f>
        <v>19</v>
      </c>
      <c r="W503" s="1146">
        <f t="shared" si="50"/>
        <v>20</v>
      </c>
      <c r="X503" s="1146">
        <f t="shared" si="50"/>
        <v>21</v>
      </c>
      <c r="Y503" s="1146">
        <f t="shared" si="50"/>
        <v>22</v>
      </c>
      <c r="Z503" s="1146">
        <f t="shared" si="50"/>
        <v>23</v>
      </c>
      <c r="AA503" s="1146">
        <f t="shared" si="50"/>
        <v>24</v>
      </c>
      <c r="AB503" s="1146">
        <f t="shared" si="50"/>
        <v>25</v>
      </c>
      <c r="AC503" s="1146">
        <f t="shared" si="50"/>
        <v>26</v>
      </c>
      <c r="AD503" s="1146">
        <f t="shared" si="50"/>
        <v>27</v>
      </c>
      <c r="AE503" s="1146">
        <f t="shared" si="50"/>
        <v>28</v>
      </c>
      <c r="AF503" s="1146">
        <f t="shared" si="50"/>
        <v>29</v>
      </c>
      <c r="AG503" s="1146">
        <f t="shared" si="50"/>
        <v>30</v>
      </c>
      <c r="AH503" s="995"/>
      <c r="AI503" s="995"/>
      <c r="AJ503" s="995"/>
      <c r="AK503" s="995"/>
      <c r="AL503" s="995"/>
      <c r="AM503" s="995"/>
      <c r="AN503" s="995"/>
      <c r="AO503" s="995"/>
      <c r="AP503" s="995"/>
      <c r="AQ503" s="995"/>
      <c r="AR503" s="995"/>
      <c r="AS503" s="995"/>
      <c r="AT503" s="995"/>
      <c r="AU503" s="995"/>
      <c r="AV503" s="995"/>
      <c r="AW503" s="995"/>
      <c r="AX503" s="995"/>
    </row>
    <row r="504" spans="1:50" s="1201" customFormat="1" ht="15.5" hidden="1" x14ac:dyDescent="0.35">
      <c r="A504" s="995"/>
      <c r="B504" s="1147"/>
      <c r="C504" s="1147"/>
      <c r="D504" s="1147"/>
      <c r="E504" s="1147"/>
      <c r="F504" s="1147"/>
      <c r="G504" s="1147"/>
      <c r="H504" s="1147"/>
      <c r="I504" s="1147"/>
      <c r="J504" s="1147"/>
      <c r="K504" s="1147"/>
      <c r="L504" s="1147"/>
      <c r="M504" s="1147"/>
      <c r="N504" s="1147"/>
      <c r="O504" s="1147"/>
      <c r="P504" s="1147"/>
      <c r="Q504" s="1147"/>
      <c r="R504" s="1147"/>
      <c r="S504" s="1147"/>
      <c r="T504" s="1147"/>
      <c r="U504" s="1147"/>
      <c r="V504" s="1147"/>
      <c r="W504" s="1147"/>
      <c r="X504" s="1147"/>
      <c r="Y504" s="1147"/>
      <c r="Z504" s="1147"/>
      <c r="AA504" s="1147"/>
      <c r="AB504" s="1147"/>
      <c r="AC504" s="1147"/>
      <c r="AD504" s="1147"/>
      <c r="AE504" s="1147"/>
      <c r="AF504" s="1147"/>
      <c r="AG504" s="1147"/>
      <c r="AH504" s="995"/>
      <c r="AI504" s="995"/>
      <c r="AJ504" s="995"/>
      <c r="AK504" s="995"/>
      <c r="AL504" s="995"/>
      <c r="AM504" s="995"/>
      <c r="AN504" s="995"/>
      <c r="AO504" s="995"/>
      <c r="AP504" s="995"/>
      <c r="AQ504" s="995"/>
      <c r="AR504" s="995"/>
      <c r="AS504" s="995"/>
      <c r="AT504" s="995"/>
      <c r="AU504" s="995"/>
      <c r="AV504" s="995"/>
      <c r="AW504" s="995"/>
      <c r="AX504" s="995"/>
    </row>
    <row r="505" spans="1:50" s="1201" customFormat="1" ht="15.5" hidden="1" x14ac:dyDescent="0.35">
      <c r="A505" s="995"/>
      <c r="B505" s="1147" t="s">
        <v>558</v>
      </c>
      <c r="C505" s="1147">
        <v>0</v>
      </c>
      <c r="D505" s="1147">
        <v>2</v>
      </c>
      <c r="E505" s="1147">
        <v>5</v>
      </c>
      <c r="F505" s="1147">
        <v>19</v>
      </c>
      <c r="G505" s="1147">
        <v>41</v>
      </c>
      <c r="H505" s="1147">
        <v>68</v>
      </c>
      <c r="I505" s="1147">
        <v>98</v>
      </c>
      <c r="J505" s="1147">
        <v>128</v>
      </c>
      <c r="K505" s="1147">
        <v>159</v>
      </c>
      <c r="L505" s="1147">
        <v>188</v>
      </c>
      <c r="M505" s="1147">
        <v>217</v>
      </c>
      <c r="N505" s="1147">
        <v>244</v>
      </c>
      <c r="O505" s="1147">
        <v>269</v>
      </c>
      <c r="P505" s="1147">
        <v>293</v>
      </c>
      <c r="Q505" s="1147">
        <v>316</v>
      </c>
      <c r="R505" s="1147">
        <v>333</v>
      </c>
      <c r="S505" s="1147">
        <v>356</v>
      </c>
      <c r="T505" s="1147">
        <v>374</v>
      </c>
      <c r="U505" s="1147">
        <v>391</v>
      </c>
      <c r="V505" s="1147">
        <v>407</v>
      </c>
      <c r="W505" s="1147">
        <v>422</v>
      </c>
      <c r="X505" s="1147">
        <v>436</v>
      </c>
      <c r="Y505" s="1147">
        <v>449</v>
      </c>
      <c r="Z505" s="1147">
        <v>461</v>
      </c>
      <c r="AA505" s="1147">
        <v>472</v>
      </c>
      <c r="AB505" s="1147">
        <v>482</v>
      </c>
      <c r="AC505" s="1147">
        <v>492</v>
      </c>
      <c r="AD505" s="1147">
        <v>502</v>
      </c>
      <c r="AE505" s="1147">
        <v>510</v>
      </c>
      <c r="AF505" s="1147">
        <v>518</v>
      </c>
      <c r="AG505" s="1147">
        <v>526</v>
      </c>
      <c r="AH505" s="995"/>
      <c r="AI505" s="995"/>
      <c r="AJ505" s="995"/>
      <c r="AK505" s="995"/>
      <c r="AL505" s="995"/>
      <c r="AM505" s="995"/>
      <c r="AN505" s="995"/>
      <c r="AO505" s="995"/>
      <c r="AP505" s="995"/>
      <c r="AQ505" s="995"/>
      <c r="AR505" s="995"/>
      <c r="AS505" s="995"/>
      <c r="AT505" s="995"/>
      <c r="AU505" s="995"/>
      <c r="AV505" s="995"/>
      <c r="AW505" s="995"/>
      <c r="AX505" s="995"/>
    </row>
    <row r="506" spans="1:50" s="1201" customFormat="1" ht="15.5" hidden="1" x14ac:dyDescent="0.35">
      <c r="A506" s="995"/>
      <c r="B506" s="1147" t="s">
        <v>559</v>
      </c>
      <c r="C506" s="1147">
        <v>0</v>
      </c>
      <c r="D506" s="1147">
        <v>0</v>
      </c>
      <c r="E506" s="1147">
        <v>1</v>
      </c>
      <c r="F506" s="1147">
        <v>5</v>
      </c>
      <c r="G506" s="1147">
        <v>16</v>
      </c>
      <c r="H506" s="1147">
        <v>32</v>
      </c>
      <c r="I506" s="1147">
        <v>52</v>
      </c>
      <c r="J506" s="1147">
        <v>75</v>
      </c>
      <c r="K506" s="1147">
        <v>98</v>
      </c>
      <c r="L506" s="1147">
        <v>122</v>
      </c>
      <c r="M506" s="1147">
        <v>146</v>
      </c>
      <c r="N506" s="1147">
        <v>169</v>
      </c>
      <c r="O506" s="1147">
        <v>191</v>
      </c>
      <c r="P506" s="1147">
        <v>213</v>
      </c>
      <c r="Q506" s="1147">
        <v>234</v>
      </c>
      <c r="R506" s="1147">
        <v>254</v>
      </c>
      <c r="S506" s="1147">
        <v>272</v>
      </c>
      <c r="T506" s="1147">
        <v>290</v>
      </c>
      <c r="U506" s="1147">
        <v>306</v>
      </c>
      <c r="V506" s="1147">
        <v>322</v>
      </c>
      <c r="W506" s="1147">
        <v>337</v>
      </c>
      <c r="X506" s="1147">
        <v>351</v>
      </c>
      <c r="Y506" s="1147">
        <v>364</v>
      </c>
      <c r="Z506" s="1147">
        <v>377</v>
      </c>
      <c r="AA506" s="1147">
        <v>388</v>
      </c>
      <c r="AB506" s="1147">
        <v>399</v>
      </c>
      <c r="AC506" s="1147">
        <v>410</v>
      </c>
      <c r="AD506" s="1147">
        <v>420</v>
      </c>
      <c r="AE506" s="1147">
        <v>430</v>
      </c>
      <c r="AF506" s="1147">
        <v>439</v>
      </c>
      <c r="AG506" s="1147">
        <v>447</v>
      </c>
      <c r="AH506" s="995"/>
      <c r="AI506" s="995"/>
      <c r="AJ506" s="995"/>
      <c r="AK506" s="995"/>
      <c r="AL506" s="995"/>
      <c r="AM506" s="995"/>
      <c r="AN506" s="995"/>
      <c r="AO506" s="995"/>
      <c r="AP506" s="995"/>
      <c r="AQ506" s="995"/>
      <c r="AR506" s="995"/>
      <c r="AS506" s="995"/>
      <c r="AT506" s="995"/>
      <c r="AU506" s="995"/>
      <c r="AV506" s="995"/>
      <c r="AW506" s="995"/>
      <c r="AX506" s="995"/>
    </row>
    <row r="507" spans="1:50" s="1201" customFormat="1" ht="15.5" hidden="1" x14ac:dyDescent="0.35">
      <c r="A507" s="995"/>
      <c r="B507" s="1147" t="s">
        <v>560</v>
      </c>
      <c r="C507" s="1147">
        <v>0</v>
      </c>
      <c r="D507" s="1147">
        <v>0</v>
      </c>
      <c r="E507" s="1147">
        <v>1</v>
      </c>
      <c r="F507" s="1147">
        <v>5</v>
      </c>
      <c r="G507" s="1147">
        <v>10</v>
      </c>
      <c r="H507" s="1147">
        <v>19</v>
      </c>
      <c r="I507" s="1147">
        <v>29</v>
      </c>
      <c r="J507" s="1147">
        <v>41</v>
      </c>
      <c r="K507" s="1147">
        <v>54</v>
      </c>
      <c r="L507" s="1147">
        <v>68</v>
      </c>
      <c r="M507" s="1147">
        <v>83</v>
      </c>
      <c r="N507" s="1147">
        <v>99</v>
      </c>
      <c r="O507" s="1147">
        <v>115</v>
      </c>
      <c r="P507" s="1147">
        <v>131</v>
      </c>
      <c r="Q507" s="1147">
        <v>147</v>
      </c>
      <c r="R507" s="1147">
        <v>163</v>
      </c>
      <c r="S507" s="1147">
        <v>179</v>
      </c>
      <c r="T507" s="1147">
        <v>196</v>
      </c>
      <c r="U507" s="1147">
        <v>211</v>
      </c>
      <c r="V507" s="1147">
        <v>227</v>
      </c>
      <c r="W507" s="1147">
        <v>242</v>
      </c>
      <c r="X507" s="1147">
        <v>258</v>
      </c>
      <c r="Y507" s="1147">
        <v>273</v>
      </c>
      <c r="Z507" s="1147">
        <v>287</v>
      </c>
      <c r="AA507" s="1147">
        <v>301</v>
      </c>
      <c r="AB507" s="1147">
        <v>316</v>
      </c>
      <c r="AC507" s="1147">
        <v>329</v>
      </c>
      <c r="AD507" s="1147">
        <v>343</v>
      </c>
      <c r="AE507" s="1147">
        <v>356</v>
      </c>
      <c r="AF507" s="1147">
        <v>369</v>
      </c>
      <c r="AG507" s="1147">
        <v>382</v>
      </c>
      <c r="AH507" s="995"/>
      <c r="AI507" s="995"/>
      <c r="AJ507" s="995"/>
      <c r="AK507" s="995"/>
      <c r="AL507" s="995"/>
      <c r="AM507" s="995"/>
      <c r="AN507" s="995"/>
      <c r="AO507" s="995"/>
      <c r="AP507" s="995"/>
      <c r="AQ507" s="995"/>
      <c r="AR507" s="995"/>
      <c r="AS507" s="995"/>
      <c r="AT507" s="995"/>
      <c r="AU507" s="995"/>
      <c r="AV507" s="995"/>
      <c r="AW507" s="995"/>
      <c r="AX507" s="995"/>
    </row>
    <row r="508" spans="1:50" s="1201" customFormat="1" ht="15.5" hidden="1" x14ac:dyDescent="0.35">
      <c r="A508" s="995"/>
      <c r="B508" s="1147" t="s">
        <v>561</v>
      </c>
      <c r="C508" s="1147">
        <v>0</v>
      </c>
      <c r="D508" s="1147">
        <v>0</v>
      </c>
      <c r="E508" s="1147">
        <v>0</v>
      </c>
      <c r="F508" s="1147">
        <v>0</v>
      </c>
      <c r="G508" s="1147">
        <v>1</v>
      </c>
      <c r="H508" s="1147">
        <v>3</v>
      </c>
      <c r="I508" s="1147">
        <v>6</v>
      </c>
      <c r="J508" s="1147">
        <v>10</v>
      </c>
      <c r="K508" s="1147">
        <v>16</v>
      </c>
      <c r="L508" s="1147">
        <v>23</v>
      </c>
      <c r="M508" s="1147">
        <v>32</v>
      </c>
      <c r="N508" s="1147">
        <v>42</v>
      </c>
      <c r="O508" s="1147">
        <v>53</v>
      </c>
      <c r="P508" s="1147">
        <v>65</v>
      </c>
      <c r="Q508" s="1147">
        <v>78</v>
      </c>
      <c r="R508" s="1147">
        <v>91</v>
      </c>
      <c r="S508" s="1147">
        <v>104</v>
      </c>
      <c r="T508" s="1147">
        <v>118</v>
      </c>
      <c r="U508" s="1147">
        <v>132</v>
      </c>
      <c r="V508" s="1147">
        <v>146</v>
      </c>
      <c r="W508" s="1147">
        <v>159</v>
      </c>
      <c r="X508" s="1147">
        <v>173</v>
      </c>
      <c r="Y508" s="1147">
        <v>187</v>
      </c>
      <c r="Z508" s="1147">
        <v>201</v>
      </c>
      <c r="AA508" s="1147">
        <v>214</v>
      </c>
      <c r="AB508" s="1147">
        <v>228</v>
      </c>
      <c r="AC508" s="1147">
        <v>241</v>
      </c>
      <c r="AD508" s="1147">
        <v>254</v>
      </c>
      <c r="AE508" s="1147">
        <v>267</v>
      </c>
      <c r="AF508" s="1147">
        <v>279</v>
      </c>
      <c r="AG508" s="1147">
        <v>291</v>
      </c>
      <c r="AH508" s="995"/>
      <c r="AI508" s="995"/>
      <c r="AJ508" s="995"/>
      <c r="AK508" s="995"/>
      <c r="AL508" s="995"/>
      <c r="AM508" s="995"/>
      <c r="AN508" s="995"/>
      <c r="AO508" s="995"/>
      <c r="AP508" s="995"/>
      <c r="AQ508" s="995"/>
      <c r="AR508" s="995"/>
      <c r="AS508" s="995"/>
      <c r="AT508" s="995"/>
      <c r="AU508" s="995"/>
      <c r="AV508" s="995"/>
      <c r="AW508" s="995"/>
      <c r="AX508" s="995"/>
    </row>
    <row r="509" spans="1:50" s="1201" customFormat="1" ht="15.5" hidden="1" x14ac:dyDescent="0.35">
      <c r="A509" s="995"/>
      <c r="B509" s="1308" t="s">
        <v>562</v>
      </c>
      <c r="C509" s="1308">
        <v>0</v>
      </c>
      <c r="D509" s="1308">
        <v>0</v>
      </c>
      <c r="E509" s="1308">
        <v>0</v>
      </c>
      <c r="F509" s="1308">
        <v>0</v>
      </c>
      <c r="G509" s="1308">
        <v>1</v>
      </c>
      <c r="H509" s="1308">
        <v>2</v>
      </c>
      <c r="I509" s="1308">
        <v>4</v>
      </c>
      <c r="J509" s="1308">
        <v>7</v>
      </c>
      <c r="K509" s="1308">
        <v>11</v>
      </c>
      <c r="L509" s="1308">
        <v>16</v>
      </c>
      <c r="M509" s="1308">
        <v>21</v>
      </c>
      <c r="N509" s="1308">
        <v>28</v>
      </c>
      <c r="O509" s="1308">
        <v>35</v>
      </c>
      <c r="P509" s="1308">
        <v>43</v>
      </c>
      <c r="Q509" s="1308">
        <v>52</v>
      </c>
      <c r="R509" s="1308">
        <v>60</v>
      </c>
      <c r="S509" s="1308">
        <v>69</v>
      </c>
      <c r="T509" s="1308">
        <v>78</v>
      </c>
      <c r="U509" s="1308">
        <v>87</v>
      </c>
      <c r="V509" s="1308">
        <v>97</v>
      </c>
      <c r="W509" s="1308">
        <v>106</v>
      </c>
      <c r="X509" s="1308">
        <v>115</v>
      </c>
      <c r="Y509" s="1308">
        <v>124</v>
      </c>
      <c r="Z509" s="1308">
        <v>133</v>
      </c>
      <c r="AA509" s="1308">
        <v>142</v>
      </c>
      <c r="AB509" s="1308">
        <v>151</v>
      </c>
      <c r="AC509" s="1308">
        <v>160</v>
      </c>
      <c r="AD509" s="1308">
        <v>168</v>
      </c>
      <c r="AE509" s="1308">
        <v>177</v>
      </c>
      <c r="AF509" s="1308">
        <v>185</v>
      </c>
      <c r="AG509" s="1308">
        <v>193</v>
      </c>
      <c r="AH509" s="995"/>
      <c r="AI509" s="995"/>
      <c r="AJ509" s="995"/>
      <c r="AK509" s="995"/>
      <c r="AL509" s="995"/>
      <c r="AM509" s="995"/>
      <c r="AN509" s="995"/>
      <c r="AO509" s="995"/>
      <c r="AP509" s="995"/>
      <c r="AQ509" s="995"/>
      <c r="AR509" s="995"/>
      <c r="AS509" s="995"/>
      <c r="AT509" s="995"/>
      <c r="AU509" s="995"/>
      <c r="AV509" s="995"/>
      <c r="AW509" s="995"/>
      <c r="AX509" s="995"/>
    </row>
    <row r="510" spans="1:50" s="1201" customFormat="1" ht="15.5" hidden="1" x14ac:dyDescent="0.35">
      <c r="A510" s="995"/>
      <c r="B510" s="995"/>
      <c r="C510" s="995"/>
      <c r="D510" s="995"/>
      <c r="E510" s="995"/>
      <c r="F510" s="995"/>
      <c r="G510" s="995"/>
      <c r="H510" s="995"/>
      <c r="I510" s="995"/>
      <c r="J510" s="995"/>
      <c r="K510" s="995"/>
      <c r="L510" s="995"/>
      <c r="M510" s="995"/>
      <c r="N510" s="995"/>
      <c r="O510" s="995"/>
      <c r="P510" s="995"/>
      <c r="Q510" s="995"/>
      <c r="R510" s="995"/>
      <c r="S510" s="995"/>
      <c r="T510" s="995"/>
      <c r="U510" s="995"/>
      <c r="V510" s="995"/>
      <c r="W510" s="995"/>
      <c r="X510" s="995"/>
      <c r="Y510" s="995"/>
      <c r="Z510" s="995"/>
      <c r="AA510" s="995"/>
      <c r="AB510" s="995"/>
      <c r="AC510" s="995"/>
      <c r="AD510" s="995"/>
      <c r="AE510" s="995"/>
      <c r="AF510" s="995"/>
      <c r="AG510" s="995"/>
      <c r="AH510" s="995"/>
      <c r="AI510" s="995"/>
      <c r="AJ510" s="995"/>
      <c r="AK510" s="995"/>
      <c r="AL510" s="995"/>
      <c r="AM510" s="995"/>
      <c r="AN510" s="995"/>
      <c r="AO510" s="995"/>
      <c r="AP510" s="995"/>
      <c r="AQ510" s="995"/>
      <c r="AR510" s="995"/>
      <c r="AS510" s="995"/>
      <c r="AT510" s="995"/>
      <c r="AU510" s="995"/>
      <c r="AV510" s="995"/>
      <c r="AW510" s="995"/>
      <c r="AX510" s="995"/>
    </row>
    <row r="511" spans="1:50" s="1201" customFormat="1" ht="15.5" hidden="1" x14ac:dyDescent="0.35">
      <c r="A511" s="995"/>
      <c r="B511" s="1309"/>
      <c r="C511" s="1310" t="s">
        <v>563</v>
      </c>
      <c r="D511" s="1310" t="s">
        <v>564</v>
      </c>
      <c r="E511" s="1310" t="s">
        <v>565</v>
      </c>
      <c r="F511" s="1310" t="s">
        <v>566</v>
      </c>
      <c r="G511" s="1310" t="s">
        <v>567</v>
      </c>
      <c r="H511" s="1310" t="s">
        <v>564</v>
      </c>
      <c r="I511" s="1310" t="s">
        <v>565</v>
      </c>
      <c r="J511" s="995"/>
      <c r="K511" s="995"/>
      <c r="L511" s="995"/>
      <c r="M511" s="995"/>
      <c r="N511" s="995"/>
      <c r="O511" s="995"/>
      <c r="P511" s="995"/>
      <c r="Q511" s="995"/>
      <c r="R511" s="995"/>
      <c r="S511" s="995"/>
      <c r="T511" s="995"/>
      <c r="U511" s="995"/>
      <c r="V511" s="995"/>
      <c r="W511" s="995"/>
      <c r="X511" s="995"/>
      <c r="Y511" s="995"/>
      <c r="Z511" s="995"/>
      <c r="AA511" s="995"/>
      <c r="AB511" s="995"/>
      <c r="AC511" s="995"/>
      <c r="AD511" s="995"/>
      <c r="AE511" s="995"/>
      <c r="AF511" s="995"/>
      <c r="AG511" s="995"/>
      <c r="AH511" s="995"/>
      <c r="AI511" s="995"/>
      <c r="AJ511" s="995"/>
      <c r="AK511" s="995"/>
      <c r="AL511" s="995"/>
      <c r="AM511" s="995"/>
      <c r="AN511" s="995"/>
      <c r="AO511" s="995"/>
      <c r="AP511" s="995"/>
      <c r="AQ511" s="995"/>
      <c r="AR511" s="995"/>
      <c r="AS511" s="995"/>
      <c r="AT511" s="995"/>
      <c r="AU511" s="995"/>
      <c r="AV511" s="995"/>
      <c r="AW511" s="995"/>
      <c r="AX511" s="995"/>
    </row>
    <row r="512" spans="1:50" s="1201" customFormat="1" ht="15.5" hidden="1" x14ac:dyDescent="0.35">
      <c r="A512" s="995"/>
      <c r="B512" s="1311" t="s">
        <v>568</v>
      </c>
      <c r="C512" s="1745" t="s">
        <v>569</v>
      </c>
      <c r="D512" s="2641" t="s">
        <v>570</v>
      </c>
      <c r="E512" s="2641"/>
      <c r="F512" s="2641" t="s">
        <v>571</v>
      </c>
      <c r="G512" s="2641"/>
      <c r="H512" s="2641" t="s">
        <v>572</v>
      </c>
      <c r="I512" s="2641"/>
      <c r="J512" s="995"/>
      <c r="K512" s="995"/>
      <c r="L512" s="995"/>
      <c r="M512" s="995"/>
      <c r="N512" s="995"/>
      <c r="O512" s="995"/>
      <c r="P512" s="995"/>
      <c r="Q512" s="995"/>
      <c r="R512" s="995"/>
      <c r="S512" s="995"/>
      <c r="T512" s="995"/>
      <c r="U512" s="995"/>
      <c r="V512" s="995"/>
      <c r="W512" s="995"/>
      <c r="X512" s="995"/>
      <c r="Y512" s="995"/>
      <c r="Z512" s="995"/>
      <c r="AA512" s="995"/>
      <c r="AB512" s="995"/>
      <c r="AC512" s="995"/>
      <c r="AD512" s="995"/>
      <c r="AE512" s="995"/>
      <c r="AF512" s="995"/>
      <c r="AG512" s="995"/>
      <c r="AH512" s="995"/>
      <c r="AI512" s="995"/>
      <c r="AJ512" s="995"/>
      <c r="AK512" s="995"/>
      <c r="AL512" s="995"/>
      <c r="AM512" s="995"/>
      <c r="AN512" s="995"/>
      <c r="AO512" s="995"/>
      <c r="AP512" s="995"/>
      <c r="AQ512" s="995"/>
      <c r="AR512" s="995"/>
      <c r="AS512" s="995"/>
      <c r="AT512" s="995"/>
      <c r="AU512" s="995"/>
      <c r="AV512" s="995"/>
      <c r="AW512" s="995"/>
      <c r="AX512" s="995"/>
    </row>
    <row r="513" spans="1:50" s="1201" customFormat="1" ht="15.5" hidden="1" x14ac:dyDescent="0.35">
      <c r="A513" s="995">
        <v>1</v>
      </c>
      <c r="B513" s="1148" t="s">
        <v>718</v>
      </c>
      <c r="C513" s="1181">
        <v>0</v>
      </c>
      <c r="D513" s="1181">
        <v>0</v>
      </c>
      <c r="E513" s="1181">
        <v>0</v>
      </c>
      <c r="F513" s="1181">
        <v>0</v>
      </c>
      <c r="G513" s="1181">
        <v>0</v>
      </c>
      <c r="H513" s="1181">
        <v>0</v>
      </c>
      <c r="I513" s="1181">
        <v>0</v>
      </c>
      <c r="J513" s="995"/>
      <c r="K513" s="995"/>
      <c r="L513" s="995"/>
      <c r="M513" s="995"/>
      <c r="N513" s="995"/>
      <c r="O513" s="995"/>
      <c r="P513" s="995"/>
      <c r="Q513" s="995"/>
      <c r="R513" s="995"/>
      <c r="S513" s="995"/>
      <c r="T513" s="995"/>
      <c r="U513" s="995"/>
      <c r="V513" s="995"/>
      <c r="W513" s="995"/>
      <c r="X513" s="995"/>
      <c r="Y513" s="995"/>
      <c r="Z513" s="995"/>
      <c r="AA513" s="995"/>
      <c r="AB513" s="995"/>
      <c r="AC513" s="995"/>
      <c r="AD513" s="995"/>
      <c r="AE513" s="995"/>
      <c r="AF513" s="995"/>
      <c r="AG513" s="995"/>
      <c r="AH513" s="995"/>
      <c r="AI513" s="995"/>
      <c r="AJ513" s="995"/>
      <c r="AK513" s="995"/>
      <c r="AL513" s="995"/>
      <c r="AM513" s="995"/>
      <c r="AN513" s="995"/>
      <c r="AO513" s="995"/>
      <c r="AP513" s="995"/>
      <c r="AQ513" s="995"/>
      <c r="AR513" s="995"/>
      <c r="AS513" s="995"/>
      <c r="AT513" s="995"/>
      <c r="AU513" s="995"/>
      <c r="AV513" s="995"/>
      <c r="AW513" s="995"/>
      <c r="AX513" s="995"/>
    </row>
    <row r="514" spans="1:50" s="1201" customFormat="1" ht="15.5" hidden="1" x14ac:dyDescent="0.35">
      <c r="A514" s="995">
        <v>2</v>
      </c>
      <c r="B514" s="1148" t="s">
        <v>1218</v>
      </c>
      <c r="C514" s="1148">
        <v>600</v>
      </c>
      <c r="D514" s="1148">
        <v>15</v>
      </c>
      <c r="E514" s="1148">
        <v>30</v>
      </c>
      <c r="F514" s="1148">
        <v>0.43</v>
      </c>
      <c r="G514" s="1149">
        <v>0.5</v>
      </c>
      <c r="H514" s="1150">
        <f>D514*F514*G514*3.7</f>
        <v>11.932500000000001</v>
      </c>
      <c r="I514" s="1150">
        <f>E514*F514*G514*3.7</f>
        <v>23.865000000000002</v>
      </c>
      <c r="J514" s="995"/>
      <c r="K514" s="995"/>
      <c r="L514" s="995"/>
      <c r="M514" s="995"/>
      <c r="N514" s="995"/>
      <c r="O514" s="995"/>
      <c r="P514" s="995"/>
      <c r="Q514" s="995"/>
      <c r="R514" s="995"/>
      <c r="S514" s="995"/>
      <c r="T514" s="995"/>
      <c r="U514" s="995"/>
      <c r="V514" s="995"/>
      <c r="W514" s="995"/>
      <c r="X514" s="995"/>
      <c r="Y514" s="995"/>
      <c r="Z514" s="995"/>
      <c r="AA514" s="995"/>
      <c r="AB514" s="995"/>
      <c r="AC514" s="995"/>
      <c r="AD514" s="995"/>
      <c r="AE514" s="995"/>
      <c r="AF514" s="995"/>
      <c r="AG514" s="995"/>
      <c r="AH514" s="995"/>
      <c r="AI514" s="995"/>
      <c r="AJ514" s="995"/>
      <c r="AK514" s="995"/>
      <c r="AL514" s="995"/>
      <c r="AM514" s="995"/>
      <c r="AN514" s="995"/>
      <c r="AO514" s="995"/>
      <c r="AP514" s="995"/>
      <c r="AQ514" s="995"/>
      <c r="AR514" s="995"/>
      <c r="AS514" s="995"/>
      <c r="AT514" s="995"/>
      <c r="AU514" s="995"/>
      <c r="AV514" s="995"/>
      <c r="AW514" s="995"/>
      <c r="AX514" s="995"/>
    </row>
    <row r="515" spans="1:50" s="1201" customFormat="1" ht="15.5" hidden="1" x14ac:dyDescent="0.35">
      <c r="A515" s="995">
        <v>3</v>
      </c>
      <c r="B515" s="1147" t="s">
        <v>573</v>
      </c>
      <c r="C515" s="1147">
        <v>600</v>
      </c>
      <c r="D515" s="1147">
        <v>15</v>
      </c>
      <c r="E515" s="1147">
        <v>30</v>
      </c>
      <c r="F515" s="1147">
        <v>0.43</v>
      </c>
      <c r="G515" s="1151">
        <v>0.5</v>
      </c>
      <c r="H515" s="1152">
        <f>D515*F515*G515*3.7</f>
        <v>11.932500000000001</v>
      </c>
      <c r="I515" s="1152">
        <f>E515*F515*G515*3.7</f>
        <v>23.865000000000002</v>
      </c>
      <c r="J515" s="995"/>
      <c r="K515" s="995"/>
      <c r="L515" s="995"/>
      <c r="M515" s="995"/>
      <c r="N515" s="995"/>
      <c r="O515" s="995"/>
      <c r="P515" s="995"/>
      <c r="Q515" s="995"/>
      <c r="R515" s="995"/>
      <c r="S515" s="995"/>
      <c r="T515" s="995"/>
      <c r="U515" s="995"/>
      <c r="V515" s="995"/>
      <c r="W515" s="995"/>
      <c r="X515" s="995"/>
      <c r="Y515" s="995"/>
      <c r="Z515" s="995"/>
      <c r="AA515" s="995"/>
      <c r="AB515" s="995"/>
      <c r="AC515" s="995"/>
      <c r="AD515" s="995"/>
      <c r="AE515" s="995"/>
      <c r="AF515" s="995"/>
      <c r="AG515" s="995"/>
      <c r="AH515" s="995"/>
      <c r="AI515" s="995"/>
      <c r="AJ515" s="995"/>
      <c r="AK515" s="995"/>
      <c r="AL515" s="995"/>
      <c r="AM515" s="995"/>
      <c r="AN515" s="995"/>
      <c r="AO515" s="995"/>
      <c r="AP515" s="995"/>
      <c r="AQ515" s="995"/>
      <c r="AR515" s="995"/>
      <c r="AS515" s="995"/>
      <c r="AT515" s="995"/>
      <c r="AU515" s="995"/>
      <c r="AV515" s="995"/>
      <c r="AW515" s="995"/>
      <c r="AX515" s="995"/>
    </row>
    <row r="516" spans="1:50" s="1201" customFormat="1" ht="15.5" hidden="1" x14ac:dyDescent="0.35">
      <c r="A516" s="995">
        <v>4</v>
      </c>
      <c r="B516" s="1148" t="s">
        <v>574</v>
      </c>
      <c r="C516" s="1148">
        <f t="shared" ref="C516:I516" si="51">AVERAGE(C517:C520)</f>
        <v>775</v>
      </c>
      <c r="D516" s="1148">
        <f t="shared" si="51"/>
        <v>15</v>
      </c>
      <c r="E516" s="1148">
        <f t="shared" si="51"/>
        <v>32.5</v>
      </c>
      <c r="F516" s="1148">
        <f t="shared" si="51"/>
        <v>0.63</v>
      </c>
      <c r="G516" s="1148">
        <f t="shared" si="51"/>
        <v>0.5</v>
      </c>
      <c r="H516" s="1148">
        <f t="shared" si="51"/>
        <v>17.482499999999998</v>
      </c>
      <c r="I516" s="1148">
        <f t="shared" si="51"/>
        <v>37.878750000000004</v>
      </c>
      <c r="J516" s="995"/>
      <c r="K516" s="995"/>
      <c r="L516" s="995"/>
      <c r="M516" s="995"/>
      <c r="N516" s="995"/>
      <c r="O516" s="995"/>
      <c r="P516" s="995"/>
      <c r="Q516" s="995"/>
      <c r="R516" s="995"/>
      <c r="S516" s="995"/>
      <c r="T516" s="995"/>
      <c r="U516" s="995"/>
      <c r="V516" s="995"/>
      <c r="W516" s="995"/>
      <c r="X516" s="995"/>
      <c r="Y516" s="995"/>
      <c r="Z516" s="995"/>
      <c r="AA516" s="995"/>
      <c r="AB516" s="995"/>
      <c r="AC516" s="995"/>
      <c r="AD516" s="995"/>
      <c r="AE516" s="995"/>
      <c r="AF516" s="995"/>
      <c r="AG516" s="995"/>
      <c r="AH516" s="995"/>
      <c r="AI516" s="995"/>
      <c r="AJ516" s="995"/>
      <c r="AK516" s="995"/>
      <c r="AL516" s="995"/>
      <c r="AM516" s="995"/>
      <c r="AN516" s="995"/>
      <c r="AO516" s="995"/>
      <c r="AP516" s="995"/>
      <c r="AQ516" s="995"/>
      <c r="AR516" s="995"/>
      <c r="AS516" s="995"/>
      <c r="AT516" s="995"/>
      <c r="AU516" s="995"/>
      <c r="AV516" s="995"/>
      <c r="AW516" s="995"/>
      <c r="AX516" s="995"/>
    </row>
    <row r="517" spans="1:50" s="1201" customFormat="1" ht="15.5" hidden="1" x14ac:dyDescent="0.35">
      <c r="A517" s="995">
        <v>5</v>
      </c>
      <c r="B517" s="1147" t="s">
        <v>575</v>
      </c>
      <c r="C517" s="1147">
        <v>700</v>
      </c>
      <c r="D517" s="1147">
        <v>15</v>
      </c>
      <c r="E517" s="1147">
        <v>35</v>
      </c>
      <c r="F517" s="1147">
        <v>0.63</v>
      </c>
      <c r="G517" s="1151">
        <v>0.5</v>
      </c>
      <c r="H517" s="1152">
        <f>D517*F517*G517*3.7</f>
        <v>17.482499999999998</v>
      </c>
      <c r="I517" s="1152">
        <f>E517*F517*G517*3.7</f>
        <v>40.792500000000004</v>
      </c>
      <c r="J517" s="995"/>
      <c r="K517" s="995"/>
      <c r="L517" s="995"/>
      <c r="M517" s="995"/>
      <c r="N517" s="995"/>
      <c r="O517" s="995"/>
      <c r="P517" s="995"/>
      <c r="Q517" s="995"/>
      <c r="R517" s="995"/>
      <c r="S517" s="995"/>
      <c r="T517" s="995"/>
      <c r="U517" s="995"/>
      <c r="V517" s="995"/>
      <c r="W517" s="995"/>
      <c r="X517" s="995"/>
      <c r="Y517" s="995"/>
      <c r="Z517" s="995"/>
      <c r="AA517" s="995"/>
      <c r="AB517" s="995"/>
      <c r="AC517" s="995"/>
      <c r="AD517" s="995"/>
      <c r="AE517" s="995"/>
      <c r="AF517" s="995"/>
      <c r="AG517" s="995"/>
      <c r="AH517" s="995"/>
      <c r="AI517" s="995"/>
      <c r="AJ517" s="995"/>
      <c r="AK517" s="995"/>
      <c r="AL517" s="995"/>
      <c r="AM517" s="995"/>
      <c r="AN517" s="995"/>
      <c r="AO517" s="995"/>
      <c r="AP517" s="995"/>
      <c r="AQ517" s="995"/>
      <c r="AR517" s="995"/>
      <c r="AS517" s="995"/>
      <c r="AT517" s="995"/>
      <c r="AU517" s="995"/>
      <c r="AV517" s="995"/>
      <c r="AW517" s="995"/>
      <c r="AX517" s="995"/>
    </row>
    <row r="518" spans="1:50" s="1201" customFormat="1" ht="15.5" hidden="1" x14ac:dyDescent="0.35">
      <c r="A518" s="995">
        <v>6</v>
      </c>
      <c r="B518" s="1147" t="s">
        <v>576</v>
      </c>
      <c r="C518" s="1147">
        <v>800</v>
      </c>
      <c r="D518" s="1147">
        <v>15</v>
      </c>
      <c r="E518" s="1147">
        <v>35</v>
      </c>
      <c r="F518" s="1147">
        <v>0.63</v>
      </c>
      <c r="G518" s="1151">
        <v>0.5</v>
      </c>
      <c r="H518" s="1152">
        <f>D518*F518*G518*3.7</f>
        <v>17.482499999999998</v>
      </c>
      <c r="I518" s="1152">
        <f>E518*F518*G518*3.7</f>
        <v>40.792500000000004</v>
      </c>
      <c r="J518" s="995"/>
      <c r="K518" s="995"/>
      <c r="L518" s="995"/>
      <c r="M518" s="995"/>
      <c r="N518" s="995"/>
      <c r="O518" s="995"/>
      <c r="P518" s="995"/>
      <c r="Q518" s="995"/>
      <c r="R518" s="995"/>
      <c r="S518" s="995"/>
      <c r="T518" s="995"/>
      <c r="U518" s="995"/>
      <c r="V518" s="995"/>
      <c r="W518" s="995"/>
      <c r="X518" s="995"/>
      <c r="Y518" s="995"/>
      <c r="Z518" s="995"/>
      <c r="AA518" s="995"/>
      <c r="AB518" s="995"/>
      <c r="AC518" s="995"/>
      <c r="AD518" s="995"/>
      <c r="AE518" s="995"/>
      <c r="AF518" s="995"/>
      <c r="AG518" s="995"/>
      <c r="AH518" s="995"/>
      <c r="AI518" s="995"/>
      <c r="AJ518" s="995"/>
      <c r="AK518" s="995"/>
      <c r="AL518" s="995"/>
      <c r="AM518" s="995"/>
      <c r="AN518" s="995"/>
      <c r="AO518" s="995"/>
      <c r="AP518" s="995"/>
      <c r="AQ518" s="995"/>
      <c r="AR518" s="995"/>
      <c r="AS518" s="995"/>
      <c r="AT518" s="995"/>
      <c r="AU518" s="995"/>
      <c r="AV518" s="995"/>
      <c r="AW518" s="995"/>
      <c r="AX518" s="995"/>
    </row>
    <row r="519" spans="1:50" s="1201" customFormat="1" ht="15.5" hidden="1" x14ac:dyDescent="0.35">
      <c r="A519" s="995">
        <v>7</v>
      </c>
      <c r="B519" s="1147" t="s">
        <v>577</v>
      </c>
      <c r="C519" s="1147">
        <v>800</v>
      </c>
      <c r="D519" s="1147">
        <v>15</v>
      </c>
      <c r="E519" s="1147">
        <v>30</v>
      </c>
      <c r="F519" s="1147">
        <v>0.63</v>
      </c>
      <c r="G519" s="1151">
        <v>0.5</v>
      </c>
      <c r="H519" s="1152">
        <f>D519*F519*G519*3.7</f>
        <v>17.482499999999998</v>
      </c>
      <c r="I519" s="1152">
        <f>E519*F519*G519*3.7</f>
        <v>34.964999999999996</v>
      </c>
      <c r="J519" s="995"/>
      <c r="K519" s="995"/>
      <c r="L519" s="995"/>
      <c r="M519" s="995"/>
      <c r="N519" s="995"/>
      <c r="O519" s="995"/>
      <c r="P519" s="995"/>
      <c r="Q519" s="995"/>
      <c r="R519" s="995"/>
      <c r="S519" s="995"/>
      <c r="T519" s="995"/>
      <c r="U519" s="995"/>
      <c r="V519" s="995"/>
      <c r="W519" s="995"/>
      <c r="X519" s="995"/>
      <c r="Y519" s="995"/>
      <c r="Z519" s="995"/>
      <c r="AA519" s="995"/>
      <c r="AB519" s="995"/>
      <c r="AC519" s="995"/>
      <c r="AD519" s="995"/>
      <c r="AE519" s="995"/>
      <c r="AF519" s="995"/>
      <c r="AG519" s="995"/>
      <c r="AH519" s="995"/>
      <c r="AI519" s="995"/>
      <c r="AJ519" s="995"/>
      <c r="AK519" s="995"/>
      <c r="AL519" s="995"/>
      <c r="AM519" s="995"/>
      <c r="AN519" s="995"/>
      <c r="AO519" s="995"/>
      <c r="AP519" s="995"/>
      <c r="AQ519" s="995"/>
      <c r="AR519" s="995"/>
      <c r="AS519" s="995"/>
      <c r="AT519" s="995"/>
      <c r="AU519" s="995"/>
      <c r="AV519" s="995"/>
      <c r="AW519" s="995"/>
      <c r="AX519" s="995"/>
    </row>
    <row r="520" spans="1:50" s="1201" customFormat="1" ht="15.5" hidden="1" x14ac:dyDescent="0.35">
      <c r="A520" s="995">
        <v>8</v>
      </c>
      <c r="B520" s="1147" t="s">
        <v>578</v>
      </c>
      <c r="C520" s="1147">
        <v>800</v>
      </c>
      <c r="D520" s="1147">
        <v>15</v>
      </c>
      <c r="E520" s="1147">
        <v>30</v>
      </c>
      <c r="F520" s="1147">
        <v>0.63</v>
      </c>
      <c r="G520" s="1151">
        <v>0.5</v>
      </c>
      <c r="H520" s="1152">
        <f>D520*F520*G520*3.7</f>
        <v>17.482499999999998</v>
      </c>
      <c r="I520" s="1152">
        <f>E520*F520*G520*3.7</f>
        <v>34.964999999999996</v>
      </c>
      <c r="J520" s="995"/>
      <c r="K520" s="995"/>
      <c r="L520" s="995"/>
      <c r="M520" s="995"/>
      <c r="N520" s="995"/>
      <c r="O520" s="995"/>
      <c r="P520" s="995"/>
      <c r="Q520" s="995"/>
      <c r="R520" s="995"/>
      <c r="S520" s="995"/>
      <c r="T520" s="995"/>
      <c r="U520" s="995"/>
      <c r="V520" s="995"/>
      <c r="W520" s="995"/>
      <c r="X520" s="995"/>
      <c r="Y520" s="995"/>
      <c r="Z520" s="995"/>
      <c r="AA520" s="995"/>
      <c r="AB520" s="995"/>
      <c r="AC520" s="995"/>
      <c r="AD520" s="995"/>
      <c r="AE520" s="995"/>
      <c r="AF520" s="995"/>
      <c r="AG520" s="995"/>
      <c r="AH520" s="995"/>
      <c r="AI520" s="995"/>
      <c r="AJ520" s="995"/>
      <c r="AK520" s="995"/>
      <c r="AL520" s="995"/>
      <c r="AM520" s="995"/>
      <c r="AN520" s="995"/>
      <c r="AO520" s="995"/>
      <c r="AP520" s="995"/>
      <c r="AQ520" s="995"/>
      <c r="AR520" s="995"/>
      <c r="AS520" s="995"/>
      <c r="AT520" s="995"/>
      <c r="AU520" s="995"/>
      <c r="AV520" s="995"/>
      <c r="AW520" s="995"/>
      <c r="AX520" s="995"/>
    </row>
    <row r="521" spans="1:50" s="1201" customFormat="1" ht="15.5" hidden="1" x14ac:dyDescent="0.35">
      <c r="A521" s="995">
        <v>9</v>
      </c>
      <c r="B521" s="1147" t="s">
        <v>579</v>
      </c>
      <c r="C521" s="1147">
        <v>600</v>
      </c>
      <c r="D521" s="1147">
        <v>8</v>
      </c>
      <c r="E521" s="1147">
        <v>20</v>
      </c>
      <c r="F521" s="1147">
        <v>0.63</v>
      </c>
      <c r="G521" s="1151">
        <v>0.5</v>
      </c>
      <c r="H521" s="1152">
        <f>D521*F521*G521*3.7</f>
        <v>9.3239999999999998</v>
      </c>
      <c r="I521" s="1152">
        <f>E521*F521*G521*3.7</f>
        <v>23.31</v>
      </c>
      <c r="J521" s="995"/>
      <c r="K521" s="995"/>
      <c r="L521" s="995"/>
      <c r="M521" s="995"/>
      <c r="N521" s="995"/>
      <c r="O521" s="995"/>
      <c r="P521" s="995"/>
      <c r="Q521" s="995"/>
      <c r="R521" s="995"/>
      <c r="S521" s="995"/>
      <c r="T521" s="995"/>
      <c r="U521" s="995"/>
      <c r="V521" s="995"/>
      <c r="W521" s="995"/>
      <c r="X521" s="995"/>
      <c r="Y521" s="995"/>
      <c r="Z521" s="995"/>
      <c r="AA521" s="995"/>
      <c r="AB521" s="995"/>
      <c r="AC521" s="995"/>
      <c r="AD521" s="995"/>
      <c r="AE521" s="995"/>
      <c r="AF521" s="995"/>
      <c r="AG521" s="995"/>
      <c r="AH521" s="995"/>
      <c r="AI521" s="995"/>
      <c r="AJ521" s="995"/>
      <c r="AK521" s="995"/>
      <c r="AL521" s="995"/>
      <c r="AM521" s="995"/>
      <c r="AN521" s="995"/>
      <c r="AO521" s="995"/>
      <c r="AP521" s="995"/>
      <c r="AQ521" s="995"/>
      <c r="AR521" s="995"/>
      <c r="AS521" s="995"/>
      <c r="AT521" s="995"/>
      <c r="AU521" s="995"/>
      <c r="AV521" s="995"/>
      <c r="AW521" s="995"/>
      <c r="AX521" s="995"/>
    </row>
    <row r="522" spans="1:50" s="1201" customFormat="1" ht="15.5" hidden="1" x14ac:dyDescent="0.35">
      <c r="A522" s="995">
        <v>10</v>
      </c>
      <c r="B522" s="1148" t="s">
        <v>580</v>
      </c>
      <c r="C522" s="1148">
        <f t="shared" ref="C522:I522" si="52">AVERAGE(C523:C527)</f>
        <v>530</v>
      </c>
      <c r="D522" s="1148">
        <f t="shared" si="52"/>
        <v>3</v>
      </c>
      <c r="E522" s="1148">
        <f t="shared" si="52"/>
        <v>8.8000000000000007</v>
      </c>
      <c r="F522" s="1148">
        <f t="shared" si="52"/>
        <v>0.63</v>
      </c>
      <c r="G522" s="1148">
        <f t="shared" si="52"/>
        <v>0.5</v>
      </c>
      <c r="H522" s="1148">
        <f t="shared" si="52"/>
        <v>3.4964999999999997</v>
      </c>
      <c r="I522" s="1148">
        <f t="shared" si="52"/>
        <v>10.256399999999999</v>
      </c>
      <c r="J522" s="995"/>
      <c r="K522" s="995"/>
      <c r="L522" s="995"/>
      <c r="M522" s="995"/>
      <c r="N522" s="995"/>
      <c r="O522" s="995"/>
      <c r="P522" s="995"/>
      <c r="Q522" s="995"/>
      <c r="R522" s="995"/>
      <c r="S522" s="995"/>
      <c r="T522" s="995"/>
      <c r="U522" s="995"/>
      <c r="V522" s="995"/>
      <c r="W522" s="995"/>
      <c r="X522" s="995"/>
      <c r="Y522" s="995"/>
      <c r="Z522" s="995"/>
      <c r="AA522" s="995"/>
      <c r="AB522" s="995"/>
      <c r="AC522" s="995"/>
      <c r="AD522" s="995"/>
      <c r="AE522" s="995"/>
      <c r="AF522" s="995"/>
      <c r="AG522" s="995"/>
      <c r="AH522" s="995"/>
      <c r="AI522" s="995"/>
      <c r="AJ522" s="995"/>
      <c r="AK522" s="995"/>
      <c r="AL522" s="995"/>
      <c r="AM522" s="995"/>
      <c r="AN522" s="995"/>
      <c r="AO522" s="995"/>
      <c r="AP522" s="995"/>
      <c r="AQ522" s="995"/>
      <c r="AR522" s="995"/>
      <c r="AS522" s="995"/>
      <c r="AT522" s="995"/>
      <c r="AU522" s="995"/>
      <c r="AV522" s="995"/>
      <c r="AW522" s="995"/>
      <c r="AX522" s="995"/>
    </row>
    <row r="523" spans="1:50" s="1201" customFormat="1" ht="15.5" hidden="1" x14ac:dyDescent="0.35">
      <c r="A523" s="995">
        <v>11</v>
      </c>
      <c r="B523" s="1147" t="s">
        <v>581</v>
      </c>
      <c r="C523" s="1147">
        <v>750</v>
      </c>
      <c r="D523" s="1147">
        <v>4</v>
      </c>
      <c r="E523" s="1147">
        <v>10</v>
      </c>
      <c r="F523" s="1147">
        <v>0.63</v>
      </c>
      <c r="G523" s="1151">
        <v>0.5</v>
      </c>
      <c r="H523" s="1152">
        <f>D523*F523*G523*3.7</f>
        <v>4.6619999999999999</v>
      </c>
      <c r="I523" s="1152">
        <f>E523*F523*G523*3.7</f>
        <v>11.654999999999999</v>
      </c>
      <c r="J523" s="995"/>
      <c r="K523" s="995"/>
      <c r="L523" s="995"/>
      <c r="M523" s="995"/>
      <c r="N523" s="995"/>
      <c r="O523" s="995"/>
      <c r="P523" s="995"/>
      <c r="Q523" s="995"/>
      <c r="R523" s="995"/>
      <c r="S523" s="995"/>
      <c r="T523" s="995"/>
      <c r="U523" s="995"/>
      <c r="V523" s="995"/>
      <c r="W523" s="995"/>
      <c r="X523" s="995"/>
      <c r="Y523" s="995"/>
      <c r="Z523" s="995"/>
      <c r="AA523" s="995"/>
      <c r="AB523" s="995"/>
      <c r="AC523" s="995"/>
      <c r="AD523" s="995"/>
      <c r="AE523" s="995"/>
      <c r="AF523" s="995"/>
      <c r="AG523" s="995"/>
      <c r="AH523" s="995"/>
      <c r="AI523" s="995"/>
      <c r="AJ523" s="995"/>
      <c r="AK523" s="995"/>
      <c r="AL523" s="995"/>
      <c r="AM523" s="995"/>
      <c r="AN523" s="995"/>
      <c r="AO523" s="995"/>
      <c r="AP523" s="995"/>
      <c r="AQ523" s="995"/>
      <c r="AR523" s="995"/>
      <c r="AS523" s="995"/>
      <c r="AT523" s="995"/>
      <c r="AU523" s="995"/>
      <c r="AV523" s="995"/>
      <c r="AW523" s="995"/>
      <c r="AX523" s="995"/>
    </row>
    <row r="524" spans="1:50" s="1201" customFormat="1" ht="15.5" hidden="1" x14ac:dyDescent="0.35">
      <c r="A524" s="995">
        <v>12</v>
      </c>
      <c r="B524" s="1147" t="s">
        <v>582</v>
      </c>
      <c r="C524" s="1147">
        <v>500</v>
      </c>
      <c r="D524" s="1147">
        <v>5</v>
      </c>
      <c r="E524" s="1147">
        <v>10</v>
      </c>
      <c r="F524" s="1147">
        <v>0.63</v>
      </c>
      <c r="G524" s="1151">
        <v>0.5</v>
      </c>
      <c r="H524" s="1152">
        <f>D524*F524*G524*3.7</f>
        <v>5.8274999999999997</v>
      </c>
      <c r="I524" s="1152">
        <f>E524*F524*G524*3.7</f>
        <v>11.654999999999999</v>
      </c>
      <c r="J524" s="995"/>
      <c r="K524" s="995"/>
      <c r="L524" s="995"/>
      <c r="M524" s="995"/>
      <c r="N524" s="995"/>
      <c r="O524" s="995"/>
      <c r="P524" s="995"/>
      <c r="Q524" s="995"/>
      <c r="R524" s="995"/>
      <c r="S524" s="995"/>
      <c r="T524" s="995"/>
      <c r="U524" s="995"/>
      <c r="V524" s="995"/>
      <c r="W524" s="995"/>
      <c r="X524" s="995"/>
      <c r="Y524" s="995"/>
      <c r="Z524" s="995"/>
      <c r="AA524" s="995"/>
      <c r="AB524" s="995"/>
      <c r="AC524" s="995"/>
      <c r="AD524" s="995"/>
      <c r="AE524" s="995"/>
      <c r="AF524" s="995"/>
      <c r="AG524" s="995"/>
      <c r="AH524" s="995"/>
      <c r="AI524" s="995"/>
      <c r="AJ524" s="995"/>
      <c r="AK524" s="995"/>
      <c r="AL524" s="995"/>
      <c r="AM524" s="995"/>
      <c r="AN524" s="995"/>
      <c r="AO524" s="995"/>
      <c r="AP524" s="995"/>
      <c r="AQ524" s="995"/>
      <c r="AR524" s="995"/>
      <c r="AS524" s="995"/>
      <c r="AT524" s="995"/>
      <c r="AU524" s="995"/>
      <c r="AV524" s="995"/>
      <c r="AW524" s="995"/>
      <c r="AX524" s="995"/>
    </row>
    <row r="525" spans="1:50" s="1201" customFormat="1" ht="15.5" hidden="1" x14ac:dyDescent="0.35">
      <c r="A525" s="995">
        <v>13</v>
      </c>
      <c r="B525" s="1147" t="s">
        <v>583</v>
      </c>
      <c r="C525" s="1147">
        <v>500</v>
      </c>
      <c r="D525" s="1147">
        <v>2</v>
      </c>
      <c r="E525" s="1147">
        <v>8</v>
      </c>
      <c r="F525" s="1147">
        <v>0.63</v>
      </c>
      <c r="G525" s="1151">
        <v>0.5</v>
      </c>
      <c r="H525" s="1152">
        <f>D525*F525*G525*3.7</f>
        <v>2.331</v>
      </c>
      <c r="I525" s="1152">
        <f>E525*F525*G525*3.7</f>
        <v>9.3239999999999998</v>
      </c>
      <c r="J525" s="995"/>
      <c r="K525" s="995"/>
      <c r="L525" s="995"/>
      <c r="M525" s="995"/>
      <c r="N525" s="995"/>
      <c r="O525" s="995"/>
      <c r="P525" s="995"/>
      <c r="Q525" s="995"/>
      <c r="R525" s="995"/>
      <c r="S525" s="995"/>
      <c r="T525" s="995"/>
      <c r="U525" s="995"/>
      <c r="V525" s="995"/>
      <c r="W525" s="995"/>
      <c r="X525" s="995"/>
      <c r="Y525" s="995"/>
      <c r="Z525" s="995"/>
      <c r="AA525" s="995"/>
      <c r="AB525" s="995"/>
      <c r="AC525" s="995"/>
      <c r="AD525" s="995"/>
      <c r="AE525" s="995"/>
      <c r="AF525" s="995"/>
      <c r="AG525" s="995"/>
      <c r="AH525" s="995"/>
      <c r="AI525" s="995"/>
      <c r="AJ525" s="995"/>
      <c r="AK525" s="995"/>
      <c r="AL525" s="995"/>
      <c r="AM525" s="995"/>
      <c r="AN525" s="995"/>
      <c r="AO525" s="995"/>
      <c r="AP525" s="995"/>
      <c r="AQ525" s="995"/>
      <c r="AR525" s="995"/>
      <c r="AS525" s="995"/>
      <c r="AT525" s="995"/>
      <c r="AU525" s="995"/>
      <c r="AV525" s="995"/>
      <c r="AW525" s="995"/>
      <c r="AX525" s="995"/>
    </row>
    <row r="526" spans="1:50" s="1201" customFormat="1" ht="15.5" hidden="1" x14ac:dyDescent="0.35">
      <c r="A526" s="995">
        <v>14</v>
      </c>
      <c r="B526" s="1147" t="s">
        <v>584</v>
      </c>
      <c r="C526" s="1147">
        <v>400</v>
      </c>
      <c r="D526" s="1147">
        <v>2</v>
      </c>
      <c r="E526" s="1147">
        <v>8</v>
      </c>
      <c r="F526" s="1147">
        <v>0.63</v>
      </c>
      <c r="G526" s="1151">
        <v>0.5</v>
      </c>
      <c r="H526" s="1152">
        <f>D526*F526*G526*3.7</f>
        <v>2.331</v>
      </c>
      <c r="I526" s="1152">
        <f>E526*F526*G526*3.7</f>
        <v>9.3239999999999998</v>
      </c>
      <c r="J526" s="995"/>
      <c r="K526" s="995"/>
      <c r="L526" s="995"/>
      <c r="M526" s="995"/>
      <c r="N526" s="995"/>
      <c r="O526" s="995"/>
      <c r="P526" s="995"/>
      <c r="Q526" s="995"/>
      <c r="R526" s="995"/>
      <c r="S526" s="995"/>
      <c r="T526" s="995"/>
      <c r="U526" s="995"/>
      <c r="V526" s="995"/>
      <c r="W526" s="995"/>
      <c r="X526" s="995"/>
      <c r="Y526" s="995"/>
      <c r="Z526" s="995"/>
      <c r="AA526" s="995"/>
      <c r="AB526" s="995"/>
      <c r="AC526" s="995"/>
      <c r="AD526" s="995"/>
      <c r="AE526" s="995"/>
      <c r="AF526" s="995"/>
      <c r="AG526" s="995"/>
      <c r="AH526" s="995"/>
      <c r="AI526" s="995"/>
      <c r="AJ526" s="995"/>
      <c r="AK526" s="995"/>
      <c r="AL526" s="995"/>
      <c r="AM526" s="995"/>
      <c r="AN526" s="995"/>
      <c r="AO526" s="995"/>
      <c r="AP526" s="995"/>
      <c r="AQ526" s="995"/>
      <c r="AR526" s="995"/>
      <c r="AS526" s="995"/>
      <c r="AT526" s="995"/>
      <c r="AU526" s="995"/>
      <c r="AV526" s="995"/>
      <c r="AW526" s="995"/>
      <c r="AX526" s="995"/>
    </row>
    <row r="527" spans="1:50" s="1201" customFormat="1" ht="15.5" hidden="1" x14ac:dyDescent="0.35">
      <c r="A527" s="1201">
        <v>15</v>
      </c>
      <c r="B527" s="1147" t="s">
        <v>585</v>
      </c>
      <c r="C527" s="1147">
        <v>500</v>
      </c>
      <c r="D527" s="1147">
        <v>2</v>
      </c>
      <c r="E527" s="1147">
        <v>8</v>
      </c>
      <c r="F527" s="1147">
        <v>0.63</v>
      </c>
      <c r="G527" s="1151">
        <v>0.5</v>
      </c>
      <c r="H527" s="1152">
        <f>D527*F527*G527*3.7</f>
        <v>2.331</v>
      </c>
      <c r="I527" s="1152">
        <f>E527*F527*G527*3.7</f>
        <v>9.3239999999999998</v>
      </c>
      <c r="J527" s="995"/>
      <c r="K527" s="995"/>
      <c r="L527" s="995"/>
      <c r="M527" s="995"/>
      <c r="N527" s="995"/>
      <c r="O527" s="995"/>
      <c r="P527" s="995"/>
      <c r="Q527" s="995"/>
      <c r="R527" s="995"/>
      <c r="S527" s="995"/>
      <c r="T527" s="995"/>
      <c r="U527" s="995"/>
      <c r="V527" s="995"/>
      <c r="W527" s="995"/>
      <c r="X527" s="995"/>
      <c r="Y527" s="995"/>
      <c r="Z527" s="995"/>
      <c r="AA527" s="995"/>
      <c r="AB527" s="995"/>
      <c r="AC527" s="995"/>
      <c r="AD527" s="995"/>
      <c r="AE527" s="995"/>
      <c r="AF527" s="995"/>
      <c r="AG527" s="995"/>
      <c r="AH527" s="995"/>
      <c r="AI527" s="995"/>
      <c r="AJ527" s="995"/>
      <c r="AK527" s="995"/>
      <c r="AL527" s="995"/>
      <c r="AM527" s="995"/>
      <c r="AN527" s="995"/>
      <c r="AO527" s="995"/>
      <c r="AP527" s="995"/>
      <c r="AQ527" s="995"/>
      <c r="AR527" s="995"/>
      <c r="AS527" s="995"/>
      <c r="AT527" s="995"/>
      <c r="AU527" s="995"/>
      <c r="AV527" s="995"/>
      <c r="AW527" s="995"/>
      <c r="AX527" s="995"/>
    </row>
    <row r="528" spans="1:50" s="1201" customFormat="1" ht="15.5" hidden="1" x14ac:dyDescent="0.35">
      <c r="A528" s="995" t="s">
        <v>228</v>
      </c>
      <c r="B528" s="1147" t="e">
        <f>VLOOKUP($C$76,$B$513:$I$527,1,FALSE)</f>
        <v>#N/A</v>
      </c>
      <c r="C528" s="1147" t="e">
        <f>VLOOKUP($C$76,$B$513:$I$527,2,FALSE)</f>
        <v>#N/A</v>
      </c>
      <c r="D528" s="1147" t="e">
        <f>VLOOKUP($C$76,$B$513:$I$527,3,FALSE)</f>
        <v>#N/A</v>
      </c>
      <c r="E528" s="1147" t="e">
        <f>VLOOKUP($C$76,$B$513:$I$527,4,FALSE)</f>
        <v>#N/A</v>
      </c>
      <c r="F528" s="1147" t="e">
        <f>VLOOKUP($C$76,$B$513:$I$527,5,FALSE)</f>
        <v>#N/A</v>
      </c>
      <c r="G528" s="1147" t="e">
        <f>VLOOKUP($C$76,$B$513:$I$527,6,FALSE)</f>
        <v>#N/A</v>
      </c>
      <c r="H528" s="1147" t="e">
        <f>VLOOKUP($C$76,$B$513:$I$527,7,FALSE)</f>
        <v>#N/A</v>
      </c>
      <c r="I528" s="1147" t="e">
        <f>VLOOKUP($C$76,$B$513:$I$527,8,FALSE)</f>
        <v>#N/A</v>
      </c>
      <c r="J528" s="995"/>
      <c r="K528" s="995"/>
      <c r="L528" s="995"/>
      <c r="M528" s="995"/>
      <c r="N528" s="995"/>
      <c r="O528" s="995"/>
      <c r="P528" s="995"/>
      <c r="Q528" s="995"/>
      <c r="R528" s="995"/>
      <c r="S528" s="995"/>
      <c r="T528" s="995"/>
      <c r="U528" s="995"/>
      <c r="V528" s="995"/>
      <c r="W528" s="995"/>
      <c r="X528" s="995"/>
      <c r="Y528" s="995"/>
      <c r="Z528" s="995"/>
      <c r="AA528" s="995"/>
      <c r="AB528" s="995"/>
      <c r="AC528" s="995"/>
      <c r="AD528" s="995"/>
      <c r="AE528" s="995"/>
      <c r="AF528" s="995"/>
      <c r="AG528" s="995"/>
      <c r="AH528" s="995"/>
      <c r="AI528" s="995"/>
      <c r="AJ528" s="995"/>
      <c r="AK528" s="995"/>
      <c r="AL528" s="995"/>
      <c r="AM528" s="995"/>
      <c r="AN528" s="995"/>
      <c r="AO528" s="995"/>
      <c r="AP528" s="995"/>
      <c r="AQ528" s="995"/>
      <c r="AR528" s="995"/>
      <c r="AS528" s="995"/>
      <c r="AT528" s="995"/>
      <c r="AU528" s="995"/>
      <c r="AV528" s="995"/>
      <c r="AW528" s="995"/>
      <c r="AX528" s="995"/>
    </row>
    <row r="529" spans="1:50" s="1201" customFormat="1" ht="15.5" hidden="1" x14ac:dyDescent="0.35">
      <c r="A529" s="995"/>
      <c r="B529" s="1147"/>
      <c r="C529" s="1147"/>
      <c r="D529" s="1147"/>
      <c r="E529" s="1147"/>
      <c r="F529" s="1147"/>
      <c r="G529" s="1147"/>
      <c r="H529" s="1147"/>
      <c r="I529" s="1147"/>
      <c r="J529" s="995"/>
      <c r="K529" s="995"/>
      <c r="L529" s="995"/>
      <c r="M529" s="995"/>
      <c r="N529" s="995"/>
      <c r="O529" s="995"/>
      <c r="P529" s="995"/>
      <c r="Q529" s="995"/>
      <c r="R529" s="995"/>
      <c r="S529" s="995"/>
      <c r="T529" s="995"/>
      <c r="U529" s="995"/>
      <c r="V529" s="995"/>
      <c r="W529" s="995"/>
      <c r="X529" s="995"/>
      <c r="Y529" s="995"/>
      <c r="Z529" s="995"/>
      <c r="AA529" s="995"/>
      <c r="AB529" s="995"/>
      <c r="AC529" s="995"/>
      <c r="AD529" s="995"/>
      <c r="AE529" s="995"/>
      <c r="AF529" s="995"/>
      <c r="AG529" s="995"/>
      <c r="AH529" s="995"/>
      <c r="AI529" s="995"/>
      <c r="AJ529" s="995"/>
      <c r="AK529" s="995"/>
      <c r="AL529" s="995"/>
      <c r="AM529" s="995"/>
      <c r="AN529" s="995"/>
      <c r="AO529" s="995"/>
      <c r="AP529" s="995"/>
      <c r="AQ529" s="995"/>
      <c r="AR529" s="995"/>
      <c r="AS529" s="995"/>
      <c r="AT529" s="995"/>
      <c r="AU529" s="995"/>
      <c r="AV529" s="995"/>
      <c r="AW529" s="995"/>
      <c r="AX529" s="995"/>
    </row>
    <row r="530" spans="1:50" s="1201" customFormat="1" ht="15.5" hidden="1" x14ac:dyDescent="0.35">
      <c r="B530" s="1147" t="s">
        <v>586</v>
      </c>
      <c r="C530" s="1147" t="s">
        <v>572</v>
      </c>
      <c r="D530" s="1147"/>
      <c r="E530" s="2642" t="s">
        <v>419</v>
      </c>
      <c r="F530" s="2642"/>
      <c r="G530" s="1190" t="s">
        <v>1030</v>
      </c>
      <c r="H530" s="1147">
        <f>S199</f>
        <v>3</v>
      </c>
      <c r="I530" s="1147"/>
      <c r="J530" s="995"/>
      <c r="K530" s="995"/>
      <c r="L530" s="995"/>
      <c r="M530" s="995"/>
      <c r="N530" s="995"/>
      <c r="O530" s="995"/>
      <c r="P530" s="995"/>
      <c r="Q530" s="995"/>
      <c r="R530" s="995"/>
      <c r="S530" s="995"/>
      <c r="T530" s="995"/>
      <c r="U530" s="995"/>
      <c r="V530" s="995"/>
      <c r="W530" s="995"/>
      <c r="X530" s="995"/>
      <c r="Y530" s="995"/>
      <c r="Z530" s="995"/>
      <c r="AA530" s="995"/>
      <c r="AB530" s="995"/>
      <c r="AC530" s="995"/>
      <c r="AD530" s="995"/>
      <c r="AE530" s="995"/>
      <c r="AF530" s="995"/>
      <c r="AG530" s="995"/>
      <c r="AH530" s="995"/>
      <c r="AI530" s="995"/>
      <c r="AJ530" s="995"/>
      <c r="AK530" s="995"/>
      <c r="AL530" s="995"/>
      <c r="AM530" s="995"/>
      <c r="AN530" s="995"/>
      <c r="AO530" s="995"/>
      <c r="AP530" s="995"/>
      <c r="AQ530" s="995"/>
      <c r="AR530" s="995"/>
      <c r="AS530" s="995"/>
      <c r="AT530" s="995"/>
      <c r="AU530" s="995"/>
      <c r="AV530" s="995"/>
      <c r="AW530" s="995"/>
      <c r="AX530" s="995"/>
    </row>
    <row r="531" spans="1:50" s="1201" customFormat="1" ht="15.5" hidden="1" x14ac:dyDescent="0.35">
      <c r="A531" s="995">
        <v>1</v>
      </c>
      <c r="B531" s="1147" t="s">
        <v>587</v>
      </c>
      <c r="C531" s="1153" t="e">
        <f>IF(B534="High (&gt;700)",F531,FALSE)</f>
        <v>#N/A</v>
      </c>
      <c r="D531" s="1147"/>
      <c r="E531" s="1147" t="e">
        <f>H528</f>
        <v>#N/A</v>
      </c>
      <c r="F531" s="1147" t="e">
        <f>I528</f>
        <v>#N/A</v>
      </c>
      <c r="G531" s="1190"/>
      <c r="H531" s="1147"/>
      <c r="I531" s="1147"/>
      <c r="J531" s="995"/>
      <c r="K531" s="995"/>
      <c r="L531" s="995"/>
      <c r="M531" s="995"/>
      <c r="N531" s="995"/>
      <c r="O531" s="995"/>
      <c r="P531" s="995"/>
      <c r="Q531" s="995"/>
      <c r="R531" s="995"/>
      <c r="S531" s="995"/>
      <c r="T531" s="995"/>
      <c r="U531" s="995"/>
      <c r="V531" s="995"/>
      <c r="W531" s="995"/>
      <c r="X531" s="995"/>
      <c r="Y531" s="995"/>
      <c r="Z531" s="995"/>
      <c r="AA531" s="995"/>
      <c r="AB531" s="995"/>
      <c r="AC531" s="995"/>
      <c r="AD531" s="995"/>
      <c r="AE531" s="995"/>
      <c r="AF531" s="995"/>
      <c r="AG531" s="995"/>
      <c r="AH531" s="995"/>
      <c r="AI531" s="995"/>
      <c r="AJ531" s="995"/>
      <c r="AK531" s="995"/>
      <c r="AL531" s="995"/>
      <c r="AM531" s="995"/>
      <c r="AN531" s="995"/>
      <c r="AO531" s="995"/>
      <c r="AP531" s="995"/>
      <c r="AQ531" s="995"/>
      <c r="AR531" s="995"/>
      <c r="AS531" s="995"/>
      <c r="AT531" s="995"/>
      <c r="AU531" s="995"/>
      <c r="AV531" s="995"/>
      <c r="AW531" s="995"/>
      <c r="AX531" s="995"/>
    </row>
    <row r="532" spans="1:50" s="1201" customFormat="1" ht="15.5" hidden="1" x14ac:dyDescent="0.35">
      <c r="A532" s="995">
        <v>2</v>
      </c>
      <c r="B532" s="1147" t="s">
        <v>588</v>
      </c>
      <c r="C532" s="1147" t="e">
        <f>IF(B534="Med (500 - 700)",AVERAGE(E531:F531),FALSE)</f>
        <v>#N/A</v>
      </c>
      <c r="D532" s="1147"/>
      <c r="E532" s="1147"/>
      <c r="F532" s="1147"/>
      <c r="G532" s="1190" t="s">
        <v>910</v>
      </c>
      <c r="H532" s="1147">
        <f>D74</f>
        <v>0</v>
      </c>
      <c r="I532" s="1147"/>
      <c r="J532" s="995"/>
      <c r="K532" s="995"/>
      <c r="L532" s="995"/>
      <c r="M532" s="995"/>
      <c r="N532" s="995"/>
      <c r="O532" s="995"/>
      <c r="P532" s="995"/>
      <c r="Q532" s="995"/>
      <c r="R532" s="995"/>
      <c r="S532" s="995"/>
      <c r="T532" s="995"/>
      <c r="U532" s="995"/>
      <c r="V532" s="995"/>
      <c r="W532" s="995"/>
      <c r="X532" s="995"/>
      <c r="Y532" s="995"/>
      <c r="Z532" s="995"/>
      <c r="AA532" s="995"/>
      <c r="AB532" s="995"/>
      <c r="AC532" s="995"/>
      <c r="AD532" s="995"/>
      <c r="AE532" s="995"/>
      <c r="AF532" s="995"/>
      <c r="AG532" s="995"/>
      <c r="AH532" s="995"/>
      <c r="AI532" s="995"/>
      <c r="AJ532" s="995"/>
      <c r="AK532" s="995"/>
      <c r="AL532" s="995"/>
      <c r="AM532" s="995"/>
      <c r="AN532" s="995"/>
      <c r="AO532" s="995"/>
      <c r="AP532" s="995"/>
      <c r="AQ532" s="995"/>
      <c r="AR532" s="995"/>
      <c r="AS532" s="995"/>
      <c r="AT532" s="995"/>
      <c r="AU532" s="995"/>
      <c r="AV532" s="995"/>
      <c r="AW532" s="995"/>
      <c r="AX532" s="995"/>
    </row>
    <row r="533" spans="1:50" s="1201" customFormat="1" ht="15.5" hidden="1" x14ac:dyDescent="0.35">
      <c r="A533" s="995">
        <v>3</v>
      </c>
      <c r="B533" s="1147" t="s">
        <v>589</v>
      </c>
      <c r="C533" s="1147" t="e">
        <f>IF(B534="Low (&lt;500)",E531,FALSE)</f>
        <v>#N/A</v>
      </c>
      <c r="D533" s="1147"/>
      <c r="E533" s="1147"/>
      <c r="F533" s="1147"/>
      <c r="G533" s="1147"/>
      <c r="H533" s="1147"/>
      <c r="I533" s="1147"/>
      <c r="J533" s="995"/>
      <c r="K533" s="995"/>
      <c r="L533" s="995"/>
      <c r="M533" s="995"/>
      <c r="N533" s="995"/>
      <c r="O533" s="995"/>
      <c r="P533" s="995"/>
      <c r="Q533" s="995"/>
      <c r="R533" s="995"/>
      <c r="S533" s="995"/>
      <c r="T533" s="995"/>
      <c r="U533" s="995"/>
      <c r="V533" s="995"/>
      <c r="W533" s="995"/>
      <c r="X533" s="995"/>
      <c r="Y533" s="995"/>
      <c r="Z533" s="995"/>
      <c r="AA533" s="995"/>
      <c r="AB533" s="995"/>
      <c r="AC533" s="995"/>
      <c r="AD533" s="995"/>
      <c r="AE533" s="995"/>
      <c r="AF533" s="995"/>
      <c r="AG533" s="995"/>
      <c r="AH533" s="995"/>
      <c r="AI533" s="995"/>
      <c r="AJ533" s="995"/>
      <c r="AK533" s="995"/>
      <c r="AL533" s="995"/>
      <c r="AM533" s="995"/>
      <c r="AN533" s="995"/>
      <c r="AO533" s="995"/>
      <c r="AP533" s="995"/>
      <c r="AQ533" s="995"/>
      <c r="AR533" s="995"/>
      <c r="AS533" s="995"/>
      <c r="AT533" s="995"/>
      <c r="AU533" s="995"/>
      <c r="AV533" s="995"/>
      <c r="AW533" s="995"/>
      <c r="AX533" s="995"/>
    </row>
    <row r="534" spans="1:50" s="1201" customFormat="1" ht="15.5" hidden="1" x14ac:dyDescent="0.35">
      <c r="A534" s="995" t="s">
        <v>228</v>
      </c>
      <c r="B534" s="2512" t="e">
        <f>VLOOKUP($H$76,B531:B533,1,FALSE)</f>
        <v>#N/A</v>
      </c>
      <c r="C534" s="2512"/>
      <c r="D534" s="2512"/>
      <c r="E534" s="1312" t="s">
        <v>797</v>
      </c>
      <c r="F534" s="2512"/>
      <c r="G534" s="1311" t="e">
        <f>IF(H530=1,0,IF(H530=3,AVERAGE(C531:C533),H532))</f>
        <v>#N/A</v>
      </c>
      <c r="H534" s="2512"/>
      <c r="I534" s="2512"/>
      <c r="J534" s="995"/>
      <c r="K534" s="995"/>
      <c r="L534" s="995"/>
      <c r="M534" s="995"/>
      <c r="N534" s="995"/>
      <c r="O534" s="995"/>
      <c r="P534" s="995"/>
      <c r="Q534" s="995"/>
      <c r="R534" s="995"/>
      <c r="S534" s="995"/>
      <c r="T534" s="995"/>
      <c r="U534" s="995"/>
      <c r="V534" s="995"/>
      <c r="W534" s="995"/>
      <c r="X534" s="995"/>
      <c r="Y534" s="995"/>
      <c r="Z534" s="995"/>
      <c r="AA534" s="995"/>
      <c r="AB534" s="995"/>
      <c r="AC534" s="995"/>
      <c r="AD534" s="995"/>
      <c r="AE534" s="995"/>
      <c r="AF534" s="995"/>
      <c r="AG534" s="995"/>
      <c r="AH534" s="995"/>
      <c r="AI534" s="995"/>
      <c r="AJ534" s="995"/>
      <c r="AK534" s="995"/>
      <c r="AL534" s="995"/>
      <c r="AM534" s="995"/>
      <c r="AN534" s="995"/>
      <c r="AO534" s="995"/>
      <c r="AP534" s="995"/>
      <c r="AQ534" s="995"/>
      <c r="AR534" s="995"/>
      <c r="AS534" s="995"/>
      <c r="AT534" s="995"/>
      <c r="AU534" s="995"/>
      <c r="AV534" s="995"/>
      <c r="AW534" s="995"/>
      <c r="AX534" s="995"/>
    </row>
    <row r="535" spans="1:50" s="1201" customFormat="1" ht="15.5" hidden="1" x14ac:dyDescent="0.35">
      <c r="A535" s="995"/>
      <c r="B535" s="1154"/>
      <c r="C535" s="995"/>
      <c r="D535" s="995"/>
      <c r="E535" s="995"/>
      <c r="F535" s="995"/>
      <c r="G535" s="995"/>
      <c r="H535" s="995"/>
      <c r="I535" s="995"/>
      <c r="J535" s="995"/>
      <c r="K535" s="995"/>
      <c r="L535" s="995"/>
      <c r="M535" s="995"/>
      <c r="N535" s="995"/>
      <c r="O535" s="995"/>
      <c r="P535" s="995"/>
      <c r="Q535" s="995"/>
      <c r="R535" s="995"/>
      <c r="S535" s="995"/>
      <c r="T535" s="995"/>
      <c r="U535" s="995"/>
      <c r="V535" s="995"/>
      <c r="W535" s="995"/>
      <c r="X535" s="995"/>
      <c r="Y535" s="995"/>
      <c r="Z535" s="995"/>
      <c r="AA535" s="995"/>
      <c r="AB535" s="995"/>
      <c r="AC535" s="995"/>
      <c r="AD535" s="995"/>
      <c r="AE535" s="995"/>
      <c r="AF535" s="995"/>
      <c r="AG535" s="995"/>
      <c r="AH535" s="995"/>
      <c r="AI535" s="995"/>
      <c r="AJ535" s="995"/>
      <c r="AK535" s="995"/>
      <c r="AL535" s="995"/>
      <c r="AM535" s="995"/>
      <c r="AN535" s="995"/>
      <c r="AO535" s="995"/>
      <c r="AP535" s="995"/>
      <c r="AQ535" s="995"/>
      <c r="AR535" s="995"/>
      <c r="AS535" s="995"/>
      <c r="AT535" s="995"/>
      <c r="AU535" s="995"/>
      <c r="AV535" s="995"/>
      <c r="AW535" s="995"/>
      <c r="AX535" s="995"/>
    </row>
    <row r="536" spans="1:50" s="1201" customFormat="1" ht="15.5" hidden="1" x14ac:dyDescent="0.35">
      <c r="A536" s="996"/>
      <c r="B536" s="995"/>
      <c r="C536" s="995"/>
      <c r="D536" s="995"/>
      <c r="E536" s="995"/>
      <c r="F536" s="995"/>
      <c r="G536" s="995"/>
      <c r="H536" s="995"/>
      <c r="I536" s="995"/>
      <c r="J536" s="995"/>
      <c r="K536" s="995"/>
      <c r="L536" s="995"/>
      <c r="M536" s="995"/>
      <c r="N536" s="995"/>
      <c r="O536" s="995"/>
      <c r="P536" s="995"/>
      <c r="Q536" s="995"/>
      <c r="R536" s="995"/>
      <c r="S536" s="995"/>
      <c r="T536" s="995"/>
      <c r="U536" s="995"/>
      <c r="V536" s="995"/>
      <c r="W536" s="995"/>
      <c r="X536" s="995"/>
      <c r="Y536" s="995"/>
      <c r="Z536" s="995"/>
      <c r="AA536" s="995"/>
      <c r="AB536" s="995"/>
      <c r="AC536" s="995"/>
      <c r="AD536" s="995"/>
      <c r="AE536" s="995"/>
      <c r="AF536" s="995"/>
      <c r="AG536" s="995"/>
      <c r="AH536" s="995"/>
      <c r="AI536" s="995"/>
      <c r="AJ536" s="995"/>
      <c r="AK536" s="995"/>
      <c r="AL536" s="995"/>
      <c r="AM536" s="995"/>
      <c r="AN536" s="995"/>
      <c r="AO536" s="995"/>
      <c r="AP536" s="995"/>
      <c r="AQ536" s="995"/>
      <c r="AR536" s="995"/>
      <c r="AS536" s="995"/>
      <c r="AT536" s="995"/>
      <c r="AU536" s="995"/>
      <c r="AV536" s="995"/>
      <c r="AW536" s="995"/>
      <c r="AX536" s="995"/>
    </row>
    <row r="537" spans="1:50" s="1201" customFormat="1" ht="17.5" hidden="1" x14ac:dyDescent="0.35">
      <c r="A537" s="1052"/>
      <c r="B537" s="1155" t="s">
        <v>590</v>
      </c>
      <c r="C537" s="996"/>
      <c r="D537" s="996"/>
      <c r="E537" s="996"/>
      <c r="F537" s="996"/>
      <c r="G537" s="996"/>
      <c r="H537" s="996"/>
      <c r="I537" s="995"/>
      <c r="J537" s="995"/>
      <c r="K537" s="995"/>
      <c r="L537" s="995"/>
      <c r="M537" s="995"/>
      <c r="N537" s="995"/>
      <c r="O537" s="995"/>
      <c r="P537" s="995"/>
      <c r="Q537" s="995"/>
      <c r="R537" s="995"/>
      <c r="S537" s="995"/>
      <c r="T537" s="995"/>
      <c r="U537" s="995"/>
      <c r="V537" s="995"/>
      <c r="W537" s="995"/>
      <c r="X537" s="995"/>
      <c r="Y537" s="995"/>
      <c r="Z537" s="995"/>
      <c r="AA537" s="995"/>
      <c r="AB537" s="995"/>
      <c r="AC537" s="995"/>
      <c r="AD537" s="995"/>
      <c r="AE537" s="995"/>
      <c r="AF537" s="995"/>
      <c r="AG537" s="995"/>
      <c r="AH537" s="995"/>
      <c r="AI537" s="995"/>
      <c r="AJ537" s="995"/>
      <c r="AK537" s="995"/>
      <c r="AL537" s="995"/>
      <c r="AM537" s="995"/>
      <c r="AN537" s="995"/>
      <c r="AO537" s="995"/>
      <c r="AP537" s="995"/>
      <c r="AQ537" s="995"/>
      <c r="AR537" s="995"/>
      <c r="AS537" s="995"/>
      <c r="AT537" s="995"/>
      <c r="AU537" s="995"/>
      <c r="AV537" s="995"/>
      <c r="AW537" s="995"/>
      <c r="AX537" s="995"/>
    </row>
    <row r="538" spans="1:50" s="1201" customFormat="1" ht="15.5" hidden="1" x14ac:dyDescent="0.35">
      <c r="A538" s="1052"/>
      <c r="B538" s="996"/>
      <c r="C538" s="996"/>
      <c r="D538" s="996"/>
      <c r="E538" s="996"/>
      <c r="F538" s="996"/>
      <c r="G538" s="996"/>
      <c r="H538" s="996"/>
      <c r="I538" s="995"/>
      <c r="J538" s="995"/>
      <c r="K538" s="995"/>
      <c r="L538" s="995"/>
      <c r="M538" s="995"/>
      <c r="N538" s="995"/>
      <c r="O538" s="995"/>
      <c r="P538" s="995"/>
      <c r="Q538" s="995"/>
      <c r="R538" s="995"/>
      <c r="S538" s="995"/>
      <c r="T538" s="995"/>
      <c r="U538" s="995"/>
      <c r="V538" s="995"/>
      <c r="W538" s="995"/>
      <c r="X538" s="995"/>
      <c r="Y538" s="995"/>
      <c r="Z538" s="995"/>
      <c r="AA538" s="995"/>
      <c r="AB538" s="995"/>
      <c r="AC538" s="995"/>
      <c r="AD538" s="995"/>
      <c r="AE538" s="995"/>
      <c r="AF538" s="995"/>
      <c r="AG538" s="995"/>
      <c r="AH538" s="995"/>
      <c r="AI538" s="995"/>
      <c r="AJ538" s="995"/>
      <c r="AK538" s="995"/>
      <c r="AL538" s="995"/>
      <c r="AM538" s="995"/>
      <c r="AN538" s="995"/>
      <c r="AO538" s="995"/>
      <c r="AP538" s="995"/>
      <c r="AQ538" s="995"/>
      <c r="AR538" s="995"/>
      <c r="AS538" s="995"/>
      <c r="AT538" s="995"/>
      <c r="AU538" s="995"/>
      <c r="AV538" s="995"/>
      <c r="AW538" s="995"/>
      <c r="AX538" s="995"/>
    </row>
    <row r="539" spans="1:50" s="1201" customFormat="1" ht="15.5" hidden="1" x14ac:dyDescent="0.35">
      <c r="A539" s="1052"/>
      <c r="B539" s="1156" t="s">
        <v>245</v>
      </c>
      <c r="C539" s="1157"/>
      <c r="D539" s="1157"/>
      <c r="E539" s="1157"/>
      <c r="F539" s="1156" t="s">
        <v>215</v>
      </c>
      <c r="G539" s="1157"/>
      <c r="H539" s="1156"/>
      <c r="I539" s="995"/>
      <c r="AH539" s="995"/>
      <c r="AI539" s="995"/>
      <c r="AJ539" s="995"/>
      <c r="AK539" s="995"/>
      <c r="AL539" s="995"/>
      <c r="AM539" s="995"/>
      <c r="AN539" s="995"/>
      <c r="AO539" s="995"/>
      <c r="AP539" s="995"/>
      <c r="AQ539" s="995"/>
      <c r="AR539" s="995"/>
      <c r="AS539" s="995"/>
      <c r="AT539" s="995"/>
      <c r="AU539" s="995"/>
      <c r="AV539" s="995"/>
      <c r="AW539" s="995"/>
      <c r="AX539" s="995"/>
    </row>
    <row r="540" spans="1:50" s="1201" customFormat="1" ht="15.5" hidden="1" x14ac:dyDescent="0.35">
      <c r="A540" s="1052"/>
      <c r="B540" s="1158" t="s">
        <v>591</v>
      </c>
      <c r="C540" s="1158">
        <f>C61/1</f>
        <v>0</v>
      </c>
      <c r="D540" s="1158"/>
      <c r="E540" s="1158"/>
      <c r="F540" s="1158" t="s">
        <v>592</v>
      </c>
      <c r="G540" s="1158"/>
      <c r="H540" s="1158"/>
    </row>
    <row r="541" spans="1:50" s="1201" customFormat="1" ht="15.5" hidden="1" x14ac:dyDescent="0.35">
      <c r="A541" s="1052"/>
      <c r="B541" s="1158" t="s">
        <v>593</v>
      </c>
      <c r="C541" s="1158">
        <v>38.6</v>
      </c>
      <c r="D541" s="1158"/>
      <c r="E541" s="1158"/>
      <c r="F541" s="1158" t="s">
        <v>594</v>
      </c>
      <c r="G541" s="1158"/>
      <c r="H541" s="1158"/>
    </row>
    <row r="542" spans="1:50" s="1201" customFormat="1" ht="15.5" hidden="1" x14ac:dyDescent="0.35">
      <c r="A542" s="1052"/>
      <c r="B542" s="1158" t="s">
        <v>595</v>
      </c>
      <c r="C542" s="1158">
        <v>99</v>
      </c>
      <c r="D542" s="1158"/>
      <c r="E542" s="1158"/>
      <c r="F542" s="1158" t="s">
        <v>222</v>
      </c>
      <c r="G542" s="1158"/>
      <c r="H542" s="1158"/>
    </row>
    <row r="543" spans="1:50" s="1201" customFormat="1" ht="15.5" hidden="1" x14ac:dyDescent="0.35">
      <c r="A543" s="1052"/>
      <c r="B543" s="1158" t="s">
        <v>596</v>
      </c>
      <c r="C543" s="1158">
        <v>69.900000000000006</v>
      </c>
      <c r="D543" s="1158"/>
      <c r="E543" s="1158"/>
      <c r="F543" s="1158" t="s">
        <v>597</v>
      </c>
      <c r="G543" s="1158"/>
      <c r="H543" s="1158"/>
    </row>
    <row r="544" spans="1:50" s="1201" customFormat="1" ht="15.5" hidden="1" x14ac:dyDescent="0.35">
      <c r="A544" s="1052"/>
      <c r="B544" s="1158" t="s">
        <v>598</v>
      </c>
      <c r="C544" s="1158">
        <f>C60</f>
        <v>0</v>
      </c>
      <c r="D544" s="1158"/>
      <c r="E544" s="1158"/>
      <c r="F544" s="1158" t="s">
        <v>599</v>
      </c>
      <c r="G544" s="1158"/>
      <c r="H544" s="1158"/>
    </row>
    <row r="545" spans="1:8" s="1201" customFormat="1" ht="15.5" hidden="1" x14ac:dyDescent="0.35">
      <c r="A545" s="1052"/>
      <c r="B545" s="1158" t="s">
        <v>600</v>
      </c>
      <c r="C545" s="1158">
        <f>E583</f>
        <v>1.4E-3</v>
      </c>
      <c r="D545" s="1158"/>
      <c r="E545" s="1158"/>
      <c r="F545" s="1159" t="s">
        <v>601</v>
      </c>
      <c r="G545" s="1158"/>
      <c r="H545" s="1158"/>
    </row>
    <row r="546" spans="1:8" s="1201" customFormat="1" ht="15.5" hidden="1" x14ac:dyDescent="0.35">
      <c r="A546" s="1052"/>
      <c r="B546" s="1313"/>
      <c r="C546" s="1313"/>
      <c r="D546" s="1313"/>
      <c r="E546" s="1313"/>
      <c r="F546" s="1313"/>
      <c r="G546" s="1313"/>
      <c r="H546" s="1158"/>
    </row>
    <row r="547" spans="1:8" s="1201" customFormat="1" ht="15.5" hidden="1" x14ac:dyDescent="0.35">
      <c r="A547" s="1052"/>
      <c r="B547" s="1314"/>
      <c r="C547" s="1314"/>
      <c r="D547" s="1314"/>
      <c r="E547" s="1314"/>
      <c r="F547" s="1314"/>
      <c r="G547" s="1314"/>
      <c r="H547" s="1158"/>
    </row>
    <row r="548" spans="1:8" s="1201" customFormat="1" ht="15.5" hidden="1" x14ac:dyDescent="0.35">
      <c r="A548" s="1052"/>
      <c r="B548" s="1160" t="s">
        <v>602</v>
      </c>
      <c r="C548" s="1160" t="s">
        <v>603</v>
      </c>
      <c r="D548" s="1158"/>
      <c r="E548" s="1158"/>
      <c r="F548" s="1158"/>
      <c r="G548" s="1158"/>
      <c r="H548" s="1158"/>
    </row>
    <row r="549" spans="1:8" s="1201" customFormat="1" ht="15.5" hidden="1" x14ac:dyDescent="0.35">
      <c r="A549" s="1052"/>
      <c r="B549" s="1160"/>
      <c r="C549" s="1158" t="s">
        <v>604</v>
      </c>
      <c r="D549" s="1158"/>
      <c r="E549" s="1158"/>
      <c r="F549" s="1158"/>
      <c r="G549" s="1158"/>
      <c r="H549" s="1158"/>
    </row>
    <row r="550" spans="1:8" s="1201" customFormat="1" ht="15.5" hidden="1" x14ac:dyDescent="0.35">
      <c r="A550" s="1052"/>
      <c r="B550" s="1160"/>
      <c r="C550" s="1158" t="s">
        <v>605</v>
      </c>
      <c r="D550" s="1158"/>
      <c r="E550" s="1158"/>
      <c r="F550" s="1158"/>
      <c r="G550" s="1158"/>
      <c r="H550" s="1158"/>
    </row>
    <row r="551" spans="1:8" s="1201" customFormat="1" ht="15.5" hidden="1" x14ac:dyDescent="0.35">
      <c r="A551" s="1052"/>
      <c r="B551" s="1160"/>
      <c r="C551" s="1158" t="s">
        <v>606</v>
      </c>
      <c r="D551" s="1158"/>
      <c r="E551" s="1158"/>
      <c r="F551" s="1158"/>
      <c r="G551" s="1158"/>
      <c r="H551" s="1158"/>
    </row>
    <row r="552" spans="1:8" s="1201" customFormat="1" ht="15.5" hidden="1" x14ac:dyDescent="0.35">
      <c r="A552" s="1052"/>
      <c r="B552" s="1160"/>
      <c r="C552" s="1158" t="s">
        <v>314</v>
      </c>
      <c r="D552" s="1158"/>
      <c r="E552" s="1158"/>
      <c r="F552" s="1158"/>
      <c r="G552" s="1158"/>
      <c r="H552" s="1158"/>
    </row>
    <row r="553" spans="1:8" s="1201" customFormat="1" ht="15.5" hidden="1" x14ac:dyDescent="0.35">
      <c r="A553" s="1052"/>
      <c r="B553" s="1160"/>
      <c r="C553" s="1158"/>
      <c r="D553" s="1158"/>
      <c r="E553" s="1158"/>
      <c r="F553" s="1158"/>
      <c r="G553" s="1158"/>
      <c r="H553" s="1158"/>
    </row>
    <row r="554" spans="1:8" s="1201" customFormat="1" ht="15.5" hidden="1" x14ac:dyDescent="0.35">
      <c r="A554" s="1052"/>
      <c r="B554" s="1158"/>
      <c r="C554" s="1161">
        <f>$C$540*$C$541*$C$542%*$C$543*10^-6</f>
        <v>0</v>
      </c>
      <c r="D554" s="1158"/>
      <c r="E554" s="1158"/>
      <c r="F554" s="1158" t="s">
        <v>607</v>
      </c>
      <c r="G554" s="1158"/>
      <c r="H554" s="1158"/>
    </row>
    <row r="555" spans="1:8" s="1201" customFormat="1" ht="15.5" hidden="1" x14ac:dyDescent="0.35">
      <c r="A555" s="1052"/>
      <c r="B555" s="1158"/>
      <c r="C555" s="1158"/>
      <c r="D555" s="1158"/>
      <c r="E555" s="1158"/>
      <c r="F555" s="1158"/>
      <c r="G555" s="1158"/>
      <c r="H555" s="1158"/>
    </row>
    <row r="556" spans="1:8" s="1201" customFormat="1" ht="15.5" hidden="1" x14ac:dyDescent="0.35">
      <c r="A556" s="1052"/>
      <c r="B556" s="1162" t="s">
        <v>608</v>
      </c>
      <c r="C556" s="1157"/>
      <c r="D556" s="1157"/>
      <c r="E556" s="1157"/>
      <c r="F556" s="1157" t="s">
        <v>609</v>
      </c>
      <c r="G556" s="1157"/>
      <c r="H556" s="1163"/>
    </row>
    <row r="557" spans="1:8" s="1201" customFormat="1" ht="15.5" hidden="1" x14ac:dyDescent="0.35">
      <c r="A557" s="1052"/>
      <c r="B557" s="1164"/>
      <c r="C557" s="1165" t="s">
        <v>610</v>
      </c>
      <c r="D557" s="1165" t="s">
        <v>611</v>
      </c>
      <c r="E557" s="1165" t="s">
        <v>612</v>
      </c>
      <c r="F557" s="1165" t="s">
        <v>613</v>
      </c>
      <c r="G557" s="1165" t="s">
        <v>614</v>
      </c>
      <c r="H557" s="1166" t="s">
        <v>615</v>
      </c>
    </row>
    <row r="558" spans="1:8" s="1201" customFormat="1" ht="15.5" hidden="1" x14ac:dyDescent="0.35">
      <c r="A558" s="1052"/>
      <c r="B558" s="1167"/>
      <c r="C558" s="1315">
        <v>0.01</v>
      </c>
      <c r="D558" s="1315">
        <v>2E-3</v>
      </c>
      <c r="E558" s="1315">
        <v>1.36</v>
      </c>
      <c r="F558" s="1315">
        <v>0.54100000000000004</v>
      </c>
      <c r="G558" s="1315">
        <v>0.189</v>
      </c>
      <c r="H558" s="1168">
        <v>0.11600000000000001</v>
      </c>
    </row>
    <row r="559" spans="1:8" s="1201" customFormat="1" ht="15.5" hidden="1" x14ac:dyDescent="0.35">
      <c r="A559" s="1052"/>
      <c r="B559" s="1159"/>
      <c r="C559" s="1165"/>
      <c r="D559" s="1165"/>
      <c r="E559" s="1165"/>
      <c r="F559" s="1165"/>
      <c r="G559" s="1165"/>
      <c r="H559" s="1165"/>
    </row>
    <row r="560" spans="1:8" s="1201" customFormat="1" ht="15.5" hidden="1" x14ac:dyDescent="0.35">
      <c r="A560" s="996"/>
      <c r="B560" s="1160" t="s">
        <v>616</v>
      </c>
      <c r="C560" s="1158"/>
      <c r="D560" s="1158"/>
      <c r="E560" s="1158"/>
      <c r="F560" s="1158" t="s">
        <v>617</v>
      </c>
      <c r="G560" s="1158"/>
      <c r="H560" s="1158"/>
    </row>
    <row r="561" spans="1:8" s="1201" customFormat="1" ht="15.5" hidden="1" x14ac:dyDescent="0.35">
      <c r="A561" s="996"/>
      <c r="B561" s="1158"/>
      <c r="C561" s="1169">
        <f t="shared" ref="C561:H561" si="53">$C$540*$C$541*$C$542%*C558*10^-6</f>
        <v>0</v>
      </c>
      <c r="D561" s="1169">
        <f t="shared" si="53"/>
        <v>0</v>
      </c>
      <c r="E561" s="1169">
        <f t="shared" si="53"/>
        <v>0</v>
      </c>
      <c r="F561" s="1169">
        <f t="shared" si="53"/>
        <v>0</v>
      </c>
      <c r="G561" s="1169">
        <f t="shared" si="53"/>
        <v>0</v>
      </c>
      <c r="H561" s="1169">
        <f t="shared" si="53"/>
        <v>0</v>
      </c>
    </row>
    <row r="562" spans="1:8" s="1201" customFormat="1" ht="15.5" hidden="1" x14ac:dyDescent="0.35">
      <c r="A562" s="996"/>
      <c r="B562" s="1160" t="s">
        <v>618</v>
      </c>
      <c r="C562" s="1161">
        <f>C554+C561+D561+E561+F561+G561+H561</f>
        <v>0</v>
      </c>
      <c r="D562" s="1169"/>
      <c r="E562" s="1169"/>
      <c r="F562" s="1169" t="s">
        <v>617</v>
      </c>
      <c r="G562" s="1169"/>
      <c r="H562" s="1169"/>
    </row>
    <row r="563" spans="1:8" s="1201" customFormat="1" ht="15.5" hidden="1" x14ac:dyDescent="0.35">
      <c r="A563" s="996"/>
      <c r="B563" s="1160" t="s">
        <v>847</v>
      </c>
      <c r="C563" s="1161">
        <f>C540/1000*0.611</f>
        <v>0</v>
      </c>
      <c r="D563" s="1169"/>
      <c r="E563" s="1169"/>
      <c r="F563" s="1169"/>
      <c r="G563" s="1169"/>
      <c r="H563" s="1169"/>
    </row>
    <row r="564" spans="1:8" s="1201" customFormat="1" ht="15.5" hidden="1" x14ac:dyDescent="0.35">
      <c r="A564" s="996"/>
      <c r="B564" s="1158"/>
      <c r="C564" s="1169"/>
      <c r="D564" s="1169"/>
      <c r="E564" s="1169"/>
      <c r="F564" s="1169"/>
      <c r="G564" s="1169"/>
      <c r="H564" s="1169"/>
    </row>
    <row r="565" spans="1:8" s="1201" customFormat="1" ht="15.5" hidden="1" x14ac:dyDescent="0.35">
      <c r="A565" s="996"/>
      <c r="B565" s="1160" t="s">
        <v>619</v>
      </c>
      <c r="C565" s="1170" t="s">
        <v>620</v>
      </c>
      <c r="D565" s="1169"/>
      <c r="E565" s="1169"/>
      <c r="F565" s="1169"/>
      <c r="G565" s="1171"/>
      <c r="H565" s="1171"/>
    </row>
    <row r="566" spans="1:8" s="1201" customFormat="1" ht="15.5" hidden="1" x14ac:dyDescent="0.35">
      <c r="A566" s="996"/>
      <c r="B566" s="1158"/>
      <c r="C566" s="1169" t="s">
        <v>621</v>
      </c>
      <c r="D566" s="1169"/>
      <c r="E566" s="1169"/>
      <c r="F566" s="1169"/>
      <c r="G566" s="1171"/>
      <c r="H566" s="1171"/>
    </row>
    <row r="567" spans="1:8" s="1201" customFormat="1" ht="15.5" hidden="1" x14ac:dyDescent="0.35">
      <c r="A567" s="996"/>
      <c r="B567" s="1158"/>
      <c r="C567" s="1169" t="s">
        <v>622</v>
      </c>
      <c r="D567" s="1169"/>
      <c r="E567" s="1169"/>
      <c r="F567" s="1169"/>
      <c r="G567" s="1171"/>
      <c r="H567" s="1171"/>
    </row>
    <row r="568" spans="1:8" s="1201" customFormat="1" ht="15.5" hidden="1" x14ac:dyDescent="0.35">
      <c r="A568" s="996"/>
      <c r="B568" s="1158"/>
      <c r="C568" s="1169"/>
      <c r="D568" s="1169"/>
      <c r="E568" s="1169"/>
      <c r="F568" s="1169"/>
      <c r="G568" s="1171"/>
      <c r="H568" s="1171"/>
    </row>
    <row r="569" spans="1:8" s="1201" customFormat="1" ht="15.5" hidden="1" x14ac:dyDescent="0.35">
      <c r="A569" s="996"/>
      <c r="B569" s="1158"/>
      <c r="C569" s="1161">
        <f>C544*C545</f>
        <v>0</v>
      </c>
      <c r="D569" s="1169"/>
      <c r="E569" s="1746"/>
      <c r="F569" s="1169" t="s">
        <v>617</v>
      </c>
      <c r="G569" s="1746"/>
      <c r="H569" s="1171"/>
    </row>
    <row r="570" spans="1:8" s="1201" customFormat="1" ht="15.5" hidden="1" x14ac:dyDescent="0.35">
      <c r="A570" s="996"/>
      <c r="B570" s="1158"/>
      <c r="C570" s="1161"/>
      <c r="D570" s="1169"/>
      <c r="E570" s="1746"/>
      <c r="F570" s="1169"/>
      <c r="G570" s="1746"/>
      <c r="H570" s="1171"/>
    </row>
    <row r="571" spans="1:8" s="1201" customFormat="1" ht="15.5" hidden="1" x14ac:dyDescent="0.35">
      <c r="A571" s="996"/>
      <c r="B571" s="1160" t="s">
        <v>623</v>
      </c>
      <c r="C571" s="1161">
        <f>C562+C569</f>
        <v>0</v>
      </c>
      <c r="D571" s="1169"/>
      <c r="E571" s="1746"/>
      <c r="F571" s="1169" t="s">
        <v>617</v>
      </c>
      <c r="G571" s="1746"/>
      <c r="H571" s="1171"/>
    </row>
    <row r="572" spans="1:8" s="1201" customFormat="1" ht="15.5" hidden="1" x14ac:dyDescent="0.35">
      <c r="A572" s="996"/>
      <c r="B572" s="1158"/>
      <c r="C572" s="1169"/>
      <c r="D572" s="1169"/>
      <c r="E572" s="1169"/>
      <c r="F572" s="1169"/>
      <c r="G572" s="1171"/>
      <c r="H572" s="1171"/>
    </row>
    <row r="573" spans="1:8" s="1201" customFormat="1" ht="15.5" hidden="1" x14ac:dyDescent="0.35">
      <c r="A573" s="996"/>
      <c r="B573" s="1172" t="s">
        <v>624</v>
      </c>
      <c r="C573" s="1157"/>
      <c r="D573" s="1157"/>
      <c r="E573" s="1163"/>
      <c r="F573" s="1169"/>
      <c r="G573" s="1171"/>
      <c r="H573" s="1171"/>
    </row>
    <row r="574" spans="1:8" s="1201" customFormat="1" ht="15.5" hidden="1" x14ac:dyDescent="0.35">
      <c r="B574" s="1173" t="s">
        <v>625</v>
      </c>
      <c r="C574" s="1316" t="s">
        <v>626</v>
      </c>
      <c r="D574" s="1316" t="s">
        <v>627</v>
      </c>
      <c r="E574" s="1174" t="s">
        <v>628</v>
      </c>
      <c r="F574" s="1169"/>
      <c r="G574" s="1171"/>
      <c r="H574" s="1171"/>
    </row>
    <row r="575" spans="1:8" s="1201" customFormat="1" ht="15.5" hidden="1" x14ac:dyDescent="0.35">
      <c r="A575" s="996">
        <v>1</v>
      </c>
      <c r="B575" s="1175" t="s">
        <v>629</v>
      </c>
      <c r="C575" s="1176">
        <v>30</v>
      </c>
      <c r="D575" s="1176">
        <v>1000</v>
      </c>
      <c r="E575" s="1177">
        <f>D575*10^-6</f>
        <v>1E-3</v>
      </c>
      <c r="F575" s="1169"/>
      <c r="G575" s="2643"/>
      <c r="H575" s="2644"/>
    </row>
    <row r="576" spans="1:8" s="1201" customFormat="1" ht="15.5" hidden="1" x14ac:dyDescent="0.35">
      <c r="A576" s="996">
        <v>2</v>
      </c>
      <c r="B576" s="1175" t="s">
        <v>630</v>
      </c>
      <c r="C576" s="1176">
        <v>25</v>
      </c>
      <c r="D576" s="1176">
        <v>1400</v>
      </c>
      <c r="E576" s="1177">
        <f>D576*10^-6</f>
        <v>1.4E-3</v>
      </c>
      <c r="F576" s="1169"/>
      <c r="G576" s="1171"/>
      <c r="H576" s="1171"/>
    </row>
    <row r="577" spans="1:8" s="1201" customFormat="1" ht="15.5" hidden="1" x14ac:dyDescent="0.35">
      <c r="A577" s="996">
        <v>3</v>
      </c>
      <c r="B577" s="1175" t="s">
        <v>717</v>
      </c>
      <c r="C577" s="1176">
        <v>30</v>
      </c>
      <c r="D577" s="1176">
        <v>1080</v>
      </c>
      <c r="E577" s="1177">
        <f t="shared" ref="E577:E582" si="54">D577*10^-6</f>
        <v>1.08E-3</v>
      </c>
      <c r="F577" s="1169"/>
      <c r="G577" s="1171"/>
      <c r="H577" s="1171"/>
    </row>
    <row r="578" spans="1:8" s="1201" customFormat="1" ht="15.5" hidden="1" x14ac:dyDescent="0.35">
      <c r="A578" s="996">
        <v>4</v>
      </c>
      <c r="B578" s="1175" t="s">
        <v>631</v>
      </c>
      <c r="C578" s="1178">
        <v>5.9</v>
      </c>
      <c r="D578" s="1178">
        <v>510</v>
      </c>
      <c r="E578" s="1179">
        <f t="shared" si="54"/>
        <v>5.0999999999999993E-4</v>
      </c>
      <c r="F578" s="1169"/>
      <c r="G578" s="1171"/>
      <c r="H578" s="1171"/>
    </row>
    <row r="579" spans="1:8" s="1201" customFormat="1" ht="15.5" hidden="1" x14ac:dyDescent="0.35">
      <c r="A579" s="996">
        <v>5</v>
      </c>
      <c r="B579" s="1175" t="s">
        <v>632</v>
      </c>
      <c r="C579" s="1178">
        <v>37.549999999999997</v>
      </c>
      <c r="D579" s="1178">
        <v>494</v>
      </c>
      <c r="E579" s="1179">
        <f t="shared" si="54"/>
        <v>4.9399999999999997E-4</v>
      </c>
      <c r="F579" s="1169"/>
      <c r="G579" s="1171"/>
      <c r="H579" s="1171"/>
    </row>
    <row r="580" spans="1:8" s="1201" customFormat="1" ht="15.5" hidden="1" x14ac:dyDescent="0.35">
      <c r="A580" s="996">
        <v>6</v>
      </c>
      <c r="B580" s="1175" t="s">
        <v>633</v>
      </c>
      <c r="C580" s="1178">
        <v>37</v>
      </c>
      <c r="D580" s="1178">
        <v>681</v>
      </c>
      <c r="E580" s="1179">
        <f t="shared" si="54"/>
        <v>6.8099999999999996E-4</v>
      </c>
      <c r="F580" s="1169"/>
      <c r="G580" s="1171"/>
      <c r="H580" s="1171"/>
    </row>
    <row r="581" spans="1:8" s="1201" customFormat="1" ht="15.5" hidden="1" x14ac:dyDescent="0.35">
      <c r="A581" s="996">
        <v>7</v>
      </c>
      <c r="B581" s="1175" t="s">
        <v>634</v>
      </c>
      <c r="C581" s="1178">
        <v>83.8</v>
      </c>
      <c r="D581" s="1178">
        <v>314</v>
      </c>
      <c r="E581" s="1179">
        <f t="shared" si="54"/>
        <v>3.1399999999999999E-4</v>
      </c>
      <c r="F581" s="1169"/>
      <c r="G581" s="1171"/>
      <c r="H581" s="1171"/>
    </row>
    <row r="582" spans="1:8" s="1201" customFormat="1" ht="15.5" hidden="1" x14ac:dyDescent="0.35">
      <c r="A582" s="996">
        <v>8</v>
      </c>
      <c r="B582" s="1175" t="s">
        <v>635</v>
      </c>
      <c r="C582" s="1159"/>
      <c r="D582" s="1178">
        <v>0</v>
      </c>
      <c r="E582" s="1179">
        <f t="shared" si="54"/>
        <v>0</v>
      </c>
      <c r="F582" s="1171"/>
      <c r="G582" s="1171"/>
      <c r="H582" s="1171"/>
    </row>
    <row r="583" spans="1:8" s="1201" customFormat="1" ht="15.5" hidden="1" x14ac:dyDescent="0.35">
      <c r="A583" s="1201" t="s">
        <v>228</v>
      </c>
      <c r="B583" s="1317" t="str">
        <f>VLOOKUP($G$60,$B$575:$E$582,1,FALSE)</f>
        <v xml:space="preserve">Brown Coal-Victorian </v>
      </c>
      <c r="C583" s="1317">
        <f>VLOOKUP($G$60,$B$575:$E$582,2,FALSE)</f>
        <v>25</v>
      </c>
      <c r="D583" s="1317">
        <f>VLOOKUP($G$60,$B$575:$E$582,3,FALSE)</f>
        <v>1400</v>
      </c>
      <c r="E583" s="1180">
        <f>VLOOKUP($G$60,$B$575:$E$582,4,FALSE)</f>
        <v>1.4E-3</v>
      </c>
      <c r="F583" s="2513"/>
      <c r="G583" s="2513"/>
      <c r="H583" s="2513"/>
    </row>
    <row r="584" spans="1:8" s="1201" customFormat="1" ht="14" hidden="1" x14ac:dyDescent="0.3"/>
    <row r="585" spans="1:8" s="1201" customFormat="1" ht="14" hidden="1" x14ac:dyDescent="0.3"/>
    <row r="586" spans="1:8" s="1201" customFormat="1" ht="17.5" hidden="1" x14ac:dyDescent="0.35">
      <c r="B586" s="1272" t="s">
        <v>837</v>
      </c>
    </row>
    <row r="587" spans="1:8" s="1201" customFormat="1" ht="14" hidden="1" x14ac:dyDescent="0.3"/>
    <row r="588" spans="1:8" s="1201" customFormat="1" ht="15.5" hidden="1" x14ac:dyDescent="0.35">
      <c r="B588" s="1199" t="s">
        <v>830</v>
      </c>
      <c r="C588" s="1199" t="s">
        <v>839</v>
      </c>
      <c r="D588" s="1199" t="s">
        <v>318</v>
      </c>
      <c r="E588" s="1199" t="s">
        <v>832</v>
      </c>
    </row>
    <row r="589" spans="1:8" s="1201" customFormat="1" ht="15.5" hidden="1" x14ac:dyDescent="0.35">
      <c r="B589" s="1199" t="s">
        <v>831</v>
      </c>
      <c r="C589" s="1199">
        <f>C63</f>
        <v>0</v>
      </c>
      <c r="D589" s="1199">
        <v>0.25</v>
      </c>
      <c r="E589" s="1199">
        <f>C589*D589</f>
        <v>0</v>
      </c>
    </row>
    <row r="590" spans="1:8" s="1201" customFormat="1" ht="15.5" hidden="1" x14ac:dyDescent="0.35">
      <c r="B590" s="1199" t="s">
        <v>833</v>
      </c>
      <c r="C590" s="1199">
        <f>G63</f>
        <v>0</v>
      </c>
      <c r="D590" s="1199">
        <v>0.2</v>
      </c>
      <c r="E590" s="1199">
        <f t="shared" ref="E590:E594" si="55">C590*D590</f>
        <v>0</v>
      </c>
    </row>
    <row r="591" spans="1:8" s="1201" customFormat="1" ht="15.5" hidden="1" x14ac:dyDescent="0.35">
      <c r="B591" s="1199" t="s">
        <v>834</v>
      </c>
      <c r="C591" s="1199">
        <f>C65</f>
        <v>0</v>
      </c>
      <c r="D591" s="1199">
        <v>0.25</v>
      </c>
      <c r="E591" s="1199">
        <f t="shared" si="55"/>
        <v>0</v>
      </c>
    </row>
    <row r="592" spans="1:8" s="1201" customFormat="1" ht="15.5" hidden="1" x14ac:dyDescent="0.35">
      <c r="B592" s="1199" t="s">
        <v>835</v>
      </c>
      <c r="C592" s="1199">
        <f>G65</f>
        <v>0</v>
      </c>
      <c r="D592" s="1199">
        <v>0.25</v>
      </c>
      <c r="E592" s="1199">
        <f t="shared" si="55"/>
        <v>0</v>
      </c>
    </row>
    <row r="593" spans="2:5" s="1201" customFormat="1" ht="15.5" hidden="1" x14ac:dyDescent="0.35">
      <c r="B593" s="1199" t="s">
        <v>836</v>
      </c>
      <c r="C593" s="1199">
        <f>C67</f>
        <v>0</v>
      </c>
      <c r="D593" s="1199">
        <v>0.3</v>
      </c>
      <c r="E593" s="1199">
        <f t="shared" si="55"/>
        <v>0</v>
      </c>
    </row>
    <row r="594" spans="2:5" s="1201" customFormat="1" ht="15.5" hidden="1" x14ac:dyDescent="0.35">
      <c r="B594" s="1199" t="s">
        <v>811</v>
      </c>
      <c r="C594" s="1199">
        <f>G67</f>
        <v>0</v>
      </c>
      <c r="D594" s="1199">
        <v>0</v>
      </c>
      <c r="E594" s="1199">
        <f t="shared" si="55"/>
        <v>0</v>
      </c>
    </row>
    <row r="595" spans="2:5" s="1201" customFormat="1" ht="15.5" hidden="1" x14ac:dyDescent="0.35">
      <c r="B595" s="1199" t="s">
        <v>223</v>
      </c>
      <c r="C595" s="1199"/>
      <c r="D595" s="1199"/>
      <c r="E595" s="1199">
        <f>SUM(E589:E594)</f>
        <v>0</v>
      </c>
    </row>
    <row r="596" spans="2:5" s="1201" customFormat="1" ht="15.5" hidden="1" x14ac:dyDescent="0.35">
      <c r="B596" s="1199"/>
      <c r="C596" s="1199"/>
      <c r="D596" s="1199"/>
      <c r="E596" s="1199"/>
    </row>
    <row r="597" spans="2:5" s="1201" customFormat="1" ht="15.5" hidden="1" x14ac:dyDescent="0.35">
      <c r="B597" s="1199" t="s">
        <v>840</v>
      </c>
      <c r="C597" s="1199">
        <f>(SUM(D336:D337)*10^3)</f>
        <v>0</v>
      </c>
      <c r="D597" s="1199">
        <v>0.89100000000000001</v>
      </c>
      <c r="E597" s="1278">
        <f>C597/0.46*D597</f>
        <v>0</v>
      </c>
    </row>
    <row r="598" spans="2:5" s="1201" customFormat="1" ht="15.5" hidden="1" x14ac:dyDescent="0.35">
      <c r="B598" s="1199" t="s">
        <v>841</v>
      </c>
      <c r="C598" s="1199">
        <f>IF($T$192="1",((E56*$C$56)+(E57*$C$57))/1000,(E56+E57))</f>
        <v>0</v>
      </c>
      <c r="D598" s="1199">
        <v>0.83399999999999996</v>
      </c>
      <c r="E598" s="1278">
        <f>C598/0.18*D598</f>
        <v>0</v>
      </c>
    </row>
    <row r="599" spans="2:5" s="1201" customFormat="1" ht="15.5" hidden="1" x14ac:dyDescent="0.35">
      <c r="B599" s="1199" t="s">
        <v>842</v>
      </c>
      <c r="C599" s="1199">
        <f>IF($T$192="1",((F56*$C$56)+(F57*$C$57))/1000,(F56+F57))</f>
        <v>0</v>
      </c>
      <c r="D599" s="1199">
        <v>0.13100000000000001</v>
      </c>
      <c r="E599" s="1278">
        <f>C599/0.5*D599</f>
        <v>0</v>
      </c>
    </row>
    <row r="600" spans="2:5" s="1201" customFormat="1" ht="15.5" hidden="1" x14ac:dyDescent="0.35">
      <c r="B600" s="1199" t="s">
        <v>843</v>
      </c>
      <c r="C600" s="1199">
        <f>IF($T$192="1",((G56*$C$56)+(G57*$C$57))/1000,(G56+G57))</f>
        <v>0</v>
      </c>
      <c r="D600" s="1199">
        <v>0.83399999999999996</v>
      </c>
      <c r="E600" s="450">
        <f>C600/0.18*D600</f>
        <v>0</v>
      </c>
    </row>
    <row r="601" spans="2:5" s="1201" customFormat="1" ht="15.5" hidden="1" x14ac:dyDescent="0.35">
      <c r="B601" s="1199" t="s">
        <v>838</v>
      </c>
      <c r="C601" s="1199">
        <f>IF($T$192="1",((H56*$C$56)+(H57*$C$57))/1000,(H56+H57))</f>
        <v>0</v>
      </c>
      <c r="D601" s="1199">
        <v>1.9E-2</v>
      </c>
      <c r="E601" s="1278">
        <f>C601*D601</f>
        <v>0</v>
      </c>
    </row>
    <row r="602" spans="2:5" s="1201" customFormat="1" ht="15.5" hidden="1" x14ac:dyDescent="0.35">
      <c r="B602" s="1199" t="s">
        <v>223</v>
      </c>
      <c r="C602" s="1199"/>
      <c r="D602" s="1199"/>
      <c r="E602" s="1278">
        <f>IF(E598&gt;E600,E598,E600)+E597+E599+E601</f>
        <v>0</v>
      </c>
    </row>
    <row r="603" spans="2:5" s="1201" customFormat="1" ht="14" hidden="1" x14ac:dyDescent="0.3"/>
    <row r="604" spans="2:5" s="1201" customFormat="1" ht="14" hidden="1" x14ac:dyDescent="0.3"/>
    <row r="605" spans="2:5" s="1201" customFormat="1" ht="14" hidden="1" x14ac:dyDescent="0.3"/>
    <row r="606" spans="2:5" s="1201" customFormat="1" ht="14" hidden="1" x14ac:dyDescent="0.3"/>
    <row r="607" spans="2:5" s="1201" customFormat="1" ht="14" hidden="1" x14ac:dyDescent="0.3"/>
    <row r="608" spans="2:5" s="1201" customFormat="1" ht="14" hidden="1" x14ac:dyDescent="0.3"/>
    <row r="609" s="1201" customFormat="1" ht="14" hidden="1" x14ac:dyDescent="0.3"/>
    <row r="610" s="1201" customFormat="1" ht="14" hidden="1" x14ac:dyDescent="0.3"/>
    <row r="611" s="1201" customFormat="1" ht="14" hidden="1" x14ac:dyDescent="0.3"/>
    <row r="612" s="1201" customFormat="1" ht="14" hidden="1" x14ac:dyDescent="0.3"/>
    <row r="613" s="1201" customFormat="1" ht="14" hidden="1" x14ac:dyDescent="0.3"/>
    <row r="614" s="1201" customFormat="1" ht="14" hidden="1" x14ac:dyDescent="0.3"/>
    <row r="615" s="1201" customFormat="1" ht="14" hidden="1" x14ac:dyDescent="0.3"/>
    <row r="616" s="1201" customFormat="1" ht="14" hidden="1" x14ac:dyDescent="0.3"/>
    <row r="617" s="1201" customFormat="1" ht="14" hidden="1" x14ac:dyDescent="0.3"/>
    <row r="618" s="1201" customFormat="1" ht="14" hidden="1" x14ac:dyDescent="0.3"/>
    <row r="619" s="1201" customFormat="1" ht="14" hidden="1" x14ac:dyDescent="0.3"/>
    <row r="620" s="1201" customFormat="1" ht="14" hidden="1" x14ac:dyDescent="0.3"/>
    <row r="621" s="1201" customFormat="1" ht="14" hidden="1" x14ac:dyDescent="0.3"/>
    <row r="622" s="1201" customFormat="1" ht="14" hidden="1" x14ac:dyDescent="0.3"/>
    <row r="623" s="1201" customFormat="1" ht="14" hidden="1" x14ac:dyDescent="0.3"/>
    <row r="624" s="1201" customFormat="1" ht="14" hidden="1" x14ac:dyDescent="0.3"/>
    <row r="625" s="1201" customFormat="1" ht="14" hidden="1" x14ac:dyDescent="0.3"/>
    <row r="626" s="1201" customFormat="1" ht="14" hidden="1" x14ac:dyDescent="0.3"/>
    <row r="627" s="1201" customFormat="1" ht="14" hidden="1" x14ac:dyDescent="0.3"/>
    <row r="628" s="1201" customFormat="1" ht="14" hidden="1" x14ac:dyDescent="0.3"/>
    <row r="629" s="1201" customFormat="1" ht="14" hidden="1" x14ac:dyDescent="0.3"/>
    <row r="630" s="1201" customFormat="1" ht="14" hidden="1" x14ac:dyDescent="0.3"/>
    <row r="631" s="1201" customFormat="1" ht="14" hidden="1" x14ac:dyDescent="0.3"/>
    <row r="632" s="1201" customFormat="1" ht="14" hidden="1" x14ac:dyDescent="0.3"/>
    <row r="633" s="1201" customFormat="1" ht="14" hidden="1" x14ac:dyDescent="0.3"/>
    <row r="634" s="1201" customFormat="1" ht="14" hidden="1" x14ac:dyDescent="0.3"/>
    <row r="635" s="1201" customFormat="1" ht="14" hidden="1" x14ac:dyDescent="0.3"/>
    <row r="636" s="1201" customFormat="1" ht="14" hidden="1" x14ac:dyDescent="0.3"/>
    <row r="637" s="1201" customFormat="1" ht="14" hidden="1" x14ac:dyDescent="0.3"/>
    <row r="638" s="1201" customFormat="1" ht="14" hidden="1" x14ac:dyDescent="0.3"/>
    <row r="639" s="1201" customFormat="1" ht="14" hidden="1" x14ac:dyDescent="0.3"/>
    <row r="640" s="1201" customFormat="1" ht="14" hidden="1" x14ac:dyDescent="0.3"/>
    <row r="641" s="1201" customFormat="1" ht="14" hidden="1" x14ac:dyDescent="0.3"/>
    <row r="642" s="1201" customFormat="1" ht="14" hidden="1" x14ac:dyDescent="0.3"/>
    <row r="643" s="1201" customFormat="1" ht="14" hidden="1" x14ac:dyDescent="0.3"/>
    <row r="644" s="1201" customFormat="1" ht="14" hidden="1" x14ac:dyDescent="0.3"/>
    <row r="645" s="1201" customFormat="1" ht="14" hidden="1" x14ac:dyDescent="0.3"/>
    <row r="646" s="1201" customFormat="1" ht="14" hidden="1" x14ac:dyDescent="0.3"/>
    <row r="647" s="1201" customFormat="1" ht="14" hidden="1" x14ac:dyDescent="0.3"/>
    <row r="648" s="1201" customFormat="1" ht="14" hidden="1" x14ac:dyDescent="0.3"/>
    <row r="649" s="1201" customFormat="1" ht="14" hidden="1" x14ac:dyDescent="0.3"/>
    <row r="650" s="1201" customFormat="1" ht="14" hidden="1" x14ac:dyDescent="0.3"/>
    <row r="651" s="1201" customFormat="1" ht="14" hidden="1" x14ac:dyDescent="0.3"/>
    <row r="652" s="1201" customFormat="1" ht="14" hidden="1" x14ac:dyDescent="0.3"/>
    <row r="653" s="1201" customFormat="1" ht="14" hidden="1" x14ac:dyDescent="0.3"/>
    <row r="654" s="1201" customFormat="1" ht="14" hidden="1" x14ac:dyDescent="0.3"/>
    <row r="655" s="1201" customFormat="1" ht="14" hidden="1" x14ac:dyDescent="0.3"/>
    <row r="656" s="1201" customFormat="1" ht="14" hidden="1" x14ac:dyDescent="0.3"/>
    <row r="657" s="1201" customFormat="1" ht="14" hidden="1" x14ac:dyDescent="0.3"/>
    <row r="658" s="1201" customFormat="1" ht="14" hidden="1" x14ac:dyDescent="0.3"/>
    <row r="659" s="1201" customFormat="1" ht="14" hidden="1" x14ac:dyDescent="0.3"/>
    <row r="660" s="1201" customFormat="1" ht="14" hidden="1" x14ac:dyDescent="0.3"/>
    <row r="661" s="1201" customFormat="1" ht="14" hidden="1" x14ac:dyDescent="0.3"/>
    <row r="662" s="1201" customFormat="1" ht="14" hidden="1" x14ac:dyDescent="0.3"/>
    <row r="663" s="1201" customFormat="1" ht="14" hidden="1" x14ac:dyDescent="0.3"/>
    <row r="664" s="1201" customFormat="1" ht="14" hidden="1" x14ac:dyDescent="0.3"/>
    <row r="665" s="1201" customFormat="1" ht="14" hidden="1" x14ac:dyDescent="0.3"/>
    <row r="666" s="1201" customFormat="1" ht="14" hidden="1" x14ac:dyDescent="0.3"/>
    <row r="667" s="1201" customFormat="1" ht="14" hidden="1" x14ac:dyDescent="0.3"/>
    <row r="668" s="1201" customFormat="1" ht="14" hidden="1" x14ac:dyDescent="0.3"/>
    <row r="669" s="1201" customFormat="1" ht="14" hidden="1" x14ac:dyDescent="0.3"/>
    <row r="670" s="1201" customFormat="1" ht="14" hidden="1" x14ac:dyDescent="0.3"/>
    <row r="671" s="1201" customFormat="1" ht="14" hidden="1" x14ac:dyDescent="0.3"/>
    <row r="672" s="1201" customFormat="1" ht="14" hidden="1" x14ac:dyDescent="0.3"/>
    <row r="673" s="1201" customFormat="1" ht="14" hidden="1" x14ac:dyDescent="0.3"/>
    <row r="674" s="1201" customFormat="1" ht="14" hidden="1" x14ac:dyDescent="0.3"/>
    <row r="675" s="1201" customFormat="1" ht="14" hidden="1" x14ac:dyDescent="0.3"/>
  </sheetData>
  <sheetProtection algorithmName="SHA-512" hashValue="DtZc+49Vf8V7gpWKZEYNdubetSaKZeyELaA3LkYA45XdGsD1izHzGyEDGpaM2zkezrU93qlpNAgrzo5Jsc2cAg==" saltValue="rby3dVAeYQlTz/dn2Gkiaw==" spinCount="100000" sheet="1" objects="1" scenarios="1"/>
  <mergeCells count="71">
    <mergeCell ref="E530:F530"/>
    <mergeCell ref="G575:H575"/>
    <mergeCell ref="H109:H110"/>
    <mergeCell ref="J109:J110"/>
    <mergeCell ref="K109:K110"/>
    <mergeCell ref="L109:L110"/>
    <mergeCell ref="D512:E512"/>
    <mergeCell ref="F512:G512"/>
    <mergeCell ref="H512:I512"/>
    <mergeCell ref="F105:G105"/>
    <mergeCell ref="I109:I110"/>
    <mergeCell ref="B109:C109"/>
    <mergeCell ref="D109:D110"/>
    <mergeCell ref="E109:E110"/>
    <mergeCell ref="F109:F110"/>
    <mergeCell ref="G109:G110"/>
    <mergeCell ref="C76:D76"/>
    <mergeCell ref="C79:E79"/>
    <mergeCell ref="F79:G79"/>
    <mergeCell ref="B80:B81"/>
    <mergeCell ref="B85:I87"/>
    <mergeCell ref="F100:G100"/>
    <mergeCell ref="E63:F63"/>
    <mergeCell ref="G63:H63"/>
    <mergeCell ref="E65:F65"/>
    <mergeCell ref="G65:H65"/>
    <mergeCell ref="G67:H67"/>
    <mergeCell ref="C70:D70"/>
    <mergeCell ref="C47:D47"/>
    <mergeCell ref="G47:I47"/>
    <mergeCell ref="E48:F48"/>
    <mergeCell ref="H48:I49"/>
    <mergeCell ref="E60:F60"/>
    <mergeCell ref="G60:H60"/>
    <mergeCell ref="D40:E40"/>
    <mergeCell ref="F40:G40"/>
    <mergeCell ref="H40:I40"/>
    <mergeCell ref="B41:B42"/>
    <mergeCell ref="D41:E41"/>
    <mergeCell ref="F41:G41"/>
    <mergeCell ref="H41:I41"/>
    <mergeCell ref="D42:E42"/>
    <mergeCell ref="F42:G42"/>
    <mergeCell ref="H42:I42"/>
    <mergeCell ref="F32:G32"/>
    <mergeCell ref="F34:G34"/>
    <mergeCell ref="D35:E35"/>
    <mergeCell ref="F35:G35"/>
    <mergeCell ref="H35:I35"/>
    <mergeCell ref="B2:H5"/>
    <mergeCell ref="D10:F10"/>
    <mergeCell ref="D12:F12"/>
    <mergeCell ref="D30:E30"/>
    <mergeCell ref="F30:G30"/>
    <mergeCell ref="F14:G14"/>
    <mergeCell ref="S198:T198"/>
    <mergeCell ref="C72:D72"/>
    <mergeCell ref="F70:G70"/>
    <mergeCell ref="C74:D74"/>
    <mergeCell ref="D36:E36"/>
    <mergeCell ref="F36:G36"/>
    <mergeCell ref="H36:I36"/>
    <mergeCell ref="D37:E37"/>
    <mergeCell ref="F37:G37"/>
    <mergeCell ref="H37:I37"/>
    <mergeCell ref="D38:E38"/>
    <mergeCell ref="F38:G38"/>
    <mergeCell ref="H38:I38"/>
    <mergeCell ref="D39:E39"/>
    <mergeCell ref="F39:G39"/>
    <mergeCell ref="H39:I39"/>
  </mergeCells>
  <conditionalFormatting sqref="K137">
    <cfRule type="cellIs" dxfId="11" priority="4" operator="greaterThan">
      <formula>0</formula>
    </cfRule>
    <cfRule type="cellIs" dxfId="10" priority="6" operator="lessThan">
      <formula>0</formula>
    </cfRule>
  </conditionalFormatting>
  <conditionalFormatting sqref="K138">
    <cfRule type="cellIs" dxfId="9" priority="3" operator="greaterThan">
      <formula>0</formula>
    </cfRule>
    <cfRule type="cellIs" dxfId="8" priority="5" operator="lessThan">
      <formula>0</formula>
    </cfRule>
  </conditionalFormatting>
  <conditionalFormatting sqref="H70">
    <cfRule type="expression" dxfId="7" priority="1">
      <formula>$U$253=3</formula>
    </cfRule>
  </conditionalFormatting>
  <dataValidations count="10">
    <dataValidation type="decimal" allowBlank="1" showInputMessage="1" showErrorMessage="1" sqref="D36:I41" xr:uid="{00000000-0002-0000-0A00-000000000000}">
      <formula1>0</formula1>
      <formula2>30</formula2>
    </dataValidation>
    <dataValidation type="list" allowBlank="1" showInputMessage="1" showErrorMessage="1" sqref="D30:E30" xr:uid="{00000000-0002-0000-0A00-000001000000}">
      <formula1>Milk.production</formula1>
    </dataValidation>
    <dataValidation type="list" allowBlank="1" showInputMessage="1" showErrorMessage="1" sqref="F105" xr:uid="{00000000-0002-0000-0A00-000003000000}">
      <formula1>Heifer_Feedpad_Waste</formula1>
    </dataValidation>
    <dataValidation type="list" allowBlank="1" showInputMessage="1" showErrorMessage="1" sqref="F100 AL200:AL203" xr:uid="{00000000-0002-0000-0A00-000004000000}">
      <formula1>Milker_Feedpad_Waste</formula1>
    </dataValidation>
    <dataValidation type="list" allowBlank="1" showInputMessage="1" showErrorMessage="1" sqref="G96" xr:uid="{00000000-0002-0000-0A00-000005000000}">
      <formula1>Pre_treament</formula1>
    </dataValidation>
    <dataValidation type="list" allowBlank="1" showInputMessage="1" showErrorMessage="1" sqref="F79:G79" xr:uid="{00000000-0002-0000-0A00-000006000000}">
      <formula1>Waste.Management</formula1>
    </dataValidation>
    <dataValidation type="list" allowBlank="1" showInputMessage="1" showErrorMessage="1" sqref="G60:H60" xr:uid="{00000000-0002-0000-0A00-000008000000}">
      <formula1>Electricity</formula1>
    </dataValidation>
    <dataValidation type="list" allowBlank="1" showInputMessage="1" showErrorMessage="1" sqref="E48" xr:uid="{00000000-0002-0000-0A00-000009000000}">
      <formula1>Fertiliser</formula1>
    </dataValidation>
    <dataValidation type="whole" allowBlank="1" showInputMessage="1" showErrorMessage="1" sqref="G92:G93" xr:uid="{00000000-0002-0000-0A00-00000A000000}">
      <formula1>0</formula1>
      <formula2>100</formula2>
    </dataValidation>
    <dataValidation type="decimal" allowBlank="1" showInputMessage="1" showErrorMessage="1" sqref="G90:H90 G98:H98 G103:H103" xr:uid="{00000000-0002-0000-0A00-00000B000000}">
      <formula1>0</formula1>
      <formula2>24</formula2>
    </dataValidation>
  </dataValidations>
  <hyperlinks>
    <hyperlink ref="H48:I49" location="'Fertiliser rates'!A1" display="Click here to work out fertiliser rates" xr:uid="{00000000-0004-0000-0A00-000000000000}"/>
    <hyperlink ref="B41:B42" location="'Feed quality table'!A1" display="Click here for help regarding feed quality" xr:uid="{00000000-0004-0000-0A00-000001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notEqual" id="{FD3E0345-81EE-4B08-BE75-4CA965B5A36E}">
            <xm:f>'Baseline farm'!$G$55</xm:f>
            <x14:dxf>
              <font>
                <b/>
                <i val="0"/>
                <color theme="0"/>
              </font>
              <fill>
                <patternFill>
                  <bgColor rgb="FFFF0000"/>
                </patternFill>
              </fill>
            </x14:dxf>
          </x14:cfRule>
          <xm:sqref>G53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791B-5CA6-4C4A-90CB-1C54E7D946CA}">
  <sheetPr codeName="Sheet21"/>
  <dimension ref="A1:BD709"/>
  <sheetViews>
    <sheetView zoomScale="85" zoomScaleNormal="85" workbookViewId="0"/>
  </sheetViews>
  <sheetFormatPr defaultColWidth="9.1796875" defaultRowHeight="14.5" x14ac:dyDescent="0.35"/>
  <cols>
    <col min="1" max="1" width="3.26953125" style="993" customWidth="1"/>
    <col min="2" max="2" width="42.7265625" style="993" customWidth="1"/>
    <col min="3" max="3" width="33.453125" style="993" customWidth="1"/>
    <col min="4" max="7" width="19.7265625" style="993" customWidth="1"/>
    <col min="8" max="8" width="21.54296875" style="993" customWidth="1"/>
    <col min="9" max="9" width="22.26953125" style="993" customWidth="1"/>
    <col min="10" max="10" width="16.26953125" style="993" customWidth="1"/>
    <col min="11" max="11" width="26.26953125" style="993" customWidth="1"/>
    <col min="12" max="12" width="34.7265625" style="993" customWidth="1"/>
    <col min="13" max="13" width="14" style="993" bestFit="1" customWidth="1"/>
    <col min="14" max="14" width="14.26953125" style="993" bestFit="1" customWidth="1"/>
    <col min="15" max="15" width="17.7265625" style="993" customWidth="1"/>
    <col min="16" max="16" width="15" style="993" bestFit="1" customWidth="1"/>
    <col min="17" max="17" width="12.453125" style="993" bestFit="1" customWidth="1"/>
    <col min="18" max="18" width="11.7265625" style="993" bestFit="1" customWidth="1"/>
    <col min="19" max="19" width="41.26953125" style="993" bestFit="1" customWidth="1"/>
    <col min="20" max="20" width="32.1796875" style="993" bestFit="1" customWidth="1"/>
    <col min="21" max="21" width="10.7265625" style="993" bestFit="1" customWidth="1"/>
    <col min="22" max="22" width="13.453125" style="993" bestFit="1" customWidth="1"/>
    <col min="23" max="23" width="9.1796875" style="993"/>
    <col min="24" max="24" width="10.7265625" style="993" customWidth="1"/>
    <col min="25" max="25" width="9.1796875" style="993"/>
    <col min="26" max="26" width="22.453125" style="993" bestFit="1" customWidth="1"/>
    <col min="27" max="28" width="9.1796875" style="993"/>
    <col min="29" max="29" width="10.1796875" style="993" bestFit="1" customWidth="1"/>
    <col min="30" max="30" width="12.26953125" style="993" customWidth="1"/>
    <col min="31" max="32" width="9.1796875" style="993"/>
    <col min="33" max="33" width="10.453125" style="993" bestFit="1" customWidth="1"/>
    <col min="34" max="34" width="20.453125" style="993" bestFit="1" customWidth="1"/>
    <col min="35" max="35" width="22.453125" style="993" customWidth="1"/>
    <col min="36" max="36" width="10.54296875" style="993" bestFit="1" customWidth="1"/>
    <col min="37" max="41" width="9.1796875" style="993"/>
    <col min="42" max="42" width="12" style="993" customWidth="1"/>
    <col min="43" max="43" width="38.81640625" style="993" customWidth="1"/>
    <col min="44" max="44" width="18.1796875" style="993" customWidth="1"/>
    <col min="45" max="45" width="9.1796875" style="993"/>
    <col min="46" max="46" width="36.7265625" style="993" customWidth="1"/>
    <col min="47" max="47" width="9.1796875" style="993"/>
    <col min="48" max="48" width="37.7265625" style="993" bestFit="1" customWidth="1"/>
    <col min="49" max="49" width="9.1796875" style="993"/>
    <col min="50" max="50" width="37.7265625" style="993" bestFit="1" customWidth="1"/>
    <col min="51" max="52" width="9.1796875" style="993"/>
    <col min="53" max="53" width="10.54296875" style="993" customWidth="1"/>
    <col min="54" max="57" width="10.54296875" style="993" bestFit="1" customWidth="1"/>
    <col min="58" max="16384" width="9.1796875" style="993"/>
  </cols>
  <sheetData>
    <row r="1" spans="1:11" ht="20.5" x14ac:dyDescent="0.45">
      <c r="A1" s="1318"/>
      <c r="J1" s="1249"/>
    </row>
    <row r="2" spans="1:11" ht="15" customHeight="1" x14ac:dyDescent="0.35">
      <c r="B2" s="2587" t="s">
        <v>1924</v>
      </c>
      <c r="C2" s="2587"/>
      <c r="D2" s="2587"/>
      <c r="E2" s="2587"/>
      <c r="F2" s="2587"/>
      <c r="G2" s="2587"/>
      <c r="H2" s="2587"/>
      <c r="I2" s="1250"/>
    </row>
    <row r="3" spans="1:11" ht="15" customHeight="1" x14ac:dyDescent="0.35">
      <c r="B3" s="2587"/>
      <c r="C3" s="2587"/>
      <c r="D3" s="2587"/>
      <c r="E3" s="2587"/>
      <c r="F3" s="2587"/>
      <c r="G3" s="2587"/>
      <c r="H3" s="2587"/>
      <c r="I3" s="1250"/>
    </row>
    <row r="4" spans="1:11" ht="15" customHeight="1" x14ac:dyDescent="0.35">
      <c r="B4" s="2587"/>
      <c r="C4" s="2587"/>
      <c r="D4" s="2587"/>
      <c r="E4" s="2587"/>
      <c r="F4" s="2587"/>
      <c r="G4" s="2587"/>
      <c r="H4" s="2587"/>
      <c r="I4" s="1250"/>
    </row>
    <row r="5" spans="1:11" ht="15" customHeight="1" x14ac:dyDescent="0.35">
      <c r="B5" s="2587"/>
      <c r="C5" s="2587"/>
      <c r="D5" s="2587"/>
      <c r="E5" s="2587"/>
      <c r="F5" s="2587"/>
      <c r="G5" s="2587"/>
      <c r="H5" s="2587"/>
      <c r="I5" s="1250"/>
    </row>
    <row r="7" spans="1:11" ht="17.5" x14ac:dyDescent="0.35">
      <c r="B7" s="1155" t="s">
        <v>1984</v>
      </c>
      <c r="C7" s="996"/>
      <c r="E7" s="1052"/>
    </row>
    <row r="8" spans="1:11" ht="17.5" x14ac:dyDescent="0.35">
      <c r="B8" s="1155" t="s">
        <v>1985</v>
      </c>
      <c r="C8" s="996"/>
      <c r="E8" s="1052"/>
    </row>
    <row r="9" spans="1:11" ht="17.5" x14ac:dyDescent="0.35">
      <c r="B9" s="1319"/>
      <c r="C9" s="977"/>
      <c r="D9" s="977"/>
      <c r="E9" s="1320"/>
      <c r="F9" s="977"/>
      <c r="G9" s="982"/>
      <c r="H9" s="977"/>
      <c r="I9" s="435"/>
      <c r="J9" s="435"/>
      <c r="K9" s="1332"/>
    </row>
    <row r="10" spans="1:11" ht="17.5" x14ac:dyDescent="0.35">
      <c r="B10" s="1222" t="s">
        <v>819</v>
      </c>
      <c r="C10" s="1220" t="s">
        <v>969</v>
      </c>
      <c r="D10" s="2629">
        <f>'Baseline farm'!D11:F11</f>
        <v>0</v>
      </c>
      <c r="E10" s="2629"/>
      <c r="F10" s="2629"/>
      <c r="G10" s="1198" t="s">
        <v>820</v>
      </c>
      <c r="H10" s="1383">
        <f>'Baseline farm'!H11</f>
        <v>0</v>
      </c>
      <c r="I10" s="1091"/>
      <c r="J10" s="1091"/>
      <c r="K10" s="1225"/>
    </row>
    <row r="11" spans="1:11" ht="17.5" x14ac:dyDescent="0.35">
      <c r="B11" s="1222"/>
      <c r="C11" s="1091"/>
      <c r="D11" s="1091"/>
      <c r="E11" s="1224"/>
      <c r="F11" s="1091"/>
      <c r="G11" s="1379"/>
      <c r="H11" s="1091"/>
      <c r="I11" s="1091"/>
      <c r="J11" s="1091"/>
      <c r="K11" s="1225"/>
    </row>
    <row r="12" spans="1:11" ht="17.5" x14ac:dyDescent="0.35">
      <c r="B12" s="1222"/>
      <c r="C12" s="1220" t="s">
        <v>821</v>
      </c>
      <c r="D12" s="2629">
        <f>'Baseline farm'!D13:F13</f>
        <v>0</v>
      </c>
      <c r="E12" s="2629"/>
      <c r="F12" s="2629"/>
      <c r="G12" s="1198" t="s">
        <v>911</v>
      </c>
      <c r="H12" s="1383">
        <f>'Baseline farm'!H13</f>
        <v>0</v>
      </c>
      <c r="I12" s="1224"/>
      <c r="J12" s="1224"/>
      <c r="K12" s="1225"/>
    </row>
    <row r="13" spans="1:11" ht="17.5" x14ac:dyDescent="0.35">
      <c r="B13" s="1222"/>
      <c r="C13" s="1091"/>
      <c r="D13" s="1091"/>
      <c r="E13" s="1224"/>
      <c r="F13" s="1091"/>
      <c r="G13" s="1224"/>
      <c r="H13" s="1224"/>
      <c r="I13" s="1224"/>
      <c r="J13" s="1224"/>
      <c r="K13" s="1225"/>
    </row>
    <row r="14" spans="1:11" ht="15.5" x14ac:dyDescent="0.35">
      <c r="B14" s="1226"/>
      <c r="C14" s="1322" t="s">
        <v>822</v>
      </c>
      <c r="D14" s="1383">
        <f>'Baseline farm'!D15</f>
        <v>0</v>
      </c>
      <c r="E14" s="1197"/>
      <c r="F14" s="2532" t="s">
        <v>1971</v>
      </c>
      <c r="G14" s="2532"/>
      <c r="H14" s="1593">
        <f>'Baseline farm'!H15</f>
        <v>0</v>
      </c>
      <c r="I14" s="1224"/>
      <c r="J14" s="1224"/>
      <c r="K14" s="1225"/>
    </row>
    <row r="15" spans="1:11" ht="17.5" x14ac:dyDescent="0.35">
      <c r="B15" s="1227"/>
      <c r="C15" s="991"/>
      <c r="D15" s="991"/>
      <c r="E15" s="991"/>
      <c r="F15" s="991"/>
      <c r="G15" s="991"/>
      <c r="H15" s="991"/>
      <c r="I15" s="1521"/>
      <c r="J15" s="1091"/>
      <c r="K15" s="1225"/>
    </row>
    <row r="16" spans="1:11" ht="15.5" x14ac:dyDescent="0.35">
      <c r="B16" s="992"/>
      <c r="C16" s="977"/>
      <c r="D16" s="975" t="s">
        <v>212</v>
      </c>
      <c r="E16" s="975" t="s">
        <v>213</v>
      </c>
      <c r="F16" s="975" t="s">
        <v>214</v>
      </c>
      <c r="G16" s="975" t="s">
        <v>1007</v>
      </c>
      <c r="H16" s="442" t="s">
        <v>1953</v>
      </c>
      <c r="I16" s="442" t="s">
        <v>1954</v>
      </c>
      <c r="J16" s="442" t="s">
        <v>1997</v>
      </c>
      <c r="K16" s="1653" t="str">
        <f>'Baseline farm'!H205</f>
        <v xml:space="preserve">Calves sold post-weaning </v>
      </c>
    </row>
    <row r="17" spans="2:34" ht="15.5" x14ac:dyDescent="0.35">
      <c r="B17" s="1194"/>
      <c r="C17" s="1091"/>
      <c r="D17" s="1198"/>
      <c r="E17" s="1198"/>
      <c r="F17" s="1198"/>
      <c r="G17" s="1198"/>
      <c r="H17" s="1198"/>
      <c r="I17" s="1198"/>
      <c r="J17" s="1198"/>
      <c r="K17" s="1656"/>
    </row>
    <row r="18" spans="2:34" ht="15.5" x14ac:dyDescent="0.35">
      <c r="B18" s="1217" t="s">
        <v>217</v>
      </c>
      <c r="C18" s="1091"/>
      <c r="D18" s="1383">
        <f>'Baseline farm'!D19</f>
        <v>0</v>
      </c>
      <c r="E18" s="1383">
        <f>'Baseline farm'!E19</f>
        <v>0</v>
      </c>
      <c r="F18" s="1383">
        <f>'Baseline farm'!F19</f>
        <v>0</v>
      </c>
      <c r="G18" s="1383">
        <f>'Baseline farm'!G19</f>
        <v>0</v>
      </c>
      <c r="H18" s="1383">
        <f>'Baseline farm'!H19</f>
        <v>0</v>
      </c>
      <c r="I18" s="1573">
        <f>'Baseline farm'!I19</f>
        <v>0</v>
      </c>
      <c r="J18" s="1186"/>
      <c r="K18" s="1561" t="s">
        <v>218</v>
      </c>
    </row>
    <row r="19" spans="2:34" ht="15.5" x14ac:dyDescent="0.35">
      <c r="B19" s="1217"/>
      <c r="C19" s="1091"/>
      <c r="D19" s="1186"/>
      <c r="E19" s="1186"/>
      <c r="F19" s="1186"/>
      <c r="G19" s="1186"/>
      <c r="H19" s="1186"/>
      <c r="I19" s="1186"/>
      <c r="J19" s="1186"/>
      <c r="K19" s="1561"/>
    </row>
    <row r="20" spans="2:34" ht="15.5" x14ac:dyDescent="0.35">
      <c r="B20" s="1217" t="s">
        <v>219</v>
      </c>
      <c r="C20" s="1091"/>
      <c r="D20" s="1383">
        <f>'Baseline farm'!D21</f>
        <v>0</v>
      </c>
      <c r="E20" s="1383">
        <f>'Baseline farm'!E21</f>
        <v>0</v>
      </c>
      <c r="F20" s="1383">
        <f>'Baseline farm'!F21</f>
        <v>0</v>
      </c>
      <c r="G20" s="1383">
        <f>'Baseline farm'!G21</f>
        <v>0</v>
      </c>
      <c r="H20" s="1383">
        <f>'Baseline farm'!H21</f>
        <v>0</v>
      </c>
      <c r="I20" s="1573">
        <f>'Baseline farm'!I21</f>
        <v>0</v>
      </c>
      <c r="J20" s="1186"/>
      <c r="K20" s="1561" t="s">
        <v>220</v>
      </c>
    </row>
    <row r="21" spans="2:34" ht="17" x14ac:dyDescent="0.4">
      <c r="B21" s="1217"/>
      <c r="C21" s="1092"/>
      <c r="D21" s="1186"/>
      <c r="E21" s="1186"/>
      <c r="F21" s="1186"/>
      <c r="G21" s="1186"/>
      <c r="H21" s="1186"/>
      <c r="I21" s="1186"/>
      <c r="J21" s="1186"/>
      <c r="K21" s="1561"/>
      <c r="L21" s="1323"/>
    </row>
    <row r="22" spans="2:34" ht="15.5" x14ac:dyDescent="0.35">
      <c r="B22" s="1217" t="s">
        <v>802</v>
      </c>
      <c r="C22" s="1091"/>
      <c r="D22" s="1215"/>
      <c r="E22" s="1610">
        <f>'Baseline farm'!E23</f>
        <v>0</v>
      </c>
      <c r="F22" s="1610">
        <f>'Baseline farm'!F23</f>
        <v>0</v>
      </c>
      <c r="G22" s="1186"/>
      <c r="H22" s="1383">
        <f>'Baseline farm'!H23</f>
        <v>0</v>
      </c>
      <c r="I22" s="1573">
        <f>'Baseline farm'!I23</f>
        <v>0</v>
      </c>
      <c r="J22" s="1186"/>
      <c r="K22" s="1561" t="s">
        <v>221</v>
      </c>
      <c r="L22" s="1324"/>
    </row>
    <row r="23" spans="2:34" ht="15.5" x14ac:dyDescent="0.35">
      <c r="B23" s="1217"/>
      <c r="C23" s="1091"/>
      <c r="D23" s="1215"/>
      <c r="E23" s="1091"/>
      <c r="F23" s="1091"/>
      <c r="G23" s="1091"/>
      <c r="H23" s="1091"/>
      <c r="I23" s="1091"/>
      <c r="J23" s="1215"/>
      <c r="K23" s="1561"/>
      <c r="L23" s="1324"/>
    </row>
    <row r="24" spans="2:34" ht="15.5" x14ac:dyDescent="0.35">
      <c r="B24" s="1217" t="s">
        <v>1929</v>
      </c>
      <c r="C24" s="1091"/>
      <c r="D24" s="1532">
        <f>'Baseline farm'!D25</f>
        <v>0</v>
      </c>
      <c r="E24" s="1532">
        <f>'Baseline farm'!E25</f>
        <v>0</v>
      </c>
      <c r="F24" s="1532">
        <f>'Baseline farm'!F25</f>
        <v>0</v>
      </c>
      <c r="G24" s="1532">
        <f>'Baseline farm'!G25</f>
        <v>0</v>
      </c>
      <c r="H24" s="1532">
        <f>'Baseline farm'!H25</f>
        <v>0</v>
      </c>
      <c r="I24" s="1532">
        <f>'Baseline farm'!I25</f>
        <v>0</v>
      </c>
      <c r="J24" s="1690">
        <f>'Baseline farm'!J25</f>
        <v>0</v>
      </c>
      <c r="K24" s="1561" t="s">
        <v>218</v>
      </c>
      <c r="L24" s="1324"/>
    </row>
    <row r="25" spans="2:34" ht="15.5" x14ac:dyDescent="0.35">
      <c r="B25" s="1217"/>
      <c r="C25" s="1091"/>
      <c r="D25" s="1215"/>
      <c r="E25" s="1529"/>
      <c r="F25" s="1529"/>
      <c r="G25" s="1529"/>
      <c r="H25" s="1529"/>
      <c r="I25" s="1572"/>
      <c r="J25" s="1687"/>
      <c r="K25" s="1561"/>
      <c r="L25" s="1324"/>
    </row>
    <row r="26" spans="2:34" ht="15.5" x14ac:dyDescent="0.35">
      <c r="B26" s="1217" t="s">
        <v>1928</v>
      </c>
      <c r="C26" s="1091"/>
      <c r="D26" s="1532">
        <f>'Baseline farm'!D27</f>
        <v>0</v>
      </c>
      <c r="E26" s="1532">
        <f>'Baseline farm'!E27</f>
        <v>0</v>
      </c>
      <c r="F26" s="1532">
        <f>'Baseline farm'!F27</f>
        <v>0</v>
      </c>
      <c r="G26" s="1532">
        <f>'Baseline farm'!G27</f>
        <v>0</v>
      </c>
      <c r="H26" s="1532">
        <f>'Baseline farm'!H27</f>
        <v>0</v>
      </c>
      <c r="I26" s="1532">
        <f>'Baseline farm'!I27</f>
        <v>0</v>
      </c>
      <c r="J26" s="1690">
        <f>'Baseline farm'!J27</f>
        <v>0</v>
      </c>
      <c r="K26" s="1561" t="s">
        <v>220</v>
      </c>
      <c r="L26" s="1324"/>
    </row>
    <row r="27" spans="2:34" ht="15.5" x14ac:dyDescent="0.35">
      <c r="B27" s="1217"/>
      <c r="C27" s="1091"/>
      <c r="D27" s="1091"/>
      <c r="E27" s="1091"/>
      <c r="F27" s="1091"/>
      <c r="G27" s="1091"/>
      <c r="H27" s="1091"/>
      <c r="I27" s="1091"/>
      <c r="J27" s="1091"/>
      <c r="K27" s="1561"/>
      <c r="L27" s="1324"/>
    </row>
    <row r="28" spans="2:34" ht="15.5" x14ac:dyDescent="0.35">
      <c r="B28" s="1218"/>
      <c r="C28" s="991"/>
      <c r="D28" s="979"/>
      <c r="E28" s="990"/>
      <c r="F28" s="990"/>
      <c r="G28" s="990"/>
      <c r="H28" s="990"/>
      <c r="I28" s="1522"/>
      <c r="J28" s="1605">
        <f>SUMPRODUCT(D24:J24,D26:J26)/1000</f>
        <v>0</v>
      </c>
      <c r="K28" s="1604" t="s">
        <v>1989</v>
      </c>
    </row>
    <row r="29" spans="2:34" ht="15.5" x14ac:dyDescent="0.35">
      <c r="B29" s="989" t="s">
        <v>737</v>
      </c>
      <c r="C29" s="1320"/>
      <c r="D29" s="1320"/>
      <c r="E29" s="1320"/>
      <c r="F29" s="1320"/>
      <c r="G29" s="1320"/>
      <c r="H29" s="1320"/>
      <c r="I29" s="1498"/>
      <c r="J29" s="1498"/>
      <c r="K29" s="1332"/>
    </row>
    <row r="30" spans="2:34" ht="15.5" x14ac:dyDescent="0.35">
      <c r="B30" s="1241"/>
      <c r="C30" s="1091" t="s">
        <v>991</v>
      </c>
      <c r="D30" s="2588">
        <f>'Baseline farm'!D31:E31</f>
        <v>0</v>
      </c>
      <c r="E30" s="2588"/>
      <c r="F30" s="2557" t="s">
        <v>1158</v>
      </c>
      <c r="G30" s="2557"/>
      <c r="H30" s="1383">
        <f>'Baseline farm'!H31</f>
        <v>0</v>
      </c>
      <c r="I30" s="1494" t="str">
        <f>IF(T204="1","litres of milk","kg milksolids")</f>
        <v>kg milksolids</v>
      </c>
      <c r="J30" s="1685"/>
      <c r="K30" s="1225"/>
    </row>
    <row r="31" spans="2:34" ht="18.5" x14ac:dyDescent="0.4">
      <c r="B31" s="1240"/>
      <c r="C31" s="1091"/>
      <c r="D31" s="1388"/>
      <c r="E31" s="1183"/>
      <c r="F31" s="1183"/>
      <c r="G31" s="1184"/>
      <c r="H31" s="1380"/>
      <c r="I31" s="1499"/>
      <c r="J31" s="1499"/>
      <c r="K31" s="1225"/>
      <c r="L31" s="1325"/>
    </row>
    <row r="32" spans="2:34" ht="15.5" x14ac:dyDescent="0.35">
      <c r="B32" s="1240"/>
      <c r="C32" s="1091" t="s">
        <v>1220</v>
      </c>
      <c r="D32" s="1383">
        <f>'Baseline farm'!D33</f>
        <v>0</v>
      </c>
      <c r="E32" s="1183" t="s">
        <v>222</v>
      </c>
      <c r="F32" s="2553" t="s">
        <v>1221</v>
      </c>
      <c r="G32" s="2553"/>
      <c r="H32" s="1383">
        <f>'Baseline farm'!H33</f>
        <v>0</v>
      </c>
      <c r="I32" s="1494" t="s">
        <v>222</v>
      </c>
      <c r="J32" s="1685"/>
      <c r="K32" s="1225"/>
      <c r="AA32" s="996"/>
      <c r="AB32" s="996"/>
      <c r="AC32" s="996"/>
      <c r="AD32" s="996"/>
      <c r="AE32" s="996"/>
      <c r="AF32" s="996"/>
      <c r="AG32" s="996"/>
      <c r="AH32" s="996"/>
    </row>
    <row r="33" spans="2:34" ht="15.5" x14ac:dyDescent="0.35">
      <c r="B33" s="1187"/>
      <c r="C33" s="1091"/>
      <c r="D33" s="1388"/>
      <c r="E33" s="1184"/>
      <c r="F33" s="1186"/>
      <c r="G33" s="1186"/>
      <c r="H33" s="1184"/>
      <c r="I33" s="1499"/>
      <c r="J33" s="1499"/>
      <c r="K33" s="1225"/>
      <c r="AA33" s="996"/>
      <c r="AB33" s="996"/>
      <c r="AC33" s="996"/>
      <c r="AD33" s="996"/>
      <c r="AE33" s="996"/>
      <c r="AF33" s="996"/>
      <c r="AG33" s="996"/>
      <c r="AH33" s="996"/>
    </row>
    <row r="34" spans="2:34" ht="15.5" x14ac:dyDescent="0.35">
      <c r="B34" s="1187"/>
      <c r="C34" s="1091" t="s">
        <v>476</v>
      </c>
      <c r="D34" s="1383">
        <f>'Baseline farm'!D35</f>
        <v>0</v>
      </c>
      <c r="E34" s="1184" t="s">
        <v>1161</v>
      </c>
      <c r="F34" s="2630" t="s">
        <v>746</v>
      </c>
      <c r="G34" s="2630"/>
      <c r="H34" s="1388" t="e">
        <f>Q201</f>
        <v>#DIV/0!</v>
      </c>
      <c r="I34" s="1499"/>
      <c r="J34" s="1499"/>
      <c r="K34" s="1225"/>
      <c r="M34" s="1201"/>
      <c r="AA34" s="996"/>
      <c r="AB34" s="996"/>
      <c r="AC34" s="996"/>
      <c r="AD34" s="996"/>
      <c r="AE34" s="996"/>
      <c r="AF34" s="996"/>
      <c r="AG34" s="996"/>
      <c r="AH34" s="996"/>
    </row>
    <row r="35" spans="2:34" ht="15.5" x14ac:dyDescent="0.35">
      <c r="B35" s="978" t="s">
        <v>1011</v>
      </c>
      <c r="C35" s="977"/>
      <c r="D35" s="2631" t="s">
        <v>806</v>
      </c>
      <c r="E35" s="2631"/>
      <c r="F35" s="2632" t="s">
        <v>856</v>
      </c>
      <c r="G35" s="2632"/>
      <c r="H35" s="2632" t="s">
        <v>857</v>
      </c>
      <c r="I35" s="2581"/>
      <c r="J35" s="1688"/>
      <c r="K35" s="1332"/>
    </row>
    <row r="36" spans="2:34" ht="15.5" x14ac:dyDescent="0.35">
      <c r="B36" s="1191"/>
      <c r="C36" s="1091" t="s">
        <v>807</v>
      </c>
      <c r="D36" s="2578">
        <f>'Baseline farm'!D38:E38</f>
        <v>0</v>
      </c>
      <c r="E36" s="2578"/>
      <c r="F36" s="2578">
        <f>'Baseline farm'!F38:G38</f>
        <v>0</v>
      </c>
      <c r="G36" s="2578"/>
      <c r="H36" s="2578">
        <f>'Baseline farm'!H38:I38</f>
        <v>0</v>
      </c>
      <c r="I36" s="2578"/>
      <c r="J36" s="1685"/>
      <c r="K36" s="1225"/>
    </row>
    <row r="37" spans="2:34" ht="15.5" x14ac:dyDescent="0.35">
      <c r="B37" s="1219" t="s">
        <v>967</v>
      </c>
      <c r="C37" s="1091" t="s">
        <v>808</v>
      </c>
      <c r="D37" s="2578">
        <f>'Baseline farm'!D39:E39</f>
        <v>0</v>
      </c>
      <c r="E37" s="2578"/>
      <c r="F37" s="2578">
        <f>'Baseline farm'!F39:G39</f>
        <v>0</v>
      </c>
      <c r="G37" s="2578"/>
      <c r="H37" s="2578">
        <f>'Baseline farm'!H39:I39</f>
        <v>0</v>
      </c>
      <c r="I37" s="2578"/>
      <c r="J37" s="1685"/>
      <c r="K37" s="1225"/>
    </row>
    <row r="38" spans="2:34" ht="15.5" x14ac:dyDescent="0.35">
      <c r="B38" s="1219" t="s">
        <v>968</v>
      </c>
      <c r="C38" s="1091" t="s">
        <v>809</v>
      </c>
      <c r="D38" s="2578">
        <f>'Baseline farm'!D40:E40</f>
        <v>0</v>
      </c>
      <c r="E38" s="2578"/>
      <c r="F38" s="2578">
        <f>'Baseline farm'!F40:G40</f>
        <v>0</v>
      </c>
      <c r="G38" s="2578"/>
      <c r="H38" s="2578">
        <f>'Baseline farm'!H40:I40</f>
        <v>0</v>
      </c>
      <c r="I38" s="2578"/>
      <c r="J38" s="1685"/>
      <c r="K38" s="1225"/>
    </row>
    <row r="39" spans="2:34" ht="15.5" x14ac:dyDescent="0.35">
      <c r="B39" s="1196" t="e">
        <f>Q205 &amp;" kg DM/cow.day"</f>
        <v>#DIV/0!</v>
      </c>
      <c r="C39" s="1091" t="s">
        <v>810</v>
      </c>
      <c r="D39" s="2578">
        <f>'Baseline farm'!D41:E41</f>
        <v>0</v>
      </c>
      <c r="E39" s="2578"/>
      <c r="F39" s="2578">
        <f>'Baseline farm'!F41:G41</f>
        <v>0</v>
      </c>
      <c r="G39" s="2578"/>
      <c r="H39" s="2578">
        <f>'Baseline farm'!H41:I41</f>
        <v>0</v>
      </c>
      <c r="I39" s="2578"/>
      <c r="J39" s="1685"/>
      <c r="K39" s="1225"/>
    </row>
    <row r="40" spans="2:34" ht="15.65" customHeight="1" x14ac:dyDescent="0.35">
      <c r="B40" s="1191"/>
      <c r="C40" s="1091" t="s">
        <v>811</v>
      </c>
      <c r="D40" s="2578">
        <f>'Baseline farm'!D42:E42</f>
        <v>0</v>
      </c>
      <c r="E40" s="2578"/>
      <c r="F40" s="2578">
        <f>'Baseline farm'!F42:G42</f>
        <v>0</v>
      </c>
      <c r="G40" s="2578"/>
      <c r="H40" s="2578">
        <f>'Baseline farm'!H42:I42</f>
        <v>0</v>
      </c>
      <c r="I40" s="2578"/>
      <c r="J40" s="1685"/>
      <c r="K40" s="1225"/>
    </row>
    <row r="41" spans="2:34" ht="15.65" customHeight="1" x14ac:dyDescent="0.35">
      <c r="B41" s="2549" t="s">
        <v>1203</v>
      </c>
      <c r="C41" s="1091" t="s">
        <v>812</v>
      </c>
      <c r="D41" s="2578">
        <f>'Baseline farm'!D43:E43</f>
        <v>0</v>
      </c>
      <c r="E41" s="2578"/>
      <c r="F41" s="2578">
        <f>'Baseline farm'!F43:G43</f>
        <v>0</v>
      </c>
      <c r="G41" s="2578"/>
      <c r="H41" s="2578">
        <f>'Baseline farm'!H43:I43</f>
        <v>0</v>
      </c>
      <c r="I41" s="2578"/>
      <c r="J41" s="1685"/>
      <c r="K41" s="1225"/>
    </row>
    <row r="42" spans="2:34" ht="15.65" customHeight="1" x14ac:dyDescent="0.35">
      <c r="B42" s="2550"/>
      <c r="C42" s="988" t="s">
        <v>815</v>
      </c>
      <c r="D42" s="2633">
        <f>SUM(D36:E41)</f>
        <v>0</v>
      </c>
      <c r="E42" s="2633"/>
      <c r="F42" s="2633" t="e">
        <f>Q203</f>
        <v>#DIV/0!</v>
      </c>
      <c r="G42" s="2633"/>
      <c r="H42" s="2633" t="e">
        <f>Q204</f>
        <v>#DIV/0!</v>
      </c>
      <c r="I42" s="2634"/>
      <c r="J42" s="1522"/>
      <c r="K42" s="1225"/>
    </row>
    <row r="43" spans="2:34" ht="15.5" x14ac:dyDescent="0.35">
      <c r="B43" s="1191"/>
      <c r="C43" s="1220"/>
      <c r="D43" s="1388"/>
      <c r="E43" s="1388"/>
      <c r="F43" s="1388"/>
      <c r="G43" s="1388"/>
      <c r="H43" s="1388"/>
      <c r="I43" s="1496"/>
      <c r="J43" s="1691"/>
      <c r="K43" s="1332"/>
      <c r="L43" s="1326"/>
    </row>
    <row r="44" spans="2:34" ht="15.5" x14ac:dyDescent="0.35">
      <c r="B44" s="1217" t="s">
        <v>1012</v>
      </c>
      <c r="C44" s="1221"/>
      <c r="D44" s="1382">
        <f>'Baseline farm'!D46</f>
        <v>0</v>
      </c>
      <c r="E44" s="1287" t="s">
        <v>222</v>
      </c>
      <c r="F44" s="1388"/>
      <c r="G44" s="1388"/>
      <c r="H44" s="1388"/>
      <c r="I44" s="1499"/>
      <c r="J44" s="1499"/>
      <c r="K44" s="1225"/>
      <c r="L44" s="1327"/>
    </row>
    <row r="45" spans="2:34" ht="15.5" x14ac:dyDescent="0.35">
      <c r="B45" s="1217" t="s">
        <v>1013</v>
      </c>
      <c r="C45" s="1221"/>
      <c r="D45" s="1382">
        <f>'Baseline farm'!D47</f>
        <v>0</v>
      </c>
      <c r="E45" s="1287" t="s">
        <v>222</v>
      </c>
      <c r="F45" s="1251"/>
      <c r="G45" s="1251"/>
      <c r="H45" s="1251"/>
      <c r="I45" s="1499"/>
      <c r="J45" s="1499"/>
      <c r="K45" s="1225"/>
    </row>
    <row r="46" spans="2:34" ht="17" x14ac:dyDescent="0.4">
      <c r="B46" s="1218"/>
      <c r="C46" s="987"/>
      <c r="D46" s="1328"/>
      <c r="E46" s="1328"/>
      <c r="F46" s="1328"/>
      <c r="G46" s="1328"/>
      <c r="H46" s="1328"/>
      <c r="I46" s="1499"/>
      <c r="J46" s="1499"/>
      <c r="K46" s="1225"/>
      <c r="M46" s="1323"/>
    </row>
    <row r="47" spans="2:34" ht="15.65" customHeight="1" x14ac:dyDescent="0.35">
      <c r="B47" s="986" t="s">
        <v>828</v>
      </c>
      <c r="C47" s="2635"/>
      <c r="D47" s="2635"/>
      <c r="E47" s="985"/>
      <c r="F47" s="984"/>
      <c r="G47" s="2635"/>
      <c r="H47" s="2635"/>
      <c r="I47" s="2539"/>
      <c r="J47" s="1686"/>
      <c r="K47" s="1332"/>
      <c r="L47" s="1329"/>
      <c r="M47" s="995"/>
      <c r="AA47" s="996"/>
      <c r="AB47" s="996"/>
      <c r="AC47" s="996"/>
      <c r="AD47" s="996"/>
      <c r="AE47" s="996"/>
      <c r="AF47" s="996"/>
      <c r="AG47" s="996"/>
      <c r="AH47" s="996"/>
    </row>
    <row r="48" spans="2:34" ht="15.65" customHeight="1" x14ac:dyDescent="0.35">
      <c r="B48" s="1243"/>
      <c r="C48" s="1091" t="s">
        <v>829</v>
      </c>
      <c r="D48" s="1244"/>
      <c r="E48" s="2629">
        <f>'Baseline farm'!E50:F50</f>
        <v>0</v>
      </c>
      <c r="F48" s="2629"/>
      <c r="G48" s="1244"/>
      <c r="H48" s="2589" t="s">
        <v>1114</v>
      </c>
      <c r="I48" s="2636"/>
      <c r="J48" s="1500"/>
      <c r="K48" s="1225"/>
      <c r="M48" s="995"/>
      <c r="AA48" s="996"/>
      <c r="AB48" s="996"/>
      <c r="AC48" s="996"/>
      <c r="AD48" s="996"/>
      <c r="AE48" s="996"/>
      <c r="AF48" s="996"/>
      <c r="AG48" s="996"/>
      <c r="AH48" s="996"/>
    </row>
    <row r="49" spans="2:34" ht="15.65" customHeight="1" x14ac:dyDescent="0.35">
      <c r="B49" s="1243"/>
      <c r="C49" s="1244"/>
      <c r="D49" s="1244"/>
      <c r="E49" s="1245"/>
      <c r="F49" s="1246"/>
      <c r="G49" s="1244"/>
      <c r="H49" s="2591"/>
      <c r="I49" s="2592"/>
      <c r="J49" s="1500"/>
      <c r="K49" s="1225"/>
      <c r="M49" s="995"/>
      <c r="AA49" s="996"/>
      <c r="AB49" s="996"/>
      <c r="AC49" s="996"/>
      <c r="AD49" s="996"/>
      <c r="AE49" s="996"/>
      <c r="AF49" s="996"/>
      <c r="AG49" s="996"/>
      <c r="AH49" s="996"/>
    </row>
    <row r="50" spans="2:34" ht="15.65" customHeight="1" x14ac:dyDescent="0.35">
      <c r="B50" s="1243"/>
      <c r="C50" s="1198" t="s">
        <v>1091</v>
      </c>
      <c r="D50" s="1244"/>
      <c r="E50" s="1245"/>
      <c r="F50" s="1246"/>
      <c r="G50" s="1279" t="s">
        <v>1093</v>
      </c>
      <c r="H50" s="1279"/>
      <c r="I50" s="1244"/>
      <c r="J50" s="1244"/>
      <c r="K50" s="1225"/>
      <c r="M50" s="995"/>
      <c r="AA50" s="996"/>
      <c r="AB50" s="996"/>
      <c r="AC50" s="996"/>
      <c r="AD50" s="996"/>
      <c r="AE50" s="996"/>
      <c r="AF50" s="996"/>
      <c r="AG50" s="996"/>
      <c r="AH50" s="996"/>
    </row>
    <row r="51" spans="2:34" ht="15.5" x14ac:dyDescent="0.35">
      <c r="B51" s="1195" t="s">
        <v>1002</v>
      </c>
      <c r="C51" s="1385">
        <f>'Baseline farm'!C53</f>
        <v>0</v>
      </c>
      <c r="D51" s="1091" t="s">
        <v>224</v>
      </c>
      <c r="E51" s="1247" t="s">
        <v>1094</v>
      </c>
      <c r="F51" s="1189"/>
      <c r="G51" s="1385">
        <f>'Baseline farm'!G53</f>
        <v>0</v>
      </c>
      <c r="H51" s="1254" t="str">
        <f>IF($U$193="1","kg per ha per annum","t per annum")</f>
        <v>t per annum</v>
      </c>
      <c r="I51" s="1500"/>
      <c r="J51" s="1500"/>
      <c r="K51" s="1225"/>
      <c r="M51" s="995"/>
      <c r="AA51" s="996"/>
      <c r="AB51" s="996"/>
      <c r="AC51" s="996"/>
      <c r="AD51" s="996"/>
      <c r="AE51" s="996"/>
      <c r="AF51" s="996"/>
      <c r="AG51" s="996"/>
      <c r="AH51" s="996"/>
    </row>
    <row r="52" spans="2:34" ht="15.5" x14ac:dyDescent="0.35">
      <c r="B52" s="1195" t="s">
        <v>1003</v>
      </c>
      <c r="C52" s="1385">
        <f>'Baseline farm'!C54</f>
        <v>0</v>
      </c>
      <c r="D52" s="1091" t="s">
        <v>224</v>
      </c>
      <c r="E52" s="1247" t="s">
        <v>1113</v>
      </c>
      <c r="F52" s="1189"/>
      <c r="G52" s="1385">
        <f>'Baseline farm'!G54</f>
        <v>0</v>
      </c>
      <c r="H52" s="1091" t="str">
        <f>H51</f>
        <v>t per annum</v>
      </c>
      <c r="I52" s="1500"/>
      <c r="J52" s="1500"/>
      <c r="K52" s="1225"/>
      <c r="M52" s="995"/>
      <c r="AA52" s="996"/>
      <c r="AB52" s="996"/>
      <c r="AC52" s="996"/>
      <c r="AD52" s="996"/>
      <c r="AE52" s="996"/>
      <c r="AF52" s="996"/>
      <c r="AG52" s="996"/>
      <c r="AH52" s="996"/>
    </row>
    <row r="53" spans="2:34" ht="15.5" x14ac:dyDescent="0.35">
      <c r="B53" s="1195"/>
      <c r="C53" s="1091"/>
      <c r="D53" s="1091"/>
      <c r="E53" s="1247" t="s">
        <v>1507</v>
      </c>
      <c r="F53" s="1189"/>
      <c r="G53" s="1463">
        <f>'Baseline farm'!G55</f>
        <v>0</v>
      </c>
      <c r="H53" s="1091" t="s">
        <v>222</v>
      </c>
      <c r="I53" s="1500"/>
      <c r="J53" s="1500"/>
      <c r="K53" s="1225"/>
      <c r="M53" s="995"/>
      <c r="AA53" s="996"/>
      <c r="AB53" s="996"/>
      <c r="AC53" s="996"/>
      <c r="AD53" s="996"/>
      <c r="AE53" s="996"/>
      <c r="AF53" s="996"/>
      <c r="AG53" s="996"/>
      <c r="AH53" s="996"/>
    </row>
    <row r="54" spans="2:34" ht="15.5" x14ac:dyDescent="0.35">
      <c r="B54" s="1193"/>
      <c r="C54" s="1091"/>
      <c r="D54" s="1091"/>
      <c r="E54" s="1091"/>
      <c r="F54" s="1091"/>
      <c r="G54" s="1091"/>
      <c r="H54" s="1091"/>
      <c r="I54" s="1499"/>
      <c r="J54" s="1499"/>
      <c r="K54" s="1225"/>
      <c r="M54" s="995"/>
      <c r="AA54" s="996"/>
      <c r="AB54" s="996"/>
      <c r="AC54" s="996"/>
      <c r="AD54" s="996"/>
      <c r="AE54" s="996"/>
      <c r="AF54" s="996"/>
      <c r="AG54" s="996"/>
      <c r="AH54" s="996"/>
    </row>
    <row r="55" spans="2:34" ht="15.5" x14ac:dyDescent="0.35">
      <c r="B55" s="1193"/>
      <c r="C55" s="1330" t="s">
        <v>1090</v>
      </c>
      <c r="D55" s="1228"/>
      <c r="E55" s="1330" t="s">
        <v>1096</v>
      </c>
      <c r="F55" s="1330" t="s">
        <v>1097</v>
      </c>
      <c r="G55" s="1330" t="s">
        <v>1098</v>
      </c>
      <c r="H55" s="1330" t="s">
        <v>1099</v>
      </c>
      <c r="I55" s="1224"/>
      <c r="J55" s="1224"/>
      <c r="K55" s="1225"/>
      <c r="M55" s="995"/>
      <c r="AA55" s="996"/>
      <c r="AB55" s="996"/>
      <c r="AC55" s="996"/>
      <c r="AD55" s="996"/>
      <c r="AE55" s="996"/>
      <c r="AF55" s="996"/>
      <c r="AG55" s="996"/>
      <c r="AH55" s="996"/>
    </row>
    <row r="56" spans="2:34" ht="15.5" x14ac:dyDescent="0.35">
      <c r="B56" s="1193" t="s">
        <v>1004</v>
      </c>
      <c r="C56" s="1385">
        <f>'Baseline farm'!C58</f>
        <v>0</v>
      </c>
      <c r="D56" s="1331" t="s">
        <v>1095</v>
      </c>
      <c r="E56" s="1385">
        <f>'Baseline farm'!G58</f>
        <v>0</v>
      </c>
      <c r="F56" s="1385">
        <f>'Baseline farm'!H58</f>
        <v>0</v>
      </c>
      <c r="G56" s="1385">
        <f>'Baseline farm'!I58</f>
        <v>0</v>
      </c>
      <c r="H56" s="1385">
        <f>'Baseline farm'!J58</f>
        <v>0</v>
      </c>
      <c r="I56" s="1254" t="str">
        <f>H51</f>
        <v>t per annum</v>
      </c>
      <c r="J56" s="1254"/>
      <c r="K56" s="1225"/>
      <c r="M56" s="995"/>
      <c r="AA56" s="996"/>
      <c r="AB56" s="996"/>
      <c r="AC56" s="996"/>
      <c r="AD56" s="996"/>
      <c r="AE56" s="996"/>
      <c r="AF56" s="996"/>
      <c r="AG56" s="996"/>
      <c r="AH56" s="996"/>
    </row>
    <row r="57" spans="2:34" ht="15.5" x14ac:dyDescent="0.35">
      <c r="B57" s="1193" t="s">
        <v>1005</v>
      </c>
      <c r="C57" s="1385">
        <f>'Baseline farm'!C59</f>
        <v>0</v>
      </c>
      <c r="D57" s="1331" t="s">
        <v>1095</v>
      </c>
      <c r="E57" s="1385">
        <f>'Baseline farm'!G59</f>
        <v>0</v>
      </c>
      <c r="F57" s="1385">
        <f>'Baseline farm'!H59</f>
        <v>0</v>
      </c>
      <c r="G57" s="1385">
        <f>'Baseline farm'!I59</f>
        <v>0</v>
      </c>
      <c r="H57" s="1385">
        <f>'Baseline farm'!J59</f>
        <v>0</v>
      </c>
      <c r="I57" s="1254" t="str">
        <f>H51</f>
        <v>t per annum</v>
      </c>
      <c r="J57" s="1254"/>
      <c r="K57" s="1225"/>
      <c r="M57" s="995"/>
      <c r="AA57" s="996"/>
      <c r="AB57" s="996"/>
      <c r="AC57" s="996"/>
      <c r="AD57" s="996"/>
      <c r="AE57" s="996"/>
      <c r="AF57" s="996"/>
      <c r="AG57" s="996"/>
      <c r="AH57" s="996"/>
    </row>
    <row r="58" spans="2:34" ht="15.5" x14ac:dyDescent="0.35">
      <c r="B58" s="1213"/>
      <c r="C58" s="1379"/>
      <c r="D58" s="1224"/>
      <c r="E58" s="1224"/>
      <c r="F58" s="1224"/>
      <c r="G58" s="1224"/>
      <c r="H58" s="1224"/>
      <c r="I58" s="1224"/>
      <c r="J58" s="1224"/>
      <c r="K58" s="1225"/>
      <c r="M58" s="995"/>
      <c r="AA58" s="996"/>
      <c r="AB58" s="996"/>
      <c r="AC58" s="996"/>
      <c r="AD58" s="996"/>
      <c r="AE58" s="996"/>
      <c r="AF58" s="996"/>
      <c r="AG58" s="996"/>
      <c r="AH58" s="996"/>
    </row>
    <row r="59" spans="2:34" ht="15.5" x14ac:dyDescent="0.35">
      <c r="B59" s="983" t="s">
        <v>855</v>
      </c>
      <c r="C59" s="982"/>
      <c r="D59" s="1320"/>
      <c r="E59" s="1320"/>
      <c r="F59" s="1320"/>
      <c r="G59" s="1320"/>
      <c r="H59" s="1320"/>
      <c r="I59" s="642"/>
      <c r="J59" s="642"/>
      <c r="K59" s="1332"/>
      <c r="M59" s="995"/>
      <c r="AA59" s="996"/>
      <c r="AB59" s="996"/>
      <c r="AC59" s="996"/>
      <c r="AD59" s="996"/>
      <c r="AE59" s="996"/>
      <c r="AF59" s="996"/>
      <c r="AG59" s="996"/>
      <c r="AH59" s="996"/>
    </row>
    <row r="60" spans="2:34" ht="15.5" x14ac:dyDescent="0.35">
      <c r="B60" s="1195" t="s">
        <v>795</v>
      </c>
      <c r="C60" s="1385">
        <f>'Baseline farm'!C62</f>
        <v>0</v>
      </c>
      <c r="D60" s="1381" t="s">
        <v>599</v>
      </c>
      <c r="E60" s="2557" t="s">
        <v>929</v>
      </c>
      <c r="F60" s="2557"/>
      <c r="G60" s="2588" t="s">
        <v>630</v>
      </c>
      <c r="H60" s="2588"/>
      <c r="I60" s="1493"/>
      <c r="J60" s="1687"/>
      <c r="K60" s="1225"/>
      <c r="M60" s="995"/>
      <c r="AA60" s="996"/>
      <c r="AB60" s="996"/>
      <c r="AC60" s="996"/>
      <c r="AD60" s="996"/>
      <c r="AE60" s="996"/>
      <c r="AF60" s="996"/>
      <c r="AG60" s="996"/>
      <c r="AH60" s="996"/>
    </row>
    <row r="61" spans="2:34" ht="15.5" x14ac:dyDescent="0.35">
      <c r="B61" s="1195" t="s">
        <v>801</v>
      </c>
      <c r="C61" s="1385">
        <f>'Baseline farm'!C63</f>
        <v>0</v>
      </c>
      <c r="D61" s="1685" t="s">
        <v>1159</v>
      </c>
      <c r="E61" s="1694"/>
      <c r="F61" s="1694"/>
      <c r="G61" s="1224"/>
      <c r="H61" s="1224"/>
      <c r="I61" s="1094"/>
      <c r="J61" s="1094"/>
      <c r="K61" s="1225"/>
      <c r="M61" s="995"/>
      <c r="AA61" s="996"/>
      <c r="AB61" s="996"/>
      <c r="AC61" s="996"/>
      <c r="AD61" s="996"/>
      <c r="AE61" s="996"/>
      <c r="AF61" s="996"/>
      <c r="AG61" s="996"/>
      <c r="AH61" s="996"/>
    </row>
    <row r="62" spans="2:34" ht="15.5" x14ac:dyDescent="0.35">
      <c r="B62" s="1195"/>
      <c r="C62" s="1685"/>
      <c r="D62" s="1685"/>
      <c r="E62" s="1694"/>
      <c r="F62" s="1694"/>
      <c r="G62" s="1695"/>
      <c r="H62" s="1695"/>
      <c r="I62" s="1094"/>
      <c r="J62" s="1094"/>
      <c r="K62" s="1225"/>
      <c r="M62" s="995"/>
      <c r="AA62" s="996"/>
      <c r="AB62" s="996"/>
      <c r="AC62" s="996"/>
      <c r="AD62" s="996"/>
      <c r="AE62" s="996"/>
      <c r="AF62" s="996"/>
      <c r="AG62" s="996"/>
      <c r="AH62" s="996"/>
    </row>
    <row r="63" spans="2:34" ht="15.5" x14ac:dyDescent="0.35">
      <c r="B63" s="992" t="s">
        <v>827</v>
      </c>
      <c r="C63" s="977"/>
      <c r="D63" s="977"/>
      <c r="E63" s="977"/>
      <c r="F63" s="977"/>
      <c r="G63" s="1091"/>
      <c r="H63" s="1091"/>
      <c r="I63" s="326"/>
      <c r="J63" s="326"/>
      <c r="K63" s="1332"/>
    </row>
    <row r="64" spans="2:34" ht="15.5" x14ac:dyDescent="0.35">
      <c r="B64" s="1193" t="s">
        <v>1092</v>
      </c>
      <c r="C64" s="1385">
        <f>'Baseline farm'!C66</f>
        <v>0</v>
      </c>
      <c r="D64" s="1197" t="s">
        <v>1160</v>
      </c>
      <c r="E64" s="2538" t="s">
        <v>823</v>
      </c>
      <c r="F64" s="2538"/>
      <c r="G64" s="2593">
        <f>'Baseline farm'!G66:H66</f>
        <v>0</v>
      </c>
      <c r="H64" s="2593"/>
      <c r="I64" s="1197" t="s">
        <v>1160</v>
      </c>
      <c r="J64" s="1197"/>
      <c r="K64" s="1225"/>
    </row>
    <row r="65" spans="1:34" ht="15.5" x14ac:dyDescent="0.35">
      <c r="B65" s="1193"/>
      <c r="C65" s="1379"/>
      <c r="D65" s="1091"/>
      <c r="E65" s="1091"/>
      <c r="F65" s="1091"/>
      <c r="G65" s="1091"/>
      <c r="H65" s="1091"/>
      <c r="I65" s="1094"/>
      <c r="J65" s="1094"/>
      <c r="K65" s="1225"/>
    </row>
    <row r="66" spans="1:34" ht="15.5" x14ac:dyDescent="0.35">
      <c r="B66" s="1193" t="s">
        <v>824</v>
      </c>
      <c r="C66" s="1385">
        <f>'Baseline farm'!C68</f>
        <v>0</v>
      </c>
      <c r="D66" s="1197" t="s">
        <v>1160</v>
      </c>
      <c r="E66" s="2538" t="s">
        <v>825</v>
      </c>
      <c r="F66" s="2538"/>
      <c r="G66" s="2593">
        <f>'Baseline farm'!G68:H68</f>
        <v>0</v>
      </c>
      <c r="H66" s="2593"/>
      <c r="I66" s="1197" t="s">
        <v>1160</v>
      </c>
      <c r="J66" s="1197"/>
      <c r="K66" s="1225"/>
    </row>
    <row r="67" spans="1:34" ht="15.5" x14ac:dyDescent="0.35">
      <c r="B67" s="1193"/>
      <c r="C67" s="1379"/>
      <c r="D67" s="1091"/>
      <c r="E67" s="1091"/>
      <c r="F67" s="1091"/>
      <c r="G67" s="1091"/>
      <c r="H67" s="1091"/>
      <c r="I67" s="1094"/>
      <c r="J67" s="1094"/>
      <c r="K67" s="1225"/>
    </row>
    <row r="68" spans="1:34" ht="15.5" x14ac:dyDescent="0.35">
      <c r="B68" s="1229" t="s">
        <v>826</v>
      </c>
      <c r="C68" s="1385">
        <f>'Baseline farm'!C70</f>
        <v>0</v>
      </c>
      <c r="D68" s="1197" t="s">
        <v>1160</v>
      </c>
      <c r="E68" s="1091" t="s">
        <v>940</v>
      </c>
      <c r="F68" s="1091"/>
      <c r="G68" s="2593">
        <f>'Baseline farm'!G70:H70</f>
        <v>0</v>
      </c>
      <c r="H68" s="2593"/>
      <c r="I68" s="1197" t="s">
        <v>1160</v>
      </c>
      <c r="J68" s="1197"/>
      <c r="K68" s="1225"/>
    </row>
    <row r="69" spans="1:34" ht="15.5" x14ac:dyDescent="0.35">
      <c r="B69" s="1230"/>
      <c r="C69" s="991"/>
      <c r="D69" s="991"/>
      <c r="E69" s="991"/>
      <c r="F69" s="991"/>
      <c r="G69" s="991"/>
      <c r="H69" s="991"/>
      <c r="I69" s="1523"/>
      <c r="J69" s="1094"/>
      <c r="K69" s="1225"/>
    </row>
    <row r="70" spans="1:34" ht="15.5" x14ac:dyDescent="0.35">
      <c r="B70" s="992" t="s">
        <v>796</v>
      </c>
      <c r="C70" s="1228"/>
      <c r="D70" s="1228"/>
      <c r="E70" s="981"/>
      <c r="F70" s="1092"/>
      <c r="G70" s="980"/>
      <c r="H70" s="977"/>
      <c r="I70" s="326"/>
      <c r="J70" s="326"/>
      <c r="K70" s="1332"/>
    </row>
    <row r="71" spans="1:34" s="879" customFormat="1" ht="15.5" x14ac:dyDescent="0.35">
      <c r="B71" s="1193" t="s">
        <v>1008</v>
      </c>
      <c r="C71" s="2540">
        <f>'Baseline farm'!C73</f>
        <v>0</v>
      </c>
      <c r="D71" s="2540"/>
      <c r="E71" s="1094"/>
      <c r="F71" s="2535" t="str">
        <f>IF(T200=3,"Carbon sequestered using other tools","")</f>
        <v>Carbon sequestered using other tools</v>
      </c>
      <c r="G71" s="2535"/>
      <c r="H71" s="1565" t="str">
        <f>IF('Baseline farm'!H73="","",'Baseline farm'!H73)</f>
        <v/>
      </c>
      <c r="I71" s="1563" t="str">
        <f>IF(T200=3,"t CO2e/ha","")</f>
        <v>t CO2e/ha</v>
      </c>
      <c r="J71" s="1684"/>
      <c r="K71" s="842"/>
    </row>
    <row r="72" spans="1:34" s="879" customFormat="1" ht="15.5" x14ac:dyDescent="0.35">
      <c r="B72" s="883"/>
      <c r="C72" s="419"/>
      <c r="D72" s="1091"/>
      <c r="E72" s="1094"/>
      <c r="F72" s="1095"/>
      <c r="G72" s="1095"/>
      <c r="H72" s="1091"/>
      <c r="I72" s="1094"/>
      <c r="J72" s="1094"/>
      <c r="K72" s="842"/>
    </row>
    <row r="73" spans="1:34" s="879" customFormat="1" ht="15.5" x14ac:dyDescent="0.35">
      <c r="B73" s="1569" t="s">
        <v>869</v>
      </c>
      <c r="C73" s="2542">
        <f>'Baseline farm'!C75</f>
        <v>0</v>
      </c>
      <c r="D73" s="2542"/>
      <c r="E73" s="1094"/>
      <c r="F73" s="1095"/>
      <c r="G73" s="1095"/>
      <c r="H73" s="1091"/>
      <c r="I73" s="1094"/>
      <c r="J73" s="1094"/>
      <c r="K73" s="842"/>
    </row>
    <row r="74" spans="1:34" s="879" customFormat="1" ht="15.5" x14ac:dyDescent="0.35">
      <c r="B74" s="883"/>
      <c r="C74" s="419"/>
      <c r="D74" s="1091"/>
      <c r="E74" s="1094"/>
      <c r="F74" s="1095"/>
      <c r="G74" s="1095"/>
      <c r="H74" s="1091"/>
      <c r="I74" s="1094"/>
      <c r="J74" s="1094"/>
      <c r="K74" s="842"/>
    </row>
    <row r="75" spans="1:34" s="879" customFormat="1" ht="15.5" x14ac:dyDescent="0.35">
      <c r="B75" s="456" t="s">
        <v>555</v>
      </c>
      <c r="C75" s="2541">
        <f>'Baseline farm'!C77</f>
        <v>0</v>
      </c>
      <c r="D75" s="2541"/>
      <c r="E75" s="1095"/>
      <c r="F75" s="1095"/>
      <c r="G75" s="1095"/>
      <c r="H75" s="1091"/>
      <c r="I75" s="1094"/>
      <c r="J75" s="1094"/>
      <c r="K75" s="842"/>
    </row>
    <row r="76" spans="1:34" s="879" customFormat="1" ht="15.5" x14ac:dyDescent="0.35">
      <c r="B76" s="883"/>
      <c r="C76" s="419"/>
      <c r="D76" s="1091"/>
      <c r="E76" s="1094"/>
      <c r="F76" s="1095"/>
      <c r="G76" s="1095"/>
      <c r="H76" s="1091"/>
      <c r="I76" s="1094"/>
      <c r="J76" s="1094"/>
      <c r="K76" s="842"/>
    </row>
    <row r="77" spans="1:34" s="879" customFormat="1" ht="15.5" x14ac:dyDescent="0.35">
      <c r="B77" s="1195" t="s">
        <v>1567</v>
      </c>
      <c r="C77" s="2541">
        <f>'Baseline farm'!C79</f>
        <v>0</v>
      </c>
      <c r="D77" s="2541"/>
      <c r="E77" s="1479"/>
      <c r="F77" s="1479" t="s">
        <v>1568</v>
      </c>
      <c r="G77" s="898">
        <f>'Baseline farm'!G79</f>
        <v>0</v>
      </c>
      <c r="H77" s="1231" t="s">
        <v>1569</v>
      </c>
      <c r="I77" s="898">
        <f>'Baseline farm'!I79</f>
        <v>0</v>
      </c>
      <c r="J77" s="898"/>
      <c r="K77" s="842"/>
      <c r="M77" s="440"/>
      <c r="AA77" s="880"/>
      <c r="AB77" s="880"/>
      <c r="AC77" s="880"/>
      <c r="AD77" s="880"/>
      <c r="AE77" s="880"/>
      <c r="AF77" s="880"/>
      <c r="AG77" s="880"/>
      <c r="AH77" s="880"/>
    </row>
    <row r="78" spans="1:34" ht="15.5" x14ac:dyDescent="0.35">
      <c r="B78" s="1230"/>
      <c r="C78" s="991"/>
      <c r="D78" s="991"/>
      <c r="E78" s="991"/>
      <c r="F78" s="991"/>
      <c r="G78" s="991"/>
      <c r="H78" s="991"/>
      <c r="I78" s="1523"/>
      <c r="J78" s="1094"/>
      <c r="K78" s="1225"/>
      <c r="M78" s="995"/>
      <c r="AA78" s="996"/>
      <c r="AB78" s="996"/>
      <c r="AC78" s="996"/>
      <c r="AD78" s="996"/>
      <c r="AE78" s="996"/>
      <c r="AF78" s="996"/>
      <c r="AG78" s="996"/>
      <c r="AH78" s="996"/>
    </row>
    <row r="79" spans="1:34" ht="15.5" x14ac:dyDescent="0.35">
      <c r="A79" s="996"/>
      <c r="B79" s="992" t="s">
        <v>861</v>
      </c>
      <c r="C79" s="1320"/>
      <c r="D79" s="1320"/>
      <c r="E79" s="1320"/>
      <c r="F79" s="1320"/>
      <c r="G79" s="1320"/>
      <c r="H79" s="1320"/>
      <c r="I79" s="642"/>
      <c r="J79" s="642"/>
      <c r="K79" s="1321"/>
      <c r="N79" s="995"/>
    </row>
    <row r="80" spans="1:34" ht="15.5" x14ac:dyDescent="0.35">
      <c r="A80" s="996"/>
      <c r="B80" s="1194"/>
      <c r="C80" s="2637" t="s">
        <v>863</v>
      </c>
      <c r="D80" s="2637"/>
      <c r="E80" s="2637"/>
      <c r="F80" s="2594" t="str">
        <f>'Baseline farm'!F82</f>
        <v>Default state-based factors and fractions</v>
      </c>
      <c r="G80" s="2594"/>
      <c r="H80" s="1288" t="s">
        <v>1222</v>
      </c>
      <c r="I80" s="1502" t="e">
        <f>D237</f>
        <v>#DIV/0!</v>
      </c>
      <c r="J80" s="1502"/>
      <c r="K80" s="1223"/>
      <c r="N80" s="995"/>
    </row>
    <row r="81" spans="1:34" ht="15.65" customHeight="1" x14ac:dyDescent="0.35">
      <c r="A81" s="996"/>
      <c r="B81" s="2571" t="s">
        <v>909</v>
      </c>
      <c r="C81" s="1224"/>
      <c r="D81" s="1224"/>
      <c r="E81" s="1224"/>
      <c r="F81" s="1224"/>
      <c r="G81" s="1224"/>
      <c r="H81" s="1224"/>
      <c r="I81" s="1224"/>
      <c r="J81" s="1224"/>
      <c r="K81" s="1223"/>
      <c r="N81" s="995"/>
    </row>
    <row r="82" spans="1:34" ht="15.5" x14ac:dyDescent="0.35">
      <c r="A82" s="996"/>
      <c r="B82" s="2571"/>
      <c r="C82" s="1391" t="s">
        <v>1235</v>
      </c>
      <c r="D82" s="1391" t="s">
        <v>1236</v>
      </c>
      <c r="E82" s="1391" t="s">
        <v>1237</v>
      </c>
      <c r="F82" s="1391" t="s">
        <v>226</v>
      </c>
      <c r="G82" s="1391" t="s">
        <v>1322</v>
      </c>
      <c r="H82" s="1198"/>
      <c r="I82" s="1198"/>
      <c r="J82" s="1198"/>
      <c r="K82" s="1223"/>
      <c r="N82" s="995"/>
    </row>
    <row r="83" spans="1:34" ht="15.5" x14ac:dyDescent="0.35">
      <c r="A83" s="996"/>
      <c r="B83" s="1193" t="s">
        <v>451</v>
      </c>
      <c r="C83" s="1390" t="e">
        <f>IF($AD$193=1,AI217,AI218)</f>
        <v>#N/A</v>
      </c>
      <c r="D83" s="1390" t="e">
        <f>IF($AD$193=1,AJ217,AJ218)</f>
        <v>#N/A</v>
      </c>
      <c r="E83" s="1390" t="e">
        <f>IF($AD$193=1,AK217,AK218)</f>
        <v>#N/A</v>
      </c>
      <c r="F83" s="1390" t="e">
        <f>IF($AD$193=1,AM217,AM218)</f>
        <v>#N/A</v>
      </c>
      <c r="G83" s="1390" t="e">
        <f>IF($AD$193=1,AH217,AH218)</f>
        <v>#N/A</v>
      </c>
      <c r="H83" s="1202"/>
      <c r="I83" s="1202"/>
      <c r="J83" s="1202"/>
      <c r="K83" s="1223"/>
      <c r="N83" s="995"/>
    </row>
    <row r="84" spans="1:34" ht="15.5" x14ac:dyDescent="0.35">
      <c r="A84" s="996"/>
      <c r="B84" s="1193" t="s">
        <v>862</v>
      </c>
      <c r="C84" s="1390">
        <f>IF($AD$193=1,AI220,AI221)</f>
        <v>0</v>
      </c>
      <c r="D84" s="1390">
        <f>IF($AD$193=1,AJ220,AJ221)</f>
        <v>0</v>
      </c>
      <c r="E84" s="1390">
        <f>IF($AD$193=1,AK220,AK221)</f>
        <v>0</v>
      </c>
      <c r="F84" s="1390">
        <f>IF($AD$193=1,AM220,AM221)</f>
        <v>0</v>
      </c>
      <c r="G84" s="1390">
        <f>IF($AD$193=1,AH220,AH221)</f>
        <v>100</v>
      </c>
      <c r="H84" s="1202"/>
      <c r="I84" s="1202"/>
      <c r="J84" s="1202"/>
      <c r="K84" s="1223"/>
      <c r="N84" s="995"/>
    </row>
    <row r="85" spans="1:34" ht="15.5" x14ac:dyDescent="0.35">
      <c r="A85" s="996"/>
      <c r="B85" s="1194"/>
      <c r="C85" s="1224"/>
      <c r="D85" s="1224"/>
      <c r="E85" s="1224"/>
      <c r="F85" s="1224"/>
      <c r="G85" s="1224"/>
      <c r="H85" s="1224"/>
      <c r="I85" s="1224"/>
      <c r="J85" s="1224"/>
      <c r="K85" s="1223"/>
      <c r="N85" s="995"/>
    </row>
    <row r="86" spans="1:34" ht="15.65" customHeight="1" x14ac:dyDescent="0.35">
      <c r="A86" s="996"/>
      <c r="B86" s="2585" t="s">
        <v>941</v>
      </c>
      <c r="C86" s="2586"/>
      <c r="D86" s="2586"/>
      <c r="E86" s="2586"/>
      <c r="F86" s="2586"/>
      <c r="G86" s="2586"/>
      <c r="H86" s="2586"/>
      <c r="I86" s="2586"/>
      <c r="J86" s="1689"/>
      <c r="K86" s="1223"/>
      <c r="N86" s="995"/>
    </row>
    <row r="87" spans="1:34" ht="15.65" customHeight="1" x14ac:dyDescent="0.35">
      <c r="A87" s="996"/>
      <c r="B87" s="2585"/>
      <c r="C87" s="2586"/>
      <c r="D87" s="2586"/>
      <c r="E87" s="2586"/>
      <c r="F87" s="2586"/>
      <c r="G87" s="2586"/>
      <c r="H87" s="2586"/>
      <c r="I87" s="2586"/>
      <c r="J87" s="1689"/>
      <c r="K87" s="1223"/>
      <c r="N87" s="995"/>
    </row>
    <row r="88" spans="1:34" ht="16.5" x14ac:dyDescent="0.35">
      <c r="A88" s="996"/>
      <c r="B88" s="2585"/>
      <c r="C88" s="2586"/>
      <c r="D88" s="2586"/>
      <c r="E88" s="2586"/>
      <c r="F88" s="2586"/>
      <c r="G88" s="2586"/>
      <c r="H88" s="2586"/>
      <c r="I88" s="2586"/>
      <c r="J88" s="1689"/>
      <c r="K88" s="1223"/>
      <c r="N88" s="995"/>
    </row>
    <row r="89" spans="1:34" ht="16.5" x14ac:dyDescent="0.35">
      <c r="A89" s="996"/>
      <c r="B89" s="1386"/>
      <c r="C89" s="1387"/>
      <c r="D89" s="1387"/>
      <c r="E89" s="1387"/>
      <c r="F89" s="1387"/>
      <c r="G89" s="1387"/>
      <c r="H89" s="1387"/>
      <c r="I89" s="1495"/>
      <c r="J89" s="1689"/>
      <c r="K89" s="1223"/>
      <c r="N89" s="995"/>
    </row>
    <row r="90" spans="1:34" s="996" customFormat="1" ht="15.5" x14ac:dyDescent="0.35">
      <c r="A90" s="993"/>
      <c r="B90" s="1194" t="s">
        <v>451</v>
      </c>
      <c r="C90" s="1091"/>
      <c r="D90" s="1091"/>
      <c r="E90" s="1091"/>
      <c r="F90" s="1091"/>
      <c r="G90" s="1198" t="s">
        <v>870</v>
      </c>
      <c r="H90" s="1198" t="s">
        <v>871</v>
      </c>
      <c r="I90" s="1091"/>
      <c r="J90" s="1091"/>
      <c r="K90" s="1225"/>
      <c r="L90" s="993"/>
      <c r="M90" s="993"/>
      <c r="N90" s="993"/>
      <c r="O90" s="993"/>
      <c r="P90" s="993"/>
      <c r="Q90" s="993"/>
      <c r="R90" s="993"/>
      <c r="S90" s="993"/>
      <c r="T90" s="993"/>
      <c r="U90" s="993"/>
      <c r="V90" s="993"/>
      <c r="W90" s="993"/>
      <c r="X90" s="993"/>
      <c r="Y90" s="993"/>
      <c r="Z90" s="993"/>
      <c r="AA90" s="993"/>
      <c r="AB90" s="993"/>
      <c r="AC90" s="993"/>
      <c r="AD90" s="993"/>
      <c r="AE90" s="993"/>
      <c r="AF90" s="993"/>
      <c r="AG90" s="993"/>
      <c r="AH90" s="993"/>
    </row>
    <row r="91" spans="1:34" s="996" customFormat="1" ht="15.5" x14ac:dyDescent="0.35">
      <c r="A91" s="993"/>
      <c r="B91" s="1193" t="s">
        <v>1223</v>
      </c>
      <c r="C91" s="1091"/>
      <c r="D91" s="1091"/>
      <c r="E91" s="1091"/>
      <c r="F91" s="1232"/>
      <c r="G91" s="1383">
        <f>'Baseline farm'!G92</f>
        <v>0</v>
      </c>
      <c r="H91" s="1383">
        <f>'Baseline farm'!H92</f>
        <v>0</v>
      </c>
      <c r="I91" s="1091"/>
      <c r="J91" s="1091"/>
      <c r="K91" s="1225"/>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row>
    <row r="92" spans="1:34" s="996" customFormat="1" ht="15.5" x14ac:dyDescent="0.35">
      <c r="A92" s="993"/>
      <c r="B92" s="1193"/>
      <c r="C92" s="1091"/>
      <c r="D92" s="1091"/>
      <c r="E92" s="1091"/>
      <c r="F92" s="1091"/>
      <c r="G92" s="1091"/>
      <c r="H92" s="1228"/>
      <c r="I92" s="1091"/>
      <c r="J92" s="1091"/>
      <c r="K92" s="1225"/>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row>
    <row r="93" spans="1:34" s="996" customFormat="1" ht="15.5" x14ac:dyDescent="0.35">
      <c r="A93" s="993"/>
      <c r="B93" s="1229" t="s">
        <v>1240</v>
      </c>
      <c r="C93" s="1091"/>
      <c r="D93" s="1379"/>
      <c r="E93" s="1379"/>
      <c r="F93" s="1092"/>
      <c r="G93" s="1383">
        <f>'Baseline farm'!G94</f>
        <v>0</v>
      </c>
      <c r="H93" s="1381" t="s">
        <v>222</v>
      </c>
      <c r="I93" s="1493"/>
      <c r="J93" s="1687"/>
      <c r="K93" s="1225"/>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row>
    <row r="94" spans="1:34" s="996" customFormat="1" ht="15.5" x14ac:dyDescent="0.35">
      <c r="A94" s="993"/>
      <c r="B94" s="1193" t="s">
        <v>1540</v>
      </c>
      <c r="C94" s="1379"/>
      <c r="D94" s="1379"/>
      <c r="E94" s="1379"/>
      <c r="F94" s="1092"/>
      <c r="G94" s="1383">
        <f>'Baseline farm'!G95</f>
        <v>0</v>
      </c>
      <c r="H94" s="1381" t="s">
        <v>222</v>
      </c>
      <c r="I94" s="1493"/>
      <c r="J94" s="1687"/>
      <c r="K94" s="1225"/>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row>
    <row r="95" spans="1:34" s="996" customFormat="1" ht="15.5" x14ac:dyDescent="0.35">
      <c r="A95" s="993"/>
      <c r="B95" s="1193" t="s">
        <v>1239</v>
      </c>
      <c r="C95" s="1379"/>
      <c r="D95" s="1379"/>
      <c r="E95" s="1379"/>
      <c r="F95" s="1092"/>
      <c r="G95" s="1379">
        <f>'Baseline farm'!G96</f>
        <v>100</v>
      </c>
      <c r="H95" s="1379"/>
      <c r="I95" s="1493"/>
      <c r="J95" s="1687"/>
      <c r="K95" s="1225"/>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row>
    <row r="96" spans="1:34" s="996" customFormat="1" ht="15.5" x14ac:dyDescent="0.35">
      <c r="A96" s="993"/>
      <c r="B96" s="1194"/>
      <c r="C96" s="1379"/>
      <c r="D96" s="1379"/>
      <c r="E96" s="1379"/>
      <c r="F96" s="1092"/>
      <c r="G96" s="1379"/>
      <c r="H96" s="1379"/>
      <c r="I96" s="1493"/>
      <c r="J96" s="1687"/>
      <c r="K96" s="1225"/>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row>
    <row r="97" spans="1:34" s="996" customFormat="1" ht="15.5" x14ac:dyDescent="0.35">
      <c r="A97" s="993"/>
      <c r="B97" s="1193" t="s">
        <v>1541</v>
      </c>
      <c r="C97" s="1379"/>
      <c r="D97" s="1379"/>
      <c r="E97" s="1379"/>
      <c r="F97" s="1092"/>
      <c r="G97" s="1383">
        <f>'Baseline farm'!G98</f>
        <v>0</v>
      </c>
      <c r="H97" s="1379"/>
      <c r="I97" s="1493"/>
      <c r="J97" s="1687"/>
      <c r="K97" s="1225"/>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row>
    <row r="98" spans="1:34" s="996" customFormat="1" ht="15.5" x14ac:dyDescent="0.35">
      <c r="A98" s="993"/>
      <c r="B98" s="1193"/>
      <c r="C98" s="1379"/>
      <c r="D98" s="1379"/>
      <c r="E98" s="1379"/>
      <c r="F98" s="1379"/>
      <c r="G98" s="1198" t="s">
        <v>870</v>
      </c>
      <c r="H98" s="1198" t="s">
        <v>871</v>
      </c>
      <c r="I98" s="1493"/>
      <c r="J98" s="1687"/>
      <c r="K98" s="1225"/>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row>
    <row r="99" spans="1:34" s="996" customFormat="1" ht="15.5" x14ac:dyDescent="0.35">
      <c r="A99" s="993"/>
      <c r="B99" s="1193" t="s">
        <v>1224</v>
      </c>
      <c r="C99" s="1379"/>
      <c r="D99" s="1379"/>
      <c r="E99" s="1379"/>
      <c r="F99" s="1379"/>
      <c r="G99" s="1383">
        <f>'Baseline farm'!G100</f>
        <v>0</v>
      </c>
      <c r="H99" s="1383">
        <f>'Baseline farm'!H100</f>
        <v>0</v>
      </c>
      <c r="I99" s="1493"/>
      <c r="J99" s="1687"/>
      <c r="K99" s="1225"/>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row>
    <row r="100" spans="1:34" s="996" customFormat="1" ht="15.5" x14ac:dyDescent="0.35">
      <c r="A100" s="993"/>
      <c r="B100" s="1193"/>
      <c r="C100" s="1379"/>
      <c r="D100" s="1379"/>
      <c r="E100" s="1379"/>
      <c r="F100" s="1379"/>
      <c r="G100" s="1379"/>
      <c r="H100" s="1379"/>
      <c r="I100" s="1493"/>
      <c r="J100" s="1687"/>
      <c r="K100" s="1225"/>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row>
    <row r="101" spans="1:34" s="996" customFormat="1" ht="15.5" x14ac:dyDescent="0.35">
      <c r="A101" s="993"/>
      <c r="B101" s="1193" t="s">
        <v>1212</v>
      </c>
      <c r="C101" s="1379"/>
      <c r="D101" s="1379"/>
      <c r="E101" s="1092"/>
      <c r="F101" s="2629">
        <f>'Baseline farm'!F102:G102</f>
        <v>0</v>
      </c>
      <c r="G101" s="2629"/>
      <c r="H101" s="1198" t="s">
        <v>931</v>
      </c>
      <c r="I101" s="1202" t="e">
        <f>AO219</f>
        <v>#N/A</v>
      </c>
      <c r="J101" s="1202"/>
      <c r="K101" s="1225"/>
      <c r="L101" s="993"/>
      <c r="M101" s="993"/>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row>
    <row r="102" spans="1:34" s="996" customFormat="1" ht="15.5" x14ac:dyDescent="0.35">
      <c r="A102" s="993"/>
      <c r="B102" s="1194"/>
      <c r="C102" s="1379"/>
      <c r="D102" s="1379"/>
      <c r="E102" s="1379"/>
      <c r="F102" s="1379"/>
      <c r="G102" s="1379"/>
      <c r="H102" s="1379"/>
      <c r="I102" s="1493"/>
      <c r="J102" s="1687"/>
      <c r="K102" s="1225"/>
      <c r="L102" s="993"/>
      <c r="M102" s="993"/>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row>
    <row r="103" spans="1:34" s="996" customFormat="1" ht="15.5" x14ac:dyDescent="0.35">
      <c r="A103" s="993"/>
      <c r="B103" s="1194" t="s">
        <v>876</v>
      </c>
      <c r="C103" s="1379"/>
      <c r="D103" s="1379"/>
      <c r="E103" s="1379"/>
      <c r="F103" s="1379"/>
      <c r="G103" s="1198" t="s">
        <v>870</v>
      </c>
      <c r="H103" s="1198" t="s">
        <v>871</v>
      </c>
      <c r="I103" s="1493"/>
      <c r="J103" s="1687"/>
      <c r="K103" s="1225"/>
      <c r="L103" s="993"/>
      <c r="M103" s="993"/>
      <c r="N103" s="993"/>
      <c r="O103" s="993"/>
      <c r="P103" s="993"/>
      <c r="Q103" s="993"/>
      <c r="R103" s="993"/>
      <c r="S103" s="993"/>
      <c r="T103" s="993"/>
      <c r="U103" s="993"/>
      <c r="V103" s="993"/>
      <c r="W103" s="993"/>
      <c r="X103" s="993"/>
      <c r="Y103" s="993"/>
      <c r="Z103" s="993"/>
      <c r="AA103" s="993"/>
      <c r="AB103" s="993"/>
      <c r="AC103" s="993"/>
      <c r="AD103" s="993"/>
      <c r="AE103" s="993"/>
      <c r="AF103" s="993"/>
      <c r="AG103" s="993"/>
      <c r="AH103" s="993"/>
    </row>
    <row r="104" spans="1:34" ht="15.5" x14ac:dyDescent="0.35">
      <c r="B104" s="1193" t="s">
        <v>989</v>
      </c>
      <c r="C104" s="1379"/>
      <c r="D104" s="1379"/>
      <c r="E104" s="1379"/>
      <c r="F104" s="1379"/>
      <c r="G104" s="1383">
        <f>'Baseline farm'!G105</f>
        <v>0</v>
      </c>
      <c r="H104" s="1383">
        <f>'Baseline farm'!H105</f>
        <v>0</v>
      </c>
      <c r="I104" s="1493"/>
      <c r="J104" s="1687"/>
      <c r="K104" s="1225"/>
    </row>
    <row r="105" spans="1:34" x14ac:dyDescent="0.35">
      <c r="B105" s="1335"/>
      <c r="C105" s="1233"/>
      <c r="D105" s="1233"/>
      <c r="E105" s="1233"/>
      <c r="F105" s="1233"/>
      <c r="G105" s="1233"/>
      <c r="H105" s="1233"/>
      <c r="I105" s="1233"/>
      <c r="J105" s="1233"/>
      <c r="K105" s="1225"/>
    </row>
    <row r="106" spans="1:34" ht="15.5" x14ac:dyDescent="0.35">
      <c r="B106" s="1193" t="s">
        <v>872</v>
      </c>
      <c r="C106" s="1233"/>
      <c r="D106" s="1233"/>
      <c r="E106" s="1228"/>
      <c r="F106" s="2594">
        <f>'Baseline farm'!F107:G107</f>
        <v>0</v>
      </c>
      <c r="G106" s="2594"/>
      <c r="H106" s="1198" t="s">
        <v>931</v>
      </c>
      <c r="I106" s="1524">
        <f>AO222</f>
        <v>1</v>
      </c>
      <c r="J106" s="1524"/>
      <c r="K106" s="1225"/>
    </row>
    <row r="107" spans="1:34" x14ac:dyDescent="0.35">
      <c r="B107" s="1234"/>
      <c r="C107" s="1336"/>
      <c r="D107" s="1336"/>
      <c r="E107" s="1336"/>
      <c r="F107" s="1336"/>
      <c r="G107" s="1336"/>
      <c r="H107" s="1336"/>
      <c r="I107" s="1525"/>
      <c r="J107" s="1525"/>
      <c r="K107" s="1526"/>
    </row>
    <row r="108" spans="1:34" x14ac:dyDescent="0.35">
      <c r="J108" s="1515"/>
    </row>
    <row r="109" spans="1:34" ht="15.5" x14ac:dyDescent="0.35">
      <c r="B109" s="1235" t="s">
        <v>637</v>
      </c>
    </row>
    <row r="110" spans="1:34" ht="25.15" customHeight="1" x14ac:dyDescent="0.35">
      <c r="B110" s="2569"/>
      <c r="C110" s="2570"/>
      <c r="D110" s="2561" t="s">
        <v>212</v>
      </c>
      <c r="E110" s="2561" t="s">
        <v>1955</v>
      </c>
      <c r="F110" s="2561" t="s">
        <v>1956</v>
      </c>
      <c r="G110" s="2561" t="s">
        <v>1007</v>
      </c>
      <c r="H110" s="2563" t="s">
        <v>1987</v>
      </c>
      <c r="I110" s="2563" t="s">
        <v>1988</v>
      </c>
      <c r="J110" s="2638" t="s">
        <v>425</v>
      </c>
      <c r="K110" s="2645" t="s">
        <v>965</v>
      </c>
      <c r="L110" s="2559" t="s">
        <v>966</v>
      </c>
    </row>
    <row r="111" spans="1:34" ht="25.15" customHeight="1" x14ac:dyDescent="0.35">
      <c r="B111" s="1542"/>
      <c r="C111" s="1543"/>
      <c r="D111" s="2562"/>
      <c r="E111" s="2562"/>
      <c r="F111" s="2562"/>
      <c r="G111" s="2562"/>
      <c r="H111" s="2564"/>
      <c r="I111" s="2564"/>
      <c r="J111" s="2639"/>
      <c r="K111" s="2646"/>
      <c r="L111" s="2640"/>
    </row>
    <row r="112" spans="1:34" ht="15.5" x14ac:dyDescent="0.35">
      <c r="B112" s="844" t="s">
        <v>997</v>
      </c>
      <c r="C112" s="1216" t="s">
        <v>420</v>
      </c>
      <c r="D112" s="1375" t="e">
        <f>SUM(D225:D225)*25*10^3</f>
        <v>#DIV/0!</v>
      </c>
      <c r="E112" s="1375">
        <f>SUM(E225:E225)*25*10^3</f>
        <v>0</v>
      </c>
      <c r="F112" s="1375">
        <f>SUM(F225,I225)*25*10^3</f>
        <v>0</v>
      </c>
      <c r="G112" s="1375">
        <f>SUM(G225:G225)*25*10^3</f>
        <v>0</v>
      </c>
      <c r="H112" s="1375">
        <f>SUM(H225,J225)*25*10^3</f>
        <v>0</v>
      </c>
      <c r="I112" s="1375">
        <f>K225*25*10^3</f>
        <v>0</v>
      </c>
      <c r="J112" s="1375"/>
      <c r="K112" s="1375" t="e">
        <f>SUM(D112:I112)</f>
        <v>#DIV/0!</v>
      </c>
      <c r="L112" s="846" t="e">
        <f t="shared" ref="L112:L123" si="0">K112/($K$125)</f>
        <v>#DIV/0!</v>
      </c>
      <c r="M112" s="1255"/>
      <c r="T112" s="995"/>
      <c r="U112" s="995"/>
      <c r="V112" s="996"/>
      <c r="W112" s="996"/>
      <c r="X112" s="996"/>
      <c r="Y112" s="996"/>
      <c r="Z112" s="996"/>
    </row>
    <row r="113" spans="1:26" ht="15.5" x14ac:dyDescent="0.35">
      <c r="B113" s="845"/>
      <c r="C113" s="994" t="s">
        <v>861</v>
      </c>
      <c r="D113" s="1375" t="e">
        <f>SUM(D250)*25*10^3</f>
        <v>#DIV/0!</v>
      </c>
      <c r="E113" s="1375">
        <f>SUM(E250)*25*10^3</f>
        <v>0</v>
      </c>
      <c r="F113" s="1375">
        <f>SUM(F250,I250)*25*10^3</f>
        <v>0</v>
      </c>
      <c r="G113" s="1375">
        <f>SUM(G250)*25*10^3</f>
        <v>0</v>
      </c>
      <c r="H113" s="1375">
        <f>SUM(H250,J250)*25*10^3</f>
        <v>0</v>
      </c>
      <c r="I113" s="1375">
        <f>K250*25*10^3</f>
        <v>0</v>
      </c>
      <c r="J113" s="1375"/>
      <c r="K113" s="1375" t="e">
        <f>SUM(D113:I113)</f>
        <v>#DIV/0!</v>
      </c>
      <c r="L113" s="846" t="e">
        <f t="shared" si="0"/>
        <v>#DIV/0!</v>
      </c>
      <c r="M113" s="1255"/>
      <c r="T113" s="995"/>
      <c r="U113" s="995"/>
      <c r="V113" s="996"/>
      <c r="W113" s="996"/>
      <c r="X113" s="996"/>
      <c r="Y113" s="996"/>
      <c r="Z113" s="996"/>
    </row>
    <row r="114" spans="1:26" ht="15.5" x14ac:dyDescent="0.35">
      <c r="A114" s="996"/>
      <c r="B114" s="844" t="s">
        <v>998</v>
      </c>
      <c r="C114" s="994" t="s">
        <v>426</v>
      </c>
      <c r="D114" s="1375" t="e">
        <f>SUM(D433)*298*10^3</f>
        <v>#DIV/0!</v>
      </c>
      <c r="E114" s="1375">
        <f>SUM(E433)*298*10^3</f>
        <v>0</v>
      </c>
      <c r="F114" s="1375">
        <f>SUM(F433,I433)*298*10^3</f>
        <v>0</v>
      </c>
      <c r="G114" s="1375">
        <f>SUM(G433)*298*10^3</f>
        <v>0</v>
      </c>
      <c r="H114" s="1375">
        <f>SUM(H433,J433)*298*10^3</f>
        <v>0</v>
      </c>
      <c r="I114" s="1375">
        <f>K433*298*10^3</f>
        <v>0</v>
      </c>
      <c r="J114" s="1375"/>
      <c r="K114" s="1375" t="e">
        <f t="shared" ref="K114:K116" si="1">SUM(D114:I114)</f>
        <v>#DIV/0!</v>
      </c>
      <c r="L114" s="846" t="e">
        <f t="shared" si="0"/>
        <v>#DIV/0!</v>
      </c>
      <c r="M114" s="1255"/>
      <c r="O114" s="1255"/>
    </row>
    <row r="115" spans="1:26" ht="15.5" x14ac:dyDescent="0.35">
      <c r="A115" s="996"/>
      <c r="B115" s="845"/>
      <c r="C115" s="994" t="s">
        <v>1332</v>
      </c>
      <c r="D115" s="1424" t="e">
        <f>(D312+D388)*298*10^3</f>
        <v>#DIV/0!</v>
      </c>
      <c r="E115" s="1424">
        <f>(E312+E388)*298*10^3</f>
        <v>0</v>
      </c>
      <c r="F115" s="1424">
        <f>(F312+I312+F388+I388)*298*10^3</f>
        <v>0</v>
      </c>
      <c r="G115" s="1424">
        <f>(G312+G388)*298*10^3</f>
        <v>0</v>
      </c>
      <c r="H115" s="1424">
        <f>(H312+J312+H388+J388)*298*10^3</f>
        <v>0</v>
      </c>
      <c r="I115" s="1424">
        <f>(K312+K388)*298*10^3</f>
        <v>0</v>
      </c>
      <c r="J115" s="1375"/>
      <c r="K115" s="1375" t="e">
        <f t="shared" si="1"/>
        <v>#DIV/0!</v>
      </c>
      <c r="L115" s="846" t="e">
        <f t="shared" si="0"/>
        <v>#DIV/0!</v>
      </c>
      <c r="M115" s="1255"/>
      <c r="O115" s="1255"/>
      <c r="P115" s="995"/>
      <c r="Q115" s="995"/>
      <c r="R115" s="995"/>
      <c r="S115" s="995"/>
    </row>
    <row r="116" spans="1:26" ht="15.5" x14ac:dyDescent="0.35">
      <c r="A116" s="996"/>
      <c r="B116" s="845"/>
      <c r="C116" s="994" t="s">
        <v>423</v>
      </c>
      <c r="D116" s="1375" t="e">
        <f>SUM(D327,D336,D470,D504)*298*10^3</f>
        <v>#DIV/0!</v>
      </c>
      <c r="E116" s="1375">
        <f>SUM(E327,E336,E470,E504)*298*10^3</f>
        <v>0</v>
      </c>
      <c r="F116" s="1375">
        <f>SUM(F327,F336,F470,F504,I327,I336,I470,I504)*298*10^3</f>
        <v>0</v>
      </c>
      <c r="G116" s="1375">
        <f>SUM(G327,G336,G470,G504)*298*10^3</f>
        <v>0</v>
      </c>
      <c r="H116" s="1375">
        <f>SUM(H327,H336,H470,H504,J327,J336,J470,J504)*298*10^3</f>
        <v>0</v>
      </c>
      <c r="I116" s="1375">
        <f>SUM(K327,K336,K470,K504)*298*10^3</f>
        <v>0</v>
      </c>
      <c r="J116" s="1375"/>
      <c r="K116" s="1375" t="e">
        <f t="shared" si="1"/>
        <v>#DIV/0!</v>
      </c>
      <c r="L116" s="846" t="e">
        <f t="shared" si="0"/>
        <v>#DIV/0!</v>
      </c>
      <c r="M116" s="1255"/>
      <c r="O116" s="1255"/>
    </row>
    <row r="117" spans="1:26" ht="15.5" x14ac:dyDescent="0.35">
      <c r="A117" s="996"/>
      <c r="B117" s="845"/>
      <c r="C117" s="994" t="s">
        <v>424</v>
      </c>
      <c r="D117" s="1281"/>
      <c r="E117" s="1375"/>
      <c r="F117" s="1375"/>
      <c r="G117" s="1375"/>
      <c r="H117" s="1375"/>
      <c r="I117" s="1375"/>
      <c r="J117" s="1375">
        <f>C366</f>
        <v>0</v>
      </c>
      <c r="K117" s="1375">
        <f>J117</f>
        <v>0</v>
      </c>
      <c r="L117" s="846" t="e">
        <f t="shared" si="0"/>
        <v>#DIV/0!</v>
      </c>
      <c r="M117" s="1255"/>
    </row>
    <row r="118" spans="1:26" ht="15.5" x14ac:dyDescent="0.35">
      <c r="A118" s="996"/>
      <c r="B118" s="845"/>
      <c r="C118" s="994" t="s">
        <v>422</v>
      </c>
      <c r="D118" s="1281"/>
      <c r="E118" s="1375"/>
      <c r="F118" s="1375"/>
      <c r="G118" s="1375"/>
      <c r="H118" s="1375"/>
      <c r="I118" s="1375"/>
      <c r="J118" s="1375">
        <f>(SUM(D465:D466)+SUM(D499:D500))*298*10^3</f>
        <v>0</v>
      </c>
      <c r="K118" s="1375">
        <f>J118</f>
        <v>0</v>
      </c>
      <c r="L118" s="846" t="e">
        <f t="shared" si="0"/>
        <v>#DIV/0!</v>
      </c>
    </row>
    <row r="119" spans="1:26" ht="15.5" x14ac:dyDescent="0.35">
      <c r="A119" s="996"/>
      <c r="B119" s="844" t="s">
        <v>2163</v>
      </c>
      <c r="C119" s="994" t="s">
        <v>798</v>
      </c>
      <c r="D119" s="1281"/>
      <c r="E119" s="1375"/>
      <c r="F119" s="1375"/>
      <c r="G119" s="1375"/>
      <c r="H119" s="1375"/>
      <c r="I119" s="1375"/>
      <c r="J119" s="1375"/>
      <c r="K119" s="1375">
        <f>C578</f>
        <v>0</v>
      </c>
      <c r="L119" s="846" t="e">
        <f t="shared" si="0"/>
        <v>#DIV/0!</v>
      </c>
    </row>
    <row r="120" spans="1:26" ht="15.5" x14ac:dyDescent="0.35">
      <c r="A120" s="996"/>
      <c r="B120" s="844"/>
      <c r="C120" s="994" t="s">
        <v>799</v>
      </c>
      <c r="D120" s="1281"/>
      <c r="E120" s="1375"/>
      <c r="F120" s="1375"/>
      <c r="G120" s="1375"/>
      <c r="H120" s="1375"/>
      <c r="I120" s="1375"/>
      <c r="J120" s="1375"/>
      <c r="K120" s="1375">
        <f>C571+C572</f>
        <v>0</v>
      </c>
      <c r="L120" s="846" t="e">
        <f t="shared" si="0"/>
        <v>#DIV/0!</v>
      </c>
    </row>
    <row r="121" spans="1:26" ht="15.5" x14ac:dyDescent="0.35">
      <c r="A121" s="996"/>
      <c r="B121" s="844" t="s">
        <v>1968</v>
      </c>
      <c r="C121" s="994" t="s">
        <v>845</v>
      </c>
      <c r="D121" s="1281"/>
      <c r="E121" s="1375"/>
      <c r="F121" s="1375"/>
      <c r="G121" s="1375"/>
      <c r="H121" s="1375"/>
      <c r="I121" s="1375"/>
      <c r="J121" s="1375"/>
      <c r="K121" s="1375">
        <f>E602</f>
        <v>0</v>
      </c>
      <c r="L121" s="846" t="e">
        <f t="shared" si="0"/>
        <v>#DIV/0!</v>
      </c>
    </row>
    <row r="122" spans="1:26" ht="15.5" x14ac:dyDescent="0.35">
      <c r="A122" s="996"/>
      <c r="B122" s="844"/>
      <c r="C122" s="994" t="s">
        <v>846</v>
      </c>
      <c r="D122" s="1281"/>
      <c r="E122" s="1375"/>
      <c r="F122" s="1375"/>
      <c r="G122" s="1375"/>
      <c r="H122" s="1375"/>
      <c r="I122" s="1375"/>
      <c r="J122" s="1375"/>
      <c r="K122" s="1375">
        <f>E604-E602</f>
        <v>0</v>
      </c>
      <c r="L122" s="846" t="e">
        <f t="shared" si="0"/>
        <v>#DIV/0!</v>
      </c>
    </row>
    <row r="123" spans="1:26" ht="15.5" x14ac:dyDescent="0.35">
      <c r="A123" s="996"/>
      <c r="B123" s="844"/>
      <c r="C123" s="994" t="s">
        <v>828</v>
      </c>
      <c r="D123" s="1281"/>
      <c r="E123" s="1375"/>
      <c r="F123" s="1375"/>
      <c r="G123" s="1375"/>
      <c r="H123" s="1375"/>
      <c r="I123" s="1375"/>
      <c r="J123" s="1375"/>
      <c r="K123" s="1375">
        <f>E611</f>
        <v>0</v>
      </c>
      <c r="L123" s="846" t="e">
        <f t="shared" si="0"/>
        <v>#DIV/0!</v>
      </c>
    </row>
    <row r="124" spans="1:26" ht="15.5" x14ac:dyDescent="0.35">
      <c r="A124" s="996"/>
      <c r="B124" s="844"/>
      <c r="C124" s="994"/>
      <c r="D124" s="1281"/>
      <c r="E124" s="1375"/>
      <c r="F124" s="1375"/>
      <c r="G124" s="1375"/>
      <c r="H124" s="1375"/>
      <c r="I124" s="1375"/>
      <c r="J124" s="1375"/>
      <c r="K124" s="1375"/>
      <c r="L124" s="846"/>
    </row>
    <row r="125" spans="1:26" ht="18" x14ac:dyDescent="0.45">
      <c r="A125" s="996"/>
      <c r="B125" s="844" t="s">
        <v>1939</v>
      </c>
      <c r="C125" s="994"/>
      <c r="D125" s="1282" t="e">
        <f t="shared" ref="D125:K125" si="2">SUM(D112:D123)</f>
        <v>#DIV/0!</v>
      </c>
      <c r="E125" s="1282">
        <f t="shared" si="2"/>
        <v>0</v>
      </c>
      <c r="F125" s="1282">
        <f t="shared" si="2"/>
        <v>0</v>
      </c>
      <c r="G125" s="1282">
        <f t="shared" si="2"/>
        <v>0</v>
      </c>
      <c r="H125" s="1282">
        <f t="shared" si="2"/>
        <v>0</v>
      </c>
      <c r="I125" s="1282">
        <f t="shared" ref="I125" si="3">SUM(I112:I123)</f>
        <v>0</v>
      </c>
      <c r="J125" s="1282">
        <f t="shared" si="2"/>
        <v>0</v>
      </c>
      <c r="K125" s="1528" t="e">
        <f t="shared" si="2"/>
        <v>#DIV/0!</v>
      </c>
      <c r="L125" s="847" t="s">
        <v>1225</v>
      </c>
    </row>
    <row r="126" spans="1:26" ht="15.5" x14ac:dyDescent="0.35">
      <c r="A126" s="996"/>
      <c r="B126" s="844" t="s">
        <v>942</v>
      </c>
      <c r="C126" s="994"/>
      <c r="D126" s="1284" t="e">
        <f t="shared" ref="D126:J126" si="4">D125/SUM($K$112:$K$123)</f>
        <v>#DIV/0!</v>
      </c>
      <c r="E126" s="1284" t="e">
        <f t="shared" si="4"/>
        <v>#DIV/0!</v>
      </c>
      <c r="F126" s="1284" t="e">
        <f t="shared" si="4"/>
        <v>#DIV/0!</v>
      </c>
      <c r="G126" s="1284" t="e">
        <f t="shared" si="4"/>
        <v>#DIV/0!</v>
      </c>
      <c r="H126" s="1284" t="e">
        <f t="shared" si="4"/>
        <v>#DIV/0!</v>
      </c>
      <c r="I126" s="1284" t="e">
        <f t="shared" si="4"/>
        <v>#DIV/0!</v>
      </c>
      <c r="J126" s="1284" t="e">
        <f t="shared" si="4"/>
        <v>#DIV/0!</v>
      </c>
      <c r="K126" s="1212"/>
      <c r="L126" s="848"/>
    </row>
    <row r="127" spans="1:26" ht="15.5" x14ac:dyDescent="0.35">
      <c r="A127" s="996"/>
      <c r="B127" s="844"/>
      <c r="C127" s="994"/>
      <c r="D127" s="1281"/>
      <c r="E127" s="1375"/>
      <c r="F127" s="1375"/>
      <c r="G127" s="1375"/>
      <c r="H127" s="1375"/>
      <c r="I127" s="1375"/>
      <c r="J127" s="1375"/>
      <c r="K127" s="1375"/>
      <c r="L127" s="1551"/>
    </row>
    <row r="128" spans="1:26" ht="15.5" x14ac:dyDescent="0.35">
      <c r="A128" s="996"/>
      <c r="B128" s="844" t="s">
        <v>1936</v>
      </c>
      <c r="C128" s="994" t="s">
        <v>1027</v>
      </c>
      <c r="D128" s="1281"/>
      <c r="E128" s="1375"/>
      <c r="F128" s="1375"/>
      <c r="G128" s="1375"/>
      <c r="H128" s="1375"/>
      <c r="I128" s="1375"/>
      <c r="J128" s="1375"/>
      <c r="K128" s="1375">
        <f>'Baseline farm'!K132</f>
        <v>0</v>
      </c>
      <c r="L128" s="1549"/>
    </row>
    <row r="129" spans="1:14" ht="15.5" x14ac:dyDescent="0.35">
      <c r="A129" s="996"/>
      <c r="B129" s="844"/>
      <c r="C129" s="994"/>
      <c r="D129" s="1281"/>
      <c r="E129" s="1375"/>
      <c r="F129" s="1375"/>
      <c r="G129" s="1375"/>
      <c r="H129" s="1375"/>
      <c r="I129" s="1375"/>
      <c r="J129" s="1375"/>
      <c r="K129" s="1375"/>
      <c r="L129" s="1551"/>
    </row>
    <row r="130" spans="1:14" ht="15.5" x14ac:dyDescent="0.35">
      <c r="B130" s="844" t="s">
        <v>1951</v>
      </c>
      <c r="C130" s="994"/>
      <c r="D130" s="1284"/>
      <c r="E130" s="1284"/>
      <c r="F130" s="1284"/>
      <c r="G130" s="1284"/>
      <c r="H130" s="1284"/>
      <c r="I130" s="1284"/>
      <c r="J130" s="1284"/>
      <c r="K130" s="1487" t="e">
        <f>K125+K128</f>
        <v>#DIV/0!</v>
      </c>
      <c r="L130" s="848"/>
    </row>
    <row r="131" spans="1:14" ht="15.5" x14ac:dyDescent="0.35">
      <c r="B131" s="844"/>
      <c r="C131" s="994"/>
      <c r="D131" s="1281"/>
      <c r="E131" s="1375"/>
      <c r="F131" s="1375"/>
      <c r="G131" s="1375"/>
      <c r="H131" s="1375"/>
      <c r="I131" s="1375"/>
      <c r="J131" s="1375"/>
      <c r="K131" s="1375"/>
      <c r="L131" s="1551"/>
      <c r="N131" s="1256"/>
    </row>
    <row r="132" spans="1:14" ht="18" x14ac:dyDescent="0.45">
      <c r="B132" s="1540" t="str">
        <f>_xlfn.CONCAT("GHG emissions intensity after ",ROUND($R$217,0),"% of net emissions are allocated to milk production based on mass allocation")</f>
        <v>GHG emissions intensity after 0% of net emissions are allocated to milk production based on mass allocation</v>
      </c>
      <c r="C132" s="1544"/>
      <c r="D132" s="1236"/>
      <c r="E132" s="1236"/>
      <c r="F132" s="1236"/>
      <c r="G132" s="1236"/>
      <c r="H132" s="1236"/>
      <c r="I132" s="1236"/>
      <c r="J132" s="1236"/>
      <c r="K132" s="1090">
        <f>Q221</f>
        <v>0</v>
      </c>
      <c r="L132" s="847" t="s">
        <v>1226</v>
      </c>
    </row>
    <row r="133" spans="1:14" ht="18" x14ac:dyDescent="0.45">
      <c r="B133" s="1540" t="str">
        <f>_xlfn.CONCAT("GHG emissions intensity after ",ROUND($R$217,0),"% of net emissions are allocated to milk  production based on mass allocation")</f>
        <v>GHG emissions intensity after 0% of net emissions are allocated to milk  production based on mass allocation</v>
      </c>
      <c r="C133" s="1544"/>
      <c r="D133" s="1236"/>
      <c r="E133" s="1236"/>
      <c r="F133" s="1236"/>
      <c r="G133" s="1236"/>
      <c r="H133" s="1236"/>
      <c r="I133" s="1236"/>
      <c r="J133" s="1236"/>
      <c r="K133" s="1089">
        <f>Q222</f>
        <v>0</v>
      </c>
      <c r="L133" s="847" t="s">
        <v>1227</v>
      </c>
    </row>
    <row r="134" spans="1:14" ht="18" x14ac:dyDescent="0.45">
      <c r="B134" s="1540" t="str">
        <f>_xlfn.CONCAT("GHG emissions intensity after ",ROUND($S$217,0),"% of net emissions are allocated to meat production based on mass allocation")</f>
        <v>GHG emissions intensity after 0% of net emissions are allocated to meat production based on mass allocation</v>
      </c>
      <c r="C134" s="1544"/>
      <c r="D134" s="1236"/>
      <c r="E134" s="1236"/>
      <c r="F134" s="1236"/>
      <c r="G134" s="1236"/>
      <c r="H134" s="1236"/>
      <c r="I134" s="1236"/>
      <c r="J134" s="1236"/>
      <c r="K134" s="1089">
        <f>Q223</f>
        <v>0</v>
      </c>
      <c r="L134" s="847" t="s">
        <v>1995</v>
      </c>
    </row>
    <row r="135" spans="1:14" ht="15.5" x14ac:dyDescent="0.35">
      <c r="B135" s="844"/>
      <c r="C135" s="1544"/>
      <c r="D135" s="1236"/>
      <c r="E135" s="1236"/>
      <c r="F135" s="1236"/>
      <c r="G135" s="1236"/>
      <c r="H135" s="1236"/>
      <c r="I135" s="1236"/>
      <c r="J135" s="1236"/>
      <c r="K135" s="1089"/>
      <c r="L135" s="847"/>
    </row>
    <row r="136" spans="1:14" ht="18" x14ac:dyDescent="0.45">
      <c r="B136" s="844" t="s">
        <v>1986</v>
      </c>
      <c r="C136" s="1544"/>
      <c r="D136" s="1337" t="e">
        <f>'Baseline farm'!D129</f>
        <v>#DIV/0!</v>
      </c>
      <c r="E136" s="1337" t="e">
        <f>'Baseline farm'!E129</f>
        <v>#N/A</v>
      </c>
      <c r="F136" s="1337" t="e">
        <f>'Baseline farm'!F129</f>
        <v>#N/A</v>
      </c>
      <c r="G136" s="1337" t="e">
        <f>'Baseline farm'!G129</f>
        <v>#N/A</v>
      </c>
      <c r="H136" s="1337" t="e">
        <f>'Baseline farm'!H129</f>
        <v>#N/A</v>
      </c>
      <c r="I136" s="1337"/>
      <c r="J136" s="1337">
        <f>'Baseline farm'!J129</f>
        <v>0</v>
      </c>
      <c r="K136" s="1338" t="e">
        <f>'Baseline farm'!K129</f>
        <v>#DIV/0!</v>
      </c>
      <c r="L136" s="847" t="s">
        <v>1225</v>
      </c>
    </row>
    <row r="137" spans="1:14" ht="15.5" x14ac:dyDescent="0.35">
      <c r="B137" s="844"/>
      <c r="C137" s="1544"/>
      <c r="D137" s="1337"/>
      <c r="E137" s="1337"/>
      <c r="F137" s="1337"/>
      <c r="G137" s="1337"/>
      <c r="H137" s="1337"/>
      <c r="I137" s="1337"/>
      <c r="J137" s="1337"/>
      <c r="K137" s="1338"/>
      <c r="L137" s="847"/>
    </row>
    <row r="138" spans="1:14" ht="18" x14ac:dyDescent="0.45">
      <c r="B138" s="844" t="s">
        <v>2131</v>
      </c>
      <c r="C138" s="1544"/>
      <c r="D138" s="1236"/>
      <c r="E138" s="1236"/>
      <c r="F138" s="1236"/>
      <c r="G138" s="1236"/>
      <c r="H138" s="1236"/>
      <c r="I138" s="1236"/>
      <c r="J138" s="1236"/>
      <c r="K138" s="1089" t="e">
        <f>K125-K136</f>
        <v>#DIV/0!</v>
      </c>
      <c r="L138" s="847" t="s">
        <v>1225</v>
      </c>
    </row>
    <row r="139" spans="1:14" ht="15.5" x14ac:dyDescent="0.35">
      <c r="B139" s="1537" t="s">
        <v>2132</v>
      </c>
      <c r="C139" s="1541"/>
      <c r="D139" s="1541"/>
      <c r="E139" s="1541"/>
      <c r="F139" s="1541"/>
      <c r="G139" s="1541"/>
      <c r="H139" s="1541"/>
      <c r="I139" s="1581"/>
      <c r="J139" s="1541"/>
      <c r="K139" s="1535" t="e">
        <f>(K125-K136)/K125*100</f>
        <v>#DIV/0!</v>
      </c>
      <c r="L139" s="1536" t="s">
        <v>222</v>
      </c>
    </row>
    <row r="141" spans="1:14" ht="15.5" x14ac:dyDescent="0.35">
      <c r="B141" s="1257"/>
      <c r="C141" s="1257"/>
      <c r="D141" s="1258"/>
      <c r="E141" s="1258"/>
      <c r="F141" s="1258"/>
      <c r="G141" s="1258"/>
      <c r="H141" s="1258"/>
      <c r="I141" s="1258"/>
    </row>
    <row r="142" spans="1:14" ht="15.5" x14ac:dyDescent="0.35">
      <c r="B142" s="1257"/>
      <c r="C142" s="1257"/>
      <c r="D142" s="1258"/>
      <c r="E142" s="1258"/>
      <c r="F142" s="1258"/>
      <c r="G142" s="1258"/>
      <c r="H142" s="1258"/>
      <c r="I142" s="1258"/>
    </row>
    <row r="143" spans="1:14" ht="15.5" x14ac:dyDescent="0.35">
      <c r="B143" s="1257"/>
      <c r="C143" s="1257"/>
      <c r="D143" s="1258"/>
      <c r="E143" s="1258"/>
      <c r="F143" s="1258"/>
      <c r="G143" s="1258"/>
      <c r="H143" s="1258"/>
      <c r="I143" s="1258"/>
      <c r="J143" s="1259"/>
    </row>
    <row r="144" spans="1:14" ht="15.5" x14ac:dyDescent="0.35">
      <c r="B144" s="1257"/>
      <c r="C144" s="1257"/>
      <c r="D144" s="1258"/>
      <c r="E144" s="1258"/>
      <c r="F144" s="1258"/>
      <c r="G144" s="1258"/>
      <c r="H144" s="1258"/>
      <c r="I144" s="1258"/>
    </row>
    <row r="145" spans="2:9" ht="15.5" x14ac:dyDescent="0.35">
      <c r="B145" s="1257"/>
      <c r="C145" s="1257"/>
      <c r="D145" s="1258"/>
      <c r="E145" s="1258"/>
      <c r="F145" s="1258"/>
      <c r="G145" s="1258"/>
      <c r="H145" s="1258"/>
      <c r="I145" s="1258"/>
    </row>
    <row r="146" spans="2:9" ht="15.5" x14ac:dyDescent="0.35">
      <c r="B146" s="1257"/>
      <c r="C146" s="1257"/>
      <c r="D146" s="1258"/>
      <c r="E146" s="1258"/>
      <c r="F146" s="1258"/>
      <c r="G146" s="1258"/>
      <c r="H146" s="1258"/>
      <c r="I146" s="1258"/>
    </row>
    <row r="147" spans="2:9" ht="15.5" x14ac:dyDescent="0.35">
      <c r="B147" s="1257"/>
      <c r="C147" s="1257"/>
      <c r="D147" s="1258"/>
      <c r="E147" s="1258"/>
      <c r="F147" s="1258"/>
      <c r="G147" s="1258"/>
      <c r="H147" s="1258"/>
      <c r="I147" s="1258"/>
    </row>
    <row r="148" spans="2:9" ht="15.5" x14ac:dyDescent="0.35">
      <c r="B148" s="1257"/>
      <c r="C148" s="1257"/>
      <c r="D148" s="1258"/>
      <c r="E148" s="1258"/>
      <c r="F148" s="1258"/>
      <c r="G148" s="1258"/>
      <c r="H148" s="1258"/>
      <c r="I148" s="1258"/>
    </row>
    <row r="149" spans="2:9" ht="15.5" x14ac:dyDescent="0.35">
      <c r="B149" s="1257"/>
      <c r="C149" s="1257"/>
      <c r="D149" s="1258"/>
      <c r="E149" s="1258"/>
      <c r="F149" s="1258"/>
      <c r="G149" s="1258"/>
      <c r="H149" s="1258"/>
      <c r="I149" s="1258"/>
    </row>
    <row r="150" spans="2:9" ht="15.5" x14ac:dyDescent="0.35">
      <c r="B150" s="1257"/>
      <c r="C150" s="1257"/>
      <c r="D150" s="1258"/>
      <c r="E150" s="1258"/>
      <c r="F150" s="1258"/>
      <c r="G150" s="1258"/>
      <c r="H150" s="1258"/>
      <c r="I150" s="1258"/>
    </row>
    <row r="151" spans="2:9" ht="15.5" x14ac:dyDescent="0.35">
      <c r="B151" s="1257"/>
      <c r="C151" s="1257"/>
      <c r="D151" s="1258"/>
      <c r="E151" s="1258"/>
      <c r="F151" s="1258"/>
      <c r="G151" s="1258"/>
      <c r="H151" s="1258"/>
      <c r="I151" s="1258"/>
    </row>
    <row r="152" spans="2:9" ht="15.5" x14ac:dyDescent="0.35">
      <c r="B152" s="1257"/>
      <c r="C152" s="1257"/>
      <c r="D152" s="1258"/>
      <c r="E152" s="1258"/>
      <c r="F152" s="1258"/>
      <c r="G152" s="1258"/>
      <c r="H152" s="1258"/>
      <c r="I152" s="1258"/>
    </row>
    <row r="153" spans="2:9" ht="15.5" x14ac:dyDescent="0.35">
      <c r="B153" s="1257"/>
      <c r="C153" s="1257"/>
      <c r="D153" s="1258"/>
      <c r="E153" s="1258"/>
      <c r="F153" s="1258"/>
      <c r="G153" s="1258"/>
      <c r="H153" s="1258"/>
      <c r="I153" s="1258"/>
    </row>
    <row r="154" spans="2:9" ht="15.5" x14ac:dyDescent="0.35">
      <c r="B154" s="1257"/>
      <c r="C154" s="1257"/>
      <c r="D154" s="1258"/>
      <c r="E154" s="1258"/>
      <c r="F154" s="1258"/>
      <c r="G154" s="1258"/>
      <c r="H154" s="1258"/>
      <c r="I154" s="1258"/>
    </row>
    <row r="155" spans="2:9" ht="15.5" x14ac:dyDescent="0.35">
      <c r="B155" s="1257"/>
      <c r="C155" s="1257"/>
      <c r="D155" s="1258"/>
      <c r="E155" s="1258"/>
      <c r="F155" s="1258"/>
      <c r="G155" s="1258"/>
      <c r="H155" s="1258"/>
      <c r="I155" s="1258"/>
    </row>
    <row r="156" spans="2:9" ht="15.5" x14ac:dyDescent="0.35">
      <c r="B156" s="1257"/>
      <c r="C156" s="1257"/>
      <c r="D156" s="1258"/>
      <c r="E156" s="1258"/>
      <c r="F156" s="1258"/>
      <c r="G156" s="1258"/>
      <c r="H156" s="1258"/>
      <c r="I156" s="1258"/>
    </row>
    <row r="157" spans="2:9" ht="15.5" x14ac:dyDescent="0.35">
      <c r="B157" s="1257"/>
      <c r="C157" s="1257"/>
      <c r="D157" s="1258"/>
      <c r="E157" s="1258"/>
      <c r="F157" s="1258"/>
      <c r="G157" s="1258"/>
      <c r="H157" s="1258"/>
      <c r="I157" s="1258"/>
    </row>
    <row r="158" spans="2:9" ht="15.5" x14ac:dyDescent="0.35">
      <c r="B158" s="1257"/>
      <c r="C158" s="1257"/>
      <c r="D158" s="1258"/>
      <c r="E158" s="1258"/>
      <c r="F158" s="1258"/>
      <c r="G158" s="1258"/>
      <c r="H158" s="1258"/>
      <c r="I158" s="1258"/>
    </row>
    <row r="159" spans="2:9" ht="15.5" x14ac:dyDescent="0.35">
      <c r="B159" s="1257"/>
      <c r="C159" s="1257"/>
      <c r="D159" s="1258"/>
      <c r="E159" s="1258"/>
      <c r="F159" s="1258"/>
      <c r="G159" s="1258"/>
      <c r="H159" s="1258"/>
      <c r="I159" s="1258"/>
    </row>
    <row r="160" spans="2:9" ht="15.5" x14ac:dyDescent="0.35">
      <c r="B160" s="1257"/>
      <c r="C160" s="1257"/>
      <c r="D160" s="1258"/>
      <c r="E160" s="1258"/>
      <c r="F160" s="1258"/>
      <c r="G160" s="1258"/>
      <c r="H160" s="1258"/>
      <c r="I160" s="1258"/>
    </row>
    <row r="161" spans="2:9" ht="15.5" x14ac:dyDescent="0.35">
      <c r="B161" s="1257"/>
      <c r="C161" s="1257"/>
      <c r="D161" s="1258"/>
      <c r="E161" s="1258"/>
      <c r="F161" s="1258"/>
      <c r="G161" s="1258"/>
      <c r="H161" s="1258"/>
      <c r="I161" s="1258"/>
    </row>
    <row r="162" spans="2:9" ht="15.5" x14ac:dyDescent="0.35">
      <c r="B162" s="1257"/>
      <c r="C162" s="1257"/>
      <c r="D162" s="1258"/>
      <c r="E162" s="1258"/>
      <c r="F162" s="1258"/>
      <c r="G162" s="1258"/>
      <c r="H162" s="1258"/>
      <c r="I162" s="1258"/>
    </row>
    <row r="163" spans="2:9" ht="15.5" x14ac:dyDescent="0.35">
      <c r="B163" s="1257"/>
      <c r="C163" s="1257"/>
      <c r="D163" s="1384"/>
      <c r="E163" s="1384"/>
      <c r="F163" s="1384"/>
      <c r="G163" s="1384"/>
      <c r="H163" s="1384"/>
      <c r="I163" s="1384"/>
    </row>
    <row r="181" spans="2:56" s="1201" customFormat="1" ht="14" hidden="1" x14ac:dyDescent="0.3"/>
    <row r="182" spans="2:56" s="1201" customFormat="1" ht="14" hidden="1" x14ac:dyDescent="0.3"/>
    <row r="183" spans="2:56" s="1201" customFormat="1" ht="12" hidden="1" customHeight="1" x14ac:dyDescent="0.3"/>
    <row r="184" spans="2:56" s="1201" customFormat="1" ht="14" hidden="1" x14ac:dyDescent="0.3"/>
    <row r="185" spans="2:56" s="1201" customFormat="1" ht="14" hidden="1" x14ac:dyDescent="0.3"/>
    <row r="186" spans="2:56" s="1201" customFormat="1" ht="14" hidden="1" x14ac:dyDescent="0.3"/>
    <row r="187" spans="2:56" s="1201" customFormat="1" ht="14" hidden="1" x14ac:dyDescent="0.3"/>
    <row r="188" spans="2:56" s="1201" customFormat="1" ht="14" hidden="1" x14ac:dyDescent="0.3"/>
    <row r="189" spans="2:56" s="1201" customFormat="1" ht="14" hidden="1" x14ac:dyDescent="0.3"/>
    <row r="190" spans="2:56" s="1201" customFormat="1" ht="14" hidden="1" x14ac:dyDescent="0.3"/>
    <row r="191" spans="2:56" s="1201" customFormat="1" ht="15.5" hidden="1" x14ac:dyDescent="0.35">
      <c r="C191" s="1201" t="s">
        <v>260</v>
      </c>
      <c r="D191" s="1201" t="s">
        <v>912</v>
      </c>
      <c r="E191" s="1201" t="s">
        <v>913</v>
      </c>
      <c r="F191" s="1201" t="s">
        <v>866</v>
      </c>
      <c r="G191" s="1201" t="s">
        <v>914</v>
      </c>
      <c r="H191" s="1201" t="s">
        <v>867</v>
      </c>
      <c r="I191" s="1201" t="s">
        <v>868</v>
      </c>
      <c r="J191" s="1201" t="s">
        <v>915</v>
      </c>
      <c r="N191" s="1257"/>
      <c r="O191" s="1257" t="s">
        <v>738</v>
      </c>
      <c r="P191" s="1257"/>
      <c r="Q191" s="1257"/>
      <c r="R191" s="1257"/>
      <c r="S191" s="1257" t="s">
        <v>818</v>
      </c>
      <c r="T191" s="1257" t="s">
        <v>936</v>
      </c>
      <c r="U191" s="1257"/>
      <c r="V191" s="1257" t="s">
        <v>848</v>
      </c>
      <c r="W191" s="1257"/>
      <c r="X191" s="1257"/>
      <c r="AB191" s="1257" t="s">
        <v>861</v>
      </c>
      <c r="AC191" s="1201">
        <v>1</v>
      </c>
      <c r="AD191" s="1257" t="s">
        <v>865</v>
      </c>
      <c r="AH191" s="1201" t="s">
        <v>890</v>
      </c>
      <c r="AK191" s="1201" t="s">
        <v>876</v>
      </c>
      <c r="AQ191" s="1260" t="s">
        <v>451</v>
      </c>
      <c r="AU191" s="1201" t="s">
        <v>876</v>
      </c>
      <c r="AY191" s="1201" t="s">
        <v>898</v>
      </c>
    </row>
    <row r="192" spans="2:56" s="1201" customFormat="1" ht="15.5" hidden="1" x14ac:dyDescent="0.35">
      <c r="B192" s="1262">
        <v>1</v>
      </c>
      <c r="C192" s="1263" t="s">
        <v>912</v>
      </c>
      <c r="D192" s="889" t="s">
        <v>1559</v>
      </c>
      <c r="E192" s="889" t="s">
        <v>916</v>
      </c>
      <c r="F192" s="889" t="s">
        <v>1548</v>
      </c>
      <c r="G192" s="889" t="s">
        <v>1550</v>
      </c>
      <c r="H192" s="889" t="s">
        <v>1552</v>
      </c>
      <c r="I192" s="889" t="s">
        <v>1551</v>
      </c>
      <c r="N192" s="1257"/>
      <c r="O192" s="1257"/>
      <c r="P192" s="1257"/>
      <c r="Q192" s="1257"/>
      <c r="R192" s="1257"/>
      <c r="S192" s="1257"/>
      <c r="T192" s="1257" t="s">
        <v>935</v>
      </c>
      <c r="U192" s="1257"/>
      <c r="V192" s="1257" t="s">
        <v>849</v>
      </c>
      <c r="W192" s="1264" t="e">
        <f>L112</f>
        <v>#DIV/0!</v>
      </c>
      <c r="X192" s="1257"/>
      <c r="AC192" s="1257">
        <v>2</v>
      </c>
      <c r="AD192" s="1257" t="s">
        <v>864</v>
      </c>
      <c r="AF192" s="1257"/>
      <c r="AH192" s="1201" t="s">
        <v>878</v>
      </c>
      <c r="AI192" s="1201">
        <f>G91</f>
        <v>0</v>
      </c>
      <c r="AL192" s="1201" t="s">
        <v>884</v>
      </c>
      <c r="AN192" s="1201">
        <f>G104</f>
        <v>0</v>
      </c>
      <c r="AQ192" s="1201" t="s">
        <v>885</v>
      </c>
      <c r="AS192" s="1261">
        <f>1-((AI192/24*AI193/365)+(AI197/24*AI198/365))</f>
        <v>1</v>
      </c>
      <c r="AU192" s="892" t="s">
        <v>885</v>
      </c>
      <c r="AV192" s="1396">
        <f>1-(AN192/24*AN193/365)</f>
        <v>1</v>
      </c>
      <c r="AZ192" s="894" t="s">
        <v>225</v>
      </c>
      <c r="BA192" s="894" t="s">
        <v>1249</v>
      </c>
      <c r="BB192" s="894" t="s">
        <v>1250</v>
      </c>
      <c r="BC192" s="894" t="s">
        <v>229</v>
      </c>
      <c r="BD192" s="894" t="s">
        <v>897</v>
      </c>
    </row>
    <row r="193" spans="2:56" s="1201" customFormat="1" ht="15.5" hidden="1" x14ac:dyDescent="0.35">
      <c r="B193" s="1262">
        <v>2</v>
      </c>
      <c r="C193" s="1263" t="s">
        <v>917</v>
      </c>
      <c r="D193" s="889" t="s">
        <v>1553</v>
      </c>
      <c r="E193" s="889" t="s">
        <v>1545</v>
      </c>
      <c r="F193" s="889" t="s">
        <v>1558</v>
      </c>
      <c r="G193" s="889" t="s">
        <v>1543</v>
      </c>
      <c r="H193" s="889" t="s">
        <v>1542</v>
      </c>
      <c r="I193" s="889"/>
      <c r="N193" s="1257"/>
      <c r="O193" s="1257" t="s">
        <v>739</v>
      </c>
      <c r="P193" s="1257"/>
      <c r="Q193" s="1265">
        <f>IF(T204="1",H30,0)</f>
        <v>0</v>
      </c>
      <c r="R193" s="1257"/>
      <c r="S193" s="1257" t="s">
        <v>228</v>
      </c>
      <c r="T193" s="1257">
        <f>E48</f>
        <v>0</v>
      </c>
      <c r="U193" s="1266" t="str">
        <f>IF(T193="kg of element per ha per annum","1","2")</f>
        <v>2</v>
      </c>
      <c r="V193" s="1257" t="s">
        <v>850</v>
      </c>
      <c r="W193" s="1264" t="e">
        <f>L113</f>
        <v>#DIV/0!</v>
      </c>
      <c r="X193" s="1257"/>
      <c r="AC193" s="1257" t="s">
        <v>228</v>
      </c>
      <c r="AD193" s="1266">
        <f>IF(F80="",1,IF(F80=AD191,1,2))</f>
        <v>1</v>
      </c>
      <c r="AF193" s="1257"/>
      <c r="AH193" s="1201" t="s">
        <v>879</v>
      </c>
      <c r="AI193" s="1267">
        <f>H91</f>
        <v>0</v>
      </c>
      <c r="AL193" s="1201" t="s">
        <v>871</v>
      </c>
      <c r="AN193" s="1201">
        <f>H104</f>
        <v>0</v>
      </c>
      <c r="AQ193" s="892" t="s">
        <v>1246</v>
      </c>
      <c r="AR193" s="894"/>
      <c r="AS193" s="853">
        <f>(AI192/24)*(AI193/365)*(AI194/100)</f>
        <v>0</v>
      </c>
      <c r="AU193" s="892" t="s">
        <v>1248</v>
      </c>
      <c r="AV193" s="1396">
        <f>IF(AM205=1,AN192/24*AN193/365,0)</f>
        <v>0</v>
      </c>
      <c r="AX193" s="1201">
        <v>1</v>
      </c>
      <c r="AY193" s="1263" t="s">
        <v>912</v>
      </c>
      <c r="AZ193" s="894">
        <v>74</v>
      </c>
      <c r="BA193" s="894">
        <v>0.5</v>
      </c>
      <c r="BB193" s="894">
        <v>17</v>
      </c>
      <c r="BC193" s="894">
        <v>2</v>
      </c>
      <c r="BD193" s="894">
        <v>1</v>
      </c>
    </row>
    <row r="194" spans="2:56" s="1201" customFormat="1" ht="15.5" hidden="1" x14ac:dyDescent="0.35">
      <c r="B194" s="1262">
        <v>3</v>
      </c>
      <c r="C194" s="1263" t="s">
        <v>866</v>
      </c>
      <c r="D194" s="889" t="s">
        <v>1554</v>
      </c>
      <c r="E194" s="889" t="s">
        <v>1546</v>
      </c>
      <c r="F194" s="889" t="s">
        <v>1549</v>
      </c>
      <c r="G194" s="889"/>
      <c r="H194" s="889"/>
      <c r="I194" s="889"/>
      <c r="N194" s="1257"/>
      <c r="O194" s="1257" t="s">
        <v>740</v>
      </c>
      <c r="P194" s="1257"/>
      <c r="Q194" s="1265">
        <f>IF(T204="2",H30,0)</f>
        <v>0</v>
      </c>
      <c r="R194" s="1257"/>
      <c r="S194" s="1257"/>
      <c r="T194" s="1257"/>
      <c r="U194" s="1257"/>
      <c r="V194" s="1257" t="s">
        <v>851</v>
      </c>
      <c r="W194" s="1264" t="e">
        <f>L114+L115+#REF!</f>
        <v>#DIV/0!</v>
      </c>
      <c r="X194" s="1257"/>
      <c r="Y194" s="1257"/>
      <c r="Z194" s="1257"/>
      <c r="AA194" s="1257"/>
      <c r="AF194" s="1257"/>
      <c r="AH194" s="1201" t="s">
        <v>1244</v>
      </c>
      <c r="AI194" s="1201">
        <f>G93</f>
        <v>0</v>
      </c>
      <c r="AQ194" s="894" t="s">
        <v>886</v>
      </c>
      <c r="AR194" s="894"/>
      <c r="AS194" s="1396">
        <f>(AI192/24*AI193/365*AI195/100)*IF(AA198=2,0.8,1)</f>
        <v>0</v>
      </c>
      <c r="AU194" s="892" t="s">
        <v>1252</v>
      </c>
      <c r="AV194" s="1396">
        <f>IF(AM205=2,AN192/24*AN193/365*IF(AA198=2,0.8,1),0)</f>
        <v>0</v>
      </c>
      <c r="AX194" s="1201">
        <v>2</v>
      </c>
      <c r="AY194" s="1263" t="s">
        <v>917</v>
      </c>
      <c r="AZ194" s="894">
        <v>75</v>
      </c>
      <c r="BA194" s="894">
        <v>0.5</v>
      </c>
      <c r="BB194" s="894">
        <v>18</v>
      </c>
      <c r="BC194" s="894">
        <v>2</v>
      </c>
      <c r="BD194" s="894">
        <v>1</v>
      </c>
    </row>
    <row r="195" spans="2:56" s="1201" customFormat="1" ht="15.5" hidden="1" x14ac:dyDescent="0.35">
      <c r="B195" s="1262">
        <v>4</v>
      </c>
      <c r="C195" s="1263" t="s">
        <v>914</v>
      </c>
      <c r="D195" s="889" t="s">
        <v>1555</v>
      </c>
      <c r="E195" s="889"/>
      <c r="F195" s="889" t="s">
        <v>1544</v>
      </c>
      <c r="G195" s="889"/>
      <c r="H195" s="889"/>
      <c r="I195" s="889"/>
      <c r="N195" s="1257"/>
      <c r="O195" s="1257" t="s">
        <v>741</v>
      </c>
      <c r="P195" s="1257"/>
      <c r="Q195" s="1268">
        <f>(IF(D32="",4,D32))</f>
        <v>0</v>
      </c>
      <c r="R195" s="1257"/>
      <c r="S195" s="1257"/>
      <c r="T195" s="1257"/>
      <c r="U195" s="1257"/>
      <c r="V195" s="1257" t="s">
        <v>852</v>
      </c>
      <c r="W195" s="1264" t="e">
        <f>L117</f>
        <v>#DIV/0!</v>
      </c>
      <c r="X195" s="1257"/>
      <c r="Y195" s="1257"/>
      <c r="Z195" s="1257"/>
      <c r="AA195" s="1257"/>
      <c r="AB195" s="1257"/>
      <c r="AC195" s="1257"/>
      <c r="AD195" s="1257"/>
      <c r="AE195" s="1257"/>
      <c r="AF195" s="1257"/>
      <c r="AH195" s="1201" t="s">
        <v>1450</v>
      </c>
      <c r="AI195" s="1201">
        <f>G94</f>
        <v>0</v>
      </c>
      <c r="AQ195" s="894" t="s">
        <v>1214</v>
      </c>
      <c r="AR195" s="894"/>
      <c r="AS195" s="1396">
        <f>(AI192/24*AI193/365*AI195/100)*IF(AA198=1,0,0.2)</f>
        <v>0</v>
      </c>
      <c r="AU195" s="894" t="s">
        <v>1324</v>
      </c>
      <c r="AV195" s="893">
        <f>IF(AM205=2,AN192/24*AN193/365)*IF(AA198=2,0.2,0)</f>
        <v>0</v>
      </c>
      <c r="AX195" s="1201">
        <v>3</v>
      </c>
      <c r="AY195" s="1263" t="s">
        <v>866</v>
      </c>
      <c r="AZ195" s="894">
        <v>70</v>
      </c>
      <c r="BA195" s="894">
        <v>0.1</v>
      </c>
      <c r="BB195" s="894">
        <v>15</v>
      </c>
      <c r="BC195" s="894">
        <v>2</v>
      </c>
      <c r="BD195" s="894">
        <v>1</v>
      </c>
    </row>
    <row r="196" spans="2:56" s="1201" customFormat="1" ht="15.5" hidden="1" x14ac:dyDescent="0.35">
      <c r="B196" s="1262">
        <v>5</v>
      </c>
      <c r="C196" s="1263" t="s">
        <v>918</v>
      </c>
      <c r="D196" s="889" t="s">
        <v>1557</v>
      </c>
      <c r="E196" s="889"/>
      <c r="F196" s="889"/>
      <c r="G196" s="889"/>
      <c r="H196" s="889"/>
      <c r="I196" s="889"/>
      <c r="N196" s="1257"/>
      <c r="O196" s="1257" t="s">
        <v>742</v>
      </c>
      <c r="P196" s="1257"/>
      <c r="Q196" s="1257">
        <f>IF(H32="",3.3,H32)</f>
        <v>0</v>
      </c>
      <c r="R196" s="1257"/>
      <c r="S196" s="1257"/>
      <c r="T196" s="1257"/>
      <c r="U196" s="1257"/>
      <c r="V196" s="1257" t="s">
        <v>853</v>
      </c>
      <c r="W196" s="1264" t="e">
        <f>L116</f>
        <v>#DIV/0!</v>
      </c>
      <c r="X196" s="1257"/>
      <c r="Y196" s="1257" t="s">
        <v>873</v>
      </c>
      <c r="Z196" s="1257">
        <v>1</v>
      </c>
      <c r="AA196" s="1257" t="s">
        <v>874</v>
      </c>
      <c r="AB196" s="1257"/>
      <c r="AC196" s="1257"/>
      <c r="AD196" s="1257"/>
      <c r="AE196" s="1257"/>
      <c r="AF196" s="1257"/>
      <c r="AH196" s="1201" t="s">
        <v>881</v>
      </c>
      <c r="AI196" s="1201">
        <f>100-AI194-AI195</f>
        <v>100</v>
      </c>
      <c r="AQ196" s="890" t="s">
        <v>887</v>
      </c>
      <c r="AR196" s="894"/>
      <c r="AS196" s="1396">
        <f>IF(AA198=1,(AI192/24*AI193/365*AI196/100),(AI192/24*AI193/365*AI196/100)*0.8)</f>
        <v>0</v>
      </c>
      <c r="AU196" s="892" t="s">
        <v>895</v>
      </c>
      <c r="AV196" s="1396">
        <f>IF(AM205=3,(AN192/24*AN193/365*IF(AA198=2,0.8,1)),0)</f>
        <v>0</v>
      </c>
      <c r="AX196" s="1201">
        <v>4</v>
      </c>
      <c r="AY196" s="1263" t="s">
        <v>914</v>
      </c>
      <c r="AZ196" s="894">
        <v>77</v>
      </c>
      <c r="BA196" s="894">
        <v>0.5</v>
      </c>
      <c r="BB196" s="894">
        <v>24</v>
      </c>
      <c r="BC196" s="894">
        <v>2</v>
      </c>
      <c r="BD196" s="894">
        <v>1</v>
      </c>
    </row>
    <row r="197" spans="2:56" s="1201" customFormat="1" ht="15.5" hidden="1" x14ac:dyDescent="0.35">
      <c r="B197" s="1257">
        <v>6</v>
      </c>
      <c r="C197" s="1269" t="s">
        <v>919</v>
      </c>
      <c r="D197" s="889" t="s">
        <v>1556</v>
      </c>
      <c r="E197" s="889"/>
      <c r="F197" s="889"/>
      <c r="G197" s="889"/>
      <c r="H197" s="889"/>
      <c r="I197" s="889"/>
      <c r="N197" s="1257"/>
      <c r="O197" s="1257" t="s">
        <v>926</v>
      </c>
      <c r="Q197" s="1265">
        <f>IF(Q193=0,Q194,(Q193*(Q195+Q196)/100))</f>
        <v>0</v>
      </c>
      <c r="R197" s="1257"/>
      <c r="S197" s="1257" t="s">
        <v>932</v>
      </c>
      <c r="T197" s="889" t="s">
        <v>1032</v>
      </c>
      <c r="U197" s="889"/>
      <c r="V197" s="1257" t="s">
        <v>854</v>
      </c>
      <c r="W197" s="1264" t="e">
        <f>L118</f>
        <v>#DIV/0!</v>
      </c>
      <c r="X197" s="1257"/>
      <c r="Y197" s="1257"/>
      <c r="Z197" s="1257">
        <v>2</v>
      </c>
      <c r="AA197" s="1257" t="s">
        <v>875</v>
      </c>
      <c r="AB197" s="1257"/>
      <c r="AC197" s="1257"/>
      <c r="AD197" s="1257"/>
      <c r="AE197" s="1257"/>
      <c r="AF197" s="1257"/>
      <c r="AH197" s="1201" t="s">
        <v>882</v>
      </c>
      <c r="AI197" s="1201">
        <f>G99</f>
        <v>0</v>
      </c>
      <c r="AQ197" s="890" t="s">
        <v>901</v>
      </c>
      <c r="AR197" s="894"/>
      <c r="AS197" s="1396">
        <f>IF(AA198=1,0,(AI192/24*AI193/365*AI196/100)*0.2)</f>
        <v>0</v>
      </c>
      <c r="AU197" s="892" t="s">
        <v>896</v>
      </c>
      <c r="AV197" s="1396">
        <f>IF(AM205=3,AN192/24*AN193/365*IF(AA198=2,0.2,0),0)</f>
        <v>0</v>
      </c>
      <c r="AX197" s="1201">
        <v>5</v>
      </c>
      <c r="AY197" s="1263" t="s">
        <v>918</v>
      </c>
      <c r="AZ197" s="894">
        <v>74</v>
      </c>
      <c r="BA197" s="894">
        <v>0.5</v>
      </c>
      <c r="BB197" s="894">
        <v>17</v>
      </c>
      <c r="BC197" s="894">
        <v>2</v>
      </c>
      <c r="BD197" s="894">
        <v>1</v>
      </c>
    </row>
    <row r="198" spans="2:56" s="1201" customFormat="1" ht="15.5" hidden="1" x14ac:dyDescent="0.35">
      <c r="B198" s="1262">
        <v>7</v>
      </c>
      <c r="C198" s="1263" t="s">
        <v>920</v>
      </c>
      <c r="N198" s="1257"/>
      <c r="O198" s="1257" t="s">
        <v>744</v>
      </c>
      <c r="P198" s="1257"/>
      <c r="Q198" s="1265" t="e">
        <f>IF(Q193=0,(Q194/((Q195+Q196)/100)),Q193)</f>
        <v>#DIV/0!</v>
      </c>
      <c r="R198" s="1257"/>
      <c r="S198" s="1257"/>
      <c r="T198" s="889" t="s">
        <v>933</v>
      </c>
      <c r="U198" s="889"/>
      <c r="V198" s="1257" t="s">
        <v>855</v>
      </c>
      <c r="W198" s="1264" t="e">
        <f>L119+L120</f>
        <v>#DIV/0!</v>
      </c>
      <c r="X198" s="1257"/>
      <c r="Y198" s="1257"/>
      <c r="Z198" s="1257" t="s">
        <v>228</v>
      </c>
      <c r="AA198" s="1266">
        <f>IF(G97="",1,IF(G97=AA196,1,2))</f>
        <v>2</v>
      </c>
      <c r="AB198" s="1257"/>
      <c r="AC198" s="1257"/>
      <c r="AD198" s="1257"/>
      <c r="AE198" s="1257"/>
      <c r="AF198" s="1257"/>
      <c r="AH198" s="1201" t="s">
        <v>883</v>
      </c>
      <c r="AI198" s="1201">
        <f>H99</f>
        <v>0</v>
      </c>
      <c r="AQ198" s="892" t="s">
        <v>1247</v>
      </c>
      <c r="AR198" s="894"/>
      <c r="AS198" s="1396">
        <f>IF(AH205=1,(AI197/24*AI198/365),0)</f>
        <v>0</v>
      </c>
      <c r="AU198" s="892" t="s">
        <v>1253</v>
      </c>
      <c r="AV198" s="1396">
        <f>IF(AM205=4,AN192/24*AN193/365,0)</f>
        <v>0</v>
      </c>
      <c r="AX198" s="1201">
        <v>6</v>
      </c>
      <c r="AY198" s="1269" t="s">
        <v>919</v>
      </c>
      <c r="AZ198" s="894">
        <v>75</v>
      </c>
      <c r="BA198" s="894">
        <v>0.5</v>
      </c>
      <c r="BB198" s="894">
        <v>18</v>
      </c>
      <c r="BC198" s="894">
        <v>2</v>
      </c>
      <c r="BD198" s="894">
        <v>1</v>
      </c>
    </row>
    <row r="199" spans="2:56" s="1201" customFormat="1" ht="15.5" hidden="1" x14ac:dyDescent="0.35">
      <c r="B199" s="1270"/>
      <c r="N199" s="1257"/>
      <c r="O199" s="1257" t="s">
        <v>1219</v>
      </c>
      <c r="P199" s="1257"/>
      <c r="Q199" s="1405" t="e">
        <f>(Q198*1.03)*(0.2534+0.1226*Q195+0.0776*Q196)</f>
        <v>#DIV/0!</v>
      </c>
      <c r="R199" s="1257"/>
      <c r="T199" s="2575" t="s">
        <v>1950</v>
      </c>
      <c r="U199" s="2575"/>
      <c r="V199" s="1257" t="s">
        <v>844</v>
      </c>
      <c r="W199" s="1264" t="e">
        <f>SUM(L121:L123)</f>
        <v>#DIV/0!</v>
      </c>
      <c r="X199" s="1257"/>
      <c r="Y199" s="1257"/>
      <c r="Z199" s="1257"/>
      <c r="AA199" s="1257"/>
      <c r="AB199" s="1257"/>
      <c r="AC199" s="1257"/>
      <c r="AD199" s="1257"/>
      <c r="AE199" s="1257"/>
      <c r="AF199" s="1257"/>
      <c r="AH199" s="1201" t="s">
        <v>891</v>
      </c>
      <c r="AK199" s="1201" t="s">
        <v>892</v>
      </c>
      <c r="AQ199" s="892" t="s">
        <v>893</v>
      </c>
      <c r="AR199" s="894"/>
      <c r="AS199" s="1396">
        <f>IF(AH205=2,(AI197/24*AI198/365),0)*IF(AA198=2,0.8,1)</f>
        <v>0</v>
      </c>
      <c r="AU199" s="892" t="s">
        <v>889</v>
      </c>
      <c r="AV199" s="1396">
        <f>AV195+AV197+AV198</f>
        <v>0</v>
      </c>
      <c r="AX199" s="1201">
        <v>7</v>
      </c>
      <c r="AY199" s="1263" t="s">
        <v>920</v>
      </c>
      <c r="AZ199" s="894">
        <v>80</v>
      </c>
      <c r="BA199" s="894">
        <v>0.5</v>
      </c>
      <c r="BB199" s="894">
        <v>50</v>
      </c>
      <c r="BC199" s="894">
        <v>2</v>
      </c>
      <c r="BD199" s="894">
        <v>2</v>
      </c>
    </row>
    <row r="200" spans="2:56" s="1201" customFormat="1" ht="15.5" hidden="1" x14ac:dyDescent="0.35">
      <c r="N200" s="1257"/>
      <c r="O200" s="1257" t="s">
        <v>745</v>
      </c>
      <c r="P200" s="1257"/>
      <c r="Q200" s="1268" t="e">
        <f>ROUND((Q199/D18/D34),1)</f>
        <v>#DIV/0!</v>
      </c>
      <c r="R200" s="1257"/>
      <c r="S200" s="1257" t="s">
        <v>228</v>
      </c>
      <c r="T200" s="1266">
        <f>IF(C71=T197,1,IF(C71=T198,2,3))</f>
        <v>3</v>
      </c>
      <c r="U200" s="1257"/>
      <c r="V200" s="1257"/>
      <c r="W200" s="1257"/>
      <c r="X200" s="1257"/>
      <c r="AC200" s="1257"/>
      <c r="AD200" s="1257"/>
      <c r="AE200" s="1257"/>
      <c r="AF200" s="1257"/>
      <c r="AQ200" s="894" t="s">
        <v>1215</v>
      </c>
      <c r="AR200" s="894"/>
      <c r="AS200" s="1396">
        <f>IF(AH205=2,(AI197/24*AI198/365*IF(AA198=2,0.2,0)),0)</f>
        <v>0</v>
      </c>
      <c r="AU200" s="892" t="s">
        <v>1248</v>
      </c>
      <c r="AV200" s="1396">
        <f>AV193</f>
        <v>0</v>
      </c>
      <c r="AX200" s="1201" t="s">
        <v>228</v>
      </c>
      <c r="AY200" s="1201" t="e">
        <f>VLOOKUP($D$14,$AY$193:$BD$199,1,FALSE)</f>
        <v>#N/A</v>
      </c>
      <c r="AZ200" s="894" t="e">
        <f>VLOOKUP($D$14,$AY$193:$BD$199,2,FALSE)</f>
        <v>#N/A</v>
      </c>
      <c r="BA200" s="894" t="e">
        <f>VLOOKUP($D$14,$AY$193:$BD$199,3,FALSE)</f>
        <v>#N/A</v>
      </c>
      <c r="BB200" s="894" t="e">
        <f>VLOOKUP($D$14,$AY$193:$BD$199,4,FALSE)</f>
        <v>#N/A</v>
      </c>
      <c r="BC200" s="894" t="e">
        <f>VLOOKUP($D$14,$AY$193:$BD$199,5,FALSE)</f>
        <v>#N/A</v>
      </c>
      <c r="BD200" s="894" t="e">
        <f>VLOOKUP($D$14,$AY$193:$BD$199,6,FALSE)</f>
        <v>#N/A</v>
      </c>
    </row>
    <row r="201" spans="2:56" s="1201" customFormat="1" ht="15.5" hidden="1" x14ac:dyDescent="0.35">
      <c r="B201" s="1201" t="s">
        <v>921</v>
      </c>
      <c r="C201" s="1262">
        <f>D14</f>
        <v>0</v>
      </c>
      <c r="D201" s="1257" t="s">
        <v>922</v>
      </c>
      <c r="E201" s="1201">
        <f>H14</f>
        <v>0</v>
      </c>
      <c r="G201" s="1201" t="s">
        <v>2049</v>
      </c>
      <c r="H201" s="1201" t="s">
        <v>2068</v>
      </c>
      <c r="N201" s="1257"/>
      <c r="O201" s="1257" t="s">
        <v>743</v>
      </c>
      <c r="P201" s="1257"/>
      <c r="Q201" s="1268" t="e">
        <f>(Q198/D18/D34)</f>
        <v>#DIV/0!</v>
      </c>
      <c r="R201" s="1257"/>
      <c r="S201" s="1257"/>
      <c r="T201" s="1257"/>
      <c r="U201" s="1257"/>
      <c r="V201" s="1257"/>
      <c r="W201" s="1257"/>
      <c r="X201" s="1257"/>
      <c r="AF201" s="1257"/>
      <c r="AG201" s="1257">
        <v>1</v>
      </c>
      <c r="AH201" s="1201" t="s">
        <v>1242</v>
      </c>
      <c r="AI201" s="1257"/>
      <c r="AJ201" s="1257"/>
      <c r="AK201" s="1201" t="s">
        <v>877</v>
      </c>
      <c r="AL201" s="1201">
        <v>1</v>
      </c>
      <c r="AM201" s="1201" t="s">
        <v>1242</v>
      </c>
      <c r="AQ201" s="894" t="s">
        <v>1216</v>
      </c>
      <c r="AR201" s="894"/>
      <c r="AS201" s="1396">
        <f>(IF(AH205=3,(AI197/24*AI198/365*IF(AA198=2,0.8,1)),0))</f>
        <v>0</v>
      </c>
      <c r="AU201" s="894" t="s">
        <v>900</v>
      </c>
      <c r="AV201" s="1396">
        <f>AV196</f>
        <v>0</v>
      </c>
    </row>
    <row r="202" spans="2:56" s="1201" customFormat="1" ht="15.5" hidden="1" x14ac:dyDescent="0.35">
      <c r="G202" s="892"/>
      <c r="H202" s="892" t="s">
        <v>2069</v>
      </c>
      <c r="N202" s="1257"/>
      <c r="O202" s="1257"/>
      <c r="P202" s="1257"/>
      <c r="Q202" s="1257"/>
      <c r="R202" s="1257"/>
      <c r="S202" s="1257" t="s">
        <v>738</v>
      </c>
      <c r="T202" s="1257" t="s">
        <v>992</v>
      </c>
      <c r="U202" s="1257"/>
      <c r="V202" s="1257"/>
      <c r="W202" s="1257"/>
      <c r="X202" s="1257"/>
      <c r="AF202" s="1257"/>
      <c r="AG202" s="1257">
        <v>2</v>
      </c>
      <c r="AH202" s="1201" t="s">
        <v>930</v>
      </c>
      <c r="AI202" s="1257"/>
      <c r="AJ202" s="1257"/>
      <c r="AL202" s="1201">
        <v>2</v>
      </c>
      <c r="AM202" s="1201" t="s">
        <v>930</v>
      </c>
      <c r="AQ202" s="894" t="s">
        <v>894</v>
      </c>
      <c r="AR202" s="894"/>
      <c r="AS202" s="1396">
        <f>(IF(AH205=3,(AI197/24*AI198/365*IF(AA198=2,0.2,0)),0))</f>
        <v>0</v>
      </c>
      <c r="AU202" s="894" t="s">
        <v>1251</v>
      </c>
      <c r="AV202" s="1396">
        <f>AV194</f>
        <v>0</v>
      </c>
      <c r="AX202" s="1201" t="s">
        <v>905</v>
      </c>
      <c r="AZ202" s="1271" t="e">
        <f>AZ200*AS206</f>
        <v>#N/A</v>
      </c>
      <c r="BA202" s="1271" t="e">
        <f>BA200*AS207</f>
        <v>#N/A</v>
      </c>
      <c r="BB202" s="1271" t="e">
        <f>BB200*AS205</f>
        <v>#N/A</v>
      </c>
      <c r="BC202" s="1271" t="e">
        <f>BC200*AS204</f>
        <v>#N/A</v>
      </c>
      <c r="BD202" s="1271" t="e">
        <f>BD200*AS192</f>
        <v>#N/A</v>
      </c>
    </row>
    <row r="203" spans="2:56" s="1201" customFormat="1" ht="15.5" hidden="1" x14ac:dyDescent="0.35">
      <c r="G203" s="892" t="s">
        <v>228</v>
      </c>
      <c r="H203" s="892">
        <f>'Baseline farm'!H204</f>
        <v>2</v>
      </c>
      <c r="N203" s="1257"/>
      <c r="O203" s="1257" t="s">
        <v>813</v>
      </c>
      <c r="P203" s="1257"/>
      <c r="Q203" s="1268" t="e">
        <f>((D36*F36)+(D37*F37)+(D38*F38)+(D39*F39)+(D40*F40)+(D41*F41))/D42</f>
        <v>#DIV/0!</v>
      </c>
      <c r="R203" s="1257"/>
      <c r="S203" s="1257"/>
      <c r="T203" s="1257" t="s">
        <v>993</v>
      </c>
      <c r="U203" s="1257"/>
      <c r="V203" s="1257"/>
      <c r="W203" s="1257"/>
      <c r="X203" s="1257"/>
      <c r="AF203" s="1257"/>
      <c r="AG203" s="1257">
        <v>3</v>
      </c>
      <c r="AH203" s="1201" t="s">
        <v>1243</v>
      </c>
      <c r="AL203" s="1201">
        <v>3</v>
      </c>
      <c r="AM203" s="1201" t="s">
        <v>1243</v>
      </c>
      <c r="AQ203" s="890" t="s">
        <v>1323</v>
      </c>
      <c r="AR203" s="894"/>
      <c r="AS203" s="1396">
        <f>IF(AH205=4,(AI197/24*AI198/365),0)</f>
        <v>0</v>
      </c>
      <c r="AX203" s="1201" t="s">
        <v>899</v>
      </c>
      <c r="AZ203" s="1271"/>
      <c r="BA203" s="1271"/>
      <c r="BB203" s="1271"/>
      <c r="BC203" s="1271"/>
      <c r="BD203" s="1271" t="e">
        <f>SUM(AZ202:BD202)</f>
        <v>#N/A</v>
      </c>
    </row>
    <row r="204" spans="2:56" s="1201" customFormat="1" ht="15.5" hidden="1" x14ac:dyDescent="0.35">
      <c r="G204" s="892"/>
      <c r="H204" s="892" t="str">
        <f>IF(H203=1,H201,H202)</f>
        <v xml:space="preserve">Calves sold post-weaning </v>
      </c>
      <c r="N204" s="1257"/>
      <c r="O204" s="1257" t="s">
        <v>814</v>
      </c>
      <c r="P204" s="1257"/>
      <c r="Q204" s="1268" t="e">
        <f>((D36*H36)+(D37*H37)+(D38*H38)+(D39*H39)+(D40*H40)+(D41*H41))/D42</f>
        <v>#DIV/0!</v>
      </c>
      <c r="R204" s="1257"/>
      <c r="S204" s="1257" t="s">
        <v>228</v>
      </c>
      <c r="T204" s="1266" t="str">
        <f>IF(D30=T202,"1","2")</f>
        <v>2</v>
      </c>
      <c r="U204" s="1257"/>
      <c r="V204" s="1257"/>
      <c r="W204" s="1257"/>
      <c r="X204" s="1257"/>
      <c r="AF204" s="1257"/>
      <c r="AG204" s="1257">
        <v>4</v>
      </c>
      <c r="AH204" s="1201" t="s">
        <v>1241</v>
      </c>
      <c r="AL204" s="1201">
        <v>4</v>
      </c>
      <c r="AM204" s="1201" t="s">
        <v>1241</v>
      </c>
      <c r="AQ204" s="890" t="s">
        <v>889</v>
      </c>
      <c r="AR204" s="894"/>
      <c r="AS204" s="1396">
        <f>AS195+AS197+AS200+AS202+AS203</f>
        <v>0</v>
      </c>
    </row>
    <row r="205" spans="2:56" s="1201" customFormat="1" ht="15.5" hidden="1" x14ac:dyDescent="0.35">
      <c r="N205" s="1257"/>
      <c r="O205" s="1257" t="s">
        <v>1217</v>
      </c>
      <c r="P205" s="1257"/>
      <c r="Q205" s="1268" t="e">
        <f>ROUND((1.185+(0.00454*D20)-(0.0000026*(D20)^2)+((0.315*0)))^2*1.1+((H34*D34/365)*3.054/0.6/(0.00795*Q203-0.0014)/18.4),1)</f>
        <v>#DIV/0!</v>
      </c>
      <c r="R205" s="1257"/>
      <c r="S205" s="1257"/>
      <c r="T205" s="1257"/>
      <c r="U205" s="1257"/>
      <c r="V205" s="1257"/>
      <c r="W205" s="1257"/>
      <c r="X205" s="1257"/>
      <c r="Y205" s="1257"/>
      <c r="Z205" s="1257"/>
      <c r="AA205" s="1257"/>
      <c r="AB205" s="1257"/>
      <c r="AF205" s="1257"/>
      <c r="AG205" s="1201" t="s">
        <v>228</v>
      </c>
      <c r="AH205" s="1201">
        <f>IF(F101=AH201,1,IF(F101=AH202,2,IF(F101=AH203,3,4)))</f>
        <v>4</v>
      </c>
      <c r="AI205" s="1257"/>
      <c r="AJ205" s="1257"/>
      <c r="AL205" s="1201" t="s">
        <v>228</v>
      </c>
      <c r="AM205" s="1201">
        <f>IF(F106=AM201,1,IF(F106=AM202,2,IF(F106=AM203,3,4)))</f>
        <v>4</v>
      </c>
      <c r="AQ205" s="890" t="s">
        <v>1248</v>
      </c>
      <c r="AR205" s="894"/>
      <c r="AS205" s="1396">
        <f>AS193+AS198</f>
        <v>0</v>
      </c>
      <c r="AX205" s="1201" t="s">
        <v>906</v>
      </c>
      <c r="AZ205" s="1201" t="e">
        <f>AZ200*AV201</f>
        <v>#N/A</v>
      </c>
      <c r="BA205" s="1201" t="e">
        <f>BA200*AV202</f>
        <v>#N/A</v>
      </c>
      <c r="BB205" s="1201" t="e">
        <f>BB200*AV200</f>
        <v>#N/A</v>
      </c>
      <c r="BC205" s="1201" t="e">
        <f>BC200*AV199</f>
        <v>#N/A</v>
      </c>
      <c r="BD205" s="1201" t="e">
        <f>BD200*AV192</f>
        <v>#N/A</v>
      </c>
    </row>
    <row r="206" spans="2:56" s="1201" customFormat="1" ht="15.5" hidden="1" x14ac:dyDescent="0.35">
      <c r="N206" s="1257"/>
      <c r="O206" s="1257"/>
      <c r="P206" s="1257"/>
      <c r="Q206" s="1257"/>
      <c r="R206" s="1257"/>
      <c r="S206" s="1257"/>
      <c r="T206" s="1257"/>
      <c r="U206" s="1257"/>
      <c r="V206" s="1257"/>
      <c r="W206" s="1257"/>
      <c r="X206" s="1257"/>
      <c r="Y206" s="1257"/>
      <c r="Z206" s="1257"/>
      <c r="AA206" s="1257"/>
      <c r="AB206" s="1257"/>
      <c r="AC206" s="1257"/>
      <c r="AD206" s="1257"/>
      <c r="AE206" s="1257"/>
      <c r="AF206" s="1257"/>
      <c r="AQ206" s="894" t="s">
        <v>900</v>
      </c>
      <c r="AR206" s="894"/>
      <c r="AS206" s="1396">
        <f>AS196+AS201</f>
        <v>0</v>
      </c>
      <c r="AX206" s="1201" t="s">
        <v>899</v>
      </c>
      <c r="BD206" s="1271" t="e">
        <f>SUM(AZ205:BD205)</f>
        <v>#N/A</v>
      </c>
    </row>
    <row r="207" spans="2:56" s="1201" customFormat="1" ht="17.5" hidden="1" x14ac:dyDescent="0.35">
      <c r="B207" s="1272" t="s">
        <v>639</v>
      </c>
      <c r="D207" s="1257"/>
      <c r="E207" s="1257"/>
      <c r="N207" s="1257"/>
      <c r="O207" s="1257" t="s">
        <v>1913</v>
      </c>
      <c r="P207" s="1257"/>
      <c r="Q207" s="429" t="e">
        <f>K130*1000</f>
        <v>#DIV/0!</v>
      </c>
      <c r="R207" s="1257"/>
      <c r="S207" s="1257"/>
      <c r="T207" s="1257"/>
      <c r="U207" s="1257"/>
      <c r="V207" s="1257"/>
      <c r="W207" s="1257"/>
      <c r="X207" s="1257"/>
      <c r="Y207" s="1257"/>
      <c r="Z207" s="1257"/>
      <c r="AA207" s="1257"/>
      <c r="AB207" s="1257"/>
      <c r="AC207" s="1257"/>
      <c r="AD207" s="1257"/>
      <c r="AE207" s="1257"/>
      <c r="AQ207" s="894" t="s">
        <v>1251</v>
      </c>
      <c r="AR207" s="894"/>
      <c r="AS207" s="1396">
        <f>AS194+AS199</f>
        <v>0</v>
      </c>
    </row>
    <row r="208" spans="2:56" s="1201" customFormat="1" ht="15.75" hidden="1" customHeight="1" x14ac:dyDescent="0.35">
      <c r="N208" s="1257"/>
      <c r="O208" s="1257" t="s">
        <v>927</v>
      </c>
      <c r="P208" s="1257"/>
      <c r="Q208" s="479" t="e">
        <f>Q207/Q199</f>
        <v>#DIV/0!</v>
      </c>
      <c r="R208" s="1257"/>
      <c r="S208" s="1257"/>
      <c r="T208" s="1257"/>
      <c r="U208" s="1257"/>
      <c r="V208" s="1257"/>
      <c r="W208" s="1257"/>
      <c r="X208" s="1257"/>
      <c r="Y208" s="1257"/>
      <c r="Z208" s="1257"/>
      <c r="AA208" s="1257"/>
      <c r="AB208" s="1257"/>
      <c r="AC208" s="1257"/>
      <c r="AD208" s="1257"/>
      <c r="AE208" s="1257"/>
      <c r="AF208" s="1257"/>
      <c r="AG208" s="1257"/>
      <c r="AH208" s="1740" t="s">
        <v>227</v>
      </c>
      <c r="AI208" s="1740" t="s">
        <v>225</v>
      </c>
      <c r="AJ208" s="897" t="s">
        <v>1238</v>
      </c>
      <c r="AK208" s="897" t="s">
        <v>1237</v>
      </c>
      <c r="AL208" s="897"/>
      <c r="AM208" s="897" t="s">
        <v>226</v>
      </c>
      <c r="AN208" s="897"/>
      <c r="AO208" s="897" t="s">
        <v>899</v>
      </c>
    </row>
    <row r="209" spans="2:54" s="1201" customFormat="1" ht="15.75" hidden="1" customHeight="1" x14ac:dyDescent="0.35">
      <c r="B209" s="335" t="s">
        <v>0</v>
      </c>
      <c r="C209" s="335" t="s">
        <v>216</v>
      </c>
      <c r="D209" s="1404" t="s">
        <v>212</v>
      </c>
      <c r="E209" s="1404" t="s">
        <v>213</v>
      </c>
      <c r="F209" s="1404" t="s">
        <v>214</v>
      </c>
      <c r="G209" s="1404" t="s">
        <v>1007</v>
      </c>
      <c r="H209" s="1404" t="s">
        <v>1952</v>
      </c>
      <c r="I209" s="1404" t="s">
        <v>1228</v>
      </c>
      <c r="J209" s="1404" t="s">
        <v>1229</v>
      </c>
      <c r="K209" s="1097" t="s">
        <v>1954</v>
      </c>
      <c r="L209" s="336">
        <f>I29</f>
        <v>0</v>
      </c>
      <c r="M209" s="337" t="s">
        <v>230</v>
      </c>
      <c r="N209" s="892"/>
      <c r="O209" s="1257" t="s">
        <v>928</v>
      </c>
      <c r="P209" s="1257"/>
      <c r="Q209" s="937" t="e">
        <f>Q207/Q197</f>
        <v>#DIV/0!</v>
      </c>
      <c r="AF209" s="1257">
        <v>1</v>
      </c>
      <c r="AG209" s="1263" t="s">
        <v>912</v>
      </c>
      <c r="AH209" s="1740">
        <v>84.29</v>
      </c>
      <c r="AI209" s="1740">
        <v>11.6</v>
      </c>
      <c r="AJ209" s="1740">
        <v>1.1000000000000001</v>
      </c>
      <c r="AK209" s="1740">
        <v>0.55000000000000004</v>
      </c>
      <c r="AL209" s="1740"/>
      <c r="AM209" s="1740">
        <v>2.46</v>
      </c>
      <c r="AN209" s="1740"/>
      <c r="AO209" s="905">
        <v>9.5751000000000008</v>
      </c>
      <c r="AR209" s="1267"/>
    </row>
    <row r="210" spans="2:54" s="1201" customFormat="1" ht="15.5" hidden="1" x14ac:dyDescent="0.35">
      <c r="B210" s="1099"/>
      <c r="C210" s="1099"/>
      <c r="D210" s="1099"/>
      <c r="E210" s="1099"/>
      <c r="F210" s="1099"/>
      <c r="G210" s="1099"/>
      <c r="H210" s="1099"/>
      <c r="I210" s="1099"/>
      <c r="J210" s="1099"/>
      <c r="K210" s="1099"/>
      <c r="L210" s="1099"/>
      <c r="M210" s="1100"/>
      <c r="N210" s="892"/>
      <c r="AF210" s="1257">
        <v>2</v>
      </c>
      <c r="AG210" s="1263" t="s">
        <v>917</v>
      </c>
      <c r="AH210" s="905">
        <v>79.25</v>
      </c>
      <c r="AI210" s="905">
        <v>12.04</v>
      </c>
      <c r="AJ210" s="905">
        <v>2.42</v>
      </c>
      <c r="AK210" s="905">
        <v>1.21</v>
      </c>
      <c r="AL210" s="469"/>
      <c r="AM210" s="905">
        <v>5.08</v>
      </c>
      <c r="AN210" s="905"/>
      <c r="AO210" s="905">
        <v>10.154</v>
      </c>
      <c r="AR210" s="2273"/>
    </row>
    <row r="211" spans="2:54" s="1201" customFormat="1" ht="15.5" hidden="1" x14ac:dyDescent="0.35">
      <c r="B211" s="1101" t="s">
        <v>231</v>
      </c>
      <c r="C211" s="1099"/>
      <c r="D211" s="1101" t="s">
        <v>816</v>
      </c>
      <c r="E211" s="1101"/>
      <c r="F211" s="1101"/>
      <c r="G211" s="1101"/>
      <c r="H211" s="1099"/>
      <c r="I211" s="1099"/>
      <c r="J211" s="1099"/>
      <c r="K211" s="1099"/>
      <c r="L211" s="1099"/>
      <c r="M211" s="1102" t="s">
        <v>1231</v>
      </c>
      <c r="O211" s="1257" t="s">
        <v>1933</v>
      </c>
      <c r="P211" s="1257"/>
      <c r="Q211" s="1531" t="e">
        <f>Q199</f>
        <v>#DIV/0!</v>
      </c>
      <c r="AF211" s="1257">
        <v>3</v>
      </c>
      <c r="AG211" s="1263" t="s">
        <v>866</v>
      </c>
      <c r="AH211" s="1740">
        <v>85.19</v>
      </c>
      <c r="AI211" s="1740">
        <v>7.98</v>
      </c>
      <c r="AJ211" s="1740">
        <v>3.41</v>
      </c>
      <c r="AK211" s="1740">
        <v>1.43</v>
      </c>
      <c r="AL211" s="1740"/>
      <c r="AM211" s="1740">
        <v>1.99</v>
      </c>
      <c r="AN211" s="1740"/>
      <c r="AO211" s="905">
        <v>6.6955999999999998</v>
      </c>
      <c r="AR211" s="2273"/>
    </row>
    <row r="212" spans="2:54" s="1201" customFormat="1" ht="15.5" hidden="1" x14ac:dyDescent="0.35">
      <c r="B212" s="1099"/>
      <c r="C212" s="1099" t="s">
        <v>434</v>
      </c>
      <c r="D212" s="850" t="e">
        <f>(1.185+(0.00454*D20)-(0.0000026*(D20)^2)+((0.315*D22)))^2*1.1+D216</f>
        <v>#DIV/0!</v>
      </c>
      <c r="E212" s="850">
        <f>(1.185+(0.00454*E20)-(0.0000026*(E20)^2)+((0.315*E22)))^2*1+E216</f>
        <v>1.4042250000000001</v>
      </c>
      <c r="F212" s="850">
        <f>(1.185+(0.00454*F20)-(0.0000026*(F20)^2)+((0.315*F22)))^2*1+F216</f>
        <v>1.4042250000000001</v>
      </c>
      <c r="G212" s="850">
        <f>(1.185+(0.00454*G20)-(0.0000026*(G20)^2)+((0.315*G22)))^2*1+G216</f>
        <v>1.4042250000000001</v>
      </c>
      <c r="H212" s="850">
        <f>(1.185+(0.00454*H20)-(0.0000026*(H20)^2)+((0.315*H22)))^2*1+H216</f>
        <v>1.4042250000000001</v>
      </c>
      <c r="I212" s="1205"/>
      <c r="J212" s="1205"/>
      <c r="K212" s="850">
        <f>(1.185+(0.00454*I20)-(0.0000026*(I20)^2)+((0.315*I22)))^2*1+K216</f>
        <v>1.4042250000000001</v>
      </c>
      <c r="L212" s="1104" t="s">
        <v>232</v>
      </c>
      <c r="M212" s="1100"/>
      <c r="O212" s="1257" t="s">
        <v>1926</v>
      </c>
      <c r="P212" s="1257"/>
      <c r="Q212" s="1620" t="s">
        <v>1927</v>
      </c>
      <c r="R212" s="1552" t="s">
        <v>1930</v>
      </c>
      <c r="S212" s="1552" t="s">
        <v>1931</v>
      </c>
      <c r="T212" s="1552" t="s">
        <v>1932</v>
      </c>
      <c r="U212" s="1552" t="s">
        <v>1991</v>
      </c>
      <c r="V212" s="1201" t="s">
        <v>1990</v>
      </c>
      <c r="AF212" s="1257">
        <v>4</v>
      </c>
      <c r="AG212" s="1263" t="s">
        <v>914</v>
      </c>
      <c r="AH212" s="1740">
        <v>79.37</v>
      </c>
      <c r="AI212" s="1740">
        <v>9.68</v>
      </c>
      <c r="AJ212" s="1740">
        <v>2.64</v>
      </c>
      <c r="AK212" s="1740">
        <v>3.3</v>
      </c>
      <c r="AL212" s="1740"/>
      <c r="AM212" s="1740">
        <v>5.01</v>
      </c>
      <c r="AN212" s="1740"/>
      <c r="AO212" s="905">
        <v>9.1526999999999994</v>
      </c>
      <c r="AR212" s="2273"/>
    </row>
    <row r="213" spans="2:54" s="1201" customFormat="1" ht="15.5" hidden="1" x14ac:dyDescent="0.35">
      <c r="B213" s="1099"/>
      <c r="C213" s="1099"/>
      <c r="D213" s="1106"/>
      <c r="E213" s="1106"/>
      <c r="F213" s="1106"/>
      <c r="G213" s="1106"/>
      <c r="H213" s="1106"/>
      <c r="I213" s="1099"/>
      <c r="J213" s="1099"/>
      <c r="K213" s="1099"/>
      <c r="L213" s="1104"/>
      <c r="M213" s="1100"/>
      <c r="O213" s="1257" t="s">
        <v>1927</v>
      </c>
      <c r="P213" s="1257"/>
      <c r="Q213" s="1620">
        <f t="shared" ref="Q213:V213" si="5">IF(AND(D24&gt;0,D26=""),(D24*D20),(D24*D26))</f>
        <v>0</v>
      </c>
      <c r="R213" s="1620">
        <f t="shared" si="5"/>
        <v>0</v>
      </c>
      <c r="S213" s="1620">
        <f t="shared" si="5"/>
        <v>0</v>
      </c>
      <c r="T213" s="1620">
        <f t="shared" si="5"/>
        <v>0</v>
      </c>
      <c r="U213" s="1620">
        <f t="shared" si="5"/>
        <v>0</v>
      </c>
      <c r="V213" s="1620">
        <f t="shared" si="5"/>
        <v>0</v>
      </c>
      <c r="AF213" s="1262">
        <v>5</v>
      </c>
      <c r="AG213" s="1263" t="s">
        <v>918</v>
      </c>
      <c r="AH213" s="1740">
        <v>80.67</v>
      </c>
      <c r="AI213" s="1740">
        <v>10.81</v>
      </c>
      <c r="AJ213" s="1740">
        <v>3.52</v>
      </c>
      <c r="AK213" s="1740">
        <v>0.66</v>
      </c>
      <c r="AL213" s="1740"/>
      <c r="AM213" s="1740">
        <v>4.34</v>
      </c>
      <c r="AN213" s="1740"/>
      <c r="AO213" s="905">
        <v>9.0227000000000004</v>
      </c>
      <c r="AR213" s="2273"/>
    </row>
    <row r="214" spans="2:54" s="1201" customFormat="1" ht="15.5" hidden="1" x14ac:dyDescent="0.35">
      <c r="B214" s="1101" t="s">
        <v>233</v>
      </c>
      <c r="C214" s="1104"/>
      <c r="D214" s="1101" t="s">
        <v>1319</v>
      </c>
      <c r="E214" s="1101"/>
      <c r="F214" s="1099"/>
      <c r="G214" s="1099"/>
      <c r="H214" s="1099"/>
      <c r="I214" s="1099"/>
      <c r="J214" s="1099"/>
      <c r="K214" s="1099"/>
      <c r="L214" s="1099"/>
      <c r="M214" s="1100"/>
      <c r="O214" s="1257" t="s">
        <v>1934</v>
      </c>
      <c r="P214" s="1257"/>
      <c r="Q214" s="1620">
        <f>SUM(Q213:V213)</f>
        <v>0</v>
      </c>
      <c r="AF214" s="1257">
        <v>6</v>
      </c>
      <c r="AG214" s="1269" t="s">
        <v>919</v>
      </c>
      <c r="AH214" s="1740">
        <v>81.86</v>
      </c>
      <c r="AI214" s="1740">
        <v>10.35</v>
      </c>
      <c r="AJ214" s="1740">
        <v>2.5299999999999998</v>
      </c>
      <c r="AK214" s="1740">
        <v>1.54</v>
      </c>
      <c r="AL214" s="1740"/>
      <c r="AM214" s="1740">
        <v>3.72</v>
      </c>
      <c r="AN214" s="1740"/>
      <c r="AO214" s="905">
        <v>8.9453999999999994</v>
      </c>
    </row>
    <row r="215" spans="2:54" s="1201" customFormat="1" ht="15.5" hidden="1" x14ac:dyDescent="0.35">
      <c r="B215" s="1099"/>
      <c r="C215" s="1099"/>
      <c r="D215" s="1101" t="s">
        <v>1230</v>
      </c>
      <c r="E215" s="1099"/>
      <c r="F215" s="1099"/>
      <c r="G215" s="1099"/>
      <c r="H215" s="1099"/>
      <c r="I215" s="1099"/>
      <c r="J215" s="1099"/>
      <c r="K215" s="1099"/>
      <c r="L215" s="1099"/>
      <c r="M215" s="1102" t="s">
        <v>1232</v>
      </c>
      <c r="Q215" s="1257"/>
      <c r="AF215" s="1257">
        <v>7</v>
      </c>
      <c r="AG215" s="1263" t="s">
        <v>920</v>
      </c>
      <c r="AH215" s="1740">
        <v>79.37</v>
      </c>
      <c r="AI215" s="1740">
        <v>9.68</v>
      </c>
      <c r="AJ215" s="1740">
        <v>2.64</v>
      </c>
      <c r="AK215" s="1740">
        <v>3.3</v>
      </c>
      <c r="AL215" s="1740"/>
      <c r="AM215" s="1740">
        <v>5.01</v>
      </c>
      <c r="AN215" s="1740"/>
      <c r="AO215" s="905">
        <v>11.108000000000001</v>
      </c>
    </row>
    <row r="216" spans="2:54" s="1201" customFormat="1" ht="15.5" hidden="1" x14ac:dyDescent="0.35">
      <c r="B216" s="1099"/>
      <c r="C216" s="1099" t="s">
        <v>434</v>
      </c>
      <c r="D216" s="1362" t="e">
        <f>(Q201*1.03*D34/365)*3.054/0.6/((0.00795*F42)-0.0014)/18.4</f>
        <v>#DIV/0!</v>
      </c>
      <c r="E216" s="850">
        <f>0*3.054/0.6/(0.00795*$D$44-0.0014)/18.4</f>
        <v>0</v>
      </c>
      <c r="F216" s="850">
        <f>0*3.054/0.6/(0.00795*$D$44-0.0014)/18.4</f>
        <v>0</v>
      </c>
      <c r="G216" s="850">
        <f>0*3.054/0.6/(0.00795*$D$44-0.0014)/18.4</f>
        <v>0</v>
      </c>
      <c r="H216" s="850">
        <f>0*3.054/0.6/(0.00795*$D$44-0.0014)/18.4</f>
        <v>0</v>
      </c>
      <c r="I216" s="850"/>
      <c r="J216" s="850"/>
      <c r="K216" s="850">
        <f>0*3.054/0.6/(0.00795*$D$44-0.0014)/18.4</f>
        <v>0</v>
      </c>
      <c r="L216" s="1104" t="s">
        <v>232</v>
      </c>
      <c r="M216" s="1100"/>
      <c r="O216" s="1257"/>
      <c r="P216" s="1257"/>
      <c r="Q216" s="1533"/>
      <c r="R216" s="1620"/>
      <c r="S216" s="1620"/>
      <c r="AK216" s="1620"/>
      <c r="AL216" s="1620"/>
      <c r="AM216" s="1620"/>
      <c r="AN216" s="1620"/>
      <c r="AO216" s="1620"/>
    </row>
    <row r="217" spans="2:54" s="1201" customFormat="1" ht="15.5" hidden="1" x14ac:dyDescent="0.35">
      <c r="B217" s="1099"/>
      <c r="C217" s="1099"/>
      <c r="D217" s="1103"/>
      <c r="E217" s="1103"/>
      <c r="F217" s="1103"/>
      <c r="G217" s="1103"/>
      <c r="H217" s="1103"/>
      <c r="I217" s="1099"/>
      <c r="J217" s="1099"/>
      <c r="K217" s="1099"/>
      <c r="L217" s="1099"/>
      <c r="M217" s="1100"/>
      <c r="O217" s="1257"/>
      <c r="P217" s="1257"/>
      <c r="Q217" s="1533"/>
      <c r="R217" s="1258"/>
      <c r="S217" s="1609"/>
      <c r="AF217" s="525" t="s">
        <v>902</v>
      </c>
      <c r="AG217" s="525">
        <f>D14</f>
        <v>0</v>
      </c>
      <c r="AH217" s="1397" t="e">
        <f>VLOOKUP($AG$217,$AG$209:$AO$215,2,FALSE)</f>
        <v>#N/A</v>
      </c>
      <c r="AI217" s="1397" t="e">
        <f>VLOOKUP($AG$217,$AG$209:$AO$215,3,FALSE)</f>
        <v>#N/A</v>
      </c>
      <c r="AJ217" s="1397" t="e">
        <f>VLOOKUP($AG$217,$AG$209:$AO$215,4,FALSE)</f>
        <v>#N/A</v>
      </c>
      <c r="AK217" s="1397" t="e">
        <f>VLOOKUP($AG$217,$AG$209:$AO$215,5,FALSE)</f>
        <v>#N/A</v>
      </c>
      <c r="AL217" s="1397"/>
      <c r="AM217" s="1397" t="e">
        <f>VLOOKUP($AG$217,$AG$209:$AO$215,7,FALSE)</f>
        <v>#N/A</v>
      </c>
      <c r="AN217" s="1397"/>
      <c r="AO217" s="1397" t="e">
        <f>VLOOKUP($AG$217,$AG$209:$AO$215,9,FALSE)</f>
        <v>#N/A</v>
      </c>
    </row>
    <row r="218" spans="2:54" s="1201" customFormat="1" ht="15.5" hidden="1" x14ac:dyDescent="0.35">
      <c r="B218" s="1101" t="s">
        <v>236</v>
      </c>
      <c r="C218" s="1099"/>
      <c r="D218" s="1101" t="s">
        <v>1456</v>
      </c>
      <c r="E218" s="1104"/>
      <c r="F218" s="1099"/>
      <c r="G218" s="1099"/>
      <c r="H218" s="1099"/>
      <c r="I218" s="1099"/>
      <c r="J218" s="1099"/>
      <c r="K218" s="1099"/>
      <c r="L218" s="1099"/>
      <c r="M218" s="1102" t="s">
        <v>1233</v>
      </c>
      <c r="O218" s="1257"/>
      <c r="P218" s="1257"/>
      <c r="Q218" s="1257"/>
      <c r="R218" s="1257"/>
      <c r="S218" s="1257"/>
      <c r="AF218" s="525" t="s">
        <v>904</v>
      </c>
      <c r="AG218" s="525"/>
      <c r="AH218" s="1397">
        <f>AS192*100</f>
        <v>100</v>
      </c>
      <c r="AI218" s="1397">
        <f>AS206*100</f>
        <v>0</v>
      </c>
      <c r="AJ218" s="1397">
        <f>AS207*100</f>
        <v>0</v>
      </c>
      <c r="AK218" s="1397">
        <f>AS205*100</f>
        <v>0</v>
      </c>
      <c r="AL218" s="1397"/>
      <c r="AM218" s="1397">
        <f>AS204*100</f>
        <v>0</v>
      </c>
      <c r="AN218" s="1397"/>
      <c r="AO218" s="1397" t="e">
        <f>BD203</f>
        <v>#N/A</v>
      </c>
    </row>
    <row r="219" spans="2:54" s="1201" customFormat="1" ht="15.5" hidden="1" x14ac:dyDescent="0.35">
      <c r="B219" s="1099"/>
      <c r="C219" s="1099"/>
      <c r="D219" s="1101"/>
      <c r="E219" s="1104"/>
      <c r="F219" s="1104"/>
      <c r="G219" s="1099"/>
      <c r="H219" s="1099"/>
      <c r="I219" s="1099"/>
      <c r="J219" s="1099"/>
      <c r="K219" s="1099"/>
      <c r="L219" s="1099"/>
      <c r="M219" s="1100"/>
      <c r="AF219" s="525" t="s">
        <v>903</v>
      </c>
      <c r="AG219" s="525"/>
      <c r="AH219" s="1397" t="e">
        <f>IF($AD$193=1,AH217,AH218)</f>
        <v>#N/A</v>
      </c>
      <c r="AI219" s="1397" t="e">
        <f>IF($AD$193=1,AI217,AI218)</f>
        <v>#N/A</v>
      </c>
      <c r="AJ219" s="1397" t="e">
        <f>IF($AD$193=1,AJ217,AJ218)</f>
        <v>#N/A</v>
      </c>
      <c r="AK219" s="1397" t="e">
        <f>IF($AD$193=1,AK217,AK218)</f>
        <v>#N/A</v>
      </c>
      <c r="AL219" s="1397"/>
      <c r="AM219" s="1397" t="e">
        <f>IF($AD$193=1,AM217,AM218)</f>
        <v>#N/A</v>
      </c>
      <c r="AN219" s="1397"/>
      <c r="AO219" s="1397" t="e">
        <f>IF($AD$193=1,AO217,AO218)</f>
        <v>#N/A</v>
      </c>
    </row>
    <row r="220" spans="2:54" s="1201" customFormat="1" ht="15.5" hidden="1" x14ac:dyDescent="0.35">
      <c r="B220" s="1099"/>
      <c r="C220" s="1099" t="s">
        <v>434</v>
      </c>
      <c r="D220" s="850" t="e">
        <f>20.7*D212/1000</f>
        <v>#DIV/0!</v>
      </c>
      <c r="E220" s="850">
        <f>20.7*E212/1000</f>
        <v>2.9067457500000001E-2</v>
      </c>
      <c r="F220" s="850">
        <f t="shared" ref="F220:G220" si="6">20.7*F212/1000</f>
        <v>2.9067457500000001E-2</v>
      </c>
      <c r="G220" s="850">
        <f t="shared" si="6"/>
        <v>2.9067457500000001E-2</v>
      </c>
      <c r="H220" s="1402">
        <f>20.7*H212/1000</f>
        <v>2.9067457500000001E-2</v>
      </c>
      <c r="I220" s="850">
        <v>1.8249999999999999E-2</v>
      </c>
      <c r="J220" s="850">
        <v>2.0809999999999999E-2</v>
      </c>
      <c r="K220" s="1402">
        <f>20.7*K212/1000</f>
        <v>2.9067457500000001E-2</v>
      </c>
      <c r="L220" s="1104" t="s">
        <v>237</v>
      </c>
      <c r="M220" s="1100"/>
      <c r="O220" s="1257"/>
      <c r="P220" s="1257"/>
      <c r="Q220" s="1265"/>
      <c r="AF220" s="525" t="s">
        <v>1254</v>
      </c>
      <c r="AG220" s="525"/>
      <c r="AH220" s="1397">
        <v>100</v>
      </c>
      <c r="AI220" s="1397">
        <v>0</v>
      </c>
      <c r="AJ220" s="1397">
        <v>0</v>
      </c>
      <c r="AK220" s="1397">
        <v>0</v>
      </c>
      <c r="AL220" s="1397"/>
      <c r="AM220" s="1397">
        <v>0</v>
      </c>
      <c r="AN220" s="1397"/>
      <c r="AO220" s="1397">
        <f>IF(OR(B20="Queensland",B20="Northern.Territory"),2,1)</f>
        <v>1</v>
      </c>
    </row>
    <row r="221" spans="2:54" s="1201" customFormat="1" ht="15.5" hidden="1" x14ac:dyDescent="0.35">
      <c r="B221" s="1099"/>
      <c r="C221" s="1099"/>
      <c r="D221" s="1099"/>
      <c r="E221" s="1099"/>
      <c r="F221" s="1099"/>
      <c r="G221" s="1099"/>
      <c r="H221" s="1099"/>
      <c r="I221" s="1099"/>
      <c r="J221" s="1099"/>
      <c r="K221" s="1099"/>
      <c r="L221" s="1099"/>
      <c r="M221" s="1100"/>
      <c r="O221" s="1257"/>
      <c r="P221" s="1257"/>
      <c r="Q221" s="1533"/>
      <c r="S221" s="1769"/>
      <c r="AF221" s="525" t="s">
        <v>907</v>
      </c>
      <c r="AG221" s="525"/>
      <c r="AH221" s="1397">
        <f>AV192*100</f>
        <v>100</v>
      </c>
      <c r="AI221" s="1397">
        <f>AV196*100</f>
        <v>0</v>
      </c>
      <c r="AJ221" s="1397">
        <f>AV202*100</f>
        <v>0</v>
      </c>
      <c r="AK221" s="1397">
        <f>AV200*100</f>
        <v>0</v>
      </c>
      <c r="AL221" s="1397"/>
      <c r="AM221" s="1397">
        <f>AV199*100</f>
        <v>0</v>
      </c>
      <c r="AN221" s="1397"/>
      <c r="AO221" s="1397" t="e">
        <f>BD206</f>
        <v>#N/A</v>
      </c>
    </row>
    <row r="222" spans="2:54" s="1201" customFormat="1" ht="15.5" hidden="1" x14ac:dyDescent="0.35">
      <c r="B222" s="1107" t="s">
        <v>238</v>
      </c>
      <c r="C222" s="1099"/>
      <c r="D222" s="1099"/>
      <c r="E222" s="1099"/>
      <c r="F222" s="1099"/>
      <c r="G222" s="1099"/>
      <c r="H222" s="1099"/>
      <c r="I222" s="1099"/>
      <c r="J222" s="1099"/>
      <c r="K222" s="1099"/>
      <c r="L222" s="1099"/>
      <c r="M222" s="1100"/>
      <c r="O222" s="1257"/>
      <c r="P222" s="1257"/>
      <c r="Q222" s="1533"/>
      <c r="AF222" s="525" t="s">
        <v>908</v>
      </c>
      <c r="AG222" s="525"/>
      <c r="AH222" s="1397">
        <f>IF($AD$193=1,AH220,AH221)</f>
        <v>100</v>
      </c>
      <c r="AI222" s="1397">
        <f>IF($AD$193=1,AI220,AI221)</f>
        <v>0</v>
      </c>
      <c r="AJ222" s="1397">
        <f>IF($AD$193=1,AJ220,AJ221)</f>
        <v>0</v>
      </c>
      <c r="AK222" s="1397">
        <f>IF($AD$193=1,AK220,AK221)</f>
        <v>0</v>
      </c>
      <c r="AL222" s="1397"/>
      <c r="AM222" s="1397">
        <f>IF($AD$193=1,AM220,AM221)</f>
        <v>0</v>
      </c>
      <c r="AN222" s="1397"/>
      <c r="AO222" s="1397">
        <f>IF($AD$193=1,AO220,AO221)</f>
        <v>1</v>
      </c>
    </row>
    <row r="223" spans="2:54" s="1201" customFormat="1" ht="15.5" hidden="1" x14ac:dyDescent="0.35">
      <c r="B223" s="1099"/>
      <c r="C223" s="1099"/>
      <c r="D223" s="1108" t="s">
        <v>1256</v>
      </c>
      <c r="E223" s="1099"/>
      <c r="F223" s="1099"/>
      <c r="G223" s="1099"/>
      <c r="H223" s="1099"/>
      <c r="I223" s="1099"/>
      <c r="J223" s="1099"/>
      <c r="K223" s="1099"/>
      <c r="L223" s="1099"/>
      <c r="M223" s="1401" t="s">
        <v>239</v>
      </c>
      <c r="O223" s="1257"/>
      <c r="P223" s="1257"/>
      <c r="Q223" s="1533"/>
      <c r="AF223" s="1257"/>
      <c r="AG223" s="1257"/>
      <c r="AH223" s="1257"/>
      <c r="AI223" s="1257"/>
      <c r="AJ223" s="1257"/>
      <c r="AK223" s="1257"/>
      <c r="AL223" s="1257"/>
      <c r="AM223" s="1257"/>
      <c r="AN223" s="1257"/>
    </row>
    <row r="224" spans="2:54" s="1201" customFormat="1" ht="15.5" hidden="1" x14ac:dyDescent="0.35">
      <c r="B224" s="1099"/>
      <c r="C224" s="1099"/>
      <c r="D224" s="1099"/>
      <c r="E224" s="1099"/>
      <c r="F224" s="1099"/>
      <c r="G224" s="1099"/>
      <c r="H224" s="1099"/>
      <c r="I224" s="1099"/>
      <c r="J224" s="1099"/>
      <c r="K224" s="1099"/>
      <c r="L224" s="1099"/>
      <c r="M224" s="1100"/>
      <c r="P224" s="1257"/>
      <c r="Q224" s="1257"/>
      <c r="AT224" s="1257"/>
      <c r="AU224" s="1257"/>
      <c r="AV224" s="1257"/>
      <c r="AW224" s="1257"/>
      <c r="AX224" s="1257"/>
      <c r="AY224" s="1257"/>
      <c r="AZ224" s="1257"/>
      <c r="BA224" s="1257"/>
      <c r="BB224" s="1257"/>
    </row>
    <row r="225" spans="2:22" s="1201" customFormat="1" ht="15.5" hidden="1" x14ac:dyDescent="0.35">
      <c r="B225" s="1099"/>
      <c r="C225" s="1099" t="s">
        <v>434</v>
      </c>
      <c r="D225" s="1403" t="e">
        <f>(365*D18*D220)*10^-6</f>
        <v>#DIV/0!</v>
      </c>
      <c r="E225" s="1403">
        <f>(365*E18*E220)*10^-6</f>
        <v>0</v>
      </c>
      <c r="F225" s="1403">
        <f>(281*F18*F220)*10^-6</f>
        <v>0</v>
      </c>
      <c r="G225" s="1403">
        <f>(365*G18*G220)*10^-6</f>
        <v>0</v>
      </c>
      <c r="H225" s="1403">
        <f>(281*H18*H220)*10^-6</f>
        <v>0</v>
      </c>
      <c r="I225" s="1403">
        <f>(84*F18*I220)*10^-6</f>
        <v>0</v>
      </c>
      <c r="J225" s="1403">
        <f>(84*H18*J220)*10^-6</f>
        <v>0</v>
      </c>
      <c r="K225" s="1403">
        <f>(365*I18*K220)*10^-6</f>
        <v>0</v>
      </c>
      <c r="L225" s="1099" t="s">
        <v>435</v>
      </c>
      <c r="M225" s="1100"/>
      <c r="O225" s="1257" t="s">
        <v>2066</v>
      </c>
      <c r="P225" s="1257"/>
      <c r="Q225" s="1257"/>
      <c r="R225" s="1257"/>
      <c r="S225" s="1257"/>
      <c r="T225" s="1257"/>
      <c r="U225" s="1257"/>
      <c r="V225" s="1257"/>
    </row>
    <row r="226" spans="2:22" s="1201" customFormat="1" ht="15.5" hidden="1" x14ac:dyDescent="0.35">
      <c r="B226" s="1099"/>
      <c r="C226" s="1099"/>
      <c r="D226" s="1099"/>
      <c r="E226" s="1099"/>
      <c r="F226" s="1110"/>
      <c r="G226" s="1099"/>
      <c r="H226" s="1099"/>
      <c r="I226" s="1110"/>
      <c r="J226" s="1111"/>
      <c r="K226" s="1111"/>
      <c r="L226" s="1099"/>
      <c r="M226" s="1100"/>
      <c r="O226" s="1257"/>
      <c r="P226" s="1257"/>
      <c r="Q226" s="1257"/>
      <c r="R226" s="1553"/>
      <c r="S226" s="1257"/>
      <c r="T226" s="1257"/>
      <c r="U226" s="1257"/>
      <c r="V226" s="1257"/>
    </row>
    <row r="227" spans="2:22" s="1201" customFormat="1" ht="15.5" hidden="1" x14ac:dyDescent="0.35">
      <c r="B227" s="1107" t="s">
        <v>240</v>
      </c>
      <c r="C227" s="1110" t="e">
        <f>SUM(D225:K225)</f>
        <v>#DIV/0!</v>
      </c>
      <c r="D227" s="1354"/>
      <c r="E227" s="1354"/>
      <c r="F227" s="1354"/>
      <c r="G227" s="1354"/>
      <c r="H227" s="1354"/>
      <c r="I227" s="1354"/>
      <c r="J227" s="1354"/>
      <c r="K227" s="1354"/>
      <c r="L227" s="1111" t="s">
        <v>241</v>
      </c>
      <c r="M227" s="1100"/>
      <c r="O227" s="525" t="s">
        <v>2050</v>
      </c>
      <c r="P227" s="1657">
        <f>D24*D26+G24*G26</f>
        <v>0</v>
      </c>
      <c r="Q227" s="525"/>
      <c r="R227" s="525"/>
      <c r="S227" s="525"/>
      <c r="T227" s="525"/>
      <c r="U227" s="525"/>
      <c r="V227" s="525"/>
    </row>
    <row r="228" spans="2:22" s="1201" customFormat="1" ht="15.5" hidden="1" x14ac:dyDescent="0.35">
      <c r="B228" s="1107" t="s">
        <v>242</v>
      </c>
      <c r="C228" s="1110" t="e">
        <f>C227*25</f>
        <v>#DIV/0!</v>
      </c>
      <c r="D228" s="1110"/>
      <c r="E228" s="1110"/>
      <c r="F228" s="1110"/>
      <c r="G228" s="1110"/>
      <c r="H228" s="1110"/>
      <c r="I228" s="1111"/>
      <c r="J228" s="1111"/>
      <c r="K228" s="1111"/>
      <c r="L228" s="1111" t="s">
        <v>243</v>
      </c>
      <c r="M228" s="1100"/>
      <c r="O228" s="525" t="s">
        <v>2012</v>
      </c>
      <c r="P228" s="1657">
        <f>IF(H203=1,J24*J26,0)</f>
        <v>0</v>
      </c>
      <c r="Q228" s="525"/>
      <c r="R228" s="525"/>
      <c r="S228" s="525"/>
      <c r="T228" s="525"/>
      <c r="U228" s="525"/>
      <c r="V228" s="525"/>
    </row>
    <row r="229" spans="2:22" s="1201" customFormat="1" ht="15.5" hidden="1" x14ac:dyDescent="0.35">
      <c r="B229" s="339" t="s">
        <v>242</v>
      </c>
      <c r="C229" s="340" t="e">
        <f>C228*10^3</f>
        <v>#DIV/0!</v>
      </c>
      <c r="D229" s="341"/>
      <c r="E229" s="341"/>
      <c r="F229" s="341"/>
      <c r="G229" s="341"/>
      <c r="H229" s="341"/>
      <c r="I229" s="840"/>
      <c r="J229" s="840"/>
      <c r="K229" s="1557"/>
      <c r="L229" s="342" t="s">
        <v>244</v>
      </c>
      <c r="M229" s="343"/>
      <c r="O229" s="525" t="s">
        <v>2013</v>
      </c>
      <c r="P229" s="1657">
        <f>IF(H203=2,J24*J26,0)</f>
        <v>0</v>
      </c>
      <c r="Q229" s="525"/>
      <c r="R229" s="525"/>
      <c r="S229" s="525"/>
      <c r="T229" s="525"/>
      <c r="U229" s="525"/>
      <c r="V229" s="525"/>
    </row>
    <row r="230" spans="2:22" s="1201" customFormat="1" ht="15.5" hidden="1" x14ac:dyDescent="0.35">
      <c r="O230" s="525" t="s">
        <v>2014</v>
      </c>
      <c r="P230" s="1657">
        <f>SUMPRODUCT(E24:F24,E26:F26)</f>
        <v>0</v>
      </c>
      <c r="Q230" s="525"/>
      <c r="R230" s="525"/>
      <c r="S230" s="525"/>
      <c r="T230" s="525"/>
      <c r="U230" s="525"/>
      <c r="V230" s="525"/>
    </row>
    <row r="231" spans="2:22" s="1201" customFormat="1" ht="15.5" hidden="1" x14ac:dyDescent="0.35">
      <c r="B231" s="344" t="s">
        <v>421</v>
      </c>
      <c r="C231" s="344"/>
      <c r="D231" s="345" t="s">
        <v>212</v>
      </c>
      <c r="E231" s="345" t="s">
        <v>213</v>
      </c>
      <c r="F231" s="345" t="s">
        <v>214</v>
      </c>
      <c r="G231" s="345" t="s">
        <v>1007</v>
      </c>
      <c r="H231" s="345" t="s">
        <v>1952</v>
      </c>
      <c r="I231" s="345" t="s">
        <v>1228</v>
      </c>
      <c r="J231" s="345" t="s">
        <v>1229</v>
      </c>
      <c r="K231" s="345" t="s">
        <v>1960</v>
      </c>
      <c r="L231" s="345">
        <f>I29</f>
        <v>0</v>
      </c>
      <c r="M231" s="346" t="s">
        <v>230</v>
      </c>
      <c r="O231" s="525" t="s">
        <v>2015</v>
      </c>
      <c r="P231" s="1657">
        <f>SUMPRODUCT(H24:I24,H26:I26)</f>
        <v>0</v>
      </c>
      <c r="Q231" s="525"/>
      <c r="R231" s="525"/>
      <c r="S231" s="525"/>
      <c r="T231" s="525"/>
      <c r="U231" s="525"/>
      <c r="V231" s="525"/>
    </row>
    <row r="232" spans="2:22" s="1201" customFormat="1" ht="15.5" hidden="1" x14ac:dyDescent="0.35">
      <c r="B232" s="1115" t="s">
        <v>246</v>
      </c>
      <c r="C232" s="1116">
        <v>0.08</v>
      </c>
      <c r="D232" s="1117"/>
      <c r="E232" s="1116"/>
      <c r="F232" s="1116"/>
      <c r="G232" s="1116"/>
      <c r="H232" s="1116"/>
      <c r="I232" s="1116"/>
      <c r="J232" s="1116"/>
      <c r="K232" s="1116"/>
      <c r="L232" s="1116" t="s">
        <v>247</v>
      </c>
      <c r="M232" s="1118"/>
      <c r="O232" s="525" t="s">
        <v>2016</v>
      </c>
      <c r="P232" s="1657">
        <f>SUM(P227:P231)</f>
        <v>0</v>
      </c>
      <c r="Q232" s="525"/>
      <c r="R232" s="525"/>
      <c r="S232" s="525"/>
      <c r="T232" s="525"/>
      <c r="U232" s="525"/>
      <c r="V232" s="525"/>
    </row>
    <row r="233" spans="2:22" s="1201" customFormat="1" ht="15.5" hidden="1" x14ac:dyDescent="0.35">
      <c r="B233" s="1115" t="s">
        <v>248</v>
      </c>
      <c r="C233" s="1116">
        <v>0.24</v>
      </c>
      <c r="D233" s="1117"/>
      <c r="E233" s="1116"/>
      <c r="F233" s="1116"/>
      <c r="G233" s="1116"/>
      <c r="H233" s="1116"/>
      <c r="I233" s="1116"/>
      <c r="J233" s="1116"/>
      <c r="K233" s="1116"/>
      <c r="L233" s="1116" t="s">
        <v>249</v>
      </c>
      <c r="M233" s="1118"/>
      <c r="O233" s="525"/>
      <c r="P233" s="1657"/>
      <c r="Q233" s="525"/>
      <c r="R233" s="525"/>
      <c r="S233" s="525"/>
      <c r="T233" s="525"/>
      <c r="U233" s="525"/>
      <c r="V233" s="525"/>
    </row>
    <row r="234" spans="2:22" s="1201" customFormat="1" ht="15.5" hidden="1" x14ac:dyDescent="0.35">
      <c r="B234" s="347" t="s">
        <v>250</v>
      </c>
      <c r="C234" s="348">
        <v>0.6784</v>
      </c>
      <c r="D234" s="349"/>
      <c r="E234" s="348"/>
      <c r="F234" s="348"/>
      <c r="G234" s="348"/>
      <c r="H234" s="348"/>
      <c r="I234" s="348"/>
      <c r="J234" s="348"/>
      <c r="K234" s="903"/>
      <c r="L234" s="348" t="s">
        <v>251</v>
      </c>
      <c r="M234" s="350"/>
      <c r="O234" s="525"/>
      <c r="P234" s="1658" t="s">
        <v>2017</v>
      </c>
      <c r="Q234" s="1659" t="s">
        <v>2018</v>
      </c>
      <c r="R234" s="1660" t="s">
        <v>2019</v>
      </c>
      <c r="S234" s="1658" t="s">
        <v>2020</v>
      </c>
      <c r="T234" s="1660" t="s">
        <v>2021</v>
      </c>
      <c r="U234" s="525"/>
      <c r="V234" s="525"/>
    </row>
    <row r="235" spans="2:22" s="1201" customFormat="1" ht="15.5" hidden="1" x14ac:dyDescent="0.35">
      <c r="B235" s="1117"/>
      <c r="C235" s="1119"/>
      <c r="D235" s="1117"/>
      <c r="E235" s="1117"/>
      <c r="F235" s="1117"/>
      <c r="G235" s="1117"/>
      <c r="H235" s="1117"/>
      <c r="I235" s="1117"/>
      <c r="J235" s="1117"/>
      <c r="K235" s="1117"/>
      <c r="L235" s="1117"/>
      <c r="M235" s="1118"/>
      <c r="O235" s="525" t="s">
        <v>2022</v>
      </c>
      <c r="P235" s="1661">
        <v>15</v>
      </c>
      <c r="Q235" s="1657">
        <f>P227*P235</f>
        <v>0</v>
      </c>
      <c r="R235" s="1662" t="e">
        <f>Q235/$Q$240</f>
        <v>#DIV/0!</v>
      </c>
      <c r="S235" s="1657">
        <f>P227*P235</f>
        <v>0</v>
      </c>
      <c r="T235" s="1662" t="e">
        <f>S235/$S$240</f>
        <v>#DIV/0!</v>
      </c>
      <c r="U235" s="525"/>
      <c r="V235" s="525"/>
    </row>
    <row r="236" spans="2:22" s="1201" customFormat="1" ht="15.5" hidden="1" x14ac:dyDescent="0.35">
      <c r="B236" s="1115" t="s">
        <v>252</v>
      </c>
      <c r="C236" s="1115" t="s">
        <v>1340</v>
      </c>
      <c r="D236" s="1116"/>
      <c r="E236" s="1117"/>
      <c r="F236" s="1117"/>
      <c r="G236" s="1117"/>
      <c r="H236" s="1117"/>
      <c r="I236" s="1117"/>
      <c r="J236" s="1117"/>
      <c r="K236" s="1117"/>
      <c r="L236" s="1117"/>
      <c r="M236" s="1400" t="s">
        <v>254</v>
      </c>
      <c r="O236" s="525" t="s">
        <v>2023</v>
      </c>
      <c r="P236" s="1661">
        <v>27.5</v>
      </c>
      <c r="Q236" s="1657">
        <f>P228*P236</f>
        <v>0</v>
      </c>
      <c r="R236" s="1662" t="e">
        <f t="shared" ref="R236:R239" si="7">Q236/$Q$240</f>
        <v>#DIV/0!</v>
      </c>
      <c r="S236" s="1657">
        <f>P228*P236</f>
        <v>0</v>
      </c>
      <c r="T236" s="1662" t="e">
        <f t="shared" ref="T236:T239" si="8">S236/$S$240</f>
        <v>#DIV/0!</v>
      </c>
      <c r="U236" s="525"/>
      <c r="V236" s="525"/>
    </row>
    <row r="237" spans="2:22" s="1201" customFormat="1" ht="15.5" hidden="1" x14ac:dyDescent="0.35">
      <c r="B237" s="1117"/>
      <c r="C237" s="1117" t="s">
        <v>434</v>
      </c>
      <c r="D237" s="1121" t="e">
        <f>(D212*(1-(F42/100))+(0.04*D212))*(1-$C$232)</f>
        <v>#DIV/0!</v>
      </c>
      <c r="E237" s="1121">
        <f>(E212*(1-($D$44/100))+(0.04*E212))*(1-$C$232)</f>
        <v>1.3435624800000001</v>
      </c>
      <c r="F237" s="1121">
        <f>(F212*(1-($D$44/100))+(0.04*F212))*(1-$C$232)</f>
        <v>1.3435624800000001</v>
      </c>
      <c r="G237" s="1121">
        <f>(G212*(1-($D$44/100))+(0.04*G212))*(1-$C$232)</f>
        <v>1.3435624800000001</v>
      </c>
      <c r="H237" s="1121">
        <f>(H212*(1-($D$44/100))+(0.04*H212))*(1-$C$232)</f>
        <v>1.3435624800000001</v>
      </c>
      <c r="I237" s="1121">
        <v>0.26850000000000002</v>
      </c>
      <c r="J237" s="1121">
        <v>0.30030000000000001</v>
      </c>
      <c r="K237" s="1121">
        <f>(K212*(1-($D$44/100))+(0.04*K212))*(1-$C$232)</f>
        <v>1.3435624800000001</v>
      </c>
      <c r="L237" s="1116" t="s">
        <v>255</v>
      </c>
      <c r="M237" s="1399"/>
      <c r="O237" s="525" t="s">
        <v>2024</v>
      </c>
      <c r="P237" s="1661">
        <v>15</v>
      </c>
      <c r="Q237" s="1657">
        <f>P229*P237</f>
        <v>0</v>
      </c>
      <c r="R237" s="1662" t="e">
        <f t="shared" si="7"/>
        <v>#DIV/0!</v>
      </c>
      <c r="S237" s="1657">
        <f>P229*P237</f>
        <v>0</v>
      </c>
      <c r="T237" s="1662" t="e">
        <f t="shared" si="8"/>
        <v>#DIV/0!</v>
      </c>
      <c r="U237" s="525"/>
      <c r="V237" s="525"/>
    </row>
    <row r="238" spans="2:22" s="1201" customFormat="1" ht="15.5" hidden="1" x14ac:dyDescent="0.35">
      <c r="B238" s="1117"/>
      <c r="C238" s="1117"/>
      <c r="D238" s="1356"/>
      <c r="E238" s="1356"/>
      <c r="F238" s="1356"/>
      <c r="G238" s="1356"/>
      <c r="H238" s="1356"/>
      <c r="I238" s="1356"/>
      <c r="J238" s="1356"/>
      <c r="K238" s="1356"/>
      <c r="L238" s="1117"/>
      <c r="M238" s="1399"/>
      <c r="O238" s="525" t="s">
        <v>2025</v>
      </c>
      <c r="P238" s="1661">
        <v>11</v>
      </c>
      <c r="Q238" s="1657">
        <f>P230*P238</f>
        <v>0</v>
      </c>
      <c r="R238" s="1662" t="e">
        <f t="shared" si="7"/>
        <v>#DIV/0!</v>
      </c>
      <c r="S238" s="1657">
        <f>P230*P238</f>
        <v>0</v>
      </c>
      <c r="T238" s="1662" t="e">
        <f t="shared" si="8"/>
        <v>#DIV/0!</v>
      </c>
      <c r="U238" s="525"/>
      <c r="V238" s="525"/>
    </row>
    <row r="239" spans="2:22" s="1201" customFormat="1" ht="15.5" hidden="1" x14ac:dyDescent="0.35">
      <c r="B239" s="1115" t="s">
        <v>256</v>
      </c>
      <c r="C239" s="1115" t="s">
        <v>257</v>
      </c>
      <c r="D239" s="1116"/>
      <c r="E239" s="1116"/>
      <c r="F239" s="1409"/>
      <c r="G239" s="1409"/>
      <c r="H239" s="1117"/>
      <c r="I239" s="1117"/>
      <c r="J239" s="1117"/>
      <c r="K239" s="1117"/>
      <c r="L239" s="1409"/>
      <c r="M239" s="1400" t="s">
        <v>258</v>
      </c>
      <c r="O239" s="1663" t="s">
        <v>2026</v>
      </c>
      <c r="P239" s="1664">
        <v>11</v>
      </c>
      <c r="Q239" s="1665"/>
      <c r="R239" s="1662" t="e">
        <f t="shared" si="7"/>
        <v>#DIV/0!</v>
      </c>
      <c r="S239" s="1665">
        <f>P231*P239</f>
        <v>0</v>
      </c>
      <c r="T239" s="1662" t="e">
        <f t="shared" si="8"/>
        <v>#DIV/0!</v>
      </c>
      <c r="U239" s="525"/>
      <c r="V239" s="525"/>
    </row>
    <row r="240" spans="2:22" s="1201" customFormat="1" ht="15.5" hidden="1" x14ac:dyDescent="0.35">
      <c r="B240" s="1117"/>
      <c r="C240" s="1116" t="s">
        <v>259</v>
      </c>
      <c r="D240" s="1117"/>
      <c r="E240" s="1117"/>
      <c r="F240" s="1117"/>
      <c r="G240" s="1117"/>
      <c r="H240" s="1117"/>
      <c r="I240" s="1117"/>
      <c r="J240" s="1117"/>
      <c r="K240" s="1117"/>
      <c r="L240" s="1117"/>
      <c r="M240" s="1399"/>
      <c r="O240" s="1681" t="s">
        <v>2027</v>
      </c>
      <c r="P240" s="1682"/>
      <c r="Q240" s="1683">
        <f>SUM(Q235:Q239)</f>
        <v>0</v>
      </c>
      <c r="R240" s="1680" t="e">
        <f>SUM(R235:R239)</f>
        <v>#DIV/0!</v>
      </c>
      <c r="S240" s="1683">
        <f>SUM(S235:S239)</f>
        <v>0</v>
      </c>
      <c r="T240" s="1680" t="e">
        <f>SUM(T235:T239)</f>
        <v>#DIV/0!</v>
      </c>
      <c r="U240" s="525"/>
      <c r="V240" s="525"/>
    </row>
    <row r="241" spans="2:22" s="1201" customFormat="1" ht="15.5" hidden="1" x14ac:dyDescent="0.35">
      <c r="B241" s="1117"/>
      <c r="C241" s="1116"/>
      <c r="D241" s="1116"/>
      <c r="E241" s="1409"/>
      <c r="F241" s="1409"/>
      <c r="G241" s="1409"/>
      <c r="H241" s="1409"/>
      <c r="I241" s="1117"/>
      <c r="J241" s="1117"/>
      <c r="K241" s="1117"/>
      <c r="L241" s="1117"/>
      <c r="M241" s="1399"/>
      <c r="O241" s="525"/>
      <c r="P241" s="525"/>
      <c r="Q241" s="1657"/>
      <c r="R241" s="525"/>
      <c r="S241" s="525"/>
      <c r="T241" s="525"/>
      <c r="U241" s="525"/>
      <c r="V241" s="525"/>
    </row>
    <row r="242" spans="2:22" s="1201" customFormat="1" ht="15.5" hidden="1" x14ac:dyDescent="0.35">
      <c r="B242" s="1117"/>
      <c r="C242" s="1117"/>
      <c r="D242" s="1117"/>
      <c r="E242" s="1117"/>
      <c r="F242" s="1117"/>
      <c r="G242" s="1117"/>
      <c r="H242" s="1117"/>
      <c r="I242" s="1117"/>
      <c r="J242" s="1117"/>
      <c r="K242" s="1117"/>
      <c r="L242" s="1117"/>
      <c r="M242" s="1123"/>
      <c r="O242" s="525" t="s">
        <v>2028</v>
      </c>
      <c r="P242" s="1661">
        <v>3.1</v>
      </c>
      <c r="Q242" s="1657" t="e">
        <f>Q199*P242</f>
        <v>#DIV/0!</v>
      </c>
      <c r="R242" s="525"/>
      <c r="S242" s="1657" t="e">
        <f>Q242</f>
        <v>#DIV/0!</v>
      </c>
      <c r="T242" s="525"/>
      <c r="U242" s="525"/>
      <c r="V242" s="1668"/>
    </row>
    <row r="243" spans="2:22" s="1201" customFormat="1" ht="15.5" hidden="1" x14ac:dyDescent="0.35">
      <c r="B243" s="1117"/>
      <c r="C243" s="1115" t="s">
        <v>803</v>
      </c>
      <c r="D243" s="1117"/>
      <c r="E243" s="1117"/>
      <c r="F243" s="1117"/>
      <c r="G243" s="1117"/>
      <c r="H243" s="1117"/>
      <c r="I243" s="1117"/>
      <c r="J243" s="1117"/>
      <c r="K243" s="1117"/>
      <c r="L243" s="1117"/>
      <c r="M243" s="1398"/>
      <c r="O243" s="525"/>
      <c r="P243" s="525"/>
      <c r="Q243" s="1657"/>
      <c r="R243" s="525"/>
      <c r="S243" s="525"/>
      <c r="T243" s="525"/>
      <c r="U243" s="525"/>
      <c r="V243" s="525"/>
    </row>
    <row r="244" spans="2:22" s="1201" customFormat="1" ht="15.5" hidden="1" x14ac:dyDescent="0.35">
      <c r="B244" s="1117"/>
      <c r="C244" s="1117"/>
      <c r="D244" s="1117"/>
      <c r="E244" s="1117"/>
      <c r="F244" s="1117"/>
      <c r="G244" s="1117"/>
      <c r="H244" s="1117"/>
      <c r="I244" s="1117"/>
      <c r="J244" s="1117"/>
      <c r="K244" s="1117"/>
      <c r="L244" s="1117"/>
      <c r="M244" s="1399"/>
      <c r="O244" s="525" t="s">
        <v>2029</v>
      </c>
      <c r="P244" s="525"/>
      <c r="Q244" s="1657" t="e">
        <f>Q242+Q240</f>
        <v>#DIV/0!</v>
      </c>
      <c r="R244" s="525"/>
      <c r="S244" s="1657" t="e">
        <f>S242+S240</f>
        <v>#DIV/0!</v>
      </c>
      <c r="T244" s="525"/>
      <c r="U244" s="525"/>
      <c r="V244" s="525"/>
    </row>
    <row r="245" spans="2:22" s="1201" customFormat="1" ht="15.5" hidden="1" x14ac:dyDescent="0.35">
      <c r="B245" s="1117"/>
      <c r="C245" s="1117" t="s">
        <v>434</v>
      </c>
      <c r="D245" s="1395" t="e">
        <f>D237*$C$233*I101%*$C$234</f>
        <v>#DIV/0!</v>
      </c>
      <c r="E245" s="1395">
        <f>E237*$C$233*I106%*$C$234</f>
        <v>2.1875346874368003E-3</v>
      </c>
      <c r="F245" s="1395">
        <f>F237*$C$233*I106%*$C$234</f>
        <v>2.1875346874368003E-3</v>
      </c>
      <c r="G245" s="1395">
        <f>G237*$C$233*I106%*$C$234</f>
        <v>2.1875346874368003E-3</v>
      </c>
      <c r="H245" s="1395">
        <f>H237*$C$233*I106%*$C$234</f>
        <v>2.1875346874368003E-3</v>
      </c>
      <c r="I245" s="1395">
        <f>I237*$C$233*I106%*$C$234</f>
        <v>4.3716095999999998E-4</v>
      </c>
      <c r="J245" s="1395">
        <f>J237*$C$233*I106%*$C$234</f>
        <v>4.8893644799999998E-4</v>
      </c>
      <c r="K245" s="1395">
        <f>K237*$C$233*I106%*$C$234</f>
        <v>2.1875346874368003E-3</v>
      </c>
      <c r="L245" s="1116" t="s">
        <v>237</v>
      </c>
      <c r="M245" s="1399"/>
      <c r="O245" s="525"/>
      <c r="P245" s="525"/>
      <c r="Q245" s="525"/>
      <c r="R245" s="525"/>
      <c r="S245" s="525"/>
      <c r="T245" s="525"/>
      <c r="U245" s="525"/>
      <c r="V245" s="525"/>
    </row>
    <row r="246" spans="2:22" s="1201" customFormat="1" ht="15.5" hidden="1" x14ac:dyDescent="0.35">
      <c r="B246" s="1126"/>
      <c r="C246" s="1126"/>
      <c r="D246" s="1126"/>
      <c r="E246" s="1126"/>
      <c r="F246" s="1126"/>
      <c r="G246" s="1126"/>
      <c r="H246" s="1126"/>
      <c r="I246" s="1117"/>
      <c r="J246" s="1117"/>
      <c r="K246" s="1117"/>
      <c r="L246" s="1126"/>
      <c r="M246" s="1399"/>
      <c r="O246" s="525" t="s">
        <v>2030</v>
      </c>
      <c r="P246" s="525"/>
      <c r="Q246" s="1669" t="e">
        <f>Q242/Q244</f>
        <v>#DIV/0!</v>
      </c>
      <c r="R246" s="525"/>
      <c r="S246" s="1669" t="e">
        <f>S242/S244</f>
        <v>#DIV/0!</v>
      </c>
      <c r="T246" s="525"/>
      <c r="U246" s="525"/>
      <c r="V246" s="525"/>
    </row>
    <row r="247" spans="2:22" s="1201" customFormat="1" ht="15.5" hidden="1" x14ac:dyDescent="0.35">
      <c r="B247" s="1115" t="s">
        <v>261</v>
      </c>
      <c r="C247" s="1115"/>
      <c r="D247" s="1115"/>
      <c r="E247" s="1116"/>
      <c r="F247" s="1116"/>
      <c r="G247" s="1116"/>
      <c r="H247" s="1116"/>
      <c r="I247" s="1117"/>
      <c r="J247" s="1117"/>
      <c r="K247" s="1117"/>
      <c r="L247" s="1116"/>
      <c r="M247" s="1399"/>
      <c r="O247" s="525"/>
      <c r="P247" s="1669"/>
      <c r="Q247" s="525"/>
      <c r="R247" s="1658"/>
      <c r="S247" s="525"/>
      <c r="T247" s="525"/>
      <c r="U247" s="525"/>
      <c r="V247" s="525"/>
    </row>
    <row r="248" spans="2:22" s="1201" customFormat="1" ht="15.5" hidden="1" x14ac:dyDescent="0.35">
      <c r="B248" s="1116"/>
      <c r="C248" s="1115" t="s">
        <v>1257</v>
      </c>
      <c r="D248" s="1116"/>
      <c r="E248" s="1116"/>
      <c r="F248" s="1116"/>
      <c r="G248" s="1116"/>
      <c r="H248" s="1116"/>
      <c r="I248" s="1117"/>
      <c r="J248" s="1117"/>
      <c r="K248" s="1117"/>
      <c r="L248" s="1116"/>
      <c r="M248" s="1400" t="s">
        <v>262</v>
      </c>
      <c r="O248" s="525" t="s">
        <v>2031</v>
      </c>
      <c r="P248" s="1670">
        <f>K119+K121+K122</f>
        <v>0</v>
      </c>
      <c r="Q248" s="525"/>
      <c r="R248" s="1670"/>
      <c r="S248" s="525"/>
      <c r="T248" s="525"/>
      <c r="U248" s="525"/>
      <c r="V248" s="525"/>
    </row>
    <row r="249" spans="2:22" s="1201" customFormat="1" ht="15.5" hidden="1" x14ac:dyDescent="0.35">
      <c r="B249" s="1116"/>
      <c r="C249" s="1115"/>
      <c r="D249" s="1116"/>
      <c r="E249" s="1116"/>
      <c r="F249" s="1116"/>
      <c r="G249" s="1116"/>
      <c r="H249" s="1116"/>
      <c r="I249" s="1117"/>
      <c r="J249" s="1117"/>
      <c r="K249" s="1117"/>
      <c r="L249" s="1116"/>
      <c r="M249" s="1399"/>
      <c r="O249" s="525" t="s">
        <v>2032</v>
      </c>
      <c r="P249" s="1670">
        <f>H125+I125</f>
        <v>0</v>
      </c>
      <c r="Q249" s="525"/>
      <c r="R249" s="1670"/>
      <c r="S249" s="525"/>
      <c r="T249" s="525"/>
      <c r="U249" s="525"/>
      <c r="V249" s="525"/>
    </row>
    <row r="250" spans="2:22" s="1201" customFormat="1" ht="15.5" hidden="1" x14ac:dyDescent="0.35">
      <c r="B250" s="1116"/>
      <c r="C250" s="1117" t="s">
        <v>434</v>
      </c>
      <c r="D250" s="1394" t="e">
        <f>(365*D18*D245)*10^-6</f>
        <v>#DIV/0!</v>
      </c>
      <c r="E250" s="1394">
        <f>(365*E18*E245)*10^-6</f>
        <v>0</v>
      </c>
      <c r="F250" s="1394">
        <f>(281*F18*F245)*10^-6</f>
        <v>0</v>
      </c>
      <c r="G250" s="1394">
        <f>(365*G18*G245)*10^-6</f>
        <v>0</v>
      </c>
      <c r="H250" s="1394">
        <f>(281*H18*H245)*10^-6</f>
        <v>0</v>
      </c>
      <c r="I250" s="1394">
        <f>(84*F18*I245)*10^-6</f>
        <v>0</v>
      </c>
      <c r="J250" s="1394">
        <f>(84*H18*J245)*10^-6</f>
        <v>0</v>
      </c>
      <c r="K250" s="1394">
        <f>(365*I18*K245)*10^-6</f>
        <v>0</v>
      </c>
      <c r="L250" s="1116" t="s">
        <v>435</v>
      </c>
      <c r="M250" s="1118"/>
      <c r="O250" s="525" t="s">
        <v>2033</v>
      </c>
      <c r="P250" s="1670" t="e">
        <f>SUM(D125:G125)</f>
        <v>#DIV/0!</v>
      </c>
      <c r="Q250" s="525"/>
      <c r="R250" s="1670"/>
      <c r="S250" s="525"/>
      <c r="T250" s="525"/>
      <c r="U250" s="525"/>
      <c r="V250" s="525"/>
    </row>
    <row r="251" spans="2:22" s="1201" customFormat="1" ht="15.5" hidden="1" x14ac:dyDescent="0.35">
      <c r="B251" s="1116"/>
      <c r="C251" s="1116"/>
      <c r="D251" s="1116"/>
      <c r="E251" s="1116"/>
      <c r="F251" s="1339"/>
      <c r="G251" s="1339"/>
      <c r="H251" s="1339"/>
      <c r="I251" s="1117"/>
      <c r="J251" s="1117"/>
      <c r="K251" s="1117"/>
      <c r="L251" s="1117"/>
      <c r="M251" s="1118"/>
      <c r="O251" s="525" t="s">
        <v>2034</v>
      </c>
      <c r="P251" s="1670">
        <f>K117+K118+K120+K123+K128</f>
        <v>0</v>
      </c>
      <c r="Q251" s="525"/>
      <c r="R251" s="1670"/>
      <c r="S251" s="525"/>
      <c r="T251" s="525"/>
      <c r="U251" s="525"/>
      <c r="V251" s="525"/>
    </row>
    <row r="252" spans="2:22" s="1201" customFormat="1" ht="15.5" hidden="1" x14ac:dyDescent="0.35">
      <c r="B252" s="1115" t="s">
        <v>263</v>
      </c>
      <c r="C252" s="868" t="e">
        <f>SUM(D250:K250)</f>
        <v>#DIV/0!</v>
      </c>
      <c r="D252" s="1125"/>
      <c r="E252" s="1125"/>
      <c r="F252" s="1125"/>
      <c r="G252" s="1125"/>
      <c r="H252" s="1125"/>
      <c r="I252" s="1117"/>
      <c r="J252" s="1117"/>
      <c r="K252" s="1117"/>
      <c r="L252" s="1116" t="s">
        <v>264</v>
      </c>
      <c r="M252" s="1124"/>
      <c r="O252" s="525" t="s">
        <v>2035</v>
      </c>
      <c r="P252" s="1670" t="e">
        <f>SUM(P248:P251)</f>
        <v>#DIV/0!</v>
      </c>
      <c r="Q252" s="525"/>
      <c r="R252" s="1670"/>
      <c r="S252" s="525"/>
      <c r="T252" s="525"/>
      <c r="U252" s="525"/>
      <c r="V252" s="525"/>
    </row>
    <row r="253" spans="2:22" s="1201" customFormat="1" ht="15.5" hidden="1" x14ac:dyDescent="0.35">
      <c r="B253" s="1115" t="s">
        <v>263</v>
      </c>
      <c r="C253" s="1121" t="e">
        <f>C252*25</f>
        <v>#DIV/0!</v>
      </c>
      <c r="D253" s="1125"/>
      <c r="E253" s="1125"/>
      <c r="F253" s="1125"/>
      <c r="G253" s="1125"/>
      <c r="H253" s="1125"/>
      <c r="I253" s="1117"/>
      <c r="J253" s="1117"/>
      <c r="K253" s="1117"/>
      <c r="L253" s="1116" t="s">
        <v>265</v>
      </c>
      <c r="M253" s="1124"/>
      <c r="O253" s="525"/>
      <c r="P253" s="1657"/>
      <c r="Q253" s="525"/>
      <c r="R253" s="525"/>
      <c r="S253" s="525"/>
      <c r="T253" s="525"/>
      <c r="U253" s="525"/>
      <c r="V253" s="1672"/>
    </row>
    <row r="254" spans="2:22" s="1201" customFormat="1" ht="15.5" hidden="1" x14ac:dyDescent="0.35">
      <c r="B254" s="347" t="s">
        <v>263</v>
      </c>
      <c r="C254" s="351" t="e">
        <f>C253*10^3</f>
        <v>#DIV/0!</v>
      </c>
      <c r="D254" s="351"/>
      <c r="E254" s="351"/>
      <c r="F254" s="351"/>
      <c r="G254" s="351"/>
      <c r="H254" s="351"/>
      <c r="I254" s="351"/>
      <c r="J254" s="351"/>
      <c r="K254" s="904"/>
      <c r="L254" s="349" t="s">
        <v>266</v>
      </c>
      <c r="M254" s="350"/>
      <c r="O254" s="525" t="s">
        <v>2053</v>
      </c>
      <c r="P254" s="1659" t="e">
        <f>P248+P250*Q246+P251*S246</f>
        <v>#DIV/0!</v>
      </c>
      <c r="Q254" s="525"/>
      <c r="R254" s="1671" t="e">
        <f>P254*1000/Q199</f>
        <v>#DIV/0!</v>
      </c>
      <c r="S254" s="1672" t="s">
        <v>2037</v>
      </c>
      <c r="T254" s="525"/>
      <c r="U254" s="1671"/>
      <c r="V254" s="1672"/>
    </row>
    <row r="255" spans="2:22" s="1201" customFormat="1" ht="15.5" hidden="1" x14ac:dyDescent="0.35">
      <c r="O255" s="525" t="s">
        <v>2054</v>
      </c>
      <c r="P255" s="1659" t="e">
        <f>P249+P250*(1-Q246)+P251*(1-S246)</f>
        <v>#DIV/0!</v>
      </c>
      <c r="Q255" s="525"/>
      <c r="R255" s="1673" t="e">
        <f>P254*1000/Q197</f>
        <v>#DIV/0!</v>
      </c>
      <c r="S255" s="1672" t="s">
        <v>2067</v>
      </c>
      <c r="T255" s="525"/>
      <c r="U255" s="1673"/>
      <c r="V255" s="525"/>
    </row>
    <row r="256" spans="2:22" s="1201" customFormat="1" ht="30" hidden="1" x14ac:dyDescent="0.35">
      <c r="B256" s="60" t="s">
        <v>267</v>
      </c>
      <c r="C256" s="60" t="s">
        <v>216</v>
      </c>
      <c r="D256" s="61" t="s">
        <v>212</v>
      </c>
      <c r="E256" s="61" t="s">
        <v>213</v>
      </c>
      <c r="F256" s="61" t="s">
        <v>214</v>
      </c>
      <c r="G256" s="61" t="s">
        <v>1007</v>
      </c>
      <c r="H256" s="61" t="s">
        <v>1952</v>
      </c>
      <c r="I256" s="998" t="s">
        <v>1228</v>
      </c>
      <c r="J256" s="998" t="s">
        <v>1229</v>
      </c>
      <c r="K256" s="998" t="s">
        <v>1954</v>
      </c>
      <c r="L256" s="61" t="s">
        <v>215</v>
      </c>
      <c r="M256" s="62" t="s">
        <v>230</v>
      </c>
      <c r="O256" s="525"/>
      <c r="P256" s="525"/>
      <c r="Q256" s="525"/>
      <c r="R256" s="1673" t="e">
        <f>P255*1000/P232</f>
        <v>#DIV/0!</v>
      </c>
      <c r="S256" s="1672" t="s">
        <v>2038</v>
      </c>
      <c r="T256" s="525"/>
      <c r="U256" s="525"/>
      <c r="V256" s="525"/>
    </row>
    <row r="257" spans="2:22" s="1201" customFormat="1" ht="15.5" hidden="1" x14ac:dyDescent="0.35">
      <c r="B257" s="1000"/>
      <c r="C257" s="1000"/>
      <c r="D257" s="1000"/>
      <c r="E257" s="1000"/>
      <c r="F257" s="1000"/>
      <c r="G257" s="1000"/>
      <c r="H257" s="1000"/>
      <c r="I257" s="1000"/>
      <c r="J257" s="1000"/>
      <c r="K257" s="1000"/>
      <c r="L257" s="1000"/>
      <c r="M257" s="1001"/>
      <c r="O257" s="525" t="s">
        <v>2055</v>
      </c>
      <c r="P257" s="1669" t="e">
        <f>P254/P252</f>
        <v>#DIV/0!</v>
      </c>
      <c r="Q257" s="525"/>
      <c r="R257" s="525"/>
      <c r="S257" s="525"/>
      <c r="T257" s="525"/>
      <c r="U257" s="525"/>
      <c r="V257" s="525"/>
    </row>
    <row r="258" spans="2:22" s="1201" customFormat="1" ht="15.5" hidden="1" x14ac:dyDescent="0.35">
      <c r="B258" s="1002" t="s">
        <v>268</v>
      </c>
      <c r="C258" s="1000"/>
      <c r="D258" s="1002" t="s">
        <v>269</v>
      </c>
      <c r="E258" s="1003"/>
      <c r="F258" s="1003"/>
      <c r="G258" s="1004"/>
      <c r="H258" s="1000"/>
      <c r="I258" s="1000"/>
      <c r="J258" s="1000"/>
      <c r="K258" s="1000"/>
      <c r="L258" s="1000"/>
      <c r="M258" s="1001" t="s">
        <v>1267</v>
      </c>
      <c r="O258" s="525" t="s">
        <v>2056</v>
      </c>
      <c r="P258" s="1669" t="e">
        <f>P255/P252</f>
        <v>#DIV/0!</v>
      </c>
      <c r="Q258" s="525"/>
      <c r="R258" s="525"/>
      <c r="S258" s="525"/>
      <c r="T258" s="525"/>
      <c r="U258" s="525"/>
      <c r="V258" s="525"/>
    </row>
    <row r="259" spans="2:22" s="1201" customFormat="1" ht="15.5" hidden="1" x14ac:dyDescent="0.35">
      <c r="B259" s="1000"/>
      <c r="C259" s="1005" t="s">
        <v>434</v>
      </c>
      <c r="D259" s="1030" t="e">
        <f>D212*H42%</f>
        <v>#DIV/0!</v>
      </c>
      <c r="E259" s="1030">
        <f>E212*D45%</f>
        <v>0</v>
      </c>
      <c r="F259" s="1030">
        <f>F212*D45%</f>
        <v>0</v>
      </c>
      <c r="G259" s="1030">
        <f>G212*D45%</f>
        <v>0</v>
      </c>
      <c r="H259" s="1030">
        <f>H212*D45%</f>
        <v>0</v>
      </c>
      <c r="I259" s="1006"/>
      <c r="J259" s="1006"/>
      <c r="K259" s="1030">
        <f>K212*D45%</f>
        <v>0</v>
      </c>
      <c r="L259" s="1000" t="s">
        <v>255</v>
      </c>
      <c r="M259" s="1001"/>
      <c r="O259" s="525"/>
      <c r="P259" s="525"/>
      <c r="Q259" s="525"/>
      <c r="R259" s="525"/>
      <c r="S259" s="525"/>
      <c r="T259" s="525"/>
      <c r="U259" s="525"/>
      <c r="V259" s="525"/>
    </row>
    <row r="260" spans="2:22" s="1201" customFormat="1" ht="15.5" hidden="1" x14ac:dyDescent="0.35">
      <c r="B260" s="1007"/>
      <c r="C260" s="1007"/>
      <c r="D260" s="1007"/>
      <c r="E260" s="1007"/>
      <c r="F260" s="1007"/>
      <c r="G260" s="1008"/>
      <c r="H260" s="1000"/>
      <c r="I260" s="1000"/>
      <c r="J260" s="1000"/>
      <c r="K260" s="1000"/>
      <c r="L260" s="1000"/>
      <c r="M260" s="1001"/>
      <c r="O260" s="1668" t="s">
        <v>2160</v>
      </c>
      <c r="P260" s="1658" t="s">
        <v>2040</v>
      </c>
      <c r="Q260" s="525"/>
      <c r="R260" s="1660" t="s">
        <v>2041</v>
      </c>
      <c r="S260" s="1660" t="s">
        <v>2042</v>
      </c>
      <c r="T260" s="1660" t="s">
        <v>2043</v>
      </c>
      <c r="U260" s="1660" t="s">
        <v>2038</v>
      </c>
      <c r="V260" s="525"/>
    </row>
    <row r="261" spans="2:22" s="1201" customFormat="1" ht="15.5" hidden="1" x14ac:dyDescent="0.35">
      <c r="B261" s="1002" t="s">
        <v>271</v>
      </c>
      <c r="C261" s="1003"/>
      <c r="D261" s="1002" t="s">
        <v>272</v>
      </c>
      <c r="E261" s="1003"/>
      <c r="F261" s="1003"/>
      <c r="G261" s="1004"/>
      <c r="H261" s="1000"/>
      <c r="I261" s="1000"/>
      <c r="J261" s="1000"/>
      <c r="K261" s="1000"/>
      <c r="L261" s="1000"/>
      <c r="M261" s="1001" t="s">
        <v>1269</v>
      </c>
      <c r="O261" s="525" t="s">
        <v>2051</v>
      </c>
      <c r="P261" s="1657">
        <f t="shared" ref="P261:P266" si="9">P227</f>
        <v>0</v>
      </c>
      <c r="Q261" s="525"/>
      <c r="R261" s="1674" t="e">
        <f>$P$250*(1-$Q$246)*R235+$P$251*(1-$S$246)*T235</f>
        <v>#DIV/0!</v>
      </c>
      <c r="S261" s="1662" t="e">
        <f>R261/$R$266</f>
        <v>#DIV/0!</v>
      </c>
      <c r="T261" s="1675" t="e">
        <f>S261*$P$258</f>
        <v>#DIV/0!</v>
      </c>
      <c r="U261" s="1676" t="e">
        <f>R261*1000/P261</f>
        <v>#DIV/0!</v>
      </c>
      <c r="V261" s="525"/>
    </row>
    <row r="262" spans="2:22" s="1201" customFormat="1" ht="15.5" hidden="1" x14ac:dyDescent="0.35">
      <c r="B262" s="1003"/>
      <c r="C262" s="1000"/>
      <c r="D262" s="1000" t="s">
        <v>274</v>
      </c>
      <c r="E262" s="1003"/>
      <c r="F262" s="1003"/>
      <c r="G262" s="1004"/>
      <c r="H262" s="1000"/>
      <c r="I262" s="1000"/>
      <c r="J262" s="1000"/>
      <c r="K262" s="1000"/>
      <c r="L262" s="1000"/>
      <c r="M262" s="1001"/>
      <c r="O262" s="525" t="s">
        <v>2044</v>
      </c>
      <c r="P262" s="1657">
        <f t="shared" si="9"/>
        <v>0</v>
      </c>
      <c r="Q262" s="525"/>
      <c r="R262" s="1674" t="e">
        <f t="shared" ref="R262:R264" si="10">$P$250*(1-$Q$246)*R236+$P$251*(1-$S$246)*T236</f>
        <v>#DIV/0!</v>
      </c>
      <c r="S262" s="1662" t="e">
        <f t="shared" ref="S262:S265" si="11">R262/$R$266</f>
        <v>#DIV/0!</v>
      </c>
      <c r="T262" s="1675" t="e">
        <f t="shared" ref="T262:T265" si="12">S262*$P$258</f>
        <v>#DIV/0!</v>
      </c>
      <c r="U262" s="1676" t="e">
        <f t="shared" ref="U262:U265" si="13">R262*1000/P262</f>
        <v>#DIV/0!</v>
      </c>
      <c r="V262" s="525"/>
    </row>
    <row r="263" spans="2:22" s="1201" customFormat="1" ht="15.5" hidden="1" x14ac:dyDescent="0.35">
      <c r="B263" s="1000"/>
      <c r="C263" s="1000"/>
      <c r="D263" s="1000" t="s">
        <v>275</v>
      </c>
      <c r="E263" s="1009"/>
      <c r="F263" s="1009"/>
      <c r="G263" s="1004"/>
      <c r="H263" s="1000"/>
      <c r="I263" s="1000"/>
      <c r="J263" s="1000"/>
      <c r="K263" s="1000"/>
      <c r="L263" s="1000"/>
      <c r="M263" s="1001"/>
      <c r="O263" s="525" t="s">
        <v>2045</v>
      </c>
      <c r="P263" s="1657">
        <f t="shared" si="9"/>
        <v>0</v>
      </c>
      <c r="Q263" s="525"/>
      <c r="R263" s="1674" t="e">
        <f t="shared" si="10"/>
        <v>#DIV/0!</v>
      </c>
      <c r="S263" s="1662" t="e">
        <f t="shared" si="11"/>
        <v>#DIV/0!</v>
      </c>
      <c r="T263" s="1675" t="e">
        <f t="shared" si="12"/>
        <v>#DIV/0!</v>
      </c>
      <c r="U263" s="1676" t="e">
        <f t="shared" si="13"/>
        <v>#DIV/0!</v>
      </c>
      <c r="V263" s="525"/>
    </row>
    <row r="264" spans="2:22" s="1201" customFormat="1" ht="15.5" hidden="1" x14ac:dyDescent="0.35">
      <c r="B264" s="1000"/>
      <c r="C264" s="1005" t="s">
        <v>434</v>
      </c>
      <c r="D264" s="908" t="e">
        <f>(0.3*((D259*(1-((F42+10)/100))))+(0.105*((0.1604*F42-1.037)*D212*0.008))+(0.0152*D212))/6.25</f>
        <v>#DIV/0!</v>
      </c>
      <c r="E264" s="908">
        <f>(0.3*((E259*(1-((D44+10)/100))))+(0.105*((0.1604*D44-1.037)*E212*0.008))+(0.0152*E212))/6.25</f>
        <v>3.2193644299200004E-3</v>
      </c>
      <c r="F264" s="908">
        <f>(0.3*((F259*(1-((D44+10)/100))))+(0.105*((0.1604*D44-1.037)*F212*0.008))+(0.0152*F212))/6.25</f>
        <v>3.2193644299200004E-3</v>
      </c>
      <c r="G264" s="908">
        <f>(0.3*((G259*(1-((D44+10)/100))))+(0.105*((0.1604*D44-1.037)*G212*0.008))+(0.0152*G212))/6.25</f>
        <v>3.2193644299200004E-3</v>
      </c>
      <c r="H264" s="908">
        <f>(0.3*((H259*(1-((D44+10)/100))))+(0.105*((0.1604*D44-1.037)*H212*0.008))+(0.0152*H212))/6.25</f>
        <v>3.2193644299200004E-3</v>
      </c>
      <c r="I264" s="908">
        <v>8.2000000000000007E-3</v>
      </c>
      <c r="J264" s="908">
        <v>4.1999999999999997E-3</v>
      </c>
      <c r="K264" s="908">
        <f>(0.3*((K259*(1-((D44+10)/100))))+(0.105*((0.1604*D44-1.037)*K212*0.008))+(0.0152*K212))/6.25</f>
        <v>3.2193644299200004E-3</v>
      </c>
      <c r="L264" s="1000" t="s">
        <v>255</v>
      </c>
      <c r="M264" s="1001"/>
      <c r="O264" s="525" t="s">
        <v>2046</v>
      </c>
      <c r="P264" s="1657">
        <f t="shared" si="9"/>
        <v>0</v>
      </c>
      <c r="Q264" s="525"/>
      <c r="R264" s="1674" t="e">
        <f t="shared" si="10"/>
        <v>#DIV/0!</v>
      </c>
      <c r="S264" s="1662" t="e">
        <f t="shared" si="11"/>
        <v>#DIV/0!</v>
      </c>
      <c r="T264" s="1675" t="e">
        <f t="shared" si="12"/>
        <v>#DIV/0!</v>
      </c>
      <c r="U264" s="1676" t="e">
        <f t="shared" si="13"/>
        <v>#DIV/0!</v>
      </c>
      <c r="V264" s="525"/>
    </row>
    <row r="265" spans="2:22" s="1201" customFormat="1" ht="15.5" hidden="1" x14ac:dyDescent="0.35">
      <c r="B265" s="1000"/>
      <c r="C265" s="1000"/>
      <c r="D265" s="1000"/>
      <c r="E265" s="1000"/>
      <c r="F265" s="1000"/>
      <c r="G265" s="1000"/>
      <c r="H265" s="1000"/>
      <c r="I265" s="1000"/>
      <c r="J265" s="1000"/>
      <c r="K265" s="1000"/>
      <c r="L265" s="1000"/>
      <c r="M265" s="1001"/>
      <c r="O265" s="1663" t="s">
        <v>2047</v>
      </c>
      <c r="P265" s="1665">
        <f t="shared" si="9"/>
        <v>0</v>
      </c>
      <c r="Q265" s="1663"/>
      <c r="R265" s="1677" t="e">
        <f>P249+P251*(1-S246)*T239</f>
        <v>#DIV/0!</v>
      </c>
      <c r="S265" s="1662" t="e">
        <f t="shared" si="11"/>
        <v>#DIV/0!</v>
      </c>
      <c r="T265" s="1675" t="e">
        <f t="shared" si="12"/>
        <v>#DIV/0!</v>
      </c>
      <c r="U265" s="1676" t="e">
        <f t="shared" si="13"/>
        <v>#DIV/0!</v>
      </c>
      <c r="V265" s="525"/>
    </row>
    <row r="266" spans="2:22" s="1201" customFormat="1" ht="18" hidden="1" x14ac:dyDescent="0.45">
      <c r="B266" s="1002" t="s">
        <v>276</v>
      </c>
      <c r="C266" s="1000"/>
      <c r="D266" s="1010" t="s">
        <v>1372</v>
      </c>
      <c r="E266" s="1011"/>
      <c r="F266" s="1011"/>
      <c r="G266" s="1011"/>
      <c r="H266" s="1011"/>
      <c r="I266" s="1011"/>
      <c r="J266" s="1011"/>
      <c r="K266" s="1011"/>
      <c r="L266" s="1000"/>
      <c r="M266" s="1001" t="s">
        <v>1268</v>
      </c>
      <c r="O266" s="525" t="s">
        <v>2048</v>
      </c>
      <c r="P266" s="1657">
        <f t="shared" si="9"/>
        <v>0</v>
      </c>
      <c r="Q266" s="525"/>
      <c r="R266" s="1674" t="e">
        <f>SUM(R261:R265)</f>
        <v>#DIV/0!</v>
      </c>
      <c r="S266" s="1662" t="e">
        <f>SUM(S261:S265)</f>
        <v>#DIV/0!</v>
      </c>
      <c r="T266" s="1662" t="e">
        <f>SUM(T261:T265)</f>
        <v>#DIV/0!</v>
      </c>
      <c r="U266" s="1676" t="e">
        <f>R266*1000/P266</f>
        <v>#DIV/0!</v>
      </c>
      <c r="V266" s="525"/>
    </row>
    <row r="267" spans="2:22" s="1201" customFormat="1" ht="16" hidden="1" thickBot="1" x14ac:dyDescent="0.4">
      <c r="B267" s="1000"/>
      <c r="C267" s="1000"/>
      <c r="D267" s="1000"/>
      <c r="E267" s="1000"/>
      <c r="F267" s="1000"/>
      <c r="G267" s="1000"/>
      <c r="H267" s="1000"/>
      <c r="I267" s="1000"/>
      <c r="J267" s="1000"/>
      <c r="K267" s="1000"/>
      <c r="L267" s="1000"/>
      <c r="M267" s="1001"/>
      <c r="O267" s="525"/>
      <c r="P267" s="525"/>
      <c r="Q267" s="525"/>
      <c r="R267" s="525"/>
      <c r="S267" s="525"/>
      <c r="T267" s="525"/>
      <c r="U267" s="525"/>
      <c r="V267" s="1257"/>
    </row>
    <row r="268" spans="2:22" s="1201" customFormat="1" ht="16" hidden="1" thickBot="1" x14ac:dyDescent="0.4">
      <c r="B268" s="1012"/>
      <c r="C268" s="1013" t="s">
        <v>804</v>
      </c>
      <c r="D268" s="1014"/>
      <c r="E268" s="1014"/>
      <c r="F268" s="1014"/>
      <c r="G268" s="1014"/>
      <c r="H268" s="1014"/>
      <c r="I268" s="1587"/>
      <c r="J268" s="1016"/>
      <c r="K268" s="1016"/>
      <c r="L268" s="1000"/>
      <c r="M268" s="1001" t="s">
        <v>1270</v>
      </c>
    </row>
    <row r="269" spans="2:22" s="1201" customFormat="1" ht="15.5" hidden="1" x14ac:dyDescent="0.35">
      <c r="B269" s="1000"/>
      <c r="C269" s="1013"/>
      <c r="D269" s="1014" t="s">
        <v>212</v>
      </c>
      <c r="E269" s="1014" t="s">
        <v>279</v>
      </c>
      <c r="F269" s="1014" t="s">
        <v>280</v>
      </c>
      <c r="G269" s="1014" t="s">
        <v>1007</v>
      </c>
      <c r="H269" s="1014" t="s">
        <v>282</v>
      </c>
      <c r="I269" s="1014" t="s">
        <v>281</v>
      </c>
      <c r="J269" s="1589"/>
      <c r="K269" s="1016"/>
      <c r="L269" s="1000"/>
      <c r="M269" s="1001"/>
    </row>
    <row r="270" spans="2:22" s="1201" customFormat="1" ht="15.5" hidden="1" x14ac:dyDescent="0.35">
      <c r="B270" s="1012">
        <v>1</v>
      </c>
      <c r="C270" s="473" t="s">
        <v>912</v>
      </c>
      <c r="D270" s="1016">
        <v>590</v>
      </c>
      <c r="E270" s="1016">
        <v>590</v>
      </c>
      <c r="F270" s="1016">
        <v>590</v>
      </c>
      <c r="G270" s="1016">
        <v>770</v>
      </c>
      <c r="H270" s="1016">
        <v>770</v>
      </c>
      <c r="I270" s="1017">
        <v>770</v>
      </c>
      <c r="J270" s="1016"/>
      <c r="K270" s="1016"/>
      <c r="L270" s="1000"/>
      <c r="M270" s="1001"/>
    </row>
    <row r="271" spans="2:22" s="1201" customFormat="1" ht="15.5" hidden="1" x14ac:dyDescent="0.35">
      <c r="B271" s="1012">
        <v>2</v>
      </c>
      <c r="C271" s="473" t="s">
        <v>917</v>
      </c>
      <c r="D271" s="1016">
        <v>590</v>
      </c>
      <c r="E271" s="1016">
        <v>590</v>
      </c>
      <c r="F271" s="1016">
        <v>590</v>
      </c>
      <c r="G271" s="1016">
        <v>770</v>
      </c>
      <c r="H271" s="1016">
        <v>770</v>
      </c>
      <c r="I271" s="1017">
        <v>770</v>
      </c>
      <c r="J271" s="1016"/>
      <c r="K271" s="1016"/>
      <c r="L271" s="1000"/>
      <c r="M271" s="1001"/>
    </row>
    <row r="272" spans="2:22" s="1201" customFormat="1" ht="15.5" hidden="1" x14ac:dyDescent="0.35">
      <c r="B272" s="1012">
        <v>3</v>
      </c>
      <c r="C272" s="473" t="s">
        <v>866</v>
      </c>
      <c r="D272" s="1016">
        <v>590</v>
      </c>
      <c r="E272" s="1016">
        <v>590</v>
      </c>
      <c r="F272" s="1016">
        <v>590</v>
      </c>
      <c r="G272" s="1016">
        <v>770</v>
      </c>
      <c r="H272" s="1016">
        <v>770</v>
      </c>
      <c r="I272" s="1017">
        <v>770</v>
      </c>
      <c r="J272" s="1016"/>
      <c r="K272" s="1016"/>
      <c r="L272" s="1012"/>
      <c r="M272" s="1001"/>
    </row>
    <row r="273" spans="2:13" s="1201" customFormat="1" ht="15.5" hidden="1" x14ac:dyDescent="0.35">
      <c r="B273" s="1012">
        <v>4</v>
      </c>
      <c r="C273" s="473" t="s">
        <v>914</v>
      </c>
      <c r="D273" s="1016">
        <v>590</v>
      </c>
      <c r="E273" s="1016">
        <v>590</v>
      </c>
      <c r="F273" s="1016">
        <v>590</v>
      </c>
      <c r="G273" s="1016">
        <v>770</v>
      </c>
      <c r="H273" s="1016">
        <v>770</v>
      </c>
      <c r="I273" s="1017">
        <v>770</v>
      </c>
      <c r="J273" s="1016"/>
      <c r="K273" s="1016"/>
      <c r="L273" s="1000"/>
      <c r="M273" s="1001"/>
    </row>
    <row r="274" spans="2:13" s="1201" customFormat="1" ht="15.5" hidden="1" x14ac:dyDescent="0.35">
      <c r="B274" s="1012">
        <v>5</v>
      </c>
      <c r="C274" s="473" t="s">
        <v>918</v>
      </c>
      <c r="D274" s="1016">
        <v>590</v>
      </c>
      <c r="E274" s="1016">
        <v>590</v>
      </c>
      <c r="F274" s="1016">
        <v>590</v>
      </c>
      <c r="G274" s="1016">
        <v>770</v>
      </c>
      <c r="H274" s="1016">
        <v>770</v>
      </c>
      <c r="I274" s="1017">
        <v>770</v>
      </c>
      <c r="J274" s="1016"/>
      <c r="K274" s="1016"/>
      <c r="L274" s="1000"/>
      <c r="M274" s="1001"/>
    </row>
    <row r="275" spans="2:13" s="1201" customFormat="1" ht="15.5" hidden="1" x14ac:dyDescent="0.35">
      <c r="B275" s="1012">
        <v>6</v>
      </c>
      <c r="C275" s="474" t="s">
        <v>919</v>
      </c>
      <c r="D275" s="1016">
        <v>590</v>
      </c>
      <c r="E275" s="1016">
        <v>590</v>
      </c>
      <c r="F275" s="1016">
        <v>590</v>
      </c>
      <c r="G275" s="1016">
        <v>770</v>
      </c>
      <c r="H275" s="1016">
        <v>770</v>
      </c>
      <c r="I275" s="1017">
        <v>770</v>
      </c>
      <c r="J275" s="1016"/>
      <c r="K275" s="1016"/>
      <c r="L275" s="1000"/>
      <c r="M275" s="1001"/>
    </row>
    <row r="276" spans="2:13" s="1201" customFormat="1" ht="16" hidden="1" thickBot="1" x14ac:dyDescent="0.4">
      <c r="B276" s="1012">
        <v>7</v>
      </c>
      <c r="C276" s="475" t="s">
        <v>920</v>
      </c>
      <c r="D276" s="1016">
        <v>590</v>
      </c>
      <c r="E276" s="1016">
        <v>590</v>
      </c>
      <c r="F276" s="1016">
        <v>590</v>
      </c>
      <c r="G276" s="1016">
        <v>770</v>
      </c>
      <c r="H276" s="1016">
        <v>770</v>
      </c>
      <c r="I276" s="1588">
        <v>770</v>
      </c>
      <c r="J276" s="1016"/>
      <c r="K276" s="1016"/>
      <c r="L276" s="1000"/>
      <c r="M276" s="1001"/>
    </row>
    <row r="277" spans="2:13" s="1201" customFormat="1" ht="16" hidden="1" thickBot="1" x14ac:dyDescent="0.4">
      <c r="B277" s="1005" t="s">
        <v>228</v>
      </c>
      <c r="C277" s="1018" t="e">
        <f>VLOOKUP($D$14,$C$270:$H$276,1,FALSE)</f>
        <v>#N/A</v>
      </c>
      <c r="D277" s="1019">
        <f>VLOOKUP($C$194,$C$270:$H$276,2,FALSE)</f>
        <v>590</v>
      </c>
      <c r="E277" s="1019">
        <f>VLOOKUP($C$194,$C$270:$H$276,3,FALSE)</f>
        <v>590</v>
      </c>
      <c r="F277" s="1019">
        <f>VLOOKUP($C$194,$C$270:$H$276,4,FALSE)</f>
        <v>590</v>
      </c>
      <c r="G277" s="1019">
        <f>VLOOKUP($C$194,$C$270:$H$276,5,FALSE)</f>
        <v>770</v>
      </c>
      <c r="H277" s="1019">
        <f>VLOOKUP($C$194,$C$270:$H$276,6,FALSE)</f>
        <v>770</v>
      </c>
      <c r="I277" s="1590">
        <f>VLOOKUP($C$194,$C$270:$I$276,7,FALSE)</f>
        <v>770</v>
      </c>
      <c r="J277" s="1023"/>
      <c r="K277" s="1023"/>
      <c r="L277" s="1000"/>
      <c r="M277" s="1001"/>
    </row>
    <row r="278" spans="2:13" s="1201" customFormat="1" ht="16" hidden="1" thickBot="1" x14ac:dyDescent="0.4">
      <c r="B278" s="1000"/>
      <c r="C278" s="1018" t="s">
        <v>300</v>
      </c>
      <c r="D278" s="1020">
        <f t="shared" ref="D278:I278" si="14">IF(D277&gt;0,D20/D277,0)</f>
        <v>0</v>
      </c>
      <c r="E278" s="1020">
        <f t="shared" si="14"/>
        <v>0</v>
      </c>
      <c r="F278" s="1020">
        <f t="shared" si="14"/>
        <v>0</v>
      </c>
      <c r="G278" s="1020">
        <f t="shared" si="14"/>
        <v>0</v>
      </c>
      <c r="H278" s="1020">
        <f t="shared" si="14"/>
        <v>0</v>
      </c>
      <c r="I278" s="1021">
        <f t="shared" si="14"/>
        <v>0</v>
      </c>
      <c r="J278" s="1022"/>
      <c r="K278" s="1022"/>
      <c r="L278" s="1012"/>
      <c r="M278" s="1001"/>
    </row>
    <row r="279" spans="2:13" s="1201" customFormat="1" ht="15.5" hidden="1" x14ac:dyDescent="0.35">
      <c r="B279" s="1000"/>
      <c r="C279" s="1023"/>
      <c r="D279" s="1022"/>
      <c r="E279" s="1022"/>
      <c r="F279" s="1022"/>
      <c r="G279" s="1022"/>
      <c r="H279" s="1022"/>
      <c r="I279" s="1022"/>
      <c r="J279" s="1022"/>
      <c r="K279" s="1022"/>
      <c r="L279" s="1012"/>
      <c r="M279" s="1001"/>
    </row>
    <row r="280" spans="2:13" s="1201" customFormat="1" ht="15.5" hidden="1" x14ac:dyDescent="0.35">
      <c r="B280" s="1002" t="s">
        <v>1255</v>
      </c>
      <c r="C280" s="1000"/>
      <c r="D280" s="1030" t="e">
        <f>D212/(1.185+(0.00454*D20)-(0.0000026*(D20)^2)+((0.315*0)))^2</f>
        <v>#DIV/0!</v>
      </c>
      <c r="E280" s="1030">
        <f>E212/(1.185+(0.00454*E20)-(0.0000026*(E20)^2)+((0.315*0)))^2</f>
        <v>1</v>
      </c>
      <c r="F280" s="1030">
        <f>F212/(1.185+(0.00454*F20)-(0.0000026*(F20)^2)+((0.315*0)))^2</f>
        <v>1</v>
      </c>
      <c r="G280" s="1030">
        <f>G212/(1.185+(0.00454*G20)-(0.0000026*(G20)^2)+((0.315*0)))^2</f>
        <v>1</v>
      </c>
      <c r="H280" s="1030">
        <f>H212/(1.185+(0.00454*H20)-(0.0000026*(H20)^2)+((0.315*0)))^2</f>
        <v>1</v>
      </c>
      <c r="I280" s="866">
        <f>K212/(1.185+(0.00454*I20)-(0.0000026*(I20)^2)+((0.315*0)))^2</f>
        <v>1</v>
      </c>
      <c r="J280" s="1000"/>
      <c r="K280" s="1000"/>
      <c r="L280" s="1000"/>
      <c r="M280" s="1001"/>
    </row>
    <row r="281" spans="2:13" s="1201" customFormat="1" ht="15.5" hidden="1" x14ac:dyDescent="0.35">
      <c r="B281" s="1002"/>
      <c r="C281" s="1000"/>
      <c r="D281" s="1030"/>
      <c r="E281" s="1030"/>
      <c r="F281" s="1030"/>
      <c r="G281" s="1030"/>
      <c r="H281" s="1030"/>
      <c r="I281" s="1000"/>
      <c r="J281" s="1000"/>
      <c r="K281" s="1000"/>
      <c r="L281" s="1000"/>
      <c r="M281" s="1001"/>
    </row>
    <row r="282" spans="2:13" s="1201" customFormat="1" ht="15.5" hidden="1" x14ac:dyDescent="0.35">
      <c r="B282" s="1000"/>
      <c r="C282" s="1005" t="s">
        <v>434</v>
      </c>
      <c r="D282" s="866" t="e">
        <f>((0.032*(H34*1.03*D34/365)/6.38)+((0.212-0.008*(D280-2)-((0.14-0.008*(D280-2))/(1+EXP(-6*(D$278-0.4)))))*(D22*0.92))/6.25)</f>
        <v>#DIV/0!</v>
      </c>
      <c r="E282" s="1025">
        <f>((0.032*0)+((0.212-0.008*(E280-2)-((0.14-0.008*(E280-2))/(1+EXP(-6*(E$278-0.4)))))*(E22*0.92))/6.25)</f>
        <v>0</v>
      </c>
      <c r="F282" s="1025">
        <f>((0.032*0)+((0.212-0.008*(F280-2)-((0.14-0.008*(F280-2))/(1+EXP(-6*(F$278-0.4)))))*(F22*0.92))/6.25)</f>
        <v>0</v>
      </c>
      <c r="G282" s="1025">
        <f>((0.032*0)+((0.212-0.008*(G280-2)-((0.14-0.008*(G280-2))/(1+EXP(-6*(G$278-0.4)))))*(G22*0.92))/6.25)</f>
        <v>0</v>
      </c>
      <c r="H282" s="1025">
        <f>((0.032*0)+((0.212-0.008*(H280-2)-((0.14-0.008*(H280-2))/(1+EXP(-6*(H$278-0.4)))))*(H22*0.92))/6.25)</f>
        <v>0</v>
      </c>
      <c r="I282" s="1025">
        <f>((0.032*0)+((0.212-0.008*(I280-2)-((0.14-0.008*(I280-2))/(1+EXP(-6*(I$278-0.4)))))*(I22*0.92))/6.25)</f>
        <v>0</v>
      </c>
      <c r="J282" s="1022"/>
      <c r="K282" s="1022"/>
      <c r="L282" s="1012" t="s">
        <v>283</v>
      </c>
      <c r="M282" s="1001"/>
    </row>
    <row r="283" spans="2:13" s="1201" customFormat="1" ht="15.5" hidden="1" x14ac:dyDescent="0.35">
      <c r="B283" s="1000"/>
      <c r="C283" s="1023"/>
      <c r="D283" s="1022"/>
      <c r="E283" s="1022"/>
      <c r="F283" s="1022"/>
      <c r="G283" s="1022"/>
      <c r="H283" s="1022"/>
      <c r="I283" s="1022"/>
      <c r="J283" s="1022"/>
      <c r="K283" s="1022"/>
      <c r="L283" s="1012"/>
      <c r="M283" s="1001"/>
    </row>
    <row r="284" spans="2:13" s="1201" customFormat="1" ht="18.5" hidden="1" x14ac:dyDescent="0.35">
      <c r="B284" s="1002" t="s">
        <v>284</v>
      </c>
      <c r="C284" s="1000"/>
      <c r="D284" s="1024" t="s">
        <v>285</v>
      </c>
      <c r="E284" s="1022"/>
      <c r="F284" s="1022"/>
      <c r="G284" s="1022"/>
      <c r="H284" s="1000"/>
      <c r="I284" s="1000"/>
      <c r="J284" s="1000"/>
      <c r="K284" s="1000"/>
      <c r="L284" s="1012"/>
      <c r="M284" s="1001" t="s">
        <v>1271</v>
      </c>
    </row>
    <row r="285" spans="2:13" s="1201" customFormat="1" ht="15.5" hidden="1" x14ac:dyDescent="0.35">
      <c r="B285" s="1000"/>
      <c r="C285" s="1005" t="s">
        <v>434</v>
      </c>
      <c r="D285" s="866" t="e">
        <f>(D259/6.25)-D282-D264-((1.1*10^-4*D20^0.75)/6.25)</f>
        <v>#DIV/0!</v>
      </c>
      <c r="E285" s="866">
        <f>(E259/6.25)-E282-E264-((1.1*10^-4*E20^0.75)/6.25)</f>
        <v>-3.2193644299200004E-3</v>
      </c>
      <c r="F285" s="866">
        <f>(F259/6.25)-F282-F264-((1.1*10^-4*F20^0.75)/6.25)</f>
        <v>-3.2193644299200004E-3</v>
      </c>
      <c r="G285" s="866">
        <f>(G259/6.25)-G282-G264-((1.1*10^-4*G20^0.75)/6.25)</f>
        <v>-3.2193644299200004E-3</v>
      </c>
      <c r="H285" s="866">
        <f>(H259/6.25)-H282-H264-((1.1*10^-4*H20^0.75)/6.25)</f>
        <v>-3.2193644299200004E-3</v>
      </c>
      <c r="I285" s="866">
        <v>5.4999999999999997E-3</v>
      </c>
      <c r="J285" s="866">
        <v>5.0000000000000001E-3</v>
      </c>
      <c r="K285" s="866">
        <f>(K259/6.25)-I282-K264-((1.1*10^-4*I20^0.75)/6.25)</f>
        <v>-3.2193644299200004E-3</v>
      </c>
      <c r="L285" s="1012" t="s">
        <v>283</v>
      </c>
      <c r="M285" s="1001"/>
    </row>
    <row r="286" spans="2:13" s="1201" customFormat="1" ht="15.5" hidden="1" x14ac:dyDescent="0.35">
      <c r="B286" s="1000"/>
      <c r="C286" s="1000"/>
      <c r="D286" s="1000"/>
      <c r="E286" s="1000"/>
      <c r="F286" s="1000"/>
      <c r="G286" s="1000"/>
      <c r="H286" s="1000"/>
      <c r="I286" s="1000"/>
      <c r="J286" s="1000"/>
      <c r="K286" s="1000"/>
      <c r="L286" s="1012"/>
      <c r="M286" s="1001"/>
    </row>
    <row r="287" spans="2:13" s="1201" customFormat="1" ht="15.5" hidden="1" x14ac:dyDescent="0.35">
      <c r="B287" s="1002" t="s">
        <v>444</v>
      </c>
      <c r="C287" s="1000"/>
      <c r="D287" s="1002" t="s">
        <v>1261</v>
      </c>
      <c r="E287" s="1000"/>
      <c r="F287" s="1000"/>
      <c r="G287" s="1000"/>
      <c r="H287" s="1000"/>
      <c r="I287" s="1000"/>
      <c r="J287" s="1000"/>
      <c r="K287" s="1000"/>
      <c r="L287" s="1012"/>
      <c r="M287" s="1001" t="s">
        <v>1272</v>
      </c>
    </row>
    <row r="288" spans="2:13" s="1201" customFormat="1" ht="15.5" hidden="1" x14ac:dyDescent="0.35">
      <c r="B288" s="1000"/>
      <c r="C288" s="1000"/>
      <c r="D288" s="1000"/>
      <c r="E288" s="1000"/>
      <c r="F288" s="1000"/>
      <c r="G288" s="1000"/>
      <c r="H288" s="1000"/>
      <c r="I288" s="1000"/>
      <c r="J288" s="1000"/>
      <c r="K288" s="1000"/>
      <c r="L288" s="1000"/>
      <c r="M288" s="1001"/>
    </row>
    <row r="289" spans="2:13" s="1201" customFormat="1" ht="15.5" hidden="1" x14ac:dyDescent="0.35">
      <c r="B289" s="1000"/>
      <c r="C289" s="1005" t="s">
        <v>434</v>
      </c>
      <c r="D289" s="909" t="e">
        <f>(365*D18*D264)*10^-6</f>
        <v>#DIV/0!</v>
      </c>
      <c r="E289" s="909">
        <f>(365*E18*E264)*10^-6</f>
        <v>0</v>
      </c>
      <c r="F289" s="909">
        <f>(281*F18*F264)*10^-6</f>
        <v>0</v>
      </c>
      <c r="G289" s="909">
        <f>(365*G18*G264)*10^-6</f>
        <v>0</v>
      </c>
      <c r="H289" s="909">
        <f>(281*H18*H264)*10^-6</f>
        <v>0</v>
      </c>
      <c r="I289" s="909">
        <f>(84*F18*I264)*10^-6</f>
        <v>0</v>
      </c>
      <c r="J289" s="909">
        <f>(84*H18*J264)*10^-6</f>
        <v>0</v>
      </c>
      <c r="K289" s="909">
        <f>(365*I18*K264)*10^-6</f>
        <v>0</v>
      </c>
      <c r="L289" s="1000" t="s">
        <v>438</v>
      </c>
      <c r="M289" s="1393"/>
    </row>
    <row r="290" spans="2:13" s="1201" customFormat="1" ht="15.5" hidden="1" x14ac:dyDescent="0.35">
      <c r="B290" s="1000"/>
      <c r="C290" s="1000"/>
      <c r="D290" s="930"/>
      <c r="E290" s="1000"/>
      <c r="F290" s="930"/>
      <c r="G290" s="930"/>
      <c r="H290" s="930"/>
      <c r="I290" s="1000"/>
      <c r="J290" s="1000"/>
      <c r="K290" s="1000"/>
      <c r="L290" s="1000"/>
      <c r="M290" s="1001"/>
    </row>
    <row r="291" spans="2:13" s="1201" customFormat="1" ht="15.5" hidden="1" x14ac:dyDescent="0.35">
      <c r="B291" s="1002" t="s">
        <v>445</v>
      </c>
      <c r="C291" s="1000"/>
      <c r="D291" s="1002" t="s">
        <v>1262</v>
      </c>
      <c r="E291" s="1000"/>
      <c r="F291" s="1000"/>
      <c r="G291" s="1000"/>
      <c r="H291" s="1000"/>
      <c r="I291" s="1000"/>
      <c r="J291" s="1000"/>
      <c r="K291" s="1000"/>
      <c r="L291" s="1000"/>
      <c r="M291" s="1001" t="s">
        <v>1273</v>
      </c>
    </row>
    <row r="292" spans="2:13" s="1201" customFormat="1" ht="15.5" hidden="1" x14ac:dyDescent="0.35">
      <c r="B292" s="1000"/>
      <c r="C292" s="1000"/>
      <c r="D292" s="1000"/>
      <c r="E292" s="1000"/>
      <c r="F292" s="1000"/>
      <c r="G292" s="1000"/>
      <c r="H292" s="1000"/>
      <c r="I292" s="1000"/>
      <c r="J292" s="1000"/>
      <c r="K292" s="1000"/>
      <c r="L292" s="1000"/>
      <c r="M292" s="1001"/>
    </row>
    <row r="293" spans="2:13" s="1201" customFormat="1" ht="15.5" hidden="1" x14ac:dyDescent="0.35">
      <c r="B293" s="1000"/>
      <c r="C293" s="1005" t="s">
        <v>434</v>
      </c>
      <c r="D293" s="866" t="e">
        <f>(365*D18*D285)*10^-6</f>
        <v>#DIV/0!</v>
      </c>
      <c r="E293" s="866">
        <f>(365*E18*E285)*10^-6</f>
        <v>0</v>
      </c>
      <c r="F293" s="866">
        <f>(281*F18*F285)*10^-6</f>
        <v>0</v>
      </c>
      <c r="G293" s="866">
        <f>(365*G18*G285)*10^-6</f>
        <v>0</v>
      </c>
      <c r="H293" s="866">
        <f>(281*H18*H285)*10^-6</f>
        <v>0</v>
      </c>
      <c r="I293" s="866">
        <f>(84*F18*I285)*10^-6</f>
        <v>0</v>
      </c>
      <c r="J293" s="866">
        <f>(84*H18*J285)*10^-6</f>
        <v>0</v>
      </c>
      <c r="K293" s="866">
        <f>(365*I18*K285)*10^-6</f>
        <v>0</v>
      </c>
      <c r="L293" s="1000" t="s">
        <v>438</v>
      </c>
      <c r="M293" s="1001"/>
    </row>
    <row r="294" spans="2:13" s="1201" customFormat="1" ht="15.5" hidden="1" x14ac:dyDescent="0.35">
      <c r="B294" s="1000"/>
      <c r="C294" s="1000"/>
      <c r="D294" s="930"/>
      <c r="E294" s="1000"/>
      <c r="F294" s="930"/>
      <c r="G294" s="1000"/>
      <c r="H294" s="930"/>
      <c r="I294" s="1000"/>
      <c r="J294" s="1000"/>
      <c r="K294" s="1000"/>
      <c r="L294" s="1000"/>
      <c r="M294" s="1001"/>
    </row>
    <row r="295" spans="2:13" s="1201" customFormat="1" ht="18" hidden="1" x14ac:dyDescent="0.45">
      <c r="B295" s="1002" t="s">
        <v>1275</v>
      </c>
      <c r="C295" s="1000"/>
      <c r="D295" s="1002" t="s">
        <v>2147</v>
      </c>
      <c r="E295" s="1000"/>
      <c r="F295" s="1000"/>
      <c r="G295" s="1000"/>
      <c r="H295" s="1000"/>
      <c r="I295" s="1000"/>
      <c r="J295" s="1000"/>
      <c r="K295" s="1000"/>
      <c r="L295" s="1000"/>
      <c r="M295" s="1001"/>
    </row>
    <row r="296" spans="2:13" s="1201" customFormat="1" ht="15.5" hidden="1" x14ac:dyDescent="0.35">
      <c r="B296" s="1000"/>
      <c r="C296" s="1000"/>
      <c r="D296" s="933"/>
      <c r="E296" s="1025"/>
      <c r="F296" s="1025"/>
      <c r="G296" s="1025"/>
      <c r="H296" s="1025"/>
      <c r="I296" s="1025"/>
      <c r="J296" s="1025"/>
      <c r="K296" s="1025"/>
      <c r="L296" s="1012"/>
      <c r="M296" s="1001"/>
    </row>
    <row r="297" spans="2:13" s="1201" customFormat="1" ht="15.5" hidden="1" x14ac:dyDescent="0.35">
      <c r="B297" s="1000" t="s">
        <v>1349</v>
      </c>
      <c r="C297" s="1005" t="s">
        <v>434</v>
      </c>
      <c r="D297" s="866" t="e">
        <f>(D289+D293)</f>
        <v>#DIV/0!</v>
      </c>
      <c r="E297" s="866">
        <f t="shared" ref="E297:I297" si="15">(E289+E293)</f>
        <v>0</v>
      </c>
      <c r="F297" s="866">
        <f t="shared" si="15"/>
        <v>0</v>
      </c>
      <c r="G297" s="866">
        <f t="shared" si="15"/>
        <v>0</v>
      </c>
      <c r="H297" s="866">
        <f t="shared" si="15"/>
        <v>0</v>
      </c>
      <c r="I297" s="866">
        <f t="shared" si="15"/>
        <v>0</v>
      </c>
      <c r="J297" s="866">
        <f>(J289+J293)</f>
        <v>0</v>
      </c>
      <c r="K297" s="866">
        <f>(K289+K293)</f>
        <v>0</v>
      </c>
      <c r="L297" s="1000" t="s">
        <v>438</v>
      </c>
      <c r="M297" s="1392"/>
    </row>
    <row r="298" spans="2:13" s="1201" customFormat="1" ht="15.5" hidden="1" x14ac:dyDescent="0.35">
      <c r="B298" s="1000"/>
      <c r="C298" s="1005"/>
      <c r="D298" s="933"/>
      <c r="E298" s="1025"/>
      <c r="F298" s="1025"/>
      <c r="G298" s="1025"/>
      <c r="H298" s="1025"/>
      <c r="I298" s="1025"/>
      <c r="J298" s="1025"/>
      <c r="K298" s="1025"/>
      <c r="L298" s="1000"/>
      <c r="M298" s="1001"/>
    </row>
    <row r="299" spans="2:13" s="1201" customFormat="1" ht="18" hidden="1" x14ac:dyDescent="0.45">
      <c r="B299" s="1028" t="s">
        <v>295</v>
      </c>
      <c r="C299" s="1000"/>
      <c r="D299" s="1002" t="s">
        <v>2147</v>
      </c>
      <c r="E299" s="1000"/>
      <c r="F299" s="1000"/>
      <c r="G299" s="1000"/>
      <c r="H299" s="1000"/>
      <c r="I299" s="1000"/>
      <c r="J299" s="1000"/>
      <c r="K299" s="1000"/>
      <c r="L299" s="1028" t="s">
        <v>296</v>
      </c>
      <c r="M299" s="1001"/>
    </row>
    <row r="300" spans="2:13" s="1201" customFormat="1" ht="15.5" hidden="1" x14ac:dyDescent="0.35">
      <c r="B300" s="1023" t="s">
        <v>1288</v>
      </c>
      <c r="C300" s="1005" t="s">
        <v>434</v>
      </c>
      <c r="D300" s="1029" t="e">
        <f>D297*$C$83%</f>
        <v>#DIV/0!</v>
      </c>
      <c r="E300" s="1030">
        <f t="shared" ref="E300:I300" si="16">E297*$C$84%</f>
        <v>0</v>
      </c>
      <c r="F300" s="1030">
        <f t="shared" si="16"/>
        <v>0</v>
      </c>
      <c r="G300" s="1030">
        <f t="shared" si="16"/>
        <v>0</v>
      </c>
      <c r="H300" s="1030">
        <f t="shared" si="16"/>
        <v>0</v>
      </c>
      <c r="I300" s="1030">
        <f t="shared" si="16"/>
        <v>0</v>
      </c>
      <c r="J300" s="1030">
        <f>J297*$C$84%</f>
        <v>0</v>
      </c>
      <c r="K300" s="1030">
        <f>K297*$C$84%</f>
        <v>0</v>
      </c>
      <c r="L300" s="1023">
        <v>0</v>
      </c>
      <c r="M300" s="1001"/>
    </row>
    <row r="301" spans="2:13" s="1201" customFormat="1" ht="15.5" hidden="1" x14ac:dyDescent="0.35">
      <c r="B301" s="1000"/>
      <c r="C301" s="1000"/>
      <c r="D301" s="1029"/>
      <c r="E301" s="1030"/>
      <c r="F301" s="1030"/>
      <c r="G301" s="1030"/>
      <c r="H301" s="1030"/>
      <c r="I301" s="1030"/>
      <c r="J301" s="1030"/>
      <c r="K301" s="1030"/>
      <c r="L301" s="1000"/>
      <c r="M301" s="1001"/>
    </row>
    <row r="302" spans="2:13" s="1201" customFormat="1" ht="15.5" hidden="1" x14ac:dyDescent="0.35">
      <c r="B302" s="1023" t="s">
        <v>1287</v>
      </c>
      <c r="C302" s="1005" t="s">
        <v>434</v>
      </c>
      <c r="D302" s="1029" t="e">
        <f>D297*$D$83%</f>
        <v>#DIV/0!</v>
      </c>
      <c r="E302" s="1030">
        <f t="shared" ref="E302:J302" si="17">E297*$D$84%</f>
        <v>0</v>
      </c>
      <c r="F302" s="1030">
        <f t="shared" si="17"/>
        <v>0</v>
      </c>
      <c r="G302" s="1030">
        <f t="shared" si="17"/>
        <v>0</v>
      </c>
      <c r="H302" s="1030">
        <f t="shared" si="17"/>
        <v>0</v>
      </c>
      <c r="I302" s="1030">
        <f t="shared" si="17"/>
        <v>0</v>
      </c>
      <c r="J302" s="1030">
        <f t="shared" si="17"/>
        <v>0</v>
      </c>
      <c r="K302" s="1030">
        <f t="shared" ref="K302" si="18">K297*$D$84%</f>
        <v>0</v>
      </c>
      <c r="L302" s="1023">
        <v>0</v>
      </c>
      <c r="M302" s="1001"/>
    </row>
    <row r="303" spans="2:13" s="1201" customFormat="1" ht="15.5" hidden="1" x14ac:dyDescent="0.35">
      <c r="B303" s="1000"/>
      <c r="C303" s="1000"/>
      <c r="D303" s="1029"/>
      <c r="E303" s="1030"/>
      <c r="F303" s="1030"/>
      <c r="G303" s="1030"/>
      <c r="H303" s="1030"/>
      <c r="I303" s="1030"/>
      <c r="J303" s="1030"/>
      <c r="K303" s="1030"/>
      <c r="L303" s="1000"/>
      <c r="M303" s="1001"/>
    </row>
    <row r="304" spans="2:13" s="1201" customFormat="1" ht="15.5" hidden="1" x14ac:dyDescent="0.35">
      <c r="B304" s="1023" t="s">
        <v>1914</v>
      </c>
      <c r="C304" s="1005" t="s">
        <v>434</v>
      </c>
      <c r="D304" s="1029" t="e">
        <f>D297*$E$83%</f>
        <v>#DIV/0!</v>
      </c>
      <c r="E304" s="1030">
        <f t="shared" ref="E304:J304" si="19">E297*$E$84%</f>
        <v>0</v>
      </c>
      <c r="F304" s="1030">
        <f t="shared" si="19"/>
        <v>0</v>
      </c>
      <c r="G304" s="1030">
        <f t="shared" si="19"/>
        <v>0</v>
      </c>
      <c r="H304" s="1030">
        <f t="shared" si="19"/>
        <v>0</v>
      </c>
      <c r="I304" s="1030">
        <f t="shared" si="19"/>
        <v>0</v>
      </c>
      <c r="J304" s="1030">
        <f t="shared" si="19"/>
        <v>0</v>
      </c>
      <c r="K304" s="1030">
        <f t="shared" ref="K304" si="20">K297*$E$84%</f>
        <v>0</v>
      </c>
      <c r="L304" s="1023">
        <v>0</v>
      </c>
      <c r="M304" s="1001"/>
    </row>
    <row r="305" spans="2:14" s="1201" customFormat="1" ht="15.5" hidden="1" x14ac:dyDescent="0.35">
      <c r="B305" s="1000"/>
      <c r="C305" s="1005"/>
      <c r="D305" s="1029"/>
      <c r="E305" s="1030"/>
      <c r="F305" s="1030"/>
      <c r="G305" s="1030"/>
      <c r="H305" s="1030"/>
      <c r="I305" s="1030"/>
      <c r="J305" s="1030"/>
      <c r="K305" s="1030"/>
      <c r="L305" s="1000"/>
      <c r="M305" s="1001"/>
    </row>
    <row r="306" spans="2:14" s="1201" customFormat="1" ht="15.5" hidden="1" x14ac:dyDescent="0.35">
      <c r="B306" s="1023" t="s">
        <v>1290</v>
      </c>
      <c r="C306" s="1005" t="s">
        <v>434</v>
      </c>
      <c r="D306" s="1029" t="e">
        <f>D297*$F$83%</f>
        <v>#DIV/0!</v>
      </c>
      <c r="E306" s="1030">
        <f t="shared" ref="E306:J306" si="21">E297*$F$84%</f>
        <v>0</v>
      </c>
      <c r="F306" s="1030">
        <f t="shared" si="21"/>
        <v>0</v>
      </c>
      <c r="G306" s="1030">
        <f t="shared" si="21"/>
        <v>0</v>
      </c>
      <c r="H306" s="1030">
        <f t="shared" si="21"/>
        <v>0</v>
      </c>
      <c r="I306" s="1030">
        <f t="shared" si="21"/>
        <v>0</v>
      </c>
      <c r="J306" s="1030">
        <f t="shared" si="21"/>
        <v>0</v>
      </c>
      <c r="K306" s="1030">
        <f t="shared" ref="K306" si="22">K297*$F$84%</f>
        <v>0</v>
      </c>
      <c r="L306" s="1005">
        <v>5.0000000000000001E-3</v>
      </c>
      <c r="M306" s="1001"/>
    </row>
    <row r="307" spans="2:14" s="1201" customFormat="1" ht="15.5" hidden="1" x14ac:dyDescent="0.35">
      <c r="B307" s="1000"/>
      <c r="C307" s="1005"/>
      <c r="D307" s="1029"/>
      <c r="E307" s="1030"/>
      <c r="F307" s="1030"/>
      <c r="G307" s="1030"/>
      <c r="H307" s="1030"/>
      <c r="I307" s="1030"/>
      <c r="J307" s="1030"/>
      <c r="K307" s="1030"/>
      <c r="L307" s="1000"/>
      <c r="M307" s="1001"/>
    </row>
    <row r="308" spans="2:14" s="1201" customFormat="1" ht="15.5" hidden="1" x14ac:dyDescent="0.35">
      <c r="B308" s="1023" t="s">
        <v>1291</v>
      </c>
      <c r="C308" s="1005" t="s">
        <v>434</v>
      </c>
      <c r="D308" s="1029" t="e">
        <f>D297*$G$83%</f>
        <v>#DIV/0!</v>
      </c>
      <c r="E308" s="1030">
        <f t="shared" ref="E308:J308" si="23">E297*$G$84%</f>
        <v>0</v>
      </c>
      <c r="F308" s="1030">
        <f t="shared" si="23"/>
        <v>0</v>
      </c>
      <c r="G308" s="1030">
        <f t="shared" si="23"/>
        <v>0</v>
      </c>
      <c r="H308" s="1030">
        <f t="shared" si="23"/>
        <v>0</v>
      </c>
      <c r="I308" s="1030">
        <f t="shared" si="23"/>
        <v>0</v>
      </c>
      <c r="J308" s="1030">
        <f t="shared" si="23"/>
        <v>0</v>
      </c>
      <c r="K308" s="1030">
        <f>K297*$G$84%</f>
        <v>0</v>
      </c>
      <c r="L308" s="1023">
        <v>0</v>
      </c>
      <c r="M308" s="1001"/>
    </row>
    <row r="309" spans="2:14" s="1201" customFormat="1" ht="15.5" hidden="1" x14ac:dyDescent="0.35">
      <c r="B309" s="1000"/>
      <c r="C309" s="1000"/>
      <c r="D309" s="1029"/>
      <c r="E309" s="1030"/>
      <c r="F309" s="1030"/>
      <c r="G309" s="1030"/>
      <c r="H309" s="1030"/>
      <c r="I309" s="1030"/>
      <c r="J309" s="1030"/>
      <c r="K309" s="1030"/>
      <c r="L309" s="1000"/>
      <c r="M309" s="1001"/>
    </row>
    <row r="310" spans="2:14" s="1201" customFormat="1" ht="18" hidden="1" x14ac:dyDescent="0.45">
      <c r="B310" s="1002" t="s">
        <v>1277</v>
      </c>
      <c r="C310" s="1005" t="s">
        <v>434</v>
      </c>
      <c r="D310" s="1029" t="e">
        <f>SUM(D300,D302,D304,D306,D308)</f>
        <v>#DIV/0!</v>
      </c>
      <c r="E310" s="1030">
        <f t="shared" ref="E310:J310" si="24">SUM(E300,E302,E304,E306,E308)</f>
        <v>0</v>
      </c>
      <c r="F310" s="1030">
        <f t="shared" si="24"/>
        <v>0</v>
      </c>
      <c r="G310" s="1030">
        <f t="shared" si="24"/>
        <v>0</v>
      </c>
      <c r="H310" s="1030">
        <f t="shared" si="24"/>
        <v>0</v>
      </c>
      <c r="I310" s="1030">
        <f t="shared" si="24"/>
        <v>0</v>
      </c>
      <c r="J310" s="1030">
        <f t="shared" si="24"/>
        <v>0</v>
      </c>
      <c r="K310" s="1030">
        <f t="shared" ref="K310" si="25">SUM(K300,K302,K304,K306,K308)</f>
        <v>0</v>
      </c>
      <c r="L310" s="1000" t="s">
        <v>438</v>
      </c>
      <c r="M310" s="1001" t="s">
        <v>1278</v>
      </c>
      <c r="N310" s="2377"/>
    </row>
    <row r="311" spans="2:14" s="1201" customFormat="1" ht="15.5" hidden="1" x14ac:dyDescent="0.35">
      <c r="B311" s="1000"/>
      <c r="C311" s="1000"/>
      <c r="D311" s="1000"/>
      <c r="E311" s="1000"/>
      <c r="F311" s="1000"/>
      <c r="G311" s="1000"/>
      <c r="H311" s="1000"/>
      <c r="I311" s="1000"/>
      <c r="J311" s="1000"/>
      <c r="K311" s="1000"/>
      <c r="L311" s="1000"/>
      <c r="M311" s="1001"/>
    </row>
    <row r="312" spans="2:14" s="1201" customFormat="1" ht="18" hidden="1" x14ac:dyDescent="0.45">
      <c r="B312" s="1002" t="s">
        <v>1306</v>
      </c>
      <c r="C312" s="1005" t="s">
        <v>434</v>
      </c>
      <c r="D312" s="1029" t="e">
        <f t="shared" ref="D312:K312" si="26">((D300*$L$300)+(D302*$L$302)+(D304*$L$304)+(D306*$L$306))*44/28</f>
        <v>#DIV/0!</v>
      </c>
      <c r="E312" s="1029">
        <f t="shared" si="26"/>
        <v>0</v>
      </c>
      <c r="F312" s="1029">
        <f t="shared" si="26"/>
        <v>0</v>
      </c>
      <c r="G312" s="1029">
        <f t="shared" si="26"/>
        <v>0</v>
      </c>
      <c r="H312" s="1029">
        <f t="shared" si="26"/>
        <v>0</v>
      </c>
      <c r="I312" s="1029">
        <f t="shared" si="26"/>
        <v>0</v>
      </c>
      <c r="J312" s="1029">
        <f t="shared" si="26"/>
        <v>0</v>
      </c>
      <c r="K312" s="1029">
        <f t="shared" si="26"/>
        <v>0</v>
      </c>
      <c r="L312" s="1000" t="s">
        <v>1279</v>
      </c>
      <c r="M312" s="1001" t="s">
        <v>1274</v>
      </c>
    </row>
    <row r="313" spans="2:14" s="1201" customFormat="1" ht="15.5" hidden="1" x14ac:dyDescent="0.35">
      <c r="B313" s="1000"/>
      <c r="C313" s="1005"/>
      <c r="D313" s="1000"/>
      <c r="E313" s="1000"/>
      <c r="F313" s="1000"/>
      <c r="G313" s="1000"/>
      <c r="H313" s="1000"/>
      <c r="I313" s="1000"/>
      <c r="J313" s="1000"/>
      <c r="K313" s="1000"/>
      <c r="L313" s="1000"/>
      <c r="M313" s="1001"/>
    </row>
    <row r="314" spans="2:14" s="1201" customFormat="1" ht="15.5" hidden="1" x14ac:dyDescent="0.35">
      <c r="B314" s="1002" t="s">
        <v>1264</v>
      </c>
      <c r="C314" s="1005"/>
      <c r="D314" s="1002" t="s">
        <v>1265</v>
      </c>
      <c r="E314" s="1000"/>
      <c r="F314" s="1000"/>
      <c r="G314" s="1000"/>
      <c r="H314" s="1000"/>
      <c r="I314" s="1000"/>
      <c r="J314" s="1000"/>
      <c r="K314" s="1000"/>
      <c r="L314" s="1002" t="s">
        <v>1280</v>
      </c>
      <c r="M314" s="1001"/>
    </row>
    <row r="315" spans="2:14" s="1201" customFormat="1" ht="15.5" hidden="1" x14ac:dyDescent="0.35">
      <c r="B315" s="1023"/>
      <c r="C315" s="1005"/>
      <c r="D315" s="1000"/>
      <c r="E315" s="1000"/>
      <c r="F315" s="1000"/>
      <c r="G315" s="1000"/>
      <c r="H315" s="1000"/>
      <c r="I315" s="1000"/>
      <c r="J315" s="1000"/>
      <c r="K315" s="1000"/>
      <c r="L315" s="1002"/>
      <c r="M315" s="1001" t="s">
        <v>1281</v>
      </c>
    </row>
    <row r="316" spans="2:14" s="1201" customFormat="1" ht="15.5" hidden="1" x14ac:dyDescent="0.35">
      <c r="B316" s="1023" t="s">
        <v>1288</v>
      </c>
      <c r="C316" s="1005"/>
      <c r="D316" s="971" t="e">
        <f>D300*$L$316</f>
        <v>#DIV/0!</v>
      </c>
      <c r="E316" s="1030">
        <f>E300*$L$316</f>
        <v>0</v>
      </c>
      <c r="F316" s="1030">
        <f t="shared" ref="F316:K316" si="27">F300*$L$316</f>
        <v>0</v>
      </c>
      <c r="G316" s="1030">
        <f t="shared" si="27"/>
        <v>0</v>
      </c>
      <c r="H316" s="1030">
        <f t="shared" si="27"/>
        <v>0</v>
      </c>
      <c r="I316" s="1030">
        <f t="shared" si="27"/>
        <v>0</v>
      </c>
      <c r="J316" s="1030">
        <f t="shared" si="27"/>
        <v>0</v>
      </c>
      <c r="K316" s="1030">
        <f t="shared" si="27"/>
        <v>0</v>
      </c>
      <c r="L316" s="1000">
        <v>0.35</v>
      </c>
      <c r="M316" s="1001"/>
    </row>
    <row r="317" spans="2:14" s="1201" customFormat="1" ht="15.5" hidden="1" x14ac:dyDescent="0.35">
      <c r="B317" s="1000"/>
      <c r="C317" s="1005"/>
      <c r="D317" s="971"/>
      <c r="E317" s="1030"/>
      <c r="F317" s="1030"/>
      <c r="G317" s="1030"/>
      <c r="H317" s="1030"/>
      <c r="I317" s="1030"/>
      <c r="J317" s="1030"/>
      <c r="K317" s="1030"/>
      <c r="L317" s="1000"/>
      <c r="M317" s="1001"/>
    </row>
    <row r="318" spans="2:14" s="1201" customFormat="1" ht="15.5" hidden="1" x14ac:dyDescent="0.35">
      <c r="B318" s="1023" t="s">
        <v>1287</v>
      </c>
      <c r="C318" s="1005"/>
      <c r="D318" s="971" t="e">
        <f>D302*$L$318</f>
        <v>#DIV/0!</v>
      </c>
      <c r="E318" s="1030">
        <f>E302*$L$318</f>
        <v>0</v>
      </c>
      <c r="F318" s="1030">
        <f t="shared" ref="F318:K318" si="28">F302*$L$318</f>
        <v>0</v>
      </c>
      <c r="G318" s="1030">
        <f t="shared" si="28"/>
        <v>0</v>
      </c>
      <c r="H318" s="1030">
        <f t="shared" si="28"/>
        <v>0</v>
      </c>
      <c r="I318" s="1030">
        <f t="shared" si="28"/>
        <v>0</v>
      </c>
      <c r="J318" s="1030">
        <f t="shared" si="28"/>
        <v>0</v>
      </c>
      <c r="K318" s="1030">
        <f t="shared" si="28"/>
        <v>0</v>
      </c>
      <c r="L318" s="1000">
        <v>7.0000000000000007E-2</v>
      </c>
      <c r="M318" s="1001"/>
    </row>
    <row r="319" spans="2:14" s="1201" customFormat="1" ht="15.5" hidden="1" x14ac:dyDescent="0.35">
      <c r="B319" s="1000"/>
      <c r="C319" s="1005"/>
      <c r="D319" s="971"/>
      <c r="E319" s="1030"/>
      <c r="F319" s="1030"/>
      <c r="G319" s="1030"/>
      <c r="H319" s="1030"/>
      <c r="I319" s="1030"/>
      <c r="J319" s="1030"/>
      <c r="K319" s="1030"/>
      <c r="L319" s="1000"/>
      <c r="M319" s="1001"/>
    </row>
    <row r="320" spans="2:14" s="1201" customFormat="1" ht="15.5" hidden="1" x14ac:dyDescent="0.35">
      <c r="B320" s="1023" t="s">
        <v>1914</v>
      </c>
      <c r="C320" s="1005"/>
      <c r="D320" s="971" t="e">
        <f>D304*$L$320</f>
        <v>#DIV/0!</v>
      </c>
      <c r="E320" s="1030">
        <f>E304*$L$320</f>
        <v>0</v>
      </c>
      <c r="F320" s="1030">
        <f t="shared" ref="F320:K320" si="29">F304*$L$320</f>
        <v>0</v>
      </c>
      <c r="G320" s="1030">
        <f t="shared" si="29"/>
        <v>0</v>
      </c>
      <c r="H320" s="1030">
        <f t="shared" si="29"/>
        <v>0</v>
      </c>
      <c r="I320" s="1030">
        <f t="shared" si="29"/>
        <v>0</v>
      </c>
      <c r="J320" s="1030">
        <f t="shared" si="29"/>
        <v>0</v>
      </c>
      <c r="K320" s="1030">
        <f t="shared" si="29"/>
        <v>0</v>
      </c>
      <c r="L320" s="1000">
        <v>0.2</v>
      </c>
      <c r="M320" s="1001"/>
    </row>
    <row r="321" spans="2:13" s="1201" customFormat="1" ht="15.5" hidden="1" x14ac:dyDescent="0.35">
      <c r="B321" s="1000"/>
      <c r="C321" s="1005"/>
      <c r="D321" s="971"/>
      <c r="E321" s="1030"/>
      <c r="F321" s="1030"/>
      <c r="G321" s="1030"/>
      <c r="H321" s="1030"/>
      <c r="I321" s="1030"/>
      <c r="J321" s="1030"/>
      <c r="K321" s="1030"/>
      <c r="L321" s="1000"/>
      <c r="M321" s="1001"/>
    </row>
    <row r="322" spans="2:13" s="1201" customFormat="1" ht="15.5" hidden="1" x14ac:dyDescent="0.35">
      <c r="B322" s="1023" t="s">
        <v>1290</v>
      </c>
      <c r="C322" s="1005"/>
      <c r="D322" s="971" t="e">
        <f>D306*$L$322</f>
        <v>#DIV/0!</v>
      </c>
      <c r="E322" s="1030">
        <f>E306*$L$322</f>
        <v>0</v>
      </c>
      <c r="F322" s="1030">
        <f t="shared" ref="F322:K322" si="30">F306*$L$322</f>
        <v>0</v>
      </c>
      <c r="G322" s="1030">
        <f t="shared" si="30"/>
        <v>0</v>
      </c>
      <c r="H322" s="1030">
        <f t="shared" si="30"/>
        <v>0</v>
      </c>
      <c r="I322" s="1030">
        <f t="shared" si="30"/>
        <v>0</v>
      </c>
      <c r="J322" s="1030">
        <f t="shared" si="30"/>
        <v>0</v>
      </c>
      <c r="K322" s="1030">
        <f t="shared" si="30"/>
        <v>0</v>
      </c>
      <c r="L322" s="1000">
        <v>0.3</v>
      </c>
      <c r="M322" s="1001"/>
    </row>
    <row r="323" spans="2:13" s="1201" customFormat="1" ht="15.5" hidden="1" x14ac:dyDescent="0.35">
      <c r="B323" s="1000"/>
      <c r="C323" s="1005"/>
      <c r="D323" s="971"/>
      <c r="E323" s="1030"/>
      <c r="F323" s="1030"/>
      <c r="G323" s="1030"/>
      <c r="H323" s="1030"/>
      <c r="I323" s="1030"/>
      <c r="J323" s="1030"/>
      <c r="K323" s="1030"/>
      <c r="L323" s="1000"/>
      <c r="M323" s="1001"/>
    </row>
    <row r="324" spans="2:13" s="1201" customFormat="1" ht="15.5" hidden="1" x14ac:dyDescent="0.35">
      <c r="B324" s="1023" t="s">
        <v>1291</v>
      </c>
      <c r="C324" s="1005"/>
      <c r="D324" s="971" t="e">
        <f>D308*$L$324</f>
        <v>#DIV/0!</v>
      </c>
      <c r="E324" s="1030">
        <f>E308*$L$324</f>
        <v>0</v>
      </c>
      <c r="F324" s="1030">
        <f t="shared" ref="F324:K324" si="31">F308*$L$324</f>
        <v>0</v>
      </c>
      <c r="G324" s="1030">
        <f t="shared" si="31"/>
        <v>0</v>
      </c>
      <c r="H324" s="1030">
        <f t="shared" si="31"/>
        <v>0</v>
      </c>
      <c r="I324" s="1030">
        <f t="shared" si="31"/>
        <v>0</v>
      </c>
      <c r="J324" s="1030">
        <f t="shared" si="31"/>
        <v>0</v>
      </c>
      <c r="K324" s="1030">
        <f t="shared" si="31"/>
        <v>0</v>
      </c>
      <c r="L324" s="1000">
        <v>0</v>
      </c>
      <c r="M324" s="1001" t="s">
        <v>1266</v>
      </c>
    </row>
    <row r="325" spans="2:13" s="1201" customFormat="1" ht="15.5" hidden="1" x14ac:dyDescent="0.35">
      <c r="B325" s="1000"/>
      <c r="C325" s="1005"/>
      <c r="D325" s="1000"/>
      <c r="E325" s="1000"/>
      <c r="F325" s="1000"/>
      <c r="G325" s="1000"/>
      <c r="H325" s="1000"/>
      <c r="I325" s="1000"/>
      <c r="J325" s="1000"/>
      <c r="K325" s="1000"/>
      <c r="L325" s="1000"/>
      <c r="M325" s="1001"/>
    </row>
    <row r="326" spans="2:13" s="1201" customFormat="1" ht="15.5" hidden="1" x14ac:dyDescent="0.35">
      <c r="B326" s="1002" t="s">
        <v>1282</v>
      </c>
      <c r="C326" s="1005"/>
      <c r="D326" s="1002" t="s">
        <v>1283</v>
      </c>
      <c r="E326" s="1000"/>
      <c r="F326" s="1000"/>
      <c r="G326" s="1000"/>
      <c r="H326" s="1000"/>
      <c r="I326" s="1000"/>
      <c r="J326" s="1000"/>
      <c r="K326" s="1000"/>
      <c r="L326" s="1002" t="s">
        <v>1284</v>
      </c>
      <c r="M326" s="1001"/>
    </row>
    <row r="327" spans="2:13" s="1201" customFormat="1" ht="15.5" hidden="1" x14ac:dyDescent="0.35">
      <c r="B327" s="1000"/>
      <c r="C327" s="1005"/>
      <c r="D327" s="909" t="e">
        <f>SUM(D316:D322)*$L$327*44/28</f>
        <v>#DIV/0!</v>
      </c>
      <c r="E327" s="1030">
        <f>SUM(E316:E322)*$L$327*44/28</f>
        <v>0</v>
      </c>
      <c r="F327" s="1030">
        <f t="shared" ref="F327:J327" si="32">SUM(F316:F322)*$L$327*44/28</f>
        <v>0</v>
      </c>
      <c r="G327" s="1030">
        <f t="shared" si="32"/>
        <v>0</v>
      </c>
      <c r="H327" s="1030">
        <f t="shared" si="32"/>
        <v>0</v>
      </c>
      <c r="I327" s="1030">
        <f t="shared" si="32"/>
        <v>0</v>
      </c>
      <c r="J327" s="1030">
        <f t="shared" si="32"/>
        <v>0</v>
      </c>
      <c r="K327" s="1030">
        <f>SUM(K316:K322)*$L$327*44/28</f>
        <v>0</v>
      </c>
      <c r="L327" s="1000">
        <v>4.0000000000000001E-3</v>
      </c>
      <c r="M327" s="1001" t="s">
        <v>1285</v>
      </c>
    </row>
    <row r="328" spans="2:13" s="1201" customFormat="1" ht="15.5" hidden="1" x14ac:dyDescent="0.35">
      <c r="B328" s="1000"/>
      <c r="C328" s="1005"/>
      <c r="D328" s="1000"/>
      <c r="E328" s="1000"/>
      <c r="F328" s="1006"/>
      <c r="G328" s="1006"/>
      <c r="H328" s="1006"/>
      <c r="I328" s="1006"/>
      <c r="J328" s="1006"/>
      <c r="K328" s="1006"/>
      <c r="L328" s="1000"/>
      <c r="M328" s="1001"/>
    </row>
    <row r="329" spans="2:13" s="1201" customFormat="1" ht="15.5" hidden="1" x14ac:dyDescent="0.35">
      <c r="B329" s="1000" t="s">
        <v>2164</v>
      </c>
      <c r="C329" s="1005"/>
      <c r="D329" s="1357" t="e">
        <f>SUM(D327:K327)*298*10^3</f>
        <v>#DIV/0!</v>
      </c>
      <c r="E329" s="1000"/>
      <c r="F329" s="1006"/>
      <c r="G329" s="1006"/>
      <c r="H329" s="1006"/>
      <c r="I329" s="1006"/>
      <c r="J329" s="1006"/>
      <c r="K329" s="1006"/>
      <c r="L329" s="1000" t="s">
        <v>1294</v>
      </c>
      <c r="M329" s="1001"/>
    </row>
    <row r="330" spans="2:13" s="1201" customFormat="1" ht="15.5" hidden="1" x14ac:dyDescent="0.35">
      <c r="B330" s="1000"/>
      <c r="C330" s="1005"/>
      <c r="D330" s="1000"/>
      <c r="E330" s="1000"/>
      <c r="F330" s="1006"/>
      <c r="G330" s="1006"/>
      <c r="H330" s="1006"/>
      <c r="I330" s="1006"/>
      <c r="J330" s="1006"/>
      <c r="K330" s="1006"/>
      <c r="L330" s="1000"/>
      <c r="M330" s="1001"/>
    </row>
    <row r="331" spans="2:13" s="1201" customFormat="1" ht="18" hidden="1" x14ac:dyDescent="0.45">
      <c r="B331" s="1002" t="s">
        <v>1286</v>
      </c>
      <c r="C331" s="1005"/>
      <c r="D331" s="1002" t="s">
        <v>1333</v>
      </c>
      <c r="E331" s="1000"/>
      <c r="F331" s="1006"/>
      <c r="G331" s="1006"/>
      <c r="H331" s="1006"/>
      <c r="I331" s="1006"/>
      <c r="J331" s="1006"/>
      <c r="K331" s="1006"/>
      <c r="L331" s="1002" t="s">
        <v>1292</v>
      </c>
      <c r="M331" s="1001" t="s">
        <v>1326</v>
      </c>
    </row>
    <row r="332" spans="2:13" s="1201" customFormat="1" ht="15.5" hidden="1" x14ac:dyDescent="0.35">
      <c r="B332" s="1000"/>
      <c r="C332" s="1005"/>
      <c r="D332" s="1000"/>
      <c r="E332" s="1000"/>
      <c r="F332" s="1006"/>
      <c r="G332" s="1006"/>
      <c r="H332" s="1006"/>
      <c r="I332" s="1006"/>
      <c r="J332" s="1006"/>
      <c r="K332" s="1006"/>
      <c r="L332" s="1000">
        <v>1</v>
      </c>
      <c r="M332" s="1001"/>
    </row>
    <row r="333" spans="2:13" s="1201" customFormat="1" ht="15.5" hidden="1" x14ac:dyDescent="0.35">
      <c r="B333" s="1000" t="s">
        <v>1341</v>
      </c>
      <c r="C333" s="1005"/>
      <c r="D333" s="1030" t="e">
        <f t="shared" ref="D333:K333" si="33">D306*$L$332*$L$334</f>
        <v>#DIV/0!</v>
      </c>
      <c r="E333" s="1030">
        <f t="shared" si="33"/>
        <v>0</v>
      </c>
      <c r="F333" s="1030">
        <f t="shared" si="33"/>
        <v>0</v>
      </c>
      <c r="G333" s="1030">
        <f t="shared" si="33"/>
        <v>0</v>
      </c>
      <c r="H333" s="1030">
        <f t="shared" si="33"/>
        <v>0</v>
      </c>
      <c r="I333" s="1030">
        <f t="shared" si="33"/>
        <v>0</v>
      </c>
      <c r="J333" s="1030">
        <f t="shared" si="33"/>
        <v>0</v>
      </c>
      <c r="K333" s="1030">
        <f t="shared" si="33"/>
        <v>0</v>
      </c>
      <c r="L333" s="1002" t="s">
        <v>1293</v>
      </c>
      <c r="M333" s="1001"/>
    </row>
    <row r="334" spans="2:13" s="1201" customFormat="1" ht="15.5" hidden="1" x14ac:dyDescent="0.35">
      <c r="B334" s="1002"/>
      <c r="C334" s="1029"/>
      <c r="D334" s="1000"/>
      <c r="E334" s="1000"/>
      <c r="F334" s="1006"/>
      <c r="G334" s="1006"/>
      <c r="H334" s="1006"/>
      <c r="I334" s="1006"/>
      <c r="J334" s="1006"/>
      <c r="K334" s="1006"/>
      <c r="L334" s="1026">
        <v>0.3</v>
      </c>
      <c r="M334" s="1001"/>
    </row>
    <row r="335" spans="2:13" s="1201" customFormat="1" ht="15.5" hidden="1" x14ac:dyDescent="0.35">
      <c r="B335" s="1002"/>
      <c r="C335" s="1029"/>
      <c r="D335" s="1002" t="s">
        <v>1336</v>
      </c>
      <c r="E335" s="1000"/>
      <c r="F335" s="1006"/>
      <c r="G335" s="1006"/>
      <c r="H335" s="1006"/>
      <c r="I335" s="1006"/>
      <c r="J335" s="1006"/>
      <c r="K335" s="1006"/>
      <c r="L335" s="915" t="s">
        <v>1301</v>
      </c>
      <c r="M335" s="1001"/>
    </row>
    <row r="336" spans="2:13" s="1201" customFormat="1" ht="15.5" hidden="1" x14ac:dyDescent="0.35">
      <c r="B336" s="1002"/>
      <c r="C336" s="1029"/>
      <c r="D336" s="1030" t="e">
        <f t="shared" ref="D336:K336" si="34">D333*$L$336*44/28</f>
        <v>#DIV/0!</v>
      </c>
      <c r="E336" s="1030">
        <f t="shared" si="34"/>
        <v>0</v>
      </c>
      <c r="F336" s="1030">
        <f t="shared" si="34"/>
        <v>0</v>
      </c>
      <c r="G336" s="1030">
        <f t="shared" si="34"/>
        <v>0</v>
      </c>
      <c r="H336" s="1030">
        <f t="shared" si="34"/>
        <v>0</v>
      </c>
      <c r="I336" s="1030">
        <f t="shared" si="34"/>
        <v>0</v>
      </c>
      <c r="J336" s="1030">
        <f t="shared" si="34"/>
        <v>0</v>
      </c>
      <c r="K336" s="1030">
        <f t="shared" si="34"/>
        <v>0</v>
      </c>
      <c r="L336" s="1368">
        <v>7.4999999999999997E-3</v>
      </c>
      <c r="M336" s="1001" t="s">
        <v>1327</v>
      </c>
    </row>
    <row r="337" spans="2:14" s="1201" customFormat="1" ht="15.5" hidden="1" x14ac:dyDescent="0.35">
      <c r="B337" s="1002"/>
      <c r="C337" s="1030"/>
      <c r="D337" s="1030"/>
      <c r="E337" s="1030"/>
      <c r="F337" s="1030"/>
      <c r="G337" s="1030"/>
      <c r="H337" s="1030"/>
      <c r="I337" s="1030"/>
      <c r="J337" s="1030"/>
      <c r="K337" s="1030"/>
      <c r="L337" s="1000"/>
      <c r="M337" s="1001"/>
    </row>
    <row r="338" spans="2:14" s="1201" customFormat="1" ht="15.5" hidden="1" x14ac:dyDescent="0.35">
      <c r="B338" s="89" t="s">
        <v>1295</v>
      </c>
      <c r="C338" s="471"/>
      <c r="D338" s="1389" t="e">
        <f>SUM(D336:K336)*298*10^3</f>
        <v>#DIV/0!</v>
      </c>
      <c r="E338" s="1358"/>
      <c r="F338" s="1358"/>
      <c r="G338" s="1358"/>
      <c r="H338" s="1358"/>
      <c r="I338" s="1358"/>
      <c r="J338" s="1358"/>
      <c r="K338" s="1558"/>
      <c r="L338" s="90" t="s">
        <v>1294</v>
      </c>
      <c r="M338" s="91"/>
    </row>
    <row r="339" spans="2:14" s="1201" customFormat="1" ht="14" hidden="1" x14ac:dyDescent="0.3"/>
    <row r="340" spans="2:14" s="1201" customFormat="1" ht="30" hidden="1" x14ac:dyDescent="0.3">
      <c r="B340" s="92" t="s">
        <v>245</v>
      </c>
      <c r="C340" s="93"/>
      <c r="D340" s="94"/>
      <c r="E340" s="94"/>
      <c r="F340" s="94"/>
      <c r="G340" s="94"/>
      <c r="H340" s="94"/>
      <c r="I340" s="1033"/>
      <c r="J340" s="1033"/>
      <c r="K340" s="1033"/>
      <c r="L340" s="95" t="s">
        <v>215</v>
      </c>
      <c r="M340" s="96" t="s">
        <v>230</v>
      </c>
      <c r="N340" s="1036"/>
    </row>
    <row r="341" spans="2:14" s="1201" customFormat="1" ht="15.5" hidden="1" x14ac:dyDescent="0.35">
      <c r="B341" s="1037" t="s">
        <v>303</v>
      </c>
      <c r="C341" s="1371"/>
      <c r="D341" s="1371"/>
      <c r="E341" s="1371"/>
      <c r="F341" s="1371"/>
      <c r="G341" s="1371"/>
      <c r="H341" s="1371"/>
      <c r="I341" s="1371"/>
      <c r="J341" s="1371"/>
      <c r="K341" s="1371"/>
      <c r="L341" s="1371"/>
      <c r="M341" s="1038"/>
      <c r="N341" s="1036"/>
    </row>
    <row r="342" spans="2:14" s="1201" customFormat="1" ht="15.5" hidden="1" x14ac:dyDescent="0.35">
      <c r="B342" s="1037" t="s">
        <v>805</v>
      </c>
      <c r="C342" s="1037" t="s">
        <v>304</v>
      </c>
      <c r="D342" s="1371"/>
      <c r="E342" s="1371"/>
      <c r="F342" s="1371"/>
      <c r="G342" s="1371"/>
      <c r="H342" s="1371"/>
      <c r="I342" s="1371"/>
      <c r="J342" s="1371"/>
      <c r="K342" s="1371"/>
      <c r="L342" s="1371"/>
      <c r="M342" s="1038" t="s">
        <v>1298</v>
      </c>
      <c r="N342" s="1036"/>
    </row>
    <row r="343" spans="2:14" s="1201" customFormat="1" ht="15.5" hidden="1" x14ac:dyDescent="0.35">
      <c r="B343" s="1371"/>
      <c r="C343" s="1371" t="s">
        <v>306</v>
      </c>
      <c r="D343" s="1371"/>
      <c r="E343" s="1371"/>
      <c r="F343" s="1371"/>
      <c r="G343" s="1371"/>
      <c r="H343" s="1371"/>
      <c r="I343" s="1371"/>
      <c r="J343" s="1371"/>
      <c r="K343" s="1371"/>
      <c r="L343" s="1371" t="s">
        <v>307</v>
      </c>
      <c r="M343" s="1038"/>
      <c r="N343" s="1036"/>
    </row>
    <row r="344" spans="2:14" s="1201" customFormat="1" ht="15.5" hidden="1" x14ac:dyDescent="0.35">
      <c r="B344" s="1371"/>
      <c r="C344" s="1371" t="s">
        <v>308</v>
      </c>
      <c r="D344" s="1371"/>
      <c r="E344" s="1371"/>
      <c r="F344" s="1371"/>
      <c r="G344" s="1371"/>
      <c r="H344" s="1371"/>
      <c r="I344" s="1371"/>
      <c r="J344" s="1371"/>
      <c r="K344" s="1371"/>
      <c r="L344" s="1371"/>
      <c r="M344" s="1038" t="s">
        <v>309</v>
      </c>
      <c r="N344" s="1036"/>
    </row>
    <row r="345" spans="2:14" s="1201" customFormat="1" ht="15.5" hidden="1" x14ac:dyDescent="0.35">
      <c r="B345" s="1371"/>
      <c r="C345" s="1371"/>
      <c r="D345" s="1371"/>
      <c r="E345" s="1371"/>
      <c r="F345" s="1371"/>
      <c r="G345" s="1371"/>
      <c r="H345" s="1371"/>
      <c r="I345" s="1371"/>
      <c r="J345" s="1371"/>
      <c r="K345" s="1371"/>
      <c r="L345" s="1371"/>
      <c r="M345" s="1038"/>
      <c r="N345" s="1036"/>
    </row>
    <row r="346" spans="2:14" s="1201" customFormat="1" ht="15.5" hidden="1" x14ac:dyDescent="0.35">
      <c r="B346" s="1372" t="s">
        <v>302</v>
      </c>
      <c r="C346" s="1039"/>
      <c r="D346" s="1050">
        <f>IF($T$186="1",($C$51*G51*10^-6),(G51*10^-3))</f>
        <v>0</v>
      </c>
      <c r="E346" s="1371"/>
      <c r="F346" s="1371"/>
      <c r="G346" s="1371"/>
      <c r="H346" s="1371"/>
      <c r="I346" s="1371"/>
      <c r="J346" s="1371"/>
      <c r="K346" s="1371"/>
      <c r="L346" s="1371" t="s">
        <v>859</v>
      </c>
      <c r="M346" s="1038"/>
      <c r="N346" s="1036"/>
    </row>
    <row r="347" spans="2:14" s="1201" customFormat="1" ht="15.5" hidden="1" x14ac:dyDescent="0.35">
      <c r="B347" s="1372" t="s">
        <v>858</v>
      </c>
      <c r="C347" s="1039"/>
      <c r="D347" s="1050">
        <f>IF($U$193="1",($C$52*G52)*10^-6,(G52*10^-3))</f>
        <v>0</v>
      </c>
      <c r="E347" s="1371"/>
      <c r="F347" s="1371"/>
      <c r="G347" s="1371"/>
      <c r="H347" s="1371"/>
      <c r="I347" s="1371"/>
      <c r="J347" s="1371"/>
      <c r="K347" s="1371"/>
      <c r="L347" s="1371" t="s">
        <v>859</v>
      </c>
      <c r="M347" s="1038"/>
      <c r="N347" s="996"/>
    </row>
    <row r="348" spans="2:14" s="1201" customFormat="1" ht="15.5" hidden="1" x14ac:dyDescent="0.35">
      <c r="B348" s="1371"/>
      <c r="C348" s="1371"/>
      <c r="D348" s="1050"/>
      <c r="E348" s="1371"/>
      <c r="F348" s="1371"/>
      <c r="G348" s="1371"/>
      <c r="H348" s="1371"/>
      <c r="I348" s="1371"/>
      <c r="J348" s="1371"/>
      <c r="K348" s="1371"/>
      <c r="L348" s="1371"/>
      <c r="M348" s="1038"/>
      <c r="N348" s="996"/>
    </row>
    <row r="349" spans="2:14" s="1201" customFormat="1" ht="15.5" hidden="1" x14ac:dyDescent="0.35">
      <c r="B349" s="1037" t="s">
        <v>310</v>
      </c>
      <c r="C349" s="1037" t="s">
        <v>311</v>
      </c>
      <c r="D349" s="1371"/>
      <c r="E349" s="1371"/>
      <c r="F349" s="1371"/>
      <c r="G349" s="1371"/>
      <c r="H349" s="1371"/>
      <c r="I349" s="1371"/>
      <c r="J349" s="1371"/>
      <c r="K349" s="1371"/>
      <c r="L349" s="1371" t="s">
        <v>860</v>
      </c>
      <c r="M349" s="1038" t="s">
        <v>1297</v>
      </c>
      <c r="N349" s="996"/>
    </row>
    <row r="350" spans="2:14" s="1201" customFormat="1" ht="15.5" hidden="1" x14ac:dyDescent="0.35">
      <c r="B350" s="1371"/>
      <c r="C350" s="1371" t="s">
        <v>314</v>
      </c>
      <c r="D350" s="1371"/>
      <c r="E350" s="1371"/>
      <c r="F350" s="1371"/>
      <c r="G350" s="1371"/>
      <c r="H350" s="1371"/>
      <c r="I350" s="1371"/>
      <c r="J350" s="1371"/>
      <c r="K350" s="1371"/>
      <c r="L350" s="1371" t="s">
        <v>315</v>
      </c>
      <c r="M350" s="1038" t="s">
        <v>1296</v>
      </c>
      <c r="N350" s="996"/>
    </row>
    <row r="351" spans="2:14" s="1201" customFormat="1" ht="15.5" hidden="1" x14ac:dyDescent="0.35">
      <c r="B351" s="1371"/>
      <c r="C351" s="1371"/>
      <c r="D351" s="1371"/>
      <c r="E351" s="1371"/>
      <c r="F351" s="1371"/>
      <c r="G351" s="1371"/>
      <c r="H351" s="1371"/>
      <c r="I351" s="1371"/>
      <c r="J351" s="1371"/>
      <c r="K351" s="1371"/>
      <c r="L351" s="1371"/>
      <c r="M351" s="1038"/>
      <c r="N351" s="996"/>
    </row>
    <row r="352" spans="2:14" s="1201" customFormat="1" ht="15.5" hidden="1" x14ac:dyDescent="0.35">
      <c r="B352" s="1129" t="s">
        <v>317</v>
      </c>
      <c r="C352" s="1130" t="s">
        <v>318</v>
      </c>
      <c r="D352" s="1371"/>
      <c r="E352" s="1041" t="s">
        <v>302</v>
      </c>
      <c r="F352" s="1371"/>
      <c r="G352" s="1050">
        <f>D346*$C$353*44/28</f>
        <v>0</v>
      </c>
      <c r="H352" s="1131"/>
      <c r="I352" s="1131"/>
      <c r="J352" s="1131"/>
      <c r="K352" s="1131"/>
      <c r="L352" s="1371" t="s">
        <v>860</v>
      </c>
      <c r="M352" s="1038"/>
      <c r="N352" s="996"/>
    </row>
    <row r="353" spans="2:21" s="1201" customFormat="1" ht="15.5" hidden="1" x14ac:dyDescent="0.35">
      <c r="B353" s="1132" t="s">
        <v>319</v>
      </c>
      <c r="C353" s="913">
        <v>4.0000000000000001E-3</v>
      </c>
      <c r="D353" s="1371"/>
      <c r="E353" s="1041" t="s">
        <v>301</v>
      </c>
      <c r="F353" s="1371"/>
      <c r="G353" s="1050">
        <f>D347*$C$354*44/28</f>
        <v>0</v>
      </c>
      <c r="H353" s="1131"/>
      <c r="I353" s="1131"/>
      <c r="J353" s="1131"/>
      <c r="K353" s="1131"/>
      <c r="L353" s="1371" t="s">
        <v>860</v>
      </c>
      <c r="M353" s="1038"/>
      <c r="N353" s="996"/>
    </row>
    <row r="354" spans="2:21" s="1201" customFormat="1" ht="15.5" hidden="1" x14ac:dyDescent="0.35">
      <c r="B354" s="1132" t="s">
        <v>320</v>
      </c>
      <c r="C354" s="913">
        <v>8.5000000000000006E-3</v>
      </c>
      <c r="D354" s="1371"/>
      <c r="E354" s="1372"/>
      <c r="F354" s="1371"/>
      <c r="G354" s="1040"/>
      <c r="H354" s="1131"/>
      <c r="I354" s="1131"/>
      <c r="J354" s="1131"/>
      <c r="K354" s="1131"/>
      <c r="L354" s="1371"/>
      <c r="M354" s="1038"/>
      <c r="N354" s="996"/>
    </row>
    <row r="355" spans="2:21" s="1201" customFormat="1" ht="15.5" hidden="1" x14ac:dyDescent="0.35">
      <c r="B355" s="1134" t="s">
        <v>321</v>
      </c>
      <c r="C355" s="913">
        <v>2E-3</v>
      </c>
      <c r="D355" s="1371"/>
      <c r="E355" s="1372"/>
      <c r="F355" s="1371"/>
      <c r="G355" s="1040"/>
      <c r="H355" s="1131"/>
      <c r="I355" s="1131"/>
      <c r="J355" s="1131"/>
      <c r="K355" s="1131"/>
      <c r="L355" s="1371"/>
      <c r="M355" s="1038"/>
      <c r="N355" s="996"/>
    </row>
    <row r="356" spans="2:21" s="1201" customFormat="1" ht="15.5" hidden="1" x14ac:dyDescent="0.35">
      <c r="B356" s="1134" t="s">
        <v>322</v>
      </c>
      <c r="C356" s="913">
        <v>2E-3</v>
      </c>
      <c r="D356" s="1371"/>
      <c r="E356" s="1371"/>
      <c r="F356" s="1371"/>
      <c r="G356" s="1040"/>
      <c r="H356" s="1131"/>
      <c r="I356" s="1131"/>
      <c r="J356" s="1131"/>
      <c r="K356" s="1131"/>
      <c r="L356" s="1371"/>
      <c r="M356" s="1038"/>
      <c r="N356" s="996"/>
    </row>
    <row r="357" spans="2:21" s="1201" customFormat="1" ht="15.5" hidden="1" x14ac:dyDescent="0.35">
      <c r="B357" s="1132" t="s">
        <v>323</v>
      </c>
      <c r="C357" s="913">
        <v>1.9900000000000001E-2</v>
      </c>
      <c r="D357" s="1371"/>
      <c r="E357" s="1371"/>
      <c r="F357" s="1371"/>
      <c r="G357" s="1040"/>
      <c r="H357" s="1371"/>
      <c r="I357" s="1371"/>
      <c r="J357" s="1371"/>
      <c r="K357" s="1371"/>
      <c r="L357" s="1371"/>
      <c r="M357" s="1038"/>
      <c r="N357" s="996"/>
    </row>
    <row r="358" spans="2:21" s="1201" customFormat="1" ht="15.5" hidden="1" x14ac:dyDescent="0.35">
      <c r="B358" s="1132" t="s">
        <v>324</v>
      </c>
      <c r="C358" s="913">
        <v>5.4999999999999997E-3</v>
      </c>
      <c r="D358" s="1371"/>
      <c r="E358" s="1041"/>
      <c r="F358" s="1371"/>
      <c r="G358" s="1373"/>
      <c r="H358" s="1136"/>
      <c r="I358" s="1136"/>
      <c r="J358" s="1136"/>
      <c r="K358" s="1136"/>
      <c r="L358" s="1371"/>
      <c r="M358" s="1038"/>
      <c r="N358" s="996"/>
    </row>
    <row r="359" spans="2:21" s="1201" customFormat="1" ht="15.5" hidden="1" x14ac:dyDescent="0.35">
      <c r="B359" s="352" t="s">
        <v>325</v>
      </c>
      <c r="C359" s="353">
        <v>8.5000000000000006E-3</v>
      </c>
      <c r="D359" s="1371"/>
      <c r="E359" s="1372"/>
      <c r="F359" s="1371"/>
      <c r="G359" s="1373"/>
      <c r="H359" s="1136"/>
      <c r="I359" s="1136"/>
      <c r="J359" s="1136"/>
      <c r="K359" s="1136"/>
      <c r="L359" s="1371"/>
      <c r="M359" s="1038"/>
      <c r="N359" s="996"/>
    </row>
    <row r="360" spans="2:21" s="1201" customFormat="1" ht="15.5" hidden="1" x14ac:dyDescent="0.35">
      <c r="B360" s="1371"/>
      <c r="C360" s="1371"/>
      <c r="D360" s="1371"/>
      <c r="E360" s="1372"/>
      <c r="F360" s="1371"/>
      <c r="G360" s="1373"/>
      <c r="H360" s="1136"/>
      <c r="I360" s="1136"/>
      <c r="J360" s="1136"/>
      <c r="K360" s="1136"/>
      <c r="L360" s="1371"/>
      <c r="M360" s="1038"/>
      <c r="N360" s="996"/>
    </row>
    <row r="361" spans="2:21" s="1201" customFormat="1" ht="15.5" hidden="1" x14ac:dyDescent="0.35">
      <c r="B361" s="1371"/>
      <c r="C361" s="1371"/>
      <c r="D361" s="1371"/>
      <c r="E361" s="1372"/>
      <c r="F361" s="1371"/>
      <c r="G361" s="1373"/>
      <c r="H361" s="1136"/>
      <c r="I361" s="1136"/>
      <c r="J361" s="1136"/>
      <c r="K361" s="1136"/>
      <c r="L361" s="1371"/>
      <c r="M361" s="1038"/>
      <c r="N361" s="996"/>
    </row>
    <row r="362" spans="2:21" s="1201" customFormat="1" ht="15.5" hidden="1" x14ac:dyDescent="0.35">
      <c r="B362" s="1371"/>
      <c r="C362" s="1371"/>
      <c r="D362" s="1371"/>
      <c r="E362" s="1371"/>
      <c r="F362" s="1371"/>
      <c r="G362" s="1040"/>
      <c r="H362" s="1139"/>
      <c r="I362" s="1139"/>
      <c r="J362" s="1139"/>
      <c r="K362" s="1139"/>
      <c r="L362" s="1371"/>
      <c r="M362" s="1038"/>
      <c r="N362" s="996"/>
    </row>
    <row r="363" spans="2:21" s="1201" customFormat="1" ht="15.5" hidden="1" x14ac:dyDescent="0.35">
      <c r="B363" s="1371"/>
      <c r="C363" s="1371"/>
      <c r="D363" s="1371"/>
      <c r="E363" s="1371"/>
      <c r="F363" s="1371"/>
      <c r="G363" s="1371"/>
      <c r="H363" s="1371"/>
      <c r="I363" s="1371"/>
      <c r="J363" s="1371"/>
      <c r="K363" s="1371"/>
      <c r="L363" s="1371"/>
      <c r="M363" s="1038"/>
      <c r="N363" s="996"/>
    </row>
    <row r="364" spans="2:21" s="1201" customFormat="1" ht="15.5" hidden="1" x14ac:dyDescent="0.35">
      <c r="B364" s="1037" t="s">
        <v>326</v>
      </c>
      <c r="C364" s="1054">
        <f>SUM(G352:G353)</f>
        <v>0</v>
      </c>
      <c r="D364" s="1371"/>
      <c r="E364" s="1371"/>
      <c r="F364" s="1371"/>
      <c r="G364" s="1371"/>
      <c r="H364" s="1371"/>
      <c r="I364" s="1371"/>
      <c r="J364" s="1371"/>
      <c r="K364" s="1371"/>
      <c r="L364" s="1371" t="s">
        <v>299</v>
      </c>
      <c r="M364" s="1038"/>
      <c r="N364" s="996"/>
    </row>
    <row r="365" spans="2:21" s="1201" customFormat="1" ht="15.5" hidden="1" x14ac:dyDescent="0.35">
      <c r="B365" s="1037" t="s">
        <v>326</v>
      </c>
      <c r="C365" s="1085">
        <f>C364*298</f>
        <v>0</v>
      </c>
      <c r="D365" s="1371"/>
      <c r="E365" s="1371"/>
      <c r="F365" s="1371"/>
      <c r="G365" s="1371"/>
      <c r="H365" s="1371"/>
      <c r="I365" s="1371"/>
      <c r="J365" s="1371"/>
      <c r="K365" s="1371"/>
      <c r="L365" s="1371" t="s">
        <v>265</v>
      </c>
      <c r="M365" s="1038"/>
      <c r="N365" s="996"/>
    </row>
    <row r="366" spans="2:21" s="1201" customFormat="1" ht="15.5" hidden="1" x14ac:dyDescent="0.35">
      <c r="B366" s="1037" t="s">
        <v>326</v>
      </c>
      <c r="C366" s="1042">
        <f>C365*10^3</f>
        <v>0</v>
      </c>
      <c r="D366" s="1371"/>
      <c r="E366" s="1372"/>
      <c r="F366" s="1372"/>
      <c r="G366" s="1372"/>
      <c r="H366" s="1372"/>
      <c r="I366" s="1372"/>
      <c r="J366" s="1372"/>
      <c r="K366" s="1372"/>
      <c r="L366" s="1371" t="s">
        <v>266</v>
      </c>
      <c r="M366" s="1038"/>
      <c r="N366" s="996"/>
    </row>
    <row r="367" spans="2:21" s="1201" customFormat="1" ht="15.5" hidden="1" x14ac:dyDescent="0.35">
      <c r="B367" s="1371"/>
      <c r="C367" s="1371"/>
      <c r="D367" s="1371"/>
      <c r="E367" s="1372"/>
      <c r="F367" s="1372"/>
      <c r="G367" s="1372"/>
      <c r="H367" s="1372"/>
      <c r="I367" s="1372"/>
      <c r="J367" s="1372"/>
      <c r="K367" s="1372"/>
      <c r="L367" s="1372"/>
      <c r="M367" s="1038"/>
      <c r="N367" s="996"/>
      <c r="T367" s="996"/>
      <c r="U367" s="996"/>
    </row>
    <row r="368" spans="2:21" s="1201" customFormat="1" ht="15.5" hidden="1" x14ac:dyDescent="0.35">
      <c r="B368" s="1037" t="s">
        <v>327</v>
      </c>
      <c r="C368" s="1371"/>
      <c r="D368" s="1371"/>
      <c r="E368" s="1372"/>
      <c r="F368" s="1372"/>
      <c r="G368" s="1043"/>
      <c r="H368" s="1043"/>
      <c r="I368" s="1043"/>
      <c r="J368" s="1043"/>
      <c r="K368" s="1043"/>
      <c r="L368" s="1372"/>
      <c r="M368" s="1038"/>
      <c r="N368" s="996"/>
      <c r="T368" s="996"/>
      <c r="U368" s="996"/>
    </row>
    <row r="369" spans="2:21" s="1201" customFormat="1" ht="18" hidden="1" x14ac:dyDescent="0.45">
      <c r="B369" s="1037" t="s">
        <v>328</v>
      </c>
      <c r="C369" s="1037" t="s">
        <v>1303</v>
      </c>
      <c r="D369" s="1371"/>
      <c r="E369" s="1372"/>
      <c r="F369" s="1372"/>
      <c r="G369" s="1372"/>
      <c r="H369" s="1372"/>
      <c r="I369" s="1372"/>
      <c r="J369" s="1372"/>
      <c r="K369" s="1372"/>
      <c r="L369" s="1372"/>
      <c r="M369" s="1038" t="s">
        <v>1302</v>
      </c>
      <c r="N369" s="996"/>
      <c r="T369" s="996"/>
      <c r="U369" s="996"/>
    </row>
    <row r="370" spans="2:21" s="1201" customFormat="1" ht="15.5" hidden="1" x14ac:dyDescent="0.35">
      <c r="B370" s="1372"/>
      <c r="C370" s="1372" t="s">
        <v>330</v>
      </c>
      <c r="D370" s="1372"/>
      <c r="E370" s="1372"/>
      <c r="F370" s="1372"/>
      <c r="G370" s="1372"/>
      <c r="H370" s="1372"/>
      <c r="I370" s="1372"/>
      <c r="J370" s="1372"/>
      <c r="K370" s="1372"/>
      <c r="L370" s="1372"/>
      <c r="M370" s="1038"/>
      <c r="N370" s="996"/>
      <c r="O370" s="996"/>
      <c r="P370" s="996"/>
      <c r="Q370" s="996"/>
      <c r="R370" s="996"/>
      <c r="S370" s="996"/>
      <c r="T370" s="996"/>
      <c r="U370" s="996"/>
    </row>
    <row r="371" spans="2:21" s="1201" customFormat="1" ht="15.5" hidden="1" x14ac:dyDescent="0.35">
      <c r="B371" s="1372"/>
      <c r="C371" s="1371" t="s">
        <v>1329</v>
      </c>
      <c r="D371" s="1372"/>
      <c r="E371" s="1372"/>
      <c r="F371" s="1372"/>
      <c r="G371" s="1372"/>
      <c r="H371" s="1372"/>
      <c r="I371" s="1372"/>
      <c r="J371" s="1372"/>
      <c r="K371" s="1372"/>
      <c r="L371" s="1372"/>
      <c r="M371" s="1038"/>
      <c r="N371" s="996"/>
      <c r="O371" s="996"/>
      <c r="P371" s="996"/>
      <c r="Q371" s="996"/>
      <c r="R371" s="996"/>
      <c r="S371" s="996"/>
      <c r="T371" s="996"/>
      <c r="U371" s="996"/>
    </row>
    <row r="372" spans="2:21" s="1201" customFormat="1" ht="15.5" hidden="1" x14ac:dyDescent="0.35">
      <c r="B372" s="1371"/>
      <c r="C372" s="1371" t="s">
        <v>1304</v>
      </c>
      <c r="D372" s="1372"/>
      <c r="E372" s="1044"/>
      <c r="F372" s="1371"/>
      <c r="G372" s="1371"/>
      <c r="H372" s="1371"/>
      <c r="I372" s="1371"/>
      <c r="J372" s="1371"/>
      <c r="K372" s="1371"/>
      <c r="L372" s="1371"/>
      <c r="M372" s="1038"/>
      <c r="N372" s="996"/>
      <c r="O372" s="996"/>
      <c r="P372" s="996"/>
      <c r="Q372" s="996"/>
      <c r="R372" s="996"/>
      <c r="S372" s="996"/>
      <c r="T372" s="996"/>
      <c r="U372" s="996"/>
    </row>
    <row r="373" spans="2:21" s="1201" customFormat="1" ht="15.5" hidden="1" x14ac:dyDescent="0.35">
      <c r="B373" s="1371"/>
      <c r="C373" s="1371" t="s">
        <v>1305</v>
      </c>
      <c r="D373" s="1372"/>
      <c r="E373" s="1044"/>
      <c r="F373" s="1371"/>
      <c r="G373" s="1371"/>
      <c r="H373" s="1371"/>
      <c r="I373" s="1371"/>
      <c r="J373" s="1371"/>
      <c r="K373" s="1371"/>
      <c r="L373" s="1371"/>
      <c r="M373" s="1038"/>
      <c r="N373" s="996"/>
      <c r="O373" s="996"/>
      <c r="P373" s="996"/>
      <c r="Q373" s="996"/>
      <c r="R373" s="996"/>
      <c r="S373" s="996"/>
      <c r="T373" s="996"/>
      <c r="U373" s="996"/>
    </row>
    <row r="374" spans="2:21" s="1201" customFormat="1" ht="15.5" hidden="1" x14ac:dyDescent="0.35">
      <c r="B374" s="1371"/>
      <c r="C374" s="1372"/>
      <c r="D374" s="1372"/>
      <c r="E374" s="1044"/>
      <c r="F374" s="1371"/>
      <c r="G374" s="1371"/>
      <c r="H374" s="1371"/>
      <c r="I374" s="1371"/>
      <c r="J374" s="1371"/>
      <c r="K374" s="1371"/>
      <c r="L374" s="1371"/>
      <c r="M374" s="1038"/>
      <c r="N374" s="996"/>
      <c r="O374" s="996"/>
      <c r="P374" s="996"/>
      <c r="Q374" s="996"/>
      <c r="R374" s="996"/>
      <c r="S374" s="996"/>
      <c r="T374" s="996"/>
      <c r="U374" s="996"/>
    </row>
    <row r="375" spans="2:21" s="1201" customFormat="1" ht="15.5" hidden="1" x14ac:dyDescent="0.35">
      <c r="B375" s="1037"/>
      <c r="C375" s="1371"/>
      <c r="D375" s="98" t="s">
        <v>1961</v>
      </c>
      <c r="E375" s="98" t="s">
        <v>1962</v>
      </c>
      <c r="F375" s="98" t="s">
        <v>1963</v>
      </c>
      <c r="G375" s="98" t="s">
        <v>1007</v>
      </c>
      <c r="H375" s="98" t="s">
        <v>1964</v>
      </c>
      <c r="I375" s="1045" t="s">
        <v>1228</v>
      </c>
      <c r="J375" s="1045" t="s">
        <v>1229</v>
      </c>
      <c r="K375" s="1045" t="s">
        <v>1965</v>
      </c>
      <c r="L375" s="1371"/>
      <c r="M375" s="1038"/>
      <c r="N375" s="996"/>
      <c r="O375" s="996"/>
      <c r="P375" s="996"/>
      <c r="Q375" s="996"/>
      <c r="R375" s="996"/>
      <c r="S375" s="996"/>
      <c r="T375" s="996"/>
      <c r="U375" s="996"/>
    </row>
    <row r="376" spans="2:21" s="1201" customFormat="1" ht="15.5" hidden="1" x14ac:dyDescent="0.35">
      <c r="B376" s="1037" t="s">
        <v>1344</v>
      </c>
      <c r="C376" s="1039" t="s">
        <v>440</v>
      </c>
      <c r="D376" s="1050" t="e">
        <f>((D297*C83%)*(1-$L$300-$L$316))-0</f>
        <v>#DIV/0!</v>
      </c>
      <c r="E376" s="1050">
        <f t="shared" ref="E376:K376" si="35">((E297*$C$84%)*(1-$L$300-$L$316))-0</f>
        <v>0</v>
      </c>
      <c r="F376" s="1050">
        <f t="shared" si="35"/>
        <v>0</v>
      </c>
      <c r="G376" s="1050">
        <f t="shared" si="35"/>
        <v>0</v>
      </c>
      <c r="H376" s="1050">
        <f t="shared" si="35"/>
        <v>0</v>
      </c>
      <c r="I376" s="1050">
        <f t="shared" si="35"/>
        <v>0</v>
      </c>
      <c r="J376" s="1050">
        <f t="shared" si="35"/>
        <v>0</v>
      </c>
      <c r="K376" s="1050">
        <f t="shared" si="35"/>
        <v>0</v>
      </c>
      <c r="L376" s="1371"/>
      <c r="M376" s="1419"/>
      <c r="N376" s="995"/>
      <c r="O376" s="996"/>
      <c r="P376" s="996"/>
      <c r="Q376" s="996"/>
      <c r="R376" s="996"/>
      <c r="S376" s="996"/>
      <c r="T376" s="996"/>
      <c r="U376" s="996"/>
    </row>
    <row r="377" spans="2:21" s="1201" customFormat="1" ht="15.5" hidden="1" x14ac:dyDescent="0.35">
      <c r="B377" s="1371"/>
      <c r="C377" s="1371"/>
      <c r="D377" s="1050"/>
      <c r="E377" s="1050"/>
      <c r="F377" s="1050"/>
      <c r="G377" s="1050"/>
      <c r="H377" s="1050"/>
      <c r="I377" s="1050"/>
      <c r="J377" s="1050"/>
      <c r="K377" s="1050"/>
      <c r="L377" s="1046"/>
      <c r="M377" s="1421"/>
      <c r="N377" s="995"/>
      <c r="O377" s="996"/>
      <c r="P377" s="996"/>
      <c r="Q377" s="996"/>
      <c r="R377" s="996"/>
      <c r="S377" s="996"/>
      <c r="T377" s="996"/>
      <c r="U377" s="996"/>
    </row>
    <row r="378" spans="2:21" s="1201" customFormat="1" ht="15.5" hidden="1" x14ac:dyDescent="0.35">
      <c r="B378" s="1037" t="s">
        <v>1345</v>
      </c>
      <c r="C378" s="1039" t="s">
        <v>440</v>
      </c>
      <c r="D378" s="1050" t="e">
        <f>((D297*D83%)*(1-$L$302-$L$318))-0</f>
        <v>#DIV/0!</v>
      </c>
      <c r="E378" s="1050">
        <f t="shared" ref="E378:K378" si="36">((E297*$D$84%)*(1-$L$302-$L$318))-0</f>
        <v>0</v>
      </c>
      <c r="F378" s="1050">
        <f t="shared" si="36"/>
        <v>0</v>
      </c>
      <c r="G378" s="1050">
        <f t="shared" si="36"/>
        <v>0</v>
      </c>
      <c r="H378" s="1050">
        <f t="shared" si="36"/>
        <v>0</v>
      </c>
      <c r="I378" s="1050">
        <f t="shared" si="36"/>
        <v>0</v>
      </c>
      <c r="J378" s="1050">
        <f t="shared" si="36"/>
        <v>0</v>
      </c>
      <c r="K378" s="1050">
        <f t="shared" si="36"/>
        <v>0</v>
      </c>
      <c r="L378" s="1371"/>
      <c r="M378" s="1419"/>
      <c r="N378" s="996"/>
      <c r="O378" s="996"/>
      <c r="P378" s="996"/>
      <c r="Q378" s="996"/>
      <c r="R378" s="996"/>
      <c r="S378" s="996"/>
      <c r="T378" s="996"/>
      <c r="U378" s="996"/>
    </row>
    <row r="379" spans="2:21" s="1201" customFormat="1" ht="15.5" hidden="1" x14ac:dyDescent="0.35">
      <c r="B379" s="1371"/>
      <c r="C379" s="1371"/>
      <c r="D379" s="1050"/>
      <c r="E379" s="1050"/>
      <c r="F379" s="1050"/>
      <c r="G379" s="1050"/>
      <c r="H379" s="1050"/>
      <c r="I379" s="1050"/>
      <c r="J379" s="1050"/>
      <c r="K379" s="1050"/>
      <c r="L379" s="1371"/>
      <c r="M379" s="1422"/>
      <c r="N379" s="996"/>
      <c r="O379" s="996"/>
      <c r="P379" s="996"/>
      <c r="Q379" s="996"/>
      <c r="R379" s="996"/>
      <c r="S379" s="996"/>
      <c r="T379" s="996"/>
      <c r="U379" s="996"/>
    </row>
    <row r="380" spans="2:21" s="1201" customFormat="1" ht="15.5" hidden="1" x14ac:dyDescent="0.35">
      <c r="B380" s="1037" t="s">
        <v>1346</v>
      </c>
      <c r="C380" s="1039" t="s">
        <v>440</v>
      </c>
      <c r="D380" s="1203" t="e">
        <f>((D297*E83%)*(1-$L$304-$L$320)-0)</f>
        <v>#DIV/0!</v>
      </c>
      <c r="E380" s="1203">
        <f t="shared" ref="E380:K380" si="37">((E297*$E$84%)*(1-$L$304-$L$320)-0)</f>
        <v>0</v>
      </c>
      <c r="F380" s="1203">
        <f t="shared" si="37"/>
        <v>0</v>
      </c>
      <c r="G380" s="1203">
        <f t="shared" si="37"/>
        <v>0</v>
      </c>
      <c r="H380" s="1203">
        <f t="shared" si="37"/>
        <v>0</v>
      </c>
      <c r="I380" s="1203">
        <f t="shared" si="37"/>
        <v>0</v>
      </c>
      <c r="J380" s="1203">
        <f t="shared" si="37"/>
        <v>0</v>
      </c>
      <c r="K380" s="1203">
        <f t="shared" si="37"/>
        <v>0</v>
      </c>
      <c r="L380" s="1371"/>
      <c r="M380" s="1419"/>
      <c r="N380" s="996"/>
      <c r="O380" s="996"/>
      <c r="P380" s="996"/>
      <c r="Q380" s="996"/>
      <c r="R380" s="996"/>
      <c r="S380" s="996"/>
      <c r="T380" s="996"/>
      <c r="U380" s="996"/>
    </row>
    <row r="381" spans="2:21" s="1201" customFormat="1" ht="15.5" hidden="1" x14ac:dyDescent="0.35">
      <c r="B381" s="1371"/>
      <c r="C381" s="1039"/>
      <c r="D381" s="1050"/>
      <c r="E381" s="1211"/>
      <c r="F381" s="1211"/>
      <c r="G381" s="1211"/>
      <c r="H381" s="1211"/>
      <c r="I381" s="1211"/>
      <c r="J381" s="1211"/>
      <c r="K381" s="1211"/>
      <c r="L381" s="1371"/>
      <c r="M381" s="1422"/>
      <c r="N381" s="996"/>
      <c r="O381" s="996"/>
      <c r="P381" s="996"/>
      <c r="Q381" s="996"/>
      <c r="R381" s="996"/>
      <c r="S381" s="996"/>
      <c r="T381" s="996"/>
      <c r="U381" s="996"/>
    </row>
    <row r="382" spans="2:21" s="1201" customFormat="1" ht="15.5" hidden="1" x14ac:dyDescent="0.35">
      <c r="B382" s="1037" t="s">
        <v>1347</v>
      </c>
      <c r="C382" s="1039" t="s">
        <v>440</v>
      </c>
      <c r="D382" s="1050" t="e">
        <f>((D297*F83%)*(1-$L$306-$L$322))-D333</f>
        <v>#DIV/0!</v>
      </c>
      <c r="E382" s="1050">
        <f t="shared" ref="E382:K382" si="38">((E297*$F$84%)*(1-$L$306-$L$322))-E333</f>
        <v>0</v>
      </c>
      <c r="F382" s="1050">
        <f t="shared" si="38"/>
        <v>0</v>
      </c>
      <c r="G382" s="1050">
        <f t="shared" si="38"/>
        <v>0</v>
      </c>
      <c r="H382" s="1050">
        <f t="shared" si="38"/>
        <v>0</v>
      </c>
      <c r="I382" s="1050">
        <f t="shared" si="38"/>
        <v>0</v>
      </c>
      <c r="J382" s="1050">
        <f t="shared" si="38"/>
        <v>0</v>
      </c>
      <c r="K382" s="1050">
        <f t="shared" si="38"/>
        <v>0</v>
      </c>
      <c r="L382" s="1371"/>
      <c r="M382" s="1419"/>
      <c r="N382" s="996"/>
      <c r="O382" s="996"/>
      <c r="P382" s="996"/>
      <c r="Q382" s="996"/>
      <c r="R382" s="996"/>
      <c r="S382" s="996"/>
      <c r="T382" s="996"/>
      <c r="U382" s="996"/>
    </row>
    <row r="383" spans="2:21" s="1201" customFormat="1" ht="15.5" hidden="1" x14ac:dyDescent="0.35">
      <c r="B383" s="1371"/>
      <c r="C383" s="1039"/>
      <c r="D383" s="1050"/>
      <c r="E383" s="1211"/>
      <c r="F383" s="1211"/>
      <c r="G383" s="1211"/>
      <c r="H383" s="1211"/>
      <c r="I383" s="1211"/>
      <c r="J383" s="1211"/>
      <c r="K383" s="1211"/>
      <c r="L383" s="1371"/>
      <c r="M383" s="1422"/>
      <c r="N383" s="996"/>
      <c r="O383" s="996"/>
      <c r="P383" s="996"/>
      <c r="Q383" s="996"/>
      <c r="R383" s="996"/>
      <c r="S383" s="996"/>
      <c r="T383" s="996"/>
      <c r="U383" s="996"/>
    </row>
    <row r="384" spans="2:21" s="1201" customFormat="1" ht="15.5" hidden="1" x14ac:dyDescent="0.35">
      <c r="B384" s="1037" t="s">
        <v>1348</v>
      </c>
      <c r="C384" s="1039" t="s">
        <v>440</v>
      </c>
      <c r="D384" s="1050" t="e">
        <f>SUM(D376:D382)</f>
        <v>#DIV/0!</v>
      </c>
      <c r="E384" s="1050">
        <f>SUM(E376:E382)</f>
        <v>0</v>
      </c>
      <c r="F384" s="1050">
        <f t="shared" ref="F384:J384" si="39">SUM(F376:F382)</f>
        <v>0</v>
      </c>
      <c r="G384" s="1050">
        <f t="shared" si="39"/>
        <v>0</v>
      </c>
      <c r="H384" s="1050">
        <f t="shared" si="39"/>
        <v>0</v>
      </c>
      <c r="I384" s="1050">
        <f t="shared" si="39"/>
        <v>0</v>
      </c>
      <c r="J384" s="1050">
        <f t="shared" si="39"/>
        <v>0</v>
      </c>
      <c r="K384" s="1050">
        <f>SUM(K376:K382)</f>
        <v>0</v>
      </c>
      <c r="L384" s="1050"/>
      <c r="M384" s="1419"/>
      <c r="N384" s="996"/>
      <c r="O384" s="996"/>
      <c r="P384" s="996"/>
      <c r="Q384" s="996"/>
      <c r="R384" s="996"/>
      <c r="S384" s="996"/>
      <c r="T384" s="996"/>
      <c r="U384" s="996"/>
    </row>
    <row r="385" spans="2:21" s="1201" customFormat="1" ht="15.5" hidden="1" x14ac:dyDescent="0.35">
      <c r="B385" s="1371"/>
      <c r="C385" s="1371"/>
      <c r="D385" s="1371"/>
      <c r="E385" s="1371"/>
      <c r="F385" s="1371"/>
      <c r="G385" s="1371"/>
      <c r="H385" s="1371"/>
      <c r="I385" s="1371"/>
      <c r="J385" s="1371"/>
      <c r="K385" s="1371"/>
      <c r="L385" s="1371"/>
      <c r="M385" s="1051"/>
      <c r="N385" s="995"/>
      <c r="O385" s="996"/>
      <c r="P385" s="996"/>
      <c r="Q385" s="996"/>
      <c r="R385" s="996"/>
      <c r="S385" s="996"/>
      <c r="T385" s="996"/>
      <c r="U385" s="996"/>
    </row>
    <row r="386" spans="2:21" s="1201" customFormat="1" ht="15.5" hidden="1" x14ac:dyDescent="0.35">
      <c r="B386" s="1037" t="s">
        <v>331</v>
      </c>
      <c r="C386" s="1037" t="s">
        <v>332</v>
      </c>
      <c r="D386" s="1369"/>
      <c r="E386" s="1371"/>
      <c r="F386" s="1371"/>
      <c r="G386" s="1371"/>
      <c r="H386" s="1371"/>
      <c r="I386" s="1371"/>
      <c r="J386" s="1371"/>
      <c r="K386" s="1371"/>
      <c r="L386" s="1039"/>
      <c r="M386" s="1038" t="s">
        <v>1307</v>
      </c>
      <c r="N386" s="995"/>
      <c r="O386" s="996"/>
      <c r="P386" s="996"/>
      <c r="Q386" s="996"/>
      <c r="R386" s="996"/>
      <c r="S386" s="996"/>
      <c r="T386" s="996"/>
      <c r="U386" s="996"/>
    </row>
    <row r="387" spans="2:21" s="1201" customFormat="1" ht="15.5" hidden="1" x14ac:dyDescent="0.35">
      <c r="B387" s="1371"/>
      <c r="C387" s="1371" t="s">
        <v>334</v>
      </c>
      <c r="D387" s="1054">
        <v>0.01</v>
      </c>
      <c r="E387" s="1371"/>
      <c r="F387" s="1371"/>
      <c r="G387" s="1371"/>
      <c r="H387" s="1371"/>
      <c r="I387" s="1371"/>
      <c r="J387" s="1371"/>
      <c r="K387" s="1371"/>
      <c r="L387" s="1371"/>
      <c r="M387" s="1051"/>
      <c r="N387" s="995"/>
      <c r="O387" s="996"/>
      <c r="P387" s="996"/>
      <c r="Q387" s="996"/>
      <c r="R387" s="996"/>
      <c r="S387" s="996"/>
      <c r="T387" s="996"/>
      <c r="U387" s="996"/>
    </row>
    <row r="388" spans="2:21" s="1201" customFormat="1" ht="15.5" hidden="1" x14ac:dyDescent="0.35">
      <c r="B388" s="1371"/>
      <c r="C388" s="1039" t="s">
        <v>440</v>
      </c>
      <c r="D388" s="1373" t="e">
        <f t="shared" ref="D388:J388" si="40">$D$387*D384*44/28</f>
        <v>#DIV/0!</v>
      </c>
      <c r="E388" s="1373">
        <f t="shared" si="40"/>
        <v>0</v>
      </c>
      <c r="F388" s="1373">
        <f t="shared" si="40"/>
        <v>0</v>
      </c>
      <c r="G388" s="1373">
        <f t="shared" si="40"/>
        <v>0</v>
      </c>
      <c r="H388" s="1373">
        <f t="shared" si="40"/>
        <v>0</v>
      </c>
      <c r="I388" s="1373">
        <f t="shared" si="40"/>
        <v>0</v>
      </c>
      <c r="J388" s="1373">
        <f t="shared" si="40"/>
        <v>0</v>
      </c>
      <c r="K388" s="1373">
        <f>$D$387*K384*44/28</f>
        <v>0</v>
      </c>
      <c r="L388" s="1039" t="s">
        <v>298</v>
      </c>
      <c r="M388" s="1418"/>
      <c r="N388" s="995"/>
      <c r="O388" s="996"/>
      <c r="P388" s="996"/>
      <c r="Q388" s="996"/>
      <c r="R388" s="996"/>
      <c r="S388" s="996"/>
      <c r="T388" s="996"/>
      <c r="U388" s="996"/>
    </row>
    <row r="389" spans="2:21" s="1201" customFormat="1" ht="15.5" hidden="1" x14ac:dyDescent="0.35">
      <c r="B389" s="1371"/>
      <c r="C389" s="1371"/>
      <c r="D389" s="1371"/>
      <c r="E389" s="1371"/>
      <c r="F389" s="1371"/>
      <c r="G389" s="1371"/>
      <c r="H389" s="1371"/>
      <c r="I389" s="1371"/>
      <c r="J389" s="1371"/>
      <c r="K389" s="1371"/>
      <c r="L389" s="1371"/>
      <c r="M389" s="1051"/>
      <c r="N389" s="1056"/>
      <c r="O389" s="996"/>
      <c r="P389" s="996"/>
      <c r="Q389" s="996"/>
      <c r="R389" s="996"/>
      <c r="S389" s="996"/>
      <c r="T389" s="996"/>
      <c r="U389" s="996"/>
    </row>
    <row r="390" spans="2:21" s="1201" customFormat="1" ht="15.5" hidden="1" x14ac:dyDescent="0.35">
      <c r="B390" s="1037" t="s">
        <v>335</v>
      </c>
      <c r="C390" s="1037" t="s">
        <v>336</v>
      </c>
      <c r="D390" s="1371"/>
      <c r="E390" s="1371"/>
      <c r="F390" s="1371"/>
      <c r="G390" s="1371"/>
      <c r="H390" s="1371"/>
      <c r="I390" s="1371"/>
      <c r="J390" s="1371"/>
      <c r="K390" s="1371"/>
      <c r="L390" s="1371"/>
      <c r="M390" s="1038" t="s">
        <v>337</v>
      </c>
      <c r="N390" s="1056"/>
      <c r="O390" s="996"/>
      <c r="P390" s="996"/>
      <c r="Q390" s="996"/>
      <c r="R390" s="996"/>
      <c r="S390" s="996"/>
      <c r="T390" s="996"/>
      <c r="U390" s="996"/>
    </row>
    <row r="391" spans="2:21" s="1201" customFormat="1" ht="15.5" hidden="1" x14ac:dyDescent="0.35">
      <c r="B391" s="1371"/>
      <c r="C391" s="1371" t="s">
        <v>338</v>
      </c>
      <c r="D391" s="1371"/>
      <c r="E391" s="1371"/>
      <c r="F391" s="1371"/>
      <c r="G391" s="1371"/>
      <c r="H391" s="1371"/>
      <c r="I391" s="1371"/>
      <c r="J391" s="1371"/>
      <c r="K391" s="1371"/>
      <c r="L391" s="1039" t="s">
        <v>307</v>
      </c>
      <c r="M391" s="1140" t="s">
        <v>339</v>
      </c>
      <c r="N391" s="1036"/>
      <c r="O391" s="996"/>
      <c r="P391" s="996"/>
      <c r="Q391" s="996"/>
      <c r="R391" s="996"/>
      <c r="S391" s="996"/>
      <c r="T391" s="996"/>
      <c r="U391" s="996"/>
    </row>
    <row r="392" spans="2:21" s="1201" customFormat="1" ht="15.5" hidden="1" x14ac:dyDescent="0.35">
      <c r="B392" s="1371"/>
      <c r="C392" s="1371" t="s">
        <v>340</v>
      </c>
      <c r="D392" s="1371"/>
      <c r="E392" s="1371"/>
      <c r="F392" s="1371"/>
      <c r="G392" s="1371"/>
      <c r="H392" s="1371"/>
      <c r="I392" s="1371"/>
      <c r="J392" s="1371"/>
      <c r="K392" s="1371"/>
      <c r="L392" s="1039" t="s">
        <v>341</v>
      </c>
      <c r="M392" s="1038"/>
      <c r="N392" s="1036"/>
      <c r="O392" s="996"/>
      <c r="P392" s="996"/>
      <c r="Q392" s="996"/>
      <c r="R392" s="996"/>
      <c r="S392" s="996"/>
      <c r="T392" s="996"/>
      <c r="U392" s="996"/>
    </row>
    <row r="393" spans="2:21" s="1201" customFormat="1" ht="15.5" hidden="1" x14ac:dyDescent="0.35">
      <c r="B393" s="1371"/>
      <c r="C393" s="1371" t="s">
        <v>342</v>
      </c>
      <c r="D393" s="1371"/>
      <c r="E393" s="1371"/>
      <c r="F393" s="1371"/>
      <c r="G393" s="1371"/>
      <c r="H393" s="1371"/>
      <c r="I393" s="1371"/>
      <c r="J393" s="1371"/>
      <c r="K393" s="1371"/>
      <c r="L393" s="1371" t="s">
        <v>343</v>
      </c>
      <c r="M393" s="1038"/>
      <c r="N393" s="1036"/>
      <c r="O393" s="996"/>
      <c r="P393" s="996"/>
      <c r="Q393" s="996"/>
      <c r="R393" s="996"/>
      <c r="S393" s="996"/>
      <c r="T393" s="996"/>
      <c r="U393" s="996"/>
    </row>
    <row r="394" spans="2:21" s="1201" customFormat="1" ht="15.5" hidden="1" x14ac:dyDescent="0.35">
      <c r="B394" s="1371"/>
      <c r="C394" s="1371" t="s">
        <v>344</v>
      </c>
      <c r="D394" s="1371"/>
      <c r="E394" s="1371"/>
      <c r="F394" s="1371"/>
      <c r="G394" s="1371"/>
      <c r="H394" s="1371"/>
      <c r="I394" s="1371"/>
      <c r="J394" s="1371"/>
      <c r="K394" s="1371"/>
      <c r="L394" s="1371" t="s">
        <v>345</v>
      </c>
      <c r="M394" s="1038"/>
      <c r="N394" s="1036"/>
      <c r="O394" s="996"/>
      <c r="P394" s="996"/>
      <c r="Q394" s="996"/>
      <c r="R394" s="996"/>
      <c r="S394" s="996"/>
      <c r="T394" s="996"/>
      <c r="U394" s="996"/>
    </row>
    <row r="395" spans="2:21" s="1201" customFormat="1" ht="15.5" hidden="1" x14ac:dyDescent="0.35">
      <c r="B395" s="1371"/>
      <c r="C395" s="1371" t="s">
        <v>346</v>
      </c>
      <c r="D395" s="1371"/>
      <c r="E395" s="1371"/>
      <c r="F395" s="1371"/>
      <c r="G395" s="1371"/>
      <c r="H395" s="1371"/>
      <c r="I395" s="1371"/>
      <c r="J395" s="1371"/>
      <c r="K395" s="1371"/>
      <c r="L395" s="1371"/>
      <c r="M395" s="1038"/>
      <c r="N395" s="996"/>
      <c r="O395" s="996"/>
      <c r="P395" s="996"/>
      <c r="Q395" s="996"/>
      <c r="R395" s="996"/>
      <c r="S395" s="996"/>
      <c r="T395" s="996"/>
      <c r="U395" s="996"/>
    </row>
    <row r="396" spans="2:21" s="1201" customFormat="1" ht="15.5" hidden="1" x14ac:dyDescent="0.35">
      <c r="B396" s="1371"/>
      <c r="C396" s="1371" t="s">
        <v>347</v>
      </c>
      <c r="D396" s="1371"/>
      <c r="E396" s="1371"/>
      <c r="F396" s="1371"/>
      <c r="G396" s="1371"/>
      <c r="H396" s="1371"/>
      <c r="I396" s="1371"/>
      <c r="J396" s="1371"/>
      <c r="K396" s="1371"/>
      <c r="L396" s="1371"/>
      <c r="M396" s="1038"/>
      <c r="N396" s="996"/>
      <c r="O396" s="996"/>
      <c r="P396" s="996"/>
      <c r="Q396" s="996"/>
      <c r="R396" s="996"/>
      <c r="S396" s="996"/>
      <c r="T396" s="995"/>
      <c r="U396" s="995"/>
    </row>
    <row r="397" spans="2:21" s="1201" customFormat="1" ht="15.5" hidden="1" x14ac:dyDescent="0.35">
      <c r="B397" s="1371"/>
      <c r="C397" s="1371"/>
      <c r="D397" s="1371"/>
      <c r="E397" s="1371"/>
      <c r="F397" s="1371"/>
      <c r="G397" s="1371"/>
      <c r="H397" s="1371"/>
      <c r="I397" s="1371"/>
      <c r="J397" s="1371"/>
      <c r="K397" s="1371"/>
      <c r="L397" s="1371"/>
      <c r="M397" s="1038"/>
      <c r="N397" s="996"/>
      <c r="O397" s="996"/>
      <c r="P397" s="996"/>
      <c r="Q397" s="996"/>
      <c r="R397" s="996"/>
      <c r="S397" s="996"/>
      <c r="T397" s="1141"/>
      <c r="U397" s="1055"/>
    </row>
    <row r="398" spans="2:21" s="1201" customFormat="1" ht="15.5" hidden="1" x14ac:dyDescent="0.35">
      <c r="B398" s="1037" t="s">
        <v>348</v>
      </c>
      <c r="C398" s="1037" t="s">
        <v>349</v>
      </c>
      <c r="D398" s="1371"/>
      <c r="E398" s="1371"/>
      <c r="F398" s="1371"/>
      <c r="G398" s="1371"/>
      <c r="H398" s="1371"/>
      <c r="I398" s="1371"/>
      <c r="J398" s="1371"/>
      <c r="K398" s="1371"/>
      <c r="L398" s="1371" t="s">
        <v>312</v>
      </c>
      <c r="M398" s="1038" t="s">
        <v>350</v>
      </c>
      <c r="N398" s="996"/>
      <c r="O398" s="996"/>
      <c r="P398" s="996"/>
      <c r="Q398" s="996"/>
      <c r="R398" s="996"/>
      <c r="S398" s="996"/>
      <c r="T398" s="995"/>
      <c r="U398" s="1055"/>
    </row>
    <row r="399" spans="2:21" s="1201" customFormat="1" ht="15.5" hidden="1" x14ac:dyDescent="0.35">
      <c r="B399" s="1371"/>
      <c r="C399" s="1371" t="s">
        <v>351</v>
      </c>
      <c r="D399" s="1371"/>
      <c r="E399" s="1371"/>
      <c r="F399" s="1371"/>
      <c r="G399" s="1371"/>
      <c r="H399" s="1371"/>
      <c r="I399" s="1371"/>
      <c r="J399" s="1371"/>
      <c r="K399" s="1371"/>
      <c r="L399" s="1371" t="s">
        <v>315</v>
      </c>
      <c r="M399" s="1140" t="s">
        <v>339</v>
      </c>
      <c r="N399" s="996"/>
      <c r="O399" s="995"/>
      <c r="P399" s="995"/>
      <c r="Q399" s="995"/>
      <c r="R399" s="995"/>
      <c r="S399" s="995"/>
      <c r="T399" s="995"/>
      <c r="U399" s="1744"/>
    </row>
    <row r="400" spans="2:21" s="1201" customFormat="1" ht="15.5" hidden="1" x14ac:dyDescent="0.35">
      <c r="B400" s="1371"/>
      <c r="C400" s="1371"/>
      <c r="D400" s="1371"/>
      <c r="E400" s="1371"/>
      <c r="F400" s="1371"/>
      <c r="G400" s="1371"/>
      <c r="H400" s="1371"/>
      <c r="I400" s="1371"/>
      <c r="J400" s="1371"/>
      <c r="K400" s="1371"/>
      <c r="L400" s="1371"/>
      <c r="M400" s="1038"/>
      <c r="N400" s="996"/>
      <c r="O400" s="1141"/>
      <c r="P400" s="1141"/>
      <c r="Q400" s="1141"/>
      <c r="R400" s="1141"/>
      <c r="S400" s="1141"/>
      <c r="T400" s="995"/>
      <c r="U400" s="995"/>
    </row>
    <row r="401" spans="2:21" s="1201" customFormat="1" ht="15.5" hidden="1" x14ac:dyDescent="0.35">
      <c r="B401" s="1371"/>
      <c r="C401" s="1371"/>
      <c r="D401" s="1371"/>
      <c r="E401" s="1371"/>
      <c r="F401" s="1371"/>
      <c r="G401" s="1371"/>
      <c r="H401" s="1371"/>
      <c r="I401" s="1371"/>
      <c r="J401" s="1371"/>
      <c r="K401" s="1371"/>
      <c r="L401" s="1371"/>
      <c r="M401" s="1038"/>
      <c r="N401" s="996"/>
      <c r="O401" s="995"/>
      <c r="P401" s="995"/>
      <c r="Q401" s="995"/>
      <c r="R401" s="995"/>
      <c r="S401" s="995"/>
      <c r="T401" s="995"/>
      <c r="U401" s="995"/>
    </row>
    <row r="402" spans="2:21" s="1201" customFormat="1" ht="15.5" hidden="1" x14ac:dyDescent="0.35">
      <c r="B402" s="1371" t="s">
        <v>352</v>
      </c>
      <c r="C402" s="1371"/>
      <c r="D402" s="1371"/>
      <c r="E402" s="1371"/>
      <c r="F402" s="1371"/>
      <c r="G402" s="1371"/>
      <c r="H402" s="1371"/>
      <c r="I402" s="1371"/>
      <c r="J402" s="1371"/>
      <c r="K402" s="1371"/>
      <c r="L402" s="1371"/>
      <c r="M402" s="1038"/>
      <c r="N402" s="996"/>
      <c r="O402" s="995"/>
      <c r="P402" s="995"/>
      <c r="Q402" s="995"/>
      <c r="R402" s="995"/>
      <c r="S402" s="995"/>
      <c r="T402" s="995"/>
      <c r="U402" s="995"/>
    </row>
    <row r="403" spans="2:21" s="1201" customFormat="1" ht="15.5" hidden="1" x14ac:dyDescent="0.35">
      <c r="B403" s="1037" t="s">
        <v>353</v>
      </c>
      <c r="C403" s="1037" t="s">
        <v>354</v>
      </c>
      <c r="D403" s="1371"/>
      <c r="E403" s="1371"/>
      <c r="F403" s="1371"/>
      <c r="G403" s="1371"/>
      <c r="H403" s="1371"/>
      <c r="I403" s="1371"/>
      <c r="J403" s="1371"/>
      <c r="K403" s="1371"/>
      <c r="L403" s="1371"/>
      <c r="M403" s="1038" t="s">
        <v>355</v>
      </c>
      <c r="N403" s="996"/>
      <c r="O403" s="995"/>
      <c r="P403" s="995"/>
      <c r="Q403" s="995"/>
      <c r="R403" s="995"/>
      <c r="S403" s="995"/>
      <c r="T403" s="996"/>
      <c r="U403" s="996"/>
    </row>
    <row r="404" spans="2:21" s="1201" customFormat="1" ht="15.5" hidden="1" x14ac:dyDescent="0.35">
      <c r="B404" s="1371"/>
      <c r="C404" s="1371" t="s">
        <v>356</v>
      </c>
      <c r="D404" s="1371"/>
      <c r="E404" s="1371"/>
      <c r="F404" s="1371"/>
      <c r="G404" s="1371"/>
      <c r="H404" s="1371"/>
      <c r="I404" s="1371"/>
      <c r="J404" s="1371"/>
      <c r="K404" s="1371"/>
      <c r="L404" s="1371"/>
      <c r="M404" s="1140" t="s">
        <v>339</v>
      </c>
      <c r="N404" s="996"/>
      <c r="O404" s="995"/>
      <c r="P404" s="995"/>
      <c r="Q404" s="995"/>
      <c r="R404" s="995"/>
      <c r="S404" s="995"/>
      <c r="T404" s="996"/>
      <c r="U404" s="996"/>
    </row>
    <row r="405" spans="2:21" s="1201" customFormat="1" ht="15.5" hidden="1" x14ac:dyDescent="0.35">
      <c r="B405" s="1371"/>
      <c r="C405" s="1371" t="s">
        <v>357</v>
      </c>
      <c r="D405" s="1371"/>
      <c r="E405" s="1371"/>
      <c r="F405" s="1371"/>
      <c r="G405" s="1371"/>
      <c r="H405" s="1371"/>
      <c r="I405" s="1371"/>
      <c r="J405" s="1371"/>
      <c r="K405" s="1371"/>
      <c r="L405" s="1371"/>
      <c r="M405" s="1038"/>
      <c r="N405" s="996"/>
      <c r="O405" s="995"/>
      <c r="P405" s="995"/>
      <c r="Q405" s="995"/>
      <c r="R405" s="995"/>
      <c r="S405" s="995"/>
      <c r="T405" s="996"/>
      <c r="U405" s="996"/>
    </row>
    <row r="406" spans="2:21" s="1201" customFormat="1" ht="15.5" hidden="1" x14ac:dyDescent="0.35">
      <c r="B406" s="1371"/>
      <c r="C406" s="1371" t="s">
        <v>358</v>
      </c>
      <c r="D406" s="1371"/>
      <c r="E406" s="1371"/>
      <c r="F406" s="1371"/>
      <c r="G406" s="1371"/>
      <c r="H406" s="1371"/>
      <c r="I406" s="1371"/>
      <c r="J406" s="1371"/>
      <c r="K406" s="1371"/>
      <c r="L406" s="1371"/>
      <c r="M406" s="1038"/>
      <c r="N406" s="996"/>
      <c r="O406" s="1142"/>
      <c r="P406" s="996"/>
      <c r="Q406" s="996"/>
      <c r="R406" s="996"/>
      <c r="S406" s="996"/>
      <c r="T406" s="996"/>
      <c r="U406" s="996"/>
    </row>
    <row r="407" spans="2:21" s="1201" customFormat="1" ht="15.5" hidden="1" x14ac:dyDescent="0.35">
      <c r="B407" s="1371"/>
      <c r="C407" s="1371"/>
      <c r="D407" s="1371"/>
      <c r="E407" s="1371"/>
      <c r="F407" s="1371"/>
      <c r="G407" s="1371"/>
      <c r="H407" s="1371"/>
      <c r="I407" s="1371"/>
      <c r="J407" s="1371"/>
      <c r="K407" s="1371"/>
      <c r="L407" s="1371"/>
      <c r="M407" s="1038"/>
      <c r="N407" s="996"/>
      <c r="O407" s="996"/>
      <c r="P407" s="996"/>
      <c r="Q407" s="996"/>
      <c r="R407" s="996"/>
      <c r="S407" s="996"/>
      <c r="T407" s="996"/>
      <c r="U407" s="996"/>
    </row>
    <row r="408" spans="2:21" s="1201" customFormat="1" ht="15.5" hidden="1" x14ac:dyDescent="0.35">
      <c r="B408" s="1037" t="s">
        <v>359</v>
      </c>
      <c r="C408" s="1037" t="s">
        <v>349</v>
      </c>
      <c r="D408" s="1371"/>
      <c r="E408" s="1371"/>
      <c r="F408" s="1371"/>
      <c r="G408" s="1371"/>
      <c r="H408" s="1371"/>
      <c r="I408" s="1371"/>
      <c r="J408" s="1371"/>
      <c r="K408" s="1371"/>
      <c r="L408" s="1371" t="s">
        <v>312</v>
      </c>
      <c r="M408" s="1038" t="s">
        <v>360</v>
      </c>
      <c r="N408" s="996"/>
      <c r="O408" s="996"/>
      <c r="P408" s="996"/>
      <c r="Q408" s="996"/>
      <c r="R408" s="996"/>
      <c r="S408" s="996"/>
      <c r="T408" s="996"/>
      <c r="U408" s="996"/>
    </row>
    <row r="409" spans="2:21" s="1201" customFormat="1" ht="15.5" hidden="1" x14ac:dyDescent="0.35">
      <c r="B409" s="1371"/>
      <c r="C409" s="1371" t="s">
        <v>351</v>
      </c>
      <c r="D409" s="1371"/>
      <c r="E409" s="1371"/>
      <c r="F409" s="1371"/>
      <c r="G409" s="1371"/>
      <c r="H409" s="1371"/>
      <c r="I409" s="1371"/>
      <c r="J409" s="1371"/>
      <c r="K409" s="1371"/>
      <c r="L409" s="1371" t="s">
        <v>315</v>
      </c>
      <c r="M409" s="1140" t="s">
        <v>339</v>
      </c>
      <c r="N409" s="996"/>
      <c r="O409" s="996"/>
      <c r="P409" s="996"/>
      <c r="Q409" s="996"/>
      <c r="R409" s="996"/>
      <c r="S409" s="996"/>
      <c r="T409" s="996"/>
      <c r="U409" s="996"/>
    </row>
    <row r="410" spans="2:21" s="1201" customFormat="1" ht="15.5" hidden="1" x14ac:dyDescent="0.35">
      <c r="B410" s="1371"/>
      <c r="C410" s="1371"/>
      <c r="D410" s="1371"/>
      <c r="E410" s="1371"/>
      <c r="F410" s="1371"/>
      <c r="G410" s="1371"/>
      <c r="H410" s="1371"/>
      <c r="I410" s="1371"/>
      <c r="J410" s="1371"/>
      <c r="K410" s="1371"/>
      <c r="L410" s="1371"/>
      <c r="M410" s="1038"/>
      <c r="N410" s="996"/>
      <c r="O410" s="996"/>
      <c r="P410" s="996"/>
      <c r="Q410" s="996"/>
      <c r="R410" s="996"/>
      <c r="S410" s="996"/>
      <c r="T410" s="996"/>
      <c r="U410" s="996"/>
    </row>
    <row r="411" spans="2:21" s="1201" customFormat="1" ht="15.5" hidden="1" x14ac:dyDescent="0.35">
      <c r="B411" s="1371"/>
      <c r="C411" s="1371"/>
      <c r="D411" s="1371"/>
      <c r="E411" s="1371"/>
      <c r="F411" s="1371"/>
      <c r="G411" s="1371"/>
      <c r="H411" s="1371"/>
      <c r="I411" s="1371"/>
      <c r="J411" s="1371"/>
      <c r="K411" s="1371"/>
      <c r="L411" s="1371"/>
      <c r="M411" s="1038"/>
      <c r="N411" s="996"/>
      <c r="O411" s="996"/>
      <c r="P411" s="996"/>
      <c r="Q411" s="996"/>
      <c r="R411" s="996"/>
      <c r="S411" s="996"/>
      <c r="T411" s="995"/>
      <c r="U411" s="995"/>
    </row>
    <row r="412" spans="2:21" s="1201" customFormat="1" ht="15.5" hidden="1" x14ac:dyDescent="0.35">
      <c r="B412" s="1371"/>
      <c r="C412" s="1371"/>
      <c r="D412" s="1371"/>
      <c r="E412" s="1371"/>
      <c r="F412" s="1371"/>
      <c r="G412" s="1371"/>
      <c r="H412" s="1371"/>
      <c r="I412" s="1371"/>
      <c r="J412" s="1371"/>
      <c r="K412" s="1371"/>
      <c r="L412" s="1371"/>
      <c r="M412" s="1038"/>
      <c r="N412" s="996"/>
      <c r="O412" s="996"/>
      <c r="P412" s="996"/>
      <c r="Q412" s="996"/>
      <c r="R412" s="996"/>
      <c r="S412" s="996"/>
      <c r="T412" s="1056"/>
      <c r="U412" s="995"/>
    </row>
    <row r="413" spans="2:21" s="1201" customFormat="1" ht="15.5" hidden="1" x14ac:dyDescent="0.35">
      <c r="B413" s="1037" t="s">
        <v>361</v>
      </c>
      <c r="C413" s="1037" t="s">
        <v>362</v>
      </c>
      <c r="D413" s="1371"/>
      <c r="E413" s="1371"/>
      <c r="F413" s="1371"/>
      <c r="G413" s="1371"/>
      <c r="H413" s="1371"/>
      <c r="I413" s="1371"/>
      <c r="J413" s="1371"/>
      <c r="K413" s="1371"/>
      <c r="L413" s="1371" t="s">
        <v>312</v>
      </c>
      <c r="M413" s="1038" t="s">
        <v>363</v>
      </c>
      <c r="N413" s="996"/>
      <c r="O413" s="996"/>
      <c r="P413" s="996"/>
      <c r="Q413" s="996"/>
      <c r="R413" s="996"/>
      <c r="S413" s="996"/>
      <c r="T413" s="1056"/>
      <c r="U413" s="995"/>
    </row>
    <row r="414" spans="2:21" s="1201" customFormat="1" ht="15.5" hidden="1" x14ac:dyDescent="0.35">
      <c r="B414" s="1371"/>
      <c r="C414" s="1371" t="s">
        <v>364</v>
      </c>
      <c r="D414" s="1371"/>
      <c r="E414" s="1371"/>
      <c r="F414" s="1371"/>
      <c r="G414" s="1371"/>
      <c r="H414" s="1371"/>
      <c r="I414" s="1371"/>
      <c r="J414" s="1371"/>
      <c r="K414" s="1371"/>
      <c r="L414" s="1371" t="s">
        <v>224</v>
      </c>
      <c r="M414" s="1140" t="s">
        <v>339</v>
      </c>
      <c r="N414" s="996"/>
      <c r="O414" s="995"/>
      <c r="P414" s="995"/>
      <c r="Q414" s="995"/>
      <c r="R414" s="995"/>
      <c r="S414" s="995"/>
      <c r="T414" s="996"/>
      <c r="U414" s="996"/>
    </row>
    <row r="415" spans="2:21" s="1201" customFormat="1" ht="15.5" hidden="1" x14ac:dyDescent="0.35">
      <c r="B415" s="1371"/>
      <c r="C415" s="1371" t="s">
        <v>365</v>
      </c>
      <c r="D415" s="1371"/>
      <c r="E415" s="1371"/>
      <c r="F415" s="1371"/>
      <c r="G415" s="1371"/>
      <c r="H415" s="1371"/>
      <c r="I415" s="1371"/>
      <c r="J415" s="1371"/>
      <c r="K415" s="1371"/>
      <c r="L415" s="1371" t="s">
        <v>366</v>
      </c>
      <c r="M415" s="1038"/>
      <c r="N415" s="996"/>
      <c r="O415" s="995"/>
      <c r="P415" s="995"/>
      <c r="Q415" s="995"/>
      <c r="R415" s="995"/>
      <c r="S415" s="995"/>
      <c r="T415" s="996"/>
      <c r="U415" s="996"/>
    </row>
    <row r="416" spans="2:21" s="1201" customFormat="1" ht="15.5" hidden="1" x14ac:dyDescent="0.35">
      <c r="B416" s="1371"/>
      <c r="C416" s="1037"/>
      <c r="D416" s="1371"/>
      <c r="E416" s="1371"/>
      <c r="F416" s="1371"/>
      <c r="G416" s="1371"/>
      <c r="H416" s="1371"/>
      <c r="I416" s="1371"/>
      <c r="J416" s="1371"/>
      <c r="K416" s="1371"/>
      <c r="L416" s="1371"/>
      <c r="M416" s="1038"/>
      <c r="N416" s="996"/>
      <c r="O416" s="995"/>
      <c r="P416" s="1060"/>
      <c r="Q416" s="1060"/>
      <c r="R416" s="995"/>
      <c r="S416" s="995"/>
      <c r="T416" s="996"/>
      <c r="U416" s="996"/>
    </row>
    <row r="417" spans="2:21" s="1201" customFormat="1" ht="15.5" hidden="1" x14ac:dyDescent="0.35">
      <c r="B417" s="1371"/>
      <c r="C417" s="1372"/>
      <c r="D417" s="1372"/>
      <c r="E417" s="1044"/>
      <c r="F417" s="1039"/>
      <c r="G417" s="1371"/>
      <c r="H417" s="1371"/>
      <c r="I417" s="1371"/>
      <c r="J417" s="1371"/>
      <c r="K417" s="1371"/>
      <c r="L417" s="1371"/>
      <c r="M417" s="1038"/>
      <c r="N417" s="996"/>
      <c r="O417" s="996"/>
      <c r="P417" s="996"/>
      <c r="Q417" s="996"/>
      <c r="R417" s="996"/>
      <c r="S417" s="996"/>
      <c r="T417" s="996"/>
      <c r="U417" s="996"/>
    </row>
    <row r="418" spans="2:21" s="1201" customFormat="1" ht="15.5" hidden="1" x14ac:dyDescent="0.35">
      <c r="B418" s="1371"/>
      <c r="C418" s="1371"/>
      <c r="D418" s="1371"/>
      <c r="E418" s="1371"/>
      <c r="F418" s="1371"/>
      <c r="G418" s="1371"/>
      <c r="H418" s="1371"/>
      <c r="I418" s="1371"/>
      <c r="J418" s="1371"/>
      <c r="K418" s="1371"/>
      <c r="L418" s="1371"/>
      <c r="M418" s="1038"/>
      <c r="N418" s="996"/>
      <c r="O418" s="996"/>
      <c r="P418" s="996"/>
      <c r="Q418" s="996"/>
      <c r="R418" s="996"/>
      <c r="S418" s="996"/>
      <c r="T418" s="995"/>
      <c r="U418" s="995"/>
    </row>
    <row r="419" spans="2:21" s="1201" customFormat="1" ht="15.5" hidden="1" x14ac:dyDescent="0.35">
      <c r="B419" s="1371" t="s">
        <v>367</v>
      </c>
      <c r="C419" s="1371"/>
      <c r="D419" s="1371"/>
      <c r="E419" s="1371"/>
      <c r="F419" s="1371"/>
      <c r="G419" s="1371"/>
      <c r="H419" s="1371"/>
      <c r="I419" s="1371"/>
      <c r="J419" s="1371"/>
      <c r="K419" s="1371"/>
      <c r="L419" s="1371"/>
      <c r="M419" s="1038"/>
      <c r="N419" s="996"/>
      <c r="O419" s="996"/>
      <c r="P419" s="996"/>
      <c r="Q419" s="996"/>
      <c r="R419" s="996"/>
      <c r="S419" s="996"/>
      <c r="T419" s="995"/>
      <c r="U419" s="995"/>
    </row>
    <row r="420" spans="2:21" s="1201" customFormat="1" ht="15.5" hidden="1" x14ac:dyDescent="0.35">
      <c r="B420" s="1037" t="s">
        <v>368</v>
      </c>
      <c r="C420" s="1371"/>
      <c r="D420" s="1371"/>
      <c r="E420" s="1371"/>
      <c r="F420" s="1371"/>
      <c r="G420" s="1371"/>
      <c r="H420" s="1371"/>
      <c r="I420" s="1371"/>
      <c r="J420" s="1371"/>
      <c r="K420" s="1371"/>
      <c r="L420" s="1371"/>
      <c r="M420" s="1038" t="s">
        <v>1353</v>
      </c>
      <c r="N420" s="996"/>
      <c r="O420" s="996"/>
      <c r="P420" s="996"/>
      <c r="Q420" s="996"/>
      <c r="R420" s="996"/>
      <c r="S420" s="996"/>
      <c r="T420" s="996"/>
      <c r="U420" s="996"/>
    </row>
    <row r="421" spans="2:21" s="1201" customFormat="1" ht="15.5" hidden="1" x14ac:dyDescent="0.35">
      <c r="B421" s="1371"/>
      <c r="C421" s="1037" t="s">
        <v>370</v>
      </c>
      <c r="D421" s="1371"/>
      <c r="E421" s="1371"/>
      <c r="F421" s="1371"/>
      <c r="G421" s="1371"/>
      <c r="H421" s="1371"/>
      <c r="I421" s="1371"/>
      <c r="J421" s="1371"/>
      <c r="K421" s="1371"/>
      <c r="L421" s="1371"/>
      <c r="M421" s="1038"/>
      <c r="N421" s="996"/>
      <c r="O421" s="995"/>
      <c r="P421" s="995"/>
      <c r="Q421" s="995"/>
      <c r="R421" s="995"/>
      <c r="S421" s="995"/>
      <c r="T421" s="996"/>
      <c r="U421" s="996"/>
    </row>
    <row r="422" spans="2:21" s="1201" customFormat="1" ht="15.5" hidden="1" x14ac:dyDescent="0.35">
      <c r="B422" s="1371"/>
      <c r="C422" s="1371"/>
      <c r="D422" s="1371"/>
      <c r="E422" s="1371"/>
      <c r="F422" s="1371"/>
      <c r="G422" s="1371"/>
      <c r="H422" s="1371"/>
      <c r="I422" s="1371"/>
      <c r="J422" s="1371"/>
      <c r="K422" s="1371"/>
      <c r="L422" s="1371"/>
      <c r="M422" s="1051"/>
      <c r="N422" s="996"/>
      <c r="O422" s="995"/>
      <c r="P422" s="995"/>
      <c r="Q422" s="995"/>
      <c r="R422" s="995"/>
      <c r="S422" s="995"/>
      <c r="T422" s="996"/>
      <c r="U422" s="996"/>
    </row>
    <row r="423" spans="2:21" s="1201" customFormat="1" ht="15.5" hidden="1" x14ac:dyDescent="0.35">
      <c r="B423" s="1040"/>
      <c r="C423" s="1039" t="s">
        <v>440</v>
      </c>
      <c r="D423" s="1046" t="e">
        <f>D289*G$83%</f>
        <v>#DIV/0!</v>
      </c>
      <c r="E423" s="1046">
        <f>E289*$G$84%</f>
        <v>0</v>
      </c>
      <c r="F423" s="1046">
        <f t="shared" ref="F423:J423" si="41">F289*$G$84%</f>
        <v>0</v>
      </c>
      <c r="G423" s="1046">
        <f t="shared" si="41"/>
        <v>0</v>
      </c>
      <c r="H423" s="1046">
        <f t="shared" si="41"/>
        <v>0</v>
      </c>
      <c r="I423" s="1046">
        <f t="shared" si="41"/>
        <v>0</v>
      </c>
      <c r="J423" s="1046">
        <f t="shared" si="41"/>
        <v>0</v>
      </c>
      <c r="K423" s="1046">
        <f>K289*$G$84%</f>
        <v>0</v>
      </c>
      <c r="L423" s="1371" t="s">
        <v>288</v>
      </c>
      <c r="M423" s="1416"/>
      <c r="N423" s="1058"/>
      <c r="O423" s="996"/>
      <c r="P423" s="996"/>
      <c r="Q423" s="996"/>
      <c r="R423" s="996"/>
      <c r="S423" s="996"/>
      <c r="T423" s="996"/>
      <c r="U423" s="996"/>
    </row>
    <row r="424" spans="2:21" s="1201" customFormat="1" ht="15.5" hidden="1" x14ac:dyDescent="0.35">
      <c r="B424" s="1371"/>
      <c r="C424" s="1371"/>
      <c r="D424" s="1046"/>
      <c r="E424" s="1046"/>
      <c r="F424" s="1046"/>
      <c r="G424" s="1046"/>
      <c r="H424" s="1046"/>
      <c r="I424" s="1046"/>
      <c r="J424" s="1046"/>
      <c r="K424" s="1046"/>
      <c r="L424" s="1371"/>
      <c r="M424" s="1038"/>
      <c r="N424" s="1058"/>
      <c r="O424" s="996"/>
      <c r="P424" s="996"/>
      <c r="Q424" s="996"/>
      <c r="R424" s="996"/>
      <c r="S424" s="996"/>
      <c r="T424" s="996"/>
      <c r="U424" s="996"/>
    </row>
    <row r="425" spans="2:21" s="1201" customFormat="1" ht="15.5" hidden="1" x14ac:dyDescent="0.35">
      <c r="B425" s="1371"/>
      <c r="C425" s="1037" t="s">
        <v>372</v>
      </c>
      <c r="D425" s="1046"/>
      <c r="E425" s="1046"/>
      <c r="F425" s="1046"/>
      <c r="G425" s="1046"/>
      <c r="H425" s="1046"/>
      <c r="I425" s="1046"/>
      <c r="J425" s="1046"/>
      <c r="K425" s="1046"/>
      <c r="L425" s="1371"/>
      <c r="M425" s="1038"/>
      <c r="N425" s="1058"/>
      <c r="O425" s="996"/>
      <c r="P425" s="996"/>
      <c r="Q425" s="996"/>
      <c r="R425" s="996"/>
      <c r="S425" s="996"/>
      <c r="T425" s="996"/>
      <c r="U425" s="996"/>
    </row>
    <row r="426" spans="2:21" s="1201" customFormat="1" ht="15.5" hidden="1" x14ac:dyDescent="0.35">
      <c r="B426" s="1371"/>
      <c r="C426" s="1371"/>
      <c r="D426" s="1046"/>
      <c r="E426" s="1046"/>
      <c r="F426" s="1046"/>
      <c r="G426" s="1046"/>
      <c r="H426" s="1046"/>
      <c r="I426" s="1046"/>
      <c r="J426" s="1046"/>
      <c r="K426" s="1046"/>
      <c r="L426" s="1371"/>
      <c r="M426" s="1051"/>
      <c r="N426" s="1058"/>
      <c r="O426" s="996"/>
      <c r="P426" s="996"/>
      <c r="Q426" s="996"/>
      <c r="R426" s="996"/>
      <c r="S426" s="996"/>
      <c r="T426" s="996"/>
      <c r="U426" s="996"/>
    </row>
    <row r="427" spans="2:21" s="1201" customFormat="1" ht="15.5" hidden="1" x14ac:dyDescent="0.35">
      <c r="B427" s="1371"/>
      <c r="C427" s="1039" t="s">
        <v>440</v>
      </c>
      <c r="D427" s="1046" t="e">
        <f>D293*$G$83%</f>
        <v>#DIV/0!</v>
      </c>
      <c r="E427" s="1046">
        <f t="shared" ref="E427:J427" si="42">E293*$G$84%</f>
        <v>0</v>
      </c>
      <c r="F427" s="1046">
        <f>F293*$G$84%</f>
        <v>0</v>
      </c>
      <c r="G427" s="1046">
        <f t="shared" si="42"/>
        <v>0</v>
      </c>
      <c r="H427" s="1046">
        <f t="shared" si="42"/>
        <v>0</v>
      </c>
      <c r="I427" s="1046">
        <f t="shared" si="42"/>
        <v>0</v>
      </c>
      <c r="J427" s="1046">
        <f t="shared" si="42"/>
        <v>0</v>
      </c>
      <c r="K427" s="1046">
        <f>K293*$G$84%</f>
        <v>0</v>
      </c>
      <c r="L427" s="1371" t="s">
        <v>288</v>
      </c>
      <c r="M427" s="1416"/>
      <c r="N427" s="1058"/>
      <c r="O427" s="996"/>
      <c r="P427" s="996"/>
      <c r="Q427" s="996"/>
      <c r="R427" s="996"/>
      <c r="S427" s="996"/>
      <c r="T427" s="1067"/>
      <c r="U427" s="996"/>
    </row>
    <row r="428" spans="2:21" s="1201" customFormat="1" ht="15.5" hidden="1" x14ac:dyDescent="0.35">
      <c r="B428" s="1371"/>
      <c r="C428" s="1371"/>
      <c r="D428" s="1061"/>
      <c r="E428" s="1371"/>
      <c r="F428" s="1371"/>
      <c r="G428" s="1371"/>
      <c r="H428" s="1371"/>
      <c r="I428" s="1371"/>
      <c r="J428" s="1371"/>
      <c r="K428" s="1371"/>
      <c r="L428" s="1371"/>
      <c r="M428" s="1051"/>
      <c r="N428" s="996"/>
      <c r="O428" s="996"/>
      <c r="P428" s="996"/>
      <c r="Q428" s="996"/>
      <c r="R428" s="996"/>
      <c r="S428" s="996"/>
      <c r="T428" s="996"/>
      <c r="U428" s="996"/>
    </row>
    <row r="429" spans="2:21" s="1201" customFormat="1" ht="15.5" hidden="1" x14ac:dyDescent="0.35">
      <c r="B429" s="1037" t="s">
        <v>374</v>
      </c>
      <c r="C429" s="1037" t="s">
        <v>375</v>
      </c>
      <c r="D429" s="1371"/>
      <c r="E429" s="1371"/>
      <c r="F429" s="1371"/>
      <c r="G429" s="1371"/>
      <c r="H429" s="1371"/>
      <c r="I429" s="1371"/>
      <c r="J429" s="1371"/>
      <c r="K429" s="1371"/>
      <c r="L429" s="1371"/>
      <c r="M429" s="1038" t="s">
        <v>1309</v>
      </c>
      <c r="N429" s="996"/>
      <c r="O429" s="996"/>
      <c r="P429" s="996"/>
      <c r="Q429" s="996"/>
      <c r="R429" s="996"/>
      <c r="S429" s="996"/>
      <c r="T429" s="996"/>
      <c r="U429" s="996"/>
    </row>
    <row r="430" spans="2:21" s="1201" customFormat="1" ht="15.5" hidden="1" x14ac:dyDescent="0.35">
      <c r="B430" s="1371"/>
      <c r="C430" s="1371" t="s">
        <v>377</v>
      </c>
      <c r="D430" s="1043">
        <v>4.0000000000000001E-3</v>
      </c>
      <c r="E430" s="1371"/>
      <c r="F430" s="1371"/>
      <c r="G430" s="1371"/>
      <c r="H430" s="1371"/>
      <c r="I430" s="1371"/>
      <c r="J430" s="1371"/>
      <c r="K430" s="1371"/>
      <c r="L430" s="1371"/>
      <c r="M430" s="1051"/>
      <c r="N430" s="996"/>
      <c r="O430" s="1067"/>
      <c r="P430" s="1067"/>
      <c r="Q430" s="1067"/>
      <c r="R430" s="1067"/>
      <c r="S430" s="1067"/>
      <c r="T430" s="996"/>
      <c r="U430" s="996"/>
    </row>
    <row r="431" spans="2:21" s="1201" customFormat="1" ht="15.5" hidden="1" x14ac:dyDescent="0.35">
      <c r="B431" s="1371"/>
      <c r="C431" s="1371" t="s">
        <v>378</v>
      </c>
      <c r="D431" s="1372">
        <v>4.0000000000000001E-3</v>
      </c>
      <c r="E431" s="1371"/>
      <c r="F431" s="1371"/>
      <c r="G431" s="1371"/>
      <c r="H431" s="1371"/>
      <c r="I431" s="1371"/>
      <c r="J431" s="1371"/>
      <c r="K431" s="1371"/>
      <c r="L431" s="1371"/>
      <c r="M431" s="1051"/>
      <c r="N431" s="996"/>
      <c r="O431" s="996"/>
      <c r="P431" s="996"/>
      <c r="Q431" s="996"/>
      <c r="R431" s="996"/>
      <c r="S431" s="996"/>
      <c r="T431" s="996"/>
      <c r="U431" s="996"/>
    </row>
    <row r="432" spans="2:21" s="1201" customFormat="1" ht="15.5" hidden="1" x14ac:dyDescent="0.35">
      <c r="B432" s="1371"/>
      <c r="C432" s="1371"/>
      <c r="D432" s="1371"/>
      <c r="E432" s="1371"/>
      <c r="F432" s="1371"/>
      <c r="G432" s="1371"/>
      <c r="H432" s="1371"/>
      <c r="I432" s="1371"/>
      <c r="J432" s="1371"/>
      <c r="K432" s="1371"/>
      <c r="L432" s="1371"/>
      <c r="M432" s="1051"/>
      <c r="N432" s="996"/>
      <c r="O432" s="996"/>
      <c r="P432" s="996"/>
      <c r="Q432" s="996"/>
      <c r="R432" s="996"/>
      <c r="S432" s="996"/>
      <c r="T432" s="996"/>
      <c r="U432" s="996"/>
    </row>
    <row r="433" spans="2:23" s="1201" customFormat="1" ht="15.5" hidden="1" x14ac:dyDescent="0.35">
      <c r="B433" s="1371"/>
      <c r="C433" s="1039" t="s">
        <v>440</v>
      </c>
      <c r="D433" s="1061" t="e">
        <f>($D$430*D423*44/28)+($D$431*D427*44/28)</f>
        <v>#DIV/0!</v>
      </c>
      <c r="E433" s="1061">
        <f t="shared" ref="E433:J433" si="43">($D$430*E423*44/28)+($D$431*E427*44/28)</f>
        <v>0</v>
      </c>
      <c r="F433" s="1061">
        <f t="shared" si="43"/>
        <v>0</v>
      </c>
      <c r="G433" s="1061">
        <f t="shared" si="43"/>
        <v>0</v>
      </c>
      <c r="H433" s="1061">
        <f t="shared" si="43"/>
        <v>0</v>
      </c>
      <c r="I433" s="1061">
        <f t="shared" si="43"/>
        <v>0</v>
      </c>
      <c r="J433" s="1061">
        <f t="shared" si="43"/>
        <v>0</v>
      </c>
      <c r="K433" s="1061">
        <f>($D$430*K423*44/28)+($D$431*K427*44/28)</f>
        <v>0</v>
      </c>
      <c r="L433" s="1039" t="s">
        <v>298</v>
      </c>
      <c r="M433" s="1419"/>
      <c r="N433" s="996"/>
      <c r="O433" s="1420"/>
      <c r="P433" s="996"/>
      <c r="Q433" s="996"/>
      <c r="R433" s="996"/>
      <c r="S433" s="996"/>
      <c r="T433" s="996"/>
      <c r="U433" s="996"/>
    </row>
    <row r="434" spans="2:23" s="1201" customFormat="1" ht="15.5" hidden="1" x14ac:dyDescent="0.35">
      <c r="B434" s="1371"/>
      <c r="C434" s="1371"/>
      <c r="D434" s="1046"/>
      <c r="E434" s="1046"/>
      <c r="F434" s="1046"/>
      <c r="G434" s="1046"/>
      <c r="H434" s="1046"/>
      <c r="I434" s="1046"/>
      <c r="J434" s="1046"/>
      <c r="K434" s="1046"/>
      <c r="L434" s="1371"/>
      <c r="M434" s="1051"/>
      <c r="N434" s="894"/>
      <c r="O434" s="894"/>
      <c r="P434" s="894"/>
      <c r="Q434" s="894"/>
      <c r="R434" s="894"/>
      <c r="S434" s="894"/>
      <c r="T434" s="894"/>
      <c r="U434" s="894"/>
      <c r="V434" s="894"/>
      <c r="W434" s="894"/>
    </row>
    <row r="435" spans="2:23" s="1201" customFormat="1" ht="15.5" hidden="1" x14ac:dyDescent="0.35">
      <c r="B435" s="1037" t="s">
        <v>379</v>
      </c>
      <c r="C435" s="1371"/>
      <c r="D435" s="1046"/>
      <c r="E435" s="1046"/>
      <c r="F435" s="1046"/>
      <c r="G435" s="1046"/>
      <c r="H435" s="1046"/>
      <c r="I435" s="1046"/>
      <c r="J435" s="1046"/>
      <c r="K435" s="1046"/>
      <c r="L435" s="1371"/>
      <c r="M435" s="1051"/>
      <c r="N435" s="894"/>
      <c r="O435" s="894"/>
      <c r="P435" s="894"/>
      <c r="Q435" s="894"/>
      <c r="R435" s="894"/>
      <c r="S435" s="894"/>
      <c r="T435" s="894"/>
      <c r="U435" s="894"/>
      <c r="V435" s="894"/>
      <c r="W435" s="894"/>
    </row>
    <row r="436" spans="2:23" s="1201" customFormat="1" ht="15.5" hidden="1" x14ac:dyDescent="0.35">
      <c r="B436" s="1371"/>
      <c r="C436" s="1039" t="s">
        <v>440</v>
      </c>
      <c r="D436" s="1139" t="e">
        <f>D388+D433</f>
        <v>#DIV/0!</v>
      </c>
      <c r="E436" s="1139">
        <f>E388+E433</f>
        <v>0</v>
      </c>
      <c r="F436" s="1139">
        <f>F388+F433</f>
        <v>0</v>
      </c>
      <c r="G436" s="1139">
        <f t="shared" ref="G436:J436" si="44">G388+G433</f>
        <v>0</v>
      </c>
      <c r="H436" s="1139">
        <f t="shared" si="44"/>
        <v>0</v>
      </c>
      <c r="I436" s="1139">
        <f t="shared" si="44"/>
        <v>0</v>
      </c>
      <c r="J436" s="1139">
        <f t="shared" si="44"/>
        <v>0</v>
      </c>
      <c r="K436" s="1139">
        <f>K388+K433</f>
        <v>0</v>
      </c>
      <c r="L436" s="1039" t="s">
        <v>298</v>
      </c>
      <c r="M436" s="1418"/>
      <c r="N436" s="894"/>
      <c r="O436" s="894"/>
      <c r="P436" s="894"/>
      <c r="Q436" s="894"/>
      <c r="R436" s="894"/>
      <c r="S436" s="894"/>
      <c r="T436" s="894"/>
      <c r="U436" s="894"/>
      <c r="V436" s="894"/>
      <c r="W436" s="894"/>
    </row>
    <row r="437" spans="2:23" s="1201" customFormat="1" ht="15.5" hidden="1" x14ac:dyDescent="0.35">
      <c r="B437" s="1371"/>
      <c r="C437" s="1039"/>
      <c r="D437" s="1040"/>
      <c r="E437" s="1040"/>
      <c r="F437" s="1040"/>
      <c r="G437" s="1040"/>
      <c r="H437" s="1040"/>
      <c r="I437" s="1040"/>
      <c r="J437" s="1040"/>
      <c r="K437" s="1040"/>
      <c r="L437" s="1039"/>
      <c r="M437" s="1064"/>
      <c r="N437" s="894"/>
      <c r="O437" s="894"/>
      <c r="P437" s="894"/>
      <c r="Q437" s="894"/>
      <c r="R437" s="894"/>
      <c r="S437" s="894"/>
      <c r="T437" s="894"/>
      <c r="U437" s="894"/>
      <c r="V437" s="894"/>
      <c r="W437" s="894"/>
    </row>
    <row r="438" spans="2:23" s="1201" customFormat="1" ht="15.5" hidden="1" x14ac:dyDescent="0.35">
      <c r="B438" s="1037" t="s">
        <v>263</v>
      </c>
      <c r="C438" s="1417" t="e">
        <f>SUM(D436:K436)</f>
        <v>#DIV/0!</v>
      </c>
      <c r="D438" s="1040"/>
      <c r="E438" s="1040"/>
      <c r="F438" s="1040"/>
      <c r="G438" s="1040"/>
      <c r="H438" s="1040"/>
      <c r="I438" s="1040"/>
      <c r="J438" s="1040"/>
      <c r="K438" s="1040"/>
      <c r="L438" s="1039" t="s">
        <v>299</v>
      </c>
      <c r="M438" s="1064"/>
      <c r="N438" s="894"/>
      <c r="O438" s="894"/>
      <c r="P438" s="894"/>
      <c r="Q438" s="894"/>
      <c r="R438" s="894"/>
      <c r="S438" s="894"/>
      <c r="T438" s="894"/>
      <c r="U438" s="894"/>
      <c r="V438" s="894"/>
      <c r="W438" s="894"/>
    </row>
    <row r="439" spans="2:23" s="1201" customFormat="1" ht="15.5" hidden="1" x14ac:dyDescent="0.35">
      <c r="B439" s="1037" t="s">
        <v>263</v>
      </c>
      <c r="C439" s="1082" t="e">
        <f>C438*298</f>
        <v>#DIV/0!</v>
      </c>
      <c r="D439" s="1371"/>
      <c r="E439" s="1371"/>
      <c r="F439" s="1371"/>
      <c r="G439" s="1371"/>
      <c r="H439" s="1371"/>
      <c r="I439" s="1371"/>
      <c r="J439" s="1371"/>
      <c r="K439" s="1371"/>
      <c r="L439" s="1039" t="s">
        <v>265</v>
      </c>
      <c r="M439" s="1064"/>
      <c r="N439" s="894"/>
      <c r="O439" s="894"/>
      <c r="P439" s="894"/>
      <c r="Q439" s="894"/>
      <c r="R439" s="894"/>
      <c r="S439" s="894"/>
      <c r="T439" s="894"/>
      <c r="U439" s="894"/>
      <c r="V439" s="894"/>
      <c r="W439" s="894"/>
    </row>
    <row r="440" spans="2:23" s="1201" customFormat="1" ht="15.5" hidden="1" x14ac:dyDescent="0.35">
      <c r="B440" s="1037" t="s">
        <v>263</v>
      </c>
      <c r="C440" s="1082" t="e">
        <f>C439*10^3</f>
        <v>#DIV/0!</v>
      </c>
      <c r="D440" s="1371"/>
      <c r="E440" s="1369"/>
      <c r="F440" s="1371"/>
      <c r="G440" s="1371"/>
      <c r="H440" s="1371"/>
      <c r="I440" s="1371"/>
      <c r="J440" s="1371"/>
      <c r="K440" s="1371"/>
      <c r="L440" s="1039" t="s">
        <v>266</v>
      </c>
      <c r="M440" s="1064"/>
      <c r="N440" s="894"/>
      <c r="O440" s="894"/>
      <c r="P440" s="894"/>
      <c r="Q440" s="894"/>
      <c r="R440" s="894"/>
      <c r="S440" s="894"/>
      <c r="T440" s="894"/>
      <c r="U440" s="894"/>
      <c r="V440" s="894"/>
      <c r="W440" s="894"/>
    </row>
    <row r="441" spans="2:23" s="1201" customFormat="1" ht="15.5" hidden="1" x14ac:dyDescent="0.35">
      <c r="B441" s="1371"/>
      <c r="C441" s="1371"/>
      <c r="D441" s="1371"/>
      <c r="E441" s="1371"/>
      <c r="F441" s="1371"/>
      <c r="G441" s="1371"/>
      <c r="H441" s="1371"/>
      <c r="I441" s="1371"/>
      <c r="J441" s="1371"/>
      <c r="K441" s="1371"/>
      <c r="L441" s="1371"/>
      <c r="M441" s="1064"/>
      <c r="N441" s="894"/>
      <c r="O441" s="894"/>
      <c r="P441" s="894"/>
      <c r="Q441" s="894"/>
      <c r="R441" s="894"/>
      <c r="S441" s="894"/>
      <c r="T441" s="894"/>
      <c r="U441" s="894"/>
      <c r="V441" s="894"/>
      <c r="W441" s="894"/>
    </row>
    <row r="442" spans="2:23" s="1201" customFormat="1" ht="15.5" hidden="1" x14ac:dyDescent="0.35">
      <c r="B442" s="1037" t="s">
        <v>380</v>
      </c>
      <c r="C442" s="1037" t="s">
        <v>381</v>
      </c>
      <c r="D442" s="1371"/>
      <c r="E442" s="1371"/>
      <c r="F442" s="1371"/>
      <c r="G442" s="1371"/>
      <c r="H442" s="1371"/>
      <c r="I442" s="1371"/>
      <c r="J442" s="1371"/>
      <c r="K442" s="1371"/>
      <c r="L442" s="1371"/>
      <c r="M442" s="1038" t="s">
        <v>1312</v>
      </c>
      <c r="N442" s="894"/>
      <c r="O442" s="894"/>
      <c r="P442" s="894"/>
      <c r="Q442" s="894"/>
      <c r="R442" s="894"/>
      <c r="S442" s="894"/>
      <c r="T442" s="894"/>
      <c r="U442" s="894"/>
      <c r="V442" s="894"/>
      <c r="W442" s="894"/>
    </row>
    <row r="443" spans="2:23" s="1201" customFormat="1" ht="15.5" hidden="1" x14ac:dyDescent="0.35">
      <c r="B443" s="1371"/>
      <c r="C443" s="1371" t="s">
        <v>383</v>
      </c>
      <c r="D443" s="1371"/>
      <c r="E443" s="1371"/>
      <c r="F443" s="1371"/>
      <c r="G443" s="1371"/>
      <c r="H443" s="1371"/>
      <c r="I443" s="1371"/>
      <c r="J443" s="1371"/>
      <c r="K443" s="1371"/>
      <c r="L443" s="1371" t="s">
        <v>307</v>
      </c>
      <c r="M443" s="1038"/>
      <c r="N443" s="894"/>
      <c r="O443" s="894"/>
      <c r="P443" s="894"/>
      <c r="Q443" s="894"/>
      <c r="R443" s="894"/>
      <c r="S443" s="894"/>
      <c r="T443" s="894"/>
      <c r="U443" s="894"/>
      <c r="V443" s="894"/>
      <c r="W443" s="894"/>
    </row>
    <row r="444" spans="2:23" s="1201" customFormat="1" ht="15.5" hidden="1" x14ac:dyDescent="0.35">
      <c r="B444" s="1371"/>
      <c r="C444" s="1371" t="s">
        <v>306</v>
      </c>
      <c r="D444" s="1371"/>
      <c r="E444" s="1371"/>
      <c r="F444" s="1371"/>
      <c r="G444" s="1371"/>
      <c r="H444" s="1371"/>
      <c r="I444" s="1371"/>
      <c r="J444" s="1371"/>
      <c r="K444" s="1371"/>
      <c r="L444" s="1068" t="s">
        <v>307</v>
      </c>
      <c r="M444" s="1038"/>
      <c r="N444" s="894"/>
      <c r="O444" s="894"/>
      <c r="P444" s="894"/>
      <c r="Q444" s="894"/>
      <c r="R444" s="894"/>
      <c r="S444" s="894"/>
      <c r="T444" s="894"/>
      <c r="U444" s="894"/>
      <c r="V444" s="894"/>
      <c r="W444" s="894"/>
    </row>
    <row r="445" spans="2:23" s="1201" customFormat="1" ht="15.5" hidden="1" x14ac:dyDescent="0.35">
      <c r="B445" s="1371"/>
      <c r="C445" s="1371" t="s">
        <v>1299</v>
      </c>
      <c r="D445" s="1371">
        <v>0.1</v>
      </c>
      <c r="E445" s="1371"/>
      <c r="F445" s="1371"/>
      <c r="G445" s="1371"/>
      <c r="H445" s="1371"/>
      <c r="I445" s="1371"/>
      <c r="J445" s="1371"/>
      <c r="K445" s="1371"/>
      <c r="L445" s="1068" t="s">
        <v>384</v>
      </c>
      <c r="M445" s="1038"/>
      <c r="N445" s="894"/>
      <c r="O445" s="894"/>
      <c r="P445" s="894"/>
      <c r="Q445" s="894"/>
      <c r="R445" s="894"/>
      <c r="S445" s="894"/>
      <c r="T445" s="894"/>
      <c r="U445" s="894"/>
      <c r="V445" s="894"/>
      <c r="W445" s="894"/>
    </row>
    <row r="446" spans="2:23" s="1201" customFormat="1" ht="15.5" hidden="1" x14ac:dyDescent="0.35">
      <c r="B446" s="1371"/>
      <c r="C446" s="1371"/>
      <c r="D446" s="1371"/>
      <c r="E446" s="1371"/>
      <c r="F446" s="1371"/>
      <c r="G446" s="1371"/>
      <c r="H446" s="1371"/>
      <c r="I446" s="1371"/>
      <c r="J446" s="1371"/>
      <c r="K446" s="1371"/>
      <c r="L446" s="1068"/>
      <c r="M446" s="1038"/>
      <c r="N446" s="894"/>
      <c r="O446" s="894"/>
      <c r="P446" s="894"/>
      <c r="Q446" s="894"/>
      <c r="R446" s="894"/>
      <c r="S446" s="894"/>
      <c r="T446" s="894"/>
      <c r="U446" s="894"/>
      <c r="V446" s="894"/>
      <c r="W446" s="894"/>
    </row>
    <row r="447" spans="2:23" s="1201" customFormat="1" ht="15.5" hidden="1" x14ac:dyDescent="0.35">
      <c r="B447" s="1371" t="s">
        <v>385</v>
      </c>
      <c r="C447" s="1043" t="s">
        <v>807</v>
      </c>
      <c r="D447" s="1200">
        <f>D346*D445</f>
        <v>0</v>
      </c>
      <c r="E447" s="1136"/>
      <c r="F447" s="1050"/>
      <c r="G447" s="1371"/>
      <c r="H447" s="1371"/>
      <c r="I447" s="1371"/>
      <c r="J447" s="1371"/>
      <c r="K447" s="1371"/>
      <c r="L447" s="1068" t="s">
        <v>438</v>
      </c>
      <c r="M447" s="1143"/>
      <c r="N447" s="894"/>
      <c r="O447" s="894"/>
      <c r="P447" s="894"/>
      <c r="Q447" s="894"/>
      <c r="R447" s="894"/>
      <c r="S447" s="894"/>
      <c r="T447" s="894"/>
      <c r="U447" s="894"/>
      <c r="V447" s="894"/>
      <c r="W447" s="894"/>
    </row>
    <row r="448" spans="2:23" s="1201" customFormat="1" ht="15.5" hidden="1" x14ac:dyDescent="0.35">
      <c r="B448" s="1371"/>
      <c r="C448" s="1043" t="s">
        <v>817</v>
      </c>
      <c r="D448" s="1200">
        <f>D347*D445</f>
        <v>0</v>
      </c>
      <c r="E448" s="1044"/>
      <c r="F448" s="1371"/>
      <c r="G448" s="1371"/>
      <c r="H448" s="1371"/>
      <c r="I448" s="1371"/>
      <c r="J448" s="1371"/>
      <c r="K448" s="1371"/>
      <c r="L448" s="1068" t="s">
        <v>438</v>
      </c>
      <c r="M448" s="1143"/>
      <c r="N448" s="894"/>
      <c r="O448" s="894"/>
      <c r="P448" s="894"/>
      <c r="Q448" s="894"/>
      <c r="R448" s="894"/>
      <c r="S448" s="894"/>
      <c r="T448" s="894"/>
      <c r="U448" s="894"/>
      <c r="V448" s="894"/>
      <c r="W448" s="894"/>
    </row>
    <row r="449" spans="2:24" s="1201" customFormat="1" ht="15.5" hidden="1" x14ac:dyDescent="0.35">
      <c r="B449" s="1371"/>
      <c r="C449" s="1043"/>
      <c r="D449" s="1200"/>
      <c r="E449" s="1044"/>
      <c r="F449" s="1371"/>
      <c r="G449" s="1371"/>
      <c r="H449" s="1371"/>
      <c r="I449" s="1371"/>
      <c r="J449" s="1371"/>
      <c r="K449" s="1371"/>
      <c r="L449" s="1068"/>
      <c r="M449" s="1051"/>
      <c r="N449" s="894"/>
      <c r="O449" s="894"/>
      <c r="P449" s="894"/>
      <c r="Q449" s="894"/>
      <c r="R449" s="894"/>
      <c r="S449" s="894"/>
      <c r="T449" s="894"/>
      <c r="U449" s="894"/>
      <c r="V449" s="894"/>
      <c r="W449" s="894"/>
    </row>
    <row r="450" spans="2:24" s="1201" customFormat="1" ht="15.5" hidden="1" x14ac:dyDescent="0.35">
      <c r="B450" s="1371"/>
      <c r="C450" s="1043"/>
      <c r="D450" s="1200"/>
      <c r="E450" s="1044"/>
      <c r="F450" s="1371"/>
      <c r="G450" s="1371"/>
      <c r="H450" s="1371"/>
      <c r="I450" s="1371"/>
      <c r="J450" s="1371"/>
      <c r="K450" s="1371"/>
      <c r="L450" s="1068"/>
      <c r="M450" s="1038"/>
      <c r="N450" s="894"/>
      <c r="O450" s="894"/>
      <c r="P450" s="894"/>
      <c r="Q450" s="894"/>
      <c r="R450" s="894"/>
      <c r="S450" s="894"/>
      <c r="T450" s="894"/>
      <c r="U450" s="894"/>
      <c r="V450" s="894"/>
      <c r="W450" s="894"/>
    </row>
    <row r="451" spans="2:24" s="1201" customFormat="1" ht="15.5" hidden="1" x14ac:dyDescent="0.35">
      <c r="B451" s="1371"/>
      <c r="C451" s="1039"/>
      <c r="D451" s="1373"/>
      <c r="E451" s="1044"/>
      <c r="F451" s="1371"/>
      <c r="G451" s="1371"/>
      <c r="H451" s="1371"/>
      <c r="I451" s="1371"/>
      <c r="J451" s="1371"/>
      <c r="K451" s="1371"/>
      <c r="L451" s="1068"/>
      <c r="M451" s="1038"/>
      <c r="N451" s="894"/>
      <c r="O451" s="894"/>
      <c r="P451" s="894"/>
      <c r="Q451" s="894"/>
      <c r="R451" s="894"/>
      <c r="S451" s="894"/>
      <c r="T451" s="894"/>
      <c r="U451" s="894"/>
      <c r="V451" s="894"/>
      <c r="W451" s="894"/>
    </row>
    <row r="452" spans="2:24" s="1201" customFormat="1" ht="15.5" hidden="1" x14ac:dyDescent="0.35">
      <c r="B452" s="1037" t="s">
        <v>386</v>
      </c>
      <c r="C452" s="1037" t="s">
        <v>1310</v>
      </c>
      <c r="D452" s="1371"/>
      <c r="E452" s="1371"/>
      <c r="F452" s="1371"/>
      <c r="G452" s="1371"/>
      <c r="H452" s="1371"/>
      <c r="I452" s="1371"/>
      <c r="J452" s="1371"/>
      <c r="K452" s="1371"/>
      <c r="L452" s="1371"/>
      <c r="M452" s="1038" t="s">
        <v>1313</v>
      </c>
      <c r="N452" s="894"/>
      <c r="O452" s="894"/>
      <c r="P452" s="894"/>
      <c r="Q452" s="894"/>
      <c r="R452" s="894"/>
      <c r="S452" s="894"/>
      <c r="T452" s="894"/>
      <c r="U452" s="894"/>
      <c r="V452" s="894"/>
      <c r="W452" s="894"/>
    </row>
    <row r="453" spans="2:24" s="1201" customFormat="1" ht="15.5" hidden="1" x14ac:dyDescent="0.35">
      <c r="B453" s="1371"/>
      <c r="C453" s="1371" t="s">
        <v>1311</v>
      </c>
      <c r="D453" s="1371">
        <v>0.2</v>
      </c>
      <c r="E453" s="1371"/>
      <c r="F453" s="1371"/>
      <c r="G453" s="1371"/>
      <c r="H453" s="1371"/>
      <c r="I453" s="1371"/>
      <c r="J453" s="1371"/>
      <c r="K453" s="1371"/>
      <c r="L453" s="1371"/>
      <c r="M453" s="1038" t="s">
        <v>389</v>
      </c>
      <c r="N453" s="894"/>
      <c r="O453" s="894"/>
      <c r="P453" s="894"/>
      <c r="Q453" s="894"/>
      <c r="R453" s="894"/>
      <c r="S453" s="894"/>
      <c r="T453" s="894"/>
      <c r="U453" s="894"/>
      <c r="V453" s="894"/>
      <c r="W453" s="894"/>
    </row>
    <row r="454" spans="2:24" s="1201" customFormat="1" ht="15.5" hidden="1" x14ac:dyDescent="0.35">
      <c r="B454" s="1371"/>
      <c r="C454" s="1371"/>
      <c r="D454" s="1371"/>
      <c r="E454" s="1371"/>
      <c r="F454" s="1371"/>
      <c r="G454" s="1371"/>
      <c r="H454" s="1371"/>
      <c r="I454" s="1371"/>
      <c r="J454" s="1371"/>
      <c r="K454" s="1371"/>
      <c r="L454" s="1371"/>
      <c r="M454" s="1051"/>
      <c r="N454" s="894"/>
      <c r="O454" s="894"/>
      <c r="P454" s="894"/>
      <c r="Q454" s="894"/>
      <c r="R454" s="894"/>
      <c r="S454" s="894"/>
      <c r="T454" s="894"/>
      <c r="U454" s="894"/>
      <c r="V454" s="894"/>
      <c r="W454" s="894"/>
    </row>
    <row r="455" spans="2:24" s="1201" customFormat="1" ht="15.5" hidden="1" x14ac:dyDescent="0.35">
      <c r="B455" s="1371" t="s">
        <v>390</v>
      </c>
      <c r="C455" s="1039" t="s">
        <v>440</v>
      </c>
      <c r="D455" s="1200" t="e">
        <f>(D423+D427+D384)*D453</f>
        <v>#DIV/0!</v>
      </c>
      <c r="E455" s="1200">
        <f t="shared" ref="E455:I455" si="45">(E423+E427+E384)*$D$453</f>
        <v>0</v>
      </c>
      <c r="F455" s="1200">
        <f t="shared" si="45"/>
        <v>0</v>
      </c>
      <c r="G455" s="1200">
        <f t="shared" si="45"/>
        <v>0</v>
      </c>
      <c r="H455" s="1200">
        <f t="shared" si="45"/>
        <v>0</v>
      </c>
      <c r="I455" s="1200">
        <f t="shared" si="45"/>
        <v>0</v>
      </c>
      <c r="J455" s="1200">
        <f>(J423+J427+J384)*$D$453</f>
        <v>0</v>
      </c>
      <c r="K455" s="1200">
        <f>(K423+K427+K384)*$D$453</f>
        <v>0</v>
      </c>
      <c r="L455" s="1068" t="s">
        <v>288</v>
      </c>
      <c r="M455" s="1038"/>
      <c r="N455" s="894"/>
      <c r="O455" s="894"/>
      <c r="P455" s="894"/>
      <c r="Q455" s="894"/>
      <c r="R455" s="894"/>
      <c r="S455" s="894"/>
      <c r="T455" s="894"/>
      <c r="U455" s="894"/>
      <c r="V455" s="894"/>
      <c r="W455" s="894"/>
    </row>
    <row r="456" spans="2:24" s="1201" customFormat="1" ht="15.5" hidden="1" x14ac:dyDescent="0.35">
      <c r="B456" s="1371"/>
      <c r="C456" s="1371"/>
      <c r="D456" s="1040"/>
      <c r="E456" s="1372"/>
      <c r="F456" s="1372"/>
      <c r="G456" s="1372"/>
      <c r="H456" s="1371"/>
      <c r="I456" s="1371"/>
      <c r="J456" s="1371"/>
      <c r="K456" s="1371"/>
      <c r="L456" s="1371"/>
      <c r="M456" s="1051"/>
      <c r="N456" s="894"/>
      <c r="O456" s="894"/>
      <c r="P456" s="894"/>
      <c r="Q456" s="894"/>
      <c r="R456" s="894"/>
      <c r="S456" s="894"/>
      <c r="T456" s="894"/>
      <c r="U456" s="894"/>
      <c r="V456" s="894"/>
      <c r="W456" s="894"/>
    </row>
    <row r="457" spans="2:24" s="1201" customFormat="1" ht="15.5" hidden="1" x14ac:dyDescent="0.35">
      <c r="B457" s="1037" t="s">
        <v>391</v>
      </c>
      <c r="C457" s="1041" t="s">
        <v>392</v>
      </c>
      <c r="D457" s="1372"/>
      <c r="E457" s="1372"/>
      <c r="F457" s="1372"/>
      <c r="G457" s="1372"/>
      <c r="H457" s="1372"/>
      <c r="I457" s="1372"/>
      <c r="J457" s="1372"/>
      <c r="K457" s="1372"/>
      <c r="L457" s="1372" t="s">
        <v>307</v>
      </c>
      <c r="M457" s="1038" t="s">
        <v>393</v>
      </c>
      <c r="N457" s="894"/>
      <c r="O457" s="894"/>
      <c r="P457" s="894"/>
      <c r="Q457" s="894"/>
      <c r="R457" s="894"/>
      <c r="S457" s="894"/>
      <c r="T457" s="894"/>
      <c r="U457" s="894"/>
      <c r="V457" s="894"/>
      <c r="W457" s="894"/>
    </row>
    <row r="458" spans="2:24" s="1201" customFormat="1" ht="15.5" hidden="1" x14ac:dyDescent="0.35">
      <c r="B458" s="1371"/>
      <c r="C458" s="1372" t="s">
        <v>394</v>
      </c>
      <c r="D458" s="1372"/>
      <c r="E458" s="1372"/>
      <c r="F458" s="1372"/>
      <c r="G458" s="1372"/>
      <c r="H458" s="1372"/>
      <c r="I458" s="1372"/>
      <c r="J458" s="1372"/>
      <c r="K458" s="1372"/>
      <c r="L458" s="1372" t="s">
        <v>395</v>
      </c>
      <c r="M458" s="1038" t="s">
        <v>339</v>
      </c>
      <c r="N458" s="894"/>
      <c r="O458" s="894"/>
      <c r="P458" s="894"/>
      <c r="Q458" s="894"/>
      <c r="R458" s="894"/>
      <c r="S458" s="894"/>
      <c r="T458" s="894"/>
      <c r="U458" s="894"/>
      <c r="V458" s="894"/>
      <c r="W458" s="894"/>
    </row>
    <row r="459" spans="2:24" s="1201" customFormat="1" ht="15.5" hidden="1" x14ac:dyDescent="0.35">
      <c r="B459" s="1371"/>
      <c r="C459" s="1372" t="s">
        <v>396</v>
      </c>
      <c r="D459" s="1372"/>
      <c r="E459" s="1372"/>
      <c r="F459" s="1372"/>
      <c r="G459" s="1372"/>
      <c r="H459" s="1372"/>
      <c r="I459" s="1372"/>
      <c r="J459" s="1372"/>
      <c r="K459" s="1372"/>
      <c r="L459" s="1372"/>
      <c r="M459" s="1038"/>
      <c r="N459" s="894"/>
      <c r="O459" s="894"/>
      <c r="P459" s="894"/>
      <c r="Q459" s="894"/>
      <c r="R459" s="894"/>
      <c r="S459" s="894"/>
      <c r="T459" s="894"/>
      <c r="U459" s="894"/>
      <c r="V459" s="894"/>
      <c r="W459" s="894"/>
    </row>
    <row r="460" spans="2:24" s="1201" customFormat="1" ht="15.5" hidden="1" x14ac:dyDescent="0.35">
      <c r="B460" s="1371"/>
      <c r="C460" s="1371"/>
      <c r="D460" s="1371"/>
      <c r="E460" s="1372"/>
      <c r="F460" s="1372"/>
      <c r="G460" s="1372"/>
      <c r="H460" s="1371"/>
      <c r="I460" s="1371"/>
      <c r="J460" s="1371"/>
      <c r="K460" s="1371"/>
      <c r="L460" s="1371"/>
      <c r="M460" s="1051"/>
      <c r="N460" s="894"/>
      <c r="O460" s="894"/>
      <c r="P460" s="894"/>
      <c r="Q460" s="894"/>
      <c r="R460" s="894"/>
      <c r="S460" s="894"/>
      <c r="T460" s="894"/>
      <c r="U460" s="894"/>
      <c r="V460" s="894"/>
      <c r="W460" s="894"/>
    </row>
    <row r="461" spans="2:24" s="1201" customFormat="1" ht="15.5" hidden="1" x14ac:dyDescent="0.35">
      <c r="B461" s="1037" t="s">
        <v>397</v>
      </c>
      <c r="C461" s="1037" t="s">
        <v>349</v>
      </c>
      <c r="D461" s="1371"/>
      <c r="E461" s="1371"/>
      <c r="F461" s="1371"/>
      <c r="G461" s="1371"/>
      <c r="H461" s="1371"/>
      <c r="I461" s="1371"/>
      <c r="J461" s="1371"/>
      <c r="K461" s="1371"/>
      <c r="L461" s="1371"/>
      <c r="M461" s="1038" t="s">
        <v>1316</v>
      </c>
      <c r="N461" s="894"/>
      <c r="O461" s="894"/>
      <c r="P461" s="894"/>
      <c r="Q461" s="894"/>
      <c r="R461" s="894"/>
      <c r="S461" s="894"/>
      <c r="T461" s="894"/>
      <c r="U461" s="894"/>
      <c r="V461" s="894"/>
      <c r="W461" s="894"/>
    </row>
    <row r="462" spans="2:24" s="1201" customFormat="1" ht="15.5" hidden="1" x14ac:dyDescent="0.35">
      <c r="B462" s="1371"/>
      <c r="C462" s="1371" t="s">
        <v>399</v>
      </c>
      <c r="D462" s="1371"/>
      <c r="E462" s="1371"/>
      <c r="F462" s="1371"/>
      <c r="G462" s="1371"/>
      <c r="H462" s="1371"/>
      <c r="I462" s="1371"/>
      <c r="J462" s="1371"/>
      <c r="K462" s="1371"/>
      <c r="L462" s="1371" t="s">
        <v>307</v>
      </c>
      <c r="M462" s="1038"/>
      <c r="N462" s="894"/>
      <c r="O462" s="894"/>
      <c r="P462" s="894"/>
      <c r="Q462" s="894"/>
      <c r="R462" s="894"/>
      <c r="S462" s="894"/>
      <c r="T462" s="894"/>
      <c r="U462" s="894"/>
      <c r="V462" s="894"/>
      <c r="W462" s="894"/>
    </row>
    <row r="463" spans="2:24" s="1201" customFormat="1" ht="15.5" hidden="1" x14ac:dyDescent="0.35">
      <c r="B463" s="1371"/>
      <c r="C463" s="1371" t="s">
        <v>1300</v>
      </c>
      <c r="D463" s="1371">
        <v>4.0000000000000001E-3</v>
      </c>
      <c r="E463" s="1371"/>
      <c r="F463" s="1371"/>
      <c r="G463" s="1371"/>
      <c r="H463" s="1371"/>
      <c r="I463" s="1371"/>
      <c r="J463" s="1371"/>
      <c r="K463" s="1371"/>
      <c r="L463" s="1371" t="s">
        <v>315</v>
      </c>
      <c r="M463" s="1038"/>
      <c r="N463" s="996"/>
      <c r="V463" s="1084"/>
      <c r="W463" s="1084"/>
      <c r="X463" s="1084"/>
    </row>
    <row r="464" spans="2:24" s="1201" customFormat="1" ht="15.5" hidden="1" x14ac:dyDescent="0.35">
      <c r="B464" s="1371"/>
      <c r="C464" s="1371"/>
      <c r="D464" s="1371"/>
      <c r="E464" s="1371"/>
      <c r="F464" s="1371"/>
      <c r="G464" s="1371"/>
      <c r="H464" s="1371"/>
      <c r="I464" s="1371"/>
      <c r="J464" s="1371"/>
      <c r="K464" s="1371"/>
      <c r="L464" s="1371"/>
      <c r="M464" s="1038"/>
      <c r="N464" s="996"/>
      <c r="V464" s="1084"/>
    </row>
    <row r="465" spans="2:22" s="1201" customFormat="1" ht="15.5" hidden="1" x14ac:dyDescent="0.35">
      <c r="B465" s="1371" t="s">
        <v>385</v>
      </c>
      <c r="C465" s="1043" t="s">
        <v>807</v>
      </c>
      <c r="D465" s="1373">
        <f>D447*D463*44/28</f>
        <v>0</v>
      </c>
      <c r="E465" s="1136"/>
      <c r="F465" s="1371"/>
      <c r="G465" s="1371"/>
      <c r="H465" s="1371"/>
      <c r="I465" s="1371"/>
      <c r="J465" s="1371"/>
      <c r="K465" s="1371"/>
      <c r="L465" s="1068" t="s">
        <v>439</v>
      </c>
      <c r="M465" s="1038"/>
      <c r="N465" s="996"/>
      <c r="V465" s="1084"/>
    </row>
    <row r="466" spans="2:22" s="1201" customFormat="1" ht="15.5" hidden="1" x14ac:dyDescent="0.35">
      <c r="B466" s="1371"/>
      <c r="C466" s="1043" t="s">
        <v>817</v>
      </c>
      <c r="D466" s="1373">
        <f>D448*D463*44/28</f>
        <v>0</v>
      </c>
      <c r="E466" s="1374"/>
      <c r="F466" s="1371"/>
      <c r="G466" s="1371"/>
      <c r="H466" s="1371"/>
      <c r="I466" s="1371"/>
      <c r="J466" s="1371"/>
      <c r="K466" s="1371"/>
      <c r="L466" s="1068" t="s">
        <v>439</v>
      </c>
      <c r="M466" s="1038"/>
      <c r="N466" s="996"/>
      <c r="V466" s="1084"/>
    </row>
    <row r="467" spans="2:22" s="1201" customFormat="1" ht="15.5" hidden="1" x14ac:dyDescent="0.35">
      <c r="B467" s="1371"/>
      <c r="C467" s="1043"/>
      <c r="D467" s="1373"/>
      <c r="E467" s="1372"/>
      <c r="F467" s="1371"/>
      <c r="G467" s="1371"/>
      <c r="H467" s="1371"/>
      <c r="I467" s="1371"/>
      <c r="J467" s="1371"/>
      <c r="K467" s="1371"/>
      <c r="L467" s="1068"/>
      <c r="M467" s="1038"/>
      <c r="N467" s="996"/>
    </row>
    <row r="468" spans="2:22" s="1201" customFormat="1" ht="15.5" hidden="1" x14ac:dyDescent="0.35">
      <c r="B468" s="1371"/>
      <c r="C468" s="1043"/>
      <c r="D468" s="1373"/>
      <c r="E468" s="1372"/>
      <c r="F468" s="1371"/>
      <c r="G468" s="1371"/>
      <c r="H468" s="1371"/>
      <c r="I468" s="1371"/>
      <c r="J468" s="1371"/>
      <c r="K468" s="1371"/>
      <c r="L468" s="1068"/>
      <c r="M468" s="1038"/>
      <c r="N468" s="996"/>
    </row>
    <row r="469" spans="2:22" s="1201" customFormat="1" ht="15.5" hidden="1" x14ac:dyDescent="0.35">
      <c r="B469" s="1371"/>
      <c r="C469" s="1043"/>
      <c r="D469" s="1374"/>
      <c r="E469" s="1374"/>
      <c r="F469" s="1374"/>
      <c r="G469" s="1374"/>
      <c r="H469" s="1374"/>
      <c r="I469" s="1374"/>
      <c r="J469" s="1374"/>
      <c r="K469" s="1374"/>
      <c r="L469" s="1371"/>
      <c r="M469" s="1038"/>
      <c r="N469" s="996"/>
    </row>
    <row r="470" spans="2:22" s="1201" customFormat="1" ht="15.5" hidden="1" x14ac:dyDescent="0.35">
      <c r="B470" s="1371" t="s">
        <v>390</v>
      </c>
      <c r="C470" s="1039" t="s">
        <v>440</v>
      </c>
      <c r="D470" s="1369" t="e">
        <f t="shared" ref="D470:J470" si="46">D455*$D$463*44/28</f>
        <v>#DIV/0!</v>
      </c>
      <c r="E470" s="1369">
        <f t="shared" si="46"/>
        <v>0</v>
      </c>
      <c r="F470" s="1369">
        <f t="shared" si="46"/>
        <v>0</v>
      </c>
      <c r="G470" s="1369">
        <f t="shared" si="46"/>
        <v>0</v>
      </c>
      <c r="H470" s="1369">
        <f t="shared" si="46"/>
        <v>0</v>
      </c>
      <c r="I470" s="1369">
        <f t="shared" si="46"/>
        <v>0</v>
      </c>
      <c r="J470" s="1369">
        <f t="shared" si="46"/>
        <v>0</v>
      </c>
      <c r="K470" s="1369">
        <f>K455*$D$463*44/28</f>
        <v>0</v>
      </c>
      <c r="L470" s="1068" t="s">
        <v>439</v>
      </c>
      <c r="M470" s="1038"/>
      <c r="N470" s="996"/>
    </row>
    <row r="471" spans="2:22" s="1201" customFormat="1" ht="15.5" hidden="1" x14ac:dyDescent="0.35">
      <c r="B471" s="1371"/>
      <c r="C471" s="1041"/>
      <c r="D471" s="1131"/>
      <c r="E471" s="1371"/>
      <c r="F471" s="1371"/>
      <c r="G471" s="1371"/>
      <c r="H471" s="1371"/>
      <c r="I471" s="1371"/>
      <c r="J471" s="1371"/>
      <c r="K471" s="1371"/>
      <c r="L471" s="1371"/>
      <c r="M471" s="1038"/>
      <c r="N471" s="996"/>
    </row>
    <row r="472" spans="2:22" s="1201" customFormat="1" ht="15.5" hidden="1" x14ac:dyDescent="0.35">
      <c r="B472" s="1041" t="s">
        <v>223</v>
      </c>
      <c r="C472" s="1039" t="s">
        <v>440</v>
      </c>
      <c r="D472" s="1046" t="e">
        <f>SUM(D465:D466)+SUM(D470:K470)</f>
        <v>#DIV/0!</v>
      </c>
      <c r="E472" s="1040"/>
      <c r="F472" s="1040"/>
      <c r="G472" s="1040"/>
      <c r="H472" s="1040"/>
      <c r="I472" s="1040"/>
      <c r="J472" s="1040"/>
      <c r="K472" s="1040"/>
      <c r="L472" s="1068" t="s">
        <v>439</v>
      </c>
      <c r="M472" s="1051"/>
      <c r="N472" s="996"/>
    </row>
    <row r="473" spans="2:22" s="1201" customFormat="1" ht="15.5" hidden="1" x14ac:dyDescent="0.35">
      <c r="B473" s="1041"/>
      <c r="C473" s="1041"/>
      <c r="D473" s="1040"/>
      <c r="E473" s="1371"/>
      <c r="F473" s="1371"/>
      <c r="G473" s="1371"/>
      <c r="H473" s="1371"/>
      <c r="I473" s="1371"/>
      <c r="J473" s="1371"/>
      <c r="K473" s="1371"/>
      <c r="L473" s="1068"/>
      <c r="M473" s="1038"/>
      <c r="N473" s="996"/>
    </row>
    <row r="474" spans="2:22" s="1201" customFormat="1" ht="15.5" hidden="1" x14ac:dyDescent="0.35">
      <c r="B474" s="1037" t="s">
        <v>263</v>
      </c>
      <c r="C474" s="1050" t="e">
        <f>SUM(D472:D472)</f>
        <v>#DIV/0!</v>
      </c>
      <c r="D474" s="1040"/>
      <c r="E474" s="1371"/>
      <c r="F474" s="1371"/>
      <c r="G474" s="1039"/>
      <c r="H474" s="1039"/>
      <c r="I474" s="1039"/>
      <c r="J474" s="1039"/>
      <c r="K474" s="1039"/>
      <c r="L474" s="1068" t="s">
        <v>299</v>
      </c>
      <c r="M474" s="1038"/>
      <c r="N474" s="996"/>
    </row>
    <row r="475" spans="2:22" s="1201" customFormat="1" ht="15.5" hidden="1" x14ac:dyDescent="0.35">
      <c r="B475" s="1037" t="s">
        <v>400</v>
      </c>
      <c r="C475" s="1050" t="e">
        <f>C474*298</f>
        <v>#DIV/0!</v>
      </c>
      <c r="D475" s="1139"/>
      <c r="E475" s="1139"/>
      <c r="F475" s="1371"/>
      <c r="G475" s="1371"/>
      <c r="H475" s="1371"/>
      <c r="I475" s="1371"/>
      <c r="J475" s="1371"/>
      <c r="K475" s="1371"/>
      <c r="L475" s="1068" t="s">
        <v>265</v>
      </c>
      <c r="M475" s="1038"/>
      <c r="N475" s="996"/>
    </row>
    <row r="476" spans="2:22" s="1201" customFormat="1" ht="15.5" hidden="1" x14ac:dyDescent="0.35">
      <c r="B476" s="1371"/>
      <c r="C476" s="1371"/>
      <c r="D476" s="1371"/>
      <c r="E476" s="1371"/>
      <c r="F476" s="1371"/>
      <c r="G476" s="1371"/>
      <c r="H476" s="1371"/>
      <c r="I476" s="1371"/>
      <c r="J476" s="1371"/>
      <c r="K476" s="1371"/>
      <c r="L476" s="1371"/>
      <c r="M476" s="1038"/>
      <c r="N476" s="996"/>
    </row>
    <row r="477" spans="2:22" s="1201" customFormat="1" ht="15.5" hidden="1" x14ac:dyDescent="0.35">
      <c r="B477" s="1037" t="s">
        <v>401</v>
      </c>
      <c r="C477" s="1371"/>
      <c r="D477" s="1371"/>
      <c r="E477" s="1371"/>
      <c r="F477" s="1371"/>
      <c r="G477" s="1371"/>
      <c r="H477" s="1371"/>
      <c r="I477" s="1371"/>
      <c r="J477" s="1371"/>
      <c r="K477" s="1371"/>
      <c r="L477" s="1371"/>
      <c r="M477" s="1038"/>
      <c r="N477" s="996"/>
    </row>
    <row r="478" spans="2:22" s="1201" customFormat="1" ht="15.5" hidden="1" x14ac:dyDescent="0.35">
      <c r="B478" s="1037" t="s">
        <v>402</v>
      </c>
      <c r="C478" s="1037" t="s">
        <v>403</v>
      </c>
      <c r="D478" s="1371"/>
      <c r="E478" s="1371"/>
      <c r="F478" s="1371"/>
      <c r="G478" s="1371"/>
      <c r="H478" s="1371"/>
      <c r="I478" s="1371"/>
      <c r="J478" s="1371"/>
      <c r="K478" s="1371"/>
      <c r="L478" s="1371"/>
      <c r="M478" s="1038" t="s">
        <v>1314</v>
      </c>
      <c r="N478" s="996"/>
    </row>
    <row r="479" spans="2:22" s="1201" customFormat="1" ht="15.5" hidden="1" x14ac:dyDescent="0.35">
      <c r="B479" s="1371"/>
      <c r="C479" s="1371" t="s">
        <v>405</v>
      </c>
      <c r="D479" s="1371"/>
      <c r="E479" s="1371"/>
      <c r="F479" s="1371"/>
      <c r="G479" s="1371"/>
      <c r="H479" s="1371"/>
      <c r="I479" s="1371"/>
      <c r="J479" s="1371"/>
      <c r="K479" s="1371"/>
      <c r="L479" s="1371" t="s">
        <v>307</v>
      </c>
      <c r="M479" s="1038"/>
      <c r="N479" s="996"/>
    </row>
    <row r="480" spans="2:22" s="1201" customFormat="1" ht="15.5" hidden="1" x14ac:dyDescent="0.35">
      <c r="B480" s="1371"/>
      <c r="C480" s="1371" t="s">
        <v>406</v>
      </c>
      <c r="D480" s="1371">
        <v>1</v>
      </c>
      <c r="E480" s="1371"/>
      <c r="F480" s="1371"/>
      <c r="G480" s="1371"/>
      <c r="H480" s="1371"/>
      <c r="I480" s="1371"/>
      <c r="J480" s="1371"/>
      <c r="K480" s="1371"/>
      <c r="L480" s="1371"/>
      <c r="M480" s="1038" t="s">
        <v>1315</v>
      </c>
      <c r="N480" s="996"/>
    </row>
    <row r="481" spans="2:14" s="1201" customFormat="1" ht="15.5" hidden="1" x14ac:dyDescent="0.35">
      <c r="B481" s="1371"/>
      <c r="C481" s="1371" t="s">
        <v>408</v>
      </c>
      <c r="D481" s="1039">
        <v>0.3</v>
      </c>
      <c r="E481" s="1371"/>
      <c r="F481" s="1371"/>
      <c r="G481" s="1371"/>
      <c r="H481" s="1371"/>
      <c r="I481" s="1371"/>
      <c r="J481" s="1371"/>
      <c r="K481" s="1371"/>
      <c r="L481" s="1371" t="s">
        <v>384</v>
      </c>
      <c r="M481" s="1038"/>
      <c r="N481" s="1036"/>
    </row>
    <row r="482" spans="2:14" s="1201" customFormat="1" ht="15.5" hidden="1" x14ac:dyDescent="0.35">
      <c r="B482" s="1371"/>
      <c r="C482" s="1371"/>
      <c r="D482" s="1371"/>
      <c r="E482" s="1371"/>
      <c r="F482" s="1371"/>
      <c r="G482" s="1371"/>
      <c r="H482" s="1371"/>
      <c r="I482" s="1371"/>
      <c r="J482" s="1371"/>
      <c r="K482" s="1371"/>
      <c r="L482" s="1371"/>
      <c r="M482" s="1038"/>
      <c r="N482" s="996"/>
    </row>
    <row r="483" spans="2:14" s="1201" customFormat="1" ht="15.5" hidden="1" x14ac:dyDescent="0.35">
      <c r="B483" s="1371" t="s">
        <v>385</v>
      </c>
      <c r="C483" s="1043" t="s">
        <v>807</v>
      </c>
      <c r="D483" s="1373">
        <f>D346*D480*D481</f>
        <v>0</v>
      </c>
      <c r="E483" s="1373"/>
      <c r="F483" s="1371"/>
      <c r="G483" s="1371"/>
      <c r="H483" s="1371"/>
      <c r="I483" s="1371"/>
      <c r="J483" s="1371"/>
      <c r="K483" s="1371"/>
      <c r="L483" s="1371" t="s">
        <v>438</v>
      </c>
      <c r="M483" s="1038"/>
      <c r="N483" s="996"/>
    </row>
    <row r="484" spans="2:14" s="1201" customFormat="1" ht="15.5" hidden="1" x14ac:dyDescent="0.35">
      <c r="B484" s="1371"/>
      <c r="C484" s="1043" t="s">
        <v>817</v>
      </c>
      <c r="D484" s="1373">
        <f>D347*D480*D481</f>
        <v>0</v>
      </c>
      <c r="E484" s="1372"/>
      <c r="F484" s="1371"/>
      <c r="G484" s="1371"/>
      <c r="H484" s="1371"/>
      <c r="I484" s="1371"/>
      <c r="J484" s="1371"/>
      <c r="K484" s="1371"/>
      <c r="L484" s="1371" t="s">
        <v>438</v>
      </c>
      <c r="M484" s="1038"/>
      <c r="N484" s="996"/>
    </row>
    <row r="485" spans="2:14" s="1201" customFormat="1" ht="15.5" hidden="1" x14ac:dyDescent="0.35">
      <c r="B485" s="1371"/>
      <c r="C485" s="1043"/>
      <c r="D485" s="1373"/>
      <c r="E485" s="1372"/>
      <c r="F485" s="1371"/>
      <c r="G485" s="1371"/>
      <c r="H485" s="1371"/>
      <c r="I485" s="1371"/>
      <c r="J485" s="1371"/>
      <c r="K485" s="1371"/>
      <c r="L485" s="1371"/>
      <c r="M485" s="1038"/>
      <c r="N485" s="996"/>
    </row>
    <row r="486" spans="2:14" s="1201" customFormat="1" ht="15.5" hidden="1" x14ac:dyDescent="0.35">
      <c r="B486" s="1371"/>
      <c r="C486" s="1043"/>
      <c r="D486" s="1373"/>
      <c r="E486" s="1372"/>
      <c r="F486" s="1371"/>
      <c r="G486" s="1371"/>
      <c r="H486" s="1371"/>
      <c r="I486" s="1371"/>
      <c r="J486" s="1371"/>
      <c r="K486" s="1371"/>
      <c r="L486" s="1371"/>
      <c r="M486" s="1038"/>
      <c r="N486" s="996"/>
    </row>
    <row r="487" spans="2:14" s="1201" customFormat="1" ht="15.5" hidden="1" x14ac:dyDescent="0.35">
      <c r="B487" s="1371"/>
      <c r="C487" s="1371"/>
      <c r="D487" s="1371"/>
      <c r="E487" s="1371"/>
      <c r="F487" s="1371"/>
      <c r="G487" s="1371"/>
      <c r="H487" s="1371"/>
      <c r="I487" s="1371"/>
      <c r="J487" s="1371"/>
      <c r="K487" s="1371"/>
      <c r="L487" s="1371"/>
      <c r="M487" s="1038"/>
      <c r="N487" s="996"/>
    </row>
    <row r="488" spans="2:14" s="1201" customFormat="1" ht="15.5" hidden="1" x14ac:dyDescent="0.35">
      <c r="B488" s="1037" t="s">
        <v>409</v>
      </c>
      <c r="C488" s="1037" t="s">
        <v>410</v>
      </c>
      <c r="D488" s="1371"/>
      <c r="E488" s="1371"/>
      <c r="F488" s="1371"/>
      <c r="G488" s="1371"/>
      <c r="H488" s="1371"/>
      <c r="I488" s="1371"/>
      <c r="J488" s="1371"/>
      <c r="K488" s="1371"/>
      <c r="L488" s="1371" t="s">
        <v>288</v>
      </c>
      <c r="M488" s="1038" t="s">
        <v>1317</v>
      </c>
      <c r="N488" s="996"/>
    </row>
    <row r="489" spans="2:14" s="1201" customFormat="1" ht="15.5" hidden="1" x14ac:dyDescent="0.35">
      <c r="B489" s="1371"/>
      <c r="C489" s="1371" t="s">
        <v>412</v>
      </c>
      <c r="D489" s="1371"/>
      <c r="E489" s="1371"/>
      <c r="F489" s="1371"/>
      <c r="G489" s="1371"/>
      <c r="H489" s="1371"/>
      <c r="I489" s="1371"/>
      <c r="J489" s="1371"/>
      <c r="K489" s="1371"/>
      <c r="L489" s="1371" t="s">
        <v>288</v>
      </c>
      <c r="M489" s="1038"/>
      <c r="N489" s="996"/>
    </row>
    <row r="490" spans="2:14" s="1201" customFormat="1" ht="15.5" hidden="1" x14ac:dyDescent="0.35">
      <c r="B490" s="1371"/>
      <c r="C490" s="1371" t="s">
        <v>413</v>
      </c>
      <c r="D490" s="1371"/>
      <c r="E490" s="1371"/>
      <c r="F490" s="1371"/>
      <c r="G490" s="1371"/>
      <c r="H490" s="1371"/>
      <c r="I490" s="1371"/>
      <c r="J490" s="1371"/>
      <c r="K490" s="1371"/>
      <c r="L490" s="1371" t="s">
        <v>288</v>
      </c>
      <c r="M490" s="1038"/>
      <c r="N490" s="996"/>
    </row>
    <row r="491" spans="2:14" s="1201" customFormat="1" ht="15.5" hidden="1" x14ac:dyDescent="0.35">
      <c r="B491" s="1371"/>
      <c r="C491" s="1371" t="s">
        <v>414</v>
      </c>
      <c r="D491" s="1371"/>
      <c r="E491" s="1371"/>
      <c r="F491" s="1371"/>
      <c r="G491" s="1371"/>
      <c r="H491" s="1371"/>
      <c r="I491" s="1371"/>
      <c r="J491" s="1371"/>
      <c r="K491" s="1371"/>
      <c r="L491" s="1371" t="s">
        <v>288</v>
      </c>
      <c r="M491" s="1038"/>
      <c r="N491" s="996"/>
    </row>
    <row r="492" spans="2:14" s="1201" customFormat="1" ht="15.5" hidden="1" x14ac:dyDescent="0.35">
      <c r="B492" s="1371"/>
      <c r="C492" s="1371"/>
      <c r="D492" s="1371"/>
      <c r="E492" s="1371"/>
      <c r="F492" s="1371"/>
      <c r="G492" s="1371"/>
      <c r="H492" s="1371"/>
      <c r="I492" s="1371"/>
      <c r="J492" s="1371"/>
      <c r="K492" s="1371"/>
      <c r="L492" s="1371"/>
      <c r="M492" s="1038"/>
      <c r="N492" s="996"/>
    </row>
    <row r="493" spans="2:14" s="1201" customFormat="1" ht="15.5" hidden="1" x14ac:dyDescent="0.35">
      <c r="B493" s="1371"/>
      <c r="C493" s="1039" t="s">
        <v>440</v>
      </c>
      <c r="D493" s="1046" t="e">
        <f>SUM(D384,D427,D423)*$D$480*$D$481</f>
        <v>#DIV/0!</v>
      </c>
      <c r="E493" s="1046">
        <f t="shared" ref="E493:J493" si="47">SUM(E384,E427,E423)*$D$480*$D$481</f>
        <v>0</v>
      </c>
      <c r="F493" s="1046">
        <f t="shared" si="47"/>
        <v>0</v>
      </c>
      <c r="G493" s="1046">
        <f t="shared" si="47"/>
        <v>0</v>
      </c>
      <c r="H493" s="1046">
        <f t="shared" si="47"/>
        <v>0</v>
      </c>
      <c r="I493" s="1046">
        <f t="shared" si="47"/>
        <v>0</v>
      </c>
      <c r="J493" s="1046">
        <f t="shared" si="47"/>
        <v>0</v>
      </c>
      <c r="K493" s="1046">
        <f>SUM(K384,K427,K423)*$D$480*$D$481</f>
        <v>0</v>
      </c>
      <c r="L493" s="1371" t="s">
        <v>288</v>
      </c>
      <c r="M493" s="1038"/>
      <c r="N493" s="996"/>
    </row>
    <row r="494" spans="2:14" s="1201" customFormat="1" ht="15.5" hidden="1" x14ac:dyDescent="0.35">
      <c r="B494" s="1371"/>
      <c r="C494" s="1371"/>
      <c r="D494" s="1371"/>
      <c r="E494" s="1371"/>
      <c r="F494" s="1371"/>
      <c r="G494" s="1371"/>
      <c r="H494" s="1371"/>
      <c r="I494" s="1371"/>
      <c r="J494" s="1371"/>
      <c r="K494" s="1371"/>
      <c r="L494" s="1371"/>
      <c r="M494" s="1038"/>
      <c r="N494" s="996"/>
    </row>
    <row r="495" spans="2:14" s="1201" customFormat="1" ht="15.5" hidden="1" x14ac:dyDescent="0.35">
      <c r="B495" s="1037" t="s">
        <v>415</v>
      </c>
      <c r="C495" s="1037" t="s">
        <v>349</v>
      </c>
      <c r="D495" s="1371"/>
      <c r="E495" s="1371"/>
      <c r="F495" s="1371"/>
      <c r="G495" s="1371"/>
      <c r="H495" s="1371"/>
      <c r="I495" s="1371"/>
      <c r="J495" s="1371"/>
      <c r="K495" s="1371"/>
      <c r="L495" s="1371"/>
      <c r="M495" s="1038" t="s">
        <v>1318</v>
      </c>
      <c r="N495" s="996"/>
    </row>
    <row r="496" spans="2:14" s="1201" customFormat="1" ht="15.5" hidden="1" x14ac:dyDescent="0.35">
      <c r="B496" s="1371"/>
      <c r="C496" s="1371" t="s">
        <v>417</v>
      </c>
      <c r="D496" s="1371"/>
      <c r="E496" s="1371"/>
      <c r="F496" s="1371"/>
      <c r="G496" s="1371"/>
      <c r="H496" s="1371"/>
      <c r="I496" s="1371"/>
      <c r="J496" s="1371"/>
      <c r="K496" s="1371"/>
      <c r="L496" s="1371" t="s">
        <v>307</v>
      </c>
      <c r="M496" s="1038"/>
      <c r="N496" s="996"/>
    </row>
    <row r="497" spans="1:51" s="1201" customFormat="1" ht="15.5" hidden="1" x14ac:dyDescent="0.35">
      <c r="B497" s="1371"/>
      <c r="C497" s="1371" t="s">
        <v>1301</v>
      </c>
      <c r="D497" s="1082">
        <v>7.4999999999999997E-3</v>
      </c>
      <c r="E497" s="1371"/>
      <c r="F497" s="1371"/>
      <c r="G497" s="1371"/>
      <c r="H497" s="1371"/>
      <c r="I497" s="1371"/>
      <c r="J497" s="1371"/>
      <c r="K497" s="1371"/>
      <c r="L497" s="1371" t="s">
        <v>315</v>
      </c>
      <c r="M497" s="1038"/>
      <c r="N497" s="996"/>
    </row>
    <row r="498" spans="1:51" s="1201" customFormat="1" ht="15.5" hidden="1" x14ac:dyDescent="0.35">
      <c r="B498" s="1371"/>
      <c r="C498" s="1371"/>
      <c r="D498" s="1046"/>
      <c r="E498" s="1371"/>
      <c r="F498" s="1371"/>
      <c r="G498" s="1371"/>
      <c r="H498" s="1371"/>
      <c r="I498" s="1371"/>
      <c r="J498" s="1371"/>
      <c r="K498" s="1371"/>
      <c r="L498" s="1371"/>
      <c r="M498" s="1038"/>
      <c r="N498" s="996"/>
    </row>
    <row r="499" spans="1:51" s="1201" customFormat="1" ht="15.5" hidden="1" x14ac:dyDescent="0.35">
      <c r="B499" s="1371" t="s">
        <v>385</v>
      </c>
      <c r="C499" s="1043" t="s">
        <v>807</v>
      </c>
      <c r="D499" s="1044">
        <f>D483*D497*44/28</f>
        <v>0</v>
      </c>
      <c r="E499" s="1200"/>
      <c r="F499" s="1371"/>
      <c r="G499" s="1369"/>
      <c r="H499" s="1371"/>
      <c r="I499" s="1371"/>
      <c r="J499" s="1371"/>
      <c r="K499" s="1371"/>
      <c r="L499" s="1371" t="s">
        <v>439</v>
      </c>
      <c r="M499" s="1038"/>
      <c r="N499" s="996"/>
    </row>
    <row r="500" spans="1:51" s="1201" customFormat="1" ht="15.5" hidden="1" x14ac:dyDescent="0.35">
      <c r="B500" s="1371"/>
      <c r="C500" s="1043" t="s">
        <v>817</v>
      </c>
      <c r="D500" s="1044">
        <f>D484*D497*44/28</f>
        <v>0</v>
      </c>
      <c r="E500" s="1372"/>
      <c r="F500" s="1371"/>
      <c r="G500" s="1369"/>
      <c r="H500" s="1371"/>
      <c r="I500" s="1371"/>
      <c r="J500" s="1371"/>
      <c r="K500" s="1371"/>
      <c r="L500" s="1371" t="s">
        <v>439</v>
      </c>
      <c r="M500" s="1038"/>
      <c r="N500" s="996"/>
    </row>
    <row r="501" spans="1:51" s="1201" customFormat="1" ht="15.5" hidden="1" x14ac:dyDescent="0.35">
      <c r="B501" s="1371"/>
      <c r="C501" s="1043"/>
      <c r="D501" s="1373"/>
      <c r="E501" s="1372"/>
      <c r="F501" s="1371"/>
      <c r="G501" s="1369"/>
      <c r="H501" s="1371"/>
      <c r="I501" s="1371"/>
      <c r="J501" s="1371"/>
      <c r="K501" s="1371"/>
      <c r="L501" s="1371"/>
      <c r="M501" s="1038"/>
      <c r="N501" s="996"/>
    </row>
    <row r="502" spans="1:51" s="1201" customFormat="1" ht="15.5" hidden="1" x14ac:dyDescent="0.35">
      <c r="B502" s="1371"/>
      <c r="C502" s="1043"/>
      <c r="D502" s="1373"/>
      <c r="E502" s="1372"/>
      <c r="F502" s="1371"/>
      <c r="G502" s="1369"/>
      <c r="H502" s="1371"/>
      <c r="I502" s="1371"/>
      <c r="J502" s="1371"/>
      <c r="K502" s="1371"/>
      <c r="L502" s="1371"/>
      <c r="M502" s="1038"/>
      <c r="N502" s="996"/>
    </row>
    <row r="503" spans="1:51" s="1201" customFormat="1" ht="15.5" hidden="1" x14ac:dyDescent="0.35">
      <c r="B503" s="1371"/>
      <c r="C503" s="1371"/>
      <c r="D503" s="1369"/>
      <c r="E503" s="1369"/>
      <c r="F503" s="1369"/>
      <c r="G503" s="1369"/>
      <c r="H503" s="1369"/>
      <c r="I503" s="1369"/>
      <c r="J503" s="1369"/>
      <c r="K503" s="1369"/>
      <c r="L503" s="1371"/>
      <c r="M503" s="1038"/>
      <c r="N503" s="996"/>
    </row>
    <row r="504" spans="1:51" s="1201" customFormat="1" ht="15.5" hidden="1" x14ac:dyDescent="0.35">
      <c r="B504" s="1371" t="s">
        <v>390</v>
      </c>
      <c r="C504" s="1039" t="s">
        <v>440</v>
      </c>
      <c r="D504" s="1050" t="e">
        <f>$D$497*D493*44/28</f>
        <v>#DIV/0!</v>
      </c>
      <c r="E504" s="1050">
        <f t="shared" ref="E504:J504" si="48">$D$497*E493*44/28</f>
        <v>0</v>
      </c>
      <c r="F504" s="1050">
        <f t="shared" si="48"/>
        <v>0</v>
      </c>
      <c r="G504" s="1050">
        <f t="shared" si="48"/>
        <v>0</v>
      </c>
      <c r="H504" s="1050">
        <f t="shared" si="48"/>
        <v>0</v>
      </c>
      <c r="I504" s="1050">
        <f t="shared" si="48"/>
        <v>0</v>
      </c>
      <c r="J504" s="1050">
        <f t="shared" si="48"/>
        <v>0</v>
      </c>
      <c r="K504" s="1050">
        <f>$D$497*K493*44/28</f>
        <v>0</v>
      </c>
      <c r="L504" s="1371" t="s">
        <v>298</v>
      </c>
      <c r="M504" s="1038"/>
      <c r="N504" s="996"/>
    </row>
    <row r="505" spans="1:51" s="1201" customFormat="1" ht="17.5" hidden="1" x14ac:dyDescent="0.35">
      <c r="A505" s="1144"/>
      <c r="B505" s="1371"/>
      <c r="C505" s="1039"/>
      <c r="D505" s="1046"/>
      <c r="E505" s="1046"/>
      <c r="F505" s="1046"/>
      <c r="G505" s="1046"/>
      <c r="H505" s="1046"/>
      <c r="I505" s="1046"/>
      <c r="J505" s="1046"/>
      <c r="K505" s="1046"/>
      <c r="L505" s="1371"/>
      <c r="M505" s="1038"/>
      <c r="N505" s="996"/>
      <c r="O505" s="995"/>
      <c r="P505" s="995"/>
      <c r="Q505" s="995"/>
      <c r="R505" s="995"/>
      <c r="S505" s="995"/>
      <c r="T505" s="995"/>
      <c r="U505" s="995"/>
      <c r="AI505" s="995"/>
      <c r="AJ505" s="995"/>
      <c r="AK505" s="995"/>
      <c r="AL505" s="995"/>
      <c r="AM505" s="995"/>
      <c r="AN505" s="995"/>
      <c r="AO505" s="995"/>
      <c r="AP505" s="995"/>
      <c r="AQ505" s="995"/>
      <c r="AR505" s="995"/>
      <c r="AS505" s="995"/>
      <c r="AT505" s="995"/>
      <c r="AU505" s="995"/>
      <c r="AV505" s="995"/>
      <c r="AW505" s="995"/>
      <c r="AX505" s="995"/>
      <c r="AY505" s="995"/>
    </row>
    <row r="506" spans="1:51" s="1201" customFormat="1" ht="17.5" hidden="1" x14ac:dyDescent="0.35">
      <c r="A506" s="1144"/>
      <c r="B506" s="1037" t="s">
        <v>223</v>
      </c>
      <c r="C506" s="1039" t="s">
        <v>440</v>
      </c>
      <c r="D506" s="1069" t="e">
        <f>SUM(D499:D500)+SUM(D504:K504)</f>
        <v>#DIV/0!</v>
      </c>
      <c r="E506" s="1373"/>
      <c r="F506" s="1040"/>
      <c r="G506" s="1040"/>
      <c r="H506" s="1040"/>
      <c r="I506" s="1040"/>
      <c r="J506" s="1040"/>
      <c r="K506" s="1040"/>
      <c r="L506" s="1371" t="s">
        <v>439</v>
      </c>
      <c r="M506" s="1038"/>
      <c r="N506" s="996"/>
      <c r="O506" s="894"/>
      <c r="P506" s="894"/>
      <c r="Q506" s="894"/>
      <c r="R506" s="894"/>
      <c r="S506" s="894"/>
      <c r="T506" s="894"/>
      <c r="U506" s="894"/>
      <c r="V506" s="894"/>
      <c r="W506" s="894"/>
      <c r="X506" s="894"/>
      <c r="Y506" s="894"/>
      <c r="Z506" s="894"/>
      <c r="AA506" s="894"/>
      <c r="AB506" s="894"/>
      <c r="AC506" s="894"/>
      <c r="AD506" s="894"/>
      <c r="AE506" s="894"/>
      <c r="AF506" s="894"/>
      <c r="AG506" s="894"/>
      <c r="AH506" s="894"/>
      <c r="AI506" s="995"/>
      <c r="AJ506" s="995"/>
      <c r="AK506" s="995"/>
      <c r="AL506" s="995"/>
      <c r="AM506" s="995"/>
      <c r="AN506" s="995"/>
      <c r="AO506" s="995"/>
      <c r="AP506" s="995"/>
      <c r="AQ506" s="995"/>
      <c r="AR506" s="995"/>
      <c r="AS506" s="995"/>
      <c r="AT506" s="995"/>
      <c r="AU506" s="995"/>
      <c r="AV506" s="995"/>
      <c r="AW506" s="995"/>
      <c r="AX506" s="995"/>
      <c r="AY506" s="995"/>
    </row>
    <row r="507" spans="1:51" s="1201" customFormat="1" ht="15.5" hidden="1" x14ac:dyDescent="0.35">
      <c r="A507" s="995"/>
      <c r="B507" s="1037" t="s">
        <v>263</v>
      </c>
      <c r="C507" s="1086" t="e">
        <f>SUM(D506:D506)</f>
        <v>#DIV/0!</v>
      </c>
      <c r="D507" s="1040"/>
      <c r="E507" s="1040"/>
      <c r="F507" s="1040"/>
      <c r="G507" s="1040"/>
      <c r="H507" s="1040"/>
      <c r="I507" s="1040"/>
      <c r="J507" s="1040"/>
      <c r="K507" s="1040"/>
      <c r="L507" s="1371" t="s">
        <v>299</v>
      </c>
      <c r="M507" s="1038"/>
      <c r="N507" s="996"/>
      <c r="O507" s="894"/>
      <c r="P507" s="894"/>
      <c r="Q507" s="894"/>
      <c r="R507" s="894"/>
      <c r="S507" s="894"/>
      <c r="T507" s="894"/>
      <c r="U507" s="894"/>
      <c r="V507" s="894"/>
      <c r="W507" s="894"/>
      <c r="X507" s="894"/>
      <c r="Y507" s="894"/>
      <c r="Z507" s="894"/>
      <c r="AA507" s="894"/>
      <c r="AB507" s="894"/>
      <c r="AC507" s="894"/>
      <c r="AD507" s="894"/>
      <c r="AE507" s="894"/>
      <c r="AF507" s="894"/>
      <c r="AG507" s="894"/>
      <c r="AH507" s="894"/>
      <c r="AI507" s="995"/>
      <c r="AJ507" s="995"/>
      <c r="AK507" s="995"/>
      <c r="AL507" s="995"/>
      <c r="AM507" s="995"/>
      <c r="AN507" s="995"/>
      <c r="AO507" s="995"/>
      <c r="AP507" s="995"/>
      <c r="AQ507" s="995"/>
      <c r="AR507" s="995"/>
      <c r="AS507" s="995"/>
      <c r="AT507" s="995"/>
      <c r="AU507" s="995"/>
      <c r="AV507" s="995"/>
      <c r="AW507" s="995"/>
      <c r="AX507" s="995"/>
      <c r="AY507" s="995"/>
    </row>
    <row r="508" spans="1:51" s="1201" customFormat="1" ht="15.5" hidden="1" x14ac:dyDescent="0.35">
      <c r="A508" s="995"/>
      <c r="B508" s="924" t="s">
        <v>418</v>
      </c>
      <c r="C508" s="902" t="e">
        <f>C507*298</f>
        <v>#DIV/0!</v>
      </c>
      <c r="D508" s="925"/>
      <c r="E508" s="925"/>
      <c r="F508" s="925"/>
      <c r="G508" s="925"/>
      <c r="H508" s="925"/>
      <c r="I508" s="925"/>
      <c r="J508" s="925"/>
      <c r="K508" s="925"/>
      <c r="L508" s="925" t="s">
        <v>265</v>
      </c>
      <c r="M508" s="926"/>
      <c r="N508" s="996"/>
      <c r="O508" s="894"/>
      <c r="P508" s="894"/>
      <c r="Q508" s="894"/>
      <c r="R508" s="894"/>
      <c r="S508" s="894"/>
      <c r="T508" s="894"/>
      <c r="U508" s="894"/>
      <c r="V508" s="894"/>
      <c r="W508" s="894"/>
      <c r="X508" s="894"/>
      <c r="Y508" s="894"/>
      <c r="Z508" s="894"/>
      <c r="AA508" s="894"/>
      <c r="AB508" s="894"/>
      <c r="AC508" s="894"/>
      <c r="AD508" s="894"/>
      <c r="AE508" s="894"/>
      <c r="AF508" s="894"/>
      <c r="AG508" s="894"/>
      <c r="AH508" s="894"/>
      <c r="AI508" s="995"/>
      <c r="AJ508" s="995"/>
      <c r="AK508" s="995"/>
      <c r="AL508" s="995"/>
      <c r="AM508" s="995"/>
      <c r="AN508" s="995"/>
      <c r="AO508" s="995"/>
      <c r="AP508" s="995"/>
      <c r="AQ508" s="995"/>
      <c r="AR508" s="995"/>
      <c r="AS508" s="995"/>
      <c r="AT508" s="995"/>
      <c r="AU508" s="995"/>
      <c r="AV508" s="995"/>
      <c r="AW508" s="995"/>
      <c r="AX508" s="995"/>
      <c r="AY508" s="995"/>
    </row>
    <row r="509" spans="1:51" s="1201" customFormat="1" ht="15.5" hidden="1" x14ac:dyDescent="0.35">
      <c r="K509" s="996"/>
    </row>
    <row r="510" spans="1:51" s="1201" customFormat="1" ht="18" hidden="1" x14ac:dyDescent="0.4">
      <c r="B510" s="1145"/>
      <c r="C510" s="995"/>
      <c r="D510" s="995"/>
      <c r="E510" s="995"/>
      <c r="F510" s="995"/>
      <c r="G510" s="995"/>
      <c r="H510" s="995"/>
      <c r="I510" s="995"/>
      <c r="J510" s="995"/>
      <c r="K510" s="995"/>
    </row>
    <row r="511" spans="1:51" s="1201" customFormat="1" ht="18" hidden="1" x14ac:dyDescent="0.4">
      <c r="A511" s="1144" t="s">
        <v>556</v>
      </c>
      <c r="B511" s="1145"/>
      <c r="C511" s="995"/>
      <c r="D511" s="995"/>
      <c r="E511" s="995"/>
      <c r="F511" s="995"/>
      <c r="G511" s="995"/>
      <c r="H511" s="995"/>
      <c r="I511" s="995"/>
      <c r="J511" s="995"/>
      <c r="K511" s="995"/>
      <c r="L511" s="995"/>
      <c r="M511" s="995"/>
      <c r="N511" s="995"/>
      <c r="O511" s="995"/>
      <c r="P511" s="995"/>
      <c r="Q511" s="995"/>
      <c r="R511" s="995"/>
      <c r="S511" s="995"/>
      <c r="T511" s="995"/>
      <c r="AH511" s="995"/>
      <c r="AI511" s="995"/>
      <c r="AJ511" s="995"/>
      <c r="AK511" s="995"/>
      <c r="AL511" s="995"/>
      <c r="AM511" s="995"/>
      <c r="AN511" s="995"/>
      <c r="AO511" s="995"/>
      <c r="AP511" s="995"/>
      <c r="AQ511" s="995"/>
      <c r="AR511" s="995"/>
      <c r="AS511" s="995"/>
      <c r="AT511" s="995"/>
      <c r="AU511" s="995"/>
      <c r="AV511" s="995"/>
      <c r="AW511" s="995"/>
      <c r="AX511" s="995"/>
    </row>
    <row r="512" spans="1:51" s="1201" customFormat="1" ht="17.5" hidden="1" x14ac:dyDescent="0.35">
      <c r="A512" s="1144"/>
      <c r="B512" s="354" t="s">
        <v>557</v>
      </c>
      <c r="C512" s="354">
        <v>0</v>
      </c>
      <c r="D512" s="354">
        <f>C512+1</f>
        <v>1</v>
      </c>
      <c r="E512" s="354">
        <f t="shared" ref="E512:AG512" si="49">D512+1</f>
        <v>2</v>
      </c>
      <c r="F512" s="354">
        <f t="shared" si="49"/>
        <v>3</v>
      </c>
      <c r="G512" s="354">
        <f t="shared" si="49"/>
        <v>4</v>
      </c>
      <c r="H512" s="354">
        <f t="shared" si="49"/>
        <v>5</v>
      </c>
      <c r="I512" s="354">
        <f t="shared" si="49"/>
        <v>6</v>
      </c>
      <c r="J512" s="354">
        <f>I512+1</f>
        <v>7</v>
      </c>
      <c r="K512" s="354">
        <f>J512+1</f>
        <v>8</v>
      </c>
      <c r="L512" s="354">
        <f>K512+1</f>
        <v>9</v>
      </c>
      <c r="M512" s="354">
        <f>L512+1</f>
        <v>10</v>
      </c>
      <c r="N512" s="354">
        <f>M512+1</f>
        <v>11</v>
      </c>
      <c r="O512" s="354">
        <f t="shared" si="49"/>
        <v>12</v>
      </c>
      <c r="P512" s="354">
        <f t="shared" si="49"/>
        <v>13</v>
      </c>
      <c r="Q512" s="354">
        <f>P512+1</f>
        <v>14</v>
      </c>
      <c r="R512" s="354">
        <f t="shared" si="49"/>
        <v>15</v>
      </c>
      <c r="S512" s="354">
        <f>R512+1</f>
        <v>16</v>
      </c>
      <c r="T512" s="354">
        <f t="shared" si="49"/>
        <v>17</v>
      </c>
      <c r="U512" s="354">
        <f>T512+1</f>
        <v>18</v>
      </c>
      <c r="V512" s="354">
        <f t="shared" si="49"/>
        <v>19</v>
      </c>
      <c r="W512" s="354">
        <f t="shared" si="49"/>
        <v>20</v>
      </c>
      <c r="X512" s="354">
        <f t="shared" si="49"/>
        <v>21</v>
      </c>
      <c r="Y512" s="354">
        <f t="shared" si="49"/>
        <v>22</v>
      </c>
      <c r="Z512" s="354">
        <f t="shared" si="49"/>
        <v>23</v>
      </c>
      <c r="AA512" s="354">
        <f t="shared" si="49"/>
        <v>24</v>
      </c>
      <c r="AB512" s="354">
        <f t="shared" si="49"/>
        <v>25</v>
      </c>
      <c r="AC512" s="354">
        <f t="shared" si="49"/>
        <v>26</v>
      </c>
      <c r="AD512" s="354">
        <f t="shared" si="49"/>
        <v>27</v>
      </c>
      <c r="AE512" s="354">
        <f t="shared" si="49"/>
        <v>28</v>
      </c>
      <c r="AF512" s="354">
        <f t="shared" si="49"/>
        <v>29</v>
      </c>
      <c r="AG512" s="354">
        <f t="shared" si="49"/>
        <v>30</v>
      </c>
      <c r="AH512" s="995"/>
      <c r="AI512" s="995"/>
      <c r="AJ512" s="995"/>
      <c r="AK512" s="995"/>
      <c r="AL512" s="995"/>
      <c r="AM512" s="995"/>
      <c r="AN512" s="995"/>
      <c r="AO512" s="995"/>
      <c r="AP512" s="995"/>
      <c r="AQ512" s="995"/>
      <c r="AR512" s="995"/>
      <c r="AS512" s="995"/>
      <c r="AT512" s="995"/>
      <c r="AU512" s="995"/>
      <c r="AV512" s="995"/>
      <c r="AW512" s="995"/>
      <c r="AX512" s="995"/>
    </row>
    <row r="513" spans="1:50" s="1201" customFormat="1" ht="15.5" hidden="1" x14ac:dyDescent="0.35">
      <c r="A513" s="995"/>
      <c r="B513" s="1147"/>
      <c r="C513" s="1147"/>
      <c r="D513" s="1147"/>
      <c r="E513" s="1147"/>
      <c r="F513" s="1147"/>
      <c r="G513" s="1147"/>
      <c r="H513" s="1147"/>
      <c r="I513" s="1147"/>
      <c r="J513" s="1147"/>
      <c r="K513" s="1147"/>
      <c r="L513" s="1147"/>
      <c r="M513" s="1147"/>
      <c r="N513" s="1147"/>
      <c r="O513" s="1147"/>
      <c r="P513" s="1147"/>
      <c r="Q513" s="1147"/>
      <c r="R513" s="1147"/>
      <c r="S513" s="1147"/>
      <c r="T513" s="1147"/>
      <c r="U513" s="1147"/>
      <c r="V513" s="1147"/>
      <c r="W513" s="1147"/>
      <c r="X513" s="1147"/>
      <c r="Y513" s="1147"/>
      <c r="Z513" s="1147"/>
      <c r="AA513" s="1147"/>
      <c r="AB513" s="1147"/>
      <c r="AC513" s="1147"/>
      <c r="AD513" s="1147"/>
      <c r="AE513" s="1147"/>
      <c r="AF513" s="1147"/>
      <c r="AG513" s="1147"/>
      <c r="AH513" s="995"/>
      <c r="AI513" s="995"/>
      <c r="AJ513" s="995"/>
      <c r="AK513" s="995"/>
      <c r="AL513" s="995"/>
      <c r="AM513" s="995"/>
      <c r="AN513" s="995"/>
      <c r="AO513" s="995"/>
      <c r="AP513" s="995"/>
      <c r="AQ513" s="995"/>
      <c r="AR513" s="995"/>
      <c r="AS513" s="995"/>
      <c r="AT513" s="995"/>
      <c r="AU513" s="995"/>
      <c r="AV513" s="995"/>
      <c r="AW513" s="995"/>
      <c r="AX513" s="995"/>
    </row>
    <row r="514" spans="1:50" s="1201" customFormat="1" ht="15.5" hidden="1" x14ac:dyDescent="0.35">
      <c r="A514" s="995"/>
      <c r="B514" s="1147" t="s">
        <v>558</v>
      </c>
      <c r="C514" s="1147">
        <v>0</v>
      </c>
      <c r="D514" s="1147">
        <v>2</v>
      </c>
      <c r="E514" s="1147">
        <v>5</v>
      </c>
      <c r="F514" s="1147">
        <v>19</v>
      </c>
      <c r="G514" s="1147">
        <v>41</v>
      </c>
      <c r="H514" s="1147">
        <v>68</v>
      </c>
      <c r="I514" s="1147">
        <v>98</v>
      </c>
      <c r="J514" s="1147">
        <v>128</v>
      </c>
      <c r="K514" s="1147">
        <v>159</v>
      </c>
      <c r="L514" s="1147">
        <v>188</v>
      </c>
      <c r="M514" s="1147">
        <v>217</v>
      </c>
      <c r="N514" s="1147">
        <v>244</v>
      </c>
      <c r="O514" s="1147">
        <v>269</v>
      </c>
      <c r="P514" s="1147">
        <v>293</v>
      </c>
      <c r="Q514" s="1147">
        <v>316</v>
      </c>
      <c r="R514" s="1147">
        <v>333</v>
      </c>
      <c r="S514" s="1147">
        <v>356</v>
      </c>
      <c r="T514" s="1147">
        <v>374</v>
      </c>
      <c r="U514" s="1147">
        <v>391</v>
      </c>
      <c r="V514" s="1147">
        <v>407</v>
      </c>
      <c r="W514" s="1147">
        <v>422</v>
      </c>
      <c r="X514" s="1147">
        <v>436</v>
      </c>
      <c r="Y514" s="1147">
        <v>449</v>
      </c>
      <c r="Z514" s="1147">
        <v>461</v>
      </c>
      <c r="AA514" s="1147">
        <v>472</v>
      </c>
      <c r="AB514" s="1147">
        <v>482</v>
      </c>
      <c r="AC514" s="1147">
        <v>492</v>
      </c>
      <c r="AD514" s="1147">
        <v>502</v>
      </c>
      <c r="AE514" s="1147">
        <v>510</v>
      </c>
      <c r="AF514" s="1147">
        <v>518</v>
      </c>
      <c r="AG514" s="1147">
        <v>526</v>
      </c>
      <c r="AH514" s="995"/>
      <c r="AI514" s="995"/>
      <c r="AJ514" s="995"/>
      <c r="AK514" s="995"/>
      <c r="AL514" s="995"/>
      <c r="AM514" s="995"/>
      <c r="AN514" s="995"/>
      <c r="AO514" s="995"/>
      <c r="AP514" s="995"/>
      <c r="AQ514" s="995"/>
      <c r="AR514" s="995"/>
      <c r="AS514" s="995"/>
      <c r="AT514" s="995"/>
      <c r="AU514" s="995"/>
      <c r="AV514" s="995"/>
      <c r="AW514" s="995"/>
      <c r="AX514" s="995"/>
    </row>
    <row r="515" spans="1:50" s="1201" customFormat="1" ht="15.5" hidden="1" x14ac:dyDescent="0.35">
      <c r="A515" s="995"/>
      <c r="B515" s="1147" t="s">
        <v>559</v>
      </c>
      <c r="C515" s="1147">
        <v>0</v>
      </c>
      <c r="D515" s="1147">
        <v>0</v>
      </c>
      <c r="E515" s="1147">
        <v>1</v>
      </c>
      <c r="F515" s="1147">
        <v>5</v>
      </c>
      <c r="G515" s="1147">
        <v>16</v>
      </c>
      <c r="H515" s="1147">
        <v>32</v>
      </c>
      <c r="I515" s="1147">
        <v>52</v>
      </c>
      <c r="J515" s="1147">
        <v>75</v>
      </c>
      <c r="K515" s="1147">
        <v>98</v>
      </c>
      <c r="L515" s="1147">
        <v>122</v>
      </c>
      <c r="M515" s="1147">
        <v>146</v>
      </c>
      <c r="N515" s="1147">
        <v>169</v>
      </c>
      <c r="O515" s="1147">
        <v>191</v>
      </c>
      <c r="P515" s="1147">
        <v>213</v>
      </c>
      <c r="Q515" s="1147">
        <v>234</v>
      </c>
      <c r="R515" s="1147">
        <v>254</v>
      </c>
      <c r="S515" s="1147">
        <v>272</v>
      </c>
      <c r="T515" s="1147">
        <v>290</v>
      </c>
      <c r="U515" s="1147">
        <v>306</v>
      </c>
      <c r="V515" s="1147">
        <v>322</v>
      </c>
      <c r="W515" s="1147">
        <v>337</v>
      </c>
      <c r="X515" s="1147">
        <v>351</v>
      </c>
      <c r="Y515" s="1147">
        <v>364</v>
      </c>
      <c r="Z515" s="1147">
        <v>377</v>
      </c>
      <c r="AA515" s="1147">
        <v>388</v>
      </c>
      <c r="AB515" s="1147">
        <v>399</v>
      </c>
      <c r="AC515" s="1147">
        <v>410</v>
      </c>
      <c r="AD515" s="1147">
        <v>420</v>
      </c>
      <c r="AE515" s="1147">
        <v>430</v>
      </c>
      <c r="AF515" s="1147">
        <v>439</v>
      </c>
      <c r="AG515" s="1147">
        <v>447</v>
      </c>
      <c r="AH515" s="995"/>
      <c r="AI515" s="995"/>
      <c r="AJ515" s="995"/>
      <c r="AK515" s="995"/>
      <c r="AL515" s="995"/>
      <c r="AM515" s="995"/>
      <c r="AN515" s="995"/>
      <c r="AO515" s="995"/>
      <c r="AP515" s="995"/>
      <c r="AQ515" s="995"/>
      <c r="AR515" s="995"/>
      <c r="AS515" s="995"/>
      <c r="AT515" s="995"/>
      <c r="AU515" s="995"/>
      <c r="AV515" s="995"/>
      <c r="AW515" s="995"/>
      <c r="AX515" s="995"/>
    </row>
    <row r="516" spans="1:50" s="1201" customFormat="1" ht="15.5" hidden="1" x14ac:dyDescent="0.35">
      <c r="A516" s="995"/>
      <c r="B516" s="1147" t="s">
        <v>560</v>
      </c>
      <c r="C516" s="1147">
        <v>0</v>
      </c>
      <c r="D516" s="1147">
        <v>0</v>
      </c>
      <c r="E516" s="1147">
        <v>1</v>
      </c>
      <c r="F516" s="1147">
        <v>5</v>
      </c>
      <c r="G516" s="1147">
        <v>10</v>
      </c>
      <c r="H516" s="1147">
        <v>19</v>
      </c>
      <c r="I516" s="1147">
        <v>29</v>
      </c>
      <c r="J516" s="1147">
        <v>41</v>
      </c>
      <c r="K516" s="1147">
        <v>54</v>
      </c>
      <c r="L516" s="1147">
        <v>68</v>
      </c>
      <c r="M516" s="1147">
        <v>83</v>
      </c>
      <c r="N516" s="1147">
        <v>99</v>
      </c>
      <c r="O516" s="1147">
        <v>115</v>
      </c>
      <c r="P516" s="1147">
        <v>131</v>
      </c>
      <c r="Q516" s="1147">
        <v>147</v>
      </c>
      <c r="R516" s="1147">
        <v>163</v>
      </c>
      <c r="S516" s="1147">
        <v>179</v>
      </c>
      <c r="T516" s="1147">
        <v>196</v>
      </c>
      <c r="U516" s="1147">
        <v>211</v>
      </c>
      <c r="V516" s="1147">
        <v>227</v>
      </c>
      <c r="W516" s="1147">
        <v>242</v>
      </c>
      <c r="X516" s="1147">
        <v>258</v>
      </c>
      <c r="Y516" s="1147">
        <v>273</v>
      </c>
      <c r="Z516" s="1147">
        <v>287</v>
      </c>
      <c r="AA516" s="1147">
        <v>301</v>
      </c>
      <c r="AB516" s="1147">
        <v>316</v>
      </c>
      <c r="AC516" s="1147">
        <v>329</v>
      </c>
      <c r="AD516" s="1147">
        <v>343</v>
      </c>
      <c r="AE516" s="1147">
        <v>356</v>
      </c>
      <c r="AF516" s="1147">
        <v>369</v>
      </c>
      <c r="AG516" s="1147">
        <v>382</v>
      </c>
      <c r="AH516" s="995"/>
      <c r="AI516" s="995"/>
      <c r="AJ516" s="995"/>
      <c r="AK516" s="995"/>
      <c r="AL516" s="995"/>
      <c r="AM516" s="995"/>
      <c r="AN516" s="995"/>
      <c r="AO516" s="995"/>
      <c r="AP516" s="995"/>
      <c r="AQ516" s="995"/>
      <c r="AR516" s="995"/>
      <c r="AS516" s="995"/>
      <c r="AT516" s="995"/>
      <c r="AU516" s="995"/>
      <c r="AV516" s="995"/>
      <c r="AW516" s="995"/>
      <c r="AX516" s="995"/>
    </row>
    <row r="517" spans="1:50" s="1201" customFormat="1" ht="15.5" hidden="1" x14ac:dyDescent="0.35">
      <c r="A517" s="995"/>
      <c r="B517" s="1147" t="s">
        <v>561</v>
      </c>
      <c r="C517" s="1147">
        <v>0</v>
      </c>
      <c r="D517" s="1147">
        <v>0</v>
      </c>
      <c r="E517" s="1147">
        <v>0</v>
      </c>
      <c r="F517" s="1147">
        <v>0</v>
      </c>
      <c r="G517" s="1147">
        <v>1</v>
      </c>
      <c r="H517" s="1147">
        <v>3</v>
      </c>
      <c r="I517" s="1147">
        <v>6</v>
      </c>
      <c r="J517" s="1147">
        <v>10</v>
      </c>
      <c r="K517" s="1147">
        <v>16</v>
      </c>
      <c r="L517" s="1147">
        <v>23</v>
      </c>
      <c r="M517" s="1147">
        <v>32</v>
      </c>
      <c r="N517" s="1147">
        <v>42</v>
      </c>
      <c r="O517" s="1147">
        <v>53</v>
      </c>
      <c r="P517" s="1147">
        <v>65</v>
      </c>
      <c r="Q517" s="1147">
        <v>78</v>
      </c>
      <c r="R517" s="1147">
        <v>91</v>
      </c>
      <c r="S517" s="1147">
        <v>104</v>
      </c>
      <c r="T517" s="1147">
        <v>118</v>
      </c>
      <c r="U517" s="1147">
        <v>132</v>
      </c>
      <c r="V517" s="1147">
        <v>146</v>
      </c>
      <c r="W517" s="1147">
        <v>159</v>
      </c>
      <c r="X517" s="1147">
        <v>173</v>
      </c>
      <c r="Y517" s="1147">
        <v>187</v>
      </c>
      <c r="Z517" s="1147">
        <v>201</v>
      </c>
      <c r="AA517" s="1147">
        <v>214</v>
      </c>
      <c r="AB517" s="1147">
        <v>228</v>
      </c>
      <c r="AC517" s="1147">
        <v>241</v>
      </c>
      <c r="AD517" s="1147">
        <v>254</v>
      </c>
      <c r="AE517" s="1147">
        <v>267</v>
      </c>
      <c r="AF517" s="1147">
        <v>279</v>
      </c>
      <c r="AG517" s="1147">
        <v>291</v>
      </c>
      <c r="AH517" s="995"/>
      <c r="AI517" s="995"/>
      <c r="AJ517" s="995"/>
      <c r="AK517" s="995"/>
      <c r="AL517" s="995"/>
      <c r="AM517" s="995"/>
      <c r="AN517" s="995"/>
      <c r="AO517" s="995"/>
      <c r="AP517" s="995"/>
      <c r="AQ517" s="995"/>
      <c r="AR517" s="995"/>
      <c r="AS517" s="995"/>
      <c r="AT517" s="995"/>
      <c r="AU517" s="995"/>
      <c r="AV517" s="995"/>
      <c r="AW517" s="995"/>
      <c r="AX517" s="995"/>
    </row>
    <row r="518" spans="1:50" s="1201" customFormat="1" ht="15.5" hidden="1" x14ac:dyDescent="0.35">
      <c r="A518" s="995"/>
      <c r="B518" s="355" t="s">
        <v>562</v>
      </c>
      <c r="C518" s="355">
        <v>0</v>
      </c>
      <c r="D518" s="355">
        <v>0</v>
      </c>
      <c r="E518" s="355">
        <v>0</v>
      </c>
      <c r="F518" s="355">
        <v>0</v>
      </c>
      <c r="G518" s="355">
        <v>1</v>
      </c>
      <c r="H518" s="355">
        <v>2</v>
      </c>
      <c r="I518" s="355">
        <v>4</v>
      </c>
      <c r="J518" s="355">
        <v>7</v>
      </c>
      <c r="K518" s="355">
        <v>11</v>
      </c>
      <c r="L518" s="355">
        <v>16</v>
      </c>
      <c r="M518" s="355">
        <v>21</v>
      </c>
      <c r="N518" s="355">
        <v>28</v>
      </c>
      <c r="O518" s="355">
        <v>35</v>
      </c>
      <c r="P518" s="355">
        <v>43</v>
      </c>
      <c r="Q518" s="355">
        <v>52</v>
      </c>
      <c r="R518" s="355">
        <v>60</v>
      </c>
      <c r="S518" s="355">
        <v>69</v>
      </c>
      <c r="T518" s="355">
        <v>78</v>
      </c>
      <c r="U518" s="355">
        <v>87</v>
      </c>
      <c r="V518" s="355">
        <v>97</v>
      </c>
      <c r="W518" s="355">
        <v>106</v>
      </c>
      <c r="X518" s="355">
        <v>115</v>
      </c>
      <c r="Y518" s="355">
        <v>124</v>
      </c>
      <c r="Z518" s="355">
        <v>133</v>
      </c>
      <c r="AA518" s="355">
        <v>142</v>
      </c>
      <c r="AB518" s="355">
        <v>151</v>
      </c>
      <c r="AC518" s="355">
        <v>160</v>
      </c>
      <c r="AD518" s="355">
        <v>168</v>
      </c>
      <c r="AE518" s="355">
        <v>177</v>
      </c>
      <c r="AF518" s="355">
        <v>185</v>
      </c>
      <c r="AG518" s="355">
        <v>193</v>
      </c>
      <c r="AH518" s="995"/>
      <c r="AI518" s="995"/>
      <c r="AJ518" s="995"/>
      <c r="AK518" s="995"/>
      <c r="AL518" s="995"/>
      <c r="AM518" s="995"/>
      <c r="AN518" s="995"/>
      <c r="AO518" s="995"/>
      <c r="AP518" s="995"/>
      <c r="AQ518" s="995"/>
      <c r="AR518" s="995"/>
      <c r="AS518" s="995"/>
      <c r="AT518" s="995"/>
      <c r="AU518" s="995"/>
      <c r="AV518" s="995"/>
      <c r="AW518" s="995"/>
      <c r="AX518" s="995"/>
    </row>
    <row r="519" spans="1:50" s="1201" customFormat="1" ht="15.5" hidden="1" x14ac:dyDescent="0.35">
      <c r="A519" s="995"/>
      <c r="B519" s="995"/>
      <c r="C519" s="995"/>
      <c r="D519" s="995"/>
      <c r="E519" s="995"/>
      <c r="F519" s="995"/>
      <c r="G519" s="995"/>
      <c r="H519" s="995"/>
      <c r="I519" s="995"/>
      <c r="J519" s="995"/>
      <c r="K519" s="995"/>
      <c r="L519" s="995"/>
      <c r="M519" s="995"/>
      <c r="N519" s="995"/>
      <c r="O519" s="995"/>
      <c r="P519" s="995"/>
      <c r="Q519" s="995"/>
      <c r="R519" s="995"/>
      <c r="S519" s="995"/>
      <c r="T519" s="995"/>
      <c r="U519" s="995"/>
      <c r="V519" s="995"/>
      <c r="W519" s="995"/>
      <c r="X519" s="995"/>
      <c r="Y519" s="995"/>
      <c r="Z519" s="995"/>
      <c r="AA519" s="995"/>
      <c r="AB519" s="995"/>
      <c r="AC519" s="995"/>
      <c r="AD519" s="995"/>
      <c r="AE519" s="995"/>
      <c r="AF519" s="995"/>
      <c r="AG519" s="995"/>
      <c r="AH519" s="995"/>
      <c r="AI519" s="995"/>
      <c r="AJ519" s="995"/>
      <c r="AK519" s="995"/>
      <c r="AL519" s="995"/>
      <c r="AM519" s="995"/>
      <c r="AN519" s="995"/>
      <c r="AO519" s="995"/>
      <c r="AP519" s="995"/>
      <c r="AQ519" s="995"/>
      <c r="AR519" s="995"/>
      <c r="AS519" s="995"/>
      <c r="AT519" s="995"/>
      <c r="AU519" s="995"/>
      <c r="AV519" s="995"/>
      <c r="AW519" s="995"/>
      <c r="AX519" s="995"/>
    </row>
    <row r="520" spans="1:50" s="1201" customFormat="1" ht="15.5" hidden="1" x14ac:dyDescent="0.35">
      <c r="A520" s="995"/>
      <c r="B520" s="356"/>
      <c r="C520" s="357" t="s">
        <v>563</v>
      </c>
      <c r="D520" s="357" t="s">
        <v>564</v>
      </c>
      <c r="E520" s="357" t="s">
        <v>565</v>
      </c>
      <c r="F520" s="357" t="s">
        <v>566</v>
      </c>
      <c r="G520" s="357" t="s">
        <v>567</v>
      </c>
      <c r="H520" s="357" t="s">
        <v>564</v>
      </c>
      <c r="I520" s="357" t="s">
        <v>565</v>
      </c>
      <c r="J520" s="995"/>
      <c r="K520" s="995"/>
      <c r="L520" s="995"/>
      <c r="M520" s="995"/>
      <c r="N520" s="995"/>
      <c r="O520" s="995"/>
      <c r="P520" s="995"/>
      <c r="Q520" s="995"/>
      <c r="R520" s="995"/>
      <c r="S520" s="995"/>
      <c r="T520" s="995"/>
      <c r="U520" s="995"/>
      <c r="V520" s="995"/>
      <c r="W520" s="995"/>
      <c r="X520" s="995"/>
      <c r="Y520" s="995"/>
      <c r="Z520" s="995"/>
      <c r="AA520" s="995"/>
      <c r="AB520" s="995"/>
      <c r="AC520" s="995"/>
      <c r="AD520" s="995"/>
      <c r="AE520" s="995"/>
      <c r="AF520" s="995"/>
      <c r="AG520" s="995"/>
      <c r="AH520" s="995"/>
      <c r="AI520" s="995"/>
      <c r="AJ520" s="995"/>
      <c r="AK520" s="995"/>
      <c r="AL520" s="995"/>
      <c r="AM520" s="995"/>
      <c r="AN520" s="995"/>
      <c r="AO520" s="995"/>
      <c r="AP520" s="995"/>
      <c r="AQ520" s="995"/>
      <c r="AR520" s="995"/>
      <c r="AS520" s="995"/>
      <c r="AT520" s="995"/>
      <c r="AU520" s="995"/>
      <c r="AV520" s="995"/>
      <c r="AW520" s="995"/>
      <c r="AX520" s="995"/>
    </row>
    <row r="521" spans="1:50" s="1201" customFormat="1" ht="15.5" hidden="1" x14ac:dyDescent="0.35">
      <c r="A521" s="995"/>
      <c r="B521" s="358" t="s">
        <v>568</v>
      </c>
      <c r="C521" s="1747" t="s">
        <v>569</v>
      </c>
      <c r="D521" s="2647" t="s">
        <v>570</v>
      </c>
      <c r="E521" s="2647"/>
      <c r="F521" s="2647" t="s">
        <v>571</v>
      </c>
      <c r="G521" s="2647"/>
      <c r="H521" s="2647" t="s">
        <v>572</v>
      </c>
      <c r="I521" s="2647"/>
      <c r="J521" s="995"/>
      <c r="K521" s="995"/>
      <c r="L521" s="995"/>
      <c r="M521" s="995"/>
      <c r="N521" s="995"/>
      <c r="O521" s="995"/>
      <c r="P521" s="995"/>
      <c r="Q521" s="995"/>
      <c r="R521" s="995"/>
      <c r="S521" s="995"/>
      <c r="T521" s="995"/>
      <c r="U521" s="995"/>
      <c r="V521" s="995"/>
      <c r="W521" s="995"/>
      <c r="X521" s="995"/>
      <c r="Y521" s="995"/>
      <c r="Z521" s="995"/>
      <c r="AA521" s="995"/>
      <c r="AB521" s="995"/>
      <c r="AC521" s="995"/>
      <c r="AD521" s="995"/>
      <c r="AE521" s="995"/>
      <c r="AF521" s="995"/>
      <c r="AG521" s="995"/>
      <c r="AH521" s="995"/>
      <c r="AI521" s="995"/>
      <c r="AJ521" s="995"/>
      <c r="AK521" s="995"/>
      <c r="AL521" s="995"/>
      <c r="AM521" s="995"/>
      <c r="AN521" s="995"/>
      <c r="AO521" s="995"/>
      <c r="AP521" s="995"/>
      <c r="AQ521" s="995"/>
      <c r="AR521" s="995"/>
      <c r="AS521" s="995"/>
      <c r="AT521" s="995"/>
      <c r="AU521" s="995"/>
      <c r="AV521" s="995"/>
      <c r="AW521" s="995"/>
      <c r="AX521" s="995"/>
    </row>
    <row r="522" spans="1:50" s="1201" customFormat="1" ht="15.5" hidden="1" x14ac:dyDescent="0.35">
      <c r="A522" s="995">
        <v>1</v>
      </c>
      <c r="B522" s="1148" t="s">
        <v>718</v>
      </c>
      <c r="C522" s="1181">
        <v>0</v>
      </c>
      <c r="D522" s="1181">
        <v>0</v>
      </c>
      <c r="E522" s="1181">
        <v>0</v>
      </c>
      <c r="F522" s="1181">
        <v>0</v>
      </c>
      <c r="G522" s="1181">
        <v>0</v>
      </c>
      <c r="H522" s="1181">
        <v>0</v>
      </c>
      <c r="I522" s="1181">
        <v>0</v>
      </c>
      <c r="J522" s="995"/>
      <c r="K522" s="995"/>
      <c r="L522" s="995"/>
      <c r="M522" s="995"/>
      <c r="N522" s="995"/>
      <c r="O522" s="995"/>
      <c r="P522" s="995"/>
      <c r="Q522" s="995"/>
      <c r="R522" s="995"/>
      <c r="S522" s="995"/>
      <c r="T522" s="995"/>
      <c r="U522" s="995"/>
      <c r="V522" s="995"/>
      <c r="W522" s="995"/>
      <c r="X522" s="995"/>
      <c r="Y522" s="995"/>
      <c r="Z522" s="995"/>
      <c r="AA522" s="995"/>
      <c r="AB522" s="995"/>
      <c r="AC522" s="995"/>
      <c r="AD522" s="995"/>
      <c r="AE522" s="995"/>
      <c r="AF522" s="995"/>
      <c r="AG522" s="995"/>
      <c r="AH522" s="995"/>
      <c r="AI522" s="995"/>
      <c r="AJ522" s="995"/>
      <c r="AK522" s="995"/>
      <c r="AL522" s="995"/>
      <c r="AM522" s="995"/>
      <c r="AN522" s="995"/>
      <c r="AO522" s="995"/>
      <c r="AP522" s="995"/>
      <c r="AQ522" s="995"/>
      <c r="AR522" s="995"/>
      <c r="AS522" s="995"/>
      <c r="AT522" s="995"/>
      <c r="AU522" s="995"/>
      <c r="AV522" s="995"/>
      <c r="AW522" s="995"/>
      <c r="AX522" s="995"/>
    </row>
    <row r="523" spans="1:50" s="1201" customFormat="1" ht="15.5" hidden="1" x14ac:dyDescent="0.35">
      <c r="A523" s="995">
        <v>2</v>
      </c>
      <c r="B523" s="1148" t="s">
        <v>1218</v>
      </c>
      <c r="C523" s="1148">
        <v>600</v>
      </c>
      <c r="D523" s="1148">
        <v>15</v>
      </c>
      <c r="E523" s="1148">
        <v>30</v>
      </c>
      <c r="F523" s="1148">
        <v>0.43</v>
      </c>
      <c r="G523" s="1149">
        <v>0.5</v>
      </c>
      <c r="H523" s="1150">
        <f>D523*F523*G523*3.7</f>
        <v>11.932500000000001</v>
      </c>
      <c r="I523" s="1150">
        <f>E523*F523*G523*3.7</f>
        <v>23.865000000000002</v>
      </c>
      <c r="J523" s="995"/>
      <c r="K523" s="995"/>
      <c r="L523" s="995"/>
      <c r="M523" s="995"/>
      <c r="N523" s="995"/>
      <c r="O523" s="995"/>
      <c r="P523" s="995"/>
      <c r="Q523" s="995"/>
      <c r="R523" s="995"/>
      <c r="S523" s="995"/>
      <c r="T523" s="995"/>
      <c r="U523" s="995"/>
      <c r="V523" s="995"/>
      <c r="W523" s="995"/>
      <c r="X523" s="995"/>
      <c r="Y523" s="995"/>
      <c r="Z523" s="995"/>
      <c r="AA523" s="995"/>
      <c r="AB523" s="995"/>
      <c r="AC523" s="995"/>
      <c r="AD523" s="995"/>
      <c r="AE523" s="995"/>
      <c r="AF523" s="995"/>
      <c r="AG523" s="995"/>
      <c r="AH523" s="995"/>
      <c r="AI523" s="995"/>
      <c r="AJ523" s="995"/>
      <c r="AK523" s="995"/>
      <c r="AL523" s="995"/>
      <c r="AM523" s="995"/>
      <c r="AN523" s="995"/>
      <c r="AO523" s="995"/>
      <c r="AP523" s="995"/>
      <c r="AQ523" s="995"/>
      <c r="AR523" s="995"/>
      <c r="AS523" s="995"/>
      <c r="AT523" s="995"/>
      <c r="AU523" s="995"/>
      <c r="AV523" s="995"/>
      <c r="AW523" s="995"/>
      <c r="AX523" s="995"/>
    </row>
    <row r="524" spans="1:50" s="1201" customFormat="1" ht="15.5" hidden="1" x14ac:dyDescent="0.35">
      <c r="A524" s="995">
        <v>3</v>
      </c>
      <c r="B524" s="1147" t="s">
        <v>573</v>
      </c>
      <c r="C524" s="1147">
        <v>600</v>
      </c>
      <c r="D524" s="1147">
        <v>15</v>
      </c>
      <c r="E524" s="1147">
        <v>30</v>
      </c>
      <c r="F524" s="1147">
        <v>0.43</v>
      </c>
      <c r="G524" s="1151">
        <v>0.5</v>
      </c>
      <c r="H524" s="1152">
        <f>D524*F524*G524*3.7</f>
        <v>11.932500000000001</v>
      </c>
      <c r="I524" s="1152">
        <f>E524*F524*G524*3.7</f>
        <v>23.865000000000002</v>
      </c>
      <c r="J524" s="995"/>
      <c r="K524" s="995"/>
      <c r="L524" s="995"/>
      <c r="M524" s="995"/>
      <c r="N524" s="995"/>
      <c r="O524" s="995"/>
      <c r="P524" s="995"/>
      <c r="Q524" s="995"/>
      <c r="R524" s="995"/>
      <c r="S524" s="995"/>
      <c r="T524" s="995"/>
      <c r="U524" s="995"/>
      <c r="V524" s="995"/>
      <c r="W524" s="995"/>
      <c r="X524" s="995"/>
      <c r="Y524" s="995"/>
      <c r="Z524" s="995"/>
      <c r="AA524" s="995"/>
      <c r="AB524" s="995"/>
      <c r="AC524" s="995"/>
      <c r="AD524" s="995"/>
      <c r="AE524" s="995"/>
      <c r="AF524" s="995"/>
      <c r="AG524" s="995"/>
      <c r="AH524" s="995"/>
      <c r="AI524" s="995"/>
      <c r="AJ524" s="995"/>
      <c r="AK524" s="995"/>
      <c r="AL524" s="995"/>
      <c r="AM524" s="995"/>
      <c r="AN524" s="995"/>
      <c r="AO524" s="995"/>
      <c r="AP524" s="995"/>
      <c r="AQ524" s="995"/>
      <c r="AR524" s="995"/>
      <c r="AS524" s="995"/>
      <c r="AT524" s="995"/>
      <c r="AU524" s="995"/>
      <c r="AV524" s="995"/>
      <c r="AW524" s="995"/>
      <c r="AX524" s="995"/>
    </row>
    <row r="525" spans="1:50" s="1201" customFormat="1" ht="15.5" hidden="1" x14ac:dyDescent="0.35">
      <c r="A525" s="995">
        <v>4</v>
      </c>
      <c r="B525" s="1148" t="s">
        <v>574</v>
      </c>
      <c r="C525" s="1148">
        <f t="shared" ref="C525:I525" si="50">AVERAGE(C526:C529)</f>
        <v>775</v>
      </c>
      <c r="D525" s="1148">
        <f t="shared" si="50"/>
        <v>15</v>
      </c>
      <c r="E525" s="1148">
        <f t="shared" si="50"/>
        <v>32.5</v>
      </c>
      <c r="F525" s="1148">
        <f t="shared" si="50"/>
        <v>0.63</v>
      </c>
      <c r="G525" s="1148">
        <f t="shared" si="50"/>
        <v>0.5</v>
      </c>
      <c r="H525" s="1148">
        <f t="shared" si="50"/>
        <v>17.482499999999998</v>
      </c>
      <c r="I525" s="1148">
        <f t="shared" si="50"/>
        <v>37.878750000000004</v>
      </c>
      <c r="J525" s="995"/>
      <c r="K525" s="995"/>
      <c r="L525" s="995"/>
      <c r="M525" s="995"/>
      <c r="N525" s="995"/>
      <c r="O525" s="995"/>
      <c r="P525" s="995"/>
      <c r="Q525" s="995"/>
      <c r="R525" s="995"/>
      <c r="S525" s="995"/>
      <c r="T525" s="995"/>
      <c r="U525" s="995"/>
      <c r="V525" s="995"/>
      <c r="W525" s="995"/>
      <c r="X525" s="995"/>
      <c r="Y525" s="995"/>
      <c r="Z525" s="995"/>
      <c r="AA525" s="995"/>
      <c r="AB525" s="995"/>
      <c r="AC525" s="995"/>
      <c r="AD525" s="995"/>
      <c r="AE525" s="995"/>
      <c r="AF525" s="995"/>
      <c r="AG525" s="995"/>
      <c r="AH525" s="995"/>
      <c r="AI525" s="995"/>
      <c r="AJ525" s="995"/>
      <c r="AK525" s="995"/>
      <c r="AL525" s="995"/>
      <c r="AM525" s="995"/>
      <c r="AN525" s="995"/>
      <c r="AO525" s="995"/>
      <c r="AP525" s="995"/>
      <c r="AQ525" s="995"/>
      <c r="AR525" s="995"/>
      <c r="AS525" s="995"/>
      <c r="AT525" s="995"/>
      <c r="AU525" s="995"/>
      <c r="AV525" s="995"/>
      <c r="AW525" s="995"/>
      <c r="AX525" s="995"/>
    </row>
    <row r="526" spans="1:50" s="1201" customFormat="1" ht="15.5" hidden="1" x14ac:dyDescent="0.35">
      <c r="A526" s="995">
        <v>5</v>
      </c>
      <c r="B526" s="1147" t="s">
        <v>575</v>
      </c>
      <c r="C526" s="1147">
        <v>700</v>
      </c>
      <c r="D526" s="1147">
        <v>15</v>
      </c>
      <c r="E526" s="1147">
        <v>35</v>
      </c>
      <c r="F526" s="1147">
        <v>0.63</v>
      </c>
      <c r="G526" s="1151">
        <v>0.5</v>
      </c>
      <c r="H526" s="1152">
        <f>D526*F526*G526*3.7</f>
        <v>17.482499999999998</v>
      </c>
      <c r="I526" s="1152">
        <f>E526*F526*G526*3.7</f>
        <v>40.792500000000004</v>
      </c>
      <c r="J526" s="995"/>
      <c r="K526" s="995"/>
      <c r="L526" s="995"/>
      <c r="M526" s="995"/>
      <c r="N526" s="995"/>
      <c r="O526" s="995"/>
      <c r="P526" s="995"/>
      <c r="Q526" s="995"/>
      <c r="R526" s="995"/>
      <c r="S526" s="995"/>
      <c r="T526" s="995"/>
      <c r="U526" s="995"/>
      <c r="V526" s="995"/>
      <c r="W526" s="995"/>
      <c r="X526" s="995"/>
      <c r="Y526" s="995"/>
      <c r="Z526" s="995"/>
      <c r="AA526" s="995"/>
      <c r="AB526" s="995"/>
      <c r="AC526" s="995"/>
      <c r="AD526" s="995"/>
      <c r="AE526" s="995"/>
      <c r="AF526" s="995"/>
      <c r="AG526" s="995"/>
      <c r="AH526" s="995"/>
      <c r="AI526" s="995"/>
      <c r="AJ526" s="995"/>
      <c r="AK526" s="995"/>
      <c r="AL526" s="995"/>
      <c r="AM526" s="995"/>
      <c r="AN526" s="995"/>
      <c r="AO526" s="995"/>
      <c r="AP526" s="995"/>
      <c r="AQ526" s="995"/>
      <c r="AR526" s="995"/>
      <c r="AS526" s="995"/>
      <c r="AT526" s="995"/>
      <c r="AU526" s="995"/>
      <c r="AV526" s="995"/>
      <c r="AW526" s="995"/>
      <c r="AX526" s="995"/>
    </row>
    <row r="527" spans="1:50" s="1201" customFormat="1" ht="15.5" hidden="1" x14ac:dyDescent="0.35">
      <c r="A527" s="995">
        <v>6</v>
      </c>
      <c r="B527" s="1147" t="s">
        <v>576</v>
      </c>
      <c r="C527" s="1147">
        <v>800</v>
      </c>
      <c r="D527" s="1147">
        <v>15</v>
      </c>
      <c r="E527" s="1147">
        <v>35</v>
      </c>
      <c r="F527" s="1147">
        <v>0.63</v>
      </c>
      <c r="G527" s="1151">
        <v>0.5</v>
      </c>
      <c r="H527" s="1152">
        <f>D527*F527*G527*3.7</f>
        <v>17.482499999999998</v>
      </c>
      <c r="I527" s="1152">
        <f>E527*F527*G527*3.7</f>
        <v>40.792500000000004</v>
      </c>
      <c r="J527" s="995"/>
      <c r="K527" s="995"/>
      <c r="L527" s="995"/>
      <c r="M527" s="995"/>
      <c r="N527" s="995"/>
      <c r="O527" s="995"/>
      <c r="P527" s="995"/>
      <c r="Q527" s="995"/>
      <c r="R527" s="995"/>
      <c r="S527" s="995"/>
      <c r="T527" s="995"/>
      <c r="U527" s="995"/>
      <c r="V527" s="995"/>
      <c r="W527" s="995"/>
      <c r="X527" s="995"/>
      <c r="Y527" s="995"/>
      <c r="Z527" s="995"/>
      <c r="AA527" s="995"/>
      <c r="AB527" s="995"/>
      <c r="AC527" s="995"/>
      <c r="AD527" s="995"/>
      <c r="AE527" s="995"/>
      <c r="AF527" s="995"/>
      <c r="AG527" s="995"/>
      <c r="AH527" s="995"/>
      <c r="AI527" s="995"/>
      <c r="AJ527" s="995"/>
      <c r="AK527" s="995"/>
      <c r="AL527" s="995"/>
      <c r="AM527" s="995"/>
      <c r="AN527" s="995"/>
      <c r="AO527" s="995"/>
      <c r="AP527" s="995"/>
      <c r="AQ527" s="995"/>
      <c r="AR527" s="995"/>
      <c r="AS527" s="995"/>
      <c r="AT527" s="995"/>
      <c r="AU527" s="995"/>
      <c r="AV527" s="995"/>
      <c r="AW527" s="995"/>
      <c r="AX527" s="995"/>
    </row>
    <row r="528" spans="1:50" s="1201" customFormat="1" ht="15.5" hidden="1" x14ac:dyDescent="0.35">
      <c r="A528" s="995">
        <v>7</v>
      </c>
      <c r="B528" s="1147" t="s">
        <v>577</v>
      </c>
      <c r="C528" s="1147">
        <v>800</v>
      </c>
      <c r="D528" s="1147">
        <v>15</v>
      </c>
      <c r="E528" s="1147">
        <v>30</v>
      </c>
      <c r="F528" s="1147">
        <v>0.63</v>
      </c>
      <c r="G528" s="1151">
        <v>0.5</v>
      </c>
      <c r="H528" s="1152">
        <f>D528*F528*G528*3.7</f>
        <v>17.482499999999998</v>
      </c>
      <c r="I528" s="1152">
        <f>E528*F528*G528*3.7</f>
        <v>34.964999999999996</v>
      </c>
      <c r="J528" s="995"/>
      <c r="K528" s="995"/>
      <c r="L528" s="995"/>
      <c r="M528" s="995"/>
      <c r="N528" s="995"/>
      <c r="O528" s="995"/>
      <c r="P528" s="995"/>
      <c r="Q528" s="995"/>
      <c r="R528" s="995"/>
      <c r="S528" s="995"/>
      <c r="T528" s="995"/>
      <c r="U528" s="995"/>
      <c r="V528" s="995"/>
      <c r="W528" s="995"/>
      <c r="X528" s="995"/>
      <c r="Y528" s="995"/>
      <c r="Z528" s="995"/>
      <c r="AA528" s="995"/>
      <c r="AB528" s="995"/>
      <c r="AC528" s="995"/>
      <c r="AD528" s="995"/>
      <c r="AE528" s="995"/>
      <c r="AF528" s="995"/>
      <c r="AG528" s="995"/>
      <c r="AH528" s="995"/>
      <c r="AI528" s="995"/>
      <c r="AJ528" s="995"/>
      <c r="AK528" s="995"/>
      <c r="AL528" s="995"/>
      <c r="AM528" s="995"/>
      <c r="AN528" s="995"/>
      <c r="AO528" s="995"/>
      <c r="AP528" s="995"/>
      <c r="AQ528" s="995"/>
      <c r="AR528" s="995"/>
      <c r="AS528" s="995"/>
      <c r="AT528" s="995"/>
      <c r="AU528" s="995"/>
      <c r="AV528" s="995"/>
      <c r="AW528" s="995"/>
      <c r="AX528" s="995"/>
    </row>
    <row r="529" spans="1:50" s="1201" customFormat="1" ht="15.5" hidden="1" x14ac:dyDescent="0.35">
      <c r="A529" s="995">
        <v>8</v>
      </c>
      <c r="B529" s="1147" t="s">
        <v>578</v>
      </c>
      <c r="C529" s="1147">
        <v>800</v>
      </c>
      <c r="D529" s="1147">
        <v>15</v>
      </c>
      <c r="E529" s="1147">
        <v>30</v>
      </c>
      <c r="F529" s="1147">
        <v>0.63</v>
      </c>
      <c r="G529" s="1151">
        <v>0.5</v>
      </c>
      <c r="H529" s="1152">
        <f>D529*F529*G529*3.7</f>
        <v>17.482499999999998</v>
      </c>
      <c r="I529" s="1152">
        <f>E529*F529*G529*3.7</f>
        <v>34.964999999999996</v>
      </c>
      <c r="J529" s="995"/>
      <c r="K529" s="995"/>
      <c r="L529" s="995"/>
      <c r="M529" s="995"/>
      <c r="N529" s="995"/>
      <c r="O529" s="995"/>
      <c r="P529" s="995"/>
      <c r="Q529" s="995"/>
      <c r="R529" s="995"/>
      <c r="S529" s="995"/>
      <c r="T529" s="995"/>
      <c r="U529" s="995"/>
      <c r="V529" s="995"/>
      <c r="W529" s="995"/>
      <c r="X529" s="995"/>
      <c r="Y529" s="995"/>
      <c r="Z529" s="995"/>
      <c r="AA529" s="995"/>
      <c r="AB529" s="995"/>
      <c r="AC529" s="995"/>
      <c r="AD529" s="995"/>
      <c r="AE529" s="995"/>
      <c r="AF529" s="995"/>
      <c r="AG529" s="995"/>
      <c r="AH529" s="995"/>
      <c r="AI529" s="995"/>
      <c r="AJ529" s="995"/>
      <c r="AK529" s="995"/>
      <c r="AL529" s="995"/>
      <c r="AM529" s="995"/>
      <c r="AN529" s="995"/>
      <c r="AO529" s="995"/>
      <c r="AP529" s="995"/>
      <c r="AQ529" s="995"/>
      <c r="AR529" s="995"/>
      <c r="AS529" s="995"/>
      <c r="AT529" s="995"/>
      <c r="AU529" s="995"/>
      <c r="AV529" s="995"/>
      <c r="AW529" s="995"/>
      <c r="AX529" s="995"/>
    </row>
    <row r="530" spans="1:50" s="1201" customFormat="1" ht="15.5" hidden="1" x14ac:dyDescent="0.35">
      <c r="A530" s="995">
        <v>9</v>
      </c>
      <c r="B530" s="1147" t="s">
        <v>579</v>
      </c>
      <c r="C530" s="1147">
        <v>600</v>
      </c>
      <c r="D530" s="1147">
        <v>8</v>
      </c>
      <c r="E530" s="1147">
        <v>20</v>
      </c>
      <c r="F530" s="1147">
        <v>0.63</v>
      </c>
      <c r="G530" s="1151">
        <v>0.5</v>
      </c>
      <c r="H530" s="1152">
        <f>D530*F530*G530*3.7</f>
        <v>9.3239999999999998</v>
      </c>
      <c r="I530" s="1152">
        <f>E530*F530*G530*3.7</f>
        <v>23.31</v>
      </c>
      <c r="J530" s="995"/>
      <c r="K530" s="995"/>
      <c r="L530" s="995"/>
      <c r="M530" s="995"/>
      <c r="N530" s="995"/>
      <c r="O530" s="995"/>
      <c r="P530" s="995"/>
      <c r="Q530" s="995"/>
      <c r="R530" s="995"/>
      <c r="S530" s="995"/>
      <c r="T530" s="995"/>
      <c r="U530" s="995"/>
      <c r="V530" s="995"/>
      <c r="W530" s="995"/>
      <c r="X530" s="995"/>
      <c r="Y530" s="995"/>
      <c r="Z530" s="995"/>
      <c r="AA530" s="995"/>
      <c r="AB530" s="995"/>
      <c r="AC530" s="995"/>
      <c r="AD530" s="995"/>
      <c r="AE530" s="995"/>
      <c r="AF530" s="995"/>
      <c r="AG530" s="995"/>
      <c r="AH530" s="995"/>
      <c r="AI530" s="995"/>
      <c r="AJ530" s="995"/>
      <c r="AK530" s="995"/>
      <c r="AL530" s="995"/>
      <c r="AM530" s="995"/>
      <c r="AN530" s="995"/>
      <c r="AO530" s="995"/>
      <c r="AP530" s="995"/>
      <c r="AQ530" s="995"/>
      <c r="AR530" s="995"/>
      <c r="AS530" s="995"/>
      <c r="AT530" s="995"/>
      <c r="AU530" s="995"/>
      <c r="AV530" s="995"/>
      <c r="AW530" s="995"/>
      <c r="AX530" s="995"/>
    </row>
    <row r="531" spans="1:50" s="1201" customFormat="1" ht="15.5" hidden="1" x14ac:dyDescent="0.35">
      <c r="A531" s="995">
        <v>10</v>
      </c>
      <c r="B531" s="1148" t="s">
        <v>580</v>
      </c>
      <c r="C531" s="1148">
        <f t="shared" ref="C531:I531" si="51">AVERAGE(C532:C536)</f>
        <v>530</v>
      </c>
      <c r="D531" s="1148">
        <f t="shared" si="51"/>
        <v>3</v>
      </c>
      <c r="E531" s="1148">
        <f t="shared" si="51"/>
        <v>8.8000000000000007</v>
      </c>
      <c r="F531" s="1148">
        <f t="shared" si="51"/>
        <v>0.63</v>
      </c>
      <c r="G531" s="1148">
        <f t="shared" si="51"/>
        <v>0.5</v>
      </c>
      <c r="H531" s="1148">
        <f t="shared" si="51"/>
        <v>3.4964999999999997</v>
      </c>
      <c r="I531" s="1148">
        <f t="shared" si="51"/>
        <v>10.256399999999999</v>
      </c>
      <c r="J531" s="995"/>
      <c r="K531" s="995"/>
      <c r="L531" s="995"/>
      <c r="M531" s="995"/>
      <c r="N531" s="995"/>
      <c r="O531" s="995"/>
      <c r="P531" s="995"/>
      <c r="Q531" s="995"/>
      <c r="R531" s="995"/>
      <c r="S531" s="995"/>
      <c r="T531" s="995"/>
      <c r="U531" s="995"/>
      <c r="V531" s="995"/>
      <c r="W531" s="995"/>
      <c r="X531" s="995"/>
      <c r="Y531" s="995"/>
      <c r="Z531" s="995"/>
      <c r="AA531" s="995"/>
      <c r="AB531" s="995"/>
      <c r="AC531" s="995"/>
      <c r="AD531" s="995"/>
      <c r="AE531" s="995"/>
      <c r="AF531" s="995"/>
      <c r="AG531" s="995"/>
      <c r="AH531" s="995"/>
      <c r="AI531" s="995"/>
      <c r="AJ531" s="995"/>
      <c r="AK531" s="995"/>
      <c r="AL531" s="995"/>
      <c r="AM531" s="995"/>
      <c r="AN531" s="995"/>
      <c r="AO531" s="995"/>
      <c r="AP531" s="995"/>
      <c r="AQ531" s="995"/>
      <c r="AR531" s="995"/>
      <c r="AS531" s="995"/>
      <c r="AT531" s="995"/>
      <c r="AU531" s="995"/>
      <c r="AV531" s="995"/>
      <c r="AW531" s="995"/>
      <c r="AX531" s="995"/>
    </row>
    <row r="532" spans="1:50" s="1201" customFormat="1" ht="15.5" hidden="1" x14ac:dyDescent="0.35">
      <c r="A532" s="995">
        <v>11</v>
      </c>
      <c r="B532" s="1147" t="s">
        <v>581</v>
      </c>
      <c r="C532" s="1147">
        <v>750</v>
      </c>
      <c r="D532" s="1147">
        <v>4</v>
      </c>
      <c r="E532" s="1147">
        <v>10</v>
      </c>
      <c r="F532" s="1147">
        <v>0.63</v>
      </c>
      <c r="G532" s="1151">
        <v>0.5</v>
      </c>
      <c r="H532" s="1152">
        <f>D532*F532*G532*3.7</f>
        <v>4.6619999999999999</v>
      </c>
      <c r="I532" s="1152">
        <f>E532*F532*G532*3.7</f>
        <v>11.654999999999999</v>
      </c>
      <c r="J532" s="995"/>
      <c r="K532" s="995"/>
      <c r="L532" s="995"/>
      <c r="M532" s="995"/>
      <c r="N532" s="995"/>
      <c r="O532" s="995"/>
      <c r="P532" s="995"/>
      <c r="Q532" s="995"/>
      <c r="R532" s="995"/>
      <c r="S532" s="995"/>
      <c r="T532" s="995"/>
      <c r="U532" s="995"/>
      <c r="V532" s="995"/>
      <c r="W532" s="995"/>
      <c r="X532" s="995"/>
      <c r="Y532" s="995"/>
      <c r="Z532" s="995"/>
      <c r="AA532" s="995"/>
      <c r="AB532" s="995"/>
      <c r="AC532" s="995"/>
      <c r="AD532" s="995"/>
      <c r="AE532" s="995"/>
      <c r="AF532" s="995"/>
      <c r="AG532" s="995"/>
      <c r="AH532" s="995"/>
      <c r="AI532" s="995"/>
      <c r="AJ532" s="995"/>
      <c r="AK532" s="995"/>
      <c r="AL532" s="995"/>
      <c r="AM532" s="995"/>
      <c r="AN532" s="995"/>
      <c r="AO532" s="995"/>
      <c r="AP532" s="995"/>
      <c r="AQ532" s="995"/>
      <c r="AR532" s="995"/>
      <c r="AS532" s="995"/>
      <c r="AT532" s="995"/>
      <c r="AU532" s="995"/>
      <c r="AV532" s="995"/>
      <c r="AW532" s="995"/>
      <c r="AX532" s="995"/>
    </row>
    <row r="533" spans="1:50" s="1201" customFormat="1" ht="15.5" hidden="1" x14ac:dyDescent="0.35">
      <c r="A533" s="995">
        <v>12</v>
      </c>
      <c r="B533" s="1147" t="s">
        <v>582</v>
      </c>
      <c r="C533" s="1147">
        <v>500</v>
      </c>
      <c r="D533" s="1147">
        <v>5</v>
      </c>
      <c r="E533" s="1147">
        <v>10</v>
      </c>
      <c r="F533" s="1147">
        <v>0.63</v>
      </c>
      <c r="G533" s="1151">
        <v>0.5</v>
      </c>
      <c r="H533" s="1152">
        <f>D533*F533*G533*3.7</f>
        <v>5.8274999999999997</v>
      </c>
      <c r="I533" s="1152">
        <f>E533*F533*G533*3.7</f>
        <v>11.654999999999999</v>
      </c>
      <c r="J533" s="995"/>
      <c r="K533" s="995"/>
      <c r="L533" s="995"/>
      <c r="M533" s="995"/>
      <c r="N533" s="995"/>
      <c r="O533" s="995"/>
      <c r="P533" s="995"/>
      <c r="Q533" s="995"/>
      <c r="R533" s="995"/>
      <c r="S533" s="995"/>
      <c r="T533" s="995"/>
      <c r="U533" s="995"/>
      <c r="V533" s="995"/>
      <c r="W533" s="995"/>
      <c r="X533" s="995"/>
      <c r="Y533" s="995"/>
      <c r="Z533" s="995"/>
      <c r="AA533" s="995"/>
      <c r="AB533" s="995"/>
      <c r="AC533" s="995"/>
      <c r="AD533" s="995"/>
      <c r="AE533" s="995"/>
      <c r="AF533" s="995"/>
      <c r="AG533" s="995"/>
      <c r="AH533" s="995"/>
      <c r="AI533" s="995"/>
      <c r="AJ533" s="995"/>
      <c r="AK533" s="995"/>
      <c r="AL533" s="995"/>
      <c r="AM533" s="995"/>
      <c r="AN533" s="995"/>
      <c r="AO533" s="995"/>
      <c r="AP533" s="995"/>
      <c r="AQ533" s="995"/>
      <c r="AR533" s="995"/>
      <c r="AS533" s="995"/>
      <c r="AT533" s="995"/>
      <c r="AU533" s="995"/>
      <c r="AV533" s="995"/>
      <c r="AW533" s="995"/>
      <c r="AX533" s="995"/>
    </row>
    <row r="534" spans="1:50" s="1201" customFormat="1" ht="15.5" hidden="1" x14ac:dyDescent="0.35">
      <c r="A534" s="995">
        <v>13</v>
      </c>
      <c r="B534" s="1147" t="s">
        <v>583</v>
      </c>
      <c r="C534" s="1147">
        <v>500</v>
      </c>
      <c r="D534" s="1147">
        <v>2</v>
      </c>
      <c r="E534" s="1147">
        <v>8</v>
      </c>
      <c r="F534" s="1147">
        <v>0.63</v>
      </c>
      <c r="G534" s="1151">
        <v>0.5</v>
      </c>
      <c r="H534" s="1152">
        <f>D534*F534*G534*3.7</f>
        <v>2.331</v>
      </c>
      <c r="I534" s="1152">
        <f>E534*F534*G534*3.7</f>
        <v>9.3239999999999998</v>
      </c>
      <c r="J534" s="995"/>
      <c r="K534" s="995"/>
      <c r="L534" s="995"/>
      <c r="M534" s="995"/>
      <c r="N534" s="995"/>
      <c r="O534" s="995"/>
      <c r="P534" s="995"/>
      <c r="Q534" s="995"/>
      <c r="R534" s="995"/>
      <c r="S534" s="995"/>
      <c r="T534" s="995"/>
      <c r="U534" s="995"/>
      <c r="V534" s="995"/>
      <c r="W534" s="995"/>
      <c r="X534" s="995"/>
      <c r="Y534" s="995"/>
      <c r="Z534" s="995"/>
      <c r="AA534" s="995"/>
      <c r="AB534" s="995"/>
      <c r="AC534" s="995"/>
      <c r="AD534" s="995"/>
      <c r="AE534" s="995"/>
      <c r="AF534" s="995"/>
      <c r="AG534" s="995"/>
      <c r="AH534" s="995"/>
      <c r="AI534" s="995"/>
      <c r="AJ534" s="995"/>
      <c r="AK534" s="995"/>
      <c r="AL534" s="995"/>
      <c r="AM534" s="995"/>
      <c r="AN534" s="995"/>
      <c r="AO534" s="995"/>
      <c r="AP534" s="995"/>
      <c r="AQ534" s="995"/>
      <c r="AR534" s="995"/>
      <c r="AS534" s="995"/>
      <c r="AT534" s="995"/>
      <c r="AU534" s="995"/>
      <c r="AV534" s="995"/>
      <c r="AW534" s="995"/>
      <c r="AX534" s="995"/>
    </row>
    <row r="535" spans="1:50" s="1201" customFormat="1" ht="15.5" hidden="1" x14ac:dyDescent="0.35">
      <c r="A535" s="995">
        <v>14</v>
      </c>
      <c r="B535" s="1147" t="s">
        <v>584</v>
      </c>
      <c r="C535" s="1147">
        <v>400</v>
      </c>
      <c r="D535" s="1147">
        <v>2</v>
      </c>
      <c r="E535" s="1147">
        <v>8</v>
      </c>
      <c r="F535" s="1147">
        <v>0.63</v>
      </c>
      <c r="G535" s="1151">
        <v>0.5</v>
      </c>
      <c r="H535" s="1152">
        <f>D535*F535*G535*3.7</f>
        <v>2.331</v>
      </c>
      <c r="I535" s="1152">
        <f>E535*F535*G535*3.7</f>
        <v>9.3239999999999998</v>
      </c>
      <c r="J535" s="995"/>
      <c r="K535" s="995"/>
      <c r="L535" s="995"/>
      <c r="M535" s="995"/>
      <c r="N535" s="995"/>
      <c r="O535" s="995"/>
      <c r="P535" s="995"/>
      <c r="Q535" s="995"/>
      <c r="R535" s="995"/>
      <c r="S535" s="995"/>
      <c r="T535" s="995"/>
      <c r="U535" s="995"/>
      <c r="V535" s="995"/>
      <c r="W535" s="995"/>
      <c r="X535" s="995"/>
      <c r="Y535" s="995"/>
      <c r="Z535" s="995"/>
      <c r="AA535" s="995"/>
      <c r="AB535" s="995"/>
      <c r="AC535" s="995"/>
      <c r="AD535" s="995"/>
      <c r="AE535" s="995"/>
      <c r="AF535" s="995"/>
      <c r="AG535" s="995"/>
      <c r="AH535" s="995"/>
      <c r="AI535" s="995"/>
      <c r="AJ535" s="995"/>
      <c r="AK535" s="995"/>
      <c r="AL535" s="995"/>
      <c r="AM535" s="995"/>
      <c r="AN535" s="995"/>
      <c r="AO535" s="995"/>
      <c r="AP535" s="995"/>
      <c r="AQ535" s="995"/>
      <c r="AR535" s="995"/>
      <c r="AS535" s="995"/>
      <c r="AT535" s="995"/>
      <c r="AU535" s="995"/>
      <c r="AV535" s="995"/>
      <c r="AW535" s="995"/>
      <c r="AX535" s="995"/>
    </row>
    <row r="536" spans="1:50" s="1201" customFormat="1" ht="15.5" hidden="1" x14ac:dyDescent="0.35">
      <c r="A536" s="1201">
        <v>15</v>
      </c>
      <c r="B536" s="1147" t="s">
        <v>585</v>
      </c>
      <c r="C536" s="1147">
        <v>500</v>
      </c>
      <c r="D536" s="1147">
        <v>2</v>
      </c>
      <c r="E536" s="1147">
        <v>8</v>
      </c>
      <c r="F536" s="1147">
        <v>0.63</v>
      </c>
      <c r="G536" s="1151">
        <v>0.5</v>
      </c>
      <c r="H536" s="1152">
        <f>D536*F536*G536*3.7</f>
        <v>2.331</v>
      </c>
      <c r="I536" s="1152">
        <f>E536*F536*G536*3.7</f>
        <v>9.3239999999999998</v>
      </c>
      <c r="J536" s="995"/>
      <c r="K536" s="995"/>
      <c r="L536" s="995"/>
      <c r="M536" s="995"/>
      <c r="N536" s="995"/>
      <c r="O536" s="995"/>
      <c r="P536" s="995"/>
      <c r="Q536" s="995"/>
      <c r="R536" s="995"/>
      <c r="S536" s="995"/>
      <c r="T536" s="995"/>
      <c r="U536" s="995"/>
      <c r="V536" s="995"/>
      <c r="W536" s="995"/>
      <c r="X536" s="995"/>
      <c r="Y536" s="995"/>
      <c r="Z536" s="995"/>
      <c r="AA536" s="995"/>
      <c r="AB536" s="995"/>
      <c r="AC536" s="995"/>
      <c r="AD536" s="995"/>
      <c r="AE536" s="995"/>
      <c r="AF536" s="995"/>
      <c r="AG536" s="995"/>
      <c r="AH536" s="995"/>
      <c r="AI536" s="995"/>
      <c r="AJ536" s="995"/>
      <c r="AK536" s="995"/>
      <c r="AL536" s="995"/>
      <c r="AM536" s="995"/>
      <c r="AN536" s="995"/>
      <c r="AO536" s="995"/>
      <c r="AP536" s="995"/>
      <c r="AQ536" s="995"/>
      <c r="AR536" s="995"/>
      <c r="AS536" s="995"/>
      <c r="AT536" s="995"/>
      <c r="AU536" s="995"/>
      <c r="AV536" s="995"/>
      <c r="AW536" s="995"/>
      <c r="AX536" s="995"/>
    </row>
    <row r="537" spans="1:50" s="1201" customFormat="1" ht="15.5" hidden="1" x14ac:dyDescent="0.35">
      <c r="A537" s="995" t="s">
        <v>228</v>
      </c>
      <c r="B537" s="1147" t="e">
        <f>VLOOKUP($C$77,$B$522:$I$536,1,FALSE)</f>
        <v>#N/A</v>
      </c>
      <c r="C537" s="1147" t="e">
        <f>VLOOKUP($C$77,$B$522:$I$536,2,FALSE)</f>
        <v>#N/A</v>
      </c>
      <c r="D537" s="1147" t="e">
        <f>VLOOKUP($C$77,$B$522:$I$536,3,FALSE)</f>
        <v>#N/A</v>
      </c>
      <c r="E537" s="1147" t="e">
        <f>VLOOKUP($C$77,$B$522:$I$536,4,FALSE)</f>
        <v>#N/A</v>
      </c>
      <c r="F537" s="1147" t="e">
        <f>VLOOKUP($C$77,$B$522:$I$536,5,FALSE)</f>
        <v>#N/A</v>
      </c>
      <c r="G537" s="1147" t="e">
        <f>VLOOKUP($C$77,$B$522:$I$536,6,FALSE)</f>
        <v>#N/A</v>
      </c>
      <c r="H537" s="1147" t="e">
        <f>VLOOKUP($C$77,$B$522:$I$536,7,FALSE)</f>
        <v>#N/A</v>
      </c>
      <c r="I537" s="1147" t="e">
        <f>VLOOKUP($C$77,$B$522:$I$536,8,FALSE)</f>
        <v>#N/A</v>
      </c>
      <c r="J537" s="995"/>
      <c r="K537" s="995"/>
      <c r="L537" s="995"/>
      <c r="M537" s="995"/>
      <c r="N537" s="995"/>
      <c r="O537" s="995"/>
      <c r="P537" s="995"/>
      <c r="Q537" s="995"/>
      <c r="R537" s="995"/>
      <c r="S537" s="995"/>
      <c r="T537" s="995"/>
      <c r="U537" s="995"/>
      <c r="V537" s="995"/>
      <c r="W537" s="995"/>
      <c r="X537" s="995"/>
      <c r="Y537" s="995"/>
      <c r="Z537" s="995"/>
      <c r="AA537" s="995"/>
      <c r="AB537" s="995"/>
      <c r="AC537" s="995"/>
      <c r="AD537" s="995"/>
      <c r="AE537" s="995"/>
      <c r="AF537" s="995"/>
      <c r="AG537" s="995"/>
      <c r="AH537" s="995"/>
      <c r="AI537" s="995"/>
      <c r="AJ537" s="995"/>
      <c r="AK537" s="995"/>
      <c r="AL537" s="995"/>
      <c r="AM537" s="995"/>
      <c r="AN537" s="995"/>
      <c r="AO537" s="995"/>
      <c r="AP537" s="995"/>
      <c r="AQ537" s="995"/>
      <c r="AR537" s="995"/>
      <c r="AS537" s="995"/>
      <c r="AT537" s="995"/>
      <c r="AU537" s="995"/>
      <c r="AV537" s="995"/>
      <c r="AW537" s="995"/>
      <c r="AX537" s="995"/>
    </row>
    <row r="538" spans="1:50" s="1201" customFormat="1" ht="15.5" hidden="1" x14ac:dyDescent="0.35">
      <c r="A538" s="995"/>
      <c r="B538" s="1147"/>
      <c r="C538" s="1147"/>
      <c r="D538" s="1147"/>
      <c r="E538" s="1147"/>
      <c r="F538" s="1147"/>
      <c r="G538" s="1147"/>
      <c r="H538" s="1147"/>
      <c r="I538" s="1147"/>
      <c r="J538" s="995"/>
      <c r="K538" s="995"/>
      <c r="L538" s="995"/>
      <c r="M538" s="995"/>
      <c r="N538" s="995"/>
      <c r="O538" s="995"/>
      <c r="P538" s="995"/>
      <c r="Q538" s="995"/>
      <c r="R538" s="995"/>
      <c r="S538" s="995"/>
      <c r="T538" s="995"/>
      <c r="U538" s="995"/>
      <c r="V538" s="995"/>
      <c r="W538" s="995"/>
      <c r="X538" s="995"/>
      <c r="Y538" s="995"/>
      <c r="Z538" s="995"/>
      <c r="AA538" s="995"/>
      <c r="AB538" s="995"/>
      <c r="AC538" s="995"/>
      <c r="AD538" s="995"/>
      <c r="AE538" s="995"/>
      <c r="AF538" s="995"/>
      <c r="AG538" s="995"/>
      <c r="AH538" s="995"/>
      <c r="AI538" s="995"/>
      <c r="AJ538" s="995"/>
      <c r="AK538" s="995"/>
      <c r="AL538" s="995"/>
      <c r="AM538" s="995"/>
      <c r="AN538" s="995"/>
      <c r="AO538" s="995"/>
      <c r="AP538" s="995"/>
      <c r="AQ538" s="995"/>
      <c r="AR538" s="995"/>
      <c r="AS538" s="995"/>
      <c r="AT538" s="995"/>
      <c r="AU538" s="995"/>
      <c r="AV538" s="995"/>
      <c r="AW538" s="995"/>
      <c r="AX538" s="995"/>
    </row>
    <row r="539" spans="1:50" s="1201" customFormat="1" ht="15.5" hidden="1" x14ac:dyDescent="0.35">
      <c r="B539" s="1147" t="s">
        <v>586</v>
      </c>
      <c r="C539" s="1147" t="s">
        <v>572</v>
      </c>
      <c r="D539" s="1147"/>
      <c r="E539" s="2642" t="s">
        <v>419</v>
      </c>
      <c r="F539" s="2642"/>
      <c r="G539" s="1190" t="s">
        <v>1030</v>
      </c>
      <c r="H539" s="1147">
        <f>T200</f>
        <v>3</v>
      </c>
      <c r="I539" s="1147"/>
      <c r="J539" s="995"/>
      <c r="K539" s="995"/>
      <c r="L539" s="995"/>
      <c r="M539" s="995"/>
      <c r="N539" s="995"/>
      <c r="O539" s="995"/>
      <c r="P539" s="995"/>
      <c r="Q539" s="995"/>
      <c r="R539" s="995"/>
      <c r="S539" s="995"/>
      <c r="T539" s="995"/>
      <c r="U539" s="995"/>
      <c r="V539" s="995"/>
      <c r="W539" s="995"/>
      <c r="X539" s="995"/>
      <c r="Y539" s="995"/>
      <c r="Z539" s="995"/>
      <c r="AA539" s="995"/>
      <c r="AB539" s="995"/>
      <c r="AC539" s="995"/>
      <c r="AD539" s="995"/>
      <c r="AE539" s="995"/>
      <c r="AF539" s="995"/>
      <c r="AG539" s="995"/>
      <c r="AH539" s="995"/>
      <c r="AI539" s="995"/>
      <c r="AJ539" s="995"/>
      <c r="AK539" s="995"/>
      <c r="AL539" s="995"/>
      <c r="AM539" s="995"/>
      <c r="AN539" s="995"/>
      <c r="AO539" s="995"/>
      <c r="AP539" s="995"/>
      <c r="AQ539" s="995"/>
      <c r="AR539" s="995"/>
      <c r="AS539" s="995"/>
      <c r="AT539" s="995"/>
      <c r="AU539" s="995"/>
      <c r="AV539" s="995"/>
      <c r="AW539" s="995"/>
      <c r="AX539" s="995"/>
    </row>
    <row r="540" spans="1:50" s="1201" customFormat="1" ht="15.5" hidden="1" x14ac:dyDescent="0.35">
      <c r="A540" s="995">
        <v>1</v>
      </c>
      <c r="B540" s="1147" t="s">
        <v>587</v>
      </c>
      <c r="C540" s="1153" t="e">
        <f>IF(B543="High (&gt;700)",F540,FALSE)</f>
        <v>#N/A</v>
      </c>
      <c r="D540" s="1147"/>
      <c r="E540" s="1147" t="e">
        <f>H537</f>
        <v>#N/A</v>
      </c>
      <c r="F540" s="1147" t="e">
        <f>I537</f>
        <v>#N/A</v>
      </c>
      <c r="G540" s="1190"/>
      <c r="H540" s="1147"/>
      <c r="I540" s="1147"/>
      <c r="J540" s="995"/>
      <c r="K540" s="995"/>
      <c r="L540" s="995"/>
      <c r="M540" s="995"/>
      <c r="N540" s="995"/>
      <c r="O540" s="995"/>
      <c r="P540" s="995"/>
      <c r="Q540" s="995"/>
      <c r="R540" s="995"/>
      <c r="S540" s="995"/>
      <c r="T540" s="995"/>
      <c r="U540" s="995"/>
      <c r="V540" s="995"/>
      <c r="W540" s="995"/>
      <c r="X540" s="995"/>
      <c r="Y540" s="995"/>
      <c r="Z540" s="995"/>
      <c r="AA540" s="995"/>
      <c r="AB540" s="995"/>
      <c r="AC540" s="995"/>
      <c r="AD540" s="995"/>
      <c r="AE540" s="995"/>
      <c r="AF540" s="995"/>
      <c r="AG540" s="995"/>
      <c r="AH540" s="995"/>
      <c r="AI540" s="995"/>
      <c r="AJ540" s="995"/>
      <c r="AK540" s="995"/>
      <c r="AL540" s="995"/>
      <c r="AM540" s="995"/>
      <c r="AN540" s="995"/>
      <c r="AO540" s="995"/>
      <c r="AP540" s="995"/>
      <c r="AQ540" s="995"/>
      <c r="AR540" s="995"/>
      <c r="AS540" s="995"/>
      <c r="AT540" s="995"/>
      <c r="AU540" s="995"/>
      <c r="AV540" s="995"/>
      <c r="AW540" s="995"/>
      <c r="AX540" s="995"/>
    </row>
    <row r="541" spans="1:50" s="1201" customFormat="1" ht="15.5" hidden="1" x14ac:dyDescent="0.35">
      <c r="A541" s="995">
        <v>2</v>
      </c>
      <c r="B541" s="1147" t="s">
        <v>588</v>
      </c>
      <c r="C541" s="1147" t="e">
        <f>IF(B543="Med (500 - 700)",AVERAGE(E540:F540),FALSE)</f>
        <v>#N/A</v>
      </c>
      <c r="D541" s="1147"/>
      <c r="E541" s="1147"/>
      <c r="F541" s="1147"/>
      <c r="G541" s="1190" t="s">
        <v>910</v>
      </c>
      <c r="H541" s="1147" t="str">
        <f>D82</f>
        <v>Sump dispersal</v>
      </c>
      <c r="I541" s="1147"/>
      <c r="J541" s="995"/>
      <c r="K541" s="995"/>
      <c r="L541" s="995"/>
      <c r="M541" s="995"/>
      <c r="N541" s="995"/>
      <c r="O541" s="995"/>
      <c r="P541" s="995"/>
      <c r="Q541" s="995"/>
      <c r="R541" s="995"/>
      <c r="S541" s="995"/>
      <c r="T541" s="995"/>
      <c r="U541" s="995"/>
      <c r="V541" s="995"/>
      <c r="W541" s="995"/>
      <c r="X541" s="995"/>
      <c r="Y541" s="995"/>
      <c r="Z541" s="995"/>
      <c r="AA541" s="995"/>
      <c r="AB541" s="995"/>
      <c r="AC541" s="995"/>
      <c r="AD541" s="995"/>
      <c r="AE541" s="995"/>
      <c r="AF541" s="995"/>
      <c r="AG541" s="995"/>
      <c r="AH541" s="995"/>
      <c r="AI541" s="995"/>
      <c r="AJ541" s="995"/>
      <c r="AK541" s="995"/>
      <c r="AL541" s="995"/>
      <c r="AM541" s="995"/>
      <c r="AN541" s="995"/>
      <c r="AO541" s="995"/>
      <c r="AP541" s="995"/>
      <c r="AQ541" s="995"/>
      <c r="AR541" s="995"/>
      <c r="AS541" s="995"/>
      <c r="AT541" s="995"/>
      <c r="AU541" s="995"/>
      <c r="AV541" s="995"/>
      <c r="AW541" s="995"/>
      <c r="AX541" s="995"/>
    </row>
    <row r="542" spans="1:50" s="1201" customFormat="1" ht="15.5" hidden="1" x14ac:dyDescent="0.35">
      <c r="A542" s="995">
        <v>3</v>
      </c>
      <c r="B542" s="1147" t="s">
        <v>589</v>
      </c>
      <c r="C542" s="1147" t="e">
        <f>IF(B543="Low (&lt;500)",E540,FALSE)</f>
        <v>#N/A</v>
      </c>
      <c r="D542" s="1147"/>
      <c r="E542" s="1147"/>
      <c r="F542" s="1147"/>
      <c r="G542" s="1147"/>
      <c r="H542" s="1147"/>
      <c r="I542" s="1147"/>
      <c r="J542" s="995"/>
      <c r="K542" s="995"/>
      <c r="L542" s="995"/>
      <c r="M542" s="995"/>
      <c r="N542" s="995"/>
      <c r="O542" s="995"/>
      <c r="P542" s="995"/>
      <c r="Q542" s="995"/>
      <c r="R542" s="995"/>
      <c r="S542" s="995"/>
      <c r="T542" s="995"/>
      <c r="U542" s="995"/>
      <c r="V542" s="995"/>
      <c r="W542" s="995"/>
      <c r="X542" s="995"/>
      <c r="Y542" s="995"/>
      <c r="Z542" s="995"/>
      <c r="AA542" s="995"/>
      <c r="AB542" s="995"/>
      <c r="AC542" s="995"/>
      <c r="AD542" s="995"/>
      <c r="AE542" s="995"/>
      <c r="AF542" s="995"/>
      <c r="AG542" s="995"/>
      <c r="AH542" s="995"/>
      <c r="AI542" s="995"/>
      <c r="AJ542" s="995"/>
      <c r="AK542" s="995"/>
      <c r="AL542" s="995"/>
      <c r="AM542" s="995"/>
      <c r="AN542" s="995"/>
      <c r="AO542" s="995"/>
      <c r="AP542" s="995"/>
      <c r="AQ542" s="995"/>
      <c r="AR542" s="995"/>
      <c r="AS542" s="995"/>
      <c r="AT542" s="995"/>
      <c r="AU542" s="995"/>
      <c r="AV542" s="995"/>
      <c r="AW542" s="995"/>
      <c r="AX542" s="995"/>
    </row>
    <row r="543" spans="1:50" s="1201" customFormat="1" ht="15.5" hidden="1" x14ac:dyDescent="0.35">
      <c r="A543" s="995" t="s">
        <v>228</v>
      </c>
      <c r="B543" s="2514" t="e">
        <f>VLOOKUP($H$77,B540:B542,1,FALSE)</f>
        <v>#N/A</v>
      </c>
      <c r="C543" s="2514"/>
      <c r="D543" s="2514"/>
      <c r="E543" s="423" t="s">
        <v>2165</v>
      </c>
      <c r="F543" s="2514"/>
      <c r="G543" s="358" t="e">
        <f>IF(H539=1,0,IF(H539=3,AVERAGE(C540:C542),H541))</f>
        <v>#N/A</v>
      </c>
      <c r="H543" s="2514"/>
      <c r="I543" s="2514"/>
      <c r="J543" s="995"/>
      <c r="K543" s="995"/>
      <c r="L543" s="995"/>
      <c r="M543" s="995"/>
      <c r="N543" s="995"/>
      <c r="O543" s="995"/>
      <c r="P543" s="995"/>
      <c r="Q543" s="995"/>
      <c r="R543" s="995"/>
      <c r="S543" s="995"/>
      <c r="T543" s="995"/>
      <c r="U543" s="995"/>
      <c r="V543" s="995"/>
      <c r="W543" s="995"/>
      <c r="X543" s="995"/>
      <c r="Y543" s="995"/>
      <c r="Z543" s="995"/>
      <c r="AA543" s="995"/>
      <c r="AB543" s="995"/>
      <c r="AC543" s="995"/>
      <c r="AD543" s="995"/>
      <c r="AE543" s="995"/>
      <c r="AF543" s="995"/>
      <c r="AG543" s="995"/>
      <c r="AH543" s="995"/>
      <c r="AI543" s="995"/>
      <c r="AJ543" s="995"/>
      <c r="AK543" s="995"/>
      <c r="AL543" s="995"/>
      <c r="AM543" s="995"/>
      <c r="AN543" s="995"/>
      <c r="AO543" s="995"/>
      <c r="AP543" s="995"/>
      <c r="AQ543" s="995"/>
      <c r="AR543" s="995"/>
      <c r="AS543" s="995"/>
      <c r="AT543" s="995"/>
      <c r="AU543" s="995"/>
      <c r="AV543" s="995"/>
      <c r="AW543" s="995"/>
      <c r="AX543" s="995"/>
    </row>
    <row r="544" spans="1:50" s="1201" customFormat="1" ht="15.5" hidden="1" x14ac:dyDescent="0.35">
      <c r="A544" s="995"/>
      <c r="B544" s="1154"/>
      <c r="C544" s="995"/>
      <c r="D544" s="995"/>
      <c r="E544" s="995"/>
      <c r="F544" s="995"/>
      <c r="G544" s="995"/>
      <c r="H544" s="995"/>
      <c r="I544" s="995"/>
      <c r="J544" s="995"/>
      <c r="K544" s="995"/>
      <c r="L544" s="995"/>
      <c r="M544" s="995"/>
      <c r="N544" s="995"/>
      <c r="O544" s="995"/>
      <c r="P544" s="995"/>
      <c r="Q544" s="995"/>
      <c r="R544" s="995"/>
      <c r="S544" s="995"/>
      <c r="T544" s="995"/>
      <c r="U544" s="995"/>
      <c r="V544" s="995"/>
      <c r="W544" s="995"/>
      <c r="X544" s="995"/>
      <c r="Y544" s="995"/>
      <c r="Z544" s="995"/>
      <c r="AA544" s="995"/>
      <c r="AB544" s="995"/>
      <c r="AC544" s="995"/>
      <c r="AD544" s="995"/>
      <c r="AE544" s="995"/>
      <c r="AF544" s="995"/>
      <c r="AG544" s="995"/>
      <c r="AH544" s="995"/>
      <c r="AI544" s="995"/>
      <c r="AJ544" s="995"/>
      <c r="AK544" s="995"/>
      <c r="AL544" s="995"/>
      <c r="AM544" s="995"/>
      <c r="AN544" s="995"/>
      <c r="AO544" s="995"/>
      <c r="AP544" s="995"/>
      <c r="AQ544" s="995"/>
      <c r="AR544" s="995"/>
      <c r="AS544" s="995"/>
      <c r="AT544" s="995"/>
      <c r="AU544" s="995"/>
      <c r="AV544" s="995"/>
      <c r="AW544" s="995"/>
      <c r="AX544" s="995"/>
    </row>
    <row r="545" spans="1:50" s="1201" customFormat="1" ht="15.5" hidden="1" x14ac:dyDescent="0.35">
      <c r="A545" s="996"/>
      <c r="B545" s="995"/>
      <c r="C545" s="995"/>
      <c r="D545" s="995"/>
      <c r="E545" s="995"/>
      <c r="F545" s="995"/>
      <c r="G545" s="995"/>
      <c r="H545" s="995"/>
      <c r="I545" s="995"/>
      <c r="J545" s="995"/>
      <c r="K545" s="995"/>
      <c r="L545" s="995"/>
      <c r="M545" s="995"/>
      <c r="N545" s="995"/>
      <c r="O545" s="995"/>
      <c r="P545" s="995"/>
      <c r="Q545" s="995"/>
      <c r="R545" s="995"/>
      <c r="S545" s="995"/>
      <c r="T545" s="995"/>
      <c r="U545" s="995"/>
      <c r="V545" s="995"/>
      <c r="W545" s="995"/>
      <c r="X545" s="995"/>
      <c r="Y545" s="995"/>
      <c r="Z545" s="995"/>
      <c r="AA545" s="995"/>
      <c r="AB545" s="995"/>
      <c r="AC545" s="995"/>
      <c r="AD545" s="995"/>
      <c r="AE545" s="995"/>
      <c r="AF545" s="995"/>
      <c r="AG545" s="995"/>
      <c r="AH545" s="995"/>
      <c r="AI545" s="995"/>
      <c r="AJ545" s="995"/>
      <c r="AK545" s="995"/>
      <c r="AL545" s="995"/>
      <c r="AM545" s="995"/>
      <c r="AN545" s="995"/>
      <c r="AO545" s="995"/>
      <c r="AP545" s="995"/>
      <c r="AQ545" s="995"/>
      <c r="AR545" s="995"/>
      <c r="AS545" s="995"/>
      <c r="AT545" s="995"/>
      <c r="AU545" s="995"/>
      <c r="AV545" s="995"/>
      <c r="AW545" s="995"/>
      <c r="AX545" s="995"/>
    </row>
    <row r="546" spans="1:50" s="1201" customFormat="1" ht="17.5" hidden="1" x14ac:dyDescent="0.35">
      <c r="A546" s="1052"/>
      <c r="B546" s="1155" t="s">
        <v>590</v>
      </c>
      <c r="C546" s="996"/>
      <c r="D546" s="996"/>
      <c r="E546" s="996"/>
      <c r="F546" s="996"/>
      <c r="G546" s="996"/>
      <c r="H546" s="996"/>
      <c r="I546" s="995"/>
      <c r="J546" s="995"/>
      <c r="K546" s="995"/>
      <c r="L546" s="995"/>
      <c r="M546" s="995"/>
      <c r="N546" s="995"/>
      <c r="O546" s="995"/>
      <c r="P546" s="995"/>
      <c r="Q546" s="995"/>
      <c r="R546" s="995"/>
      <c r="S546" s="995"/>
      <c r="T546" s="995"/>
      <c r="U546" s="995"/>
      <c r="V546" s="995"/>
      <c r="W546" s="995"/>
      <c r="X546" s="995"/>
      <c r="Y546" s="995"/>
      <c r="Z546" s="995"/>
      <c r="AA546" s="995"/>
      <c r="AB546" s="995"/>
      <c r="AC546" s="995"/>
      <c r="AD546" s="995"/>
      <c r="AE546" s="995"/>
      <c r="AF546" s="995"/>
      <c r="AG546" s="995"/>
      <c r="AH546" s="995"/>
      <c r="AI546" s="995"/>
      <c r="AJ546" s="995"/>
      <c r="AK546" s="995"/>
      <c r="AL546" s="995"/>
      <c r="AM546" s="995"/>
      <c r="AN546" s="995"/>
      <c r="AO546" s="995"/>
      <c r="AP546" s="995"/>
      <c r="AQ546" s="995"/>
      <c r="AR546" s="995"/>
      <c r="AS546" s="995"/>
      <c r="AT546" s="995"/>
      <c r="AU546" s="995"/>
      <c r="AV546" s="995"/>
      <c r="AW546" s="995"/>
      <c r="AX546" s="995"/>
    </row>
    <row r="547" spans="1:50" s="1201" customFormat="1" ht="15.5" hidden="1" x14ac:dyDescent="0.35">
      <c r="A547" s="1052"/>
      <c r="B547" s="996"/>
      <c r="C547" s="996"/>
      <c r="D547" s="996"/>
      <c r="E547" s="996"/>
      <c r="F547" s="996"/>
      <c r="G547" s="996"/>
      <c r="H547" s="996"/>
      <c r="I547" s="995"/>
      <c r="J547" s="995"/>
      <c r="K547" s="995"/>
      <c r="L547" s="995"/>
      <c r="M547" s="995"/>
      <c r="N547" s="995"/>
      <c r="O547" s="995"/>
      <c r="P547" s="995"/>
      <c r="Q547" s="995"/>
      <c r="R547" s="995"/>
      <c r="S547" s="995"/>
      <c r="T547" s="995"/>
      <c r="U547" s="995"/>
      <c r="V547" s="995"/>
      <c r="W547" s="995"/>
      <c r="X547" s="995"/>
      <c r="Y547" s="995"/>
      <c r="Z547" s="995"/>
      <c r="AA547" s="995"/>
      <c r="AB547" s="995"/>
      <c r="AC547" s="995"/>
      <c r="AD547" s="995"/>
      <c r="AE547" s="995"/>
      <c r="AF547" s="995"/>
      <c r="AG547" s="995"/>
      <c r="AH547" s="995"/>
      <c r="AI547" s="995"/>
      <c r="AJ547" s="995"/>
      <c r="AK547" s="995"/>
      <c r="AL547" s="995"/>
      <c r="AM547" s="995"/>
      <c r="AN547" s="995"/>
      <c r="AO547" s="995"/>
      <c r="AP547" s="995"/>
      <c r="AQ547" s="995"/>
      <c r="AR547" s="995"/>
      <c r="AS547" s="995"/>
      <c r="AT547" s="995"/>
      <c r="AU547" s="995"/>
      <c r="AV547" s="995"/>
      <c r="AW547" s="995"/>
      <c r="AX547" s="995"/>
    </row>
    <row r="548" spans="1:50" s="1201" customFormat="1" ht="15.5" hidden="1" x14ac:dyDescent="0.35">
      <c r="A548" s="1052"/>
      <c r="B548" s="360" t="s">
        <v>245</v>
      </c>
      <c r="C548" s="361"/>
      <c r="D548" s="361"/>
      <c r="E548" s="361"/>
      <c r="F548" s="360" t="s">
        <v>215</v>
      </c>
      <c r="G548" s="361"/>
      <c r="H548" s="360"/>
      <c r="I548" s="995"/>
      <c r="AH548" s="995"/>
      <c r="AI548" s="995"/>
      <c r="AJ548" s="995"/>
      <c r="AK548" s="995"/>
      <c r="AL548" s="995"/>
      <c r="AM548" s="995"/>
      <c r="AN548" s="995"/>
      <c r="AO548" s="995"/>
      <c r="AP548" s="995"/>
      <c r="AQ548" s="995"/>
      <c r="AR548" s="995"/>
      <c r="AS548" s="995"/>
      <c r="AT548" s="995"/>
      <c r="AU548" s="995"/>
      <c r="AV548" s="995"/>
      <c r="AW548" s="995"/>
      <c r="AX548" s="995"/>
    </row>
    <row r="549" spans="1:50" s="1201" customFormat="1" ht="15.5" hidden="1" x14ac:dyDescent="0.35">
      <c r="A549" s="1052"/>
      <c r="B549" s="1158" t="s">
        <v>591</v>
      </c>
      <c r="C549" s="1158">
        <f>C61/1</f>
        <v>0</v>
      </c>
      <c r="D549" s="1158"/>
      <c r="E549" s="1158"/>
      <c r="F549" s="1158" t="s">
        <v>592</v>
      </c>
      <c r="G549" s="1158"/>
      <c r="H549" s="1158"/>
    </row>
    <row r="550" spans="1:50" s="1201" customFormat="1" ht="15.5" hidden="1" x14ac:dyDescent="0.35">
      <c r="A550" s="1052"/>
      <c r="B550" s="1158" t="s">
        <v>593</v>
      </c>
      <c r="C550" s="1158">
        <v>38.6</v>
      </c>
      <c r="D550" s="1158"/>
      <c r="E550" s="1158"/>
      <c r="F550" s="1158" t="s">
        <v>594</v>
      </c>
      <c r="G550" s="1158"/>
      <c r="H550" s="1158"/>
    </row>
    <row r="551" spans="1:50" s="1201" customFormat="1" ht="15.5" hidden="1" x14ac:dyDescent="0.35">
      <c r="A551" s="1052"/>
      <c r="B551" s="1158" t="s">
        <v>595</v>
      </c>
      <c r="C551" s="1158">
        <v>99</v>
      </c>
      <c r="D551" s="1158"/>
      <c r="E551" s="1158"/>
      <c r="F551" s="1158" t="s">
        <v>222</v>
      </c>
      <c r="G551" s="1158"/>
      <c r="H551" s="1158"/>
    </row>
    <row r="552" spans="1:50" s="1201" customFormat="1" ht="15.5" hidden="1" x14ac:dyDescent="0.35">
      <c r="A552" s="1052"/>
      <c r="B552" s="1158" t="s">
        <v>596</v>
      </c>
      <c r="C552" s="1158">
        <v>69.900000000000006</v>
      </c>
      <c r="D552" s="1158"/>
      <c r="E552" s="1158"/>
      <c r="F552" s="1158" t="s">
        <v>597</v>
      </c>
      <c r="G552" s="1158"/>
      <c r="H552" s="1158"/>
    </row>
    <row r="553" spans="1:50" s="1201" customFormat="1" ht="15.5" hidden="1" x14ac:dyDescent="0.35">
      <c r="A553" s="1052"/>
      <c r="B553" s="1158" t="s">
        <v>598</v>
      </c>
      <c r="C553" s="1158">
        <f>C60</f>
        <v>0</v>
      </c>
      <c r="D553" s="1158"/>
      <c r="E553" s="1158"/>
      <c r="F553" s="1158" t="s">
        <v>599</v>
      </c>
      <c r="G553" s="1158"/>
      <c r="H553" s="1158"/>
    </row>
    <row r="554" spans="1:50" s="1201" customFormat="1" ht="15.5" hidden="1" x14ac:dyDescent="0.35">
      <c r="A554" s="1052"/>
      <c r="B554" s="1158" t="s">
        <v>600</v>
      </c>
      <c r="C554" s="1158">
        <f>E592</f>
        <v>1.4E-3</v>
      </c>
      <c r="D554" s="1158"/>
      <c r="E554" s="1158"/>
      <c r="F554" s="1159" t="s">
        <v>601</v>
      </c>
      <c r="G554" s="1158"/>
      <c r="H554" s="1158"/>
    </row>
    <row r="555" spans="1:50" s="1201" customFormat="1" ht="15.5" hidden="1" x14ac:dyDescent="0.35">
      <c r="A555" s="1052"/>
      <c r="B555" s="362"/>
      <c r="C555" s="362"/>
      <c r="D555" s="362"/>
      <c r="E555" s="362"/>
      <c r="F555" s="362"/>
      <c r="G555" s="362"/>
      <c r="H555" s="1158"/>
    </row>
    <row r="556" spans="1:50" s="1201" customFormat="1" ht="15.5" hidden="1" x14ac:dyDescent="0.35">
      <c r="A556" s="1052"/>
      <c r="B556" s="363"/>
      <c r="C556" s="363"/>
      <c r="D556" s="363"/>
      <c r="E556" s="363"/>
      <c r="F556" s="363"/>
      <c r="G556" s="363"/>
      <c r="H556" s="1158"/>
    </row>
    <row r="557" spans="1:50" s="1201" customFormat="1" ht="15.5" hidden="1" x14ac:dyDescent="0.35">
      <c r="A557" s="1052"/>
      <c r="B557" s="1160" t="s">
        <v>602</v>
      </c>
      <c r="C557" s="1160" t="s">
        <v>603</v>
      </c>
      <c r="D557" s="1158"/>
      <c r="E557" s="1158"/>
      <c r="F557" s="1158"/>
      <c r="G557" s="1158"/>
      <c r="H557" s="1158"/>
    </row>
    <row r="558" spans="1:50" s="1201" customFormat="1" ht="15.5" hidden="1" x14ac:dyDescent="0.35">
      <c r="A558" s="1052"/>
      <c r="B558" s="1160"/>
      <c r="C558" s="1158" t="s">
        <v>604</v>
      </c>
      <c r="D558" s="1158"/>
      <c r="E558" s="1158"/>
      <c r="F558" s="1158"/>
      <c r="G558" s="1158"/>
      <c r="H558" s="1158"/>
    </row>
    <row r="559" spans="1:50" s="1201" customFormat="1" ht="15.5" hidden="1" x14ac:dyDescent="0.35">
      <c r="A559" s="1052"/>
      <c r="B559" s="1160"/>
      <c r="C559" s="1158" t="s">
        <v>605</v>
      </c>
      <c r="D559" s="1158"/>
      <c r="E559" s="1158"/>
      <c r="F559" s="1158"/>
      <c r="G559" s="1158"/>
      <c r="H559" s="1158"/>
    </row>
    <row r="560" spans="1:50" s="1201" customFormat="1" ht="15.5" hidden="1" x14ac:dyDescent="0.35">
      <c r="A560" s="1052"/>
      <c r="B560" s="1160"/>
      <c r="C560" s="1158" t="s">
        <v>606</v>
      </c>
      <c r="D560" s="1158"/>
      <c r="E560" s="1158"/>
      <c r="F560" s="1158"/>
      <c r="G560" s="1158"/>
      <c r="H560" s="1158"/>
    </row>
    <row r="561" spans="1:8" s="1201" customFormat="1" ht="15.5" hidden="1" x14ac:dyDescent="0.35">
      <c r="A561" s="1052"/>
      <c r="B561" s="1160"/>
      <c r="C561" s="1158" t="s">
        <v>314</v>
      </c>
      <c r="D561" s="1158"/>
      <c r="E561" s="1158"/>
      <c r="F561" s="1158"/>
      <c r="G561" s="1158"/>
      <c r="H561" s="1158"/>
    </row>
    <row r="562" spans="1:8" s="1201" customFormat="1" ht="15.5" hidden="1" x14ac:dyDescent="0.35">
      <c r="A562" s="1052"/>
      <c r="B562" s="1160"/>
      <c r="C562" s="1158"/>
      <c r="D562" s="1158"/>
      <c r="E562" s="1158"/>
      <c r="F562" s="1158"/>
      <c r="G562" s="1158"/>
      <c r="H562" s="1158"/>
    </row>
    <row r="563" spans="1:8" s="1201" customFormat="1" ht="15.5" hidden="1" x14ac:dyDescent="0.35">
      <c r="A563" s="1052"/>
      <c r="B563" s="1158"/>
      <c r="C563" s="1161">
        <f>$C$549*$C$550*$C$551%*$C$552*10^-6</f>
        <v>0</v>
      </c>
      <c r="D563" s="1158"/>
      <c r="E563" s="1158"/>
      <c r="F563" s="1158" t="s">
        <v>607</v>
      </c>
      <c r="G563" s="1158"/>
      <c r="H563" s="1158"/>
    </row>
    <row r="564" spans="1:8" s="1201" customFormat="1" ht="15.5" hidden="1" x14ac:dyDescent="0.35">
      <c r="A564" s="1052"/>
      <c r="B564" s="1158"/>
      <c r="C564" s="1158"/>
      <c r="D564" s="1158"/>
      <c r="E564" s="1158"/>
      <c r="F564" s="1158"/>
      <c r="G564" s="1158"/>
      <c r="H564" s="1158"/>
    </row>
    <row r="565" spans="1:8" s="1201" customFormat="1" ht="15.5" hidden="1" x14ac:dyDescent="0.35">
      <c r="A565" s="1052"/>
      <c r="B565" s="1162" t="s">
        <v>608</v>
      </c>
      <c r="C565" s="361"/>
      <c r="D565" s="361"/>
      <c r="E565" s="361"/>
      <c r="F565" s="361" t="s">
        <v>609</v>
      </c>
      <c r="G565" s="361"/>
      <c r="H565" s="1163"/>
    </row>
    <row r="566" spans="1:8" s="1201" customFormat="1" ht="15.5" hidden="1" x14ac:dyDescent="0.35">
      <c r="A566" s="1052"/>
      <c r="B566" s="1164"/>
      <c r="C566" s="1165" t="s">
        <v>610</v>
      </c>
      <c r="D566" s="1165" t="s">
        <v>611</v>
      </c>
      <c r="E566" s="1165" t="s">
        <v>612</v>
      </c>
      <c r="F566" s="1165" t="s">
        <v>613</v>
      </c>
      <c r="G566" s="1165" t="s">
        <v>614</v>
      </c>
      <c r="H566" s="364" t="s">
        <v>615</v>
      </c>
    </row>
    <row r="567" spans="1:8" s="1201" customFormat="1" ht="15.5" hidden="1" x14ac:dyDescent="0.35">
      <c r="A567" s="1052"/>
      <c r="B567" s="365"/>
      <c r="C567" s="366">
        <v>0.01</v>
      </c>
      <c r="D567" s="366">
        <v>2E-3</v>
      </c>
      <c r="E567" s="366">
        <v>1.36</v>
      </c>
      <c r="F567" s="366">
        <v>0.54100000000000004</v>
      </c>
      <c r="G567" s="366">
        <v>0.189</v>
      </c>
      <c r="H567" s="367">
        <v>0.11600000000000001</v>
      </c>
    </row>
    <row r="568" spans="1:8" s="1201" customFormat="1" ht="15.5" hidden="1" x14ac:dyDescent="0.35">
      <c r="A568" s="1052"/>
      <c r="B568" s="1159"/>
      <c r="C568" s="1165"/>
      <c r="D568" s="1165"/>
      <c r="E568" s="1165"/>
      <c r="F568" s="1165"/>
      <c r="G568" s="1165"/>
      <c r="H568" s="1165"/>
    </row>
    <row r="569" spans="1:8" s="1201" customFormat="1" ht="15.5" hidden="1" x14ac:dyDescent="0.35">
      <c r="A569" s="996"/>
      <c r="B569" s="1160" t="s">
        <v>616</v>
      </c>
      <c r="C569" s="1158"/>
      <c r="D569" s="1158"/>
      <c r="E569" s="1158"/>
      <c r="F569" s="1158" t="s">
        <v>617</v>
      </c>
      <c r="G569" s="1158"/>
      <c r="H569" s="1158"/>
    </row>
    <row r="570" spans="1:8" s="1201" customFormat="1" ht="15.5" hidden="1" x14ac:dyDescent="0.35">
      <c r="A570" s="996"/>
      <c r="B570" s="1158"/>
      <c r="C570" s="1169">
        <f t="shared" ref="C570:H570" si="52">$C$549*$C$550*$C$551%*C567*10^-6</f>
        <v>0</v>
      </c>
      <c r="D570" s="1169">
        <f t="shared" si="52"/>
        <v>0</v>
      </c>
      <c r="E570" s="1169">
        <f t="shared" si="52"/>
        <v>0</v>
      </c>
      <c r="F570" s="1169">
        <f t="shared" si="52"/>
        <v>0</v>
      </c>
      <c r="G570" s="1169">
        <f t="shared" si="52"/>
        <v>0</v>
      </c>
      <c r="H570" s="1169">
        <f t="shared" si="52"/>
        <v>0</v>
      </c>
    </row>
    <row r="571" spans="1:8" s="1201" customFormat="1" ht="15.5" hidden="1" x14ac:dyDescent="0.35">
      <c r="A571" s="996"/>
      <c r="B571" s="1160" t="s">
        <v>618</v>
      </c>
      <c r="C571" s="1161">
        <f>C563+C570+D570+E570+F570+G570+H570</f>
        <v>0</v>
      </c>
      <c r="D571" s="1169"/>
      <c r="E571" s="1169"/>
      <c r="F571" s="1169" t="s">
        <v>617</v>
      </c>
      <c r="G571" s="1169"/>
      <c r="H571" s="1169"/>
    </row>
    <row r="572" spans="1:8" s="1201" customFormat="1" ht="15.5" hidden="1" x14ac:dyDescent="0.35">
      <c r="A572" s="996"/>
      <c r="B572" s="1160" t="s">
        <v>847</v>
      </c>
      <c r="C572" s="1161">
        <f>C549/1000*0.611</f>
        <v>0</v>
      </c>
      <c r="D572" s="1169"/>
      <c r="E572" s="1169"/>
      <c r="F572" s="1169"/>
      <c r="G572" s="1169"/>
      <c r="H572" s="1169"/>
    </row>
    <row r="573" spans="1:8" s="1201" customFormat="1" ht="15.5" hidden="1" x14ac:dyDescent="0.35">
      <c r="A573" s="996"/>
      <c r="B573" s="1158"/>
      <c r="C573" s="1169"/>
      <c r="D573" s="1169"/>
      <c r="E573" s="1169"/>
      <c r="F573" s="1169"/>
      <c r="G573" s="1169"/>
      <c r="H573" s="1169"/>
    </row>
    <row r="574" spans="1:8" s="1201" customFormat="1" ht="15.5" hidden="1" x14ac:dyDescent="0.35">
      <c r="A574" s="996"/>
      <c r="B574" s="1160" t="s">
        <v>619</v>
      </c>
      <c r="C574" s="1170" t="s">
        <v>620</v>
      </c>
      <c r="D574" s="1169"/>
      <c r="E574" s="1169"/>
      <c r="F574" s="1169"/>
      <c r="G574" s="1171"/>
      <c r="H574" s="1171"/>
    </row>
    <row r="575" spans="1:8" s="1201" customFormat="1" ht="15.5" hidden="1" x14ac:dyDescent="0.35">
      <c r="A575" s="996"/>
      <c r="B575" s="1158"/>
      <c r="C575" s="1169" t="s">
        <v>621</v>
      </c>
      <c r="D575" s="1169"/>
      <c r="E575" s="1169"/>
      <c r="F575" s="1169"/>
      <c r="G575" s="1171"/>
      <c r="H575" s="1171"/>
    </row>
    <row r="576" spans="1:8" s="1201" customFormat="1" ht="15.5" hidden="1" x14ac:dyDescent="0.35">
      <c r="A576" s="996"/>
      <c r="B576" s="1158"/>
      <c r="C576" s="1169" t="s">
        <v>622</v>
      </c>
      <c r="D576" s="1169"/>
      <c r="E576" s="1169"/>
      <c r="F576" s="1169"/>
      <c r="G576" s="1171"/>
      <c r="H576" s="1171"/>
    </row>
    <row r="577" spans="1:33" s="1201" customFormat="1" ht="15.5" hidden="1" x14ac:dyDescent="0.35">
      <c r="A577" s="996"/>
      <c r="B577" s="1158"/>
      <c r="C577" s="1169"/>
      <c r="D577" s="1169"/>
      <c r="E577" s="1169"/>
      <c r="F577" s="1169"/>
      <c r="G577" s="1171"/>
      <c r="H577" s="1171"/>
    </row>
    <row r="578" spans="1:33" s="1201" customFormat="1" ht="15.5" hidden="1" x14ac:dyDescent="0.35">
      <c r="A578" s="996"/>
      <c r="B578" s="1158"/>
      <c r="C578" s="1161">
        <f>C553*C554</f>
        <v>0</v>
      </c>
      <c r="D578" s="1169"/>
      <c r="E578" s="1746"/>
      <c r="F578" s="1169" t="s">
        <v>617</v>
      </c>
      <c r="G578" s="1746"/>
      <c r="H578" s="1171"/>
    </row>
    <row r="579" spans="1:33" s="1201" customFormat="1" ht="15.5" hidden="1" x14ac:dyDescent="0.35">
      <c r="A579" s="996"/>
      <c r="B579" s="1158"/>
      <c r="C579" s="1161"/>
      <c r="D579" s="1169"/>
      <c r="E579" s="1746"/>
      <c r="F579" s="1169"/>
      <c r="G579" s="1746"/>
      <c r="H579" s="1171"/>
    </row>
    <row r="580" spans="1:33" s="1201" customFormat="1" ht="15.5" hidden="1" x14ac:dyDescent="0.35">
      <c r="A580" s="996"/>
      <c r="B580" s="1160" t="s">
        <v>623</v>
      </c>
      <c r="C580" s="1161">
        <f>C571+C572+C578</f>
        <v>0</v>
      </c>
      <c r="D580" s="1169"/>
      <c r="E580" s="1746"/>
      <c r="F580" s="1169" t="s">
        <v>617</v>
      </c>
      <c r="G580" s="1746"/>
      <c r="H580" s="1171"/>
    </row>
    <row r="581" spans="1:33" s="1201" customFormat="1" ht="15.5" hidden="1" x14ac:dyDescent="0.35">
      <c r="A581" s="996"/>
      <c r="B581" s="1158"/>
      <c r="C581" s="1169"/>
      <c r="D581" s="1169"/>
      <c r="E581" s="1169"/>
      <c r="F581" s="1169"/>
      <c r="G581" s="1171"/>
      <c r="H581" s="1171"/>
    </row>
    <row r="582" spans="1:33" s="1201" customFormat="1" ht="15.5" hidden="1" x14ac:dyDescent="0.35">
      <c r="A582" s="996"/>
      <c r="B582" s="1172" t="s">
        <v>624</v>
      </c>
      <c r="C582" s="361"/>
      <c r="D582" s="361"/>
      <c r="E582" s="1163"/>
      <c r="F582" s="1169"/>
      <c r="G582" s="1171"/>
      <c r="H582" s="1171"/>
    </row>
    <row r="583" spans="1:33" s="1201" customFormat="1" ht="15.5" hidden="1" x14ac:dyDescent="0.35">
      <c r="B583" s="368" t="s">
        <v>625</v>
      </c>
      <c r="C583" s="369" t="s">
        <v>626</v>
      </c>
      <c r="D583" s="369" t="s">
        <v>627</v>
      </c>
      <c r="E583" s="370" t="s">
        <v>628</v>
      </c>
      <c r="F583" s="1169"/>
      <c r="G583" s="1171"/>
      <c r="H583" s="1171"/>
    </row>
    <row r="584" spans="1:33" s="1201" customFormat="1" ht="15.5" hidden="1" x14ac:dyDescent="0.35">
      <c r="A584" s="996">
        <v>1</v>
      </c>
      <c r="B584" s="1175" t="s">
        <v>629</v>
      </c>
      <c r="C584" s="1176">
        <v>30</v>
      </c>
      <c r="D584" s="1176">
        <v>1000</v>
      </c>
      <c r="E584" s="371">
        <f>D584*10^-6</f>
        <v>1E-3</v>
      </c>
      <c r="F584" s="1169"/>
      <c r="G584" s="2643"/>
      <c r="H584" s="2644"/>
    </row>
    <row r="585" spans="1:33" s="1201" customFormat="1" ht="15.5" hidden="1" x14ac:dyDescent="0.35">
      <c r="A585" s="996">
        <v>2</v>
      </c>
      <c r="B585" s="1175" t="s">
        <v>630</v>
      </c>
      <c r="C585" s="1176">
        <v>25</v>
      </c>
      <c r="D585" s="1176">
        <v>1400</v>
      </c>
      <c r="E585" s="371">
        <f>D585*10^-6</f>
        <v>1.4E-3</v>
      </c>
      <c r="F585" s="1169"/>
      <c r="G585" s="1171"/>
      <c r="H585" s="1171"/>
    </row>
    <row r="586" spans="1:33" s="1201" customFormat="1" ht="15.5" hidden="1" x14ac:dyDescent="0.35">
      <c r="A586" s="996">
        <v>3</v>
      </c>
      <c r="B586" s="1175" t="s">
        <v>717</v>
      </c>
      <c r="C586" s="1176">
        <v>30</v>
      </c>
      <c r="D586" s="1176">
        <v>1080</v>
      </c>
      <c r="E586" s="371">
        <f t="shared" ref="E586:E591" si="53">D586*10^-6</f>
        <v>1.08E-3</v>
      </c>
      <c r="F586" s="1169"/>
      <c r="G586" s="1171"/>
      <c r="H586" s="1171"/>
    </row>
    <row r="587" spans="1:33" s="1201" customFormat="1" ht="15.5" hidden="1" x14ac:dyDescent="0.35">
      <c r="A587" s="996">
        <v>4</v>
      </c>
      <c r="B587" s="1175" t="s">
        <v>631</v>
      </c>
      <c r="C587" s="1178">
        <v>5.9</v>
      </c>
      <c r="D587" s="1178">
        <v>510</v>
      </c>
      <c r="E587" s="372">
        <f t="shared" si="53"/>
        <v>5.0999999999999993E-4</v>
      </c>
      <c r="F587" s="1169"/>
      <c r="G587" s="1171"/>
      <c r="H587" s="1171"/>
    </row>
    <row r="588" spans="1:33" s="1201" customFormat="1" ht="15.5" hidden="1" x14ac:dyDescent="0.35">
      <c r="A588" s="996">
        <v>5</v>
      </c>
      <c r="B588" s="1175" t="s">
        <v>632</v>
      </c>
      <c r="C588" s="1178">
        <v>37.549999999999997</v>
      </c>
      <c r="D588" s="1178">
        <v>494</v>
      </c>
      <c r="E588" s="372">
        <f t="shared" si="53"/>
        <v>4.9399999999999997E-4</v>
      </c>
      <c r="F588" s="1169"/>
      <c r="G588" s="1171"/>
      <c r="H588" s="1171"/>
    </row>
    <row r="589" spans="1:33" s="1201" customFormat="1" ht="15.5" hidden="1" x14ac:dyDescent="0.35">
      <c r="A589" s="996">
        <v>6</v>
      </c>
      <c r="B589" s="1175" t="s">
        <v>633</v>
      </c>
      <c r="C589" s="1178">
        <v>37</v>
      </c>
      <c r="D589" s="1178">
        <v>681</v>
      </c>
      <c r="E589" s="372">
        <f t="shared" si="53"/>
        <v>6.8099999999999996E-4</v>
      </c>
      <c r="F589" s="1169"/>
      <c r="G589" s="1171"/>
      <c r="H589" s="1171"/>
    </row>
    <row r="590" spans="1:33" s="1201" customFormat="1" ht="15.5" hidden="1" x14ac:dyDescent="0.35">
      <c r="A590" s="996">
        <v>7</v>
      </c>
      <c r="B590" s="1175" t="s">
        <v>634</v>
      </c>
      <c r="C590" s="1178">
        <v>83.8</v>
      </c>
      <c r="D590" s="1178">
        <v>314</v>
      </c>
      <c r="E590" s="372">
        <f t="shared" si="53"/>
        <v>3.1399999999999999E-4</v>
      </c>
      <c r="F590" s="1169"/>
      <c r="G590" s="1171"/>
      <c r="H590" s="1171"/>
    </row>
    <row r="591" spans="1:33" s="1201" customFormat="1" ht="15.5" hidden="1" x14ac:dyDescent="0.35">
      <c r="A591" s="996">
        <v>8</v>
      </c>
      <c r="B591" s="1175" t="s">
        <v>635</v>
      </c>
      <c r="C591" s="1159"/>
      <c r="D591" s="1178">
        <v>0</v>
      </c>
      <c r="E591" s="372">
        <f t="shared" si="53"/>
        <v>0</v>
      </c>
      <c r="F591" s="1171"/>
      <c r="G591" s="1171"/>
      <c r="H591" s="1171"/>
    </row>
    <row r="592" spans="1:33" s="1201" customFormat="1" ht="15.5" hidden="1" x14ac:dyDescent="0.35">
      <c r="A592" s="1201" t="s">
        <v>228</v>
      </c>
      <c r="B592" s="373" t="str">
        <f>VLOOKUP($G$60,$B$584:$E$591,1,FALSE)</f>
        <v xml:space="preserve">Brown Coal-Victorian </v>
      </c>
      <c r="C592" s="373">
        <f>VLOOKUP($G$60,$B$584:$E$591,2,FALSE)</f>
        <v>25</v>
      </c>
      <c r="D592" s="373">
        <f>VLOOKUP($G$60,$B$584:$E$591,3,FALSE)</f>
        <v>1400</v>
      </c>
      <c r="E592" s="374">
        <f>VLOOKUP($G$60,$B$584:$E$591,4,FALSE)</f>
        <v>1.4E-3</v>
      </c>
      <c r="F592" s="2018"/>
      <c r="G592" s="2018"/>
      <c r="H592" s="2018"/>
      <c r="J592" s="892"/>
      <c r="K592" s="892"/>
      <c r="L592" s="892"/>
      <c r="M592" s="892"/>
      <c r="N592" s="892"/>
      <c r="O592" s="892"/>
      <c r="P592" s="892"/>
      <c r="Q592" s="892"/>
      <c r="R592" s="892"/>
      <c r="S592" s="892"/>
      <c r="T592" s="892"/>
      <c r="U592" s="892"/>
      <c r="V592" s="892"/>
      <c r="W592" s="892"/>
      <c r="X592" s="892"/>
      <c r="Y592" s="892"/>
      <c r="Z592" s="892"/>
      <c r="AA592" s="892"/>
      <c r="AB592" s="892"/>
      <c r="AC592" s="892"/>
      <c r="AD592" s="892"/>
      <c r="AE592" s="892"/>
      <c r="AF592" s="892"/>
      <c r="AG592" s="892"/>
    </row>
    <row r="593" spans="1:33" s="1201" customFormat="1" ht="14" hidden="1" x14ac:dyDescent="0.3">
      <c r="A593" s="892"/>
      <c r="B593" s="892"/>
      <c r="C593" s="892"/>
      <c r="D593" s="892"/>
      <c r="E593" s="892"/>
      <c r="F593" s="892"/>
      <c r="G593" s="892"/>
      <c r="H593" s="892"/>
      <c r="I593" s="892"/>
      <c r="J593" s="892"/>
      <c r="K593" s="892"/>
      <c r="L593" s="892"/>
      <c r="M593" s="892"/>
      <c r="N593" s="892"/>
      <c r="O593" s="892"/>
      <c r="P593" s="892"/>
      <c r="Q593" s="892"/>
      <c r="R593" s="892"/>
      <c r="S593" s="892"/>
      <c r="T593" s="892"/>
      <c r="U593" s="892"/>
      <c r="V593" s="892"/>
      <c r="W593" s="892"/>
      <c r="X593" s="892"/>
      <c r="Y593" s="892"/>
      <c r="Z593" s="892"/>
      <c r="AA593" s="892"/>
      <c r="AB593" s="892"/>
      <c r="AC593" s="892"/>
      <c r="AD593" s="892"/>
      <c r="AE593" s="892"/>
      <c r="AF593" s="892"/>
      <c r="AG593" s="892"/>
    </row>
    <row r="594" spans="1:33" s="892" customFormat="1" ht="14" hidden="1" x14ac:dyDescent="0.3"/>
    <row r="595" spans="1:33" s="892" customFormat="1" ht="17.5" hidden="1" x14ac:dyDescent="0.35">
      <c r="B595" s="321" t="s">
        <v>837</v>
      </c>
    </row>
    <row r="596" spans="1:33" s="892" customFormat="1" ht="14" hidden="1" x14ac:dyDescent="0.3"/>
    <row r="597" spans="1:33" s="892" customFormat="1" ht="15.5" hidden="1" x14ac:dyDescent="0.35">
      <c r="B597" s="449" t="s">
        <v>830</v>
      </c>
      <c r="C597" s="1199" t="s">
        <v>839</v>
      </c>
      <c r="D597" s="449" t="s">
        <v>318</v>
      </c>
      <c r="E597" s="449" t="s">
        <v>832</v>
      </c>
    </row>
    <row r="598" spans="1:33" s="892" customFormat="1" ht="15.5" hidden="1" x14ac:dyDescent="0.35">
      <c r="B598" s="449" t="s">
        <v>831</v>
      </c>
      <c r="C598" s="1199">
        <f>C64</f>
        <v>0</v>
      </c>
      <c r="D598" s="449">
        <v>0.25</v>
      </c>
      <c r="E598" s="449">
        <f>C598*D598</f>
        <v>0</v>
      </c>
    </row>
    <row r="599" spans="1:33" s="892" customFormat="1" ht="15.5" hidden="1" x14ac:dyDescent="0.35">
      <c r="B599" s="449" t="s">
        <v>833</v>
      </c>
      <c r="C599" s="1423">
        <f>G64</f>
        <v>0</v>
      </c>
      <c r="D599" s="449">
        <v>0.2</v>
      </c>
      <c r="E599" s="449">
        <f t="shared" ref="E599:E603" si="54">C599*D599</f>
        <v>0</v>
      </c>
    </row>
    <row r="600" spans="1:33" s="892" customFormat="1" ht="15.5" hidden="1" x14ac:dyDescent="0.35">
      <c r="B600" s="449" t="s">
        <v>834</v>
      </c>
      <c r="C600" s="1199">
        <f>C66</f>
        <v>0</v>
      </c>
      <c r="D600" s="449">
        <v>0.25</v>
      </c>
      <c r="E600" s="449">
        <f t="shared" si="54"/>
        <v>0</v>
      </c>
    </row>
    <row r="601" spans="1:33" s="892" customFormat="1" ht="15.5" hidden="1" x14ac:dyDescent="0.35">
      <c r="B601" s="449" t="s">
        <v>835</v>
      </c>
      <c r="C601" s="1423">
        <f>G66</f>
        <v>0</v>
      </c>
      <c r="D601" s="449">
        <v>0.25</v>
      </c>
      <c r="E601" s="449">
        <f t="shared" si="54"/>
        <v>0</v>
      </c>
    </row>
    <row r="602" spans="1:33" s="892" customFormat="1" ht="15.5" hidden="1" x14ac:dyDescent="0.35">
      <c r="B602" s="449" t="s">
        <v>836</v>
      </c>
      <c r="C602" s="1199">
        <f>C68</f>
        <v>0</v>
      </c>
      <c r="D602" s="449">
        <v>0.3</v>
      </c>
      <c r="E602" s="449">
        <f t="shared" si="54"/>
        <v>0</v>
      </c>
    </row>
    <row r="603" spans="1:33" s="892" customFormat="1" ht="15.5" hidden="1" x14ac:dyDescent="0.35">
      <c r="B603" s="449" t="s">
        <v>811</v>
      </c>
      <c r="C603" s="1423">
        <f>G68</f>
        <v>0</v>
      </c>
      <c r="D603" s="449">
        <v>0</v>
      </c>
      <c r="E603" s="449">
        <f t="shared" si="54"/>
        <v>0</v>
      </c>
    </row>
    <row r="604" spans="1:33" s="892" customFormat="1" ht="15.5" hidden="1" x14ac:dyDescent="0.35">
      <c r="B604" s="449" t="s">
        <v>223</v>
      </c>
      <c r="C604" s="1199"/>
      <c r="D604" s="449"/>
      <c r="E604" s="449">
        <f>SUM(E598:E603)</f>
        <v>0</v>
      </c>
    </row>
    <row r="605" spans="1:33" s="892" customFormat="1" ht="15.5" hidden="1" x14ac:dyDescent="0.35">
      <c r="B605" s="1199"/>
      <c r="C605" s="1199"/>
      <c r="D605" s="1199"/>
      <c r="E605" s="1199"/>
    </row>
    <row r="606" spans="1:33" s="892" customFormat="1" ht="15.5" hidden="1" x14ac:dyDescent="0.35">
      <c r="B606" s="449" t="s">
        <v>840</v>
      </c>
      <c r="C606" s="1199">
        <f>(SUM(D346:D347)*10^3)</f>
        <v>0</v>
      </c>
      <c r="D606" s="449">
        <v>0.89100000000000001</v>
      </c>
      <c r="E606" s="450">
        <f>C606/0.46*D606</f>
        <v>0</v>
      </c>
    </row>
    <row r="607" spans="1:33" s="892" customFormat="1" ht="15.5" hidden="1" x14ac:dyDescent="0.35">
      <c r="B607" s="449" t="s">
        <v>841</v>
      </c>
      <c r="C607" s="1199">
        <f>IF($U$193="1",((E56*$C$56)+(E57*$C$57))/1000,(E56+E57))</f>
        <v>0</v>
      </c>
      <c r="D607" s="449">
        <v>0.83399999999999996</v>
      </c>
      <c r="E607" s="450">
        <f>C607/0.18*D607</f>
        <v>0</v>
      </c>
    </row>
    <row r="608" spans="1:33" s="892" customFormat="1" ht="15.5" hidden="1" x14ac:dyDescent="0.35">
      <c r="B608" s="449" t="s">
        <v>842</v>
      </c>
      <c r="C608" s="1199">
        <f>IF($U$193="1",((F56*$C$56)+(F57*$C$57))/1000,(F56+F57))</f>
        <v>0</v>
      </c>
      <c r="D608" s="449">
        <v>0.13100000000000001</v>
      </c>
      <c r="E608" s="450">
        <f>C608/0.5*D608</f>
        <v>0</v>
      </c>
    </row>
    <row r="609" spans="2:5" s="892" customFormat="1" ht="15.5" hidden="1" x14ac:dyDescent="0.35">
      <c r="B609" s="449" t="s">
        <v>843</v>
      </c>
      <c r="C609" s="1199">
        <f>IF($U$193="1",((G56*$C$56)+(G57*$C$57))/1000,(G56+G57))</f>
        <v>0</v>
      </c>
      <c r="D609" s="449">
        <v>0.83399999999999996</v>
      </c>
      <c r="E609" s="450">
        <f>C609/0.18*D609</f>
        <v>0</v>
      </c>
    </row>
    <row r="610" spans="2:5" s="892" customFormat="1" ht="15.5" hidden="1" x14ac:dyDescent="0.35">
      <c r="B610" s="449" t="s">
        <v>838</v>
      </c>
      <c r="C610" s="1199">
        <f>IF($U$193="1",((H56*$C$56)+(H57*$C$57))/1000,(H56+H57))</f>
        <v>0</v>
      </c>
      <c r="D610" s="449">
        <v>1.9E-2</v>
      </c>
      <c r="E610" s="450">
        <f>C610*D610</f>
        <v>0</v>
      </c>
    </row>
    <row r="611" spans="2:5" s="892" customFormat="1" ht="15.5" hidden="1" x14ac:dyDescent="0.35">
      <c r="B611" s="449" t="s">
        <v>223</v>
      </c>
      <c r="C611" s="449"/>
      <c r="D611" s="449"/>
      <c r="E611" s="450">
        <f>IF(C607&gt;C609,E607,E609)+E606+E608+E610</f>
        <v>0</v>
      </c>
    </row>
    <row r="612" spans="2:5" s="1201" customFormat="1" ht="14" hidden="1" x14ac:dyDescent="0.3"/>
    <row r="613" spans="2:5" s="1201" customFormat="1" ht="14" hidden="1" x14ac:dyDescent="0.3"/>
    <row r="614" spans="2:5" s="1201" customFormat="1" ht="14" hidden="1" x14ac:dyDescent="0.3"/>
    <row r="615" spans="2:5" s="1201" customFormat="1" ht="14" hidden="1" x14ac:dyDescent="0.3"/>
    <row r="616" spans="2:5" s="1201" customFormat="1" ht="14" hidden="1" x14ac:dyDescent="0.3"/>
    <row r="617" spans="2:5" s="1201" customFormat="1" ht="14" hidden="1" x14ac:dyDescent="0.3"/>
    <row r="618" spans="2:5" s="1201" customFormat="1" ht="14" hidden="1" x14ac:dyDescent="0.3"/>
    <row r="619" spans="2:5" s="1201" customFormat="1" ht="14" hidden="1" x14ac:dyDescent="0.3"/>
    <row r="620" spans="2:5" s="1201" customFormat="1" ht="14" hidden="1" x14ac:dyDescent="0.3"/>
    <row r="621" spans="2:5" s="1201" customFormat="1" ht="14" hidden="1" x14ac:dyDescent="0.3"/>
    <row r="622" spans="2:5" s="1201" customFormat="1" ht="14" hidden="1" x14ac:dyDescent="0.3"/>
    <row r="623" spans="2:5" s="1201" customFormat="1" ht="14" hidden="1" x14ac:dyDescent="0.3"/>
    <row r="624" spans="2:5" s="1201" customFormat="1" ht="14" hidden="1" x14ac:dyDescent="0.3"/>
    <row r="625" s="1201" customFormat="1" ht="14" hidden="1" x14ac:dyDescent="0.3"/>
    <row r="626" s="1201" customFormat="1" ht="14" hidden="1" x14ac:dyDescent="0.3"/>
    <row r="627" s="1201" customFormat="1" ht="14" hidden="1" x14ac:dyDescent="0.3"/>
    <row r="628" s="1201" customFormat="1" ht="14" hidden="1" x14ac:dyDescent="0.3"/>
    <row r="629" s="1201" customFormat="1" ht="14" hidden="1" x14ac:dyDescent="0.3"/>
    <row r="630" s="1201" customFormat="1" ht="14" hidden="1" x14ac:dyDescent="0.3"/>
    <row r="631" s="1201" customFormat="1" ht="14" hidden="1" x14ac:dyDescent="0.3"/>
    <row r="632" s="1201" customFormat="1" ht="14" hidden="1" x14ac:dyDescent="0.3"/>
    <row r="633" s="1201" customFormat="1" ht="14" hidden="1" x14ac:dyDescent="0.3"/>
    <row r="634" s="1201" customFormat="1" ht="14" hidden="1" x14ac:dyDescent="0.3"/>
    <row r="635" s="1201" customFormat="1" ht="14" hidden="1" x14ac:dyDescent="0.3"/>
    <row r="636" s="1201" customFormat="1" ht="14" hidden="1" x14ac:dyDescent="0.3"/>
    <row r="637" s="1201" customFormat="1" ht="14" hidden="1" x14ac:dyDescent="0.3"/>
    <row r="638" s="1201" customFormat="1" ht="14" hidden="1" x14ac:dyDescent="0.3"/>
    <row r="639" s="1201" customFormat="1" ht="14" hidden="1" x14ac:dyDescent="0.3"/>
    <row r="640" s="1201" customFormat="1" ht="14" hidden="1" x14ac:dyDescent="0.3"/>
    <row r="641" s="1201" customFormat="1" ht="14" hidden="1" x14ac:dyDescent="0.3"/>
    <row r="642" s="1201" customFormat="1" ht="14" hidden="1" x14ac:dyDescent="0.3"/>
    <row r="643" s="1201" customFormat="1" ht="14" hidden="1" x14ac:dyDescent="0.3"/>
    <row r="644" s="1201" customFormat="1" ht="14" hidden="1" x14ac:dyDescent="0.3"/>
    <row r="645" s="1201" customFormat="1" ht="14" hidden="1" x14ac:dyDescent="0.3"/>
    <row r="646" s="1201" customFormat="1" ht="14" hidden="1" x14ac:dyDescent="0.3"/>
    <row r="647" s="1201" customFormat="1" ht="14" hidden="1" x14ac:dyDescent="0.3"/>
    <row r="648" s="1201" customFormat="1" ht="14" hidden="1" x14ac:dyDescent="0.3"/>
    <row r="649" s="1201" customFormat="1" ht="14" hidden="1" x14ac:dyDescent="0.3"/>
    <row r="650" s="1201" customFormat="1" ht="14" hidden="1" x14ac:dyDescent="0.3"/>
    <row r="651" s="1201" customFormat="1" ht="14" hidden="1" x14ac:dyDescent="0.3"/>
    <row r="652" s="1201" customFormat="1" ht="14" hidden="1" x14ac:dyDescent="0.3"/>
    <row r="653" s="1201" customFormat="1" ht="14" hidden="1" x14ac:dyDescent="0.3"/>
    <row r="654" s="1201" customFormat="1" ht="14" hidden="1" x14ac:dyDescent="0.3"/>
    <row r="655" s="1201" customFormat="1" ht="14" hidden="1" x14ac:dyDescent="0.3"/>
    <row r="656" s="1201" customFormat="1" ht="14" hidden="1" x14ac:dyDescent="0.3"/>
    <row r="657" s="1201" customFormat="1" ht="14" hidden="1" x14ac:dyDescent="0.3"/>
    <row r="658" s="1201" customFormat="1" ht="14" hidden="1" x14ac:dyDescent="0.3"/>
    <row r="659" s="1201" customFormat="1" ht="14" hidden="1" x14ac:dyDescent="0.3"/>
    <row r="660" s="1201" customFormat="1" ht="14" hidden="1" x14ac:dyDescent="0.3"/>
    <row r="661" s="1201" customFormat="1" ht="14" hidden="1" x14ac:dyDescent="0.3"/>
    <row r="662" s="1201" customFormat="1" ht="14" hidden="1" x14ac:dyDescent="0.3"/>
    <row r="663" s="1201" customFormat="1" ht="14" hidden="1" x14ac:dyDescent="0.3"/>
    <row r="664" s="1201" customFormat="1" ht="14" hidden="1" x14ac:dyDescent="0.3"/>
    <row r="665" s="1201" customFormat="1" ht="14" hidden="1" x14ac:dyDescent="0.3"/>
    <row r="666" s="1201" customFormat="1" ht="14" hidden="1" x14ac:dyDescent="0.3"/>
    <row r="667" s="1201" customFormat="1" ht="14" hidden="1" x14ac:dyDescent="0.3"/>
    <row r="668" s="1201" customFormat="1" ht="14" hidden="1" x14ac:dyDescent="0.3"/>
    <row r="669" s="1201" customFormat="1" ht="14" hidden="1" x14ac:dyDescent="0.3"/>
    <row r="670" s="1201" customFormat="1" ht="14" hidden="1" x14ac:dyDescent="0.3"/>
    <row r="671" s="1201" customFormat="1" ht="14" hidden="1" x14ac:dyDescent="0.3"/>
    <row r="672" s="1201" customFormat="1" ht="14" hidden="1" x14ac:dyDescent="0.3"/>
    <row r="673" s="1201" customFormat="1" ht="14" hidden="1" x14ac:dyDescent="0.3"/>
    <row r="674" s="1201" customFormat="1" ht="14" hidden="1" x14ac:dyDescent="0.3"/>
    <row r="675" s="1201" customFormat="1" ht="14" hidden="1" x14ac:dyDescent="0.3"/>
    <row r="676" s="1201" customFormat="1" ht="14" hidden="1" x14ac:dyDescent="0.3"/>
    <row r="677" s="1201" customFormat="1" ht="14" hidden="1" x14ac:dyDescent="0.3"/>
    <row r="678" s="1201" customFormat="1" ht="14" hidden="1" x14ac:dyDescent="0.3"/>
    <row r="679" s="1201" customFormat="1" ht="14" hidden="1" x14ac:dyDescent="0.3"/>
    <row r="680" s="1201" customFormat="1" ht="14" hidden="1" x14ac:dyDescent="0.3"/>
    <row r="681" s="1201" customFormat="1" ht="14" hidden="1" x14ac:dyDescent="0.3"/>
    <row r="682" s="1201" customFormat="1" ht="14" hidden="1" x14ac:dyDescent="0.3"/>
    <row r="683" s="1201" customFormat="1" ht="14" hidden="1" x14ac:dyDescent="0.3"/>
    <row r="684" s="1201" customFormat="1" ht="14" hidden="1" x14ac:dyDescent="0.3"/>
    <row r="685" s="1201" customFormat="1" ht="14" hidden="1" x14ac:dyDescent="0.3"/>
    <row r="686" s="1201" customFormat="1" ht="14" hidden="1" x14ac:dyDescent="0.3"/>
    <row r="687" s="1201" customFormat="1" ht="14" hidden="1" x14ac:dyDescent="0.3"/>
    <row r="688" s="1201" customFormat="1" ht="14" hidden="1" x14ac:dyDescent="0.3"/>
    <row r="689" s="1201" customFormat="1" ht="14" hidden="1" x14ac:dyDescent="0.3"/>
    <row r="690" s="1201" customFormat="1" ht="14" hidden="1" x14ac:dyDescent="0.3"/>
    <row r="691" s="1201" customFormat="1" ht="14" hidden="1" x14ac:dyDescent="0.3"/>
    <row r="692" s="1201" customFormat="1" ht="14" hidden="1" x14ac:dyDescent="0.3"/>
    <row r="693" s="1201" customFormat="1" ht="14" hidden="1" x14ac:dyDescent="0.3"/>
    <row r="694" s="1201" customFormat="1" ht="14" hidden="1" x14ac:dyDescent="0.3"/>
    <row r="695" s="1201" customFormat="1" ht="14" hidden="1" x14ac:dyDescent="0.3"/>
    <row r="696" s="1201" customFormat="1" ht="14" hidden="1" x14ac:dyDescent="0.3"/>
    <row r="697" s="1201" customFormat="1" ht="14" hidden="1" x14ac:dyDescent="0.3"/>
    <row r="698" s="1201" customFormat="1" ht="14" hidden="1" x14ac:dyDescent="0.3"/>
    <row r="699" s="1201" customFormat="1" ht="14" hidden="1" x14ac:dyDescent="0.3"/>
    <row r="700" s="1201" customFormat="1" ht="14" hidden="1" x14ac:dyDescent="0.3"/>
    <row r="701" s="1201" customFormat="1" ht="14" hidden="1" x14ac:dyDescent="0.3"/>
    <row r="702" s="1201" customFormat="1" ht="14" hidden="1" x14ac:dyDescent="0.3"/>
    <row r="703" s="1201" customFormat="1" ht="14" hidden="1" x14ac:dyDescent="0.3"/>
    <row r="704" s="1201" customFormat="1" ht="14" hidden="1" x14ac:dyDescent="0.3"/>
    <row r="705" s="1201" customFormat="1" ht="14" hidden="1" x14ac:dyDescent="0.3"/>
    <row r="706" s="1201" customFormat="1" ht="14" hidden="1" x14ac:dyDescent="0.3"/>
    <row r="707" s="1201" customFormat="1" ht="14" hidden="1" x14ac:dyDescent="0.3"/>
    <row r="708" s="1201" customFormat="1" ht="14" hidden="1" x14ac:dyDescent="0.3"/>
    <row r="709" s="1201" customFormat="1" ht="14" hidden="1" x14ac:dyDescent="0.3"/>
  </sheetData>
  <sheetProtection algorithmName="SHA-512" hashValue="mbS1q814hIywf4/VXc1LVuJ4ZFWf4Um5S+vsCHNTVOg5XtI5Lx+8ta6HbgzCPDFH0nCgDODZRkZXlyH6E4Ptkg==" saltValue="Du3YeilcCaoHEN+qx7MXNA==" spinCount="100000" sheet="1" objects="1" scenarios="1"/>
  <mergeCells count="71">
    <mergeCell ref="D36:E36"/>
    <mergeCell ref="F36:G36"/>
    <mergeCell ref="H36:I36"/>
    <mergeCell ref="B2:H5"/>
    <mergeCell ref="D10:F10"/>
    <mergeCell ref="D12:F12"/>
    <mergeCell ref="D30:E30"/>
    <mergeCell ref="F30:G30"/>
    <mergeCell ref="F32:G32"/>
    <mergeCell ref="F34:G34"/>
    <mergeCell ref="D35:E35"/>
    <mergeCell ref="F35:G35"/>
    <mergeCell ref="H35:I35"/>
    <mergeCell ref="F14:G14"/>
    <mergeCell ref="D37:E37"/>
    <mergeCell ref="F37:G37"/>
    <mergeCell ref="H37:I37"/>
    <mergeCell ref="D38:E38"/>
    <mergeCell ref="F38:G38"/>
    <mergeCell ref="H38:I38"/>
    <mergeCell ref="D39:E39"/>
    <mergeCell ref="F39:G39"/>
    <mergeCell ref="H39:I39"/>
    <mergeCell ref="D40:E40"/>
    <mergeCell ref="F40:G40"/>
    <mergeCell ref="H40:I40"/>
    <mergeCell ref="B41:B42"/>
    <mergeCell ref="D41:E41"/>
    <mergeCell ref="F41:G41"/>
    <mergeCell ref="H41:I41"/>
    <mergeCell ref="D42:E42"/>
    <mergeCell ref="F42:G42"/>
    <mergeCell ref="H42:I42"/>
    <mergeCell ref="C47:D47"/>
    <mergeCell ref="G47:I47"/>
    <mergeCell ref="E48:F48"/>
    <mergeCell ref="H48:I49"/>
    <mergeCell ref="E60:F60"/>
    <mergeCell ref="G60:H60"/>
    <mergeCell ref="C71:D71"/>
    <mergeCell ref="C75:D75"/>
    <mergeCell ref="C77:D77"/>
    <mergeCell ref="C80:E80"/>
    <mergeCell ref="F80:G80"/>
    <mergeCell ref="E64:F64"/>
    <mergeCell ref="G64:H64"/>
    <mergeCell ref="E66:F66"/>
    <mergeCell ref="G66:H66"/>
    <mergeCell ref="G68:H68"/>
    <mergeCell ref="H110:H111"/>
    <mergeCell ref="J110:J111"/>
    <mergeCell ref="B81:B82"/>
    <mergeCell ref="B86:I88"/>
    <mergeCell ref="F101:G101"/>
    <mergeCell ref="I110:I111"/>
    <mergeCell ref="T199:U199"/>
    <mergeCell ref="C73:D73"/>
    <mergeCell ref="F71:G71"/>
    <mergeCell ref="G584:H584"/>
    <mergeCell ref="D521:E521"/>
    <mergeCell ref="F521:G521"/>
    <mergeCell ref="H521:I521"/>
    <mergeCell ref="E539:F539"/>
    <mergeCell ref="K110:K111"/>
    <mergeCell ref="L110:L111"/>
    <mergeCell ref="F106:G106"/>
    <mergeCell ref="B110:C110"/>
    <mergeCell ref="D110:D111"/>
    <mergeCell ref="E110:E111"/>
    <mergeCell ref="F110:F111"/>
    <mergeCell ref="G110:G111"/>
  </mergeCells>
  <conditionalFormatting sqref="K138">
    <cfRule type="cellIs" dxfId="5" priority="4" operator="greaterThan">
      <formula>0</formula>
    </cfRule>
    <cfRule type="cellIs" dxfId="4" priority="6" operator="lessThan">
      <formula>0</formula>
    </cfRule>
  </conditionalFormatting>
  <conditionalFormatting sqref="K139">
    <cfRule type="cellIs" dxfId="3" priority="3" operator="greaterThan">
      <formula>0</formula>
    </cfRule>
    <cfRule type="cellIs" dxfId="2" priority="5" operator="lessThan">
      <formula>0</formula>
    </cfRule>
  </conditionalFormatting>
  <conditionalFormatting sqref="H71">
    <cfRule type="expression" dxfId="1" priority="1">
      <formula>$U$255=3</formula>
    </cfRule>
  </conditionalFormatting>
  <dataValidations count="10">
    <dataValidation type="decimal" allowBlank="1" showInputMessage="1" showErrorMessage="1" sqref="G91:H91 G99:H99 G104:H104" xr:uid="{5B1AFAB7-6195-4DBE-851A-7755574EA5D4}">
      <formula1>0</formula1>
      <formula2>24</formula2>
    </dataValidation>
    <dataValidation type="whole" allowBlank="1" showInputMessage="1" showErrorMessage="1" sqref="G93:G94" xr:uid="{5A4D9F6C-77D7-4304-97A1-04283FF12224}">
      <formula1>0</formula1>
      <formula2>100</formula2>
    </dataValidation>
    <dataValidation type="list" allowBlank="1" showInputMessage="1" showErrorMessage="1" sqref="E48" xr:uid="{44FF14F2-E181-4D75-A289-3ACA61C4C9E0}">
      <formula1>Fertiliser</formula1>
    </dataValidation>
    <dataValidation type="list" allowBlank="1" showInputMessage="1" showErrorMessage="1" sqref="G60:H60" xr:uid="{D994AFD6-07B5-4C5F-9EDD-388D864E4462}">
      <formula1>$B$584:$B$591</formula1>
    </dataValidation>
    <dataValidation type="list" allowBlank="1" showInputMessage="1" showErrorMessage="1" sqref="F80:G80" xr:uid="{631C5218-F39D-48D7-B54A-80E7F7E02EE4}">
      <formula1>Waste.Management</formula1>
    </dataValidation>
    <dataValidation type="list" allowBlank="1" showInputMessage="1" showErrorMessage="1" sqref="G97" xr:uid="{6992126B-9400-492C-AC30-948A6B8A37A3}">
      <formula1>Pre_treament</formula1>
    </dataValidation>
    <dataValidation type="list" allowBlank="1" showInputMessage="1" showErrorMessage="1" sqref="F101 AM201:AM204" xr:uid="{5B4D8BDE-3E0A-4D73-BA1A-7B2DBF383506}">
      <formula1>Milker_Feedpad_Waste</formula1>
    </dataValidation>
    <dataValidation type="list" allowBlank="1" showInputMessage="1" showErrorMessage="1" sqref="F106" xr:uid="{72A726B2-00D0-4A12-A901-CA11E45C5F05}">
      <formula1>Heifer_Feedpad_Waste</formula1>
    </dataValidation>
    <dataValidation type="list" allowBlank="1" showInputMessage="1" showErrorMessage="1" sqref="D30:E30" xr:uid="{E63E8512-0C56-4EED-955D-206B47A532A6}">
      <formula1>Milk.production</formula1>
    </dataValidation>
    <dataValidation type="decimal" allowBlank="1" showInputMessage="1" showErrorMessage="1" sqref="D36:I41" xr:uid="{2E6263C7-EE94-40B4-938D-E47843F0A8C8}">
      <formula1>0</formula1>
      <formula2>30</formula2>
    </dataValidation>
  </dataValidations>
  <hyperlinks>
    <hyperlink ref="H48:I49" location="'Fertiliser rates'!A1" display="Click here to work out fertiliser rates" xr:uid="{6DE4E487-57CA-4A43-869B-46073E67F097}"/>
    <hyperlink ref="B41:B42" location="'Feed quality table'!A1" display="Click here for help regarding feed quality" xr:uid="{603845CD-8EFB-4DAE-B3F0-A373AC42E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notEqual" id="{13853D1E-128A-43C3-8656-A3B153FD9490}">
            <xm:f>'Baseline farm'!$G$55</xm:f>
            <x14:dxf>
              <font>
                <b/>
                <i val="0"/>
                <color theme="0"/>
              </font>
              <fill>
                <patternFill>
                  <bgColor rgb="FFFF0000"/>
                </patternFill>
              </fill>
            </x14:dxf>
          </x14:cfRule>
          <xm:sqref>G53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HX948"/>
  <sheetViews>
    <sheetView zoomScale="90" zoomScaleNormal="90" workbookViewId="0"/>
  </sheetViews>
  <sheetFormatPr defaultColWidth="9.1796875" defaultRowHeight="14.5" x14ac:dyDescent="0.35"/>
  <cols>
    <col min="1" max="1" width="3.26953125" style="432" customWidth="1"/>
    <col min="2" max="3" width="42.6328125" style="432" customWidth="1"/>
    <col min="4" max="11" width="24.6328125" style="432" customWidth="1"/>
    <col min="12" max="12" width="27.6328125" style="432" customWidth="1"/>
    <col min="13" max="13" width="14" style="432" bestFit="1" customWidth="1"/>
    <col min="14" max="14" width="14.26953125" style="432" bestFit="1" customWidth="1"/>
    <col min="15" max="15" width="27.54296875" style="432" customWidth="1"/>
    <col min="16" max="16" width="11.81640625" style="432" bestFit="1" customWidth="1"/>
    <col min="17" max="17" width="10.81640625" style="432" bestFit="1" customWidth="1"/>
    <col min="18" max="18" width="11.7265625" style="432" bestFit="1" customWidth="1"/>
    <col min="19" max="19" width="41.26953125" style="432" bestFit="1" customWidth="1"/>
    <col min="20" max="20" width="32.1796875" style="432" bestFit="1" customWidth="1"/>
    <col min="21" max="21" width="15.7265625" style="432" customWidth="1"/>
    <col min="22" max="22" width="13.54296875" style="432" bestFit="1" customWidth="1"/>
    <col min="23" max="23" width="9.1796875" style="432"/>
    <col min="24" max="24" width="10.7265625" style="432" customWidth="1"/>
    <col min="25" max="25" width="9.26953125" style="432" bestFit="1" customWidth="1"/>
    <col min="26" max="26" width="22.54296875" style="432" bestFit="1" customWidth="1"/>
    <col min="27" max="28" width="9.1796875" style="432"/>
    <col min="29" max="29" width="10.26953125" style="432" bestFit="1" customWidth="1"/>
    <col min="30" max="30" width="12.26953125" style="432" customWidth="1"/>
    <col min="31" max="31" width="9.1796875" style="432"/>
    <col min="32" max="32" width="9.26953125" style="432" bestFit="1" customWidth="1"/>
    <col min="33" max="33" width="9.453125" style="432" bestFit="1" customWidth="1"/>
    <col min="34" max="34" width="20.54296875" style="432" bestFit="1" customWidth="1"/>
    <col min="35" max="35" width="22.453125" style="432" customWidth="1"/>
    <col min="36" max="36" width="10.54296875" style="432" bestFit="1" customWidth="1"/>
    <col min="37" max="39" width="9.26953125" style="432" bestFit="1" customWidth="1"/>
    <col min="40" max="41" width="9.1796875" style="432"/>
    <col min="42" max="42" width="31.26953125" style="432" customWidth="1"/>
    <col min="43" max="43" width="9.1796875" style="432"/>
    <col min="44" max="44" width="49.453125" style="432" bestFit="1" customWidth="1"/>
    <col min="45" max="45" width="9.1796875" style="432"/>
    <col min="46" max="46" width="37.7265625" style="432" bestFit="1" customWidth="1"/>
    <col min="47" max="47" width="9.26953125" style="432" bestFit="1" customWidth="1"/>
    <col min="48" max="48" width="37.7265625" style="432" bestFit="1" customWidth="1"/>
    <col min="49" max="49" width="9.26953125" style="432" bestFit="1" customWidth="1"/>
    <col min="50" max="50" width="37.7265625" style="432" bestFit="1" customWidth="1"/>
    <col min="51" max="52" width="9.26953125" style="432" bestFit="1" customWidth="1"/>
    <col min="53" max="53" width="10.54296875" style="432" customWidth="1"/>
    <col min="54" max="55" width="10.7265625" style="432" bestFit="1" customWidth="1"/>
    <col min="56" max="57" width="10.54296875" style="432" bestFit="1" customWidth="1"/>
    <col min="58" max="16384" width="9.1796875" style="432"/>
  </cols>
  <sheetData>
    <row r="1" spans="2:12" ht="19.899999999999999" customHeight="1" x14ac:dyDescent="0.35"/>
    <row r="2" spans="2:12" ht="19.899999999999999" customHeight="1" x14ac:dyDescent="0.35">
      <c r="B2" s="2614" t="s">
        <v>2106</v>
      </c>
      <c r="C2" s="2614"/>
      <c r="D2" s="2614"/>
      <c r="E2" s="2614"/>
      <c r="F2" s="2614"/>
      <c r="G2" s="2614"/>
      <c r="H2" s="2614"/>
      <c r="I2" s="2614"/>
    </row>
    <row r="3" spans="2:12" ht="19.899999999999999" customHeight="1" x14ac:dyDescent="0.35">
      <c r="B3" s="2614"/>
      <c r="C3" s="2614"/>
      <c r="D3" s="2614"/>
      <c r="E3" s="2614"/>
      <c r="F3" s="2614"/>
      <c r="G3" s="2614"/>
      <c r="H3" s="2614"/>
      <c r="I3" s="2614"/>
    </row>
    <row r="4" spans="2:12" s="640" customFormat="1" ht="57" customHeight="1" x14ac:dyDescent="0.45">
      <c r="B4" s="2615" t="s">
        <v>1465</v>
      </c>
      <c r="C4" s="2615"/>
      <c r="D4" s="2615"/>
      <c r="E4" s="2615"/>
      <c r="F4" s="2615"/>
      <c r="G4" s="2615"/>
      <c r="H4" s="2615"/>
      <c r="I4" s="2615"/>
    </row>
    <row r="5" spans="2:12" ht="102.75" customHeight="1" x14ac:dyDescent="0.35">
      <c r="B5" s="2618" t="s">
        <v>1920</v>
      </c>
      <c r="C5" s="2618"/>
      <c r="D5" s="2618"/>
      <c r="E5" s="2618"/>
      <c r="F5" s="2618"/>
      <c r="G5" s="2618"/>
      <c r="H5" s="2618"/>
      <c r="I5" s="2618"/>
    </row>
    <row r="6" spans="2:12" ht="87.65" customHeight="1" x14ac:dyDescent="0.45">
      <c r="B6" s="2619" t="s">
        <v>1473</v>
      </c>
      <c r="C6" s="2620"/>
      <c r="D6" s="2620"/>
      <c r="E6" s="2620"/>
      <c r="F6" s="2620"/>
      <c r="G6" s="2620"/>
      <c r="H6" s="2620"/>
      <c r="I6" s="2620"/>
    </row>
    <row r="7" spans="2:12" ht="48" customHeight="1" x14ac:dyDescent="0.45">
      <c r="B7" s="2619" t="s">
        <v>1474</v>
      </c>
      <c r="C7" s="2619"/>
      <c r="D7" s="2619"/>
      <c r="E7" s="2619"/>
      <c r="F7" s="2619"/>
      <c r="G7" s="2619"/>
      <c r="H7" s="2619"/>
      <c r="I7" s="2619"/>
    </row>
    <row r="8" spans="2:12" ht="51" customHeight="1" x14ac:dyDescent="0.45">
      <c r="B8" s="2619" t="s">
        <v>2065</v>
      </c>
      <c r="C8" s="2619"/>
      <c r="D8" s="2619"/>
      <c r="E8" s="2619"/>
      <c r="F8" s="2619"/>
      <c r="G8" s="2619"/>
      <c r="H8" s="2619"/>
      <c r="I8" s="2619"/>
    </row>
    <row r="9" spans="2:12" ht="23.5" customHeight="1" x14ac:dyDescent="0.35"/>
    <row r="10" spans="2:12" ht="17.5" x14ac:dyDescent="0.35">
      <c r="B10" s="641" t="s">
        <v>2005</v>
      </c>
      <c r="C10" s="435"/>
      <c r="D10" s="435"/>
      <c r="E10" s="642"/>
      <c r="F10" s="435"/>
      <c r="G10" s="451"/>
      <c r="H10" s="435"/>
      <c r="I10" s="435"/>
      <c r="J10" s="435"/>
      <c r="K10" s="1518"/>
      <c r="L10" s="5"/>
    </row>
    <row r="11" spans="2:12" ht="17.5" x14ac:dyDescent="0.35">
      <c r="B11" s="643"/>
      <c r="C11" s="464" t="s">
        <v>969</v>
      </c>
      <c r="D11" s="2540">
        <f>'Baseline farm'!D11:F11</f>
        <v>0</v>
      </c>
      <c r="E11" s="2540"/>
      <c r="F11" s="2540"/>
      <c r="G11" s="460" t="s">
        <v>820</v>
      </c>
      <c r="H11" s="803">
        <f>'Baseline farm'!H11</f>
        <v>0</v>
      </c>
      <c r="I11" s="1091"/>
      <c r="J11" s="1091"/>
      <c r="K11" s="1225"/>
      <c r="L11" s="5"/>
    </row>
    <row r="12" spans="2:12" ht="17.5" x14ac:dyDescent="0.35">
      <c r="B12" s="643"/>
      <c r="C12" s="434"/>
      <c r="D12" s="434"/>
      <c r="E12" s="644"/>
      <c r="F12" s="434"/>
      <c r="G12" s="506"/>
      <c r="H12" s="434"/>
      <c r="I12" s="1091"/>
      <c r="J12" s="1091"/>
      <c r="K12" s="1225"/>
      <c r="L12" s="5"/>
    </row>
    <row r="13" spans="2:12" ht="17.5" x14ac:dyDescent="0.35">
      <c r="B13" s="643"/>
      <c r="C13" s="634" t="s">
        <v>821</v>
      </c>
      <c r="D13" s="2540">
        <f>'Baseline farm'!D13:F13</f>
        <v>0</v>
      </c>
      <c r="E13" s="2540"/>
      <c r="F13" s="2540"/>
      <c r="G13" s="460" t="s">
        <v>911</v>
      </c>
      <c r="H13" s="803">
        <f>'Baseline farm'!H13</f>
        <v>0</v>
      </c>
      <c r="I13" s="1224"/>
      <c r="J13" s="1224"/>
      <c r="K13" s="1225"/>
      <c r="L13" s="5"/>
    </row>
    <row r="14" spans="2:12" ht="17.5" x14ac:dyDescent="0.35">
      <c r="B14" s="643"/>
      <c r="C14" s="434"/>
      <c r="D14" s="434"/>
      <c r="E14" s="644"/>
      <c r="F14" s="434"/>
      <c r="G14" s="644"/>
      <c r="H14" s="644"/>
      <c r="I14" s="1224"/>
      <c r="J14" s="1224"/>
      <c r="K14" s="1225"/>
      <c r="L14" s="5"/>
    </row>
    <row r="15" spans="2:12" ht="15.5" x14ac:dyDescent="0.35">
      <c r="B15" s="645"/>
      <c r="C15" s="375" t="s">
        <v>822</v>
      </c>
      <c r="D15" s="803">
        <f>'Baseline farm'!D15</f>
        <v>0</v>
      </c>
      <c r="E15" s="444"/>
      <c r="F15" s="2532" t="s">
        <v>2079</v>
      </c>
      <c r="G15" s="2532"/>
      <c r="H15" s="2617">
        <f>'Baseline farm'!H15</f>
        <v>0</v>
      </c>
      <c r="I15" s="2617"/>
      <c r="J15" s="1224"/>
      <c r="K15" s="1225"/>
      <c r="L15" s="5"/>
    </row>
    <row r="16" spans="2:12" ht="17.5" x14ac:dyDescent="0.35">
      <c r="B16" s="646"/>
      <c r="C16" s="325"/>
      <c r="D16" s="325"/>
      <c r="E16" s="325"/>
      <c r="F16" s="325"/>
      <c r="G16" s="325"/>
      <c r="H16" s="325"/>
      <c r="I16" s="991"/>
      <c r="J16" s="1091"/>
      <c r="K16" s="1225"/>
      <c r="L16" s="5"/>
    </row>
    <row r="17" spans="2:12" ht="17.5" x14ac:dyDescent="0.35">
      <c r="B17" s="641" t="s">
        <v>1998</v>
      </c>
      <c r="C17" s="435"/>
      <c r="D17" s="442" t="s">
        <v>212</v>
      </c>
      <c r="E17" s="442" t="s">
        <v>1955</v>
      </c>
      <c r="F17" s="442" t="s">
        <v>1956</v>
      </c>
      <c r="G17" s="442" t="s">
        <v>1007</v>
      </c>
      <c r="H17" s="442" t="s">
        <v>1987</v>
      </c>
      <c r="I17" s="442" t="s">
        <v>1988</v>
      </c>
      <c r="J17" s="442" t="s">
        <v>1997</v>
      </c>
      <c r="K17" s="1729" t="s">
        <v>2069</v>
      </c>
      <c r="L17" s="5"/>
    </row>
    <row r="18" spans="2:12" s="879" customFormat="1" ht="17.5" x14ac:dyDescent="0.35">
      <c r="B18" s="1222"/>
      <c r="C18" s="1091"/>
      <c r="D18" s="1198"/>
      <c r="E18" s="1198"/>
      <c r="F18" s="1198"/>
      <c r="G18" s="1198"/>
      <c r="H18" s="1198"/>
      <c r="I18" s="1198"/>
      <c r="J18" s="1198"/>
      <c r="K18" s="1656"/>
      <c r="L18" s="993"/>
    </row>
    <row r="19" spans="2:12" ht="15.5" x14ac:dyDescent="0.35">
      <c r="B19" s="1217"/>
      <c r="C19" s="1221" t="s">
        <v>217</v>
      </c>
      <c r="D19" s="806">
        <f>'Baseline farm'!D19</f>
        <v>0</v>
      </c>
      <c r="E19" s="806">
        <f>'Baseline farm'!E19</f>
        <v>0</v>
      </c>
      <c r="F19" s="806">
        <f>'Baseline farm'!F19</f>
        <v>0</v>
      </c>
      <c r="G19" s="806">
        <f>'Baseline farm'!G19</f>
        <v>0</v>
      </c>
      <c r="H19" s="1378">
        <f>'Baseline farm'!H19</f>
        <v>0</v>
      </c>
      <c r="I19" s="1567">
        <f>'Baseline farm'!I19</f>
        <v>0</v>
      </c>
      <c r="J19" s="1224"/>
      <c r="K19" s="1561" t="s">
        <v>218</v>
      </c>
      <c r="L19" s="5"/>
    </row>
    <row r="20" spans="2:12" ht="15.5" x14ac:dyDescent="0.35">
      <c r="B20" s="1217"/>
      <c r="C20" s="1221"/>
      <c r="D20" s="505"/>
      <c r="E20" s="505"/>
      <c r="F20" s="505"/>
      <c r="G20" s="505"/>
      <c r="H20" s="505"/>
      <c r="I20" s="1186"/>
      <c r="J20" s="1186"/>
      <c r="K20" s="1561"/>
      <c r="L20" s="5"/>
    </row>
    <row r="21" spans="2:12" ht="15.5" x14ac:dyDescent="0.35">
      <c r="B21" s="1217"/>
      <c r="C21" s="1221" t="s">
        <v>219</v>
      </c>
      <c r="D21" s="806">
        <f>'Baseline farm'!D21</f>
        <v>0</v>
      </c>
      <c r="E21" s="806">
        <f>'Baseline farm'!E21</f>
        <v>0</v>
      </c>
      <c r="F21" s="806">
        <f>'Baseline farm'!F21</f>
        <v>0</v>
      </c>
      <c r="G21" s="806">
        <f>'Baseline farm'!G21</f>
        <v>0</v>
      </c>
      <c r="H21" s="806">
        <f>'Baseline farm'!H21</f>
        <v>0</v>
      </c>
      <c r="I21" s="1567">
        <f>'Baseline farm'!I21</f>
        <v>0</v>
      </c>
      <c r="J21" s="1224"/>
      <c r="K21" s="1561" t="s">
        <v>220</v>
      </c>
      <c r="L21" s="5"/>
    </row>
    <row r="22" spans="2:12" ht="15.5" x14ac:dyDescent="0.35">
      <c r="B22" s="1217"/>
      <c r="C22" s="1221"/>
      <c r="D22" s="505"/>
      <c r="E22" s="505"/>
      <c r="F22" s="505"/>
      <c r="G22" s="505"/>
      <c r="H22" s="505"/>
      <c r="I22" s="1186"/>
      <c r="J22" s="1186"/>
      <c r="K22" s="1561"/>
      <c r="L22" s="5"/>
    </row>
    <row r="23" spans="2:12" ht="15.5" x14ac:dyDescent="0.35">
      <c r="B23" s="1217"/>
      <c r="C23" s="1221" t="s">
        <v>802</v>
      </c>
      <c r="D23" s="509"/>
      <c r="E23" s="806">
        <f>'Baseline farm'!E23</f>
        <v>0</v>
      </c>
      <c r="F23" s="806">
        <f>'Baseline farm'!F23</f>
        <v>0</v>
      </c>
      <c r="G23" s="505"/>
      <c r="H23" s="806">
        <f>'Baseline farm'!H23</f>
        <v>0</v>
      </c>
      <c r="I23" s="1567">
        <f>'Baseline farm'!I23</f>
        <v>0</v>
      </c>
      <c r="J23" s="1224"/>
      <c r="K23" s="1561" t="s">
        <v>221</v>
      </c>
      <c r="L23" s="5"/>
    </row>
    <row r="24" spans="2:12" ht="15.5" x14ac:dyDescent="0.35">
      <c r="B24" s="1217"/>
      <c r="C24" s="1221"/>
      <c r="D24" s="1215"/>
      <c r="E24" s="1186"/>
      <c r="F24" s="1186"/>
      <c r="G24" s="1186"/>
      <c r="H24" s="1186"/>
      <c r="I24" s="1186"/>
      <c r="J24" s="1186"/>
      <c r="K24" s="1728"/>
      <c r="L24" s="5"/>
    </row>
    <row r="25" spans="2:12" s="879" customFormat="1" ht="15.5" x14ac:dyDescent="0.35">
      <c r="B25" s="1217"/>
      <c r="C25" s="1221" t="s">
        <v>1929</v>
      </c>
      <c r="D25" s="1532">
        <f>'Baseline farm'!D25</f>
        <v>0</v>
      </c>
      <c r="E25" s="1532">
        <f>'Baseline farm'!E25</f>
        <v>0</v>
      </c>
      <c r="F25" s="1532">
        <f>'Baseline farm'!F25</f>
        <v>0</v>
      </c>
      <c r="G25" s="1532">
        <f>'Baseline farm'!G25</f>
        <v>0</v>
      </c>
      <c r="H25" s="1532">
        <f>'Baseline farm'!H25</f>
        <v>0</v>
      </c>
      <c r="I25" s="1532">
        <f>'Baseline farm'!I25</f>
        <v>0</v>
      </c>
      <c r="J25" s="1532">
        <f>'Baseline farm'!J25</f>
        <v>0</v>
      </c>
      <c r="K25" s="1561" t="s">
        <v>218</v>
      </c>
      <c r="L25" s="993"/>
    </row>
    <row r="26" spans="2:12" s="879" customFormat="1" ht="15.5" x14ac:dyDescent="0.35">
      <c r="B26" s="1217"/>
      <c r="C26" s="1221"/>
      <c r="D26" s="1215"/>
      <c r="E26" s="1529"/>
      <c r="F26" s="1529"/>
      <c r="G26" s="1529"/>
      <c r="H26" s="1529"/>
      <c r="I26" s="1566"/>
      <c r="J26" s="1619"/>
      <c r="K26" s="1561"/>
      <c r="L26" s="993"/>
    </row>
    <row r="27" spans="2:12" s="879" customFormat="1" ht="15.5" x14ac:dyDescent="0.35">
      <c r="B27" s="1217"/>
      <c r="C27" s="1221" t="s">
        <v>1928</v>
      </c>
      <c r="D27" s="1532">
        <f>'Baseline farm'!D27</f>
        <v>0</v>
      </c>
      <c r="E27" s="1532">
        <f>'Baseline farm'!E27</f>
        <v>0</v>
      </c>
      <c r="F27" s="1532">
        <f>'Baseline farm'!F27</f>
        <v>0</v>
      </c>
      <c r="G27" s="1532">
        <f>'Baseline farm'!G27</f>
        <v>0</v>
      </c>
      <c r="H27" s="1532">
        <f>'Baseline farm'!H27</f>
        <v>0</v>
      </c>
      <c r="I27" s="1532">
        <f>'Baseline farm'!I27</f>
        <v>0</v>
      </c>
      <c r="J27" s="1532">
        <f>'Baseline farm'!J27</f>
        <v>0</v>
      </c>
      <c r="K27" s="1561" t="s">
        <v>220</v>
      </c>
      <c r="L27" s="993"/>
    </row>
    <row r="28" spans="2:12" s="879" customFormat="1" ht="15.5" x14ac:dyDescent="0.35">
      <c r="B28" s="1217"/>
      <c r="C28" s="1221"/>
      <c r="D28" s="1221"/>
      <c r="E28" s="1221"/>
      <c r="F28" s="1221"/>
      <c r="G28" s="1221"/>
      <c r="H28" s="1221"/>
      <c r="I28" s="1221"/>
      <c r="J28" s="1221"/>
      <c r="K28" s="1561"/>
      <c r="L28" s="993"/>
    </row>
    <row r="29" spans="2:12" s="879" customFormat="1" ht="15.5" x14ac:dyDescent="0.35">
      <c r="B29" s="1218"/>
      <c r="C29" s="1642"/>
      <c r="D29" s="979"/>
      <c r="E29" s="990"/>
      <c r="F29" s="990"/>
      <c r="G29" s="990"/>
      <c r="H29" s="990"/>
      <c r="I29" s="1522"/>
      <c r="J29" s="1605">
        <f>SUMPRODUCT(D25:J25,D27:J27)/1000</f>
        <v>0</v>
      </c>
      <c r="K29" s="1604" t="s">
        <v>1989</v>
      </c>
      <c r="L29" s="993"/>
    </row>
    <row r="30" spans="2:12" ht="17.5" x14ac:dyDescent="0.35">
      <c r="B30" s="1647" t="s">
        <v>737</v>
      </c>
      <c r="C30" s="642"/>
      <c r="D30" s="642"/>
      <c r="E30" s="642"/>
      <c r="F30" s="642"/>
      <c r="G30" s="642"/>
      <c r="H30" s="642"/>
      <c r="I30" s="1498"/>
      <c r="J30" s="1498"/>
      <c r="K30" s="1332"/>
      <c r="L30" s="1516"/>
    </row>
    <row r="31" spans="2:12" ht="15.5" x14ac:dyDescent="0.35">
      <c r="B31" s="683"/>
      <c r="C31" s="434" t="s">
        <v>991</v>
      </c>
      <c r="D31" s="2540">
        <f>'Baseline farm'!D31</f>
        <v>0</v>
      </c>
      <c r="E31" s="2540"/>
      <c r="F31" s="2557" t="s">
        <v>1158</v>
      </c>
      <c r="G31" s="2557"/>
      <c r="H31" s="808">
        <f>'Baseline farm'!H31</f>
        <v>0</v>
      </c>
      <c r="I31" s="1490" t="str">
        <f>IF(U261="1","litres of milk per herd her annum","kg milksolids per herd per annum")</f>
        <v>kg milksolids per herd per annum</v>
      </c>
      <c r="J31" s="1624"/>
      <c r="K31" s="1225"/>
      <c r="L31" s="5"/>
    </row>
    <row r="32" spans="2:12" ht="15.5" x14ac:dyDescent="0.35">
      <c r="B32" s="683"/>
      <c r="C32" s="434"/>
      <c r="D32" s="401"/>
      <c r="E32" s="395"/>
      <c r="F32" s="395"/>
      <c r="G32" s="396"/>
      <c r="H32" s="508"/>
      <c r="I32" s="1499"/>
      <c r="J32" s="1499"/>
      <c r="K32" s="1225"/>
      <c r="L32" s="5"/>
    </row>
    <row r="33" spans="2:34" ht="15.5" x14ac:dyDescent="0.35">
      <c r="B33" s="683"/>
      <c r="C33" s="434" t="s">
        <v>1220</v>
      </c>
      <c r="D33" s="805">
        <f>'Baseline farm'!D33</f>
        <v>0</v>
      </c>
      <c r="E33" s="395" t="s">
        <v>222</v>
      </c>
      <c r="F33" s="2553" t="s">
        <v>1221</v>
      </c>
      <c r="G33" s="2553"/>
      <c r="H33" s="805">
        <f>'Baseline farm'!H33</f>
        <v>0</v>
      </c>
      <c r="I33" s="1490" t="s">
        <v>222</v>
      </c>
      <c r="J33" s="1624"/>
      <c r="K33" s="1225"/>
      <c r="L33" s="5"/>
      <c r="AA33" s="55"/>
      <c r="AB33" s="55"/>
      <c r="AC33" s="55"/>
      <c r="AD33" s="55"/>
      <c r="AE33" s="55"/>
      <c r="AF33" s="55"/>
      <c r="AG33" s="55"/>
      <c r="AH33" s="55"/>
    </row>
    <row r="34" spans="2:34" ht="15.5" x14ac:dyDescent="0.35">
      <c r="B34" s="503"/>
      <c r="C34" s="434"/>
      <c r="D34" s="401"/>
      <c r="E34" s="396"/>
      <c r="F34" s="505"/>
      <c r="G34" s="505"/>
      <c r="H34" s="396"/>
      <c r="I34" s="1499"/>
      <c r="J34" s="1499"/>
      <c r="K34" s="1225"/>
      <c r="L34" s="5"/>
      <c r="AA34" s="55"/>
      <c r="AB34" s="55"/>
      <c r="AC34" s="55"/>
      <c r="AD34" s="55"/>
      <c r="AE34" s="55"/>
      <c r="AF34" s="55"/>
      <c r="AG34" s="55"/>
      <c r="AH34" s="55"/>
    </row>
    <row r="35" spans="2:34" ht="15.5" x14ac:dyDescent="0.35">
      <c r="B35" s="503"/>
      <c r="C35" s="434" t="s">
        <v>476</v>
      </c>
      <c r="D35" s="476">
        <f>'Baseline farm'!D35</f>
        <v>0</v>
      </c>
      <c r="E35" s="396" t="s">
        <v>1161</v>
      </c>
      <c r="F35" s="2579" t="s">
        <v>746</v>
      </c>
      <c r="G35" s="2579"/>
      <c r="H35" s="401" t="e">
        <f>ROUND(Q255,1)</f>
        <v>#DIV/0!</v>
      </c>
      <c r="I35" s="1499" t="s">
        <v>743</v>
      </c>
      <c r="J35" s="1499"/>
      <c r="K35" s="1225"/>
      <c r="L35" s="5"/>
      <c r="AA35" s="55"/>
      <c r="AB35" s="55"/>
      <c r="AC35" s="55"/>
      <c r="AD35" s="55"/>
      <c r="AE35" s="55"/>
      <c r="AF35" s="55"/>
      <c r="AG35" s="55"/>
      <c r="AH35" s="55"/>
    </row>
    <row r="36" spans="2:34" s="879" customFormat="1" ht="15.5" x14ac:dyDescent="0.35">
      <c r="B36" s="1187"/>
      <c r="C36" s="1091"/>
      <c r="D36" s="1091"/>
      <c r="E36" s="1184"/>
      <c r="F36" s="1726"/>
      <c r="G36" s="1726"/>
      <c r="H36" s="1717"/>
      <c r="I36" s="1499"/>
      <c r="J36" s="1499"/>
      <c r="K36" s="1225"/>
      <c r="L36" s="993"/>
      <c r="AA36" s="880"/>
      <c r="AB36" s="880"/>
      <c r="AC36" s="880"/>
      <c r="AD36" s="880"/>
      <c r="AE36" s="880"/>
      <c r="AF36" s="880"/>
      <c r="AG36" s="880"/>
      <c r="AH36" s="880"/>
    </row>
    <row r="37" spans="2:34" ht="17.5" x14ac:dyDescent="0.35">
      <c r="B37" s="1644" t="s">
        <v>1011</v>
      </c>
      <c r="C37" s="435"/>
      <c r="D37" s="2556" t="s">
        <v>806</v>
      </c>
      <c r="E37" s="2556"/>
      <c r="F37" s="2580" t="s">
        <v>856</v>
      </c>
      <c r="G37" s="2580"/>
      <c r="H37" s="2581" t="s">
        <v>857</v>
      </c>
      <c r="I37" s="2581"/>
      <c r="J37" s="1626"/>
      <c r="K37" s="1518"/>
      <c r="L37" s="5"/>
    </row>
    <row r="38" spans="2:34" ht="15.5" x14ac:dyDescent="0.35">
      <c r="B38" s="504"/>
      <c r="C38" s="434" t="s">
        <v>807</v>
      </c>
      <c r="D38" s="2552">
        <f>'Baseline farm'!D38</f>
        <v>0</v>
      </c>
      <c r="E38" s="2552"/>
      <c r="F38" s="2552">
        <f>'Baseline farm'!F38</f>
        <v>0</v>
      </c>
      <c r="G38" s="2552"/>
      <c r="H38" s="2552">
        <f>'Baseline farm'!H38</f>
        <v>0</v>
      </c>
      <c r="I38" s="2552"/>
      <c r="J38" s="1499"/>
      <c r="K38" s="1225"/>
      <c r="L38" s="5"/>
    </row>
    <row r="39" spans="2:34" ht="15.5" x14ac:dyDescent="0.35">
      <c r="B39" s="632" t="s">
        <v>967</v>
      </c>
      <c r="C39" s="434" t="s">
        <v>808</v>
      </c>
      <c r="D39" s="2552">
        <f>'Baseline farm'!D39</f>
        <v>0</v>
      </c>
      <c r="E39" s="2552"/>
      <c r="F39" s="2552">
        <f>'Baseline farm'!F39</f>
        <v>0</v>
      </c>
      <c r="G39" s="2552"/>
      <c r="H39" s="2552">
        <f>'Baseline farm'!H39</f>
        <v>0</v>
      </c>
      <c r="I39" s="2552"/>
      <c r="J39" s="1499"/>
      <c r="K39" s="1225"/>
      <c r="L39" s="5"/>
    </row>
    <row r="40" spans="2:34" ht="15.5" x14ac:dyDescent="0.35">
      <c r="B40" s="632" t="s">
        <v>968</v>
      </c>
      <c r="C40" s="434" t="s">
        <v>809</v>
      </c>
      <c r="D40" s="2552">
        <f>'Baseline farm'!D40</f>
        <v>0</v>
      </c>
      <c r="E40" s="2552"/>
      <c r="F40" s="2552">
        <f>'Baseline farm'!F40</f>
        <v>0</v>
      </c>
      <c r="G40" s="2552"/>
      <c r="H40" s="2552">
        <f>'Baseline farm'!H40</f>
        <v>0</v>
      </c>
      <c r="I40" s="2552"/>
      <c r="J40" s="1499"/>
      <c r="K40" s="1225"/>
      <c r="L40" s="5"/>
    </row>
    <row r="41" spans="2:34" ht="15.5" x14ac:dyDescent="0.35">
      <c r="B41" s="443" t="e">
        <f>Q259 &amp;" kg DM/cow.day"</f>
        <v>#DIV/0!</v>
      </c>
      <c r="C41" s="434" t="s">
        <v>810</v>
      </c>
      <c r="D41" s="2552">
        <f>'Baseline farm'!D41</f>
        <v>0</v>
      </c>
      <c r="E41" s="2552"/>
      <c r="F41" s="2552">
        <f>'Baseline farm'!F41</f>
        <v>0</v>
      </c>
      <c r="G41" s="2552"/>
      <c r="H41" s="2552">
        <f>'Baseline farm'!H41</f>
        <v>0</v>
      </c>
      <c r="I41" s="2552"/>
      <c r="J41" s="1499"/>
      <c r="K41" s="1225"/>
      <c r="L41" s="5"/>
    </row>
    <row r="42" spans="2:34" ht="15.5" x14ac:dyDescent="0.35">
      <c r="B42" s="504"/>
      <c r="C42" s="434" t="s">
        <v>811</v>
      </c>
      <c r="D42" s="2552">
        <f>'Baseline farm'!D42</f>
        <v>0</v>
      </c>
      <c r="E42" s="2552"/>
      <c r="F42" s="2552">
        <f>'Baseline farm'!F42</f>
        <v>0</v>
      </c>
      <c r="G42" s="2552"/>
      <c r="H42" s="2552">
        <f>'Baseline farm'!H42</f>
        <v>0</v>
      </c>
      <c r="I42" s="2552"/>
      <c r="J42" s="1499"/>
      <c r="K42" s="1225"/>
      <c r="L42" s="5"/>
    </row>
    <row r="43" spans="2:34" ht="15.5" x14ac:dyDescent="0.35">
      <c r="B43" s="2612" t="s">
        <v>1204</v>
      </c>
      <c r="C43" s="434" t="s">
        <v>812</v>
      </c>
      <c r="D43" s="2552">
        <f>'Baseline farm'!D43</f>
        <v>0</v>
      </c>
      <c r="E43" s="2552"/>
      <c r="F43" s="2552">
        <f>'Baseline farm'!F43</f>
        <v>0</v>
      </c>
      <c r="G43" s="2552"/>
      <c r="H43" s="2552">
        <f>'Baseline farm'!H43</f>
        <v>0</v>
      </c>
      <c r="I43" s="2552"/>
      <c r="J43" s="1499"/>
      <c r="K43" s="1225"/>
      <c r="L43" s="5"/>
    </row>
    <row r="44" spans="2:34" ht="15.5" x14ac:dyDescent="0.35">
      <c r="B44" s="2613"/>
      <c r="C44" s="1220" t="s">
        <v>815</v>
      </c>
      <c r="D44" s="2533">
        <f>SUM(D38:E43)</f>
        <v>0</v>
      </c>
      <c r="E44" s="2533"/>
      <c r="F44" s="2533" t="e">
        <f>Q257</f>
        <v>#DIV/0!</v>
      </c>
      <c r="G44" s="2533"/>
      <c r="H44" s="2533" t="e">
        <f>Q258</f>
        <v>#DIV/0!</v>
      </c>
      <c r="I44" s="2533"/>
      <c r="J44" s="1627"/>
      <c r="K44" s="1225"/>
      <c r="L44" s="5"/>
    </row>
    <row r="45" spans="2:34" s="879" customFormat="1" ht="15.5" x14ac:dyDescent="0.35">
      <c r="B45" s="1226"/>
      <c r="C45" s="1220"/>
      <c r="D45" s="1717"/>
      <c r="E45" s="1717"/>
      <c r="F45" s="1717"/>
      <c r="G45" s="1717"/>
      <c r="H45" s="1717"/>
      <c r="I45" s="1717"/>
      <c r="J45" s="1717"/>
      <c r="K45" s="1225"/>
      <c r="L45" s="993"/>
    </row>
    <row r="46" spans="2:34" ht="15.5" x14ac:dyDescent="0.35">
      <c r="B46" s="1217" t="s">
        <v>1012</v>
      </c>
      <c r="C46" s="1221"/>
      <c r="D46" s="1711">
        <f>'Baseline farm'!D46</f>
        <v>0</v>
      </c>
      <c r="E46" s="1251" t="s">
        <v>222</v>
      </c>
      <c r="F46" s="1717"/>
      <c r="G46" s="1717"/>
      <c r="H46" s="1717"/>
      <c r="I46" s="1499"/>
      <c r="J46" s="1499"/>
      <c r="K46" s="1225"/>
      <c r="L46" s="5"/>
    </row>
    <row r="47" spans="2:34" ht="15.5" x14ac:dyDescent="0.35">
      <c r="B47" s="1217" t="s">
        <v>1013</v>
      </c>
      <c r="C47" s="638"/>
      <c r="D47" s="805">
        <f>'Baseline farm'!D47</f>
        <v>0</v>
      </c>
      <c r="E47" s="728" t="s">
        <v>222</v>
      </c>
      <c r="F47" s="2533"/>
      <c r="G47" s="2533"/>
      <c r="H47" s="2533"/>
      <c r="I47" s="1499"/>
      <c r="J47" s="1499"/>
      <c r="K47" s="1225"/>
      <c r="L47" s="5"/>
    </row>
    <row r="48" spans="2:34" ht="15.5" x14ac:dyDescent="0.35">
      <c r="B48" s="628"/>
      <c r="C48" s="633"/>
      <c r="D48" s="647"/>
      <c r="E48" s="647"/>
      <c r="F48" s="2616"/>
      <c r="G48" s="2616"/>
      <c r="H48" s="2616"/>
      <c r="I48" s="1499"/>
      <c r="J48" s="1499"/>
      <c r="K48" s="1225"/>
      <c r="L48" s="5"/>
    </row>
    <row r="49" spans="2:35" ht="15.65" customHeight="1" x14ac:dyDescent="0.35">
      <c r="B49" s="1648" t="s">
        <v>828</v>
      </c>
      <c r="C49" s="2539"/>
      <c r="D49" s="2539"/>
      <c r="E49" s="433"/>
      <c r="F49" s="437"/>
      <c r="G49" s="2539"/>
      <c r="H49" s="2539"/>
      <c r="I49" s="2539"/>
      <c r="J49" s="1621"/>
      <c r="K49" s="1518"/>
      <c r="L49" s="5"/>
      <c r="M49" s="440"/>
      <c r="AA49" s="55"/>
      <c r="AB49" s="55"/>
      <c r="AC49" s="55"/>
      <c r="AD49" s="55"/>
      <c r="AE49" s="55"/>
      <c r="AF49" s="55"/>
      <c r="AG49" s="55"/>
      <c r="AH49" s="55"/>
    </row>
    <row r="50" spans="2:35" ht="15.5" x14ac:dyDescent="0.35">
      <c r="B50" s="465"/>
      <c r="C50" s="434" t="s">
        <v>829</v>
      </c>
      <c r="D50" s="402"/>
      <c r="E50" s="2540">
        <f>'Baseline farm'!E50</f>
        <v>0</v>
      </c>
      <c r="F50" s="2540"/>
      <c r="G50" s="377"/>
      <c r="H50" s="2611" t="s">
        <v>1114</v>
      </c>
      <c r="I50" s="2611"/>
      <c r="J50" s="1499"/>
      <c r="K50" s="1225"/>
      <c r="L50" s="5"/>
      <c r="M50" s="440"/>
      <c r="AA50" s="55"/>
      <c r="AB50" s="55"/>
      <c r="AC50" s="55"/>
      <c r="AD50" s="55"/>
      <c r="AE50" s="55"/>
      <c r="AF50" s="55"/>
      <c r="AG50" s="55"/>
      <c r="AH50" s="55"/>
    </row>
    <row r="51" spans="2:35" ht="15.5" x14ac:dyDescent="0.35">
      <c r="B51" s="465"/>
      <c r="C51" s="434"/>
      <c r="D51" s="402"/>
      <c r="E51" s="454"/>
      <c r="F51" s="454"/>
      <c r="G51" s="377"/>
      <c r="H51" s="2611"/>
      <c r="I51" s="2611"/>
      <c r="J51" s="1499"/>
      <c r="K51" s="1225"/>
      <c r="L51" s="5"/>
      <c r="M51" s="769"/>
      <c r="AA51" s="55"/>
      <c r="AB51" s="55"/>
      <c r="AC51" s="55"/>
      <c r="AD51" s="55"/>
      <c r="AE51" s="55"/>
      <c r="AF51" s="55"/>
      <c r="AG51" s="55"/>
      <c r="AH51" s="55"/>
    </row>
    <row r="52" spans="2:35" ht="15.5" x14ac:dyDescent="0.35">
      <c r="B52" s="465"/>
      <c r="C52" s="445" t="s">
        <v>2000</v>
      </c>
      <c r="D52" s="402"/>
      <c r="E52" s="402"/>
      <c r="F52" s="402"/>
      <c r="G52" s="738" t="s">
        <v>1093</v>
      </c>
      <c r="H52" s="739"/>
      <c r="I52" s="1500"/>
      <c r="J52" s="1500"/>
      <c r="K52" s="1225"/>
      <c r="L52" s="5"/>
      <c r="M52" s="440"/>
      <c r="AA52" s="55"/>
      <c r="AB52" s="55"/>
      <c r="AC52" s="55"/>
      <c r="AD52" s="55"/>
      <c r="AE52" s="55"/>
      <c r="AF52" s="55"/>
      <c r="AG52" s="55"/>
      <c r="AH52" s="55"/>
    </row>
    <row r="53" spans="2:35" ht="15.5" x14ac:dyDescent="0.35">
      <c r="B53" s="1195" t="s">
        <v>2128</v>
      </c>
      <c r="C53" s="807">
        <f>'Baseline farm'!C53</f>
        <v>0</v>
      </c>
      <c r="D53" s="434" t="s">
        <v>224</v>
      </c>
      <c r="E53" s="2548" t="s">
        <v>1094</v>
      </c>
      <c r="F53" s="2548"/>
      <c r="G53" s="804">
        <f>'Baseline farm'!G53</f>
        <v>0</v>
      </c>
      <c r="H53" s="692" t="str">
        <f>'Baseline farm'!H53</f>
        <v>t per annum</v>
      </c>
      <c r="I53" s="1499"/>
      <c r="J53" s="1499"/>
      <c r="K53" s="1225"/>
      <c r="L53" s="5"/>
      <c r="M53" s="440"/>
      <c r="AA53" s="55"/>
      <c r="AB53" s="55"/>
      <c r="AC53" s="55"/>
      <c r="AD53" s="55"/>
      <c r="AE53" s="55"/>
      <c r="AF53" s="55"/>
      <c r="AG53" s="55"/>
      <c r="AH53" s="55"/>
    </row>
    <row r="54" spans="2:35" ht="15.5" x14ac:dyDescent="0.35">
      <c r="B54" s="1195" t="s">
        <v>2129</v>
      </c>
      <c r="C54" s="807">
        <f>'Baseline farm'!C54</f>
        <v>0</v>
      </c>
      <c r="D54" s="434" t="s">
        <v>224</v>
      </c>
      <c r="E54" s="2548" t="s">
        <v>1113</v>
      </c>
      <c r="F54" s="2548"/>
      <c r="G54" s="1463">
        <f>'Baseline farm'!G54</f>
        <v>0</v>
      </c>
      <c r="H54" s="692" t="str">
        <f>H53</f>
        <v>t per annum</v>
      </c>
      <c r="I54" s="1499"/>
      <c r="J54" s="1499"/>
      <c r="K54" s="1225"/>
      <c r="L54" s="5"/>
      <c r="M54" s="440"/>
      <c r="AA54" s="55"/>
      <c r="AB54" s="55"/>
      <c r="AC54" s="55"/>
      <c r="AD54" s="55"/>
      <c r="AE54" s="55"/>
      <c r="AF54" s="55"/>
      <c r="AG54" s="55"/>
      <c r="AH54" s="55"/>
    </row>
    <row r="55" spans="2:35" s="879" customFormat="1" ht="15.5" x14ac:dyDescent="0.35">
      <c r="B55" s="1195"/>
      <c r="C55" s="1091"/>
      <c r="D55" s="1091"/>
      <c r="E55" s="2548" t="s">
        <v>1507</v>
      </c>
      <c r="F55" s="2548"/>
      <c r="G55" s="1463">
        <f>'Baseline farm'!G55</f>
        <v>0</v>
      </c>
      <c r="H55" s="1091" t="s">
        <v>222</v>
      </c>
      <c r="I55" s="1499"/>
      <c r="J55" s="1499"/>
      <c r="K55" s="1225"/>
      <c r="L55" s="993"/>
      <c r="M55" s="440"/>
      <c r="AA55" s="880"/>
      <c r="AB55" s="880"/>
      <c r="AC55" s="880"/>
      <c r="AD55" s="880"/>
      <c r="AE55" s="880"/>
      <c r="AF55" s="880"/>
      <c r="AG55" s="880"/>
      <c r="AH55" s="880"/>
    </row>
    <row r="56" spans="2:35" ht="15.5" x14ac:dyDescent="0.35">
      <c r="B56" s="1193"/>
      <c r="C56" s="434"/>
      <c r="D56" s="434"/>
      <c r="E56" s="1091"/>
      <c r="F56" s="1091"/>
      <c r="G56" s="434"/>
      <c r="H56" s="434"/>
      <c r="I56" s="1499"/>
      <c r="J56" s="1499"/>
      <c r="K56" s="1225"/>
      <c r="L56" s="993"/>
      <c r="M56" s="440"/>
      <c r="AA56" s="55"/>
      <c r="AB56" s="55"/>
      <c r="AC56" s="55"/>
      <c r="AD56" s="55"/>
      <c r="AE56" s="55"/>
      <c r="AF56" s="55"/>
      <c r="AG56" s="55"/>
      <c r="AH56" s="55"/>
    </row>
    <row r="57" spans="2:35" ht="15.5" x14ac:dyDescent="0.35">
      <c r="B57" s="1193"/>
      <c r="C57" s="1340" t="s">
        <v>2006</v>
      </c>
      <c r="D57" s="1091"/>
      <c r="E57" s="1091"/>
      <c r="F57" s="377"/>
      <c r="G57" s="448" t="s">
        <v>1096</v>
      </c>
      <c r="H57" s="448" t="s">
        <v>1097</v>
      </c>
      <c r="I57" s="448" t="s">
        <v>1098</v>
      </c>
      <c r="J57" s="448" t="s">
        <v>1099</v>
      </c>
      <c r="K57" s="1225"/>
      <c r="L57" s="993"/>
      <c r="M57" s="5"/>
      <c r="N57" s="440"/>
      <c r="AB57" s="55"/>
      <c r="AC57" s="55"/>
      <c r="AD57" s="55"/>
      <c r="AE57" s="55"/>
      <c r="AF57" s="55"/>
      <c r="AG57" s="55"/>
      <c r="AH57" s="55"/>
      <c r="AI57" s="55"/>
    </row>
    <row r="58" spans="2:35" ht="15.5" x14ac:dyDescent="0.35">
      <c r="B58" s="1193" t="s">
        <v>2126</v>
      </c>
      <c r="C58" s="807">
        <f>'Baseline farm'!C58</f>
        <v>0</v>
      </c>
      <c r="D58" s="1091" t="s">
        <v>224</v>
      </c>
      <c r="E58" s="2543" t="s">
        <v>2007</v>
      </c>
      <c r="F58" s="2543"/>
      <c r="G58" s="1618">
        <f>'Baseline farm'!G58</f>
        <v>0</v>
      </c>
      <c r="H58" s="807">
        <f>'Baseline farm'!H58</f>
        <v>0</v>
      </c>
      <c r="I58" s="807">
        <f>'Baseline farm'!I58</f>
        <v>0</v>
      </c>
      <c r="J58" s="807">
        <f>'Baseline farm'!J58</f>
        <v>0</v>
      </c>
      <c r="K58" s="1649" t="str">
        <f>H53</f>
        <v>t per annum</v>
      </c>
      <c r="L58" s="993"/>
      <c r="M58" s="5"/>
      <c r="N58" s="440"/>
      <c r="AB58" s="55"/>
      <c r="AC58" s="55"/>
      <c r="AD58" s="55"/>
      <c r="AE58" s="55"/>
      <c r="AF58" s="55"/>
      <c r="AG58" s="55"/>
      <c r="AH58" s="55"/>
      <c r="AI58" s="55"/>
    </row>
    <row r="59" spans="2:35" ht="15.5" x14ac:dyDescent="0.35">
      <c r="B59" s="1193" t="s">
        <v>2127</v>
      </c>
      <c r="C59" s="807">
        <f>'Baseline farm'!C59</f>
        <v>0</v>
      </c>
      <c r="D59" s="1091" t="s">
        <v>224</v>
      </c>
      <c r="E59" s="2543" t="s">
        <v>2008</v>
      </c>
      <c r="F59" s="2543"/>
      <c r="G59" s="1618">
        <f>'Baseline farm'!G59</f>
        <v>0</v>
      </c>
      <c r="H59" s="807">
        <f>'Baseline farm'!H59</f>
        <v>0</v>
      </c>
      <c r="I59" s="807">
        <f>'Baseline farm'!I59</f>
        <v>0</v>
      </c>
      <c r="J59" s="807">
        <f>'Baseline farm'!J59</f>
        <v>0</v>
      </c>
      <c r="K59" s="1631" t="str">
        <f>H53</f>
        <v>t per annum</v>
      </c>
      <c r="L59" s="993"/>
      <c r="M59" s="5"/>
      <c r="N59" s="440"/>
      <c r="AB59" s="55"/>
      <c r="AC59" s="55"/>
      <c r="AD59" s="55"/>
      <c r="AE59" s="55"/>
      <c r="AF59" s="55"/>
      <c r="AG59" s="55"/>
      <c r="AH59" s="55"/>
      <c r="AI59" s="55"/>
    </row>
    <row r="60" spans="2:35" ht="15.5" x14ac:dyDescent="0.35">
      <c r="B60" s="446"/>
      <c r="C60" s="285"/>
      <c r="D60" s="1091"/>
      <c r="E60" s="649"/>
      <c r="F60" s="649"/>
      <c r="G60" s="649"/>
      <c r="H60" s="649"/>
      <c r="I60" s="649"/>
      <c r="J60" s="1334"/>
      <c r="K60" s="1225"/>
      <c r="L60" s="5"/>
      <c r="M60" s="440"/>
      <c r="AA60" s="55"/>
      <c r="AB60" s="55"/>
      <c r="AC60" s="55"/>
      <c r="AD60" s="55"/>
      <c r="AE60" s="55"/>
      <c r="AF60" s="55"/>
      <c r="AG60" s="55"/>
      <c r="AH60" s="55"/>
    </row>
    <row r="61" spans="2:35" ht="17.5" x14ac:dyDescent="0.35">
      <c r="B61" s="1646" t="s">
        <v>855</v>
      </c>
      <c r="C61" s="451"/>
      <c r="D61" s="642"/>
      <c r="E61" s="642"/>
      <c r="F61" s="642"/>
      <c r="G61" s="642"/>
      <c r="H61" s="642"/>
      <c r="I61" s="642"/>
      <c r="J61" s="642"/>
      <c r="K61" s="1518"/>
      <c r="L61" s="5"/>
      <c r="M61" s="440"/>
      <c r="AA61" s="55"/>
      <c r="AB61" s="55"/>
      <c r="AC61" s="55"/>
      <c r="AD61" s="55"/>
      <c r="AE61" s="55"/>
      <c r="AF61" s="55"/>
      <c r="AG61" s="55"/>
      <c r="AH61" s="55"/>
    </row>
    <row r="62" spans="2:35" ht="15.65" customHeight="1" x14ac:dyDescent="0.35">
      <c r="B62" s="1195" t="s">
        <v>795</v>
      </c>
      <c r="C62" s="482">
        <f>'Baseline farm'!C62</f>
        <v>0</v>
      </c>
      <c r="D62" s="748" t="s">
        <v>599</v>
      </c>
      <c r="E62" s="2535" t="s">
        <v>929</v>
      </c>
      <c r="F62" s="2535"/>
      <c r="G62" s="2536">
        <f>'Baseline farm'!G62</f>
        <v>0</v>
      </c>
      <c r="H62" s="2536"/>
      <c r="I62" s="2535"/>
      <c r="J62" s="2535"/>
      <c r="K62" s="1225"/>
      <c r="L62" s="5"/>
      <c r="M62" s="440"/>
      <c r="AA62" s="55"/>
      <c r="AB62" s="55"/>
      <c r="AC62" s="55"/>
      <c r="AD62" s="55"/>
      <c r="AE62" s="55"/>
      <c r="AF62" s="55"/>
      <c r="AG62" s="55"/>
      <c r="AH62" s="55"/>
    </row>
    <row r="63" spans="2:35" ht="15.65" customHeight="1" x14ac:dyDescent="0.35">
      <c r="B63" s="1195" t="s">
        <v>801</v>
      </c>
      <c r="C63" s="482">
        <f>'Baseline farm'!C63</f>
        <v>0</v>
      </c>
      <c r="D63" s="1091" t="s">
        <v>1159</v>
      </c>
      <c r="E63" s="2535" t="s">
        <v>2130</v>
      </c>
      <c r="F63" s="2535"/>
      <c r="G63" s="2588">
        <f>'Baseline farm'!G63</f>
        <v>0</v>
      </c>
      <c r="H63" s="2588"/>
      <c r="I63" s="2535" t="s">
        <v>222</v>
      </c>
      <c r="J63" s="2535"/>
      <c r="K63" s="1225"/>
      <c r="L63" s="5"/>
      <c r="M63" s="440"/>
      <c r="AA63" s="55"/>
      <c r="AB63" s="55"/>
      <c r="AC63" s="55"/>
      <c r="AD63" s="55"/>
      <c r="AE63" s="55"/>
      <c r="AF63" s="55"/>
      <c r="AG63" s="55"/>
      <c r="AH63" s="55"/>
    </row>
    <row r="64" spans="2:35" s="879" customFormat="1" ht="15.5" x14ac:dyDescent="0.35">
      <c r="B64" s="1214"/>
      <c r="C64" s="1521"/>
      <c r="D64" s="1521"/>
      <c r="E64" s="1642"/>
      <c r="F64" s="1642"/>
      <c r="G64" s="1642"/>
      <c r="H64" s="1521"/>
      <c r="I64" s="1523"/>
      <c r="J64" s="1523"/>
      <c r="K64" s="1225"/>
      <c r="L64" s="993"/>
      <c r="M64" s="440"/>
      <c r="AA64" s="880"/>
      <c r="AB64" s="880"/>
      <c r="AC64" s="880"/>
      <c r="AD64" s="880"/>
      <c r="AE64" s="880"/>
      <c r="AF64" s="880"/>
      <c r="AG64" s="880"/>
      <c r="AH64" s="880"/>
    </row>
    <row r="65" spans="2:34" ht="17.5" x14ac:dyDescent="0.35">
      <c r="B65" s="1222" t="s">
        <v>827</v>
      </c>
      <c r="C65" s="1091"/>
      <c r="D65" s="1091"/>
      <c r="E65" s="1091"/>
      <c r="F65" s="1091"/>
      <c r="G65" s="1091"/>
      <c r="H65" s="1091"/>
      <c r="I65" s="1094"/>
      <c r="J65" s="1094"/>
      <c r="K65" s="1518"/>
      <c r="L65" s="5"/>
    </row>
    <row r="66" spans="2:34" ht="15.5" x14ac:dyDescent="0.35">
      <c r="B66" s="421" t="s">
        <v>1092</v>
      </c>
      <c r="C66" s="482">
        <f>'Baseline farm'!C66</f>
        <v>0</v>
      </c>
      <c r="D66" s="444" t="s">
        <v>1160</v>
      </c>
      <c r="E66" s="2538" t="s">
        <v>823</v>
      </c>
      <c r="F66" s="2538"/>
      <c r="G66" s="2534">
        <f>'Baseline farm'!G66:H66</f>
        <v>0</v>
      </c>
      <c r="H66" s="2534"/>
      <c r="I66" s="1197" t="s">
        <v>1160</v>
      </c>
      <c r="J66" s="1197"/>
      <c r="K66" s="1225"/>
      <c r="L66" s="5"/>
    </row>
    <row r="67" spans="2:34" ht="15.5" x14ac:dyDescent="0.35">
      <c r="B67" s="438"/>
      <c r="C67" s="506"/>
      <c r="D67" s="434"/>
      <c r="E67" s="434"/>
      <c r="F67" s="434"/>
      <c r="G67" s="434"/>
      <c r="H67" s="434"/>
      <c r="I67" s="1094"/>
      <c r="J67" s="1094"/>
      <c r="K67" s="1225"/>
      <c r="L67" s="5"/>
    </row>
    <row r="68" spans="2:34" ht="15.5" x14ac:dyDescent="0.35">
      <c r="B68" s="438" t="s">
        <v>824</v>
      </c>
      <c r="C68" s="482">
        <f>'Baseline farm'!C68</f>
        <v>0</v>
      </c>
      <c r="D68" s="444" t="s">
        <v>1160</v>
      </c>
      <c r="E68" s="2538" t="s">
        <v>825</v>
      </c>
      <c r="F68" s="2538"/>
      <c r="G68" s="2534">
        <f>'Baseline farm'!G68:H68</f>
        <v>0</v>
      </c>
      <c r="H68" s="2534"/>
      <c r="I68" s="1197" t="s">
        <v>1160</v>
      </c>
      <c r="J68" s="1197"/>
      <c r="K68" s="1225"/>
      <c r="L68" s="5"/>
    </row>
    <row r="69" spans="2:34" ht="15.5" x14ac:dyDescent="0.35">
      <c r="B69" s="438"/>
      <c r="C69" s="506"/>
      <c r="D69" s="434"/>
      <c r="E69" s="434"/>
      <c r="F69" s="434"/>
      <c r="G69" s="434"/>
      <c r="H69" s="434"/>
      <c r="I69" s="1094"/>
      <c r="J69" s="1094"/>
      <c r="K69" s="1225"/>
      <c r="L69" s="5"/>
    </row>
    <row r="70" spans="2:34" ht="15.5" x14ac:dyDescent="0.35">
      <c r="B70" s="650" t="s">
        <v>826</v>
      </c>
      <c r="C70" s="482">
        <f>'Baseline farm'!C70</f>
        <v>0</v>
      </c>
      <c r="D70" s="444" t="s">
        <v>1160</v>
      </c>
      <c r="E70" s="434" t="s">
        <v>940</v>
      </c>
      <c r="F70" s="434"/>
      <c r="G70" s="2534">
        <f>'Baseline farm'!G70:H70</f>
        <v>0</v>
      </c>
      <c r="H70" s="2534"/>
      <c r="I70" s="1197" t="s">
        <v>1160</v>
      </c>
      <c r="J70" s="1197"/>
      <c r="K70" s="1225"/>
      <c r="L70" s="5"/>
    </row>
    <row r="71" spans="2:34" ht="15.5" x14ac:dyDescent="0.35">
      <c r="B71" s="651"/>
      <c r="C71" s="325"/>
      <c r="D71" s="325"/>
      <c r="E71" s="325"/>
      <c r="F71" s="325"/>
      <c r="G71" s="325"/>
      <c r="H71" s="325"/>
      <c r="I71" s="1501"/>
      <c r="J71" s="1094"/>
      <c r="K71" s="1225"/>
      <c r="L71" s="5"/>
    </row>
    <row r="72" spans="2:34" ht="17.5" x14ac:dyDescent="0.35">
      <c r="B72" s="461" t="s">
        <v>796</v>
      </c>
      <c r="C72" s="435"/>
      <c r="D72" s="435"/>
      <c r="E72" s="326"/>
      <c r="F72" s="323"/>
      <c r="G72" s="327"/>
      <c r="H72" s="435"/>
      <c r="I72" s="326"/>
      <c r="J72" s="326"/>
      <c r="K72" s="1518"/>
      <c r="L72" s="5"/>
    </row>
    <row r="73" spans="2:34" ht="15.5" x14ac:dyDescent="0.35">
      <c r="B73" s="1193" t="s">
        <v>1008</v>
      </c>
      <c r="C73" s="2540"/>
      <c r="D73" s="2540"/>
      <c r="E73" s="1094"/>
      <c r="F73" s="2535" t="str">
        <f>IF(U255=3,"Amount of carbon sequestered using other tools","")</f>
        <v/>
      </c>
      <c r="G73" s="2535"/>
      <c r="H73" s="1565" t="str">
        <f>IF('Baseline farm'!H73=0,"",'Baseline farm'!H73)</f>
        <v/>
      </c>
      <c r="I73" s="1563" t="str">
        <f>IF(U255=3,"t CO2e/ha.annum","")</f>
        <v/>
      </c>
      <c r="J73" s="1623"/>
      <c r="K73" s="1225"/>
      <c r="L73" s="5"/>
    </row>
    <row r="74" spans="2:34" ht="15.5" x14ac:dyDescent="0.35">
      <c r="B74" s="883"/>
      <c r="C74" s="419"/>
      <c r="D74" s="1091"/>
      <c r="E74" s="1094"/>
      <c r="F74" s="1095"/>
      <c r="G74" s="1095"/>
      <c r="H74" s="1091"/>
      <c r="I74" s="1094"/>
      <c r="J74" s="1094"/>
      <c r="K74" s="1225"/>
      <c r="L74" s="5"/>
    </row>
    <row r="75" spans="2:34" s="879" customFormat="1" ht="15.5" x14ac:dyDescent="0.35">
      <c r="B75" s="1570" t="s">
        <v>869</v>
      </c>
      <c r="C75" s="2540"/>
      <c r="D75" s="2540"/>
      <c r="E75" s="1094"/>
      <c r="F75" s="1095"/>
      <c r="G75" s="1095"/>
      <c r="H75" s="1091"/>
      <c r="I75" s="1094"/>
      <c r="J75" s="1094"/>
      <c r="K75" s="1225"/>
      <c r="L75" s="993"/>
    </row>
    <row r="76" spans="2:34" s="879" customFormat="1" ht="15.5" x14ac:dyDescent="0.35">
      <c r="B76" s="883"/>
      <c r="C76" s="419"/>
      <c r="D76" s="1091"/>
      <c r="E76" s="1094"/>
      <c r="F76" s="1095"/>
      <c r="G76" s="1095"/>
      <c r="H76" s="1091"/>
      <c r="I76" s="1094"/>
      <c r="J76" s="1094"/>
      <c r="K76" s="1225"/>
      <c r="L76" s="993"/>
    </row>
    <row r="77" spans="2:34" ht="15.5" x14ac:dyDescent="0.35">
      <c r="B77" s="456" t="s">
        <v>555</v>
      </c>
      <c r="C77" s="2540"/>
      <c r="D77" s="2540"/>
      <c r="E77" s="1095"/>
      <c r="F77" s="1095"/>
      <c r="G77" s="1095"/>
      <c r="H77" s="1095"/>
      <c r="I77" s="1094"/>
      <c r="J77" s="1094"/>
      <c r="K77" s="1225"/>
      <c r="L77" s="5"/>
      <c r="M77" s="440"/>
      <c r="AA77" s="55"/>
      <c r="AB77" s="55"/>
      <c r="AC77" s="55"/>
      <c r="AD77" s="55"/>
      <c r="AE77" s="55"/>
      <c r="AF77" s="55"/>
      <c r="AG77" s="55"/>
      <c r="AH77" s="55"/>
    </row>
    <row r="78" spans="2:34" ht="15.5" x14ac:dyDescent="0.35">
      <c r="B78" s="883"/>
      <c r="C78" s="419"/>
      <c r="D78" s="1091"/>
      <c r="E78" s="1094"/>
      <c r="F78" s="1095"/>
      <c r="G78" s="1095"/>
      <c r="H78" s="1091"/>
      <c r="I78" s="1094"/>
      <c r="J78" s="1094"/>
      <c r="K78" s="1225"/>
      <c r="L78" s="5"/>
      <c r="M78" s="440"/>
      <c r="AA78" s="55"/>
      <c r="AB78" s="55"/>
      <c r="AC78" s="55"/>
      <c r="AD78" s="55"/>
      <c r="AE78" s="55"/>
      <c r="AF78" s="55"/>
      <c r="AG78" s="55"/>
      <c r="AH78" s="55"/>
    </row>
    <row r="79" spans="2:34" ht="15.5" x14ac:dyDescent="0.35">
      <c r="B79" s="1195" t="s">
        <v>1567</v>
      </c>
      <c r="C79" s="2540"/>
      <c r="D79" s="2540"/>
      <c r="E79" s="1094"/>
      <c r="F79" s="1094" t="s">
        <v>1919</v>
      </c>
      <c r="G79" s="898">
        <f>'Baseline farm'!G79</f>
        <v>0</v>
      </c>
      <c r="H79" s="1231" t="s">
        <v>1569</v>
      </c>
      <c r="I79" s="1489">
        <f>'Baseline farm'!I79</f>
        <v>0</v>
      </c>
      <c r="J79" s="1094"/>
      <c r="K79" s="1225"/>
      <c r="L79" s="5"/>
      <c r="M79" s="440"/>
      <c r="AA79" s="55"/>
      <c r="AB79" s="55"/>
      <c r="AC79" s="55"/>
      <c r="AD79" s="55"/>
      <c r="AE79" s="55"/>
      <c r="AF79" s="55"/>
      <c r="AG79" s="55"/>
      <c r="AH79" s="55"/>
    </row>
    <row r="80" spans="2:34" ht="15.5" x14ac:dyDescent="0.35">
      <c r="B80" s="651"/>
      <c r="C80" s="325"/>
      <c r="D80" s="325"/>
      <c r="E80" s="325"/>
      <c r="F80" s="325"/>
      <c r="G80" s="325"/>
      <c r="H80" s="325"/>
      <c r="I80" s="1501"/>
      <c r="J80" s="1094"/>
      <c r="K80" s="1225"/>
      <c r="L80" s="5"/>
      <c r="M80" s="440"/>
      <c r="AA80" s="55"/>
      <c r="AB80" s="55"/>
      <c r="AC80" s="55"/>
      <c r="AD80" s="55"/>
      <c r="AE80" s="55"/>
      <c r="AF80" s="55"/>
      <c r="AG80" s="55"/>
      <c r="AH80" s="55"/>
    </row>
    <row r="81" spans="1:34" ht="17.5" x14ac:dyDescent="0.35">
      <c r="A81" s="55"/>
      <c r="B81" s="641" t="s">
        <v>861</v>
      </c>
      <c r="C81" s="642"/>
      <c r="D81" s="642"/>
      <c r="E81" s="642"/>
      <c r="F81" s="642"/>
      <c r="G81" s="642"/>
      <c r="H81" s="642"/>
      <c r="I81" s="642"/>
      <c r="J81" s="642"/>
      <c r="K81" s="1514"/>
      <c r="L81" s="5"/>
      <c r="N81" s="440"/>
    </row>
    <row r="82" spans="1:34" ht="15.5" x14ac:dyDescent="0.35">
      <c r="A82" s="55"/>
      <c r="B82" s="439"/>
      <c r="C82" s="2572" t="s">
        <v>863</v>
      </c>
      <c r="D82" s="2572"/>
      <c r="E82" s="2572"/>
      <c r="F82" s="2530" t="s">
        <v>865</v>
      </c>
      <c r="G82" s="2530"/>
      <c r="H82" s="834" t="s">
        <v>1222</v>
      </c>
      <c r="I82" s="1502" t="e">
        <f>D292</f>
        <v>#DIV/0!</v>
      </c>
      <c r="J82" s="1638" t="s">
        <v>2009</v>
      </c>
      <c r="K82" s="1286"/>
      <c r="L82" s="5"/>
      <c r="N82" s="440"/>
    </row>
    <row r="83" spans="1:34" ht="15.65" customHeight="1" x14ac:dyDescent="0.35">
      <c r="A83" s="55"/>
      <c r="B83" s="2571" t="s">
        <v>909</v>
      </c>
      <c r="C83" s="644"/>
      <c r="D83" s="644"/>
      <c r="E83" s="644"/>
      <c r="F83" s="644"/>
      <c r="G83" s="644"/>
      <c r="H83" s="644"/>
      <c r="I83" s="1224"/>
      <c r="J83" s="1224"/>
      <c r="K83" s="1223"/>
      <c r="L83" s="5"/>
      <c r="N83" s="440"/>
    </row>
    <row r="84" spans="1:34" ht="15.5" x14ac:dyDescent="0.35">
      <c r="A84" s="55"/>
      <c r="B84" s="2571"/>
      <c r="C84" s="877" t="s">
        <v>1235</v>
      </c>
      <c r="D84" s="877" t="s">
        <v>1236</v>
      </c>
      <c r="E84" s="877" t="s">
        <v>1237</v>
      </c>
      <c r="F84" s="877" t="s">
        <v>226</v>
      </c>
      <c r="G84" s="877" t="s">
        <v>227</v>
      </c>
      <c r="H84" s="877"/>
      <c r="I84" s="1198"/>
      <c r="J84" s="1198"/>
      <c r="K84" s="1223"/>
      <c r="L84" s="5"/>
      <c r="N84" s="440"/>
    </row>
    <row r="85" spans="1:34" ht="15.5" x14ac:dyDescent="0.35">
      <c r="A85" s="55"/>
      <c r="B85" s="438" t="s">
        <v>451</v>
      </c>
      <c r="C85" s="470" t="e">
        <f>AI273</f>
        <v>#N/A</v>
      </c>
      <c r="D85" s="906" t="e">
        <f>AJ273</f>
        <v>#N/A</v>
      </c>
      <c r="E85" s="906" t="e">
        <f>AK273</f>
        <v>#N/A</v>
      </c>
      <c r="F85" s="906" t="e">
        <f>AM273</f>
        <v>#N/A</v>
      </c>
      <c r="G85" s="896" t="e">
        <f>AH273</f>
        <v>#N/A</v>
      </c>
      <c r="H85" s="470"/>
      <c r="I85" s="1202"/>
      <c r="J85" s="1202"/>
      <c r="K85" s="1223"/>
      <c r="L85" s="5"/>
      <c r="N85" s="440"/>
    </row>
    <row r="86" spans="1:34" ht="15.5" x14ac:dyDescent="0.35">
      <c r="A86" s="55"/>
      <c r="B86" s="438" t="s">
        <v>862</v>
      </c>
      <c r="C86" s="470">
        <f>AI276</f>
        <v>0</v>
      </c>
      <c r="D86" s="896">
        <f>AJ276</f>
        <v>0</v>
      </c>
      <c r="E86" s="896">
        <f>AK276</f>
        <v>0</v>
      </c>
      <c r="F86" s="896">
        <f>AM276</f>
        <v>0</v>
      </c>
      <c r="G86" s="896">
        <f>AH276</f>
        <v>100</v>
      </c>
      <c r="H86" s="470"/>
      <c r="I86" s="1202"/>
      <c r="J86" s="1202"/>
      <c r="K86" s="1223"/>
      <c r="L86" s="5"/>
      <c r="N86" s="440"/>
    </row>
    <row r="87" spans="1:34" ht="15.5" x14ac:dyDescent="0.35">
      <c r="A87" s="55"/>
      <c r="B87" s="439"/>
      <c r="C87" s="644"/>
      <c r="D87" s="644"/>
      <c r="E87" s="644"/>
      <c r="F87" s="644"/>
      <c r="G87" s="644"/>
      <c r="H87" s="644"/>
      <c r="I87" s="1224"/>
      <c r="J87" s="1224"/>
      <c r="K87" s="1223"/>
      <c r="L87" s="5"/>
      <c r="N87" s="440"/>
    </row>
    <row r="88" spans="1:34" ht="15.65" customHeight="1" x14ac:dyDescent="0.35">
      <c r="A88" s="55"/>
      <c r="B88" s="2585" t="s">
        <v>941</v>
      </c>
      <c r="C88" s="2586"/>
      <c r="D88" s="2586"/>
      <c r="E88" s="2586"/>
      <c r="F88" s="2586"/>
      <c r="G88" s="2586"/>
      <c r="H88" s="2586"/>
      <c r="I88" s="2586"/>
      <c r="J88" s="1625"/>
      <c r="K88" s="1223"/>
      <c r="L88" s="5"/>
      <c r="N88" s="440"/>
    </row>
    <row r="89" spans="1:34" ht="15.65" customHeight="1" x14ac:dyDescent="0.35">
      <c r="A89" s="55"/>
      <c r="B89" s="2585"/>
      <c r="C89" s="2586"/>
      <c r="D89" s="2586"/>
      <c r="E89" s="2586"/>
      <c r="F89" s="2586"/>
      <c r="G89" s="2586"/>
      <c r="H89" s="2586"/>
      <c r="I89" s="2586"/>
      <c r="J89" s="1625"/>
      <c r="K89" s="1223"/>
      <c r="L89" s="5"/>
      <c r="N89" s="440"/>
    </row>
    <row r="90" spans="1:34" ht="16.5" x14ac:dyDescent="0.35">
      <c r="A90" s="55"/>
      <c r="B90" s="2585"/>
      <c r="C90" s="2586"/>
      <c r="D90" s="2586"/>
      <c r="E90" s="2586"/>
      <c r="F90" s="2586"/>
      <c r="G90" s="2586"/>
      <c r="H90" s="2586"/>
      <c r="I90" s="2586"/>
      <c r="J90" s="1625"/>
      <c r="K90" s="1223"/>
      <c r="L90" s="5"/>
      <c r="N90" s="440"/>
    </row>
    <row r="91" spans="1:34" ht="15.5" x14ac:dyDescent="0.35">
      <c r="A91" s="55"/>
      <c r="B91" s="439" t="s">
        <v>451</v>
      </c>
      <c r="C91" s="434"/>
      <c r="D91" s="434"/>
      <c r="E91" s="434"/>
      <c r="F91" s="434"/>
      <c r="G91" s="445" t="s">
        <v>870</v>
      </c>
      <c r="H91" s="460" t="s">
        <v>871</v>
      </c>
      <c r="I91" s="1091"/>
      <c r="J91" s="1091"/>
      <c r="K91" s="1223"/>
      <c r="L91" s="5"/>
      <c r="N91" s="440"/>
    </row>
    <row r="92" spans="1:34" s="55" customFormat="1" ht="15.5" x14ac:dyDescent="0.35">
      <c r="A92" s="432"/>
      <c r="B92" s="421" t="s">
        <v>1223</v>
      </c>
      <c r="C92" s="434"/>
      <c r="D92" s="434"/>
      <c r="E92" s="434"/>
      <c r="F92" s="652"/>
      <c r="G92" s="899">
        <f>'Baseline farm'!G92</f>
        <v>0</v>
      </c>
      <c r="H92" s="899">
        <f>'Baseline farm'!H92</f>
        <v>0</v>
      </c>
      <c r="I92" s="1091"/>
      <c r="J92" s="1091"/>
      <c r="K92" s="1225"/>
      <c r="L92" s="5"/>
      <c r="M92" s="432"/>
      <c r="N92" s="432"/>
      <c r="O92" s="432"/>
      <c r="P92" s="432"/>
      <c r="Q92" s="432"/>
      <c r="R92" s="432"/>
      <c r="S92" s="432"/>
      <c r="T92" s="432"/>
      <c r="U92" s="432"/>
      <c r="V92" s="432"/>
      <c r="W92" s="432"/>
      <c r="X92" s="432"/>
      <c r="Y92" s="432"/>
      <c r="Z92" s="432"/>
      <c r="AA92" s="432"/>
      <c r="AB92" s="432"/>
      <c r="AC92" s="432"/>
      <c r="AD92" s="432"/>
      <c r="AE92" s="432"/>
      <c r="AF92" s="432"/>
      <c r="AG92" s="432"/>
      <c r="AH92" s="432"/>
    </row>
    <row r="93" spans="1:34" s="55" customFormat="1" ht="15.5" x14ac:dyDescent="0.35">
      <c r="A93" s="432"/>
      <c r="B93" s="421"/>
      <c r="C93" s="434"/>
      <c r="D93" s="434"/>
      <c r="E93" s="434"/>
      <c r="F93" s="434"/>
      <c r="G93" s="434"/>
      <c r="H93" s="648"/>
      <c r="I93" s="1091"/>
      <c r="J93" s="1091"/>
      <c r="K93" s="1225"/>
      <c r="L93" s="5"/>
      <c r="M93" s="432"/>
      <c r="N93" s="432"/>
      <c r="O93" s="432"/>
      <c r="P93" s="432"/>
      <c r="Q93" s="432"/>
      <c r="R93" s="432"/>
      <c r="S93" s="432"/>
      <c r="T93" s="432"/>
      <c r="U93" s="432"/>
      <c r="V93" s="432"/>
      <c r="W93" s="432"/>
      <c r="X93" s="432"/>
      <c r="Y93" s="432"/>
      <c r="Z93" s="432"/>
      <c r="AA93" s="432"/>
      <c r="AB93" s="432"/>
      <c r="AC93" s="432"/>
      <c r="AD93" s="432"/>
      <c r="AE93" s="432"/>
      <c r="AF93" s="432"/>
      <c r="AG93" s="432"/>
      <c r="AH93" s="432"/>
    </row>
    <row r="94" spans="1:34" s="55" customFormat="1" ht="15.5" x14ac:dyDescent="0.35">
      <c r="A94" s="432"/>
      <c r="B94" s="886" t="s">
        <v>1240</v>
      </c>
      <c r="C94" s="881"/>
      <c r="D94" s="881"/>
      <c r="E94" s="881"/>
      <c r="F94" s="881"/>
      <c r="G94" s="898">
        <f>'Baseline farm'!G94</f>
        <v>0</v>
      </c>
      <c r="H94" s="887" t="s">
        <v>222</v>
      </c>
      <c r="I94" s="1091"/>
      <c r="J94" s="1091"/>
      <c r="K94" s="1225"/>
      <c r="L94" s="5"/>
      <c r="M94" s="432"/>
      <c r="N94" s="432"/>
      <c r="O94" s="432"/>
      <c r="P94" s="432"/>
      <c r="Q94" s="432"/>
      <c r="R94" s="432"/>
      <c r="S94" s="432"/>
      <c r="T94" s="432"/>
      <c r="U94" s="432"/>
      <c r="V94" s="432"/>
      <c r="W94" s="432"/>
      <c r="X94" s="432"/>
      <c r="Y94" s="432"/>
      <c r="Z94" s="432"/>
      <c r="AA94" s="432"/>
      <c r="AB94" s="432"/>
      <c r="AC94" s="432"/>
      <c r="AD94" s="432"/>
      <c r="AE94" s="432"/>
      <c r="AF94" s="432"/>
      <c r="AG94" s="432"/>
      <c r="AH94" s="432"/>
    </row>
    <row r="95" spans="1:34" s="55" customFormat="1" ht="15.5" x14ac:dyDescent="0.35">
      <c r="A95" s="432"/>
      <c r="B95" s="883" t="s">
        <v>1540</v>
      </c>
      <c r="C95" s="506"/>
      <c r="D95" s="506"/>
      <c r="E95" s="506"/>
      <c r="F95" s="323"/>
      <c r="G95" s="899">
        <f>'Baseline farm'!G95</f>
        <v>0</v>
      </c>
      <c r="H95" s="748" t="s">
        <v>222</v>
      </c>
      <c r="I95" s="1491"/>
      <c r="J95" s="1619"/>
      <c r="K95" s="1225"/>
      <c r="L95" s="5"/>
      <c r="M95" s="432"/>
      <c r="N95" s="432"/>
      <c r="O95" s="432"/>
      <c r="P95" s="432"/>
      <c r="Q95" s="432"/>
      <c r="R95" s="432"/>
      <c r="S95" s="432"/>
      <c r="T95" s="432"/>
      <c r="U95" s="432"/>
      <c r="V95" s="432"/>
      <c r="W95" s="432"/>
      <c r="X95" s="432"/>
      <c r="Y95" s="432"/>
      <c r="Z95" s="432"/>
      <c r="AA95" s="432"/>
      <c r="AB95" s="432"/>
      <c r="AC95" s="432"/>
      <c r="AD95" s="432"/>
      <c r="AE95" s="432"/>
      <c r="AF95" s="432"/>
      <c r="AG95" s="432"/>
      <c r="AH95" s="432"/>
    </row>
    <row r="96" spans="1:34" s="55" customFormat="1" ht="15.5" x14ac:dyDescent="0.35">
      <c r="A96" s="432"/>
      <c r="B96" s="885" t="s">
        <v>1239</v>
      </c>
      <c r="C96" s="506"/>
      <c r="D96" s="506"/>
      <c r="E96" s="506"/>
      <c r="F96" s="323"/>
      <c r="G96" s="895">
        <f>(100-SUM(G94:G95))</f>
        <v>100</v>
      </c>
      <c r="H96" s="888" t="s">
        <v>222</v>
      </c>
      <c r="I96" s="1491"/>
      <c r="J96" s="1619"/>
      <c r="K96" s="1225"/>
      <c r="L96" s="5"/>
      <c r="M96" s="432"/>
      <c r="N96" s="432"/>
      <c r="O96" s="432"/>
      <c r="P96" s="432"/>
      <c r="Q96" s="432"/>
      <c r="R96" s="432"/>
      <c r="S96" s="432"/>
      <c r="T96" s="432"/>
      <c r="U96" s="432"/>
      <c r="V96" s="432"/>
      <c r="W96" s="432"/>
      <c r="X96" s="432"/>
      <c r="Y96" s="432"/>
      <c r="Z96" s="432"/>
      <c r="AA96" s="432"/>
      <c r="AB96" s="432"/>
      <c r="AC96" s="432"/>
      <c r="AD96" s="432"/>
      <c r="AE96" s="432"/>
      <c r="AF96" s="432"/>
      <c r="AG96" s="432"/>
      <c r="AH96" s="432"/>
    </row>
    <row r="97" spans="1:34" s="880" customFormat="1" ht="15.5" x14ac:dyDescent="0.35">
      <c r="A97" s="879"/>
      <c r="B97" s="885"/>
      <c r="C97" s="884"/>
      <c r="D97" s="884"/>
      <c r="E97" s="884"/>
      <c r="F97" s="882"/>
      <c r="G97" s="884"/>
      <c r="H97" s="884"/>
      <c r="I97" s="1491"/>
      <c r="J97" s="1619"/>
      <c r="K97" s="1225"/>
      <c r="L97" s="878"/>
      <c r="M97" s="879"/>
      <c r="N97" s="879"/>
      <c r="O97" s="879"/>
      <c r="P97" s="879"/>
      <c r="Q97" s="879"/>
      <c r="R97" s="879"/>
      <c r="S97" s="879"/>
      <c r="T97" s="879"/>
      <c r="U97" s="879"/>
      <c r="V97" s="879"/>
      <c r="W97" s="879"/>
      <c r="X97" s="879"/>
      <c r="Y97" s="879"/>
      <c r="Z97" s="879"/>
      <c r="AA97" s="879"/>
      <c r="AB97" s="879"/>
      <c r="AC97" s="879"/>
      <c r="AD97" s="879"/>
      <c r="AE97" s="879"/>
      <c r="AF97" s="879"/>
      <c r="AG97" s="879"/>
      <c r="AH97" s="879"/>
    </row>
    <row r="98" spans="1:34" s="55" customFormat="1" ht="15.5" x14ac:dyDescent="0.35">
      <c r="A98" s="432"/>
      <c r="B98" s="438" t="s">
        <v>1541</v>
      </c>
      <c r="C98" s="506"/>
      <c r="D98" s="506"/>
      <c r="E98" s="506"/>
      <c r="F98" s="323"/>
      <c r="G98" s="900">
        <f>'Baseline farm'!G98</f>
        <v>0</v>
      </c>
      <c r="H98" s="506"/>
      <c r="I98" s="1491"/>
      <c r="J98" s="1619"/>
      <c r="K98" s="1225"/>
      <c r="L98" s="5"/>
      <c r="M98" s="432"/>
      <c r="N98" s="432"/>
      <c r="O98" s="432"/>
      <c r="P98" s="432"/>
      <c r="Q98" s="432"/>
      <c r="R98" s="432"/>
      <c r="S98" s="432"/>
      <c r="T98" s="432"/>
      <c r="U98" s="432"/>
      <c r="V98" s="432"/>
      <c r="W98" s="432"/>
      <c r="X98" s="432"/>
      <c r="Y98" s="432"/>
      <c r="Z98" s="432"/>
      <c r="AA98" s="432"/>
      <c r="AB98" s="432"/>
      <c r="AC98" s="432"/>
      <c r="AD98" s="432"/>
      <c r="AE98" s="432"/>
      <c r="AF98" s="432"/>
      <c r="AG98" s="432"/>
      <c r="AH98" s="432"/>
    </row>
    <row r="99" spans="1:34" s="55" customFormat="1" ht="15.5" x14ac:dyDescent="0.35">
      <c r="A99" s="432"/>
      <c r="B99" s="438"/>
      <c r="C99" s="506"/>
      <c r="D99" s="506"/>
      <c r="E99" s="506"/>
      <c r="F99" s="506"/>
      <c r="G99" s="445" t="s">
        <v>870</v>
      </c>
      <c r="H99" s="445" t="s">
        <v>871</v>
      </c>
      <c r="I99" s="1491"/>
      <c r="J99" s="1619"/>
      <c r="K99" s="1225"/>
      <c r="L99" s="5"/>
      <c r="M99" s="432"/>
      <c r="N99" s="432"/>
      <c r="O99" s="432"/>
      <c r="P99" s="432"/>
      <c r="Q99" s="432"/>
      <c r="R99" s="432"/>
      <c r="S99" s="432"/>
      <c r="T99" s="432"/>
      <c r="U99" s="432"/>
      <c r="V99" s="432"/>
      <c r="W99" s="432"/>
      <c r="X99" s="432"/>
      <c r="Y99" s="432"/>
      <c r="Z99" s="432"/>
      <c r="AA99" s="432"/>
      <c r="AB99" s="432"/>
      <c r="AC99" s="432"/>
      <c r="AD99" s="432"/>
      <c r="AE99" s="432"/>
      <c r="AF99" s="432"/>
      <c r="AG99" s="432"/>
      <c r="AH99" s="432"/>
    </row>
    <row r="100" spans="1:34" s="55" customFormat="1" ht="15.5" x14ac:dyDescent="0.35">
      <c r="A100" s="432"/>
      <c r="B100" s="438" t="s">
        <v>1224</v>
      </c>
      <c r="C100" s="506"/>
      <c r="D100" s="506"/>
      <c r="E100" s="506"/>
      <c r="F100" s="506"/>
      <c r="G100" s="899">
        <f>'Baseline farm'!G100</f>
        <v>0</v>
      </c>
      <c r="H100" s="899">
        <f>'Baseline farm'!H100</f>
        <v>0</v>
      </c>
      <c r="I100" s="1491"/>
      <c r="J100" s="1619"/>
      <c r="K100" s="1225"/>
      <c r="L100" s="5"/>
      <c r="M100" s="432"/>
      <c r="N100" s="432"/>
      <c r="O100" s="432"/>
      <c r="P100" s="432"/>
      <c r="Q100" s="432"/>
      <c r="R100" s="432"/>
      <c r="S100" s="432"/>
      <c r="T100" s="432"/>
      <c r="U100" s="432"/>
      <c r="V100" s="432"/>
      <c r="W100" s="432"/>
      <c r="X100" s="432"/>
      <c r="Y100" s="432"/>
      <c r="Z100" s="432"/>
      <c r="AA100" s="432"/>
      <c r="AB100" s="432"/>
      <c r="AC100" s="432"/>
      <c r="AD100" s="432"/>
      <c r="AE100" s="432"/>
      <c r="AF100" s="432"/>
      <c r="AG100" s="432"/>
      <c r="AH100" s="432"/>
    </row>
    <row r="101" spans="1:34" s="55" customFormat="1" ht="15.5" x14ac:dyDescent="0.35">
      <c r="A101" s="432"/>
      <c r="B101" s="438"/>
      <c r="C101" s="506"/>
      <c r="D101" s="506"/>
      <c r="E101" s="506"/>
      <c r="F101" s="506"/>
      <c r="G101" s="506"/>
      <c r="H101" s="506"/>
      <c r="I101" s="1491"/>
      <c r="J101" s="1619"/>
      <c r="K101" s="1225"/>
      <c r="L101" s="5"/>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row>
    <row r="102" spans="1:34" s="55" customFormat="1" ht="15.5" x14ac:dyDescent="0.35">
      <c r="A102" s="432"/>
      <c r="B102" s="438" t="s">
        <v>1212</v>
      </c>
      <c r="C102" s="506"/>
      <c r="D102" s="506"/>
      <c r="E102" s="323"/>
      <c r="F102" s="2558">
        <f>'Baseline farm'!F102</f>
        <v>0</v>
      </c>
      <c r="G102" s="2558"/>
      <c r="H102" s="445" t="s">
        <v>2004</v>
      </c>
      <c r="I102" s="1503" t="e">
        <f>AO273</f>
        <v>#N/A</v>
      </c>
      <c r="J102" s="1633" t="s">
        <v>222</v>
      </c>
      <c r="K102" s="1517"/>
      <c r="L102" s="5"/>
      <c r="M102" s="432"/>
      <c r="N102" s="432"/>
      <c r="O102" s="432"/>
      <c r="P102" s="432"/>
      <c r="Q102" s="432"/>
      <c r="R102" s="432"/>
      <c r="S102" s="432"/>
      <c r="T102" s="432"/>
      <c r="U102" s="432"/>
      <c r="V102" s="432"/>
      <c r="W102" s="432"/>
      <c r="X102" s="432"/>
      <c r="Y102" s="432"/>
      <c r="Z102" s="432"/>
      <c r="AA102" s="432"/>
      <c r="AB102" s="432"/>
      <c r="AC102" s="432"/>
      <c r="AD102" s="432"/>
      <c r="AE102" s="432"/>
      <c r="AF102" s="432"/>
      <c r="AG102" s="432"/>
      <c r="AH102" s="432"/>
    </row>
    <row r="103" spans="1:34" s="55" customFormat="1" ht="15.5" x14ac:dyDescent="0.35">
      <c r="A103" s="432"/>
      <c r="B103" s="439"/>
      <c r="C103" s="506"/>
      <c r="D103" s="506"/>
      <c r="E103" s="506"/>
      <c r="F103" s="506"/>
      <c r="G103" s="506"/>
      <c r="H103" s="506"/>
      <c r="I103" s="1491"/>
      <c r="J103" s="1624"/>
      <c r="K103" s="1225"/>
      <c r="L103" s="5"/>
      <c r="M103" s="432"/>
      <c r="N103" s="432"/>
      <c r="O103" s="432"/>
      <c r="P103" s="432"/>
      <c r="Q103" s="432"/>
      <c r="R103" s="432"/>
      <c r="S103" s="432"/>
      <c r="T103" s="432"/>
      <c r="U103" s="432"/>
      <c r="V103" s="432"/>
      <c r="W103" s="432"/>
      <c r="X103" s="432"/>
      <c r="Y103" s="432"/>
      <c r="Z103" s="432"/>
      <c r="AA103" s="432"/>
      <c r="AB103" s="432"/>
      <c r="AC103" s="432"/>
      <c r="AD103" s="432"/>
      <c r="AE103" s="432"/>
      <c r="AF103" s="432"/>
      <c r="AG103" s="432"/>
      <c r="AH103" s="432"/>
    </row>
    <row r="104" spans="1:34" s="55" customFormat="1" ht="15.5" x14ac:dyDescent="0.35">
      <c r="A104" s="432"/>
      <c r="B104" s="439" t="s">
        <v>876</v>
      </c>
      <c r="C104" s="506"/>
      <c r="D104" s="506"/>
      <c r="E104" s="506"/>
      <c r="F104" s="506"/>
      <c r="G104" s="445" t="s">
        <v>870</v>
      </c>
      <c r="H104" s="445" t="s">
        <v>871</v>
      </c>
      <c r="I104" s="1491"/>
      <c r="J104" s="1624"/>
      <c r="K104" s="1225"/>
      <c r="L104" s="5"/>
      <c r="M104" s="432"/>
      <c r="N104" s="432"/>
      <c r="O104" s="432"/>
      <c r="P104" s="432"/>
      <c r="Q104" s="432"/>
      <c r="R104" s="432"/>
      <c r="S104" s="432"/>
      <c r="T104" s="432"/>
      <c r="U104" s="432"/>
      <c r="V104" s="432"/>
      <c r="W104" s="432"/>
      <c r="X104" s="432"/>
      <c r="Y104" s="432"/>
      <c r="Z104" s="432"/>
      <c r="AA104" s="432"/>
      <c r="AB104" s="432"/>
      <c r="AC104" s="432"/>
      <c r="AD104" s="432"/>
      <c r="AE104" s="432"/>
      <c r="AF104" s="432"/>
      <c r="AG104" s="432"/>
      <c r="AH104" s="432"/>
    </row>
    <row r="105" spans="1:34" ht="15.5" x14ac:dyDescent="0.35">
      <c r="B105" s="1193" t="s">
        <v>989</v>
      </c>
      <c r="C105" s="506"/>
      <c r="D105" s="506"/>
      <c r="E105" s="506"/>
      <c r="F105" s="506"/>
      <c r="G105" s="899">
        <f>'Baseline farm'!G105</f>
        <v>0</v>
      </c>
      <c r="H105" s="899">
        <f>'Baseline farm'!H105</f>
        <v>0</v>
      </c>
      <c r="I105" s="1491"/>
      <c r="J105" s="1624"/>
      <c r="K105" s="1225"/>
      <c r="L105" s="5"/>
    </row>
    <row r="106" spans="1:34" x14ac:dyDescent="0.35">
      <c r="B106" s="459"/>
      <c r="C106" s="653"/>
      <c r="D106" s="653"/>
      <c r="E106" s="653"/>
      <c r="F106" s="653"/>
      <c r="G106" s="653"/>
      <c r="H106" s="653"/>
      <c r="I106" s="1233"/>
      <c r="J106" s="1650"/>
      <c r="K106" s="1225"/>
      <c r="L106" s="5"/>
    </row>
    <row r="107" spans="1:34" ht="15.5" x14ac:dyDescent="0.35">
      <c r="B107" s="1193" t="s">
        <v>872</v>
      </c>
      <c r="C107" s="1233"/>
      <c r="D107" s="1233"/>
      <c r="E107" s="1224"/>
      <c r="F107" s="2530">
        <f>'Baseline farm'!F107</f>
        <v>0</v>
      </c>
      <c r="G107" s="2530"/>
      <c r="H107" s="1198" t="s">
        <v>2004</v>
      </c>
      <c r="I107" s="1502">
        <f>AO276</f>
        <v>1</v>
      </c>
      <c r="J107" s="1638" t="s">
        <v>222</v>
      </c>
      <c r="K107" s="1225"/>
      <c r="L107" s="5"/>
    </row>
    <row r="108" spans="1:34" s="879" customFormat="1" ht="15.5" x14ac:dyDescent="0.35">
      <c r="B108" s="1230"/>
      <c r="C108" s="1525"/>
      <c r="D108" s="1525"/>
      <c r="E108" s="1727"/>
      <c r="F108" s="1727"/>
      <c r="G108" s="1727"/>
      <c r="H108" s="1722"/>
      <c r="I108" s="1723"/>
      <c r="J108" s="1634"/>
      <c r="K108" s="1526"/>
      <c r="L108" s="993"/>
    </row>
    <row r="109" spans="1:34" x14ac:dyDescent="0.35">
      <c r="B109" s="5"/>
      <c r="C109" s="5"/>
      <c r="D109" s="5"/>
      <c r="E109" s="5"/>
      <c r="F109" s="5"/>
      <c r="G109" s="5"/>
      <c r="H109" s="5"/>
      <c r="I109" s="5"/>
      <c r="J109" s="1516"/>
      <c r="K109" s="5"/>
    </row>
    <row r="110" spans="1:34" ht="15.5" x14ac:dyDescent="0.35">
      <c r="B110" s="656" t="s">
        <v>1014</v>
      </c>
      <c r="C110" s="5"/>
      <c r="D110" s="5"/>
      <c r="E110" s="5"/>
      <c r="F110" s="5"/>
      <c r="G110" s="5"/>
      <c r="H110" s="5"/>
      <c r="I110" s="5"/>
      <c r="J110" s="5"/>
      <c r="K110" s="5"/>
    </row>
    <row r="111" spans="1:34" ht="25.15" customHeight="1" x14ac:dyDescent="0.35">
      <c r="B111" s="2569"/>
      <c r="C111" s="2570"/>
      <c r="D111" s="2561" t="s">
        <v>212</v>
      </c>
      <c r="E111" s="2561" t="s">
        <v>1955</v>
      </c>
      <c r="F111" s="2561" t="s">
        <v>1956</v>
      </c>
      <c r="G111" s="2561" t="s">
        <v>1007</v>
      </c>
      <c r="H111" s="2563" t="s">
        <v>1987</v>
      </c>
      <c r="I111" s="2563" t="s">
        <v>1988</v>
      </c>
      <c r="J111" s="2561" t="s">
        <v>425</v>
      </c>
      <c r="K111" s="2563" t="s">
        <v>965</v>
      </c>
      <c r="L111" s="2559" t="s">
        <v>2072</v>
      </c>
    </row>
    <row r="112" spans="1:34" ht="25.15" customHeight="1" x14ac:dyDescent="0.35">
      <c r="B112" s="1542"/>
      <c r="C112" s="1543"/>
      <c r="D112" s="2562"/>
      <c r="E112" s="2562"/>
      <c r="F112" s="2562"/>
      <c r="G112" s="2562"/>
      <c r="H112" s="2564"/>
      <c r="I112" s="2564"/>
      <c r="J112" s="2562"/>
      <c r="K112" s="2564"/>
      <c r="L112" s="2560"/>
    </row>
    <row r="113" spans="1:26" ht="15.5" x14ac:dyDescent="0.35">
      <c r="B113" s="844" t="s">
        <v>1966</v>
      </c>
      <c r="C113" s="1216" t="s">
        <v>420</v>
      </c>
      <c r="D113" s="1280" t="e">
        <f>D280*'Emission factors'!$C$4*10^3</f>
        <v>#DIV/0!</v>
      </c>
      <c r="E113" s="1375">
        <f>E280*'Emission factors'!$C$4*10^3</f>
        <v>0</v>
      </c>
      <c r="F113" s="1280">
        <f>(F280+I280)*'Emission factors'!$C$4*10^3</f>
        <v>0</v>
      </c>
      <c r="G113" s="1280">
        <f>G280*'Emission factors'!$C$4*10^3</f>
        <v>0</v>
      </c>
      <c r="H113" s="1280">
        <f>(H280+J280)*'Emission factors'!$C$4*10^3</f>
        <v>0</v>
      </c>
      <c r="I113" s="1375">
        <f>K280*'Emission factors'!$C$4*10^3</f>
        <v>0</v>
      </c>
      <c r="J113" s="1280"/>
      <c r="K113" s="1280" t="e">
        <f>SUM(D113:I113)</f>
        <v>#DIV/0!</v>
      </c>
      <c r="L113" s="846" t="e">
        <f t="shared" ref="L113:L127" si="0">K113/$K$129</f>
        <v>#DIV/0!</v>
      </c>
      <c r="M113" s="935"/>
      <c r="T113" s="440"/>
      <c r="U113" s="440"/>
      <c r="V113" s="55"/>
      <c r="W113" s="55"/>
      <c r="X113" s="55"/>
      <c r="Y113" s="55"/>
      <c r="Z113" s="55"/>
    </row>
    <row r="114" spans="1:26" ht="15.5" x14ac:dyDescent="0.35">
      <c r="B114" s="845"/>
      <c r="C114" s="994" t="s">
        <v>861</v>
      </c>
      <c r="D114" s="1280" t="e">
        <f>D305*'Emission factors'!$C$4*10^3</f>
        <v>#DIV/0!</v>
      </c>
      <c r="E114" s="1280">
        <f>E305*'Emission factors'!$C$4*10^3</f>
        <v>0</v>
      </c>
      <c r="F114" s="1280">
        <f>(F305+I305)*'Emission factors'!$C$4*10^3</f>
        <v>0</v>
      </c>
      <c r="G114" s="1280">
        <f>G305*'Emission factors'!$C$4*10^3</f>
        <v>0</v>
      </c>
      <c r="H114" s="1280">
        <f>(H305+J305)*'Emission factors'!$C$4*10^3</f>
        <v>0</v>
      </c>
      <c r="I114" s="1375">
        <f>K305*'Emission factors'!$C$4*10^3</f>
        <v>0</v>
      </c>
      <c r="J114" s="1280"/>
      <c r="K114" s="1375" t="e">
        <f t="shared" ref="K114:K117" si="1">SUM(D114:I114)</f>
        <v>#DIV/0!</v>
      </c>
      <c r="L114" s="846" t="e">
        <f t="shared" si="0"/>
        <v>#DIV/0!</v>
      </c>
      <c r="M114" s="935"/>
      <c r="T114" s="440"/>
      <c r="U114" s="440"/>
      <c r="V114" s="55"/>
      <c r="W114" s="55"/>
      <c r="X114" s="55"/>
      <c r="Y114" s="55"/>
      <c r="Z114" s="55"/>
    </row>
    <row r="115" spans="1:26" ht="15.5" x14ac:dyDescent="0.35">
      <c r="A115" s="55"/>
      <c r="B115" s="844" t="s">
        <v>1967</v>
      </c>
      <c r="C115" s="994" t="s">
        <v>1330</v>
      </c>
      <c r="D115" s="1280" t="e">
        <f>D492*'Emission factors'!$C$5*10^3</f>
        <v>#DIV/0!</v>
      </c>
      <c r="E115" s="1280" t="e">
        <f>E492*'Emission factors'!$C$5*10^3</f>
        <v>#N/A</v>
      </c>
      <c r="F115" s="1280" t="e">
        <f>(F492+I492)*'Emission factors'!$C$5*10^3</f>
        <v>#N/A</v>
      </c>
      <c r="G115" s="1280" t="e">
        <f>G492*'Emission factors'!$C$5*10^3</f>
        <v>#N/A</v>
      </c>
      <c r="H115" s="1280" t="e">
        <f>(H492+J492)*'Emission factors'!$C$5*10^3</f>
        <v>#N/A</v>
      </c>
      <c r="I115" s="1375" t="e">
        <f>K492*'Emission factors'!$C$5*10^3</f>
        <v>#N/A</v>
      </c>
      <c r="J115" s="1280"/>
      <c r="K115" s="1375" t="e">
        <f t="shared" si="1"/>
        <v>#DIV/0!</v>
      </c>
      <c r="L115" s="846" t="e">
        <f t="shared" si="0"/>
        <v>#DIV/0!</v>
      </c>
      <c r="M115" s="935"/>
      <c r="O115" s="316"/>
    </row>
    <row r="116" spans="1:26" ht="15.5" x14ac:dyDescent="0.35">
      <c r="A116" s="55"/>
      <c r="B116" s="845"/>
      <c r="C116" s="994" t="s">
        <v>1332</v>
      </c>
      <c r="D116" s="1280" t="e">
        <f>(D371+D447)*'Emission factors'!$C$5*10^3</f>
        <v>#DIV/0!</v>
      </c>
      <c r="E116" s="1280" t="e">
        <f>(E371+E447)*'Emission factors'!$C$5*10^3</f>
        <v>#N/A</v>
      </c>
      <c r="F116" s="1280" t="e">
        <f>(F371+F447+I371+I447)*'Emission factors'!$C$5*10^3</f>
        <v>#N/A</v>
      </c>
      <c r="G116" s="1280" t="e">
        <f>(G371+G447)*'Emission factors'!$C$5*10^3</f>
        <v>#N/A</v>
      </c>
      <c r="H116" s="1280" t="e">
        <f>(H371+H447+J371+J447)*'Emission factors'!$C$5*10^3</f>
        <v>#N/A</v>
      </c>
      <c r="I116" s="1375" t="e">
        <f>(K371+K447)*'Emission factors'!$C$5*10^3</f>
        <v>#N/A</v>
      </c>
      <c r="J116" s="1280"/>
      <c r="K116" s="1375" t="e">
        <f t="shared" si="1"/>
        <v>#DIV/0!</v>
      </c>
      <c r="L116" s="846" t="e">
        <f t="shared" si="0"/>
        <v>#DIV/0!</v>
      </c>
      <c r="M116" s="935"/>
      <c r="O116" s="316"/>
      <c r="P116" s="440"/>
      <c r="Q116" s="440"/>
      <c r="R116" s="440"/>
      <c r="S116" s="440"/>
    </row>
    <row r="117" spans="1:26" ht="15.5" x14ac:dyDescent="0.35">
      <c r="A117" s="55"/>
      <c r="B117" s="845"/>
      <c r="C117" s="994" t="s">
        <v>1263</v>
      </c>
      <c r="D117" s="1375" t="e">
        <f>(D386+D395+D529+D563)*'Emission factors'!$C$5*10^3</f>
        <v>#DIV/0!</v>
      </c>
      <c r="E117" s="1280" t="e">
        <f>(E386+E395+E529+E563)*'Emission factors'!$C$5*10^3</f>
        <v>#N/A</v>
      </c>
      <c r="F117" s="1280" t="e">
        <f>(F386+F395+F529+F563+I386+I395+I529+I563)*'Emission factors'!$C$5*10^3</f>
        <v>#N/A</v>
      </c>
      <c r="G117" s="1280" t="e">
        <f>(G386+G395+G529+G563)*'Emission factors'!$C$5*10^3</f>
        <v>#N/A</v>
      </c>
      <c r="H117" s="1280" t="e">
        <f>(H386+H395+H529+H563+J386+J395+J529+J563)*'Emission factors'!$C$5*10^3</f>
        <v>#N/A</v>
      </c>
      <c r="I117" s="1375" t="e">
        <f>(K386+K395+K529+K563)*'Emission factors'!$C$5*10^3</f>
        <v>#N/A</v>
      </c>
      <c r="J117" s="1280"/>
      <c r="K117" s="1375" t="e">
        <f t="shared" si="1"/>
        <v>#DIV/0!</v>
      </c>
      <c r="L117" s="846" t="e">
        <f t="shared" si="0"/>
        <v>#DIV/0!</v>
      </c>
      <c r="M117" s="935"/>
      <c r="O117" s="316"/>
    </row>
    <row r="118" spans="1:26" ht="15.5" x14ac:dyDescent="0.35">
      <c r="A118" s="55"/>
      <c r="B118" s="845"/>
      <c r="C118" s="994" t="s">
        <v>424</v>
      </c>
      <c r="D118" s="1281"/>
      <c r="E118" s="1281"/>
      <c r="F118" s="1281"/>
      <c r="G118" s="1281"/>
      <c r="H118" s="1281"/>
      <c r="I118" s="1281"/>
      <c r="J118" s="1280">
        <f>C425</f>
        <v>0</v>
      </c>
      <c r="K118" s="1280">
        <f>J118</f>
        <v>0</v>
      </c>
      <c r="L118" s="846" t="e">
        <f t="shared" si="0"/>
        <v>#DIV/0!</v>
      </c>
      <c r="M118" s="935"/>
    </row>
    <row r="119" spans="1:26" ht="15.5" x14ac:dyDescent="0.35">
      <c r="A119" s="55"/>
      <c r="B119" s="845"/>
      <c r="C119" s="994" t="s">
        <v>422</v>
      </c>
      <c r="D119" s="1281"/>
      <c r="E119" s="1280"/>
      <c r="F119" s="1280"/>
      <c r="G119" s="1280"/>
      <c r="H119" s="1280"/>
      <c r="I119" s="1375"/>
      <c r="J119" s="1280">
        <f>(SUM(D524:D527)+SUM(D558:D561))*'Emission factors'!$C$5*10^3</f>
        <v>0</v>
      </c>
      <c r="K119" s="1280">
        <f>J119</f>
        <v>0</v>
      </c>
      <c r="L119" s="846" t="e">
        <f t="shared" si="0"/>
        <v>#DIV/0!</v>
      </c>
      <c r="M119" s="935"/>
    </row>
    <row r="120" spans="1:26" s="879" customFormat="1" ht="15.5" x14ac:dyDescent="0.35">
      <c r="A120" s="440"/>
      <c r="B120" s="844" t="s">
        <v>800</v>
      </c>
      <c r="C120" s="994" t="s">
        <v>1488</v>
      </c>
      <c r="D120" s="1363"/>
      <c r="E120" s="1363"/>
      <c r="F120" s="1363"/>
      <c r="G120" s="1365"/>
      <c r="H120" s="1363"/>
      <c r="I120" s="1363"/>
      <c r="J120" s="1377"/>
      <c r="K120" s="1375">
        <f>J587</f>
        <v>0</v>
      </c>
      <c r="L120" s="846" t="e">
        <f t="shared" si="0"/>
        <v>#DIV/0!</v>
      </c>
      <c r="M120" s="935"/>
      <c r="N120" s="927"/>
    </row>
    <row r="121" spans="1:26" s="879" customFormat="1" ht="15.5" x14ac:dyDescent="0.35">
      <c r="A121" s="440"/>
      <c r="B121" s="844"/>
      <c r="C121" s="994" t="s">
        <v>1489</v>
      </c>
      <c r="D121" s="1363"/>
      <c r="E121" s="1363"/>
      <c r="F121" s="1363"/>
      <c r="G121" s="1365"/>
      <c r="H121" s="1363"/>
      <c r="I121" s="1363"/>
      <c r="J121" s="1377"/>
      <c r="K121" s="1375">
        <f>J591</f>
        <v>0</v>
      </c>
      <c r="L121" s="846" t="e">
        <f t="shared" si="0"/>
        <v>#DIV/0!</v>
      </c>
      <c r="M121" s="935"/>
      <c r="N121" s="927"/>
    </row>
    <row r="122" spans="1:26" s="879" customFormat="1" ht="15.5" x14ac:dyDescent="0.35">
      <c r="A122" s="440"/>
      <c r="B122" s="844"/>
      <c r="C122" s="994" t="s">
        <v>1486</v>
      </c>
      <c r="D122" s="1353"/>
      <c r="E122" s="1377"/>
      <c r="F122" s="1377"/>
      <c r="G122" s="1365"/>
      <c r="H122" s="1377"/>
      <c r="I122" s="1377"/>
      <c r="J122" s="1377"/>
      <c r="K122" s="1375">
        <f>H579</f>
        <v>0</v>
      </c>
      <c r="L122" s="846" t="e">
        <f t="shared" si="0"/>
        <v>#DIV/0!</v>
      </c>
      <c r="M122" s="935"/>
      <c r="N122" s="927"/>
    </row>
    <row r="123" spans="1:26" s="879" customFormat="1" ht="15.5" x14ac:dyDescent="0.35">
      <c r="A123" s="440"/>
      <c r="B123" s="844"/>
      <c r="C123" s="994" t="s">
        <v>1487</v>
      </c>
      <c r="D123" s="1353"/>
      <c r="E123" s="1377"/>
      <c r="F123" s="1377"/>
      <c r="G123" s="1365"/>
      <c r="H123" s="1377"/>
      <c r="I123" s="1377"/>
      <c r="J123" s="1377"/>
      <c r="K123" s="1375">
        <f>J579</f>
        <v>0</v>
      </c>
      <c r="L123" s="846" t="e">
        <f t="shared" si="0"/>
        <v>#DIV/0!</v>
      </c>
      <c r="M123" s="935"/>
      <c r="N123" s="927"/>
    </row>
    <row r="124" spans="1:26" s="879" customFormat="1" ht="15.5" x14ac:dyDescent="0.35">
      <c r="A124" s="440"/>
      <c r="B124" s="844"/>
      <c r="C124" s="994" t="s">
        <v>1538</v>
      </c>
      <c r="D124" s="1353"/>
      <c r="E124" s="1377"/>
      <c r="F124" s="1377"/>
      <c r="G124" s="1365"/>
      <c r="H124" s="1377"/>
      <c r="I124" s="1377"/>
      <c r="J124" s="1377"/>
      <c r="K124" s="1375">
        <f>C622+C629</f>
        <v>0</v>
      </c>
      <c r="L124" s="846" t="e">
        <f t="shared" si="0"/>
        <v>#DIV/0!</v>
      </c>
      <c r="M124" s="935"/>
      <c r="N124" s="927"/>
    </row>
    <row r="125" spans="1:26" ht="15.5" x14ac:dyDescent="0.35">
      <c r="A125" s="440"/>
      <c r="B125" s="844" t="s">
        <v>1968</v>
      </c>
      <c r="C125" s="994" t="s">
        <v>845</v>
      </c>
      <c r="D125" s="1281"/>
      <c r="E125" s="1280"/>
      <c r="F125" s="1280"/>
      <c r="G125" s="1280"/>
      <c r="H125" s="1280"/>
      <c r="I125" s="1375"/>
      <c r="J125" s="1280"/>
      <c r="K125" s="1280">
        <f>E606</f>
        <v>0</v>
      </c>
      <c r="L125" s="846" t="e">
        <f t="shared" si="0"/>
        <v>#DIV/0!</v>
      </c>
      <c r="M125" s="935"/>
    </row>
    <row r="126" spans="1:26" ht="15.5" x14ac:dyDescent="0.35">
      <c r="A126" s="55"/>
      <c r="B126" s="844"/>
      <c r="C126" s="994" t="s">
        <v>846</v>
      </c>
      <c r="D126" s="1281"/>
      <c r="E126" s="1280"/>
      <c r="F126" s="1280"/>
      <c r="G126" s="1280"/>
      <c r="H126" s="1280"/>
      <c r="I126" s="1375"/>
      <c r="J126" s="1280"/>
      <c r="K126" s="1280">
        <f>SUM(E602:E605)</f>
        <v>0</v>
      </c>
      <c r="L126" s="846" t="e">
        <f t="shared" si="0"/>
        <v>#DIV/0!</v>
      </c>
      <c r="M126" s="935"/>
      <c r="O126" s="1699"/>
    </row>
    <row r="127" spans="1:26" ht="15.5" x14ac:dyDescent="0.35">
      <c r="A127" s="55"/>
      <c r="B127" s="844"/>
      <c r="C127" s="994" t="s">
        <v>828</v>
      </c>
      <c r="D127" s="1281"/>
      <c r="E127" s="1280"/>
      <c r="F127" s="1280"/>
      <c r="G127" s="1280"/>
      <c r="H127" s="1280"/>
      <c r="I127" s="1375"/>
      <c r="J127" s="1280"/>
      <c r="K127" s="1280">
        <f>E615</f>
        <v>0</v>
      </c>
      <c r="L127" s="846" t="e">
        <f t="shared" si="0"/>
        <v>#DIV/0!</v>
      </c>
      <c r="M127" s="935"/>
    </row>
    <row r="128" spans="1:26" s="879" customFormat="1" ht="15.5" x14ac:dyDescent="0.35">
      <c r="A128" s="880"/>
      <c r="B128" s="844"/>
      <c r="C128" s="994"/>
      <c r="D128" s="1281"/>
      <c r="E128" s="1375"/>
      <c r="F128" s="1375"/>
      <c r="G128" s="1375"/>
      <c r="H128" s="1375"/>
      <c r="I128" s="1375"/>
      <c r="J128" s="1375"/>
      <c r="K128" s="1375"/>
      <c r="L128" s="846"/>
      <c r="M128" s="935"/>
    </row>
    <row r="129" spans="1:14" s="879" customFormat="1" ht="17.25" customHeight="1" x14ac:dyDescent="0.45">
      <c r="A129" s="880"/>
      <c r="B129" s="844" t="s">
        <v>1937</v>
      </c>
      <c r="C129" s="994"/>
      <c r="D129" s="1280" t="e">
        <f t="shared" ref="D129:J129" si="2">SUM(D113:D127)</f>
        <v>#DIV/0!</v>
      </c>
      <c r="E129" s="1375" t="e">
        <f t="shared" si="2"/>
        <v>#N/A</v>
      </c>
      <c r="F129" s="1375" t="e">
        <f t="shared" si="2"/>
        <v>#N/A</v>
      </c>
      <c r="G129" s="1375" t="e">
        <f t="shared" si="2"/>
        <v>#N/A</v>
      </c>
      <c r="H129" s="1375" t="e">
        <f t="shared" si="2"/>
        <v>#N/A</v>
      </c>
      <c r="I129" s="1375" t="e">
        <f t="shared" ref="I129" si="3">SUM(I113:I127)</f>
        <v>#N/A</v>
      </c>
      <c r="J129" s="1375">
        <f t="shared" si="2"/>
        <v>0</v>
      </c>
      <c r="K129" s="1376" t="e">
        <f>SUM(K113:K127)</f>
        <v>#DIV/0!</v>
      </c>
      <c r="L129" s="847" t="s">
        <v>1225</v>
      </c>
      <c r="M129" s="935"/>
    </row>
    <row r="130" spans="1:14" s="879" customFormat="1" ht="15.5" x14ac:dyDescent="0.35">
      <c r="A130" s="880"/>
      <c r="B130" s="844" t="s">
        <v>942</v>
      </c>
      <c r="C130" s="994"/>
      <c r="D130" s="1284" t="e">
        <f t="shared" ref="D130:J130" si="4">D129/SUM($K$113:$K$127)</f>
        <v>#DIV/0!</v>
      </c>
      <c r="E130" s="1284" t="e">
        <f t="shared" si="4"/>
        <v>#N/A</v>
      </c>
      <c r="F130" s="1284" t="e">
        <f t="shared" si="4"/>
        <v>#N/A</v>
      </c>
      <c r="G130" s="1284" t="e">
        <f t="shared" si="4"/>
        <v>#N/A</v>
      </c>
      <c r="H130" s="1284" t="e">
        <f t="shared" si="4"/>
        <v>#N/A</v>
      </c>
      <c r="I130" s="1284" t="e">
        <f t="shared" si="4"/>
        <v>#N/A</v>
      </c>
      <c r="J130" s="1284" t="e">
        <f t="shared" si="4"/>
        <v>#DIV/0!</v>
      </c>
      <c r="K130" s="1520"/>
      <c r="L130" s="848"/>
      <c r="M130" s="935"/>
    </row>
    <row r="131" spans="1:14" s="879" customFormat="1" ht="15.5" x14ac:dyDescent="0.35">
      <c r="A131" s="880"/>
      <c r="B131" s="844"/>
      <c r="C131" s="994"/>
      <c r="D131" s="1281"/>
      <c r="E131" s="1375"/>
      <c r="F131" s="1375"/>
      <c r="G131" s="1375"/>
      <c r="H131" s="1375"/>
      <c r="I131" s="1375"/>
      <c r="J131" s="1375"/>
      <c r="K131" s="1406"/>
      <c r="L131" s="846"/>
      <c r="M131" s="935"/>
    </row>
    <row r="132" spans="1:14" ht="18" x14ac:dyDescent="0.45">
      <c r="B132" s="844" t="s">
        <v>1936</v>
      </c>
      <c r="C132" s="994" t="s">
        <v>1027</v>
      </c>
      <c r="D132" s="1281"/>
      <c r="E132" s="1280"/>
      <c r="F132" s="1280"/>
      <c r="G132" s="1280"/>
      <c r="H132" s="1280"/>
      <c r="I132" s="1375"/>
      <c r="J132" s="1280"/>
      <c r="K132" s="1375">
        <f>IF(C73="",0,IF(U255="1",0,IF(U255=2,(F641*-1),(H73*G79*-1))))</f>
        <v>0</v>
      </c>
      <c r="L132" s="847" t="s">
        <v>1225</v>
      </c>
    </row>
    <row r="133" spans="1:14" s="879" customFormat="1" ht="15.5" x14ac:dyDescent="0.35">
      <c r="B133" s="844"/>
      <c r="C133" s="994"/>
      <c r="D133" s="1281"/>
      <c r="E133" s="1375"/>
      <c r="F133" s="1375"/>
      <c r="G133" s="1375"/>
      <c r="H133" s="1375"/>
      <c r="I133" s="1375"/>
      <c r="J133" s="1375"/>
      <c r="K133" s="1375"/>
      <c r="L133" s="846"/>
    </row>
    <row r="134" spans="1:14" s="879" customFormat="1" ht="18" x14ac:dyDescent="0.45">
      <c r="B134" s="844" t="s">
        <v>1940</v>
      </c>
      <c r="C134" s="994"/>
      <c r="D134" s="1284"/>
      <c r="E134" s="1284"/>
      <c r="F134" s="1284"/>
      <c r="G134" s="1284"/>
      <c r="H134" s="1284"/>
      <c r="I134" s="1284"/>
      <c r="J134" s="1284"/>
      <c r="K134" s="1487" t="e">
        <f>K129+K132</f>
        <v>#DIV/0!</v>
      </c>
      <c r="L134" s="847" t="s">
        <v>1225</v>
      </c>
    </row>
    <row r="135" spans="1:14" x14ac:dyDescent="0.35">
      <c r="B135" s="1546"/>
      <c r="C135" s="1539"/>
      <c r="D135" s="1488"/>
      <c r="E135" s="1488"/>
      <c r="F135" s="1488"/>
      <c r="G135" s="1488"/>
      <c r="H135" s="1488"/>
      <c r="I135" s="1488"/>
      <c r="J135" s="1488"/>
      <c r="K135" s="1488"/>
      <c r="L135" s="1547"/>
      <c r="N135" s="317"/>
    </row>
    <row r="136" spans="1:14" ht="18" x14ac:dyDescent="0.45">
      <c r="B136" s="844" t="s">
        <v>2075</v>
      </c>
      <c r="C136" s="1544"/>
      <c r="D136" s="657"/>
      <c r="E136" s="657"/>
      <c r="F136" s="657"/>
      <c r="G136" s="657"/>
      <c r="H136" s="657"/>
      <c r="I136" s="1236"/>
      <c r="J136" s="657"/>
      <c r="K136" s="284" t="e">
        <f>'Baseline farm'!K134-'Strategy farm'!K134</f>
        <v>#DIV/0!</v>
      </c>
      <c r="L136" s="847" t="s">
        <v>1225</v>
      </c>
    </row>
    <row r="137" spans="1:14" ht="15.5" x14ac:dyDescent="0.35">
      <c r="B137" s="844" t="s">
        <v>1941</v>
      </c>
      <c r="C137" s="994"/>
      <c r="D137" s="747"/>
      <c r="E137" s="747"/>
      <c r="F137" s="747"/>
      <c r="G137" s="747"/>
      <c r="H137" s="747"/>
      <c r="I137" s="1284"/>
      <c r="J137" s="747"/>
      <c r="K137" s="1519" t="e">
        <f>('Baseline farm'!K134-'Strategy farm'!K134)/'Baseline farm'!K134*100</f>
        <v>#DIV/0!</v>
      </c>
      <c r="L137" s="847" t="s">
        <v>222</v>
      </c>
    </row>
    <row r="138" spans="1:14" ht="15.5" x14ac:dyDescent="0.35">
      <c r="B138" s="844"/>
      <c r="C138" s="994"/>
      <c r="D138" s="747"/>
      <c r="E138" s="747"/>
      <c r="F138" s="747"/>
      <c r="G138" s="747"/>
      <c r="H138" s="747"/>
      <c r="I138" s="1284"/>
      <c r="J138" s="747"/>
      <c r="K138" s="478"/>
      <c r="L138" s="848"/>
    </row>
    <row r="139" spans="1:14" s="879" customFormat="1" ht="18" x14ac:dyDescent="0.45">
      <c r="B139" s="1540" t="e">
        <f>_xlfn.CONCAT("GHG emissions intensity after ",ROUND($P$312*100,0),"% of net emissions are allocated to milk production based on enrgy allocation")</f>
        <v>#DIV/0!</v>
      </c>
      <c r="C139" s="1544"/>
      <c r="D139" s="1236"/>
      <c r="E139" s="1236"/>
      <c r="F139" s="1236"/>
      <c r="G139" s="1236"/>
      <c r="H139" s="1236"/>
      <c r="I139" s="1236"/>
      <c r="J139" s="1236"/>
      <c r="K139" s="1090" t="e">
        <f>R309</f>
        <v>#DIV/0!</v>
      </c>
      <c r="L139" s="847" t="s">
        <v>1226</v>
      </c>
    </row>
    <row r="140" spans="1:14" s="879" customFormat="1" ht="18" x14ac:dyDescent="0.45">
      <c r="B140" s="1540" t="e">
        <f>_xlfn.CONCAT("GHG emissions intensity after ",ROUND($P$312*100,0),"% of net emissions are allocated to milk production based on energy allocation")</f>
        <v>#DIV/0!</v>
      </c>
      <c r="C140" s="1544"/>
      <c r="D140" s="1236"/>
      <c r="E140" s="1236"/>
      <c r="F140" s="1236"/>
      <c r="G140" s="1236"/>
      <c r="H140" s="1236"/>
      <c r="I140" s="1236"/>
      <c r="J140" s="1236"/>
      <c r="K140" s="1090" t="e">
        <f>R310</f>
        <v>#DIV/0!</v>
      </c>
      <c r="L140" s="847" t="s">
        <v>1227</v>
      </c>
    </row>
    <row r="141" spans="1:14" s="879" customFormat="1" ht="18" x14ac:dyDescent="0.45">
      <c r="B141" s="1540" t="e">
        <f>_xlfn.CONCAT("GHG emissions intensity after ",ROUND($P$313*100,0),"% of net emissions are allocated to meat production based on energy allocation")</f>
        <v>#N/A</v>
      </c>
      <c r="C141" s="1544"/>
      <c r="D141" s="1236"/>
      <c r="E141" s="1236"/>
      <c r="F141" s="1236"/>
      <c r="G141" s="1236"/>
      <c r="H141" s="1236"/>
      <c r="I141" s="1236"/>
      <c r="J141" s="1236"/>
      <c r="K141" s="1090" t="e">
        <f>R311</f>
        <v>#N/A</v>
      </c>
      <c r="L141" s="847" t="s">
        <v>1995</v>
      </c>
    </row>
    <row r="142" spans="1:14" ht="15.5" x14ac:dyDescent="0.35">
      <c r="B142" s="844"/>
      <c r="C142" s="1544"/>
      <c r="D142" s="1236"/>
      <c r="E142" s="1236"/>
      <c r="F142" s="1236"/>
      <c r="G142" s="1236"/>
      <c r="H142" s="1236"/>
      <c r="I142" s="1236"/>
      <c r="J142" s="1236"/>
      <c r="K142" s="1693"/>
      <c r="L142" s="847"/>
    </row>
    <row r="143" spans="1:14" s="879" customFormat="1" ht="18" x14ac:dyDescent="0.45">
      <c r="B143" s="844" t="s">
        <v>2074</v>
      </c>
      <c r="C143" s="1544"/>
      <c r="D143" s="1236"/>
      <c r="E143" s="1236"/>
      <c r="F143" s="1236"/>
      <c r="G143" s="1236"/>
      <c r="H143" s="1236"/>
      <c r="I143" s="1236"/>
      <c r="J143" s="1236"/>
      <c r="K143" s="1090" t="e">
        <f>'Baseline farm'!K136-'Strategy farm'!K139</f>
        <v>#DIV/0!</v>
      </c>
      <c r="L143" s="847" t="s">
        <v>1226</v>
      </c>
    </row>
    <row r="144" spans="1:14" ht="18" x14ac:dyDescent="0.45">
      <c r="B144" s="844" t="s">
        <v>2073</v>
      </c>
      <c r="C144" s="1544"/>
      <c r="D144" s="1544"/>
      <c r="E144" s="1544"/>
      <c r="F144" s="1544"/>
      <c r="G144" s="1544"/>
      <c r="H144" s="1544"/>
      <c r="I144" s="1544"/>
      <c r="J144" s="1544"/>
      <c r="K144" s="1089" t="e">
        <f>'Baseline farm'!K137-'Strategy farm'!K140</f>
        <v>#DIV/0!</v>
      </c>
      <c r="L144" s="847" t="s">
        <v>1227</v>
      </c>
    </row>
    <row r="145" spans="2:12" s="879" customFormat="1" ht="15.5" x14ac:dyDescent="0.35">
      <c r="B145" s="844" t="s">
        <v>2073</v>
      </c>
      <c r="C145" s="1544"/>
      <c r="D145" s="1544"/>
      <c r="E145" s="1544"/>
      <c r="F145" s="1544"/>
      <c r="G145" s="1544"/>
      <c r="H145" s="1544"/>
      <c r="I145" s="1544"/>
      <c r="J145" s="1544"/>
      <c r="K145" s="1090" t="e">
        <f>'Baseline farm'!K138-'Strategy farm'!K141</f>
        <v>#N/A</v>
      </c>
      <c r="L145" s="847" t="s">
        <v>1996</v>
      </c>
    </row>
    <row r="146" spans="2:12" s="136" customFormat="1" ht="15.5" x14ac:dyDescent="0.35">
      <c r="B146" s="1537"/>
      <c r="C146" s="1541"/>
      <c r="D146" s="1541"/>
      <c r="E146" s="1541"/>
      <c r="F146" s="1541"/>
      <c r="G146" s="1541"/>
      <c r="H146" s="1541"/>
      <c r="I146" s="1541"/>
      <c r="J146" s="1541"/>
      <c r="K146" s="1701"/>
      <c r="L146" s="1536"/>
    </row>
    <row r="147" spans="2:12" ht="14.25" customHeight="1" x14ac:dyDescent="0.35"/>
    <row r="148" spans="2:12" ht="15.5" x14ac:dyDescent="0.35">
      <c r="B148" s="318"/>
      <c r="C148" s="318"/>
      <c r="D148" s="319"/>
      <c r="E148" s="319"/>
      <c r="F148" s="319"/>
      <c r="G148" s="319"/>
      <c r="H148" s="319"/>
      <c r="I148" s="319"/>
    </row>
    <row r="149" spans="2:12" ht="15.5" x14ac:dyDescent="0.35">
      <c r="B149" s="318"/>
      <c r="C149" s="318"/>
      <c r="D149" s="319"/>
      <c r="E149" s="319"/>
      <c r="F149" s="319"/>
      <c r="G149" s="319"/>
      <c r="H149" s="319"/>
      <c r="I149" s="319"/>
      <c r="L149" s="836"/>
    </row>
    <row r="150" spans="2:12" ht="15.5" x14ac:dyDescent="0.35">
      <c r="B150" s="318"/>
      <c r="C150" s="318"/>
      <c r="D150" s="319"/>
      <c r="E150" s="319"/>
      <c r="F150" s="319"/>
      <c r="G150" s="319"/>
      <c r="H150" s="319"/>
      <c r="I150" s="319"/>
      <c r="J150" s="393"/>
    </row>
    <row r="151" spans="2:12" ht="15.5" x14ac:dyDescent="0.35">
      <c r="B151" s="318"/>
      <c r="C151" s="318"/>
      <c r="D151" s="319"/>
      <c r="E151" s="319"/>
      <c r="F151" s="319"/>
      <c r="G151" s="319"/>
      <c r="H151" s="319"/>
      <c r="I151" s="319"/>
    </row>
    <row r="152" spans="2:12" ht="15.5" x14ac:dyDescent="0.35">
      <c r="B152" s="318"/>
      <c r="C152" s="318"/>
      <c r="D152" s="319"/>
      <c r="E152" s="319"/>
      <c r="F152" s="319"/>
      <c r="G152" s="319"/>
      <c r="H152" s="319"/>
      <c r="I152" s="319"/>
    </row>
    <row r="153" spans="2:12" ht="15.5" x14ac:dyDescent="0.35">
      <c r="B153" s="318"/>
      <c r="C153" s="318"/>
      <c r="D153" s="319"/>
      <c r="E153" s="319"/>
      <c r="F153" s="319"/>
      <c r="G153" s="319"/>
      <c r="H153" s="319"/>
      <c r="I153" s="319"/>
    </row>
    <row r="154" spans="2:12" ht="15.5" x14ac:dyDescent="0.35">
      <c r="B154" s="318"/>
      <c r="C154" s="318"/>
      <c r="D154" s="319"/>
      <c r="E154" s="319"/>
      <c r="F154" s="319"/>
      <c r="G154" s="319"/>
      <c r="H154" s="319"/>
      <c r="I154" s="319"/>
    </row>
    <row r="155" spans="2:12" ht="15.5" x14ac:dyDescent="0.35">
      <c r="B155" s="318"/>
      <c r="C155" s="318"/>
      <c r="D155" s="319"/>
      <c r="E155" s="319"/>
      <c r="F155" s="319"/>
      <c r="G155" s="319"/>
      <c r="H155" s="319"/>
      <c r="I155" s="319"/>
    </row>
    <row r="156" spans="2:12" ht="15.5" x14ac:dyDescent="0.35">
      <c r="B156" s="318"/>
      <c r="C156" s="318"/>
      <c r="D156" s="319"/>
      <c r="E156" s="319"/>
      <c r="F156" s="319"/>
      <c r="G156" s="319"/>
      <c r="H156" s="319"/>
      <c r="I156" s="319"/>
    </row>
    <row r="157" spans="2:12" ht="15.5" x14ac:dyDescent="0.35">
      <c r="B157" s="318"/>
      <c r="C157" s="318"/>
      <c r="D157" s="319"/>
      <c r="E157" s="319"/>
      <c r="F157" s="319"/>
      <c r="G157" s="319"/>
      <c r="H157" s="319"/>
      <c r="I157" s="319"/>
    </row>
    <row r="158" spans="2:12" ht="15.5" x14ac:dyDescent="0.35">
      <c r="B158" s="318"/>
      <c r="C158" s="318"/>
      <c r="D158" s="319"/>
      <c r="E158" s="319"/>
      <c r="F158" s="319"/>
      <c r="G158" s="319"/>
      <c r="H158" s="319"/>
      <c r="I158" s="319"/>
    </row>
    <row r="159" spans="2:12" ht="15.5" x14ac:dyDescent="0.35">
      <c r="B159" s="318"/>
      <c r="C159" s="318"/>
      <c r="D159" s="319"/>
      <c r="E159" s="319"/>
      <c r="F159" s="319"/>
      <c r="G159" s="319"/>
      <c r="H159" s="319"/>
      <c r="I159" s="319"/>
    </row>
    <row r="160" spans="2:12" ht="15.5" x14ac:dyDescent="0.35">
      <c r="B160" s="318"/>
      <c r="C160" s="318"/>
      <c r="D160" s="319"/>
      <c r="E160" s="319"/>
      <c r="F160" s="319"/>
      <c r="G160" s="319"/>
      <c r="H160" s="319"/>
      <c r="I160" s="319"/>
    </row>
    <row r="161" spans="2:9" ht="15.5" x14ac:dyDescent="0.35">
      <c r="B161" s="318"/>
      <c r="C161" s="318"/>
      <c r="D161" s="319"/>
      <c r="E161" s="319"/>
      <c r="F161" s="319"/>
      <c r="G161" s="319"/>
      <c r="H161" s="319"/>
      <c r="I161" s="319"/>
    </row>
    <row r="162" spans="2:9" ht="15.5" x14ac:dyDescent="0.35">
      <c r="B162" s="318"/>
      <c r="C162" s="318"/>
      <c r="D162" s="319"/>
      <c r="E162" s="319"/>
      <c r="F162" s="319"/>
      <c r="G162" s="319"/>
      <c r="H162" s="319"/>
      <c r="I162" s="319"/>
    </row>
    <row r="163" spans="2:9" ht="15.5" x14ac:dyDescent="0.35">
      <c r="B163" s="318"/>
      <c r="C163" s="318"/>
      <c r="D163" s="319"/>
      <c r="E163" s="319"/>
      <c r="F163" s="319"/>
      <c r="G163" s="319"/>
      <c r="H163" s="319"/>
      <c r="I163" s="319"/>
    </row>
    <row r="164" spans="2:9" ht="15.5" x14ac:dyDescent="0.35">
      <c r="B164" s="318"/>
      <c r="C164" s="318"/>
      <c r="D164" s="319"/>
      <c r="E164" s="319"/>
      <c r="F164" s="319"/>
      <c r="G164" s="319"/>
      <c r="H164" s="319"/>
      <c r="I164" s="319"/>
    </row>
    <row r="165" spans="2:9" ht="15.5" x14ac:dyDescent="0.35">
      <c r="B165" s="318"/>
      <c r="C165" s="318"/>
      <c r="D165" s="319"/>
      <c r="E165" s="319"/>
      <c r="F165" s="319"/>
      <c r="G165" s="319"/>
      <c r="H165" s="319"/>
      <c r="I165" s="319"/>
    </row>
    <row r="166" spans="2:9" ht="15.5" x14ac:dyDescent="0.35">
      <c r="B166" s="318"/>
      <c r="C166" s="318"/>
      <c r="D166" s="319"/>
      <c r="E166" s="319"/>
      <c r="F166" s="319"/>
      <c r="G166" s="319"/>
      <c r="H166" s="319"/>
      <c r="I166" s="319"/>
    </row>
    <row r="167" spans="2:9" ht="15.5" x14ac:dyDescent="0.35">
      <c r="B167" s="318"/>
      <c r="C167" s="318"/>
      <c r="D167" s="319"/>
      <c r="E167" s="319"/>
      <c r="F167" s="319"/>
      <c r="G167" s="319"/>
      <c r="H167" s="319"/>
      <c r="I167" s="319"/>
    </row>
    <row r="168" spans="2:9" ht="15.5" x14ac:dyDescent="0.35">
      <c r="B168" s="318"/>
      <c r="C168" s="318"/>
      <c r="D168" s="319"/>
      <c r="E168" s="319"/>
      <c r="F168" s="319"/>
      <c r="G168" s="319"/>
      <c r="H168" s="319"/>
      <c r="I168" s="319"/>
    </row>
    <row r="169" spans="2:9" ht="15.5" x14ac:dyDescent="0.35">
      <c r="B169" s="318"/>
      <c r="C169" s="318"/>
      <c r="D169" s="319"/>
      <c r="E169" s="319"/>
      <c r="F169" s="319"/>
      <c r="G169" s="319"/>
      <c r="H169" s="319"/>
      <c r="I169" s="319"/>
    </row>
    <row r="170" spans="2:9" ht="15.5" x14ac:dyDescent="0.35">
      <c r="B170" s="318"/>
      <c r="C170" s="318"/>
      <c r="D170" s="477"/>
      <c r="E170" s="477"/>
      <c r="F170" s="477"/>
      <c r="G170" s="477"/>
      <c r="H170" s="477"/>
      <c r="I170" s="477"/>
    </row>
    <row r="173" spans="2:9" s="879" customFormat="1" x14ac:dyDescent="0.35"/>
    <row r="174" spans="2:9" s="879" customFormat="1" x14ac:dyDescent="0.35"/>
    <row r="175" spans="2:9" s="879" customFormat="1" x14ac:dyDescent="0.35"/>
    <row r="176" spans="2:9" ht="17.5" x14ac:dyDescent="0.35">
      <c r="C176" s="321" t="s">
        <v>1001</v>
      </c>
    </row>
    <row r="179" spans="3:8" ht="17.5" x14ac:dyDescent="0.35">
      <c r="C179" s="2610"/>
      <c r="D179" s="2610"/>
      <c r="E179" s="2610"/>
      <c r="F179" s="2610"/>
      <c r="G179" s="321"/>
      <c r="H179" s="321"/>
    </row>
    <row r="180" spans="3:8" ht="22" customHeight="1" x14ac:dyDescent="0.35">
      <c r="C180" s="699" t="s">
        <v>1010</v>
      </c>
      <c r="D180" s="700"/>
      <c r="E180" s="700"/>
      <c r="F180" s="700"/>
      <c r="G180" s="701"/>
    </row>
    <row r="181" spans="3:8" ht="5.15" customHeight="1" x14ac:dyDescent="0.35">
      <c r="C181" s="172"/>
      <c r="D181" s="698"/>
      <c r="E181" s="698"/>
      <c r="F181" s="698"/>
      <c r="G181" s="702"/>
    </row>
    <row r="182" spans="3:8" ht="22" customHeight="1" x14ac:dyDescent="0.35">
      <c r="C182" s="2601" t="s">
        <v>1015</v>
      </c>
      <c r="D182" s="2602"/>
      <c r="E182" s="2602"/>
      <c r="F182" s="2602"/>
      <c r="G182" s="706">
        <f>C236/1</f>
        <v>0</v>
      </c>
    </row>
    <row r="183" spans="3:8" ht="5.15" customHeight="1" x14ac:dyDescent="0.35">
      <c r="C183" s="172"/>
      <c r="D183" s="698"/>
      <c r="E183" s="698"/>
      <c r="F183" s="698"/>
      <c r="G183" s="707"/>
    </row>
    <row r="184" spans="3:8" ht="22" customHeight="1" x14ac:dyDescent="0.35">
      <c r="C184" s="2601" t="s">
        <v>1017</v>
      </c>
      <c r="D184" s="2602"/>
      <c r="E184" s="2602"/>
      <c r="F184" s="2602"/>
      <c r="G184" s="706">
        <f>C237/1</f>
        <v>0</v>
      </c>
    </row>
    <row r="185" spans="3:8" ht="5.15" customHeight="1" x14ac:dyDescent="0.35">
      <c r="C185" s="172"/>
      <c r="D185" s="698"/>
      <c r="E185" s="698"/>
      <c r="F185" s="698"/>
      <c r="G185" s="707"/>
    </row>
    <row r="186" spans="3:8" ht="22" customHeight="1" x14ac:dyDescent="0.35">
      <c r="C186" s="2601" t="s">
        <v>1016</v>
      </c>
      <c r="D186" s="2602"/>
      <c r="E186" s="2602"/>
      <c r="F186" s="2602"/>
      <c r="G186" s="708">
        <f>C238/1000</f>
        <v>0.6</v>
      </c>
    </row>
    <row r="187" spans="3:8" ht="5.15" customHeight="1" x14ac:dyDescent="0.35">
      <c r="C187" s="172"/>
      <c r="D187" s="698"/>
      <c r="E187" s="698"/>
      <c r="F187" s="698"/>
      <c r="G187" s="707"/>
    </row>
    <row r="188" spans="3:8" ht="22" customHeight="1" x14ac:dyDescent="0.35">
      <c r="C188" s="2601" t="s">
        <v>70</v>
      </c>
      <c r="D188" s="2602"/>
      <c r="E188" s="2602"/>
      <c r="F188" s="2602"/>
      <c r="G188" s="709">
        <f>C239/100</f>
        <v>30</v>
      </c>
    </row>
    <row r="189" spans="3:8" ht="5.15" customHeight="1" x14ac:dyDescent="0.35">
      <c r="C189" s="1732"/>
      <c r="D189" s="1733"/>
      <c r="E189" s="1733"/>
      <c r="F189" s="1733"/>
      <c r="G189" s="707"/>
    </row>
    <row r="190" spans="3:8" ht="22" customHeight="1" x14ac:dyDescent="0.35">
      <c r="C190" s="2608" t="s">
        <v>944</v>
      </c>
      <c r="D190" s="2609"/>
      <c r="E190" s="2609"/>
      <c r="F190" s="2609"/>
      <c r="G190" s="703">
        <f>F236</f>
        <v>0</v>
      </c>
    </row>
    <row r="191" spans="3:8" ht="5.15" customHeight="1" x14ac:dyDescent="0.35">
      <c r="C191" s="719"/>
      <c r="D191" s="720"/>
      <c r="E191" s="720"/>
      <c r="F191" s="720"/>
      <c r="G191" s="704"/>
    </row>
    <row r="192" spans="3:8" ht="22" customHeight="1" x14ac:dyDescent="0.35">
      <c r="C192" s="2606" t="s">
        <v>2134</v>
      </c>
      <c r="D192" s="2607"/>
      <c r="E192" s="2607"/>
      <c r="F192" s="2607"/>
      <c r="G192" s="704">
        <f>F239</f>
        <v>0</v>
      </c>
    </row>
    <row r="193" spans="3:7" ht="5.15" customHeight="1" x14ac:dyDescent="0.35">
      <c r="C193" s="719"/>
      <c r="D193" s="721"/>
      <c r="E193" s="721"/>
      <c r="F193" s="721"/>
      <c r="G193" s="704"/>
    </row>
    <row r="194" spans="3:7" ht="22" customHeight="1" x14ac:dyDescent="0.35">
      <c r="C194" s="2606" t="s">
        <v>18</v>
      </c>
      <c r="D194" s="2607"/>
      <c r="E194" s="2607"/>
      <c r="F194" s="2607"/>
      <c r="G194" s="704">
        <f>F240</f>
        <v>0</v>
      </c>
    </row>
    <row r="195" spans="3:7" ht="5.15" customHeight="1" x14ac:dyDescent="0.35">
      <c r="C195" s="719"/>
      <c r="D195" s="721"/>
      <c r="E195" s="721"/>
      <c r="F195" s="721"/>
      <c r="G195" s="704"/>
    </row>
    <row r="196" spans="3:7" ht="22" customHeight="1" x14ac:dyDescent="0.35">
      <c r="C196" s="2606" t="s">
        <v>88</v>
      </c>
      <c r="D196" s="2607"/>
      <c r="E196" s="2607"/>
      <c r="F196" s="2607"/>
      <c r="G196" s="704">
        <f>F241</f>
        <v>0</v>
      </c>
    </row>
    <row r="197" spans="3:7" ht="5.15" customHeight="1" x14ac:dyDescent="0.35">
      <c r="C197" s="719"/>
      <c r="D197" s="721"/>
      <c r="E197" s="721"/>
      <c r="F197" s="721"/>
      <c r="G197" s="704"/>
    </row>
    <row r="198" spans="3:7" ht="22" customHeight="1" x14ac:dyDescent="0.35">
      <c r="C198" s="2603" t="s">
        <v>17</v>
      </c>
      <c r="D198" s="2604"/>
      <c r="E198" s="2604"/>
      <c r="F198" s="2604"/>
      <c r="G198" s="705">
        <f>F242</f>
        <v>0</v>
      </c>
    </row>
    <row r="199" spans="3:7" x14ac:dyDescent="0.35">
      <c r="D199" s="136"/>
    </row>
    <row r="200" spans="3:7" x14ac:dyDescent="0.35">
      <c r="C200" s="136"/>
      <c r="D200" s="136"/>
    </row>
    <row r="201" spans="3:7" x14ac:dyDescent="0.35">
      <c r="C201" s="136"/>
      <c r="D201" s="136"/>
    </row>
    <row r="232" spans="2:12" s="424" customFormat="1" ht="24" hidden="1" customHeight="1" x14ac:dyDescent="0.3"/>
    <row r="233" spans="2:12" s="424" customFormat="1" ht="14" hidden="1" x14ac:dyDescent="0.3"/>
    <row r="234" spans="2:12" s="424" customFormat="1" ht="14" hidden="1" x14ac:dyDescent="0.3"/>
    <row r="235" spans="2:12" s="892" customFormat="1" ht="14" hidden="1" x14ac:dyDescent="0.3">
      <c r="I235" s="1201"/>
    </row>
    <row r="236" spans="2:12" s="892" customFormat="1" ht="14" hidden="1" x14ac:dyDescent="0.3">
      <c r="B236" s="892" t="s">
        <v>1018</v>
      </c>
      <c r="C236" s="579">
        <v>0</v>
      </c>
      <c r="E236" s="892" t="s">
        <v>1022</v>
      </c>
      <c r="F236" s="810">
        <f>IF(ISERROR(K136),0,IF(J213&lt;0,0,(K136*G188)))</f>
        <v>0</v>
      </c>
      <c r="L236" s="1750" t="s">
        <v>1970</v>
      </c>
    </row>
    <row r="237" spans="2:12" s="892" customFormat="1" ht="14" hidden="1" x14ac:dyDescent="0.3">
      <c r="B237" s="892" t="s">
        <v>1019</v>
      </c>
      <c r="C237" s="579">
        <v>0</v>
      </c>
      <c r="E237" s="892" t="s">
        <v>1023</v>
      </c>
      <c r="F237" s="892">
        <f>IF(ISERROR(G182),0,(G182))</f>
        <v>0</v>
      </c>
      <c r="K237" s="2032">
        <v>1</v>
      </c>
      <c r="L237" s="1748" t="s">
        <v>1972</v>
      </c>
    </row>
    <row r="238" spans="2:12" s="892" customFormat="1" ht="14" hidden="1" x14ac:dyDescent="0.3">
      <c r="B238" s="892" t="s">
        <v>1020</v>
      </c>
      <c r="C238" s="579">
        <v>600</v>
      </c>
      <c r="E238" s="892" t="s">
        <v>2133</v>
      </c>
      <c r="F238" s="892">
        <f>IF(ISERROR(G184),0,(G184))</f>
        <v>0</v>
      </c>
      <c r="K238" s="1750">
        <v>2</v>
      </c>
      <c r="L238" s="1748" t="s">
        <v>912</v>
      </c>
    </row>
    <row r="239" spans="2:12" s="892" customFormat="1" ht="14" hidden="1" x14ac:dyDescent="0.3">
      <c r="B239" s="892" t="s">
        <v>1021</v>
      </c>
      <c r="C239" s="579">
        <v>3000</v>
      </c>
      <c r="E239" s="892" t="s">
        <v>2137</v>
      </c>
      <c r="F239" s="892">
        <f>F237-F238</f>
        <v>0</v>
      </c>
      <c r="K239" s="1750">
        <v>3</v>
      </c>
      <c r="L239" s="892" t="s">
        <v>2080</v>
      </c>
    </row>
    <row r="240" spans="2:12" s="892" customFormat="1" ht="14" hidden="1" x14ac:dyDescent="0.3">
      <c r="E240" s="892" t="s">
        <v>1024</v>
      </c>
      <c r="F240" s="892">
        <f>IF(F236&gt;1,(F236-F239),(F239*-1))</f>
        <v>0</v>
      </c>
      <c r="K240" s="1750">
        <v>4</v>
      </c>
      <c r="L240" s="1748" t="s">
        <v>2081</v>
      </c>
    </row>
    <row r="241" spans="2:71" s="892" customFormat="1" ht="14" hidden="1" x14ac:dyDescent="0.3">
      <c r="E241" s="892" t="s">
        <v>1025</v>
      </c>
      <c r="F241" s="892">
        <f>IF(ISERROR((Q253-'Baseline farm'!R210)*'Strategy farm'!G186),0,(Q253-'Baseline farm'!R210)*'Strategy farm'!G186)</f>
        <v>0</v>
      </c>
      <c r="K241" s="892">
        <v>5</v>
      </c>
      <c r="L241" s="1749" t="s">
        <v>2082</v>
      </c>
    </row>
    <row r="242" spans="2:71" s="892" customFormat="1" ht="14" hidden="1" x14ac:dyDescent="0.3">
      <c r="E242" s="892" t="s">
        <v>1026</v>
      </c>
      <c r="F242" s="892">
        <f>IF(ISERROR(F236-F237+F241+G184),0,(F236-F237+F241+G184))</f>
        <v>0</v>
      </c>
      <c r="K242" s="1750">
        <v>6</v>
      </c>
      <c r="L242" s="1748" t="s">
        <v>913</v>
      </c>
    </row>
    <row r="243" spans="2:71" s="892" customFormat="1" ht="14" hidden="1" x14ac:dyDescent="0.3">
      <c r="E243" s="892" t="s">
        <v>1925</v>
      </c>
      <c r="F243" s="467">
        <f>IF(ISERROR(K142/1000*Q253*G188),0,(K142/1000*Q253*G188))</f>
        <v>0</v>
      </c>
      <c r="K243" s="2032">
        <v>7</v>
      </c>
      <c r="L243" s="892" t="s">
        <v>2083</v>
      </c>
    </row>
    <row r="244" spans="2:71" s="892" customFormat="1" ht="14" hidden="1" x14ac:dyDescent="0.3">
      <c r="K244" s="892">
        <v>8</v>
      </c>
      <c r="L244" s="892" t="s">
        <v>2084</v>
      </c>
      <c r="AB244" s="892" t="s">
        <v>861</v>
      </c>
      <c r="AH244" s="892" t="s">
        <v>1337</v>
      </c>
      <c r="AQ244" s="890" t="s">
        <v>451</v>
      </c>
      <c r="AU244" s="892" t="s">
        <v>876</v>
      </c>
    </row>
    <row r="245" spans="2:71" s="892" customFormat="1" ht="14" hidden="1" x14ac:dyDescent="0.3">
      <c r="C245" s="892" t="s">
        <v>260</v>
      </c>
      <c r="D245" s="1201" t="s">
        <v>912</v>
      </c>
      <c r="E245" s="1201" t="s">
        <v>913</v>
      </c>
      <c r="F245" s="1201" t="s">
        <v>866</v>
      </c>
      <c r="G245" s="1201" t="s">
        <v>914</v>
      </c>
      <c r="H245" s="1201" t="s">
        <v>867</v>
      </c>
      <c r="I245" s="1201" t="s">
        <v>868</v>
      </c>
      <c r="J245" s="1201" t="s">
        <v>915</v>
      </c>
      <c r="K245" s="892">
        <v>9</v>
      </c>
      <c r="L245" s="1750" t="s">
        <v>914</v>
      </c>
      <c r="O245" s="892" t="s">
        <v>738</v>
      </c>
      <c r="S245" s="892" t="s">
        <v>818</v>
      </c>
      <c r="T245" s="892" t="s">
        <v>936</v>
      </c>
      <c r="AC245" s="892">
        <v>1</v>
      </c>
      <c r="AD245" s="892" t="s">
        <v>865</v>
      </c>
      <c r="AG245" s="892" t="s">
        <v>890</v>
      </c>
      <c r="AH245" s="892" t="s">
        <v>878</v>
      </c>
      <c r="AI245" s="892">
        <f>G92</f>
        <v>0</v>
      </c>
      <c r="AK245" s="892" t="s">
        <v>876</v>
      </c>
      <c r="AL245" s="892" t="s">
        <v>884</v>
      </c>
      <c r="AN245" s="892">
        <f>G105</f>
        <v>0</v>
      </c>
      <c r="AQ245" s="894" t="s">
        <v>885</v>
      </c>
      <c r="AS245" s="893">
        <f>1-((AI245/24*AI246/365)+(AI250/24*AI251/365))</f>
        <v>1</v>
      </c>
      <c r="AU245" s="892" t="s">
        <v>885</v>
      </c>
      <c r="AV245" s="893">
        <f>1-(AN245/24*AN246/365)</f>
        <v>1</v>
      </c>
      <c r="AY245" s="892" t="s">
        <v>898</v>
      </c>
    </row>
    <row r="246" spans="2:71" s="892" customFormat="1" ht="14" hidden="1" x14ac:dyDescent="0.3">
      <c r="B246" s="1750">
        <v>1</v>
      </c>
      <c r="C246" s="1748" t="s">
        <v>912</v>
      </c>
      <c r="D246" s="892" t="s">
        <v>1908</v>
      </c>
      <c r="E246" s="892" t="s">
        <v>1904</v>
      </c>
      <c r="F246" s="892" t="s">
        <v>1548</v>
      </c>
      <c r="G246" s="892" t="s">
        <v>1550</v>
      </c>
      <c r="H246" s="892" t="s">
        <v>1552</v>
      </c>
      <c r="I246" s="892" t="s">
        <v>1551</v>
      </c>
      <c r="K246" s="892">
        <v>10</v>
      </c>
      <c r="L246" s="892" t="s">
        <v>2085</v>
      </c>
      <c r="T246" s="892" t="s">
        <v>935</v>
      </c>
      <c r="W246" s="1751"/>
      <c r="AC246" s="892">
        <v>2</v>
      </c>
      <c r="AD246" s="892" t="s">
        <v>864</v>
      </c>
      <c r="AH246" s="892" t="s">
        <v>879</v>
      </c>
      <c r="AI246" s="467">
        <f>H92</f>
        <v>0</v>
      </c>
      <c r="AL246" s="892" t="s">
        <v>871</v>
      </c>
      <c r="AN246" s="892">
        <f>H105</f>
        <v>0</v>
      </c>
      <c r="AQ246" s="892" t="s">
        <v>1246</v>
      </c>
      <c r="AS246" s="891">
        <f>(AI245/24)*(AI246/365)*(AI247/100)</f>
        <v>0</v>
      </c>
      <c r="AU246" s="892" t="s">
        <v>1248</v>
      </c>
      <c r="AV246" s="893">
        <f>IF(AM258=1,AN245/24*AN246/365,0)</f>
        <v>0</v>
      </c>
      <c r="AY246" s="894"/>
      <c r="AZ246" s="894" t="s">
        <v>225</v>
      </c>
      <c r="BA246" s="894" t="s">
        <v>1249</v>
      </c>
      <c r="BB246" s="894" t="s">
        <v>1250</v>
      </c>
      <c r="BC246" s="894" t="s">
        <v>229</v>
      </c>
      <c r="BD246" s="894" t="s">
        <v>897</v>
      </c>
    </row>
    <row r="247" spans="2:71" s="892" customFormat="1" ht="14" hidden="1" x14ac:dyDescent="0.3">
      <c r="B247" s="1750">
        <v>2</v>
      </c>
      <c r="C247" s="1748" t="s">
        <v>917</v>
      </c>
      <c r="D247" s="892" t="s">
        <v>1909</v>
      </c>
      <c r="E247" s="892" t="s">
        <v>1905</v>
      </c>
      <c r="F247" s="892" t="s">
        <v>1906</v>
      </c>
      <c r="G247" s="892" t="s">
        <v>1543</v>
      </c>
      <c r="H247" s="892" t="s">
        <v>1907</v>
      </c>
      <c r="K247" s="892">
        <v>11</v>
      </c>
      <c r="L247" s="892" t="s">
        <v>2086</v>
      </c>
      <c r="O247" s="892" t="s">
        <v>739</v>
      </c>
      <c r="Q247" s="1752">
        <f>IF(U261="1",H31,0)</f>
        <v>0</v>
      </c>
      <c r="W247" s="1751"/>
      <c r="AC247" s="892" t="s">
        <v>228</v>
      </c>
      <c r="AD247" s="1753">
        <f>IF(F82=AD245,1,2)</f>
        <v>1</v>
      </c>
      <c r="AH247" s="892" t="s">
        <v>1245</v>
      </c>
      <c r="AI247" s="892">
        <f>G94</f>
        <v>0</v>
      </c>
      <c r="AQ247" s="894" t="s">
        <v>886</v>
      </c>
      <c r="AS247" s="893">
        <f>(AI245/24*AI246/365*AI248/100)*IF(AD252=2,0.8,1)</f>
        <v>0</v>
      </c>
      <c r="AU247" s="892" t="s">
        <v>1252</v>
      </c>
      <c r="AV247" s="893">
        <f>IF(AM258=2,(AN245/24*AN246/365*IF(AD252=2,0.8,1)),0)</f>
        <v>0</v>
      </c>
      <c r="AX247" s="892">
        <v>1</v>
      </c>
      <c r="AY247" s="1748" t="s">
        <v>912</v>
      </c>
      <c r="AZ247" s="894">
        <v>74</v>
      </c>
      <c r="BA247" s="894">
        <v>0.5</v>
      </c>
      <c r="BB247" s="894">
        <v>17</v>
      </c>
      <c r="BC247" s="894">
        <v>2</v>
      </c>
      <c r="BD247" s="894">
        <v>1</v>
      </c>
    </row>
    <row r="248" spans="2:71" s="892" customFormat="1" ht="14" hidden="1" x14ac:dyDescent="0.3">
      <c r="B248" s="1750">
        <v>3</v>
      </c>
      <c r="C248" s="1748" t="s">
        <v>866</v>
      </c>
      <c r="D248" s="892" t="s">
        <v>1910</v>
      </c>
      <c r="E248" s="892" t="s">
        <v>1911</v>
      </c>
      <c r="F248" s="892" t="s">
        <v>1544</v>
      </c>
      <c r="K248" s="892">
        <v>12</v>
      </c>
      <c r="L248" s="892" t="s">
        <v>867</v>
      </c>
      <c r="O248" s="892" t="s">
        <v>740</v>
      </c>
      <c r="Q248" s="1752">
        <f>IF(U261="2",H31,0)</f>
        <v>0</v>
      </c>
      <c r="S248" s="892" t="s">
        <v>228</v>
      </c>
      <c r="T248" s="892">
        <f>E50</f>
        <v>0</v>
      </c>
      <c r="U248" s="1753" t="str">
        <f>IF(T248="kg of element per ha per annum","1","2")</f>
        <v>2</v>
      </c>
      <c r="W248" s="1751"/>
      <c r="AH248" s="892" t="s">
        <v>1244</v>
      </c>
      <c r="AI248" s="892">
        <f>G95</f>
        <v>0</v>
      </c>
      <c r="AQ248" s="1201" t="s">
        <v>1214</v>
      </c>
      <c r="AS248" s="893">
        <f>(AI245/24*AI246/365*AI248/100)*IF(AD252=1,0,0.2)</f>
        <v>0</v>
      </c>
      <c r="AU248" s="1201" t="s">
        <v>1213</v>
      </c>
      <c r="AV248" s="893">
        <f>IF(AM258=2,(AN245/24*AN246/365*IF(AD252=2,0.2,0)),0)</f>
        <v>0</v>
      </c>
      <c r="AX248" s="892">
        <v>2</v>
      </c>
      <c r="AY248" s="1748" t="s">
        <v>917</v>
      </c>
      <c r="AZ248" s="894">
        <v>75</v>
      </c>
      <c r="BA248" s="894">
        <v>0.5</v>
      </c>
      <c r="BB248" s="894">
        <v>18</v>
      </c>
      <c r="BC248" s="894">
        <v>2</v>
      </c>
      <c r="BD248" s="894">
        <v>1</v>
      </c>
    </row>
    <row r="249" spans="2:71" s="892" customFormat="1" ht="14" hidden="1" x14ac:dyDescent="0.3">
      <c r="B249" s="1750">
        <v>4</v>
      </c>
      <c r="C249" s="1748" t="s">
        <v>914</v>
      </c>
      <c r="D249" s="892" t="s">
        <v>1555</v>
      </c>
      <c r="F249" s="892" t="s">
        <v>1549</v>
      </c>
      <c r="K249" s="892">
        <v>13</v>
      </c>
      <c r="L249" s="892" t="s">
        <v>2090</v>
      </c>
      <c r="O249" s="892" t="s">
        <v>741</v>
      </c>
      <c r="Q249" s="1754">
        <f>IF(D33="",4,D33)</f>
        <v>0</v>
      </c>
      <c r="W249" s="1751"/>
      <c r="AB249" s="892" t="s">
        <v>1918</v>
      </c>
      <c r="AH249" s="892" t="s">
        <v>881</v>
      </c>
      <c r="AI249" s="892">
        <f>G96</f>
        <v>100</v>
      </c>
      <c r="AQ249" s="890" t="s">
        <v>887</v>
      </c>
      <c r="AS249" s="893">
        <f>IF(AD252=1,(AI245/24*AI246/365*AI249/100),(AI245/24*AI246/365*AI249/100)*0.8)</f>
        <v>0</v>
      </c>
      <c r="AU249" s="892" t="s">
        <v>895</v>
      </c>
      <c r="AV249" s="893">
        <f>IF(AM258=3,AN245/24*AN246/365*IF(AD252=2,0.8,1),0)</f>
        <v>0</v>
      </c>
      <c r="AX249" s="892">
        <v>3</v>
      </c>
      <c r="AY249" s="1748" t="s">
        <v>866</v>
      </c>
      <c r="AZ249" s="894">
        <v>70</v>
      </c>
      <c r="BA249" s="894">
        <v>0.1</v>
      </c>
      <c r="BB249" s="894">
        <v>15</v>
      </c>
      <c r="BC249" s="894">
        <v>2</v>
      </c>
      <c r="BD249" s="894">
        <v>1</v>
      </c>
      <c r="BS249" s="1201"/>
    </row>
    <row r="250" spans="2:71" s="892" customFormat="1" ht="14" hidden="1" x14ac:dyDescent="0.3">
      <c r="B250" s="1750">
        <v>5</v>
      </c>
      <c r="C250" s="1748" t="s">
        <v>918</v>
      </c>
      <c r="D250" s="892" t="s">
        <v>1557</v>
      </c>
      <c r="K250" s="892">
        <v>14</v>
      </c>
      <c r="L250" s="894" t="s">
        <v>868</v>
      </c>
      <c r="O250" s="892" t="s">
        <v>742</v>
      </c>
      <c r="Q250" s="892">
        <f>IF(H33="",3.3,H33)</f>
        <v>0</v>
      </c>
      <c r="W250" s="1751"/>
      <c r="AC250" s="892">
        <v>1</v>
      </c>
      <c r="AD250" s="892" t="s">
        <v>874</v>
      </c>
      <c r="AH250" s="892" t="s">
        <v>882</v>
      </c>
      <c r="AI250" s="892">
        <f>G100</f>
        <v>0</v>
      </c>
      <c r="AQ250" s="890" t="s">
        <v>901</v>
      </c>
      <c r="AS250" s="893">
        <f>IF(AD252=1,0,(AI245/24*AI246/365*AI249/100)*0.2)</f>
        <v>0</v>
      </c>
      <c r="AU250" s="892" t="s">
        <v>896</v>
      </c>
      <c r="AV250" s="893">
        <f>IF(AM258=3,AN245/24*AN246/365*IF(AD252=2,0.2,0),0)</f>
        <v>0</v>
      </c>
      <c r="AX250" s="1201">
        <v>4</v>
      </c>
      <c r="AY250" s="1748" t="s">
        <v>914</v>
      </c>
      <c r="AZ250" s="894">
        <v>77</v>
      </c>
      <c r="BA250" s="894">
        <v>0.5</v>
      </c>
      <c r="BB250" s="894">
        <v>24</v>
      </c>
      <c r="BC250" s="894">
        <v>2</v>
      </c>
      <c r="BD250" s="894">
        <v>1</v>
      </c>
      <c r="BS250" s="1201"/>
    </row>
    <row r="251" spans="2:71" s="892" customFormat="1" ht="14" hidden="1" x14ac:dyDescent="0.3">
      <c r="B251" s="892">
        <v>6</v>
      </c>
      <c r="C251" s="1749" t="s">
        <v>919</v>
      </c>
      <c r="D251" s="892" t="s">
        <v>1556</v>
      </c>
      <c r="K251" s="892">
        <v>15</v>
      </c>
      <c r="L251" s="894" t="s">
        <v>2087</v>
      </c>
      <c r="O251" s="892" t="s">
        <v>926</v>
      </c>
      <c r="Q251" s="1752">
        <f>IF(Q247=0,Q248,(Q247*(Q249+Q250)/100))</f>
        <v>0</v>
      </c>
      <c r="S251" s="892" t="s">
        <v>932</v>
      </c>
      <c r="T251" s="892" t="s">
        <v>1032</v>
      </c>
      <c r="W251" s="1751"/>
      <c r="AC251" s="892">
        <v>2</v>
      </c>
      <c r="AD251" s="892" t="s">
        <v>875</v>
      </c>
      <c r="AH251" s="892" t="s">
        <v>883</v>
      </c>
      <c r="AI251" s="892">
        <f>H100</f>
        <v>0</v>
      </c>
      <c r="AQ251" s="892" t="s">
        <v>1247</v>
      </c>
      <c r="AS251" s="893">
        <f>IF(AH259=1,(AI250/24*AI251/365),0)</f>
        <v>0</v>
      </c>
      <c r="AU251" s="892" t="s">
        <v>1253</v>
      </c>
      <c r="AV251" s="893">
        <f>IF(AM258=4,AN245/24*AN246/365,0)</f>
        <v>0</v>
      </c>
      <c r="AX251" s="1201">
        <v>5</v>
      </c>
      <c r="AY251" s="1748" t="s">
        <v>918</v>
      </c>
      <c r="AZ251" s="894">
        <v>74</v>
      </c>
      <c r="BA251" s="894">
        <v>0.5</v>
      </c>
      <c r="BB251" s="894">
        <v>17</v>
      </c>
      <c r="BC251" s="894">
        <v>2</v>
      </c>
      <c r="BD251" s="894">
        <v>1</v>
      </c>
      <c r="BS251" s="1201"/>
    </row>
    <row r="252" spans="2:71" s="892" customFormat="1" ht="14" hidden="1" x14ac:dyDescent="0.3">
      <c r="B252" s="1750">
        <v>7</v>
      </c>
      <c r="C252" s="1748" t="s">
        <v>920</v>
      </c>
      <c r="K252" s="892">
        <v>16</v>
      </c>
      <c r="L252" s="894" t="s">
        <v>2088</v>
      </c>
      <c r="O252" s="892" t="s">
        <v>744</v>
      </c>
      <c r="Q252" s="1752" t="e">
        <f>IF(Q247=0,(Q248/((Q249+Q250)/100)),Q247)</f>
        <v>#DIV/0!</v>
      </c>
      <c r="T252" s="892" t="s">
        <v>933</v>
      </c>
      <c r="W252" s="1751"/>
      <c r="AC252" s="892" t="s">
        <v>228</v>
      </c>
      <c r="AD252" s="1753">
        <f>IF(G98="",1,IF(G98=0,1,(IF(G98=AD250,1,2))))</f>
        <v>1</v>
      </c>
      <c r="AQ252" s="892" t="s">
        <v>893</v>
      </c>
      <c r="AS252" s="893">
        <f>IF(AH259=2,AI245/24*AI246/365*IF(AD252=2,0.8,1),0)</f>
        <v>0</v>
      </c>
      <c r="AU252" s="892" t="s">
        <v>889</v>
      </c>
      <c r="AV252" s="893">
        <f>AV248+AV250+AV251</f>
        <v>0</v>
      </c>
      <c r="AX252" s="1201">
        <v>6</v>
      </c>
      <c r="AY252" s="1749" t="s">
        <v>919</v>
      </c>
      <c r="AZ252" s="894">
        <v>75</v>
      </c>
      <c r="BA252" s="894">
        <v>0.5</v>
      </c>
      <c r="BB252" s="894">
        <v>18</v>
      </c>
      <c r="BC252" s="894">
        <v>2</v>
      </c>
      <c r="BD252" s="894">
        <v>1</v>
      </c>
      <c r="BS252" s="1201"/>
    </row>
    <row r="253" spans="2:71" s="892" customFormat="1" ht="14" hidden="1" x14ac:dyDescent="0.3">
      <c r="K253" s="892">
        <v>17</v>
      </c>
      <c r="L253" s="894" t="s">
        <v>2089</v>
      </c>
      <c r="O253" s="892" t="s">
        <v>1219</v>
      </c>
      <c r="Q253" s="1752" t="e">
        <f>(Q252*1.03)*(0.2534+0.1226*Q249+0.0776*Q250)</f>
        <v>#DIV/0!</v>
      </c>
      <c r="T253" s="2605" t="s">
        <v>1950</v>
      </c>
      <c r="U253" s="2605"/>
      <c r="W253" s="1751"/>
      <c r="AG253" s="892" t="s">
        <v>891</v>
      </c>
      <c r="AK253" s="892" t="s">
        <v>892</v>
      </c>
      <c r="AQ253" s="1201" t="s">
        <v>1215</v>
      </c>
      <c r="AS253" s="893">
        <f>IF(AH259=2,(AI250/24*AI251/365*IF(AD252=2,0.2,0)),0)</f>
        <v>0</v>
      </c>
      <c r="AU253" s="892" t="s">
        <v>1248</v>
      </c>
      <c r="AV253" s="893">
        <f>AV246</f>
        <v>0</v>
      </c>
      <c r="AX253" s="1201">
        <v>7</v>
      </c>
      <c r="AY253" s="1748" t="s">
        <v>920</v>
      </c>
      <c r="AZ253" s="894">
        <v>80</v>
      </c>
      <c r="BA253" s="894">
        <v>0.5</v>
      </c>
      <c r="BB253" s="894">
        <v>50</v>
      </c>
      <c r="BC253" s="894">
        <v>2</v>
      </c>
      <c r="BD253" s="894">
        <v>2</v>
      </c>
      <c r="BS253" s="1201"/>
    </row>
    <row r="254" spans="2:71" s="892" customFormat="1" ht="14" hidden="1" x14ac:dyDescent="0.3">
      <c r="B254" s="892" t="s">
        <v>921</v>
      </c>
      <c r="C254" s="1750">
        <f>D15</f>
        <v>0</v>
      </c>
      <c r="D254" s="1201" t="s">
        <v>922</v>
      </c>
      <c r="E254" s="1201">
        <f>C75</f>
        <v>0</v>
      </c>
      <c r="K254" s="2033" t="s">
        <v>228</v>
      </c>
      <c r="L254" s="894">
        <f>H15</f>
        <v>0</v>
      </c>
      <c r="O254" s="892" t="s">
        <v>745</v>
      </c>
      <c r="Q254" s="1754" t="e">
        <f>ROUND((Q253/D19/D35),1)</f>
        <v>#DIV/0!</v>
      </c>
      <c r="AL254" s="892">
        <v>1</v>
      </c>
      <c r="AM254" s="892" t="s">
        <v>1242</v>
      </c>
      <c r="AQ254" s="1201" t="s">
        <v>1216</v>
      </c>
      <c r="AS254" s="893">
        <f>(IF(AH259=3,(AI250/24*AI251/365*IF(AD252=2,0.8,1)),0))</f>
        <v>0</v>
      </c>
      <c r="AU254" s="1201" t="s">
        <v>900</v>
      </c>
      <c r="AV254" s="893">
        <f>AV249</f>
        <v>0</v>
      </c>
      <c r="AX254" s="1201" t="s">
        <v>228</v>
      </c>
      <c r="AY254" s="1201" t="e">
        <f>VLOOKUP($D$15,$AY$247:$BD$253,1,FALSE)</f>
        <v>#N/A</v>
      </c>
      <c r="AZ254" s="1201" t="e">
        <f>VLOOKUP($D$15,$AY$247:$BD$253,2,FALSE)</f>
        <v>#N/A</v>
      </c>
      <c r="BA254" s="1201" t="e">
        <f>VLOOKUP($D$15,$AY$247:$BD$253,3,FALSE)</f>
        <v>#N/A</v>
      </c>
      <c r="BB254" s="1201" t="e">
        <f>VLOOKUP($D$15,$AY$247:$BD$253,4,FALSE)</f>
        <v>#N/A</v>
      </c>
      <c r="BC254" s="1201" t="e">
        <f>VLOOKUP($D$15,$AY$247:$BD$253,5,FALSE)</f>
        <v>#N/A</v>
      </c>
      <c r="BD254" s="1201" t="e">
        <f>VLOOKUP($D$15,$AY$247:$BD$253,6,FALSE)</f>
        <v>#N/A</v>
      </c>
    </row>
    <row r="255" spans="2:71" s="892" customFormat="1" ht="14" hidden="1" x14ac:dyDescent="0.3">
      <c r="L255" s="1750"/>
      <c r="O255" s="892" t="s">
        <v>743</v>
      </c>
      <c r="Q255" s="1754" t="e">
        <f>(Q252/D19/D35)</f>
        <v>#DIV/0!</v>
      </c>
      <c r="S255" s="892" t="s">
        <v>228</v>
      </c>
      <c r="T255" s="892">
        <f>C73</f>
        <v>0</v>
      </c>
      <c r="U255" s="1753">
        <f>IF(C73="",0,IF(C73=T251,"1",IF(C73=T252,2,3)))</f>
        <v>0</v>
      </c>
      <c r="AG255" s="892">
        <v>1</v>
      </c>
      <c r="AH255" s="892" t="s">
        <v>1242</v>
      </c>
      <c r="AK255" s="892" t="s">
        <v>877</v>
      </c>
      <c r="AL255" s="892">
        <v>2</v>
      </c>
      <c r="AM255" s="892" t="s">
        <v>930</v>
      </c>
      <c r="AQ255" s="1201" t="s">
        <v>894</v>
      </c>
      <c r="AS255" s="893">
        <f>(IF(AH259=3,(AI250/24*AI251/365*IF(AD252=2,0.2,0)),0))</f>
        <v>0</v>
      </c>
      <c r="AU255" s="1201" t="s">
        <v>1251</v>
      </c>
      <c r="AV255" s="893">
        <f>AV247</f>
        <v>0</v>
      </c>
    </row>
    <row r="256" spans="2:71" s="892" customFormat="1" ht="14" hidden="1" x14ac:dyDescent="0.3">
      <c r="K256" s="1201" t="s">
        <v>2049</v>
      </c>
      <c r="L256" s="1201" t="s">
        <v>2068</v>
      </c>
      <c r="AG256" s="892">
        <v>2</v>
      </c>
      <c r="AH256" s="892" t="s">
        <v>930</v>
      </c>
      <c r="AL256" s="892">
        <v>3</v>
      </c>
      <c r="AM256" s="892" t="s">
        <v>1243</v>
      </c>
      <c r="AQ256" s="1260" t="s">
        <v>1323</v>
      </c>
      <c r="AS256" s="893">
        <f>IF(AH259=4,(AI250/24*AI251/365),0)</f>
        <v>0</v>
      </c>
      <c r="AX256" s="892" t="s">
        <v>905</v>
      </c>
      <c r="AZ256" s="469" t="e">
        <f>AZ254*AS259</f>
        <v>#N/A</v>
      </c>
      <c r="BA256" s="469" t="e">
        <f>BA254*AS260</f>
        <v>#N/A</v>
      </c>
      <c r="BB256" s="469" t="e">
        <f>BB254*AS258</f>
        <v>#N/A</v>
      </c>
      <c r="BC256" s="469" t="e">
        <f>BC254*AS257</f>
        <v>#N/A</v>
      </c>
      <c r="BD256" s="469" t="e">
        <f>BD254*AS245</f>
        <v>#N/A</v>
      </c>
    </row>
    <row r="257" spans="1:70" s="892" customFormat="1" ht="14" hidden="1" x14ac:dyDescent="0.3">
      <c r="L257" s="892" t="s">
        <v>2069</v>
      </c>
      <c r="O257" s="892" t="s">
        <v>813</v>
      </c>
      <c r="Q257" s="1754" t="e">
        <f>((D38*F38)+(D39*F39)+(D40*F40)+(D41*F41)+(D42*F42)+(D43*F43))/D44</f>
        <v>#DIV/0!</v>
      </c>
      <c r="AG257" s="892">
        <v>3</v>
      </c>
      <c r="AH257" s="892" t="s">
        <v>1243</v>
      </c>
      <c r="AL257" s="892">
        <v>4</v>
      </c>
      <c r="AM257" s="892" t="s">
        <v>1241</v>
      </c>
      <c r="AQ257" s="1260" t="s">
        <v>889</v>
      </c>
      <c r="AS257" s="893">
        <f>AS248+AS250+AS253+AS255+AS256</f>
        <v>0</v>
      </c>
      <c r="AX257" s="892" t="s">
        <v>899</v>
      </c>
      <c r="AZ257" s="469"/>
      <c r="BA257" s="469"/>
      <c r="BB257" s="469"/>
      <c r="BC257" s="469"/>
      <c r="BD257" s="469" t="e">
        <f>SUM(AZ256:BD256)</f>
        <v>#N/A</v>
      </c>
    </row>
    <row r="258" spans="1:70" s="892" customFormat="1" ht="14" hidden="1" x14ac:dyDescent="0.3">
      <c r="K258" s="892" t="s">
        <v>228</v>
      </c>
      <c r="L258" s="892">
        <f>IF(K17=L256,1,2)</f>
        <v>2</v>
      </c>
      <c r="O258" s="892" t="s">
        <v>814</v>
      </c>
      <c r="Q258" s="1754" t="e">
        <f>((D38*H38)+(D39*H39)+(D40*H40)+(D41*H41)+(D42*H42)+(D43*H43))/D44</f>
        <v>#DIV/0!</v>
      </c>
      <c r="S258" s="892" t="s">
        <v>738</v>
      </c>
      <c r="T258" s="892" t="s">
        <v>992</v>
      </c>
      <c r="AG258" s="892">
        <v>4</v>
      </c>
      <c r="AH258" s="892" t="s">
        <v>1241</v>
      </c>
      <c r="AL258" s="892" t="s">
        <v>228</v>
      </c>
      <c r="AM258" s="892">
        <f>IF(F107=AM254,1,IF(F107=AM255,2,IF(F107=AM256,3,4)))</f>
        <v>4</v>
      </c>
      <c r="AQ258" s="1260" t="s">
        <v>1248</v>
      </c>
      <c r="AS258" s="893">
        <f>AS246+AS251</f>
        <v>0</v>
      </c>
    </row>
    <row r="259" spans="1:70" s="892" customFormat="1" ht="14" hidden="1" x14ac:dyDescent="0.3">
      <c r="L259" s="892" t="str">
        <f>IF(L258=1,L256,L257)</f>
        <v xml:space="preserve">Calves sold post-weaning </v>
      </c>
      <c r="O259" s="892" t="s">
        <v>1217</v>
      </c>
      <c r="Q259" s="1754" t="e">
        <f>ROUND((1.185+(0.00454*D21)-(0.0000026*(D21)^2)+((0.315*0)))^2*1.1+((H35*D35/365)*3.054/0.6/(0.00795*Q257-0.0014)/18.4),1)</f>
        <v>#DIV/0!</v>
      </c>
      <c r="T259" s="892" t="s">
        <v>993</v>
      </c>
      <c r="AG259" s="892" t="s">
        <v>228</v>
      </c>
      <c r="AH259" s="892">
        <f>IF(F102=AH255,1,IF(F102=AH256,2,IF(F102=AH257,3,4)))</f>
        <v>4</v>
      </c>
      <c r="AQ259" s="1201" t="s">
        <v>900</v>
      </c>
      <c r="AS259" s="893">
        <f>AS249+AS254</f>
        <v>0</v>
      </c>
      <c r="AX259" s="892" t="s">
        <v>906</v>
      </c>
      <c r="AZ259" s="892" t="e">
        <f>AZ254*AV254</f>
        <v>#N/A</v>
      </c>
      <c r="BA259" s="892" t="e">
        <f>BA254*AV255</f>
        <v>#N/A</v>
      </c>
      <c r="BB259" s="892" t="e">
        <f>BB254*AV253</f>
        <v>#N/A</v>
      </c>
      <c r="BC259" s="892" t="e">
        <f>BC254*AV252</f>
        <v>#N/A</v>
      </c>
      <c r="BD259" s="892" t="e">
        <f>BD254*AV245</f>
        <v>#N/A</v>
      </c>
    </row>
    <row r="260" spans="1:70" s="892" customFormat="1" ht="14" hidden="1" x14ac:dyDescent="0.3">
      <c r="B260" s="1755" t="s">
        <v>639</v>
      </c>
      <c r="AQ260" s="1201" t="s">
        <v>1251</v>
      </c>
      <c r="AS260" s="893">
        <f>AS247+AS252</f>
        <v>0</v>
      </c>
      <c r="AX260" s="892" t="s">
        <v>899</v>
      </c>
      <c r="BD260" s="469" t="e">
        <f>SUM(AZ259:BD259)</f>
        <v>#N/A</v>
      </c>
    </row>
    <row r="261" spans="1:70" s="892" customFormat="1" ht="14" hidden="1" x14ac:dyDescent="0.3">
      <c r="O261" s="892" t="s">
        <v>1913</v>
      </c>
      <c r="Q261" s="1752" t="e">
        <f>K134*1000</f>
        <v>#DIV/0!</v>
      </c>
      <c r="S261" s="892" t="s">
        <v>228</v>
      </c>
      <c r="T261" s="892">
        <f>D31</f>
        <v>0</v>
      </c>
      <c r="U261" s="1753" t="str">
        <f>IF(D31=T258,"1","2")</f>
        <v>2</v>
      </c>
    </row>
    <row r="262" spans="1:70" s="892" customFormat="1" ht="14" hidden="1" x14ac:dyDescent="0.3">
      <c r="B262" s="1756" t="s">
        <v>0</v>
      </c>
      <c r="C262" s="1756" t="s">
        <v>216</v>
      </c>
      <c r="D262" s="1757" t="str">
        <f>D17</f>
        <v>Milking Cows</v>
      </c>
      <c r="E262" s="1757" t="str">
        <f>E17</f>
        <v>Heifers &gt;1 yr age</v>
      </c>
      <c r="F262" s="1757" t="str">
        <f>F17</f>
        <v>Heifers &lt;1 yr age</v>
      </c>
      <c r="G262" s="1757" t="str">
        <f>G17</f>
        <v>Mature bulls</v>
      </c>
      <c r="H262" s="1757" t="str">
        <f>H17</f>
        <v xml:space="preserve">Other stock &lt; 1 yr age </v>
      </c>
      <c r="I262" s="1757" t="s">
        <v>1228</v>
      </c>
      <c r="J262" s="1757" t="s">
        <v>1229</v>
      </c>
      <c r="K262" s="1757" t="str">
        <f>I17</f>
        <v>Other stock &gt; 1 yr age</v>
      </c>
      <c r="L262" s="1758" t="s">
        <v>215</v>
      </c>
      <c r="M262" s="1759" t="s">
        <v>230</v>
      </c>
      <c r="N262" s="1201"/>
      <c r="O262" s="892" t="s">
        <v>927</v>
      </c>
      <c r="Q262" s="469" t="e">
        <f>Q261/Q253</f>
        <v>#DIV/0!</v>
      </c>
      <c r="AH262" s="581" t="s">
        <v>227</v>
      </c>
      <c r="AI262" s="581" t="s">
        <v>225</v>
      </c>
      <c r="AJ262" s="1753" t="s">
        <v>1238</v>
      </c>
      <c r="AK262" s="1753" t="s">
        <v>1237</v>
      </c>
      <c r="AL262" s="1753"/>
      <c r="AM262" s="1753" t="s">
        <v>226</v>
      </c>
      <c r="AN262" s="1753"/>
      <c r="AO262" s="1753" t="s">
        <v>899</v>
      </c>
    </row>
    <row r="263" spans="1:70" s="892" customFormat="1" ht="14" hidden="1" x14ac:dyDescent="0.3">
      <c r="B263" s="1760"/>
      <c r="C263" s="1760"/>
      <c r="D263" s="1760"/>
      <c r="E263" s="1760"/>
      <c r="F263" s="1760"/>
      <c r="G263" s="1760"/>
      <c r="H263" s="1760"/>
      <c r="I263" s="1760"/>
      <c r="J263" s="1760"/>
      <c r="K263" s="1760"/>
      <c r="L263" s="1760"/>
      <c r="M263" s="1761"/>
      <c r="N263" s="1201"/>
      <c r="O263" s="892" t="s">
        <v>928</v>
      </c>
      <c r="Q263" s="1754" t="e">
        <f>Q261/Q251</f>
        <v>#DIV/0!</v>
      </c>
      <c r="AF263" s="892">
        <v>1</v>
      </c>
      <c r="AG263" s="1748" t="s">
        <v>912</v>
      </c>
      <c r="AH263" s="581">
        <v>84.29</v>
      </c>
      <c r="AI263" s="581">
        <v>11.6</v>
      </c>
      <c r="AJ263" s="581">
        <v>1.1000000000000001</v>
      </c>
      <c r="AK263" s="581">
        <v>0.55000000000000004</v>
      </c>
      <c r="AL263" s="581"/>
      <c r="AM263" s="581">
        <v>2.46</v>
      </c>
      <c r="AN263" s="581"/>
      <c r="AO263" s="1762">
        <v>9.5751000000000008</v>
      </c>
    </row>
    <row r="264" spans="1:70" s="1201" customFormat="1" ht="14" hidden="1" x14ac:dyDescent="0.3">
      <c r="A264" s="892"/>
      <c r="B264" s="1763" t="s">
        <v>231</v>
      </c>
      <c r="C264" s="1760"/>
      <c r="D264" s="1763" t="s">
        <v>816</v>
      </c>
      <c r="E264" s="1763"/>
      <c r="F264" s="1763"/>
      <c r="G264" s="1763"/>
      <c r="H264" s="1760"/>
      <c r="I264" s="1760"/>
      <c r="J264" s="1760"/>
      <c r="K264" s="1760"/>
      <c r="L264" s="1760"/>
      <c r="M264" s="1764" t="s">
        <v>1231</v>
      </c>
      <c r="O264" s="892"/>
      <c r="P264" s="892"/>
      <c r="Q264" s="892"/>
      <c r="R264" s="892"/>
      <c r="S264" s="892"/>
      <c r="T264" s="892"/>
      <c r="U264" s="892"/>
      <c r="V264" s="892"/>
      <c r="W264" s="892"/>
      <c r="X264" s="892"/>
      <c r="Y264" s="892"/>
      <c r="Z264" s="892"/>
      <c r="AA264" s="892"/>
      <c r="AB264" s="892"/>
      <c r="AC264" s="892"/>
      <c r="AD264" s="892"/>
      <c r="AE264" s="892"/>
      <c r="AF264" s="892">
        <v>2</v>
      </c>
      <c r="AG264" s="1748" t="s">
        <v>917</v>
      </c>
      <c r="AH264" s="1762">
        <v>79.25</v>
      </c>
      <c r="AI264" s="1762">
        <v>12.04</v>
      </c>
      <c r="AJ264" s="1762">
        <v>2.42</v>
      </c>
      <c r="AK264" s="1762">
        <v>1.21</v>
      </c>
      <c r="AL264" s="469"/>
      <c r="AM264" s="1762">
        <v>5.08</v>
      </c>
      <c r="AN264" s="1762"/>
      <c r="AO264" s="1762">
        <v>10.154</v>
      </c>
      <c r="AP264" s="892"/>
      <c r="AQ264" s="892"/>
      <c r="AR264" s="892"/>
      <c r="AS264" s="892"/>
      <c r="AT264" s="892"/>
      <c r="AU264" s="892"/>
      <c r="AV264" s="892"/>
      <c r="AW264" s="892"/>
      <c r="AX264" s="892"/>
      <c r="AY264" s="892"/>
      <c r="AZ264" s="892"/>
      <c r="BA264" s="892"/>
      <c r="BB264" s="892"/>
      <c r="BC264" s="892"/>
      <c r="BD264" s="892"/>
      <c r="BE264" s="892"/>
      <c r="BF264" s="892"/>
      <c r="BG264" s="892"/>
      <c r="BH264" s="892"/>
      <c r="BI264" s="892"/>
      <c r="BJ264" s="892"/>
      <c r="BK264" s="892"/>
      <c r="BL264" s="892"/>
      <c r="BM264" s="892"/>
      <c r="BN264" s="892"/>
      <c r="BO264" s="892"/>
      <c r="BP264" s="892"/>
      <c r="BQ264" s="892"/>
      <c r="BR264" s="892"/>
    </row>
    <row r="265" spans="1:70" s="1201" customFormat="1" ht="14" hidden="1" x14ac:dyDescent="0.3">
      <c r="A265" s="892"/>
      <c r="B265" s="1760"/>
      <c r="C265" s="1760" t="s">
        <v>434</v>
      </c>
      <c r="D265" s="1765" t="e">
        <f>(1.185+(0.00454*D21)-(0.0000026*(D21)^2)+((0.315*D23)))^2*1.1+D269</f>
        <v>#DIV/0!</v>
      </c>
      <c r="E265" s="1765">
        <f>(1.185+(0.00454*E21)-(0.0000026*(E21)^2)+((0.315*E23)))^2*1+E269</f>
        <v>1.4042250000000001</v>
      </c>
      <c r="F265" s="1765">
        <f>(1.185+(0.00454*F21)-(0.0000026*(F21)^2)+((0.315*F23)))^2*1+F269</f>
        <v>1.4042250000000001</v>
      </c>
      <c r="G265" s="1765">
        <f>(1.185+(0.00454*G21)-(0.0000026*(G21)^2)+((0.315*G23)))^2*1+G269</f>
        <v>1.4042250000000001</v>
      </c>
      <c r="H265" s="1765">
        <f>(1.185+(0.00454*H21)-(0.0000026*(H21)^2)+((0.315*H23)))^2*1+H269</f>
        <v>1.4042250000000001</v>
      </c>
      <c r="I265" s="1760"/>
      <c r="J265" s="1760"/>
      <c r="K265" s="1765">
        <f>(1.185+(0.00454*I21)-(0.0000026*(I21)^2)+((0.315*I23)))^2*1+K269</f>
        <v>1.4042250000000001</v>
      </c>
      <c r="L265" s="1766" t="s">
        <v>232</v>
      </c>
      <c r="M265" s="1761"/>
      <c r="O265" s="1201" t="s">
        <v>1933</v>
      </c>
      <c r="Q265" s="1767" t="e">
        <f>Q253</f>
        <v>#DIV/0!</v>
      </c>
      <c r="AF265" s="892">
        <v>3</v>
      </c>
      <c r="AG265" s="1748" t="s">
        <v>866</v>
      </c>
      <c r="AH265" s="581">
        <v>85.19</v>
      </c>
      <c r="AI265" s="581">
        <v>7.98</v>
      </c>
      <c r="AJ265" s="581">
        <v>3.41</v>
      </c>
      <c r="AK265" s="581">
        <v>1.43</v>
      </c>
      <c r="AL265" s="581"/>
      <c r="AM265" s="581">
        <v>1.99</v>
      </c>
      <c r="AN265" s="581"/>
      <c r="AO265" s="1762">
        <v>6.6955999999999998</v>
      </c>
      <c r="AP265" s="892"/>
      <c r="AQ265" s="892"/>
      <c r="BE265" s="892"/>
      <c r="BF265" s="892"/>
      <c r="BG265" s="892"/>
      <c r="BH265" s="892"/>
      <c r="BI265" s="892"/>
      <c r="BJ265" s="892"/>
      <c r="BK265" s="892"/>
      <c r="BL265" s="892"/>
      <c r="BM265" s="892"/>
      <c r="BN265" s="892"/>
      <c r="BO265" s="892"/>
      <c r="BP265" s="892"/>
      <c r="BQ265" s="892"/>
      <c r="BR265" s="892"/>
    </row>
    <row r="266" spans="1:70" s="1201" customFormat="1" ht="14" hidden="1" x14ac:dyDescent="0.3">
      <c r="A266" s="892"/>
      <c r="B266" s="1760"/>
      <c r="C266" s="1760"/>
      <c r="D266" s="1765"/>
      <c r="E266" s="1765"/>
      <c r="F266" s="1765"/>
      <c r="G266" s="1765"/>
      <c r="H266" s="1765"/>
      <c r="I266" s="1760"/>
      <c r="J266" s="1760"/>
      <c r="K266" s="1766"/>
      <c r="L266" s="1766"/>
      <c r="M266" s="1761"/>
      <c r="O266" s="1201" t="s">
        <v>1926</v>
      </c>
      <c r="Q266" s="1552" t="s">
        <v>1927</v>
      </c>
      <c r="R266" s="1552" t="s">
        <v>1930</v>
      </c>
      <c r="S266" s="1552" t="s">
        <v>1931</v>
      </c>
      <c r="T266" s="1552" t="s">
        <v>1932</v>
      </c>
      <c r="U266" s="1552" t="s">
        <v>1991</v>
      </c>
      <c r="V266" s="1201" t="s">
        <v>1990</v>
      </c>
      <c r="AF266" s="892">
        <v>4</v>
      </c>
      <c r="AG266" s="1748" t="s">
        <v>914</v>
      </c>
      <c r="AH266" s="581">
        <v>79.37</v>
      </c>
      <c r="AI266" s="581">
        <v>9.68</v>
      </c>
      <c r="AJ266" s="581">
        <v>2.64</v>
      </c>
      <c r="AK266" s="581">
        <v>3.3</v>
      </c>
      <c r="AL266" s="581"/>
      <c r="AM266" s="581">
        <v>5.01</v>
      </c>
      <c r="AN266" s="581"/>
      <c r="AO266" s="1762">
        <v>9.1526999999999994</v>
      </c>
      <c r="AP266" s="892"/>
      <c r="AQ266" s="892"/>
      <c r="BE266" s="892"/>
      <c r="BF266" s="892"/>
      <c r="BG266" s="892"/>
      <c r="BH266" s="892"/>
      <c r="BI266" s="892"/>
      <c r="BJ266" s="892"/>
      <c r="BK266" s="892"/>
      <c r="BL266" s="892"/>
      <c r="BM266" s="892"/>
      <c r="BN266" s="892"/>
      <c r="BO266" s="892"/>
      <c r="BP266" s="892"/>
      <c r="BQ266" s="892"/>
      <c r="BR266" s="892"/>
    </row>
    <row r="267" spans="1:70" s="1201" customFormat="1" ht="14" hidden="1" x14ac:dyDescent="0.3">
      <c r="A267" s="892"/>
      <c r="B267" s="1763" t="s">
        <v>233</v>
      </c>
      <c r="C267" s="1766"/>
      <c r="D267" s="1763" t="s">
        <v>1319</v>
      </c>
      <c r="E267" s="1763"/>
      <c r="F267" s="1760"/>
      <c r="G267" s="1760"/>
      <c r="H267" s="1760"/>
      <c r="I267" s="1760"/>
      <c r="J267" s="1760"/>
      <c r="K267" s="1760"/>
      <c r="L267" s="1760"/>
      <c r="M267" s="1761"/>
      <c r="O267" s="1201" t="s">
        <v>1927</v>
      </c>
      <c r="Q267" s="1552">
        <f t="shared" ref="Q267:V267" si="5">D25*D27</f>
        <v>0</v>
      </c>
      <c r="R267" s="1552">
        <f t="shared" si="5"/>
        <v>0</v>
      </c>
      <c r="S267" s="1552">
        <f t="shared" si="5"/>
        <v>0</v>
      </c>
      <c r="T267" s="1552">
        <f t="shared" si="5"/>
        <v>0</v>
      </c>
      <c r="U267" s="1552">
        <f t="shared" si="5"/>
        <v>0</v>
      </c>
      <c r="V267" s="1552">
        <f t="shared" si="5"/>
        <v>0</v>
      </c>
      <c r="AF267" s="1750">
        <v>5</v>
      </c>
      <c r="AG267" s="1748" t="s">
        <v>918</v>
      </c>
      <c r="AH267" s="581">
        <v>80.67</v>
      </c>
      <c r="AI267" s="581">
        <v>10.81</v>
      </c>
      <c r="AJ267" s="581">
        <v>3.52</v>
      </c>
      <c r="AK267" s="581">
        <v>0.66</v>
      </c>
      <c r="AL267" s="581"/>
      <c r="AM267" s="581">
        <v>4.34</v>
      </c>
      <c r="AN267" s="581"/>
      <c r="AO267" s="1762">
        <v>9.0227000000000004</v>
      </c>
      <c r="AP267" s="892"/>
      <c r="AQ267" s="892"/>
      <c r="BE267" s="892"/>
      <c r="BF267" s="892"/>
      <c r="BG267" s="892"/>
      <c r="BH267" s="892"/>
      <c r="BI267" s="892"/>
      <c r="BJ267" s="892"/>
      <c r="BK267" s="892"/>
      <c r="BL267" s="892"/>
      <c r="BM267" s="892"/>
      <c r="BN267" s="892"/>
      <c r="BO267" s="892"/>
      <c r="BP267" s="892"/>
      <c r="BQ267" s="892"/>
      <c r="BR267" s="892"/>
    </row>
    <row r="268" spans="1:70" s="1201" customFormat="1" ht="14" hidden="1" x14ac:dyDescent="0.3">
      <c r="A268" s="892"/>
      <c r="B268" s="1760"/>
      <c r="C268" s="1760"/>
      <c r="D268" s="1763" t="s">
        <v>1338</v>
      </c>
      <c r="E268" s="1760"/>
      <c r="F268" s="1760"/>
      <c r="G268" s="1760"/>
      <c r="H268" s="1760"/>
      <c r="I268" s="1760"/>
      <c r="J268" s="1760"/>
      <c r="K268" s="1760"/>
      <c r="L268" s="1760"/>
      <c r="M268" s="1764" t="s">
        <v>1232</v>
      </c>
      <c r="O268" s="1201" t="s">
        <v>1934</v>
      </c>
      <c r="Q268" s="1552">
        <f>SUM(Q267:V267)</f>
        <v>0</v>
      </c>
      <c r="S268" s="2034"/>
      <c r="AF268" s="892">
        <v>6</v>
      </c>
      <c r="AG268" s="1749" t="s">
        <v>919</v>
      </c>
      <c r="AH268" s="581">
        <v>81.86</v>
      </c>
      <c r="AI268" s="581">
        <v>10.35</v>
      </c>
      <c r="AJ268" s="581">
        <v>2.5299999999999998</v>
      </c>
      <c r="AK268" s="581">
        <v>1.54</v>
      </c>
      <c r="AL268" s="581"/>
      <c r="AM268" s="581">
        <v>3.72</v>
      </c>
      <c r="AN268" s="581"/>
      <c r="AO268" s="1762">
        <v>8.9453999999999994</v>
      </c>
      <c r="AP268" s="892"/>
      <c r="AQ268" s="892"/>
      <c r="BE268" s="892"/>
      <c r="BF268" s="892"/>
      <c r="BG268" s="892"/>
      <c r="BH268" s="892"/>
      <c r="BI268" s="892"/>
      <c r="BJ268" s="892"/>
      <c r="BK268" s="892"/>
      <c r="BL268" s="892"/>
      <c r="BM268" s="892"/>
      <c r="BN268" s="892"/>
      <c r="BO268" s="892"/>
      <c r="BP268" s="892"/>
      <c r="BQ268" s="892"/>
      <c r="BR268" s="892"/>
    </row>
    <row r="269" spans="1:70" s="1201" customFormat="1" ht="14" hidden="1" x14ac:dyDescent="0.3">
      <c r="A269" s="892"/>
      <c r="B269" s="1760"/>
      <c r="C269" s="1760" t="s">
        <v>434</v>
      </c>
      <c r="D269" s="1768" t="e">
        <f>(Q255*1.03 *D35/365)*3.054/0.6/((0.00795*F44)-0.0014)/18.4</f>
        <v>#DIV/0!</v>
      </c>
      <c r="E269" s="1765">
        <f>0*3.054/0.6/(0.00795*D46-0.0014)/18.4</f>
        <v>0</v>
      </c>
      <c r="F269" s="1765">
        <f>0*3.054/0.6/(0.00795*D47-0.0014)/18.4</f>
        <v>0</v>
      </c>
      <c r="G269" s="1765">
        <f>0*3.054/0.6/(0.00795*D46-0.0014)/18.4</f>
        <v>0</v>
      </c>
      <c r="H269" s="1765">
        <f>0*3.054/0.6/(0.00795*D46-0.0014)/18.4</f>
        <v>0</v>
      </c>
      <c r="I269" s="1760"/>
      <c r="J269" s="1760"/>
      <c r="K269" s="1765">
        <f>0*3.054/0.6/(0.00795*D46-0.0014)/18.4</f>
        <v>0</v>
      </c>
      <c r="L269" s="1766" t="s">
        <v>232</v>
      </c>
      <c r="M269" s="1761"/>
      <c r="AF269" s="892">
        <v>7</v>
      </c>
      <c r="AG269" s="1748" t="s">
        <v>920</v>
      </c>
      <c r="AH269" s="581">
        <v>79.37</v>
      </c>
      <c r="AI269" s="581">
        <v>9.68</v>
      </c>
      <c r="AJ269" s="581">
        <v>2.64</v>
      </c>
      <c r="AK269" s="581">
        <v>3.3</v>
      </c>
      <c r="AL269" s="581"/>
      <c r="AM269" s="581">
        <v>5.01</v>
      </c>
      <c r="AN269" s="581"/>
      <c r="AO269" s="1762">
        <v>11.108000000000001</v>
      </c>
      <c r="AP269" s="892"/>
      <c r="AQ269" s="892"/>
      <c r="BE269" s="892"/>
      <c r="BF269" s="892"/>
      <c r="BG269" s="892"/>
      <c r="BH269" s="892"/>
      <c r="BI269" s="892"/>
      <c r="BJ269" s="892"/>
      <c r="BK269" s="892"/>
      <c r="BL269" s="892"/>
      <c r="BM269" s="892"/>
      <c r="BN269" s="892"/>
      <c r="BO269" s="892"/>
      <c r="BP269" s="892"/>
      <c r="BQ269" s="892"/>
      <c r="BR269" s="892"/>
    </row>
    <row r="270" spans="1:70" s="1201" customFormat="1" ht="14" hidden="1" x14ac:dyDescent="0.3">
      <c r="A270" s="892"/>
      <c r="B270" s="1760"/>
      <c r="C270" s="1760"/>
      <c r="D270" s="1768"/>
      <c r="E270" s="1765"/>
      <c r="F270" s="1765"/>
      <c r="G270" s="1765"/>
      <c r="H270" s="1765"/>
      <c r="I270" s="1760"/>
      <c r="J270" s="1760"/>
      <c r="K270" s="1766"/>
      <c r="L270" s="1766"/>
      <c r="M270" s="1761"/>
      <c r="Q270" s="1769"/>
      <c r="R270" s="1552"/>
      <c r="S270" s="1552"/>
      <c r="AF270" s="892"/>
      <c r="AG270" s="1748"/>
      <c r="AH270" s="581"/>
      <c r="AI270" s="581"/>
      <c r="AJ270" s="581"/>
      <c r="AK270" s="581"/>
      <c r="AL270" s="581"/>
      <c r="AM270" s="581"/>
      <c r="AN270" s="581"/>
      <c r="AO270" s="581"/>
      <c r="AP270" s="892"/>
      <c r="AQ270" s="892"/>
      <c r="BE270" s="892"/>
      <c r="BF270" s="892"/>
      <c r="BG270" s="892"/>
      <c r="BH270" s="892"/>
      <c r="BI270" s="892"/>
      <c r="BJ270" s="892"/>
      <c r="BK270" s="892"/>
      <c r="BL270" s="892"/>
      <c r="BM270" s="892"/>
      <c r="BN270" s="892"/>
      <c r="BO270" s="892"/>
      <c r="BP270" s="892"/>
      <c r="BQ270" s="892"/>
      <c r="BR270" s="892"/>
    </row>
    <row r="271" spans="1:70" s="1201" customFormat="1" ht="14" hidden="1" x14ac:dyDescent="0.3">
      <c r="A271" s="892"/>
      <c r="B271" s="1763" t="s">
        <v>6</v>
      </c>
      <c r="C271" s="1766"/>
      <c r="D271" s="1763" t="s">
        <v>235</v>
      </c>
      <c r="E271" s="1766"/>
      <c r="F271" s="1766"/>
      <c r="G271" s="1766"/>
      <c r="H271" s="1760"/>
      <c r="I271" s="1760"/>
      <c r="J271" s="1760"/>
      <c r="K271" s="1760"/>
      <c r="L271" s="1760"/>
      <c r="M271" s="1764" t="s">
        <v>2162</v>
      </c>
      <c r="Q271" s="1769"/>
      <c r="R271" s="1770"/>
      <c r="S271" s="1771"/>
      <c r="AF271" s="1201" t="s">
        <v>902</v>
      </c>
      <c r="AG271" s="892">
        <f>C254</f>
        <v>0</v>
      </c>
      <c r="AH271" s="581" t="e">
        <f>VLOOKUP($AG$271,$AG$263:$AO$269,2,FALSE)</f>
        <v>#N/A</v>
      </c>
      <c r="AI271" s="581" t="e">
        <f>VLOOKUP($AG$271,$AG$263:$AO$269,3,FALSE)</f>
        <v>#N/A</v>
      </c>
      <c r="AJ271" s="581" t="e">
        <f>VLOOKUP($AG$271,$AG$263:$AO$269,4,FALSE)</f>
        <v>#N/A</v>
      </c>
      <c r="AK271" s="581" t="e">
        <f>VLOOKUP($AG$271,$AG$263:$AO$269,5,FALSE)</f>
        <v>#N/A</v>
      </c>
      <c r="AL271" s="581"/>
      <c r="AM271" s="581" t="e">
        <f>VLOOKUP($AG$271,$AG$263:$AO$269,7,FALSE)</f>
        <v>#N/A</v>
      </c>
      <c r="AN271" s="581"/>
      <c r="AO271" s="581" t="e">
        <f>VLOOKUP($AG$271,$AG$263:$AO$269,9,FALSE)</f>
        <v>#N/A</v>
      </c>
      <c r="AP271" s="892"/>
      <c r="AQ271" s="892"/>
      <c r="BE271" s="892"/>
      <c r="BF271" s="892"/>
      <c r="BG271" s="892"/>
      <c r="BH271" s="892"/>
      <c r="BI271" s="892"/>
      <c r="BJ271" s="892"/>
      <c r="BK271" s="892"/>
      <c r="BL271" s="892"/>
      <c r="BM271" s="892"/>
      <c r="BN271" s="892"/>
      <c r="BO271" s="892"/>
      <c r="BP271" s="892"/>
      <c r="BQ271" s="892"/>
      <c r="BR271" s="892"/>
    </row>
    <row r="272" spans="1:70" s="1201" customFormat="1" ht="14" hidden="1" x14ac:dyDescent="0.3">
      <c r="A272" s="892"/>
      <c r="B272" s="1760"/>
      <c r="C272" s="1760" t="s">
        <v>434</v>
      </c>
      <c r="D272" s="1772" t="e">
        <f>D265/(1.185+(0.00454*D21)-(0.0000026*(D21)^2)+((0.315*0)))^2</f>
        <v>#DIV/0!</v>
      </c>
      <c r="E272" s="1772">
        <f>E265/(1.185+(0.00454*E21)-(0.0000026*(E21)^2)+((0.315*0)))^2</f>
        <v>1</v>
      </c>
      <c r="F272" s="1772">
        <f>F265/(1.185+(0.00454*F21)-(0.0000026*(F21)^2)+((0.315*0)))^2</f>
        <v>1</v>
      </c>
      <c r="G272" s="1772">
        <f>G265/(1.185+(0.00454*G21)-(0.0000026*(G21)^2)+((0.315*0)))^2</f>
        <v>1</v>
      </c>
      <c r="H272" s="1772">
        <f>H265/(1.185+(0.00454*H21)-(0.0000026*(H21)^2)+((0.315*0)))^2</f>
        <v>1</v>
      </c>
      <c r="I272" s="1760"/>
      <c r="J272" s="1760"/>
      <c r="K272" s="1772">
        <f>K265/(1.185+(0.00454*L21)-(0.0000026*(L21)^2)+((0.315*0)))^2</f>
        <v>1</v>
      </c>
      <c r="L272" s="1766" t="s">
        <v>232</v>
      </c>
      <c r="M272" s="1761"/>
      <c r="AF272" s="1201" t="s">
        <v>904</v>
      </c>
      <c r="AG272" s="892"/>
      <c r="AH272" s="1773">
        <f>AS245*100</f>
        <v>100</v>
      </c>
      <c r="AI272" s="1773">
        <f>AS259*100</f>
        <v>0</v>
      </c>
      <c r="AJ272" s="1773">
        <f>AS260*100</f>
        <v>0</v>
      </c>
      <c r="AK272" s="1773">
        <f>AS258*100</f>
        <v>0</v>
      </c>
      <c r="AL272" s="1773"/>
      <c r="AM272" s="1773">
        <f>AS257*100</f>
        <v>0</v>
      </c>
      <c r="AN272" s="581"/>
      <c r="AO272" s="1762" t="e">
        <f>BD257</f>
        <v>#N/A</v>
      </c>
      <c r="AP272" s="892"/>
      <c r="AQ272" s="892"/>
      <c r="BE272" s="892"/>
      <c r="BF272" s="892"/>
      <c r="BG272" s="892"/>
      <c r="BH272" s="892"/>
      <c r="BI272" s="892"/>
      <c r="BJ272" s="892"/>
      <c r="BK272" s="892"/>
      <c r="BL272" s="892"/>
      <c r="BM272" s="892"/>
      <c r="BN272" s="892"/>
      <c r="BO272" s="892"/>
      <c r="BP272" s="892"/>
      <c r="BQ272" s="892"/>
      <c r="BR272" s="892"/>
    </row>
    <row r="273" spans="2:57" s="1201" customFormat="1" ht="14" hidden="1" x14ac:dyDescent="0.3">
      <c r="B273" s="1760"/>
      <c r="C273" s="1760"/>
      <c r="D273" s="1765"/>
      <c r="E273" s="1765"/>
      <c r="F273" s="1765"/>
      <c r="G273" s="1765"/>
      <c r="H273" s="1765"/>
      <c r="I273" s="1760"/>
      <c r="J273" s="1760"/>
      <c r="K273" s="1766"/>
      <c r="L273" s="1766"/>
      <c r="M273" s="1761"/>
      <c r="AF273" s="1201" t="s">
        <v>903</v>
      </c>
      <c r="AG273" s="892"/>
      <c r="AH273" s="1773" t="e">
        <f>IF($AD$247=1,AH271,AH272)</f>
        <v>#N/A</v>
      </c>
      <c r="AI273" s="1773" t="e">
        <f>IF($AD$247=1,AI271,AI272)</f>
        <v>#N/A</v>
      </c>
      <c r="AJ273" s="1773" t="e">
        <f>IF($AD$247=1,AJ271,AJ272)</f>
        <v>#N/A</v>
      </c>
      <c r="AK273" s="1773" t="e">
        <f>IF($AD$247=1,AK271,AK272)</f>
        <v>#N/A</v>
      </c>
      <c r="AL273" s="1773"/>
      <c r="AM273" s="1773" t="e">
        <f>IF($AD$247=1,AM271,AM272)</f>
        <v>#N/A</v>
      </c>
      <c r="AN273" s="1773"/>
      <c r="AO273" s="1762" t="e">
        <f>IF($AD$247=1,AO271,AO272)</f>
        <v>#N/A</v>
      </c>
      <c r="AP273" s="892"/>
      <c r="AQ273" s="892"/>
      <c r="BE273" s="892"/>
    </row>
    <row r="274" spans="2:57" s="1201" customFormat="1" ht="14" hidden="1" x14ac:dyDescent="0.3">
      <c r="B274" s="1763" t="s">
        <v>236</v>
      </c>
      <c r="C274" s="1760"/>
      <c r="D274" s="1763" t="s">
        <v>1456</v>
      </c>
      <c r="E274" s="1766"/>
      <c r="F274" s="1760"/>
      <c r="G274" s="1760"/>
      <c r="H274" s="1760"/>
      <c r="I274" s="1760"/>
      <c r="J274" s="1760"/>
      <c r="K274" s="1760"/>
      <c r="L274" s="1760"/>
      <c r="M274" s="1764" t="s">
        <v>1233</v>
      </c>
      <c r="Q274" s="1774"/>
      <c r="AF274" s="1201" t="s">
        <v>1254</v>
      </c>
      <c r="AH274" s="1770">
        <v>100</v>
      </c>
      <c r="AI274" s="1770">
        <v>0</v>
      </c>
      <c r="AJ274" s="1770">
        <v>0</v>
      </c>
      <c r="AK274" s="1770">
        <v>0</v>
      </c>
      <c r="AL274" s="1770"/>
      <c r="AM274" s="1770">
        <v>0</v>
      </c>
      <c r="AN274" s="1770"/>
      <c r="AO274" s="1770">
        <v>1</v>
      </c>
    </row>
    <row r="275" spans="2:57" s="1201" customFormat="1" ht="14" hidden="1" x14ac:dyDescent="0.3">
      <c r="B275" s="1760"/>
      <c r="C275" s="1760" t="s">
        <v>434</v>
      </c>
      <c r="D275" s="1775" t="e">
        <f>20.7*D265/1000</f>
        <v>#DIV/0!</v>
      </c>
      <c r="E275" s="1775">
        <f>20.7*E265/1000</f>
        <v>2.9067457500000001E-2</v>
      </c>
      <c r="F275" s="1775">
        <f>20.7*F265/1000</f>
        <v>2.9067457500000001E-2</v>
      </c>
      <c r="G275" s="1775">
        <f>20.7*G265/1000</f>
        <v>2.9067457500000001E-2</v>
      </c>
      <c r="H275" s="1775">
        <f>20.7*H265/1000</f>
        <v>2.9067457500000001E-2</v>
      </c>
      <c r="I275" s="1760">
        <v>1.7600000000000001E-2</v>
      </c>
      <c r="J275" s="1760">
        <v>2.0400000000000001E-2</v>
      </c>
      <c r="K275" s="1775">
        <f>20.7*K265/1000</f>
        <v>2.9067457500000001E-2</v>
      </c>
      <c r="L275" s="1766" t="s">
        <v>237</v>
      </c>
      <c r="M275" s="1761"/>
      <c r="Q275" s="1769"/>
      <c r="AF275" s="1201" t="s">
        <v>907</v>
      </c>
      <c r="AH275" s="1770">
        <f>AV245*100</f>
        <v>100</v>
      </c>
      <c r="AI275" s="1770">
        <f>AV254*100</f>
        <v>0</v>
      </c>
      <c r="AJ275" s="1770">
        <f>AV255*100</f>
        <v>0</v>
      </c>
      <c r="AK275" s="1770">
        <f>AV253*100</f>
        <v>0</v>
      </c>
      <c r="AL275" s="1770"/>
      <c r="AM275" s="1770">
        <f>AV252*100</f>
        <v>0</v>
      </c>
      <c r="AN275" s="1770"/>
      <c r="AO275" s="1770" t="e">
        <f>BD260</f>
        <v>#N/A</v>
      </c>
    </row>
    <row r="276" spans="2:57" s="1201" customFormat="1" ht="14" hidden="1" x14ac:dyDescent="0.3">
      <c r="B276" s="1760"/>
      <c r="C276" s="1760"/>
      <c r="D276" s="1760"/>
      <c r="E276" s="1760"/>
      <c r="F276" s="1760"/>
      <c r="G276" s="1760"/>
      <c r="H276" s="1760"/>
      <c r="I276" s="1760"/>
      <c r="J276" s="1760"/>
      <c r="K276" s="1760"/>
      <c r="L276" s="1760"/>
      <c r="M276" s="1761"/>
      <c r="Q276" s="1769"/>
      <c r="AF276" s="1201" t="s">
        <v>908</v>
      </c>
      <c r="AH276" s="1773">
        <f>IF($AD$247=1,AH274,AH275)</f>
        <v>100</v>
      </c>
      <c r="AI276" s="1773">
        <f>IF($AD$247=1,AI274,AI275)</f>
        <v>0</v>
      </c>
      <c r="AJ276" s="1773">
        <f>IF($AD$247=1,AJ274,AJ275)</f>
        <v>0</v>
      </c>
      <c r="AK276" s="1773">
        <f>IF($AD$247=1,AK274,AK275)</f>
        <v>0</v>
      </c>
      <c r="AL276" s="1773"/>
      <c r="AM276" s="1773">
        <f>IF($AD$247=1,AM274,AM275)</f>
        <v>0</v>
      </c>
      <c r="AN276" s="1773"/>
      <c r="AO276" s="1762">
        <f>IF($AD$247=1,AO274,AO275)</f>
        <v>1</v>
      </c>
    </row>
    <row r="277" spans="2:57" s="1201" customFormat="1" ht="14" hidden="1" x14ac:dyDescent="0.3">
      <c r="B277" s="1776" t="s">
        <v>238</v>
      </c>
      <c r="C277" s="1760"/>
      <c r="D277" s="1760"/>
      <c r="E277" s="1760"/>
      <c r="F277" s="1760"/>
      <c r="G277" s="1760"/>
      <c r="H277" s="1760"/>
      <c r="I277" s="1760"/>
      <c r="J277" s="1760"/>
      <c r="K277" s="1760"/>
      <c r="L277" s="1760"/>
      <c r="M277" s="1761"/>
      <c r="Q277" s="1769"/>
    </row>
    <row r="278" spans="2:57" s="1201" customFormat="1" ht="14" hidden="1" x14ac:dyDescent="0.3">
      <c r="B278" s="1760"/>
      <c r="C278" s="1760"/>
      <c r="D278" s="1777" t="s">
        <v>1256</v>
      </c>
      <c r="E278" s="1760"/>
      <c r="F278" s="1760"/>
      <c r="G278" s="1760"/>
      <c r="H278" s="1760"/>
      <c r="I278" s="1760"/>
      <c r="J278" s="1760"/>
      <c r="K278" s="1760"/>
      <c r="L278" s="1760"/>
      <c r="M278" s="1761"/>
    </row>
    <row r="279" spans="2:57" s="1201" customFormat="1" ht="14" hidden="1" x14ac:dyDescent="0.3">
      <c r="B279" s="1760"/>
      <c r="C279" s="1760"/>
      <c r="D279" s="1760"/>
      <c r="E279" s="1760"/>
      <c r="F279" s="1760"/>
      <c r="G279" s="1760"/>
      <c r="H279" s="1760"/>
      <c r="I279" s="1760"/>
      <c r="J279" s="1760"/>
      <c r="K279" s="1760"/>
      <c r="L279" s="1760"/>
      <c r="M279" s="1764" t="s">
        <v>1234</v>
      </c>
    </row>
    <row r="280" spans="2:57" s="1201" customFormat="1" ht="14" hidden="1" x14ac:dyDescent="0.3">
      <c r="B280" s="1760"/>
      <c r="C280" s="1760" t="s">
        <v>434</v>
      </c>
      <c r="D280" s="1778" t="e">
        <f>(365*D19*D275)*10^-6</f>
        <v>#DIV/0!</v>
      </c>
      <c r="E280" s="1778">
        <f>(365*E19*E275)*10^-6</f>
        <v>0</v>
      </c>
      <c r="F280" s="1778">
        <f>(281*F19*F275)*10^-6</f>
        <v>0</v>
      </c>
      <c r="G280" s="1778">
        <f>(365*G19*G275)*10^-6</f>
        <v>0</v>
      </c>
      <c r="H280" s="1778">
        <f>(281*H19*H275)*10^-6</f>
        <v>0</v>
      </c>
      <c r="I280" s="1778">
        <f>(84*F19*I275)*10^-6</f>
        <v>0</v>
      </c>
      <c r="J280" s="1778">
        <f>(84*H19*J275)*10^-6</f>
        <v>0</v>
      </c>
      <c r="K280" s="1778">
        <f>(365*I19*K275)*10^-6</f>
        <v>0</v>
      </c>
      <c r="L280" s="1760" t="s">
        <v>435</v>
      </c>
      <c r="M280" s="1761"/>
      <c r="O280" s="1201" t="s">
        <v>2066</v>
      </c>
    </row>
    <row r="281" spans="2:57" s="1201" customFormat="1" ht="14" hidden="1" x14ac:dyDescent="0.3">
      <c r="B281" s="1760"/>
      <c r="C281" s="1760"/>
      <c r="D281" s="1760"/>
      <c r="E281" s="1760"/>
      <c r="F281" s="1760"/>
      <c r="G281" s="1760"/>
      <c r="H281" s="1760"/>
      <c r="I281" s="1760"/>
      <c r="J281" s="1760"/>
      <c r="K281" s="1779"/>
      <c r="L281" s="1760"/>
      <c r="M281" s="1761"/>
      <c r="R281" s="1554"/>
    </row>
    <row r="282" spans="2:57" s="1201" customFormat="1" ht="14" hidden="1" x14ac:dyDescent="0.3">
      <c r="B282" s="1776" t="s">
        <v>240</v>
      </c>
      <c r="C282" s="1780" t="e">
        <f>SUM(D280:K280)</f>
        <v>#DIV/0!</v>
      </c>
      <c r="D282" s="1780"/>
      <c r="E282" s="1780"/>
      <c r="F282" s="1780"/>
      <c r="G282" s="1780"/>
      <c r="H282" s="1780"/>
      <c r="I282" s="1760"/>
      <c r="J282" s="1760"/>
      <c r="K282" s="1778"/>
      <c r="L282" s="1781" t="s">
        <v>241</v>
      </c>
      <c r="M282" s="1761"/>
      <c r="O282" s="894" t="s">
        <v>2050</v>
      </c>
      <c r="P282" s="1782">
        <f>D25*D27</f>
        <v>0</v>
      </c>
      <c r="Q282" s="894"/>
      <c r="R282" s="894"/>
      <c r="S282" s="894"/>
      <c r="T282" s="894"/>
      <c r="U282" s="894"/>
      <c r="V282" s="894"/>
    </row>
    <row r="283" spans="2:57" s="1201" customFormat="1" ht="14" hidden="1" x14ac:dyDescent="0.3">
      <c r="B283" s="1776" t="s">
        <v>242</v>
      </c>
      <c r="C283" s="1780" t="e">
        <f>C282*'Emission factors'!$C$4</f>
        <v>#DIV/0!</v>
      </c>
      <c r="D283" s="1780"/>
      <c r="E283" s="1780"/>
      <c r="F283" s="1780"/>
      <c r="G283" s="1780"/>
      <c r="H283" s="1780"/>
      <c r="I283" s="1760"/>
      <c r="J283" s="1760"/>
      <c r="K283" s="1781"/>
      <c r="L283" s="1781" t="s">
        <v>243</v>
      </c>
      <c r="M283" s="1761"/>
      <c r="O283" s="894" t="s">
        <v>2012</v>
      </c>
      <c r="P283" s="1782">
        <f>IF(L258=1,J25*J27,0)</f>
        <v>0</v>
      </c>
      <c r="Q283" s="894"/>
      <c r="R283" s="894"/>
      <c r="S283" s="894"/>
      <c r="T283" s="894"/>
      <c r="U283" s="894"/>
      <c r="V283" s="894"/>
    </row>
    <row r="284" spans="2:57" s="1201" customFormat="1" ht="14" hidden="1" x14ac:dyDescent="0.3">
      <c r="B284" s="1783" t="s">
        <v>242</v>
      </c>
      <c r="C284" s="1784" t="e">
        <f>C283*10^3</f>
        <v>#DIV/0!</v>
      </c>
      <c r="D284" s="1785"/>
      <c r="E284" s="1785"/>
      <c r="F284" s="1785"/>
      <c r="G284" s="1785"/>
      <c r="H284" s="1785"/>
      <c r="I284" s="1785"/>
      <c r="J284" s="1785"/>
      <c r="K284" s="1786"/>
      <c r="L284" s="1786" t="s">
        <v>244</v>
      </c>
      <c r="M284" s="1787"/>
      <c r="O284" s="894" t="s">
        <v>2013</v>
      </c>
      <c r="P284" s="1782">
        <f>IF(L258=2,J25*J27,0)</f>
        <v>0</v>
      </c>
      <c r="Q284" s="894"/>
      <c r="R284" s="894"/>
      <c r="S284" s="894"/>
      <c r="T284" s="894"/>
      <c r="U284" s="894"/>
      <c r="V284" s="894"/>
    </row>
    <row r="285" spans="2:57" s="1201" customFormat="1" ht="14" hidden="1" x14ac:dyDescent="0.3">
      <c r="O285" s="894" t="s">
        <v>2014</v>
      </c>
      <c r="P285" s="1782">
        <f>SUMPRODUCT(E25:G25,E27:G27)</f>
        <v>0</v>
      </c>
      <c r="Q285" s="894"/>
      <c r="R285" s="894"/>
      <c r="S285" s="894"/>
      <c r="T285" s="894"/>
      <c r="U285" s="894"/>
      <c r="V285" s="894"/>
    </row>
    <row r="286" spans="2:57" s="1201" customFormat="1" ht="14" hidden="1" x14ac:dyDescent="0.3">
      <c r="B286" s="1788" t="s">
        <v>421</v>
      </c>
      <c r="C286" s="1788"/>
      <c r="D286" s="1789" t="str">
        <f>D17</f>
        <v>Milking Cows</v>
      </c>
      <c r="E286" s="1789" t="str">
        <f>E17</f>
        <v>Heifers &gt;1 yr age</v>
      </c>
      <c r="F286" s="1789" t="str">
        <f>F17</f>
        <v>Heifers &lt;1 yr age</v>
      </c>
      <c r="G286" s="1789" t="str">
        <f>G17</f>
        <v>Mature bulls</v>
      </c>
      <c r="H286" s="1789" t="str">
        <f>H17</f>
        <v xml:space="preserve">Other stock &lt; 1 yr age </v>
      </c>
      <c r="I286" s="1790" t="s">
        <v>1228</v>
      </c>
      <c r="J286" s="1790" t="s">
        <v>1229</v>
      </c>
      <c r="K286" s="1789" t="str">
        <f>I17</f>
        <v>Other stock &gt; 1 yr age</v>
      </c>
      <c r="L286" s="1790" t="s">
        <v>215</v>
      </c>
      <c r="M286" s="1791" t="s">
        <v>230</v>
      </c>
      <c r="O286" s="894" t="s">
        <v>2015</v>
      </c>
      <c r="P286" s="1782">
        <f>SUMPRODUCT(H25:I25,H27:I27)</f>
        <v>0</v>
      </c>
      <c r="Q286" s="894"/>
      <c r="R286" s="894"/>
      <c r="S286" s="894"/>
      <c r="T286" s="894"/>
      <c r="U286" s="894"/>
      <c r="V286" s="894"/>
    </row>
    <row r="287" spans="2:57" s="1201" customFormat="1" ht="14" hidden="1" x14ac:dyDescent="0.3">
      <c r="B287" s="1792" t="s">
        <v>246</v>
      </c>
      <c r="C287" s="1793">
        <v>0.08</v>
      </c>
      <c r="D287" s="1794"/>
      <c r="E287" s="1793"/>
      <c r="F287" s="1793"/>
      <c r="G287" s="1793"/>
      <c r="H287" s="1793"/>
      <c r="I287" s="1793"/>
      <c r="J287" s="1793"/>
      <c r="K287" s="1793"/>
      <c r="L287" s="1793" t="s">
        <v>247</v>
      </c>
      <c r="M287" s="1795"/>
      <c r="O287" s="894" t="s">
        <v>2016</v>
      </c>
      <c r="P287" s="1782">
        <f>SUM(P282:P286)</f>
        <v>0</v>
      </c>
      <c r="Q287" s="894"/>
      <c r="R287" s="894"/>
      <c r="S287" s="894"/>
      <c r="T287" s="894"/>
      <c r="U287" s="894"/>
      <c r="V287" s="894"/>
    </row>
    <row r="288" spans="2:57" s="1201" customFormat="1" ht="14" hidden="1" x14ac:dyDescent="0.3">
      <c r="B288" s="1792" t="s">
        <v>248</v>
      </c>
      <c r="C288" s="1793">
        <v>0.24</v>
      </c>
      <c r="D288" s="1794"/>
      <c r="E288" s="1793"/>
      <c r="F288" s="1793"/>
      <c r="G288" s="1793"/>
      <c r="H288" s="1793"/>
      <c r="I288" s="1793"/>
      <c r="J288" s="1793"/>
      <c r="K288" s="1793"/>
      <c r="L288" s="1793" t="s">
        <v>249</v>
      </c>
      <c r="M288" s="1795"/>
      <c r="O288" s="894"/>
      <c r="P288" s="1782"/>
      <c r="Q288" s="894"/>
      <c r="R288" s="894"/>
      <c r="S288" s="894"/>
      <c r="T288" s="894"/>
      <c r="U288" s="894"/>
      <c r="V288" s="894"/>
    </row>
    <row r="289" spans="2:22" s="1201" customFormat="1" ht="14" hidden="1" x14ac:dyDescent="0.3">
      <c r="B289" s="1796" t="s">
        <v>250</v>
      </c>
      <c r="C289" s="1797">
        <v>0.6784</v>
      </c>
      <c r="D289" s="1798"/>
      <c r="E289" s="1797"/>
      <c r="F289" s="1797"/>
      <c r="G289" s="1797"/>
      <c r="H289" s="1797"/>
      <c r="I289" s="1799"/>
      <c r="J289" s="1799"/>
      <c r="K289" s="1797"/>
      <c r="L289" s="1797" t="s">
        <v>251</v>
      </c>
      <c r="M289" s="1800"/>
      <c r="O289" s="894"/>
      <c r="P289" s="1801" t="s">
        <v>2017</v>
      </c>
      <c r="Q289" s="1802" t="s">
        <v>2018</v>
      </c>
      <c r="R289" s="773" t="s">
        <v>2019</v>
      </c>
      <c r="S289" s="1801" t="s">
        <v>2020</v>
      </c>
      <c r="T289" s="773" t="s">
        <v>2021</v>
      </c>
      <c r="U289" s="894"/>
      <c r="V289" s="894"/>
    </row>
    <row r="290" spans="2:22" s="1201" customFormat="1" ht="14" hidden="1" x14ac:dyDescent="0.3">
      <c r="B290" s="1794"/>
      <c r="C290" s="1803"/>
      <c r="D290" s="1794"/>
      <c r="E290" s="1794"/>
      <c r="F290" s="1794"/>
      <c r="G290" s="1794"/>
      <c r="H290" s="1794"/>
      <c r="I290" s="1794"/>
      <c r="J290" s="1794"/>
      <c r="K290" s="1794"/>
      <c r="L290" s="1794"/>
      <c r="M290" s="1795"/>
      <c r="O290" s="894" t="s">
        <v>2022</v>
      </c>
      <c r="P290" s="1804">
        <v>15</v>
      </c>
      <c r="Q290" s="1782">
        <f>P282*P290</f>
        <v>0</v>
      </c>
      <c r="R290" s="1805" t="e">
        <f>Q290/$Q$295</f>
        <v>#DIV/0!</v>
      </c>
      <c r="S290" s="1782">
        <f>P282*P290</f>
        <v>0</v>
      </c>
      <c r="T290" s="1805" t="e">
        <f>S290/$S$295</f>
        <v>#DIV/0!</v>
      </c>
      <c r="U290" s="894"/>
      <c r="V290" s="894"/>
    </row>
    <row r="291" spans="2:22" s="1201" customFormat="1" ht="14" hidden="1" x14ac:dyDescent="0.3">
      <c r="B291" s="1792" t="s">
        <v>252</v>
      </c>
      <c r="C291" s="1792" t="s">
        <v>1339</v>
      </c>
      <c r="D291" s="1793"/>
      <c r="E291" s="1794"/>
      <c r="F291" s="1794"/>
      <c r="G291" s="1794"/>
      <c r="H291" s="1794"/>
      <c r="I291" s="1794"/>
      <c r="J291" s="1794"/>
      <c r="K291" s="1794"/>
      <c r="L291" s="1794"/>
      <c r="M291" s="1806" t="s">
        <v>254</v>
      </c>
      <c r="O291" s="894" t="s">
        <v>2023</v>
      </c>
      <c r="P291" s="1804">
        <v>27.5</v>
      </c>
      <c r="Q291" s="1782">
        <f>P283*P291</f>
        <v>0</v>
      </c>
      <c r="R291" s="1805" t="e">
        <f>Q291/$Q$295</f>
        <v>#DIV/0!</v>
      </c>
      <c r="S291" s="1782">
        <f>P283*P291</f>
        <v>0</v>
      </c>
      <c r="T291" s="1805" t="e">
        <f>S291/$S$295</f>
        <v>#DIV/0!</v>
      </c>
      <c r="U291" s="894"/>
      <c r="V291" s="894"/>
    </row>
    <row r="292" spans="2:22" s="1201" customFormat="1" ht="14" hidden="1" x14ac:dyDescent="0.3">
      <c r="B292" s="1794"/>
      <c r="C292" s="1794" t="s">
        <v>434</v>
      </c>
      <c r="D292" s="1807" t="e">
        <f>(D265*(1-(F44/100))+(0.04*D265))*(1-$C$287)</f>
        <v>#DIV/0!</v>
      </c>
      <c r="E292" s="1807">
        <f>(E265*(1-($D$46/100))+(0.04*E265))*(1-$C$287)</f>
        <v>1.3435624800000001</v>
      </c>
      <c r="F292" s="1807">
        <f>(F265*(1-($D$46/100))+(0.04*F265))*(1-$C$287)</f>
        <v>1.3435624800000001</v>
      </c>
      <c r="G292" s="1807">
        <f>(G265*(1-($D$46/100))+(0.04*G265))*(1-$C$287)</f>
        <v>1.3435624800000001</v>
      </c>
      <c r="H292" s="1807">
        <f>(H265*(1-($D$46/100))+(0.04*H265))*(1-$C$287)</f>
        <v>1.3435624800000001</v>
      </c>
      <c r="I292" s="1808">
        <v>0.26850000000000002</v>
      </c>
      <c r="J292" s="1808">
        <v>0.30030000000000001</v>
      </c>
      <c r="K292" s="1807">
        <f>(K265*(1-($D$46/100))+(0.04*K265))*(1-$C$287)</f>
        <v>1.3435624800000001</v>
      </c>
      <c r="L292" s="1793" t="s">
        <v>255</v>
      </c>
      <c r="M292" s="1795"/>
      <c r="O292" s="894" t="s">
        <v>2024</v>
      </c>
      <c r="P292" s="1804">
        <v>15</v>
      </c>
      <c r="Q292" s="1782">
        <f>P284*P292</f>
        <v>0</v>
      </c>
      <c r="R292" s="1805" t="e">
        <f>Q292/$Q$295</f>
        <v>#DIV/0!</v>
      </c>
      <c r="S292" s="1782">
        <f>P284*P292</f>
        <v>0</v>
      </c>
      <c r="T292" s="1805" t="e">
        <f>S292/$S$295</f>
        <v>#DIV/0!</v>
      </c>
      <c r="U292" s="894"/>
      <c r="V292" s="894"/>
    </row>
    <row r="293" spans="2:22" s="1201" customFormat="1" ht="14" hidden="1" x14ac:dyDescent="0.3">
      <c r="B293" s="1794"/>
      <c r="C293" s="1794"/>
      <c r="D293" s="1794"/>
      <c r="E293" s="1794"/>
      <c r="F293" s="1794"/>
      <c r="G293" s="1794"/>
      <c r="H293" s="1794"/>
      <c r="I293" s="1794"/>
      <c r="J293" s="1794"/>
      <c r="K293" s="1794"/>
      <c r="L293" s="1794"/>
      <c r="M293" s="1795"/>
      <c r="O293" s="894" t="s">
        <v>2025</v>
      </c>
      <c r="P293" s="1804">
        <v>11</v>
      </c>
      <c r="Q293" s="1782">
        <f>P285*P293</f>
        <v>0</v>
      </c>
      <c r="R293" s="1805" t="e">
        <f>Q293/$Q$295</f>
        <v>#DIV/0!</v>
      </c>
      <c r="S293" s="1782">
        <f>P285*P293</f>
        <v>0</v>
      </c>
      <c r="T293" s="1805" t="e">
        <f>S293/$S$295</f>
        <v>#DIV/0!</v>
      </c>
      <c r="U293" s="894"/>
      <c r="V293" s="894"/>
    </row>
    <row r="294" spans="2:22" s="1201" customFormat="1" ht="14" hidden="1" x14ac:dyDescent="0.3">
      <c r="B294" s="1792" t="s">
        <v>256</v>
      </c>
      <c r="C294" s="1792" t="s">
        <v>257</v>
      </c>
      <c r="D294" s="1793"/>
      <c r="E294" s="1793"/>
      <c r="F294" s="1809"/>
      <c r="G294" s="1809"/>
      <c r="H294" s="1794"/>
      <c r="I294" s="1794"/>
      <c r="J294" s="1794"/>
      <c r="K294" s="1809"/>
      <c r="L294" s="1809"/>
      <c r="M294" s="1806" t="s">
        <v>258</v>
      </c>
      <c r="O294" s="1810" t="s">
        <v>2026</v>
      </c>
      <c r="P294" s="1811">
        <v>11</v>
      </c>
      <c r="Q294" s="1812"/>
      <c r="R294" s="1805" t="e">
        <f>Q294/$Q$295</f>
        <v>#DIV/0!</v>
      </c>
      <c r="S294" s="1812">
        <f>P286*P294</f>
        <v>0</v>
      </c>
      <c r="T294" s="1805" t="e">
        <f>S294/$S$295</f>
        <v>#DIV/0!</v>
      </c>
      <c r="U294" s="894"/>
      <c r="V294" s="894"/>
    </row>
    <row r="295" spans="2:22" s="1201" customFormat="1" ht="14" hidden="1" x14ac:dyDescent="0.3">
      <c r="B295" s="1794"/>
      <c r="C295" s="1793" t="s">
        <v>259</v>
      </c>
      <c r="D295" s="1794"/>
      <c r="E295" s="1794"/>
      <c r="F295" s="1794"/>
      <c r="G295" s="1794"/>
      <c r="H295" s="1794"/>
      <c r="I295" s="1794"/>
      <c r="J295" s="1794"/>
      <c r="K295" s="1794"/>
      <c r="L295" s="1794"/>
      <c r="M295" s="1795"/>
      <c r="O295" s="1813" t="s">
        <v>2027</v>
      </c>
      <c r="P295" s="1814"/>
      <c r="Q295" s="1815">
        <f>SUM(Q290:Q294)</f>
        <v>0</v>
      </c>
      <c r="R295" s="1816" t="e">
        <f>SUM(R290:R294)</f>
        <v>#DIV/0!</v>
      </c>
      <c r="S295" s="1815">
        <f>SUM(S290:S294)</f>
        <v>0</v>
      </c>
      <c r="T295" s="1816" t="e">
        <f>SUM(T290:T294)</f>
        <v>#DIV/0!</v>
      </c>
      <c r="U295" s="894"/>
      <c r="V295" s="894"/>
    </row>
    <row r="296" spans="2:22" s="1201" customFormat="1" ht="14" hidden="1" x14ac:dyDescent="0.3">
      <c r="B296" s="1794"/>
      <c r="C296" s="1793"/>
      <c r="D296" s="1793"/>
      <c r="E296" s="1809"/>
      <c r="F296" s="1809"/>
      <c r="G296" s="1809"/>
      <c r="H296" s="1809"/>
      <c r="I296" s="1809"/>
      <c r="J296" s="1809"/>
      <c r="K296" s="1794"/>
      <c r="L296" s="1794"/>
      <c r="M296" s="1795"/>
      <c r="O296" s="894"/>
      <c r="P296" s="894"/>
      <c r="Q296" s="1782"/>
      <c r="R296" s="894"/>
      <c r="S296" s="894"/>
      <c r="T296" s="894"/>
      <c r="U296" s="894"/>
      <c r="V296" s="894"/>
    </row>
    <row r="297" spans="2:22" s="1201" customFormat="1" ht="14" hidden="1" x14ac:dyDescent="0.3">
      <c r="B297" s="1794"/>
      <c r="C297" s="1794"/>
      <c r="D297" s="1794"/>
      <c r="E297" s="1794"/>
      <c r="F297" s="1794"/>
      <c r="G297" s="1794"/>
      <c r="H297" s="1794"/>
      <c r="I297" s="1794"/>
      <c r="J297" s="1794"/>
      <c r="K297" s="1794"/>
      <c r="L297" s="1794"/>
      <c r="M297" s="1817"/>
      <c r="O297" s="894" t="s">
        <v>2028</v>
      </c>
      <c r="P297" s="1804">
        <v>3.1</v>
      </c>
      <c r="Q297" s="1782" t="e">
        <f>Q265*P297</f>
        <v>#DIV/0!</v>
      </c>
      <c r="R297" s="894"/>
      <c r="S297" s="1782" t="e">
        <f>Q297</f>
        <v>#DIV/0!</v>
      </c>
      <c r="T297" s="894"/>
      <c r="U297" s="894"/>
      <c r="V297" s="782"/>
    </row>
    <row r="298" spans="2:22" s="1201" customFormat="1" ht="14" hidden="1" x14ac:dyDescent="0.3">
      <c r="B298" s="1794"/>
      <c r="C298" s="1792" t="s">
        <v>803</v>
      </c>
      <c r="D298" s="1794"/>
      <c r="E298" s="1794"/>
      <c r="F298" s="1794"/>
      <c r="G298" s="1794"/>
      <c r="H298" s="1794"/>
      <c r="I298" s="1794"/>
      <c r="J298" s="1794"/>
      <c r="K298" s="1794"/>
      <c r="L298" s="1794"/>
      <c r="M298" s="1818"/>
      <c r="O298" s="894"/>
      <c r="P298" s="894"/>
      <c r="Q298" s="1782"/>
      <c r="R298" s="894"/>
      <c r="S298" s="894"/>
      <c r="T298" s="894"/>
      <c r="U298" s="894"/>
      <c r="V298" s="894"/>
    </row>
    <row r="299" spans="2:22" s="1201" customFormat="1" ht="14" hidden="1" x14ac:dyDescent="0.3">
      <c r="B299" s="1794"/>
      <c r="C299" s="1794"/>
      <c r="D299" s="1794"/>
      <c r="E299" s="1794"/>
      <c r="F299" s="1794"/>
      <c r="G299" s="1794"/>
      <c r="H299" s="1794"/>
      <c r="I299" s="1794"/>
      <c r="J299" s="1794"/>
      <c r="K299" s="1794"/>
      <c r="L299" s="1794"/>
      <c r="M299" s="1819"/>
      <c r="O299" s="894" t="s">
        <v>2029</v>
      </c>
      <c r="P299" s="894"/>
      <c r="Q299" s="1782" t="e">
        <f>Q297+Q295</f>
        <v>#DIV/0!</v>
      </c>
      <c r="R299" s="894"/>
      <c r="S299" s="1782" t="e">
        <f>S297+S295</f>
        <v>#DIV/0!</v>
      </c>
      <c r="T299" s="894"/>
      <c r="U299" s="894"/>
      <c r="V299" s="894"/>
    </row>
    <row r="300" spans="2:22" s="1201" customFormat="1" ht="14" hidden="1" x14ac:dyDescent="0.3">
      <c r="B300" s="1794"/>
      <c r="C300" s="1794" t="s">
        <v>434</v>
      </c>
      <c r="D300" s="1808" t="e">
        <f>D292*$C$288*I102%*$C$289</f>
        <v>#DIV/0!</v>
      </c>
      <c r="E300" s="1808">
        <f t="shared" ref="E300:K300" si="6">E292*$C$288*$I$107%*$C$289</f>
        <v>2.1875346874368003E-3</v>
      </c>
      <c r="F300" s="1808">
        <f t="shared" si="6"/>
        <v>2.1875346874368003E-3</v>
      </c>
      <c r="G300" s="1808">
        <f t="shared" si="6"/>
        <v>2.1875346874368003E-3</v>
      </c>
      <c r="H300" s="1808">
        <f t="shared" si="6"/>
        <v>2.1875346874368003E-3</v>
      </c>
      <c r="I300" s="1808">
        <f t="shared" si="6"/>
        <v>4.3716095999999998E-4</v>
      </c>
      <c r="J300" s="1808">
        <f t="shared" si="6"/>
        <v>4.8893644799999998E-4</v>
      </c>
      <c r="K300" s="1808">
        <f t="shared" si="6"/>
        <v>2.1875346874368003E-3</v>
      </c>
      <c r="L300" s="1793" t="s">
        <v>237</v>
      </c>
      <c r="M300" s="1795"/>
      <c r="O300" s="894"/>
      <c r="P300" s="894"/>
      <c r="Q300" s="894"/>
      <c r="R300" s="894"/>
      <c r="S300" s="894"/>
      <c r="T300" s="894"/>
      <c r="U300" s="894"/>
      <c r="V300" s="894"/>
    </row>
    <row r="301" spans="2:22" s="1201" customFormat="1" ht="14" hidden="1" x14ac:dyDescent="0.3">
      <c r="B301" s="1820"/>
      <c r="C301" s="1820"/>
      <c r="D301" s="1820"/>
      <c r="E301" s="1820"/>
      <c r="F301" s="1820"/>
      <c r="G301" s="1820"/>
      <c r="H301" s="1820"/>
      <c r="I301" s="1820"/>
      <c r="J301" s="1820"/>
      <c r="K301" s="1820"/>
      <c r="L301" s="1820"/>
      <c r="M301" s="1819"/>
      <c r="O301" s="894" t="s">
        <v>2030</v>
      </c>
      <c r="P301" s="894"/>
      <c r="Q301" s="1821" t="e">
        <f>Q297/Q299</f>
        <v>#DIV/0!</v>
      </c>
      <c r="R301" s="894"/>
      <c r="S301" s="1821" t="e">
        <f>S297/S299</f>
        <v>#DIV/0!</v>
      </c>
      <c r="T301" s="894"/>
      <c r="U301" s="894"/>
      <c r="V301" s="894"/>
    </row>
    <row r="302" spans="2:22" s="1201" customFormat="1" ht="14" hidden="1" x14ac:dyDescent="0.3">
      <c r="B302" s="1792" t="s">
        <v>261</v>
      </c>
      <c r="C302" s="1792"/>
      <c r="D302" s="1792"/>
      <c r="E302" s="1793"/>
      <c r="F302" s="1793"/>
      <c r="G302" s="1793"/>
      <c r="H302" s="1793"/>
      <c r="I302" s="1793"/>
      <c r="J302" s="1793"/>
      <c r="K302" s="1793"/>
      <c r="L302" s="1793"/>
      <c r="M302" s="1795"/>
      <c r="O302" s="894"/>
      <c r="P302" s="1821"/>
      <c r="Q302" s="894"/>
      <c r="R302" s="1801"/>
      <c r="S302" s="894"/>
      <c r="T302" s="894"/>
      <c r="U302" s="894"/>
      <c r="V302" s="894"/>
    </row>
    <row r="303" spans="2:22" s="1201" customFormat="1" ht="14" hidden="1" x14ac:dyDescent="0.3">
      <c r="B303" s="1793"/>
      <c r="C303" s="1792" t="s">
        <v>1257</v>
      </c>
      <c r="D303" s="1793"/>
      <c r="E303" s="1793"/>
      <c r="F303" s="1793"/>
      <c r="G303" s="1793"/>
      <c r="H303" s="1793"/>
      <c r="I303" s="1793"/>
      <c r="J303" s="1793"/>
      <c r="K303" s="1793"/>
      <c r="L303" s="1793"/>
      <c r="M303" s="1806" t="s">
        <v>262</v>
      </c>
      <c r="O303" s="894" t="s">
        <v>2031</v>
      </c>
      <c r="P303" s="1822">
        <f>K120+K121+K125+K126</f>
        <v>0</v>
      </c>
      <c r="Q303" s="894"/>
      <c r="R303" s="1822"/>
      <c r="S303" s="894"/>
      <c r="T303" s="894"/>
      <c r="U303" s="894"/>
      <c r="V303" s="894"/>
    </row>
    <row r="304" spans="2:22" s="1201" customFormat="1" ht="14" hidden="1" x14ac:dyDescent="0.3">
      <c r="B304" s="1793"/>
      <c r="C304" s="1792"/>
      <c r="D304" s="1793"/>
      <c r="E304" s="1793"/>
      <c r="F304" s="1793"/>
      <c r="G304" s="1793"/>
      <c r="H304" s="1793"/>
      <c r="I304" s="1793"/>
      <c r="J304" s="1793"/>
      <c r="K304" s="1793"/>
      <c r="L304" s="1793"/>
      <c r="M304" s="1795"/>
      <c r="O304" s="894" t="s">
        <v>2032</v>
      </c>
      <c r="P304" s="1822" t="e">
        <f>H129+I129</f>
        <v>#N/A</v>
      </c>
      <c r="Q304" s="894"/>
      <c r="R304" s="1822"/>
      <c r="S304" s="894"/>
      <c r="T304" s="894"/>
      <c r="U304" s="894"/>
      <c r="V304" s="894"/>
    </row>
    <row r="305" spans="2:22" s="1201" customFormat="1" ht="14" hidden="1" x14ac:dyDescent="0.3">
      <c r="B305" s="1793"/>
      <c r="C305" s="1794" t="s">
        <v>434</v>
      </c>
      <c r="D305" s="1823" t="e">
        <f>(365*D19*D300)*10^-6</f>
        <v>#DIV/0!</v>
      </c>
      <c r="E305" s="1823">
        <f>(365*E19*E300)*10^-6</f>
        <v>0</v>
      </c>
      <c r="F305" s="1823">
        <f>(281*F19*F300)*10^-6</f>
        <v>0</v>
      </c>
      <c r="G305" s="1823">
        <f>(365*G19*G300)*10^-6</f>
        <v>0</v>
      </c>
      <c r="H305" s="1823">
        <f>(281*H19*H300)*10^-6</f>
        <v>0</v>
      </c>
      <c r="I305" s="1823">
        <f>(84*F19*I300)*10^-6</f>
        <v>0</v>
      </c>
      <c r="J305" s="1823">
        <f>(84*H19*J300)*10^-6</f>
        <v>0</v>
      </c>
      <c r="K305" s="1823">
        <f>(365*I19*K300)*10^-6</f>
        <v>0</v>
      </c>
      <c r="L305" s="1793" t="s">
        <v>435</v>
      </c>
      <c r="M305" s="1795"/>
      <c r="O305" s="894" t="s">
        <v>2033</v>
      </c>
      <c r="P305" s="1822" t="e">
        <f>SUM(D129:G129)</f>
        <v>#DIV/0!</v>
      </c>
      <c r="Q305" s="894"/>
      <c r="R305" s="1822"/>
      <c r="S305" s="894"/>
      <c r="T305" s="894"/>
      <c r="U305" s="894"/>
      <c r="V305" s="894"/>
    </row>
    <row r="306" spans="2:22" s="1201" customFormat="1" ht="14" hidden="1" x14ac:dyDescent="0.3">
      <c r="B306" s="1793"/>
      <c r="C306" s="1793"/>
      <c r="D306" s="1793"/>
      <c r="E306" s="1793"/>
      <c r="F306" s="1793"/>
      <c r="G306" s="1793"/>
      <c r="H306" s="1793"/>
      <c r="I306" s="1793"/>
      <c r="J306" s="1793"/>
      <c r="K306" s="1824"/>
      <c r="L306" s="1794"/>
      <c r="M306" s="1795"/>
      <c r="O306" s="894" t="s">
        <v>2034</v>
      </c>
      <c r="P306" s="1822">
        <f>SUM(K118:K119)+SUM(K122:K124)+K127+K132</f>
        <v>0</v>
      </c>
      <c r="Q306" s="894"/>
      <c r="R306" s="1822"/>
      <c r="S306" s="894"/>
      <c r="T306" s="894"/>
      <c r="U306" s="894"/>
      <c r="V306" s="894"/>
    </row>
    <row r="307" spans="2:22" s="1201" customFormat="1" ht="14" hidden="1" x14ac:dyDescent="0.3">
      <c r="B307" s="1792" t="s">
        <v>263</v>
      </c>
      <c r="C307" s="1825" t="e">
        <f>SUM(D305:K305)</f>
        <v>#DIV/0!</v>
      </c>
      <c r="D307" s="1808"/>
      <c r="E307" s="1808"/>
      <c r="F307" s="1808"/>
      <c r="G307" s="1808"/>
      <c r="H307" s="1808"/>
      <c r="I307" s="1808"/>
      <c r="J307" s="1808"/>
      <c r="K307" s="1793"/>
      <c r="L307" s="1793" t="s">
        <v>264</v>
      </c>
      <c r="M307" s="1819"/>
      <c r="O307" s="894" t="s">
        <v>2035</v>
      </c>
      <c r="P307" s="1822" t="e">
        <f>SUM(P303:P306)</f>
        <v>#N/A</v>
      </c>
      <c r="Q307" s="894"/>
      <c r="R307" s="1822"/>
      <c r="S307" s="894"/>
      <c r="T307" s="894"/>
      <c r="U307" s="894"/>
      <c r="V307" s="894"/>
    </row>
    <row r="308" spans="2:22" s="1201" customFormat="1" ht="14" hidden="1" x14ac:dyDescent="0.3">
      <c r="B308" s="1792" t="s">
        <v>263</v>
      </c>
      <c r="C308" s="1826" t="e">
        <f>C307*'Emission factors'!$C$4</f>
        <v>#DIV/0!</v>
      </c>
      <c r="D308" s="1808"/>
      <c r="E308" s="1808"/>
      <c r="F308" s="1808"/>
      <c r="G308" s="1808"/>
      <c r="H308" s="1808"/>
      <c r="I308" s="1808"/>
      <c r="J308" s="1808"/>
      <c r="K308" s="1793"/>
      <c r="L308" s="1793" t="s">
        <v>265</v>
      </c>
      <c r="M308" s="1819"/>
      <c r="O308" s="894"/>
      <c r="P308" s="1782"/>
      <c r="Q308" s="894"/>
      <c r="R308" s="894" t="s">
        <v>2036</v>
      </c>
      <c r="S308" s="894"/>
      <c r="T308" s="894"/>
      <c r="U308" s="894"/>
      <c r="V308" s="1827"/>
    </row>
    <row r="309" spans="2:22" s="1201" customFormat="1" ht="14" hidden="1" x14ac:dyDescent="0.3">
      <c r="B309" s="1796" t="s">
        <v>263</v>
      </c>
      <c r="C309" s="1828" t="e">
        <f>C308*10^3</f>
        <v>#DIV/0!</v>
      </c>
      <c r="D309" s="1828"/>
      <c r="E309" s="1829"/>
      <c r="F309" s="1828"/>
      <c r="G309" s="1828"/>
      <c r="H309" s="1828"/>
      <c r="I309" s="1830"/>
      <c r="J309" s="1830"/>
      <c r="K309" s="1798"/>
      <c r="L309" s="1798" t="s">
        <v>266</v>
      </c>
      <c r="M309" s="1800"/>
      <c r="O309" s="894" t="s">
        <v>2053</v>
      </c>
      <c r="P309" s="1802" t="e">
        <f>P303+P305*Q301+P306*S301</f>
        <v>#DIV/0!</v>
      </c>
      <c r="Q309" s="894"/>
      <c r="R309" s="1831" t="e">
        <f>P309*1000/Q265</f>
        <v>#DIV/0!</v>
      </c>
      <c r="S309" s="1827" t="s">
        <v>2037</v>
      </c>
      <c r="T309" s="894"/>
      <c r="U309" s="1831"/>
      <c r="V309" s="1827"/>
    </row>
    <row r="310" spans="2:22" s="1201" customFormat="1" ht="14" hidden="1" x14ac:dyDescent="0.3">
      <c r="O310" s="894" t="s">
        <v>2054</v>
      </c>
      <c r="P310" s="1802" t="e">
        <f>P304+P305*(1-Q301)+P306*(1-S301)</f>
        <v>#N/A</v>
      </c>
      <c r="Q310" s="894"/>
      <c r="R310" s="1832" t="e">
        <f>P309*1000/Q251</f>
        <v>#DIV/0!</v>
      </c>
      <c r="S310" s="1827" t="s">
        <v>2067</v>
      </c>
      <c r="T310" s="894"/>
      <c r="U310" s="1832"/>
      <c r="V310" s="894"/>
    </row>
    <row r="311" spans="2:22" s="1201" customFormat="1" ht="14" hidden="1" x14ac:dyDescent="0.3">
      <c r="B311" s="1833" t="s">
        <v>267</v>
      </c>
      <c r="C311" s="1833" t="s">
        <v>216</v>
      </c>
      <c r="D311" s="1834" t="str">
        <f>D17</f>
        <v>Milking Cows</v>
      </c>
      <c r="E311" s="1834" t="str">
        <f>E17</f>
        <v>Heifers &gt;1 yr age</v>
      </c>
      <c r="F311" s="1834" t="str">
        <f>F17</f>
        <v>Heifers &lt;1 yr age</v>
      </c>
      <c r="G311" s="1834" t="str">
        <f>G17</f>
        <v>Mature bulls</v>
      </c>
      <c r="H311" s="1834" t="str">
        <f>H17</f>
        <v xml:space="preserve">Other stock &lt; 1 yr age </v>
      </c>
      <c r="I311" s="1835" t="s">
        <v>1228</v>
      </c>
      <c r="J311" s="1835" t="s">
        <v>1229</v>
      </c>
      <c r="K311" s="1834" t="s">
        <v>1946</v>
      </c>
      <c r="L311" s="1834" t="s">
        <v>215</v>
      </c>
      <c r="M311" s="1836" t="s">
        <v>230</v>
      </c>
      <c r="O311" s="894"/>
      <c r="P311" s="1782"/>
      <c r="Q311" s="894"/>
      <c r="R311" s="1832" t="e">
        <f>P310*1000/P287</f>
        <v>#N/A</v>
      </c>
      <c r="S311" s="1827" t="s">
        <v>2038</v>
      </c>
      <c r="T311" s="894"/>
      <c r="U311" s="894"/>
      <c r="V311" s="894"/>
    </row>
    <row r="312" spans="2:22" s="1201" customFormat="1" ht="14" hidden="1" x14ac:dyDescent="0.3">
      <c r="B312" s="1837"/>
      <c r="C312" s="1837"/>
      <c r="D312" s="1837"/>
      <c r="E312" s="1837"/>
      <c r="F312" s="1837"/>
      <c r="G312" s="1837"/>
      <c r="H312" s="1837"/>
      <c r="I312" s="1837"/>
      <c r="J312" s="1837"/>
      <c r="K312" s="1837"/>
      <c r="L312" s="1837"/>
      <c r="M312" s="1838"/>
      <c r="O312" s="894" t="s">
        <v>2055</v>
      </c>
      <c r="P312" s="1821" t="e">
        <f>P309/P307</f>
        <v>#DIV/0!</v>
      </c>
      <c r="Q312" s="1839"/>
      <c r="R312" s="894"/>
      <c r="S312" s="894"/>
      <c r="T312" s="894"/>
      <c r="U312" s="894"/>
      <c r="V312" s="894"/>
    </row>
    <row r="313" spans="2:22" s="1201" customFormat="1" ht="14" hidden="1" x14ac:dyDescent="0.3">
      <c r="B313" s="1840" t="s">
        <v>268</v>
      </c>
      <c r="C313" s="1837"/>
      <c r="D313" s="1840" t="s">
        <v>269</v>
      </c>
      <c r="E313" s="1841"/>
      <c r="F313" s="1841"/>
      <c r="G313" s="1842"/>
      <c r="H313" s="1837"/>
      <c r="I313" s="1837"/>
      <c r="J313" s="1837"/>
      <c r="K313" s="1837"/>
      <c r="L313" s="1837"/>
      <c r="M313" s="1838" t="s">
        <v>1267</v>
      </c>
      <c r="O313" s="894" t="s">
        <v>2056</v>
      </c>
      <c r="P313" s="1821" t="e">
        <f>P310/P307</f>
        <v>#N/A</v>
      </c>
      <c r="Q313" s="894"/>
      <c r="R313" s="894"/>
      <c r="S313" s="894"/>
      <c r="T313" s="894"/>
      <c r="U313" s="894"/>
      <c r="V313" s="894"/>
    </row>
    <row r="314" spans="2:22" s="1201" customFormat="1" ht="14" hidden="1" x14ac:dyDescent="0.3">
      <c r="B314" s="1837"/>
      <c r="C314" s="1843" t="s">
        <v>434</v>
      </c>
      <c r="D314" s="1844" t="e">
        <f>D265*H44%</f>
        <v>#DIV/0!</v>
      </c>
      <c r="E314" s="1844">
        <f>E265*D47%</f>
        <v>0</v>
      </c>
      <c r="F314" s="1844">
        <f>F265*D47%</f>
        <v>0</v>
      </c>
      <c r="G314" s="1844">
        <f>G265*D47%</f>
        <v>0</v>
      </c>
      <c r="H314" s="1844">
        <f>H265*D47%</f>
        <v>0</v>
      </c>
      <c r="I314" s="1844"/>
      <c r="J314" s="1844"/>
      <c r="K314" s="1844">
        <f>K265*D47%</f>
        <v>0</v>
      </c>
      <c r="L314" s="1837" t="s">
        <v>255</v>
      </c>
      <c r="M314" s="1838"/>
      <c r="O314" s="894"/>
      <c r="P314" s="894"/>
      <c r="Q314" s="894"/>
      <c r="R314" s="894"/>
      <c r="S314" s="894"/>
      <c r="T314" s="894"/>
      <c r="U314" s="894"/>
      <c r="V314" s="894"/>
    </row>
    <row r="315" spans="2:22" s="1201" customFormat="1" ht="14" hidden="1" x14ac:dyDescent="0.3">
      <c r="B315" s="1845"/>
      <c r="C315" s="1845"/>
      <c r="D315" s="1845"/>
      <c r="E315" s="1845"/>
      <c r="F315" s="1845"/>
      <c r="G315" s="1846"/>
      <c r="H315" s="1837"/>
      <c r="I315" s="1837"/>
      <c r="J315" s="1837"/>
      <c r="K315" s="1844"/>
      <c r="L315" s="1837"/>
      <c r="M315" s="1838"/>
      <c r="O315" s="782" t="s">
        <v>2160</v>
      </c>
      <c r="P315" s="1801" t="s">
        <v>2040</v>
      </c>
      <c r="Q315" s="894"/>
      <c r="R315" s="773" t="s">
        <v>2041</v>
      </c>
      <c r="S315" s="773" t="s">
        <v>2042</v>
      </c>
      <c r="T315" s="773" t="s">
        <v>2043</v>
      </c>
      <c r="U315" s="773" t="s">
        <v>2038</v>
      </c>
      <c r="V315" s="894"/>
    </row>
    <row r="316" spans="2:22" s="1201" customFormat="1" ht="14" hidden="1" x14ac:dyDescent="0.3">
      <c r="B316" s="1840" t="s">
        <v>271</v>
      </c>
      <c r="C316" s="1841"/>
      <c r="D316" s="1840" t="s">
        <v>272</v>
      </c>
      <c r="E316" s="1841"/>
      <c r="F316" s="1841"/>
      <c r="G316" s="1842"/>
      <c r="H316" s="1837"/>
      <c r="I316" s="1837"/>
      <c r="J316" s="1837"/>
      <c r="K316" s="1837"/>
      <c r="L316" s="1837"/>
      <c r="M316" s="1838" t="s">
        <v>1269</v>
      </c>
      <c r="O316" s="894" t="s">
        <v>2051</v>
      </c>
      <c r="P316" s="1782">
        <f t="shared" ref="P316:P321" si="7">P282</f>
        <v>0</v>
      </c>
      <c r="Q316" s="894"/>
      <c r="R316" s="1847" t="e">
        <f>$P$305*(1-$Q$301)*R290+$P$306*(1-$S$301)*T290</f>
        <v>#DIV/0!</v>
      </c>
      <c r="S316" s="1805" t="e">
        <f>R316/$R$321</f>
        <v>#DIV/0!</v>
      </c>
      <c r="T316" s="1848" t="e">
        <f>S316*$P$313</f>
        <v>#DIV/0!</v>
      </c>
      <c r="U316" s="1849" t="e">
        <f>R316*1000/P316</f>
        <v>#DIV/0!</v>
      </c>
      <c r="V316" s="894"/>
    </row>
    <row r="317" spans="2:22" s="1201" customFormat="1" ht="14" hidden="1" x14ac:dyDescent="0.3">
      <c r="B317" s="1841"/>
      <c r="C317" s="1837"/>
      <c r="D317" s="1837" t="s">
        <v>274</v>
      </c>
      <c r="E317" s="1841"/>
      <c r="F317" s="1841"/>
      <c r="G317" s="1842"/>
      <c r="H317" s="1837"/>
      <c r="I317" s="1837"/>
      <c r="J317" s="1837"/>
      <c r="K317" s="1837"/>
      <c r="L317" s="1837"/>
      <c r="M317" s="1838"/>
      <c r="O317" s="894" t="s">
        <v>2044</v>
      </c>
      <c r="P317" s="1782">
        <f t="shared" si="7"/>
        <v>0</v>
      </c>
      <c r="Q317" s="894"/>
      <c r="R317" s="1847" t="e">
        <f>$P$305*(1-$Q$301)*R291+$P$306*(1-$S$301)*T291</f>
        <v>#DIV/0!</v>
      </c>
      <c r="S317" s="1805" t="e">
        <f>R317/$R$321</f>
        <v>#DIV/0!</v>
      </c>
      <c r="T317" s="1848" t="e">
        <f>S317*$P$313</f>
        <v>#DIV/0!</v>
      </c>
      <c r="U317" s="1849" t="e">
        <f t="shared" ref="U317:U320" si="8">R317*1000/P317</f>
        <v>#DIV/0!</v>
      </c>
      <c r="V317" s="894"/>
    </row>
    <row r="318" spans="2:22" s="1201" customFormat="1" ht="14" hidden="1" x14ac:dyDescent="0.3">
      <c r="B318" s="1837"/>
      <c r="C318" s="1837"/>
      <c r="D318" s="1837" t="s">
        <v>275</v>
      </c>
      <c r="E318" s="1850"/>
      <c r="F318" s="1850"/>
      <c r="G318" s="1842"/>
      <c r="H318" s="1837"/>
      <c r="I318" s="1837"/>
      <c r="J318" s="1837"/>
      <c r="K318" s="1837"/>
      <c r="L318" s="1837"/>
      <c r="M318" s="1838"/>
      <c r="O318" s="894" t="s">
        <v>2045</v>
      </c>
      <c r="P318" s="1782">
        <f t="shared" si="7"/>
        <v>0</v>
      </c>
      <c r="Q318" s="894"/>
      <c r="R318" s="1847" t="e">
        <f>$P$305*(1-$Q$301)*R292+$P$306*(1-$S$301)*T292</f>
        <v>#DIV/0!</v>
      </c>
      <c r="S318" s="1805" t="e">
        <f>R318/$R$321</f>
        <v>#DIV/0!</v>
      </c>
      <c r="T318" s="1848" t="e">
        <f>S318*$P$313</f>
        <v>#DIV/0!</v>
      </c>
      <c r="U318" s="1849" t="e">
        <f t="shared" si="8"/>
        <v>#DIV/0!</v>
      </c>
      <c r="V318" s="894"/>
    </row>
    <row r="319" spans="2:22" s="1201" customFormat="1" ht="14" hidden="1" x14ac:dyDescent="0.3">
      <c r="B319" s="1837"/>
      <c r="C319" s="1843" t="s">
        <v>434</v>
      </c>
      <c r="D319" s="1851" t="e">
        <f>(0.3*((D314*(1-((F44+10)/100))))+(0.105*((0.1604*F44-1.037)*D265*0.008))+(0.0152*D265))/6.25</f>
        <v>#DIV/0!</v>
      </c>
      <c r="E319" s="1851">
        <f>(0.3*((E314*(1-((D46+10)/100))))+(0.105*((0.1604*D46-1.037)*E265*0.008))+(0.0152*E265))/6.25</f>
        <v>3.2193644299200004E-3</v>
      </c>
      <c r="F319" s="1851">
        <f>(0.3*((F314*(1-((D46+10)/100))))+(0.105*((0.1604*D46-1.037)*F265*0.008))+(0.0152*F265))/6.25</f>
        <v>3.2193644299200004E-3</v>
      </c>
      <c r="G319" s="1851">
        <f>(0.3*((G314*(1-((D46+10)/100))))+(0.105*((0.1604*D46-1.037)*G265*0.008))+(0.0152*G265))/6.25</f>
        <v>3.2193644299200004E-3</v>
      </c>
      <c r="H319" s="1851">
        <f>(0.3*((H314*(1-((D46+10)/100))))+(0.105*((0.1604*D46-1.037)*H265*0.008))+(0.0152*H265))/6.25</f>
        <v>3.2193644299200004E-3</v>
      </c>
      <c r="I319" s="1852">
        <v>5.4999999999999997E-3</v>
      </c>
      <c r="J319" s="1852">
        <v>5.0000000000000001E-3</v>
      </c>
      <c r="K319" s="1851">
        <f>(0.3*((K314*(1-((D46+10)/100))))+(0.105*((0.1604*D46-1.037)*K265*0.008))+(0.0152*K265))/6.25</f>
        <v>3.2193644299200004E-3</v>
      </c>
      <c r="L319" s="1837" t="s">
        <v>255</v>
      </c>
      <c r="M319" s="1838"/>
      <c r="O319" s="894" t="s">
        <v>2046</v>
      </c>
      <c r="P319" s="1782">
        <f t="shared" si="7"/>
        <v>0</v>
      </c>
      <c r="Q319" s="894"/>
      <c r="R319" s="1847" t="e">
        <f>$P$305*(1-$Q$301)*R293+$P$306*(1-$S$301)*T293</f>
        <v>#DIV/0!</v>
      </c>
      <c r="S319" s="1805" t="e">
        <f>R319/$R$321</f>
        <v>#DIV/0!</v>
      </c>
      <c r="T319" s="1848" t="e">
        <f>S319*$P$313</f>
        <v>#DIV/0!</v>
      </c>
      <c r="U319" s="1849" t="e">
        <f t="shared" si="8"/>
        <v>#DIV/0!</v>
      </c>
      <c r="V319" s="894"/>
    </row>
    <row r="320" spans="2:22" s="1201" customFormat="1" ht="14" hidden="1" x14ac:dyDescent="0.3">
      <c r="B320" s="1837"/>
      <c r="C320" s="1837"/>
      <c r="D320" s="1837"/>
      <c r="E320" s="1837"/>
      <c r="F320" s="1837"/>
      <c r="G320" s="1837"/>
      <c r="H320" s="1837"/>
      <c r="I320" s="1837"/>
      <c r="J320" s="1837"/>
      <c r="K320" s="1844"/>
      <c r="L320" s="1837"/>
      <c r="M320" s="1838"/>
      <c r="O320" s="1810" t="s">
        <v>2047</v>
      </c>
      <c r="P320" s="1812">
        <f t="shared" si="7"/>
        <v>0</v>
      </c>
      <c r="Q320" s="1810"/>
      <c r="R320" s="1853" t="e">
        <f>P304+P306*(1-S301)*T294</f>
        <v>#N/A</v>
      </c>
      <c r="S320" s="1854" t="e">
        <f>R320/$R$321</f>
        <v>#N/A</v>
      </c>
      <c r="T320" s="1855" t="e">
        <f>S320*$P$313</f>
        <v>#N/A</v>
      </c>
      <c r="U320" s="1856" t="e">
        <f t="shared" si="8"/>
        <v>#N/A</v>
      </c>
      <c r="V320" s="894"/>
    </row>
    <row r="321" spans="2:22" s="1201" customFormat="1" ht="16" hidden="1" x14ac:dyDescent="0.4">
      <c r="B321" s="1840" t="s">
        <v>276</v>
      </c>
      <c r="C321" s="1837"/>
      <c r="D321" s="1857" t="s">
        <v>2138</v>
      </c>
      <c r="E321" s="1858"/>
      <c r="F321" s="1858"/>
      <c r="G321" s="1858"/>
      <c r="H321" s="1858"/>
      <c r="I321" s="1858"/>
      <c r="J321" s="1858"/>
      <c r="K321" s="1837"/>
      <c r="L321" s="1837"/>
      <c r="M321" s="1838" t="s">
        <v>1268</v>
      </c>
      <c r="O321" s="894" t="s">
        <v>2048</v>
      </c>
      <c r="P321" s="1782">
        <f t="shared" si="7"/>
        <v>0</v>
      </c>
      <c r="Q321" s="894"/>
      <c r="R321" s="1847" t="e">
        <f>SUM(R316:R320)</f>
        <v>#DIV/0!</v>
      </c>
      <c r="S321" s="1805" t="e">
        <f>SUM(S316:S320)</f>
        <v>#DIV/0!</v>
      </c>
      <c r="T321" s="1805" t="e">
        <f>SUM(T316:T320)</f>
        <v>#DIV/0!</v>
      </c>
      <c r="U321" s="1849" t="e">
        <f>R321*1000/P321</f>
        <v>#DIV/0!</v>
      </c>
      <c r="V321" s="1859"/>
    </row>
    <row r="322" spans="2:22" s="1201" customFormat="1" hidden="1" thickBot="1" x14ac:dyDescent="0.35">
      <c r="B322" s="1837"/>
      <c r="C322" s="1837"/>
      <c r="D322" s="1837"/>
      <c r="E322" s="1837"/>
      <c r="F322" s="1837"/>
      <c r="G322" s="1837"/>
      <c r="H322" s="1837"/>
      <c r="I322" s="1837"/>
      <c r="J322" s="1837"/>
      <c r="K322" s="1837"/>
      <c r="L322" s="1837"/>
      <c r="M322" s="1838"/>
      <c r="O322" s="894"/>
      <c r="P322" s="894"/>
      <c r="Q322" s="894"/>
      <c r="R322" s="894"/>
      <c r="S322" s="894"/>
      <c r="T322" s="894"/>
      <c r="U322" s="894"/>
    </row>
    <row r="323" spans="2:22" s="1201" customFormat="1" hidden="1" thickBot="1" x14ac:dyDescent="0.35">
      <c r="B323" s="1860"/>
      <c r="C323" s="1861" t="s">
        <v>804</v>
      </c>
      <c r="D323" s="1862"/>
      <c r="E323" s="1862"/>
      <c r="F323" s="1862"/>
      <c r="G323" s="1862"/>
      <c r="H323" s="1862"/>
      <c r="I323" s="1863"/>
      <c r="J323" s="1864"/>
      <c r="K323" s="1837"/>
      <c r="L323" s="1837"/>
      <c r="M323" s="1838" t="s">
        <v>1270</v>
      </c>
    </row>
    <row r="324" spans="2:22" s="1201" customFormat="1" ht="14" hidden="1" x14ac:dyDescent="0.3">
      <c r="B324" s="1837"/>
      <c r="C324" s="1861"/>
      <c r="D324" s="1862" t="s">
        <v>212</v>
      </c>
      <c r="E324" s="1862" t="s">
        <v>279</v>
      </c>
      <c r="F324" s="1862" t="s">
        <v>280</v>
      </c>
      <c r="G324" s="1862" t="s">
        <v>1007</v>
      </c>
      <c r="H324" s="1862" t="s">
        <v>282</v>
      </c>
      <c r="I324" s="1863" t="s">
        <v>281</v>
      </c>
      <c r="J324" s="1864"/>
      <c r="K324" s="1837"/>
      <c r="L324" s="1837"/>
      <c r="M324" s="1838"/>
    </row>
    <row r="325" spans="2:22" s="1201" customFormat="1" ht="14" hidden="1" x14ac:dyDescent="0.3">
      <c r="B325" s="1860">
        <v>1</v>
      </c>
      <c r="C325" s="1865" t="s">
        <v>912</v>
      </c>
      <c r="D325" s="1864">
        <v>590</v>
      </c>
      <c r="E325" s="1864">
        <v>590</v>
      </c>
      <c r="F325" s="1864">
        <v>590</v>
      </c>
      <c r="G325" s="1864">
        <v>770</v>
      </c>
      <c r="H325" s="1864">
        <v>770</v>
      </c>
      <c r="I325" s="1866">
        <v>770</v>
      </c>
      <c r="J325" s="1864"/>
      <c r="K325" s="1837"/>
      <c r="L325" s="1837"/>
      <c r="M325" s="1838"/>
    </row>
    <row r="326" spans="2:22" s="1201" customFormat="1" ht="14" hidden="1" x14ac:dyDescent="0.3">
      <c r="B326" s="1860">
        <v>2</v>
      </c>
      <c r="C326" s="1865" t="s">
        <v>917</v>
      </c>
      <c r="D326" s="1864">
        <v>590</v>
      </c>
      <c r="E326" s="1864">
        <v>590</v>
      </c>
      <c r="F326" s="1864">
        <v>590</v>
      </c>
      <c r="G326" s="1864">
        <v>770</v>
      </c>
      <c r="H326" s="1864">
        <v>770</v>
      </c>
      <c r="I326" s="1866">
        <v>770</v>
      </c>
      <c r="J326" s="1864"/>
      <c r="K326" s="1837"/>
      <c r="L326" s="1837"/>
      <c r="M326" s="1838"/>
    </row>
    <row r="327" spans="2:22" s="1201" customFormat="1" ht="14" hidden="1" x14ac:dyDescent="0.3">
      <c r="B327" s="1860">
        <v>3</v>
      </c>
      <c r="C327" s="1865" t="s">
        <v>866</v>
      </c>
      <c r="D327" s="1864">
        <v>590</v>
      </c>
      <c r="E327" s="1864">
        <v>590</v>
      </c>
      <c r="F327" s="1864">
        <v>590</v>
      </c>
      <c r="G327" s="1864">
        <v>770</v>
      </c>
      <c r="H327" s="1864">
        <v>770</v>
      </c>
      <c r="I327" s="1866">
        <v>770</v>
      </c>
      <c r="J327" s="1864"/>
      <c r="K327" s="1860"/>
      <c r="L327" s="1860"/>
      <c r="M327" s="1838"/>
    </row>
    <row r="328" spans="2:22" s="1201" customFormat="1" ht="14" hidden="1" x14ac:dyDescent="0.3">
      <c r="B328" s="1860">
        <v>4</v>
      </c>
      <c r="C328" s="1865" t="s">
        <v>914</v>
      </c>
      <c r="D328" s="1864">
        <v>590</v>
      </c>
      <c r="E328" s="1864">
        <v>590</v>
      </c>
      <c r="F328" s="1864">
        <v>590</v>
      </c>
      <c r="G328" s="1864">
        <v>770</v>
      </c>
      <c r="H328" s="1864">
        <v>770</v>
      </c>
      <c r="I328" s="1866">
        <v>770</v>
      </c>
      <c r="J328" s="1864"/>
      <c r="K328" s="1837"/>
      <c r="L328" s="1837"/>
      <c r="M328" s="1838"/>
    </row>
    <row r="329" spans="2:22" s="1201" customFormat="1" ht="14" hidden="1" x14ac:dyDescent="0.3">
      <c r="B329" s="1860">
        <v>5</v>
      </c>
      <c r="C329" s="1865" t="s">
        <v>918</v>
      </c>
      <c r="D329" s="1864">
        <v>590</v>
      </c>
      <c r="E329" s="1864">
        <v>590</v>
      </c>
      <c r="F329" s="1864">
        <v>590</v>
      </c>
      <c r="G329" s="1864">
        <v>770</v>
      </c>
      <c r="H329" s="1864">
        <v>770</v>
      </c>
      <c r="I329" s="1866">
        <v>770</v>
      </c>
      <c r="J329" s="1864"/>
      <c r="K329" s="1837"/>
      <c r="L329" s="1837"/>
      <c r="M329" s="1838"/>
    </row>
    <row r="330" spans="2:22" s="1201" customFormat="1" ht="14" hidden="1" x14ac:dyDescent="0.3">
      <c r="B330" s="1860">
        <v>6</v>
      </c>
      <c r="C330" s="1867" t="s">
        <v>919</v>
      </c>
      <c r="D330" s="1864">
        <v>590</v>
      </c>
      <c r="E330" s="1864">
        <v>590</v>
      </c>
      <c r="F330" s="1864">
        <v>590</v>
      </c>
      <c r="G330" s="1864">
        <v>770</v>
      </c>
      <c r="H330" s="1864">
        <v>770</v>
      </c>
      <c r="I330" s="1866">
        <v>770</v>
      </c>
      <c r="J330" s="1864"/>
      <c r="K330" s="1837"/>
      <c r="L330" s="1837"/>
      <c r="M330" s="1838"/>
    </row>
    <row r="331" spans="2:22" s="1201" customFormat="1" hidden="1" thickBot="1" x14ac:dyDescent="0.35">
      <c r="B331" s="1860">
        <v>7</v>
      </c>
      <c r="C331" s="1865" t="s">
        <v>920</v>
      </c>
      <c r="D331" s="1868">
        <v>590</v>
      </c>
      <c r="E331" s="1864">
        <v>590</v>
      </c>
      <c r="F331" s="1864">
        <v>590</v>
      </c>
      <c r="G331" s="1864">
        <v>770</v>
      </c>
      <c r="H331" s="1864">
        <v>770</v>
      </c>
      <c r="I331" s="1866">
        <v>770</v>
      </c>
      <c r="J331" s="1864"/>
      <c r="K331" s="1837"/>
      <c r="L331" s="1837"/>
      <c r="M331" s="1838"/>
    </row>
    <row r="332" spans="2:22" s="1201" customFormat="1" hidden="1" thickBot="1" x14ac:dyDescent="0.35">
      <c r="B332" s="1843" t="s">
        <v>228</v>
      </c>
      <c r="C332" s="1869" t="e">
        <f>VLOOKUP($D$15,$C$325:$I$331,1,FALSE)</f>
        <v>#N/A</v>
      </c>
      <c r="D332" s="1870" t="e">
        <f>VLOOKUP($D$15,$C$325:$I$331,2,FALSE)</f>
        <v>#N/A</v>
      </c>
      <c r="E332" s="1871" t="e">
        <f>VLOOKUP($D$15,$C$325:$I$331,3,FALSE)</f>
        <v>#N/A</v>
      </c>
      <c r="F332" s="1871" t="e">
        <f>VLOOKUP($D$15,$C$325:$I$331,4,FALSE)</f>
        <v>#N/A</v>
      </c>
      <c r="G332" s="1871" t="e">
        <f>VLOOKUP($D$15,$C$325:$I$331,5,FALSE)</f>
        <v>#N/A</v>
      </c>
      <c r="H332" s="1871" t="e">
        <f>VLOOKUP($D$15,$C$325:$I$331,6,FALSE)</f>
        <v>#N/A</v>
      </c>
      <c r="I332" s="1872" t="e">
        <f>VLOOKUP($D$15,$C$325:$I$331,7,FALSE)</f>
        <v>#N/A</v>
      </c>
      <c r="J332" s="1873"/>
      <c r="K332" s="1837"/>
      <c r="L332" s="1837"/>
      <c r="M332" s="1838"/>
    </row>
    <row r="333" spans="2:22" s="1201" customFormat="1" hidden="1" thickBot="1" x14ac:dyDescent="0.35">
      <c r="B333" s="1837"/>
      <c r="C333" s="1874" t="s">
        <v>300</v>
      </c>
      <c r="D333" s="1875" t="e">
        <f t="shared" ref="D333:I333" si="9">IF(D332&gt;0,D21/D332,0)</f>
        <v>#N/A</v>
      </c>
      <c r="E333" s="1875" t="e">
        <f t="shared" si="9"/>
        <v>#N/A</v>
      </c>
      <c r="F333" s="1875" t="e">
        <f t="shared" si="9"/>
        <v>#N/A</v>
      </c>
      <c r="G333" s="1875" t="e">
        <f t="shared" si="9"/>
        <v>#N/A</v>
      </c>
      <c r="H333" s="1875" t="e">
        <f t="shared" si="9"/>
        <v>#N/A</v>
      </c>
      <c r="I333" s="1876" t="e">
        <f t="shared" si="9"/>
        <v>#N/A</v>
      </c>
      <c r="J333" s="1877"/>
      <c r="K333" s="1860"/>
      <c r="L333" s="1860"/>
      <c r="M333" s="1838"/>
    </row>
    <row r="334" spans="2:22" s="1201" customFormat="1" ht="14" hidden="1" x14ac:dyDescent="0.3">
      <c r="B334" s="1837"/>
      <c r="C334" s="1837"/>
      <c r="D334" s="1837"/>
      <c r="E334" s="1837"/>
      <c r="F334" s="1837"/>
      <c r="G334" s="1837"/>
      <c r="H334" s="1837"/>
      <c r="I334" s="1837"/>
      <c r="J334" s="1837"/>
      <c r="K334" s="1837"/>
      <c r="L334" s="1837"/>
      <c r="M334" s="1838"/>
    </row>
    <row r="335" spans="2:22" s="1201" customFormat="1" ht="14" hidden="1" x14ac:dyDescent="0.3">
      <c r="B335" s="1840" t="s">
        <v>1255</v>
      </c>
      <c r="C335" s="1837"/>
      <c r="D335" s="1844" t="e">
        <f>D265/(1.185+(0.00454*D21)-(0.0000026*(D21)^2)+((0.315*0)))^2</f>
        <v>#DIV/0!</v>
      </c>
      <c r="E335" s="1844">
        <f>E265/(1.185+(0.00454*E21)-(0.0000026*(E21)^2)+((0.315*0)))^2</f>
        <v>1</v>
      </c>
      <c r="F335" s="1844">
        <f>F265/(1.185+(0.00454*F21)-(0.0000026*(F21)^2)+((0.315*0)))^2</f>
        <v>1</v>
      </c>
      <c r="G335" s="1844">
        <f>G265/(1.185+(0.00454*G21)-(0.0000026*(G21)^2)+((0.315*0)))^2</f>
        <v>1</v>
      </c>
      <c r="H335" s="1844">
        <f>H265/(1.185+(0.00454*H21)-(0.0000026*(H21)^2)+((0.315*0)))^2</f>
        <v>1</v>
      </c>
      <c r="I335" s="1844">
        <f>K265/(1.185+(0.00454*I21)-(0.0000026*(I21)^2)+((0.315*0)))^2</f>
        <v>1</v>
      </c>
      <c r="J335" s="1837"/>
      <c r="K335" s="1878"/>
      <c r="L335" s="1837"/>
      <c r="M335" s="1838"/>
    </row>
    <row r="336" spans="2:22" s="1201" customFormat="1" ht="14" hidden="1" x14ac:dyDescent="0.3">
      <c r="B336" s="1837"/>
      <c r="C336" s="1837"/>
      <c r="D336" s="1837"/>
      <c r="E336" s="1837"/>
      <c r="F336" s="1837"/>
      <c r="G336" s="1837"/>
      <c r="H336" s="1837"/>
      <c r="I336" s="1844"/>
      <c r="J336" s="1837"/>
      <c r="K336" s="1837"/>
      <c r="L336" s="1837"/>
      <c r="M336" s="1838"/>
    </row>
    <row r="337" spans="2:13" s="1201" customFormat="1" ht="14" hidden="1" x14ac:dyDescent="0.3">
      <c r="B337" s="1840" t="s">
        <v>276</v>
      </c>
      <c r="C337" s="1843" t="s">
        <v>434</v>
      </c>
      <c r="D337" s="1879" t="e">
        <f>((0.032*(H35*1.03*D35/365)/6.38)+((0.212-0.008*(D335-2)-((0.14-0.008*(D335-2))/(1+EXP(-6*(D333-0.4)))))*(0*0.92))/6.25)</f>
        <v>#DIV/0!</v>
      </c>
      <c r="E337" s="1879" t="e">
        <f>((0.032*0/6.38)+((0.212-0.008*(E335-2)-((0.14-0.008*(E335-2))/(1+EXP(-6*(E333-0.4)))))*(E23*0.92))/6.25)</f>
        <v>#N/A</v>
      </c>
      <c r="F337" s="1879" t="e">
        <f>((0.032*0/6.38)+((0.212-0.008*(F335-2)-((0.14-0.008*(F335-2))/(1+EXP(-6*(F333-0.4)))))*(F23*0.92))/6.25)</f>
        <v>#N/A</v>
      </c>
      <c r="G337" s="1879" t="e">
        <f>((0.032*0/6.38)+((0.212-0.008*(G335-2)-((0.14-0.008*(G335-2))/(1+EXP(-6*(G333-0.4)))))*(G23*0.92))/6.25)</f>
        <v>#N/A</v>
      </c>
      <c r="H337" s="1879" t="e">
        <f>((0.032*0/6.38)+((0.212-0.008*(H335-2)-((0.14-0.008*(H335-2))/(1+EXP(-6*(H333-0.4)))))*(H23*0.92))/6.25)</f>
        <v>#N/A</v>
      </c>
      <c r="I337" s="1879" t="e">
        <f>((0.032*0/6.38)+((0.212-0.008*(I335-2)-((0.14-0.008*(I335-2))/(1+EXP(-6*(I333-0.4)))))*(I23*0.92))/6.25)</f>
        <v>#N/A</v>
      </c>
      <c r="J337" s="1880"/>
      <c r="K337" s="1878"/>
      <c r="L337" s="1860" t="s">
        <v>283</v>
      </c>
      <c r="M337" s="1838"/>
    </row>
    <row r="338" spans="2:13" s="1201" customFormat="1" ht="14" hidden="1" x14ac:dyDescent="0.3">
      <c r="B338" s="1837"/>
      <c r="C338" s="1873"/>
      <c r="D338" s="1880"/>
      <c r="E338" s="1880"/>
      <c r="F338" s="1880"/>
      <c r="G338" s="1880"/>
      <c r="H338" s="1880"/>
      <c r="I338" s="1844"/>
      <c r="J338" s="1851"/>
      <c r="K338" s="1860"/>
      <c r="L338" s="1860"/>
      <c r="M338" s="1838"/>
    </row>
    <row r="339" spans="2:13" s="1201" customFormat="1" ht="16.5" hidden="1" x14ac:dyDescent="0.3">
      <c r="B339" s="1840" t="s">
        <v>284</v>
      </c>
      <c r="C339" s="1837"/>
      <c r="D339" s="1881" t="s">
        <v>2139</v>
      </c>
      <c r="E339" s="1880"/>
      <c r="F339" s="1880"/>
      <c r="G339" s="1880"/>
      <c r="H339" s="1837"/>
      <c r="I339" s="1837"/>
      <c r="J339" s="1837"/>
      <c r="K339" s="1860"/>
      <c r="L339" s="1860"/>
      <c r="M339" s="1838" t="s">
        <v>1271</v>
      </c>
    </row>
    <row r="340" spans="2:13" s="1201" customFormat="1" ht="14" hidden="1" x14ac:dyDescent="0.3">
      <c r="B340" s="1837"/>
      <c r="C340" s="1843" t="s">
        <v>434</v>
      </c>
      <c r="D340" s="1882" t="e">
        <f>(D314/6.25)-D337-D319-((1.1*10^-4*D21^0.75)/6.25)</f>
        <v>#DIV/0!</v>
      </c>
      <c r="E340" s="1882" t="e">
        <f>(E314/6.25)-E337-E319-((1.1*10^-4*E21^0.75)/6.25)</f>
        <v>#N/A</v>
      </c>
      <c r="F340" s="1882" t="e">
        <f>(F314/6.25)-F337-F319-((1.1*10^-4*F21^0.75)/6.25)</f>
        <v>#N/A</v>
      </c>
      <c r="G340" s="1882" t="e">
        <f>(G314/6.25)-G337-G319-((1.1*10^-4*G21^0.75)/6.25)</f>
        <v>#N/A</v>
      </c>
      <c r="H340" s="1882" t="e">
        <f>(H314/6.25)-H337-H319-((1.1*10^-4*H21^0.75)/6.25)</f>
        <v>#N/A</v>
      </c>
      <c r="I340" s="1879">
        <v>8.2000000000000007E-3</v>
      </c>
      <c r="J340" s="1883">
        <v>4.1999999999999997E-3</v>
      </c>
      <c r="K340" s="1882" t="e">
        <f>(K314/6.25)-I337-K319-((1.1*10^-4*I21^0.75)/6.25)</f>
        <v>#N/A</v>
      </c>
      <c r="L340" s="1860" t="s">
        <v>283</v>
      </c>
      <c r="M340" s="1838"/>
    </row>
    <row r="341" spans="2:13" s="1201" customFormat="1" ht="14" hidden="1" x14ac:dyDescent="0.3">
      <c r="B341" s="1837"/>
      <c r="C341" s="1837"/>
      <c r="D341" s="1837"/>
      <c r="E341" s="1837"/>
      <c r="F341" s="1837"/>
      <c r="G341" s="1837"/>
      <c r="H341" s="1837"/>
      <c r="I341" s="1837"/>
      <c r="J341" s="1837"/>
      <c r="K341" s="1878"/>
      <c r="L341" s="1860"/>
      <c r="M341" s="1838"/>
    </row>
    <row r="342" spans="2:13" s="1201" customFormat="1" ht="14" hidden="1" x14ac:dyDescent="0.3">
      <c r="B342" s="1840" t="s">
        <v>444</v>
      </c>
      <c r="C342" s="1837"/>
      <c r="D342" s="1840" t="s">
        <v>1261</v>
      </c>
      <c r="E342" s="1837"/>
      <c r="F342" s="1837"/>
      <c r="G342" s="1837"/>
      <c r="H342" s="1837"/>
      <c r="I342" s="1837"/>
      <c r="J342" s="1837"/>
      <c r="K342" s="1837"/>
      <c r="L342" s="1860"/>
      <c r="M342" s="1838" t="s">
        <v>1272</v>
      </c>
    </row>
    <row r="343" spans="2:13" s="1201" customFormat="1" ht="14" hidden="1" x14ac:dyDescent="0.3">
      <c r="B343" s="1837"/>
      <c r="C343" s="1837"/>
      <c r="D343" s="1837"/>
      <c r="E343" s="1837"/>
      <c r="F343" s="1837"/>
      <c r="G343" s="1837"/>
      <c r="H343" s="1837"/>
      <c r="I343" s="1837"/>
      <c r="J343" s="1837"/>
      <c r="K343" s="1837"/>
      <c r="L343" s="1837"/>
      <c r="M343" s="1838"/>
    </row>
    <row r="344" spans="2:13" s="1201" customFormat="1" ht="14" hidden="1" x14ac:dyDescent="0.3">
      <c r="B344" s="1837"/>
      <c r="C344" s="1843" t="s">
        <v>434</v>
      </c>
      <c r="D344" s="1878" t="e">
        <f>(365*D19*D319)*10^-6</f>
        <v>#DIV/0!</v>
      </c>
      <c r="E344" s="1878">
        <f>(365*E19*E319)*10^-6</f>
        <v>0</v>
      </c>
      <c r="F344" s="1878">
        <f>(281*F19*F319)*10^-6</f>
        <v>0</v>
      </c>
      <c r="G344" s="1878">
        <f>(365*G19*G319)*10^-6</f>
        <v>0</v>
      </c>
      <c r="H344" s="1878">
        <f>(281*H19*H319)*10^-6</f>
        <v>0</v>
      </c>
      <c r="I344" s="1878">
        <f>(84*F19*I319)*10^-6</f>
        <v>0</v>
      </c>
      <c r="J344" s="1878">
        <f>(84*H19*J319)*10^-6</f>
        <v>0</v>
      </c>
      <c r="K344" s="1878">
        <f>(365*I19*K319)*10^-6</f>
        <v>0</v>
      </c>
      <c r="L344" s="1837" t="s">
        <v>438</v>
      </c>
      <c r="M344" s="1838"/>
    </row>
    <row r="345" spans="2:13" s="1201" customFormat="1" ht="14" hidden="1" x14ac:dyDescent="0.3">
      <c r="B345" s="1837"/>
      <c r="C345" s="1837"/>
      <c r="D345" s="1878"/>
      <c r="E345" s="1878"/>
      <c r="F345" s="1878"/>
      <c r="G345" s="1878"/>
      <c r="H345" s="1878"/>
      <c r="I345" s="1878"/>
      <c r="J345" s="1878"/>
      <c r="K345" s="1878"/>
      <c r="L345" s="1837"/>
      <c r="M345" s="1838"/>
    </row>
    <row r="346" spans="2:13" s="1201" customFormat="1" ht="14" hidden="1" x14ac:dyDescent="0.3">
      <c r="B346" s="1840" t="s">
        <v>445</v>
      </c>
      <c r="C346" s="1837"/>
      <c r="D346" s="1884" t="s">
        <v>1262</v>
      </c>
      <c r="E346" s="1878"/>
      <c r="F346" s="1878"/>
      <c r="G346" s="1878"/>
      <c r="H346" s="1878"/>
      <c r="I346" s="1878"/>
      <c r="J346" s="1878"/>
      <c r="K346" s="1878"/>
      <c r="L346" s="1837"/>
      <c r="M346" s="1838" t="s">
        <v>1273</v>
      </c>
    </row>
    <row r="347" spans="2:13" s="1201" customFormat="1" ht="14" hidden="1" x14ac:dyDescent="0.3">
      <c r="B347" s="1837"/>
      <c r="C347" s="1837"/>
      <c r="D347" s="1878"/>
      <c r="E347" s="1878"/>
      <c r="F347" s="1878"/>
      <c r="G347" s="1878"/>
      <c r="H347" s="1878"/>
      <c r="I347" s="1878"/>
      <c r="J347" s="1878"/>
      <c r="K347" s="1878"/>
      <c r="L347" s="1837"/>
      <c r="M347" s="1838"/>
    </row>
    <row r="348" spans="2:13" s="1201" customFormat="1" ht="14" hidden="1" x14ac:dyDescent="0.3">
      <c r="B348" s="1837"/>
      <c r="C348" s="1843" t="s">
        <v>434</v>
      </c>
      <c r="D348" s="1885" t="e">
        <f>(365*D19*D340)*10^-6</f>
        <v>#DIV/0!</v>
      </c>
      <c r="E348" s="1885" t="e">
        <f>(365*E19*E340)*10^-6</f>
        <v>#N/A</v>
      </c>
      <c r="F348" s="1885" t="e">
        <f>(281*F19*F340)*10^-6</f>
        <v>#N/A</v>
      </c>
      <c r="G348" s="1885" t="e">
        <f>(365*G19*G340)*10^-6</f>
        <v>#N/A</v>
      </c>
      <c r="H348" s="1885" t="e">
        <f>(281*H19*H340)*10^-6</f>
        <v>#N/A</v>
      </c>
      <c r="I348" s="1885">
        <f>(84*F19*I340)*10^-6</f>
        <v>0</v>
      </c>
      <c r="J348" s="1885">
        <f>(84*H19*J340)*10^-6</f>
        <v>0</v>
      </c>
      <c r="K348" s="1885" t="e">
        <f>(365*I19*K340)*10^-6</f>
        <v>#N/A</v>
      </c>
      <c r="L348" s="1837" t="s">
        <v>438</v>
      </c>
      <c r="M348" s="1838"/>
    </row>
    <row r="349" spans="2:13" s="1201" customFormat="1" ht="14" hidden="1" x14ac:dyDescent="0.3">
      <c r="B349" s="1837"/>
      <c r="C349" s="1837"/>
      <c r="D349" s="1837"/>
      <c r="E349" s="1837"/>
      <c r="F349" s="1837"/>
      <c r="G349" s="1837"/>
      <c r="H349" s="1837"/>
      <c r="I349" s="1837"/>
      <c r="J349" s="1837"/>
      <c r="K349" s="1837"/>
      <c r="L349" s="1837"/>
      <c r="M349" s="1838"/>
    </row>
    <row r="350" spans="2:13" s="1201" customFormat="1" ht="16" hidden="1" x14ac:dyDescent="0.4">
      <c r="B350" s="1840" t="s">
        <v>1275</v>
      </c>
      <c r="C350" s="1837"/>
      <c r="D350" s="1840" t="s">
        <v>2140</v>
      </c>
      <c r="E350" s="1837"/>
      <c r="F350" s="1837"/>
      <c r="G350" s="1837"/>
      <c r="H350" s="1837"/>
      <c r="I350" s="1837"/>
      <c r="J350" s="1837"/>
      <c r="K350" s="1837"/>
      <c r="L350" s="1837"/>
      <c r="M350" s="1838"/>
    </row>
    <row r="351" spans="2:13" s="1201" customFormat="1" ht="14" hidden="1" x14ac:dyDescent="0.3">
      <c r="B351" s="1837"/>
      <c r="C351" s="1837"/>
      <c r="D351" s="1879"/>
      <c r="E351" s="1879"/>
      <c r="F351" s="1879"/>
      <c r="G351" s="1879"/>
      <c r="H351" s="1879"/>
      <c r="I351" s="1879"/>
      <c r="J351" s="1879"/>
      <c r="K351" s="1879"/>
      <c r="L351" s="1860"/>
      <c r="M351" s="1838"/>
    </row>
    <row r="352" spans="2:13" s="1201" customFormat="1" ht="14" hidden="1" x14ac:dyDescent="0.3">
      <c r="B352" s="1837"/>
      <c r="C352" s="1843" t="s">
        <v>434</v>
      </c>
      <c r="D352" s="1882" t="e">
        <f>D344+D348</f>
        <v>#DIV/0!</v>
      </c>
      <c r="E352" s="1882" t="e">
        <f t="shared" ref="E352:J352" si="10">E344+E348</f>
        <v>#N/A</v>
      </c>
      <c r="F352" s="1882" t="e">
        <f t="shared" si="10"/>
        <v>#N/A</v>
      </c>
      <c r="G352" s="1882" t="e">
        <f t="shared" si="10"/>
        <v>#N/A</v>
      </c>
      <c r="H352" s="1882" t="e">
        <f t="shared" si="10"/>
        <v>#N/A</v>
      </c>
      <c r="I352" s="1882">
        <f t="shared" si="10"/>
        <v>0</v>
      </c>
      <c r="J352" s="1882">
        <f t="shared" si="10"/>
        <v>0</v>
      </c>
      <c r="K352" s="1882" t="e">
        <f t="shared" ref="K352" si="11">K344+K348</f>
        <v>#N/A</v>
      </c>
      <c r="L352" s="1837" t="s">
        <v>438</v>
      </c>
      <c r="M352" s="1838"/>
    </row>
    <row r="353" spans="2:13" s="1201" customFormat="1" ht="14" hidden="1" x14ac:dyDescent="0.3">
      <c r="B353" s="1837"/>
      <c r="C353" s="1843"/>
      <c r="D353" s="1837"/>
      <c r="E353" s="1837"/>
      <c r="F353" s="1837"/>
      <c r="G353" s="1837"/>
      <c r="H353" s="1837"/>
      <c r="I353" s="1837"/>
      <c r="J353" s="1837"/>
      <c r="K353" s="1886"/>
      <c r="L353" s="1837"/>
      <c r="M353" s="1838"/>
    </row>
    <row r="354" spans="2:13" s="1201" customFormat="1" ht="14" hidden="1" x14ac:dyDescent="0.3">
      <c r="B354" s="1840" t="s">
        <v>291</v>
      </c>
      <c r="C354" s="1873"/>
      <c r="D354" s="1840" t="s">
        <v>292</v>
      </c>
      <c r="E354" s="1873"/>
      <c r="F354" s="1873"/>
      <c r="G354" s="1873"/>
      <c r="H354" s="1860"/>
      <c r="I354" s="1860"/>
      <c r="J354" s="1860"/>
      <c r="K354" s="1837"/>
      <c r="L354" s="1837"/>
      <c r="M354" s="1838"/>
    </row>
    <row r="355" spans="2:13" s="1201" customFormat="1" ht="14" hidden="1" x14ac:dyDescent="0.3">
      <c r="B355" s="1837"/>
      <c r="C355" s="1837"/>
      <c r="D355" s="1837" t="s">
        <v>293</v>
      </c>
      <c r="E355" s="1887"/>
      <c r="F355" s="1887"/>
      <c r="G355" s="1887"/>
      <c r="H355" s="1887"/>
      <c r="I355" s="1887"/>
      <c r="J355" s="1887"/>
      <c r="K355" s="1837"/>
      <c r="L355" s="1837"/>
      <c r="M355" s="1838"/>
    </row>
    <row r="356" spans="2:13" s="1201" customFormat="1" ht="14" hidden="1" x14ac:dyDescent="0.3">
      <c r="B356" s="1837"/>
      <c r="C356" s="1837"/>
      <c r="D356" s="1837" t="s">
        <v>294</v>
      </c>
      <c r="E356" s="1837"/>
      <c r="F356" s="1837"/>
      <c r="G356" s="1837"/>
      <c r="H356" s="1837"/>
      <c r="I356" s="1837"/>
      <c r="J356" s="1837"/>
      <c r="K356" s="1837"/>
      <c r="L356" s="1837"/>
      <c r="M356" s="1838"/>
    </row>
    <row r="357" spans="2:13" s="1201" customFormat="1" ht="14" hidden="1" x14ac:dyDescent="0.3">
      <c r="B357" s="1837"/>
      <c r="C357" s="1837"/>
      <c r="D357" s="1837"/>
      <c r="E357" s="1837"/>
      <c r="F357" s="1837"/>
      <c r="G357" s="1837"/>
      <c r="H357" s="1837"/>
      <c r="I357" s="1837"/>
      <c r="J357" s="1837"/>
      <c r="K357" s="1837"/>
      <c r="L357" s="1837"/>
      <c r="M357" s="1888"/>
    </row>
    <row r="358" spans="2:13" s="1201" customFormat="1" ht="16" hidden="1" x14ac:dyDescent="0.4">
      <c r="B358" s="1889" t="s">
        <v>295</v>
      </c>
      <c r="C358" s="1837"/>
      <c r="D358" s="1840" t="s">
        <v>2140</v>
      </c>
      <c r="E358" s="1837"/>
      <c r="F358" s="1837"/>
      <c r="G358" s="1837"/>
      <c r="H358" s="1837"/>
      <c r="I358" s="1837"/>
      <c r="J358" s="1837"/>
      <c r="K358" s="1889"/>
      <c r="L358" s="1889" t="s">
        <v>296</v>
      </c>
      <c r="M358" s="1838"/>
    </row>
    <row r="359" spans="2:13" s="1201" customFormat="1" ht="14" hidden="1" x14ac:dyDescent="0.3">
      <c r="B359" s="1873" t="s">
        <v>1288</v>
      </c>
      <c r="C359" s="1843" t="s">
        <v>434</v>
      </c>
      <c r="D359" s="1890" t="e">
        <f>$D$352*C85%</f>
        <v>#DIV/0!</v>
      </c>
      <c r="E359" s="1890" t="e">
        <f>$E$352*C86%</f>
        <v>#N/A</v>
      </c>
      <c r="F359" s="1890" t="e">
        <f>$F$352*C86%</f>
        <v>#N/A</v>
      </c>
      <c r="G359" s="1890" t="e">
        <f>$G$352*C86%</f>
        <v>#N/A</v>
      </c>
      <c r="H359" s="1890" t="e">
        <f>$H$352*C86%</f>
        <v>#N/A</v>
      </c>
      <c r="I359" s="1890">
        <f>$I$352*C86%</f>
        <v>0</v>
      </c>
      <c r="J359" s="1890">
        <f>$J$352*C86%</f>
        <v>0</v>
      </c>
      <c r="K359" s="1890" t="e">
        <f>$K$352*C86%</f>
        <v>#N/A</v>
      </c>
      <c r="L359" s="1873">
        <v>0</v>
      </c>
      <c r="M359" s="1838"/>
    </row>
    <row r="360" spans="2:13" s="1201" customFormat="1" ht="14" hidden="1" x14ac:dyDescent="0.3">
      <c r="B360" s="1837"/>
      <c r="C360" s="1837"/>
      <c r="D360" s="1837"/>
      <c r="E360" s="1837"/>
      <c r="F360" s="1837"/>
      <c r="G360" s="1837"/>
      <c r="H360" s="1837"/>
      <c r="I360" s="1837"/>
      <c r="J360" s="1837"/>
      <c r="K360" s="1837"/>
      <c r="L360" s="1837"/>
      <c r="M360" s="1838"/>
    </row>
    <row r="361" spans="2:13" s="1201" customFormat="1" ht="14" hidden="1" x14ac:dyDescent="0.3">
      <c r="B361" s="1873" t="s">
        <v>1287</v>
      </c>
      <c r="C361" s="1843" t="s">
        <v>434</v>
      </c>
      <c r="D361" s="1890" t="e">
        <f>$D$352*D85%</f>
        <v>#DIV/0!</v>
      </c>
      <c r="E361" s="1890" t="e">
        <f>$E$352*D86%</f>
        <v>#N/A</v>
      </c>
      <c r="F361" s="1890" t="e">
        <f>$F$352*D86%</f>
        <v>#N/A</v>
      </c>
      <c r="G361" s="1890" t="e">
        <f>$G$352*D86%</f>
        <v>#N/A</v>
      </c>
      <c r="H361" s="1890" t="e">
        <f>$H$352*D86%</f>
        <v>#N/A</v>
      </c>
      <c r="I361" s="1890">
        <f>$I$352*D86%</f>
        <v>0</v>
      </c>
      <c r="J361" s="1890">
        <f>$J$352*D86%</f>
        <v>0</v>
      </c>
      <c r="K361" s="1890" t="e">
        <f>$K$352*D86%</f>
        <v>#N/A</v>
      </c>
      <c r="L361" s="1873">
        <v>0</v>
      </c>
      <c r="M361" s="1838"/>
    </row>
    <row r="362" spans="2:13" s="1201" customFormat="1" ht="14" hidden="1" x14ac:dyDescent="0.3">
      <c r="B362" s="1837"/>
      <c r="C362" s="1837"/>
      <c r="D362" s="1837"/>
      <c r="E362" s="1837"/>
      <c r="F362" s="1837"/>
      <c r="G362" s="1837"/>
      <c r="H362" s="1837"/>
      <c r="I362" s="1837"/>
      <c r="J362" s="1837"/>
      <c r="K362" s="1837"/>
      <c r="L362" s="1837"/>
      <c r="M362" s="1838"/>
    </row>
    <row r="363" spans="2:13" s="1201" customFormat="1" ht="14" hidden="1" x14ac:dyDescent="0.3">
      <c r="B363" s="1873" t="s">
        <v>1914</v>
      </c>
      <c r="C363" s="1843" t="s">
        <v>434</v>
      </c>
      <c r="D363" s="1890" t="e">
        <f>$D$352*E85%</f>
        <v>#DIV/0!</v>
      </c>
      <c r="E363" s="1890" t="e">
        <f>$E$352*E86%</f>
        <v>#N/A</v>
      </c>
      <c r="F363" s="1890" t="e">
        <f>$F$352*E86%</f>
        <v>#N/A</v>
      </c>
      <c r="G363" s="1890" t="e">
        <f>$G$352*E86%</f>
        <v>#N/A</v>
      </c>
      <c r="H363" s="1890" t="e">
        <f>$H$352*E86%</f>
        <v>#N/A</v>
      </c>
      <c r="I363" s="1890">
        <f>$I$352*E86%</f>
        <v>0</v>
      </c>
      <c r="J363" s="1890">
        <f>$J$352*E86%</f>
        <v>0</v>
      </c>
      <c r="K363" s="1890" t="e">
        <f>$K$352*E86%</f>
        <v>#N/A</v>
      </c>
      <c r="L363" s="1873">
        <v>0</v>
      </c>
      <c r="M363" s="1838"/>
    </row>
    <row r="364" spans="2:13" s="1201" customFormat="1" ht="14" hidden="1" x14ac:dyDescent="0.3">
      <c r="B364" s="1837"/>
      <c r="C364" s="1843"/>
      <c r="D364" s="1890"/>
      <c r="E364" s="1890"/>
      <c r="F364" s="1890"/>
      <c r="G364" s="1890"/>
      <c r="H364" s="1890"/>
      <c r="I364" s="1890"/>
      <c r="J364" s="1890"/>
      <c r="K364" s="1890"/>
      <c r="L364" s="1837"/>
      <c r="M364" s="1838"/>
    </row>
    <row r="365" spans="2:13" s="1201" customFormat="1" ht="14" hidden="1" x14ac:dyDescent="0.3">
      <c r="B365" s="1873" t="s">
        <v>1290</v>
      </c>
      <c r="C365" s="1843" t="s">
        <v>434</v>
      </c>
      <c r="D365" s="1890" t="e">
        <f>$D$352*F85%</f>
        <v>#DIV/0!</v>
      </c>
      <c r="E365" s="1890" t="e">
        <f>$E$352*F86%</f>
        <v>#N/A</v>
      </c>
      <c r="F365" s="1890" t="e">
        <f>$F$352*F86%</f>
        <v>#N/A</v>
      </c>
      <c r="G365" s="1890" t="e">
        <f>$G$352*F86%</f>
        <v>#N/A</v>
      </c>
      <c r="H365" s="1890" t="e">
        <f>$H$352*F86%</f>
        <v>#N/A</v>
      </c>
      <c r="I365" s="1890">
        <f>$I$352*F86%</f>
        <v>0</v>
      </c>
      <c r="J365" s="1890">
        <f>$J$352*F86%</f>
        <v>0</v>
      </c>
      <c r="K365" s="1890" t="e">
        <f>$K$352*F86%</f>
        <v>#N/A</v>
      </c>
      <c r="L365" s="1843">
        <v>5.0000000000000001E-3</v>
      </c>
      <c r="M365" s="1838"/>
    </row>
    <row r="366" spans="2:13" s="1201" customFormat="1" ht="14" hidden="1" x14ac:dyDescent="0.3">
      <c r="B366" s="1837"/>
      <c r="C366" s="1843"/>
      <c r="D366" s="1890"/>
      <c r="E366" s="1890"/>
      <c r="F366" s="1890"/>
      <c r="G366" s="1890"/>
      <c r="H366" s="1890"/>
      <c r="I366" s="1890"/>
      <c r="J366" s="1890"/>
      <c r="K366" s="1890"/>
      <c r="L366" s="1837"/>
      <c r="M366" s="1838"/>
    </row>
    <row r="367" spans="2:13" s="1201" customFormat="1" ht="14" hidden="1" x14ac:dyDescent="0.3">
      <c r="B367" s="1873" t="s">
        <v>1291</v>
      </c>
      <c r="C367" s="1843" t="s">
        <v>434</v>
      </c>
      <c r="D367" s="1890" t="e">
        <f>$D$352*G85%</f>
        <v>#DIV/0!</v>
      </c>
      <c r="E367" s="1890" t="e">
        <f>$E$352*G86%</f>
        <v>#N/A</v>
      </c>
      <c r="F367" s="1890" t="e">
        <f>$F$352*G86%</f>
        <v>#N/A</v>
      </c>
      <c r="G367" s="1890" t="e">
        <f>$G$352*G86%</f>
        <v>#N/A</v>
      </c>
      <c r="H367" s="1890" t="e">
        <f>$H$352*G86%</f>
        <v>#N/A</v>
      </c>
      <c r="I367" s="1890">
        <f>$I$352*G86%</f>
        <v>0</v>
      </c>
      <c r="J367" s="1890">
        <f>$J$352*G86%</f>
        <v>0</v>
      </c>
      <c r="K367" s="1890" t="e">
        <f>$K$352*G86%</f>
        <v>#N/A</v>
      </c>
      <c r="L367" s="1873">
        <v>0</v>
      </c>
      <c r="M367" s="1838"/>
    </row>
    <row r="368" spans="2:13" s="1201" customFormat="1" ht="14" hidden="1" x14ac:dyDescent="0.3">
      <c r="B368" s="1837"/>
      <c r="C368" s="1837"/>
      <c r="D368" s="1890"/>
      <c r="E368" s="1890"/>
      <c r="F368" s="1890"/>
      <c r="G368" s="1890"/>
      <c r="H368" s="1890"/>
      <c r="I368" s="1890"/>
      <c r="J368" s="1890"/>
      <c r="K368" s="1890"/>
      <c r="L368" s="1837"/>
      <c r="M368" s="1838"/>
    </row>
    <row r="369" spans="2:13" s="1201" customFormat="1" ht="16" hidden="1" x14ac:dyDescent="0.4">
      <c r="B369" s="1840" t="s">
        <v>2141</v>
      </c>
      <c r="C369" s="1843" t="s">
        <v>434</v>
      </c>
      <c r="D369" s="1890" t="e">
        <f t="shared" ref="D369:J369" si="12">SUM(D359:D367)</f>
        <v>#DIV/0!</v>
      </c>
      <c r="E369" s="1890" t="e">
        <f t="shared" si="12"/>
        <v>#N/A</v>
      </c>
      <c r="F369" s="1890" t="e">
        <f t="shared" si="12"/>
        <v>#N/A</v>
      </c>
      <c r="G369" s="1890" t="e">
        <f t="shared" si="12"/>
        <v>#N/A</v>
      </c>
      <c r="H369" s="1890" t="e">
        <f t="shared" si="12"/>
        <v>#N/A</v>
      </c>
      <c r="I369" s="1890">
        <f t="shared" si="12"/>
        <v>0</v>
      </c>
      <c r="J369" s="1890">
        <f t="shared" si="12"/>
        <v>0</v>
      </c>
      <c r="K369" s="1890" t="e">
        <f>SUM(K359:K367)</f>
        <v>#N/A</v>
      </c>
      <c r="L369" s="1837" t="s">
        <v>438</v>
      </c>
      <c r="M369" s="1838" t="s">
        <v>1278</v>
      </c>
    </row>
    <row r="370" spans="2:13" s="1201" customFormat="1" ht="14" hidden="1" x14ac:dyDescent="0.3">
      <c r="B370" s="1837"/>
      <c r="C370" s="1837"/>
      <c r="D370" s="1837"/>
      <c r="E370" s="1837"/>
      <c r="F370" s="1837"/>
      <c r="G370" s="1837"/>
      <c r="H370" s="1837"/>
      <c r="I370" s="1837"/>
      <c r="J370" s="1837"/>
      <c r="K370" s="1837"/>
      <c r="L370" s="1837"/>
      <c r="M370" s="1838"/>
    </row>
    <row r="371" spans="2:13" s="1201" customFormat="1" ht="16" hidden="1" x14ac:dyDescent="0.4">
      <c r="B371" s="1840" t="s">
        <v>2142</v>
      </c>
      <c r="C371" s="1843" t="s">
        <v>434</v>
      </c>
      <c r="D371" s="1878" t="e">
        <f t="shared" ref="D371:K371" si="13">((D359*$L$359)+(D361*$L$361)+(D363*$L$363)+(D365*$L$365))*44/28</f>
        <v>#DIV/0!</v>
      </c>
      <c r="E371" s="1878" t="e">
        <f t="shared" si="13"/>
        <v>#N/A</v>
      </c>
      <c r="F371" s="1878" t="e">
        <f t="shared" si="13"/>
        <v>#N/A</v>
      </c>
      <c r="G371" s="1878" t="e">
        <f t="shared" si="13"/>
        <v>#N/A</v>
      </c>
      <c r="H371" s="1878" t="e">
        <f t="shared" si="13"/>
        <v>#N/A</v>
      </c>
      <c r="I371" s="1878">
        <f t="shared" si="13"/>
        <v>0</v>
      </c>
      <c r="J371" s="1878">
        <f t="shared" si="13"/>
        <v>0</v>
      </c>
      <c r="K371" s="1878" t="e">
        <f t="shared" si="13"/>
        <v>#N/A</v>
      </c>
      <c r="L371" s="1837" t="s">
        <v>1279</v>
      </c>
      <c r="M371" s="1838" t="s">
        <v>1274</v>
      </c>
    </row>
    <row r="372" spans="2:13" s="1201" customFormat="1" ht="14" hidden="1" x14ac:dyDescent="0.3">
      <c r="B372" s="1837"/>
      <c r="C372" s="1843"/>
      <c r="D372" s="1837"/>
      <c r="E372" s="1837"/>
      <c r="F372" s="1837"/>
      <c r="G372" s="1837"/>
      <c r="H372" s="1837"/>
      <c r="I372" s="1837"/>
      <c r="J372" s="1837"/>
      <c r="K372" s="1837"/>
      <c r="L372" s="1837"/>
      <c r="M372" s="1838"/>
    </row>
    <row r="373" spans="2:13" s="1201" customFormat="1" ht="14" hidden="1" x14ac:dyDescent="0.3">
      <c r="B373" s="1840" t="s">
        <v>1264</v>
      </c>
      <c r="C373" s="1843"/>
      <c r="D373" s="1840" t="s">
        <v>1265</v>
      </c>
      <c r="E373" s="1837"/>
      <c r="F373" s="1837"/>
      <c r="G373" s="1837"/>
      <c r="H373" s="1837"/>
      <c r="I373" s="1837"/>
      <c r="J373" s="1837"/>
      <c r="K373" s="1837"/>
      <c r="L373" s="1837"/>
      <c r="M373" s="1838"/>
    </row>
    <row r="374" spans="2:13" s="1201" customFormat="1" ht="14" hidden="1" x14ac:dyDescent="0.3">
      <c r="B374" s="1837"/>
      <c r="C374" s="1843"/>
      <c r="D374" s="1837"/>
      <c r="E374" s="1837"/>
      <c r="F374" s="1837"/>
      <c r="G374" s="1837"/>
      <c r="H374" s="1837"/>
      <c r="I374" s="1837"/>
      <c r="J374" s="1837"/>
      <c r="K374" s="1840"/>
      <c r="L374" s="1840" t="s">
        <v>1280</v>
      </c>
      <c r="M374" s="1838" t="s">
        <v>1281</v>
      </c>
    </row>
    <row r="375" spans="2:13" s="1201" customFormat="1" ht="14" hidden="1" x14ac:dyDescent="0.3">
      <c r="B375" s="1873" t="s">
        <v>1288</v>
      </c>
      <c r="C375" s="1843"/>
      <c r="D375" s="1837" t="e">
        <f t="shared" ref="D375:K375" si="14">D359*$L375</f>
        <v>#DIV/0!</v>
      </c>
      <c r="E375" s="1837" t="e">
        <f t="shared" si="14"/>
        <v>#N/A</v>
      </c>
      <c r="F375" s="1837" t="e">
        <f t="shared" si="14"/>
        <v>#N/A</v>
      </c>
      <c r="G375" s="1837" t="e">
        <f t="shared" si="14"/>
        <v>#N/A</v>
      </c>
      <c r="H375" s="1837" t="e">
        <f t="shared" si="14"/>
        <v>#N/A</v>
      </c>
      <c r="I375" s="1837">
        <f t="shared" si="14"/>
        <v>0</v>
      </c>
      <c r="J375" s="1837">
        <f t="shared" si="14"/>
        <v>0</v>
      </c>
      <c r="K375" s="1837" t="e">
        <f t="shared" si="14"/>
        <v>#N/A</v>
      </c>
      <c r="L375" s="1837">
        <v>0.35</v>
      </c>
      <c r="M375" s="1838"/>
    </row>
    <row r="376" spans="2:13" s="1201" customFormat="1" ht="14" hidden="1" x14ac:dyDescent="0.3">
      <c r="B376" s="1837"/>
      <c r="C376" s="1843"/>
      <c r="D376" s="1837"/>
      <c r="E376" s="1837"/>
      <c r="F376" s="1837"/>
      <c r="G376" s="1837"/>
      <c r="H376" s="1837"/>
      <c r="I376" s="1837"/>
      <c r="J376" s="1837"/>
      <c r="K376" s="1837"/>
      <c r="L376" s="1837"/>
      <c r="M376" s="1838"/>
    </row>
    <row r="377" spans="2:13" s="1201" customFormat="1" ht="14" hidden="1" x14ac:dyDescent="0.3">
      <c r="B377" s="1873" t="s">
        <v>1287</v>
      </c>
      <c r="C377" s="1843"/>
      <c r="D377" s="1837" t="e">
        <f t="shared" ref="D377:K377" si="15">D361*$L377</f>
        <v>#DIV/0!</v>
      </c>
      <c r="E377" s="1837" t="e">
        <f t="shared" si="15"/>
        <v>#N/A</v>
      </c>
      <c r="F377" s="1837" t="e">
        <f t="shared" si="15"/>
        <v>#N/A</v>
      </c>
      <c r="G377" s="1837" t="e">
        <f t="shared" si="15"/>
        <v>#N/A</v>
      </c>
      <c r="H377" s="1837" t="e">
        <f t="shared" si="15"/>
        <v>#N/A</v>
      </c>
      <c r="I377" s="1837">
        <f t="shared" si="15"/>
        <v>0</v>
      </c>
      <c r="J377" s="1837">
        <f t="shared" si="15"/>
        <v>0</v>
      </c>
      <c r="K377" s="1837" t="e">
        <f t="shared" si="15"/>
        <v>#N/A</v>
      </c>
      <c r="L377" s="1837">
        <v>7.0000000000000007E-2</v>
      </c>
      <c r="M377" s="1838"/>
    </row>
    <row r="378" spans="2:13" s="1201" customFormat="1" ht="14" hidden="1" x14ac:dyDescent="0.3">
      <c r="B378" s="1837"/>
      <c r="C378" s="1843"/>
      <c r="D378" s="1837"/>
      <c r="E378" s="1837"/>
      <c r="F378" s="1837"/>
      <c r="G378" s="1837"/>
      <c r="H378" s="1837"/>
      <c r="I378" s="1837"/>
      <c r="J378" s="1837"/>
      <c r="K378" s="1837"/>
      <c r="L378" s="1837"/>
      <c r="M378" s="1838"/>
    </row>
    <row r="379" spans="2:13" s="1201" customFormat="1" ht="14" hidden="1" x14ac:dyDescent="0.3">
      <c r="B379" s="1873" t="s">
        <v>1914</v>
      </c>
      <c r="C379" s="1843"/>
      <c r="D379" s="1837" t="e">
        <f t="shared" ref="D379:K379" si="16">D363*$L379</f>
        <v>#DIV/0!</v>
      </c>
      <c r="E379" s="1837" t="e">
        <f t="shared" si="16"/>
        <v>#N/A</v>
      </c>
      <c r="F379" s="1837" t="e">
        <f t="shared" si="16"/>
        <v>#N/A</v>
      </c>
      <c r="G379" s="1837" t="e">
        <f t="shared" si="16"/>
        <v>#N/A</v>
      </c>
      <c r="H379" s="1837" t="e">
        <f t="shared" si="16"/>
        <v>#N/A</v>
      </c>
      <c r="I379" s="1837">
        <f t="shared" si="16"/>
        <v>0</v>
      </c>
      <c r="J379" s="1837">
        <f t="shared" si="16"/>
        <v>0</v>
      </c>
      <c r="K379" s="1837" t="e">
        <f t="shared" si="16"/>
        <v>#N/A</v>
      </c>
      <c r="L379" s="1837">
        <v>0.2</v>
      </c>
      <c r="M379" s="1838"/>
    </row>
    <row r="380" spans="2:13" s="1201" customFormat="1" ht="14" hidden="1" x14ac:dyDescent="0.3">
      <c r="B380" s="1837"/>
      <c r="C380" s="1843"/>
      <c r="D380" s="1837"/>
      <c r="E380" s="1837"/>
      <c r="F380" s="1837"/>
      <c r="G380" s="1837"/>
      <c r="H380" s="1837"/>
      <c r="I380" s="1837"/>
      <c r="J380" s="1837"/>
      <c r="K380" s="1837"/>
      <c r="L380" s="1837"/>
      <c r="M380" s="1838"/>
    </row>
    <row r="381" spans="2:13" s="1201" customFormat="1" ht="14" hidden="1" x14ac:dyDescent="0.3">
      <c r="B381" s="1873" t="s">
        <v>1290</v>
      </c>
      <c r="C381" s="1843"/>
      <c r="D381" s="1837" t="e">
        <f t="shared" ref="D381:K381" si="17">D365*$L381</f>
        <v>#DIV/0!</v>
      </c>
      <c r="E381" s="1837" t="e">
        <f t="shared" si="17"/>
        <v>#N/A</v>
      </c>
      <c r="F381" s="1837" t="e">
        <f t="shared" si="17"/>
        <v>#N/A</v>
      </c>
      <c r="G381" s="1837" t="e">
        <f t="shared" si="17"/>
        <v>#N/A</v>
      </c>
      <c r="H381" s="1837" t="e">
        <f t="shared" si="17"/>
        <v>#N/A</v>
      </c>
      <c r="I381" s="1837">
        <f t="shared" si="17"/>
        <v>0</v>
      </c>
      <c r="J381" s="1837">
        <f t="shared" si="17"/>
        <v>0</v>
      </c>
      <c r="K381" s="1837" t="e">
        <f t="shared" si="17"/>
        <v>#N/A</v>
      </c>
      <c r="L381" s="1837">
        <v>0.3</v>
      </c>
      <c r="M381" s="1838"/>
    </row>
    <row r="382" spans="2:13" s="1201" customFormat="1" ht="14" hidden="1" x14ac:dyDescent="0.3">
      <c r="B382" s="1837"/>
      <c r="C382" s="1843"/>
      <c r="D382" s="1837"/>
      <c r="E382" s="1837"/>
      <c r="F382" s="1837"/>
      <c r="G382" s="1837"/>
      <c r="H382" s="1837"/>
      <c r="I382" s="1837"/>
      <c r="J382" s="1837"/>
      <c r="K382" s="1837"/>
      <c r="L382" s="1837"/>
      <c r="M382" s="1838"/>
    </row>
    <row r="383" spans="2:13" s="1201" customFormat="1" ht="14" hidden="1" x14ac:dyDescent="0.3">
      <c r="B383" s="1873" t="s">
        <v>1291</v>
      </c>
      <c r="C383" s="1843"/>
      <c r="D383" s="1837" t="e">
        <f t="shared" ref="D383:K383" si="18">D367*$L383</f>
        <v>#DIV/0!</v>
      </c>
      <c r="E383" s="1837" t="e">
        <f t="shared" si="18"/>
        <v>#N/A</v>
      </c>
      <c r="F383" s="1837" t="e">
        <f t="shared" si="18"/>
        <v>#N/A</v>
      </c>
      <c r="G383" s="1837" t="e">
        <f t="shared" si="18"/>
        <v>#N/A</v>
      </c>
      <c r="H383" s="1837" t="e">
        <f t="shared" si="18"/>
        <v>#N/A</v>
      </c>
      <c r="I383" s="1837">
        <f t="shared" si="18"/>
        <v>0</v>
      </c>
      <c r="J383" s="1837">
        <f t="shared" si="18"/>
        <v>0</v>
      </c>
      <c r="K383" s="1837" t="e">
        <f t="shared" si="18"/>
        <v>#N/A</v>
      </c>
      <c r="L383" s="1837">
        <v>0</v>
      </c>
      <c r="M383" s="1838" t="s">
        <v>1266</v>
      </c>
    </row>
    <row r="384" spans="2:13" s="1201" customFormat="1" ht="14" hidden="1" x14ac:dyDescent="0.3">
      <c r="B384" s="1837"/>
      <c r="C384" s="1843"/>
      <c r="D384" s="1837"/>
      <c r="E384" s="1837"/>
      <c r="F384" s="1837"/>
      <c r="G384" s="1837"/>
      <c r="H384" s="1837"/>
      <c r="I384" s="1837"/>
      <c r="J384" s="1837"/>
      <c r="K384" s="1837"/>
      <c r="L384" s="1837"/>
      <c r="M384" s="1838"/>
    </row>
    <row r="385" spans="2:16" s="1201" customFormat="1" ht="14" hidden="1" x14ac:dyDescent="0.3">
      <c r="B385" s="1840" t="s">
        <v>1282</v>
      </c>
      <c r="C385" s="1843"/>
      <c r="D385" s="1840" t="s">
        <v>1283</v>
      </c>
      <c r="E385" s="1837"/>
      <c r="F385" s="1837"/>
      <c r="G385" s="1837"/>
      <c r="H385" s="1837"/>
      <c r="I385" s="1837"/>
      <c r="J385" s="1837"/>
      <c r="K385" s="1840"/>
      <c r="L385" s="1840" t="s">
        <v>1284</v>
      </c>
      <c r="M385" s="1838"/>
    </row>
    <row r="386" spans="2:16" s="1201" customFormat="1" ht="14" hidden="1" x14ac:dyDescent="0.3">
      <c r="B386" s="1837"/>
      <c r="C386" s="1843"/>
      <c r="D386" s="1837" t="e">
        <f t="shared" ref="D386:K386" si="19">SUM(D375:D381)*$L$386*44/28</f>
        <v>#DIV/0!</v>
      </c>
      <c r="E386" s="1837" t="e">
        <f t="shared" si="19"/>
        <v>#N/A</v>
      </c>
      <c r="F386" s="1837" t="e">
        <f t="shared" si="19"/>
        <v>#N/A</v>
      </c>
      <c r="G386" s="1837" t="e">
        <f t="shared" si="19"/>
        <v>#N/A</v>
      </c>
      <c r="H386" s="1837" t="e">
        <f t="shared" si="19"/>
        <v>#N/A</v>
      </c>
      <c r="I386" s="1837">
        <f t="shared" si="19"/>
        <v>0</v>
      </c>
      <c r="J386" s="1837">
        <f t="shared" si="19"/>
        <v>0</v>
      </c>
      <c r="K386" s="1837" t="e">
        <f t="shared" si="19"/>
        <v>#N/A</v>
      </c>
      <c r="L386" s="1837">
        <v>3.8999999999999998E-3</v>
      </c>
      <c r="M386" s="1838" t="s">
        <v>1285</v>
      </c>
    </row>
    <row r="387" spans="2:16" s="1201" customFormat="1" ht="14" hidden="1" x14ac:dyDescent="0.3">
      <c r="B387" s="1837"/>
      <c r="C387" s="1843"/>
      <c r="D387" s="1837"/>
      <c r="E387" s="1837"/>
      <c r="F387" s="1837"/>
      <c r="G387" s="1837"/>
      <c r="H387" s="1837"/>
      <c r="I387" s="1837"/>
      <c r="J387" s="1837"/>
      <c r="K387" s="1837"/>
      <c r="L387" s="1837"/>
      <c r="M387" s="1838"/>
    </row>
    <row r="388" spans="2:16" s="1201" customFormat="1" ht="14" hidden="1" x14ac:dyDescent="0.3">
      <c r="B388" s="1840" t="s">
        <v>1915</v>
      </c>
      <c r="C388" s="1843"/>
      <c r="D388" s="1840" t="e">
        <f>SUM(D386:K386)*'Emission factors'!$C$5*10^3</f>
        <v>#DIV/0!</v>
      </c>
      <c r="E388" s="1837"/>
      <c r="F388" s="1837"/>
      <c r="G388" s="1837"/>
      <c r="H388" s="1837"/>
      <c r="I388" s="1837"/>
      <c r="J388" s="1837"/>
      <c r="K388" s="1837"/>
      <c r="L388" s="1837" t="s">
        <v>1294</v>
      </c>
      <c r="M388" s="1838"/>
    </row>
    <row r="389" spans="2:16" s="1201" customFormat="1" ht="14" hidden="1" x14ac:dyDescent="0.3">
      <c r="B389" s="1837"/>
      <c r="C389" s="1843"/>
      <c r="D389" s="1837"/>
      <c r="E389" s="1837"/>
      <c r="F389" s="1837"/>
      <c r="G389" s="1837"/>
      <c r="H389" s="1837"/>
      <c r="I389" s="1837"/>
      <c r="J389" s="1837"/>
      <c r="K389" s="1837"/>
      <c r="L389" s="1837"/>
      <c r="M389" s="1838"/>
    </row>
    <row r="390" spans="2:16" s="1201" customFormat="1" ht="16" hidden="1" x14ac:dyDescent="0.4">
      <c r="B390" s="1840" t="s">
        <v>1286</v>
      </c>
      <c r="C390" s="1843"/>
      <c r="D390" s="1840" t="s">
        <v>2143</v>
      </c>
      <c r="E390" s="1837"/>
      <c r="F390" s="1837"/>
      <c r="G390" s="1837"/>
      <c r="H390" s="1837"/>
      <c r="I390" s="1837"/>
      <c r="J390" s="1837"/>
      <c r="K390" s="1840"/>
      <c r="L390" s="1840" t="s">
        <v>1292</v>
      </c>
      <c r="M390" s="1838" t="s">
        <v>1334</v>
      </c>
    </row>
    <row r="391" spans="2:16" s="1201" customFormat="1" ht="14" hidden="1" x14ac:dyDescent="0.3">
      <c r="B391" s="1837"/>
      <c r="C391" s="1843"/>
      <c r="D391" s="1837"/>
      <c r="E391" s="1837"/>
      <c r="F391" s="1837"/>
      <c r="G391" s="1837"/>
      <c r="H391" s="1837"/>
      <c r="I391" s="1837"/>
      <c r="J391" s="1837"/>
      <c r="K391" s="1837"/>
      <c r="L391" s="1837">
        <v>1</v>
      </c>
      <c r="M391" s="1838"/>
    </row>
    <row r="392" spans="2:16" s="1201" customFormat="1" ht="14" hidden="1" x14ac:dyDescent="0.3">
      <c r="B392" s="1837" t="s">
        <v>1341</v>
      </c>
      <c r="C392" s="1843"/>
      <c r="D392" s="1837" t="e">
        <f t="shared" ref="D392:K392" si="20">D365*$L$391*$L$393</f>
        <v>#DIV/0!</v>
      </c>
      <c r="E392" s="1837" t="e">
        <f t="shared" si="20"/>
        <v>#N/A</v>
      </c>
      <c r="F392" s="1837" t="e">
        <f t="shared" si="20"/>
        <v>#N/A</v>
      </c>
      <c r="G392" s="1837" t="e">
        <f t="shared" si="20"/>
        <v>#N/A</v>
      </c>
      <c r="H392" s="1837" t="e">
        <f t="shared" si="20"/>
        <v>#N/A</v>
      </c>
      <c r="I392" s="1837">
        <f t="shared" si="20"/>
        <v>0</v>
      </c>
      <c r="J392" s="1837">
        <f t="shared" si="20"/>
        <v>0</v>
      </c>
      <c r="K392" s="1837" t="e">
        <f t="shared" si="20"/>
        <v>#N/A</v>
      </c>
      <c r="L392" s="1840" t="s">
        <v>1293</v>
      </c>
      <c r="M392" s="1838"/>
    </row>
    <row r="393" spans="2:16" s="1201" customFormat="1" ht="14" hidden="1" x14ac:dyDescent="0.3">
      <c r="B393" s="1840"/>
      <c r="C393" s="1843"/>
      <c r="D393" s="1837"/>
      <c r="E393" s="1837"/>
      <c r="F393" s="1837"/>
      <c r="G393" s="1837"/>
      <c r="H393" s="1837"/>
      <c r="I393" s="1837"/>
      <c r="J393" s="1837"/>
      <c r="K393" s="1887"/>
      <c r="L393" s="1844">
        <v>0.02</v>
      </c>
      <c r="M393" s="1838"/>
    </row>
    <row r="394" spans="2:16" s="1201" customFormat="1" ht="14" hidden="1" x14ac:dyDescent="0.3">
      <c r="B394" s="1840"/>
      <c r="C394" s="1843"/>
      <c r="D394" s="1840" t="s">
        <v>1336</v>
      </c>
      <c r="E394" s="1837"/>
      <c r="F394" s="1837"/>
      <c r="G394" s="1837"/>
      <c r="H394" s="1837"/>
      <c r="I394" s="1837"/>
      <c r="J394" s="1837"/>
      <c r="K394" s="1891"/>
      <c r="L394" s="1891" t="s">
        <v>1301</v>
      </c>
      <c r="M394" s="1838"/>
    </row>
    <row r="395" spans="2:16" s="1201" customFormat="1" ht="14" hidden="1" x14ac:dyDescent="0.3">
      <c r="B395" s="1840"/>
      <c r="C395" s="1843"/>
      <c r="D395" s="1837" t="e">
        <f t="shared" ref="D395:K395" si="21">D392*$L$395*44/28</f>
        <v>#DIV/0!</v>
      </c>
      <c r="E395" s="1837" t="e">
        <f t="shared" si="21"/>
        <v>#N/A</v>
      </c>
      <c r="F395" s="1837" t="e">
        <f t="shared" si="21"/>
        <v>#N/A</v>
      </c>
      <c r="G395" s="1837" t="e">
        <f t="shared" si="21"/>
        <v>#N/A</v>
      </c>
      <c r="H395" s="1837" t="e">
        <f t="shared" si="21"/>
        <v>#N/A</v>
      </c>
      <c r="I395" s="1837">
        <f t="shared" si="21"/>
        <v>0</v>
      </c>
      <c r="J395" s="1837">
        <f t="shared" si="21"/>
        <v>0</v>
      </c>
      <c r="K395" s="1837" t="e">
        <f t="shared" si="21"/>
        <v>#N/A</v>
      </c>
      <c r="L395" s="1852">
        <v>1.0999999999999999E-2</v>
      </c>
      <c r="M395" s="1838" t="s">
        <v>1335</v>
      </c>
    </row>
    <row r="396" spans="2:16" s="1201" customFormat="1" ht="14" hidden="1" x14ac:dyDescent="0.3">
      <c r="B396" s="1840"/>
      <c r="C396" s="1843"/>
      <c r="D396" s="1837"/>
      <c r="E396" s="1837"/>
      <c r="F396" s="1837"/>
      <c r="G396" s="1837"/>
      <c r="H396" s="1837"/>
      <c r="I396" s="1837"/>
      <c r="J396" s="1837"/>
      <c r="K396" s="1837"/>
      <c r="L396" s="1837"/>
      <c r="M396" s="1838"/>
    </row>
    <row r="397" spans="2:16" s="1201" customFormat="1" ht="14" hidden="1" x14ac:dyDescent="0.3">
      <c r="B397" s="1892" t="s">
        <v>1295</v>
      </c>
      <c r="C397" s="1893"/>
      <c r="D397" s="1892" t="e">
        <f>SUM(D395:J395)*'Emission factors'!$C$5*10^3</f>
        <v>#DIV/0!</v>
      </c>
      <c r="E397" s="1894"/>
      <c r="F397" s="1894"/>
      <c r="G397" s="1894"/>
      <c r="H397" s="1894"/>
      <c r="I397" s="1894"/>
      <c r="J397" s="1894"/>
      <c r="K397" s="1894"/>
      <c r="L397" s="1894" t="s">
        <v>1294</v>
      </c>
      <c r="M397" s="1895"/>
    </row>
    <row r="398" spans="2:16" s="1201" customFormat="1" ht="14" hidden="1" x14ac:dyDescent="0.3"/>
    <row r="399" spans="2:16" s="1201" customFormat="1" ht="28" hidden="1" x14ac:dyDescent="0.3">
      <c r="B399" s="1896" t="s">
        <v>245</v>
      </c>
      <c r="C399" s="1897"/>
      <c r="D399" s="1898"/>
      <c r="E399" s="1898"/>
      <c r="F399" s="1898"/>
      <c r="G399" s="1898"/>
      <c r="H399" s="1898"/>
      <c r="I399" s="1899"/>
      <c r="J399" s="1899"/>
      <c r="K399" s="1900"/>
      <c r="L399" s="1900" t="s">
        <v>215</v>
      </c>
      <c r="M399" s="1901" t="s">
        <v>230</v>
      </c>
      <c r="N399" s="1902"/>
      <c r="O399" s="1260"/>
      <c r="P399" s="1260"/>
    </row>
    <row r="400" spans="2:16" s="1201" customFormat="1" ht="14" hidden="1" x14ac:dyDescent="0.3">
      <c r="B400" s="1903" t="s">
        <v>303</v>
      </c>
      <c r="C400" s="1904"/>
      <c r="D400" s="1904"/>
      <c r="E400" s="1904"/>
      <c r="F400" s="1904"/>
      <c r="G400" s="1904"/>
      <c r="H400" s="1904"/>
      <c r="I400" s="1904"/>
      <c r="J400" s="1904"/>
      <c r="K400" s="1904"/>
      <c r="L400" s="1904"/>
      <c r="M400" s="1905"/>
      <c r="N400" s="1902"/>
      <c r="O400" s="1260"/>
      <c r="P400" s="1260"/>
    </row>
    <row r="401" spans="2:16" s="1201" customFormat="1" ht="14" hidden="1" x14ac:dyDescent="0.3">
      <c r="B401" s="1903" t="s">
        <v>805</v>
      </c>
      <c r="C401" s="1903" t="s">
        <v>304</v>
      </c>
      <c r="D401" s="1904"/>
      <c r="E401" s="1904"/>
      <c r="F401" s="1904"/>
      <c r="G401" s="1904"/>
      <c r="H401" s="1904"/>
      <c r="I401" s="1904"/>
      <c r="J401" s="1904"/>
      <c r="K401" s="1904"/>
      <c r="L401" s="1904"/>
      <c r="M401" s="1905" t="s">
        <v>305</v>
      </c>
      <c r="N401" s="1902"/>
      <c r="O401" s="1260"/>
      <c r="P401" s="1260"/>
    </row>
    <row r="402" spans="2:16" s="1201" customFormat="1" ht="14" hidden="1" x14ac:dyDescent="0.3">
      <c r="B402" s="1904"/>
      <c r="C402" s="1904" t="s">
        <v>306</v>
      </c>
      <c r="D402" s="1904"/>
      <c r="E402" s="1904"/>
      <c r="F402" s="1904"/>
      <c r="G402" s="1904"/>
      <c r="H402" s="1904"/>
      <c r="I402" s="1904"/>
      <c r="J402" s="1904"/>
      <c r="K402" s="1904"/>
      <c r="L402" s="1904" t="s">
        <v>307</v>
      </c>
      <c r="M402" s="1905"/>
      <c r="N402" s="1902"/>
      <c r="O402" s="1260"/>
      <c r="P402" s="1260"/>
    </row>
    <row r="403" spans="2:16" s="1201" customFormat="1" ht="14" hidden="1" x14ac:dyDescent="0.3">
      <c r="B403" s="1904"/>
      <c r="C403" s="1904" t="s">
        <v>308</v>
      </c>
      <c r="D403" s="1904"/>
      <c r="E403" s="1904"/>
      <c r="F403" s="1904"/>
      <c r="G403" s="1904"/>
      <c r="H403" s="1904"/>
      <c r="I403" s="1904"/>
      <c r="J403" s="1904"/>
      <c r="K403" s="1904"/>
      <c r="L403" s="1904"/>
      <c r="M403" s="1905" t="s">
        <v>309</v>
      </c>
      <c r="N403" s="1902"/>
      <c r="O403" s="1260"/>
      <c r="P403" s="1260"/>
    </row>
    <row r="404" spans="2:16" s="1201" customFormat="1" ht="14" hidden="1" x14ac:dyDescent="0.3">
      <c r="B404" s="1904"/>
      <c r="C404" s="1904"/>
      <c r="D404" s="1904"/>
      <c r="E404" s="1904"/>
      <c r="F404" s="1904"/>
      <c r="G404" s="1904"/>
      <c r="H404" s="1904"/>
      <c r="I404" s="1904"/>
      <c r="J404" s="1904"/>
      <c r="K404" s="1904"/>
      <c r="L404" s="1904"/>
      <c r="M404" s="1905"/>
      <c r="N404" s="1902"/>
      <c r="O404" s="1260"/>
      <c r="P404" s="1260"/>
    </row>
    <row r="405" spans="2:16" s="1201" customFormat="1" ht="14" hidden="1" x14ac:dyDescent="0.3">
      <c r="B405" s="1906" t="s">
        <v>302</v>
      </c>
      <c r="C405" s="1907"/>
      <c r="D405" s="1908">
        <f>IF($U$248="1",($C$53*G53*10^-6),(G53*10^-3))</f>
        <v>0</v>
      </c>
      <c r="E405" s="1904"/>
      <c r="F405" s="1904"/>
      <c r="G405" s="1904"/>
      <c r="H405" s="1904"/>
      <c r="I405" s="1904"/>
      <c r="J405" s="1904"/>
      <c r="K405" s="1904"/>
      <c r="L405" s="1904" t="s">
        <v>859</v>
      </c>
      <c r="M405" s="1905"/>
      <c r="N405" s="1902"/>
      <c r="O405" s="1260"/>
      <c r="P405" s="1260"/>
    </row>
    <row r="406" spans="2:16" s="1201" customFormat="1" ht="14" hidden="1" x14ac:dyDescent="0.3">
      <c r="B406" s="1906" t="s">
        <v>858</v>
      </c>
      <c r="C406" s="1907"/>
      <c r="D406" s="1908">
        <f>IF($U$248="1",($C$54*G54)*10^-6,(G54*10^-3))</f>
        <v>0</v>
      </c>
      <c r="E406" s="1904"/>
      <c r="F406" s="1904"/>
      <c r="G406" s="1904"/>
      <c r="H406" s="1904"/>
      <c r="I406" s="1904"/>
      <c r="J406" s="1904"/>
      <c r="K406" s="1904"/>
      <c r="L406" s="1904" t="s">
        <v>859</v>
      </c>
      <c r="M406" s="1905"/>
      <c r="N406" s="1260"/>
      <c r="O406" s="1260"/>
      <c r="P406" s="1260"/>
    </row>
    <row r="407" spans="2:16" s="1201" customFormat="1" ht="14" hidden="1" x14ac:dyDescent="0.3">
      <c r="B407" s="1904"/>
      <c r="C407" s="1904"/>
      <c r="D407" s="1908"/>
      <c r="E407" s="1904"/>
      <c r="F407" s="1904"/>
      <c r="G407" s="1904"/>
      <c r="H407" s="1904"/>
      <c r="I407" s="1904"/>
      <c r="J407" s="1904"/>
      <c r="K407" s="1904"/>
      <c r="L407" s="1904"/>
      <c r="M407" s="1905"/>
      <c r="N407" s="1260"/>
      <c r="O407" s="1260"/>
      <c r="P407" s="1260"/>
    </row>
    <row r="408" spans="2:16" s="1201" customFormat="1" ht="14" hidden="1" x14ac:dyDescent="0.3">
      <c r="B408" s="1903" t="s">
        <v>310</v>
      </c>
      <c r="C408" s="1903" t="s">
        <v>311</v>
      </c>
      <c r="D408" s="1904"/>
      <c r="E408" s="1904"/>
      <c r="F408" s="1904"/>
      <c r="G408" s="1904"/>
      <c r="H408" s="1904"/>
      <c r="I408" s="1904"/>
      <c r="J408" s="1904"/>
      <c r="K408" s="1904"/>
      <c r="L408" s="1904" t="s">
        <v>860</v>
      </c>
      <c r="M408" s="1905" t="s">
        <v>313</v>
      </c>
      <c r="N408" s="1260"/>
      <c r="O408" s="1260"/>
      <c r="P408" s="1260"/>
    </row>
    <row r="409" spans="2:16" s="1201" customFormat="1" ht="14" hidden="1" x14ac:dyDescent="0.3">
      <c r="B409" s="1904"/>
      <c r="C409" s="1904" t="s">
        <v>314</v>
      </c>
      <c r="D409" s="1904"/>
      <c r="E409" s="1904"/>
      <c r="F409" s="1904"/>
      <c r="G409" s="1904"/>
      <c r="H409" s="1904"/>
      <c r="I409" s="1904"/>
      <c r="J409" s="1904"/>
      <c r="K409" s="1904"/>
      <c r="L409" s="1904" t="s">
        <v>315</v>
      </c>
      <c r="M409" s="1905" t="s">
        <v>316</v>
      </c>
      <c r="N409" s="1260"/>
      <c r="O409" s="1260"/>
      <c r="P409" s="1260"/>
    </row>
    <row r="410" spans="2:16" s="1201" customFormat="1" ht="14" hidden="1" x14ac:dyDescent="0.3">
      <c r="B410" s="1904"/>
      <c r="C410" s="1904"/>
      <c r="D410" s="1904"/>
      <c r="E410" s="1904"/>
      <c r="F410" s="1904"/>
      <c r="G410" s="1904"/>
      <c r="H410" s="1904"/>
      <c r="I410" s="1904"/>
      <c r="J410" s="1904"/>
      <c r="K410" s="1904"/>
      <c r="L410" s="1904"/>
      <c r="M410" s="1905"/>
      <c r="N410" s="1260"/>
      <c r="O410" s="1260"/>
      <c r="P410" s="1260"/>
    </row>
    <row r="411" spans="2:16" s="1201" customFormat="1" ht="14" hidden="1" x14ac:dyDescent="0.3">
      <c r="B411" s="1909" t="s">
        <v>317</v>
      </c>
      <c r="C411" s="1910" t="s">
        <v>318</v>
      </c>
      <c r="D411" s="1904"/>
      <c r="E411" s="1911" t="s">
        <v>302</v>
      </c>
      <c r="F411" s="1904"/>
      <c r="G411" s="1908">
        <f>D405*$C$412*44/28</f>
        <v>0</v>
      </c>
      <c r="H411" s="1912"/>
      <c r="I411" s="1912"/>
      <c r="J411" s="1912"/>
      <c r="K411" s="1904"/>
      <c r="L411" s="1904" t="s">
        <v>860</v>
      </c>
      <c r="M411" s="1905"/>
      <c r="N411" s="1260"/>
      <c r="O411" s="1260"/>
      <c r="P411" s="1260"/>
    </row>
    <row r="412" spans="2:16" s="1201" customFormat="1" ht="14" hidden="1" x14ac:dyDescent="0.3">
      <c r="B412" s="1913" t="s">
        <v>319</v>
      </c>
      <c r="C412" s="1914">
        <v>3.8999999999999998E-3</v>
      </c>
      <c r="D412" s="1904"/>
      <c r="E412" s="1911" t="s">
        <v>301</v>
      </c>
      <c r="F412" s="1904"/>
      <c r="G412" s="1908">
        <f>D406*$C$412*44/28</f>
        <v>0</v>
      </c>
      <c r="H412" s="1912"/>
      <c r="I412" s="1912"/>
      <c r="J412" s="1912"/>
      <c r="K412" s="1904"/>
      <c r="L412" s="1904" t="s">
        <v>860</v>
      </c>
      <c r="M412" s="1905"/>
      <c r="N412" s="1260"/>
      <c r="O412" s="1260"/>
      <c r="P412" s="1260"/>
    </row>
    <row r="413" spans="2:16" s="1201" customFormat="1" ht="14" hidden="1" x14ac:dyDescent="0.3">
      <c r="B413" s="1913" t="s">
        <v>320</v>
      </c>
      <c r="C413" s="1914">
        <v>8.5000000000000006E-3</v>
      </c>
      <c r="D413" s="1904"/>
      <c r="E413" s="1906"/>
      <c r="F413" s="1904"/>
      <c r="G413" s="1915"/>
      <c r="H413" s="1912"/>
      <c r="I413" s="1912"/>
      <c r="J413" s="1912"/>
      <c r="K413" s="1904"/>
      <c r="L413" s="1904"/>
      <c r="M413" s="1905"/>
      <c r="N413" s="1260"/>
      <c r="O413" s="1260"/>
      <c r="P413" s="1260"/>
    </row>
    <row r="414" spans="2:16" s="1201" customFormat="1" ht="14" hidden="1" x14ac:dyDescent="0.3">
      <c r="B414" s="1916" t="s">
        <v>321</v>
      </c>
      <c r="C414" s="1914">
        <v>2.0999999999999999E-3</v>
      </c>
      <c r="D414" s="1904"/>
      <c r="E414" s="1906"/>
      <c r="F414" s="1904"/>
      <c r="G414" s="1915"/>
      <c r="H414" s="1912"/>
      <c r="I414" s="1912"/>
      <c r="J414" s="1912"/>
      <c r="K414" s="1904"/>
      <c r="L414" s="1904"/>
      <c r="M414" s="1905"/>
      <c r="N414" s="1260"/>
      <c r="O414" s="1260"/>
      <c r="P414" s="1260"/>
    </row>
    <row r="415" spans="2:16" s="1201" customFormat="1" ht="14" hidden="1" x14ac:dyDescent="0.3">
      <c r="B415" s="1916" t="s">
        <v>322</v>
      </c>
      <c r="C415" s="1914">
        <v>2E-3</v>
      </c>
      <c r="D415" s="1904"/>
      <c r="E415" s="1904"/>
      <c r="F415" s="1904"/>
      <c r="G415" s="1915"/>
      <c r="H415" s="1912"/>
      <c r="I415" s="1912"/>
      <c r="J415" s="1912"/>
      <c r="K415" s="1904"/>
      <c r="L415" s="1904"/>
      <c r="M415" s="1905"/>
      <c r="N415" s="1260"/>
      <c r="O415" s="1260"/>
      <c r="P415" s="1260"/>
    </row>
    <row r="416" spans="2:16" s="1201" customFormat="1" ht="14" hidden="1" x14ac:dyDescent="0.3">
      <c r="B416" s="1913" t="s">
        <v>323</v>
      </c>
      <c r="C416" s="1914">
        <v>1.9900000000000001E-2</v>
      </c>
      <c r="D416" s="1904"/>
      <c r="E416" s="1904"/>
      <c r="F416" s="1904"/>
      <c r="G416" s="1915"/>
      <c r="H416" s="1904"/>
      <c r="I416" s="1904"/>
      <c r="J416" s="1904"/>
      <c r="K416" s="1904"/>
      <c r="L416" s="1904"/>
      <c r="M416" s="1905"/>
      <c r="N416" s="1260"/>
      <c r="O416" s="1260"/>
      <c r="P416" s="1260"/>
    </row>
    <row r="417" spans="2:16" s="1201" customFormat="1" ht="14" hidden="1" x14ac:dyDescent="0.3">
      <c r="B417" s="1913" t="s">
        <v>324</v>
      </c>
      <c r="C417" s="1914">
        <v>5.4999999999999997E-3</v>
      </c>
      <c r="D417" s="1904"/>
      <c r="E417" s="1911"/>
      <c r="F417" s="1904"/>
      <c r="G417" s="1917"/>
      <c r="H417" s="1918"/>
      <c r="I417" s="1918"/>
      <c r="J417" s="1918"/>
      <c r="K417" s="1904"/>
      <c r="L417" s="1904"/>
      <c r="M417" s="1905"/>
      <c r="N417" s="1260"/>
      <c r="O417" s="1260"/>
      <c r="P417" s="1260"/>
    </row>
    <row r="418" spans="2:16" s="1201" customFormat="1" ht="14" hidden="1" x14ac:dyDescent="0.3">
      <c r="B418" s="1919" t="s">
        <v>325</v>
      </c>
      <c r="C418" s="1920">
        <v>8.5000000000000006E-3</v>
      </c>
      <c r="D418" s="1904"/>
      <c r="E418" s="1906"/>
      <c r="F418" s="1904"/>
      <c r="G418" s="1917"/>
      <c r="H418" s="1918"/>
      <c r="I418" s="1918"/>
      <c r="J418" s="1918"/>
      <c r="K418" s="1904"/>
      <c r="L418" s="1904"/>
      <c r="M418" s="1905"/>
      <c r="N418" s="1260"/>
      <c r="O418" s="1260"/>
      <c r="P418" s="1260"/>
    </row>
    <row r="419" spans="2:16" s="1201" customFormat="1" ht="14" hidden="1" x14ac:dyDescent="0.3">
      <c r="B419" s="1904"/>
      <c r="C419" s="1904"/>
      <c r="D419" s="1904"/>
      <c r="E419" s="1906"/>
      <c r="F419" s="1904"/>
      <c r="G419" s="1917"/>
      <c r="H419" s="1918"/>
      <c r="I419" s="1918"/>
      <c r="J419" s="1918"/>
      <c r="K419" s="1904"/>
      <c r="L419" s="1904"/>
      <c r="M419" s="1905"/>
      <c r="N419" s="1260"/>
      <c r="O419" s="1260"/>
      <c r="P419" s="1260"/>
    </row>
    <row r="420" spans="2:16" s="1201" customFormat="1" ht="14" hidden="1" x14ac:dyDescent="0.3">
      <c r="B420" s="1904"/>
      <c r="C420" s="1904"/>
      <c r="D420" s="1904"/>
      <c r="E420" s="1906"/>
      <c r="F420" s="1904"/>
      <c r="G420" s="1917"/>
      <c r="H420" s="1918"/>
      <c r="I420" s="1918"/>
      <c r="J420" s="1918"/>
      <c r="K420" s="1904"/>
      <c r="L420" s="1904"/>
      <c r="M420" s="1905"/>
      <c r="N420" s="1260"/>
      <c r="O420" s="1260"/>
      <c r="P420" s="1260"/>
    </row>
    <row r="421" spans="2:16" s="1201" customFormat="1" ht="14" hidden="1" x14ac:dyDescent="0.3">
      <c r="B421" s="1904"/>
      <c r="C421" s="1904"/>
      <c r="D421" s="1904"/>
      <c r="E421" s="1904"/>
      <c r="F421" s="1904"/>
      <c r="G421" s="1915"/>
      <c r="H421" s="1921"/>
      <c r="I421" s="1921"/>
      <c r="J421" s="1921"/>
      <c r="K421" s="1904"/>
      <c r="L421" s="1904"/>
      <c r="M421" s="1905"/>
      <c r="N421" s="1260"/>
      <c r="O421" s="1260"/>
      <c r="P421" s="1260"/>
    </row>
    <row r="422" spans="2:16" s="1201" customFormat="1" ht="14" hidden="1" x14ac:dyDescent="0.3">
      <c r="B422" s="1904"/>
      <c r="C422" s="1904"/>
      <c r="D422" s="1904"/>
      <c r="E422" s="1904"/>
      <c r="F422" s="1904"/>
      <c r="G422" s="1904"/>
      <c r="H422" s="1904"/>
      <c r="I422" s="1904"/>
      <c r="J422" s="1904"/>
      <c r="K422" s="1904"/>
      <c r="L422" s="1904"/>
      <c r="M422" s="1905"/>
      <c r="N422" s="1260"/>
      <c r="O422" s="1260"/>
      <c r="P422" s="1260"/>
    </row>
    <row r="423" spans="2:16" s="1201" customFormat="1" ht="14" hidden="1" x14ac:dyDescent="0.3">
      <c r="B423" s="1903" t="s">
        <v>326</v>
      </c>
      <c r="C423" s="1922">
        <f>SUM(G411:G412)</f>
        <v>0</v>
      </c>
      <c r="D423" s="1904"/>
      <c r="E423" s="1904"/>
      <c r="F423" s="1904"/>
      <c r="G423" s="1904"/>
      <c r="H423" s="1904"/>
      <c r="I423" s="1904"/>
      <c r="J423" s="1904"/>
      <c r="K423" s="1904"/>
      <c r="L423" s="1904" t="s">
        <v>299</v>
      </c>
      <c r="M423" s="1905"/>
      <c r="N423" s="1260"/>
      <c r="O423" s="1260"/>
      <c r="P423" s="1260"/>
    </row>
    <row r="424" spans="2:16" s="1201" customFormat="1" ht="14" hidden="1" x14ac:dyDescent="0.3">
      <c r="B424" s="1903" t="s">
        <v>326</v>
      </c>
      <c r="C424" s="1923">
        <f>C423*'Emission factors'!$C$5</f>
        <v>0</v>
      </c>
      <c r="D424" s="1904"/>
      <c r="E424" s="1904"/>
      <c r="F424" s="1904"/>
      <c r="G424" s="1904"/>
      <c r="H424" s="1904"/>
      <c r="I424" s="1904"/>
      <c r="J424" s="1904"/>
      <c r="K424" s="1904"/>
      <c r="L424" s="1904" t="s">
        <v>265</v>
      </c>
      <c r="M424" s="1905"/>
      <c r="N424" s="1260"/>
      <c r="O424" s="1260"/>
      <c r="P424" s="1260"/>
    </row>
    <row r="425" spans="2:16" s="1201" customFormat="1" ht="14" hidden="1" x14ac:dyDescent="0.3">
      <c r="B425" s="1903" t="s">
        <v>326</v>
      </c>
      <c r="C425" s="1924">
        <f>C424*10^3</f>
        <v>0</v>
      </c>
      <c r="D425" s="1904"/>
      <c r="E425" s="1906"/>
      <c r="F425" s="1906"/>
      <c r="G425" s="1906"/>
      <c r="H425" s="1906"/>
      <c r="I425" s="1906"/>
      <c r="J425" s="1906"/>
      <c r="K425" s="1904"/>
      <c r="L425" s="1904" t="s">
        <v>266</v>
      </c>
      <c r="M425" s="1905"/>
      <c r="N425" s="1260"/>
      <c r="O425" s="1260"/>
      <c r="P425" s="1260"/>
    </row>
    <row r="426" spans="2:16" s="1201" customFormat="1" ht="14" hidden="1" x14ac:dyDescent="0.3">
      <c r="B426" s="1904"/>
      <c r="C426" s="1904"/>
      <c r="D426" s="1904"/>
      <c r="E426" s="1906"/>
      <c r="F426" s="1906"/>
      <c r="G426" s="1906"/>
      <c r="H426" s="1906"/>
      <c r="I426" s="1906"/>
      <c r="J426" s="1906"/>
      <c r="K426" s="1906"/>
      <c r="L426" s="1906"/>
      <c r="M426" s="1905"/>
      <c r="N426" s="1260"/>
      <c r="O426" s="1260"/>
      <c r="P426" s="1260"/>
    </row>
    <row r="427" spans="2:16" s="1201" customFormat="1" ht="14" hidden="1" x14ac:dyDescent="0.3">
      <c r="B427" s="1903" t="s">
        <v>327</v>
      </c>
      <c r="C427" s="1904"/>
      <c r="D427" s="1904"/>
      <c r="E427" s="1906"/>
      <c r="F427" s="1906"/>
      <c r="G427" s="1925"/>
      <c r="H427" s="1925"/>
      <c r="I427" s="1925"/>
      <c r="J427" s="1925"/>
      <c r="K427" s="1906"/>
      <c r="L427" s="1906"/>
      <c r="M427" s="1905"/>
      <c r="N427" s="1260"/>
      <c r="O427" s="1260"/>
      <c r="P427" s="1260"/>
    </row>
    <row r="428" spans="2:16" s="1201" customFormat="1" ht="16" hidden="1" x14ac:dyDescent="0.4">
      <c r="B428" s="1903" t="s">
        <v>328</v>
      </c>
      <c r="C428" s="1903" t="s">
        <v>2144</v>
      </c>
      <c r="D428" s="1904"/>
      <c r="E428" s="1906"/>
      <c r="F428" s="1906"/>
      <c r="G428" s="1906"/>
      <c r="H428" s="1906"/>
      <c r="I428" s="1906"/>
      <c r="J428" s="1906"/>
      <c r="K428" s="1906"/>
      <c r="L428" s="1906"/>
      <c r="M428" s="1905" t="s">
        <v>329</v>
      </c>
      <c r="N428" s="1260"/>
      <c r="O428" s="1260"/>
      <c r="P428" s="1260"/>
    </row>
    <row r="429" spans="2:16" s="1201" customFormat="1" ht="14" hidden="1" x14ac:dyDescent="0.3">
      <c r="B429" s="1906"/>
      <c r="C429" s="1906" t="s">
        <v>330</v>
      </c>
      <c r="D429" s="1906"/>
      <c r="E429" s="1906"/>
      <c r="F429" s="1906"/>
      <c r="G429" s="1906"/>
      <c r="H429" s="1906"/>
      <c r="I429" s="1906"/>
      <c r="J429" s="1906"/>
      <c r="K429" s="1906"/>
      <c r="L429" s="1906"/>
      <c r="M429" s="1905"/>
      <c r="N429" s="1260"/>
      <c r="O429" s="1260"/>
      <c r="P429" s="1260"/>
    </row>
    <row r="430" spans="2:16" s="1201" customFormat="1" ht="14" hidden="1" x14ac:dyDescent="0.3">
      <c r="B430" s="1906"/>
      <c r="C430" s="1904" t="s">
        <v>1329</v>
      </c>
      <c r="D430" s="1906"/>
      <c r="E430" s="1906"/>
      <c r="F430" s="1906"/>
      <c r="G430" s="1906"/>
      <c r="H430" s="1906"/>
      <c r="I430" s="1906"/>
      <c r="J430" s="1906"/>
      <c r="K430" s="1906"/>
      <c r="L430" s="1906"/>
      <c r="M430" s="1905"/>
      <c r="N430" s="1260"/>
      <c r="O430" s="1260"/>
      <c r="P430" s="1260"/>
    </row>
    <row r="431" spans="2:16" s="1201" customFormat="1" ht="14" hidden="1" x14ac:dyDescent="0.3">
      <c r="B431" s="1904"/>
      <c r="C431" s="1904" t="s">
        <v>1304</v>
      </c>
      <c r="D431" s="1906"/>
      <c r="E431" s="1926"/>
      <c r="F431" s="1904"/>
      <c r="G431" s="1904"/>
      <c r="H431" s="1904"/>
      <c r="I431" s="1904"/>
      <c r="J431" s="1904"/>
      <c r="K431" s="1904"/>
      <c r="L431" s="1904"/>
      <c r="M431" s="1905"/>
      <c r="N431" s="1260"/>
      <c r="O431" s="1260"/>
      <c r="P431" s="1260"/>
    </row>
    <row r="432" spans="2:16" s="1201" customFormat="1" ht="14" hidden="1" x14ac:dyDescent="0.3">
      <c r="B432" s="1904"/>
      <c r="C432" s="1904" t="s">
        <v>1305</v>
      </c>
      <c r="D432" s="1906"/>
      <c r="E432" s="1926"/>
      <c r="F432" s="1904"/>
      <c r="G432" s="1904"/>
      <c r="H432" s="1904"/>
      <c r="I432" s="1904"/>
      <c r="J432" s="1904"/>
      <c r="K432" s="1904"/>
      <c r="L432" s="1904"/>
      <c r="M432" s="1905"/>
      <c r="N432" s="1260"/>
      <c r="O432" s="1260"/>
      <c r="P432" s="1260"/>
    </row>
    <row r="433" spans="2:23" s="1201" customFormat="1" ht="14" hidden="1" x14ac:dyDescent="0.3">
      <c r="B433" s="1904"/>
      <c r="C433" s="1904"/>
      <c r="D433" s="1906"/>
      <c r="E433" s="1926"/>
      <c r="F433" s="1904"/>
      <c r="G433" s="1904"/>
      <c r="H433" s="1904"/>
      <c r="I433" s="1904"/>
      <c r="J433" s="1904"/>
      <c r="K433" s="1904"/>
      <c r="L433" s="1904"/>
      <c r="M433" s="1905"/>
      <c r="N433" s="1260"/>
      <c r="O433" s="1260"/>
      <c r="P433" s="1260"/>
    </row>
    <row r="434" spans="2:23" s="1201" customFormat="1" ht="14" hidden="1" x14ac:dyDescent="0.3">
      <c r="B434" s="1903"/>
      <c r="C434" s="1904"/>
      <c r="D434" s="1927" t="str">
        <f>D17</f>
        <v>Milking Cows</v>
      </c>
      <c r="E434" s="1927" t="str">
        <f>E17</f>
        <v>Heifers &gt;1 yr age</v>
      </c>
      <c r="F434" s="1927" t="str">
        <f>F17</f>
        <v>Heifers &lt;1 yr age</v>
      </c>
      <c r="G434" s="1927" t="str">
        <f>G17</f>
        <v>Mature bulls</v>
      </c>
      <c r="H434" s="1927" t="str">
        <f>H17</f>
        <v xml:space="preserve">Other stock &lt; 1 yr age </v>
      </c>
      <c r="I434" s="1927" t="s">
        <v>1228</v>
      </c>
      <c r="J434" s="1927" t="s">
        <v>1229</v>
      </c>
      <c r="K434" s="1927" t="s">
        <v>1946</v>
      </c>
      <c r="L434" s="1904"/>
      <c r="M434" s="1905"/>
      <c r="N434" s="1260"/>
      <c r="O434" s="1260"/>
      <c r="P434" s="1260"/>
      <c r="V434" s="1260"/>
      <c r="W434" s="1260"/>
    </row>
    <row r="435" spans="2:23" s="1201" customFormat="1" ht="14" hidden="1" x14ac:dyDescent="0.3">
      <c r="B435" s="1903" t="s">
        <v>1344</v>
      </c>
      <c r="C435" s="1907" t="s">
        <v>440</v>
      </c>
      <c r="D435" s="1908" t="e">
        <f>((D$352*C85%)*(1-$L359-$L375))-0</f>
        <v>#DIV/0!</v>
      </c>
      <c r="E435" s="1908" t="e">
        <f t="shared" ref="E435:K435" si="22">((E$352*$C$86%)*(1-$L359-$L375))-0</f>
        <v>#N/A</v>
      </c>
      <c r="F435" s="1908" t="e">
        <f t="shared" si="22"/>
        <v>#N/A</v>
      </c>
      <c r="G435" s="1908" t="e">
        <f t="shared" si="22"/>
        <v>#N/A</v>
      </c>
      <c r="H435" s="1908" t="e">
        <f t="shared" si="22"/>
        <v>#N/A</v>
      </c>
      <c r="I435" s="1908">
        <f t="shared" si="22"/>
        <v>0</v>
      </c>
      <c r="J435" s="1908">
        <f t="shared" si="22"/>
        <v>0</v>
      </c>
      <c r="K435" s="1908" t="e">
        <f t="shared" si="22"/>
        <v>#N/A</v>
      </c>
      <c r="L435" s="1904"/>
      <c r="M435" s="1905"/>
      <c r="N435" s="1928"/>
      <c r="O435" s="1929"/>
      <c r="P435" s="1930"/>
      <c r="V435" s="1260"/>
      <c r="W435" s="1260"/>
    </row>
    <row r="436" spans="2:23" s="1201" customFormat="1" ht="14" hidden="1" x14ac:dyDescent="0.3">
      <c r="B436" s="1904"/>
      <c r="C436" s="1904"/>
      <c r="D436" s="1908"/>
      <c r="E436" s="1908"/>
      <c r="F436" s="1908"/>
      <c r="G436" s="1908"/>
      <c r="H436" s="1908"/>
      <c r="I436" s="1908"/>
      <c r="J436" s="1908"/>
      <c r="K436" s="1908"/>
      <c r="L436" s="1931"/>
      <c r="M436" s="1905"/>
      <c r="N436" s="1928"/>
      <c r="O436" s="1929"/>
      <c r="P436" s="1932"/>
      <c r="V436" s="1260"/>
      <c r="W436" s="1260"/>
    </row>
    <row r="437" spans="2:23" s="1201" customFormat="1" ht="14" hidden="1" x14ac:dyDescent="0.3">
      <c r="B437" s="1903" t="s">
        <v>1345</v>
      </c>
      <c r="C437" s="1907" t="s">
        <v>440</v>
      </c>
      <c r="D437" s="1908" t="e">
        <f>((D$352*D85%)*(1-$L361-$L377))-0</f>
        <v>#DIV/0!</v>
      </c>
      <c r="E437" s="1908" t="e">
        <f t="shared" ref="E437:K437" si="23">((E$352*$D$86%)*(1-$L361-$L377))-0</f>
        <v>#N/A</v>
      </c>
      <c r="F437" s="1908" t="e">
        <f t="shared" si="23"/>
        <v>#N/A</v>
      </c>
      <c r="G437" s="1908" t="e">
        <f t="shared" si="23"/>
        <v>#N/A</v>
      </c>
      <c r="H437" s="1908" t="e">
        <f t="shared" si="23"/>
        <v>#N/A</v>
      </c>
      <c r="I437" s="1908">
        <f t="shared" si="23"/>
        <v>0</v>
      </c>
      <c r="J437" s="1908">
        <f t="shared" si="23"/>
        <v>0</v>
      </c>
      <c r="K437" s="1908" t="e">
        <f t="shared" si="23"/>
        <v>#N/A</v>
      </c>
      <c r="L437" s="1904"/>
      <c r="M437" s="1905"/>
      <c r="N437" s="1260"/>
      <c r="O437" s="1928"/>
      <c r="P437" s="1932"/>
      <c r="V437" s="1260"/>
      <c r="W437" s="1260"/>
    </row>
    <row r="438" spans="2:23" s="1201" customFormat="1" ht="14" hidden="1" x14ac:dyDescent="0.3">
      <c r="B438" s="1904"/>
      <c r="C438" s="1904"/>
      <c r="D438" s="1908"/>
      <c r="E438" s="1908"/>
      <c r="F438" s="1908"/>
      <c r="G438" s="1908"/>
      <c r="H438" s="1908"/>
      <c r="I438" s="1908"/>
      <c r="J438" s="1908"/>
      <c r="K438" s="1908"/>
      <c r="L438" s="1904"/>
      <c r="M438" s="1933"/>
      <c r="N438" s="1260"/>
      <c r="O438" s="1934"/>
      <c r="P438" s="1932"/>
      <c r="Q438" s="1260"/>
      <c r="R438" s="1260"/>
      <c r="S438" s="1260"/>
      <c r="T438" s="1260"/>
      <c r="U438" s="1260"/>
      <c r="V438" s="1260"/>
      <c r="W438" s="1260"/>
    </row>
    <row r="439" spans="2:23" s="1201" customFormat="1" ht="14" hidden="1" x14ac:dyDescent="0.3">
      <c r="B439" s="1903" t="s">
        <v>1346</v>
      </c>
      <c r="C439" s="1907" t="s">
        <v>440</v>
      </c>
      <c r="D439" s="1908" t="e">
        <f>((D$352*E85%)*(1-$L363-$L379))-0</f>
        <v>#DIV/0!</v>
      </c>
      <c r="E439" s="1908" t="e">
        <f t="shared" ref="E439:K439" si="24">((E$352*$E$86%)*(1-$L363-$L379))-0</f>
        <v>#N/A</v>
      </c>
      <c r="F439" s="1908" t="e">
        <f t="shared" si="24"/>
        <v>#N/A</v>
      </c>
      <c r="G439" s="1908" t="e">
        <f t="shared" si="24"/>
        <v>#N/A</v>
      </c>
      <c r="H439" s="1908" t="e">
        <f t="shared" si="24"/>
        <v>#N/A</v>
      </c>
      <c r="I439" s="1908">
        <f t="shared" si="24"/>
        <v>0</v>
      </c>
      <c r="J439" s="1908">
        <f t="shared" si="24"/>
        <v>0</v>
      </c>
      <c r="K439" s="1908" t="e">
        <f t="shared" si="24"/>
        <v>#N/A</v>
      </c>
      <c r="L439" s="1904"/>
      <c r="M439" s="1933"/>
      <c r="N439" s="1260"/>
      <c r="O439" s="1934"/>
      <c r="P439" s="1932"/>
      <c r="Q439" s="1260"/>
      <c r="R439" s="1260"/>
      <c r="S439" s="1260"/>
      <c r="T439" s="1260"/>
      <c r="U439" s="1260"/>
      <c r="V439" s="1260"/>
      <c r="W439" s="1260"/>
    </row>
    <row r="440" spans="2:23" s="1201" customFormat="1" ht="14" hidden="1" x14ac:dyDescent="0.3">
      <c r="B440" s="1904"/>
      <c r="C440" s="1907"/>
      <c r="D440" s="1908"/>
      <c r="E440" s="1908"/>
      <c r="F440" s="1908"/>
      <c r="G440" s="1908"/>
      <c r="H440" s="1908"/>
      <c r="I440" s="1908"/>
      <c r="J440" s="1908"/>
      <c r="K440" s="1908"/>
      <c r="L440" s="1904"/>
      <c r="M440" s="1933"/>
      <c r="N440" s="1260"/>
      <c r="O440" s="1934"/>
      <c r="P440" s="1934"/>
      <c r="Q440" s="1260"/>
      <c r="R440" s="1260"/>
      <c r="S440" s="1260"/>
      <c r="T440" s="1260"/>
      <c r="U440" s="1260"/>
      <c r="V440" s="1260"/>
      <c r="W440" s="1260"/>
    </row>
    <row r="441" spans="2:23" s="1201" customFormat="1" ht="14" hidden="1" x14ac:dyDescent="0.3">
      <c r="B441" s="1903" t="s">
        <v>1347</v>
      </c>
      <c r="C441" s="1907" t="s">
        <v>440</v>
      </c>
      <c r="D441" s="1908" t="e">
        <f>(($D$352*F85%)*(1-$L365-$L381))-D392</f>
        <v>#DIV/0!</v>
      </c>
      <c r="E441" s="1908" t="e">
        <f t="shared" ref="E441:K441" si="25">((E$352*$F$86%)*(1-$L365-$L381))-E392</f>
        <v>#N/A</v>
      </c>
      <c r="F441" s="1908" t="e">
        <f t="shared" si="25"/>
        <v>#N/A</v>
      </c>
      <c r="G441" s="1908" t="e">
        <f t="shared" si="25"/>
        <v>#N/A</v>
      </c>
      <c r="H441" s="1908" t="e">
        <f t="shared" si="25"/>
        <v>#N/A</v>
      </c>
      <c r="I441" s="1908">
        <f t="shared" si="25"/>
        <v>0</v>
      </c>
      <c r="J441" s="1908">
        <f t="shared" si="25"/>
        <v>0</v>
      </c>
      <c r="K441" s="1908" t="e">
        <f t="shared" si="25"/>
        <v>#N/A</v>
      </c>
      <c r="L441" s="1904"/>
      <c r="M441" s="1933"/>
      <c r="N441" s="1260"/>
      <c r="O441" s="1934"/>
      <c r="P441" s="1934"/>
      <c r="Q441" s="1260"/>
      <c r="R441" s="1260"/>
      <c r="S441" s="1260"/>
      <c r="T441" s="1260"/>
      <c r="U441" s="1260"/>
      <c r="V441" s="1260"/>
      <c r="W441" s="1260"/>
    </row>
    <row r="442" spans="2:23" s="1201" customFormat="1" ht="14" hidden="1" x14ac:dyDescent="0.3">
      <c r="B442" s="1904"/>
      <c r="C442" s="1907"/>
      <c r="D442" s="1908"/>
      <c r="E442" s="1935"/>
      <c r="F442" s="1935"/>
      <c r="G442" s="1935"/>
      <c r="H442" s="1935"/>
      <c r="I442" s="1935"/>
      <c r="J442" s="1935"/>
      <c r="K442" s="1935"/>
      <c r="L442" s="1904"/>
      <c r="M442" s="1933"/>
      <c r="N442" s="1260"/>
      <c r="O442" s="1934"/>
      <c r="P442" s="1934"/>
      <c r="Q442" s="1260"/>
      <c r="R442" s="1260"/>
      <c r="S442" s="1260"/>
      <c r="T442" s="1260"/>
      <c r="U442" s="1260"/>
      <c r="V442" s="1260"/>
      <c r="W442" s="1260"/>
    </row>
    <row r="443" spans="2:23" s="1201" customFormat="1" ht="14" hidden="1" x14ac:dyDescent="0.3">
      <c r="B443" s="1903" t="s">
        <v>1348</v>
      </c>
      <c r="C443" s="1907" t="s">
        <v>440</v>
      </c>
      <c r="D443" s="1908" t="e">
        <f>SUM(D435:D441)</f>
        <v>#DIV/0!</v>
      </c>
      <c r="E443" s="1908" t="e">
        <f>SUM(E435:E441)</f>
        <v>#N/A</v>
      </c>
      <c r="F443" s="1908" t="e">
        <f t="shared" ref="F443:J443" si="26">SUM(F435:F441)</f>
        <v>#N/A</v>
      </c>
      <c r="G443" s="1908" t="e">
        <f t="shared" si="26"/>
        <v>#N/A</v>
      </c>
      <c r="H443" s="1908" t="e">
        <f t="shared" si="26"/>
        <v>#N/A</v>
      </c>
      <c r="I443" s="1908">
        <f t="shared" si="26"/>
        <v>0</v>
      </c>
      <c r="J443" s="1908">
        <f t="shared" si="26"/>
        <v>0</v>
      </c>
      <c r="K443" s="1908" t="e">
        <f t="shared" ref="K443" si="27">SUM(K435:K441)</f>
        <v>#N/A</v>
      </c>
      <c r="L443" s="1904"/>
      <c r="M443" s="1933"/>
      <c r="N443" s="1260"/>
      <c r="O443" s="1934"/>
      <c r="P443" s="1934"/>
      <c r="Q443" s="1260"/>
      <c r="R443" s="1260"/>
      <c r="S443" s="1260"/>
      <c r="T443" s="1260"/>
      <c r="U443" s="1260"/>
      <c r="V443" s="1260"/>
      <c r="W443" s="1260"/>
    </row>
    <row r="444" spans="2:23" s="1201" customFormat="1" ht="14" hidden="1" x14ac:dyDescent="0.3">
      <c r="B444" s="1904"/>
      <c r="C444" s="1904"/>
      <c r="D444" s="1904"/>
      <c r="E444" s="1904"/>
      <c r="F444" s="1904"/>
      <c r="G444" s="1904"/>
      <c r="H444" s="1904"/>
      <c r="I444" s="1904"/>
      <c r="J444" s="1904"/>
      <c r="K444" s="1904"/>
      <c r="L444" s="1904"/>
      <c r="M444" s="1933"/>
      <c r="N444" s="1928"/>
      <c r="O444" s="1936"/>
      <c r="P444" s="1260"/>
      <c r="Q444" s="1260"/>
      <c r="R444" s="1260"/>
      <c r="S444" s="1260"/>
      <c r="T444" s="1260"/>
      <c r="U444" s="1260"/>
      <c r="V444" s="1260"/>
      <c r="W444" s="1260"/>
    </row>
    <row r="445" spans="2:23" s="1201" customFormat="1" ht="14" hidden="1" x14ac:dyDescent="0.3">
      <c r="B445" s="1903" t="s">
        <v>331</v>
      </c>
      <c r="C445" s="1903" t="s">
        <v>332</v>
      </c>
      <c r="D445" s="1904"/>
      <c r="E445" s="1904"/>
      <c r="F445" s="1904"/>
      <c r="G445" s="1904"/>
      <c r="H445" s="1904"/>
      <c r="I445" s="1904"/>
      <c r="J445" s="1904"/>
      <c r="K445" s="1904"/>
      <c r="L445" s="1907"/>
      <c r="M445" s="1905" t="s">
        <v>333</v>
      </c>
      <c r="N445" s="1928"/>
      <c r="O445" s="1932"/>
      <c r="P445" s="1260"/>
      <c r="Q445" s="1260"/>
      <c r="R445" s="1260"/>
      <c r="S445" s="1260"/>
      <c r="T445" s="1260"/>
      <c r="U445" s="1260"/>
      <c r="V445" s="1260"/>
      <c r="W445" s="1260"/>
    </row>
    <row r="446" spans="2:23" s="1201" customFormat="1" ht="14" hidden="1" x14ac:dyDescent="0.3">
      <c r="B446" s="1904"/>
      <c r="C446" s="1904" t="s">
        <v>334</v>
      </c>
      <c r="D446" s="1922">
        <v>0.01</v>
      </c>
      <c r="E446" s="1904"/>
      <c r="F446" s="1904"/>
      <c r="G446" s="1904"/>
      <c r="H446" s="1904"/>
      <c r="I446" s="1904"/>
      <c r="J446" s="1904"/>
      <c r="K446" s="1904"/>
      <c r="L446" s="1904"/>
      <c r="M446" s="1933"/>
      <c r="N446" s="1928"/>
      <c r="O446" s="1937"/>
      <c r="P446" s="1260"/>
      <c r="Q446" s="1260"/>
      <c r="R446" s="1260"/>
      <c r="S446" s="1260"/>
      <c r="T446" s="1260"/>
      <c r="U446" s="1260"/>
      <c r="V446" s="1260"/>
      <c r="W446" s="1260"/>
    </row>
    <row r="447" spans="2:23" s="1201" customFormat="1" ht="14" hidden="1" x14ac:dyDescent="0.3">
      <c r="B447" s="1904"/>
      <c r="C447" s="1907" t="s">
        <v>440</v>
      </c>
      <c r="D447" s="1938" t="e">
        <f>D443*$D$446*44/28</f>
        <v>#DIV/0!</v>
      </c>
      <c r="E447" s="1938" t="e">
        <f t="shared" ref="E447:J447" si="28">E443*$D$446*44/28</f>
        <v>#N/A</v>
      </c>
      <c r="F447" s="1938" t="e">
        <f t="shared" si="28"/>
        <v>#N/A</v>
      </c>
      <c r="G447" s="1938" t="e">
        <f>G443*$D$446*44/28</f>
        <v>#N/A</v>
      </c>
      <c r="H447" s="1938" t="e">
        <f t="shared" si="28"/>
        <v>#N/A</v>
      </c>
      <c r="I447" s="1938">
        <f t="shared" si="28"/>
        <v>0</v>
      </c>
      <c r="J447" s="1938">
        <f t="shared" si="28"/>
        <v>0</v>
      </c>
      <c r="K447" s="1938" t="e">
        <f>K443*$D$446*44/28</f>
        <v>#N/A</v>
      </c>
      <c r="L447" s="1907" t="s">
        <v>298</v>
      </c>
      <c r="M447" s="1933"/>
      <c r="N447" s="1928"/>
      <c r="O447" s="1936"/>
      <c r="P447" s="1260"/>
      <c r="Q447" s="1260"/>
      <c r="R447" s="1260"/>
      <c r="S447" s="1260"/>
      <c r="T447" s="1260"/>
      <c r="U447" s="1260"/>
      <c r="V447" s="1260"/>
      <c r="W447" s="1260"/>
    </row>
    <row r="448" spans="2:23" s="1201" customFormat="1" ht="14" hidden="1" x14ac:dyDescent="0.3">
      <c r="B448" s="1904"/>
      <c r="C448" s="1904"/>
      <c r="D448" s="1904"/>
      <c r="E448" s="1904"/>
      <c r="F448" s="1904"/>
      <c r="G448" s="1904"/>
      <c r="H448" s="1904"/>
      <c r="I448" s="1904"/>
      <c r="J448" s="1904"/>
      <c r="K448" s="1904"/>
      <c r="L448" s="1904"/>
      <c r="M448" s="1933"/>
      <c r="N448" s="1939"/>
      <c r="O448" s="1928"/>
      <c r="P448" s="1928"/>
      <c r="Q448" s="1260"/>
      <c r="R448" s="1260"/>
      <c r="S448" s="1260"/>
      <c r="T448" s="1260"/>
      <c r="U448" s="1260"/>
      <c r="V448" s="1260"/>
      <c r="W448" s="1260"/>
    </row>
    <row r="449" spans="2:23" s="1201" customFormat="1" ht="14" hidden="1" x14ac:dyDescent="0.3">
      <c r="B449" s="1903" t="s">
        <v>335</v>
      </c>
      <c r="C449" s="1903" t="s">
        <v>336</v>
      </c>
      <c r="D449" s="1904"/>
      <c r="E449" s="1904"/>
      <c r="F449" s="1904"/>
      <c r="G449" s="1904"/>
      <c r="H449" s="1904"/>
      <c r="I449" s="1904"/>
      <c r="J449" s="1904"/>
      <c r="K449" s="1904"/>
      <c r="L449" s="1904"/>
      <c r="M449" s="1905" t="s">
        <v>337</v>
      </c>
      <c r="N449" s="1939"/>
      <c r="O449" s="1928"/>
      <c r="P449" s="1928"/>
      <c r="Q449" s="1260"/>
      <c r="R449" s="1260"/>
      <c r="S449" s="1260"/>
      <c r="T449" s="1260"/>
      <c r="U449" s="1260"/>
      <c r="V449" s="1260"/>
      <c r="W449" s="1260"/>
    </row>
    <row r="450" spans="2:23" s="1201" customFormat="1" ht="14" hidden="1" x14ac:dyDescent="0.3">
      <c r="B450" s="1904"/>
      <c r="C450" s="1904" t="s">
        <v>338</v>
      </c>
      <c r="D450" s="1904"/>
      <c r="E450" s="1904"/>
      <c r="F450" s="1904"/>
      <c r="G450" s="1904"/>
      <c r="H450" s="1904"/>
      <c r="I450" s="1904"/>
      <c r="J450" s="1904"/>
      <c r="K450" s="1907"/>
      <c r="L450" s="1907" t="s">
        <v>307</v>
      </c>
      <c r="M450" s="1940" t="s">
        <v>339</v>
      </c>
      <c r="N450" s="1902"/>
      <c r="O450" s="1260"/>
      <c r="P450" s="1260"/>
      <c r="Q450" s="1260"/>
      <c r="R450" s="1260"/>
      <c r="S450" s="1260"/>
      <c r="T450" s="1260"/>
      <c r="U450" s="1260"/>
      <c r="V450" s="1260"/>
      <c r="W450" s="1260"/>
    </row>
    <row r="451" spans="2:23" s="1201" customFormat="1" ht="14" hidden="1" x14ac:dyDescent="0.3">
      <c r="B451" s="1904"/>
      <c r="C451" s="1904" t="s">
        <v>340</v>
      </c>
      <c r="D451" s="1904"/>
      <c r="E451" s="1904"/>
      <c r="F451" s="1904"/>
      <c r="G451" s="1904"/>
      <c r="H451" s="1904"/>
      <c r="I451" s="1904"/>
      <c r="J451" s="1904"/>
      <c r="K451" s="1907"/>
      <c r="L451" s="1907" t="s">
        <v>341</v>
      </c>
      <c r="M451" s="1905"/>
      <c r="N451" s="1902"/>
      <c r="O451" s="1260"/>
      <c r="P451" s="1260"/>
      <c r="Q451" s="1260"/>
      <c r="R451" s="1260"/>
      <c r="S451" s="1260"/>
      <c r="T451" s="1260"/>
      <c r="U451" s="1260"/>
      <c r="V451" s="1260"/>
      <c r="W451" s="1260"/>
    </row>
    <row r="452" spans="2:23" s="1201" customFormat="1" ht="14" hidden="1" x14ac:dyDescent="0.3">
      <c r="B452" s="1904"/>
      <c r="C452" s="1904" t="s">
        <v>342</v>
      </c>
      <c r="D452" s="1904"/>
      <c r="E452" s="1904"/>
      <c r="F452" s="1904"/>
      <c r="G452" s="1904"/>
      <c r="H452" s="1904"/>
      <c r="I452" s="1904"/>
      <c r="J452" s="1904"/>
      <c r="K452" s="1904"/>
      <c r="L452" s="1904" t="s">
        <v>343</v>
      </c>
      <c r="M452" s="1905"/>
      <c r="N452" s="1902"/>
      <c r="O452" s="1260"/>
      <c r="P452" s="1260"/>
      <c r="Q452" s="1260"/>
      <c r="R452" s="1260"/>
      <c r="S452" s="1260"/>
      <c r="T452" s="1260"/>
      <c r="U452" s="1260"/>
      <c r="V452" s="1260"/>
      <c r="W452" s="1260"/>
    </row>
    <row r="453" spans="2:23" s="1201" customFormat="1" ht="14" hidden="1" x14ac:dyDescent="0.3">
      <c r="B453" s="1904"/>
      <c r="C453" s="1904" t="s">
        <v>344</v>
      </c>
      <c r="D453" s="1904"/>
      <c r="E453" s="1904"/>
      <c r="F453" s="1904"/>
      <c r="G453" s="1904"/>
      <c r="H453" s="1904"/>
      <c r="I453" s="1904"/>
      <c r="J453" s="1904"/>
      <c r="K453" s="1904"/>
      <c r="L453" s="1904" t="s">
        <v>345</v>
      </c>
      <c r="M453" s="1905"/>
      <c r="N453" s="1902"/>
      <c r="O453" s="1260"/>
      <c r="P453" s="1260"/>
      <c r="Q453" s="1260"/>
      <c r="R453" s="1260"/>
      <c r="S453" s="1260"/>
      <c r="T453" s="1260"/>
      <c r="U453" s="1260"/>
      <c r="V453" s="1260"/>
      <c r="W453" s="1260"/>
    </row>
    <row r="454" spans="2:23" s="1201" customFormat="1" ht="14" hidden="1" x14ac:dyDescent="0.3">
      <c r="B454" s="1904"/>
      <c r="C454" s="1904" t="s">
        <v>346</v>
      </c>
      <c r="D454" s="1904"/>
      <c r="E454" s="1904"/>
      <c r="F454" s="1904"/>
      <c r="G454" s="1904"/>
      <c r="H454" s="1904"/>
      <c r="I454" s="1904"/>
      <c r="J454" s="1904"/>
      <c r="K454" s="1904"/>
      <c r="L454" s="1904"/>
      <c r="M454" s="1905"/>
      <c r="N454" s="1260"/>
      <c r="O454" s="1260"/>
      <c r="P454" s="1260"/>
      <c r="Q454" s="1260"/>
      <c r="R454" s="1260"/>
      <c r="S454" s="1260"/>
      <c r="T454" s="1260"/>
      <c r="U454" s="1260"/>
      <c r="V454" s="1260"/>
      <c r="W454" s="1260"/>
    </row>
    <row r="455" spans="2:23" s="1201" customFormat="1" ht="14" hidden="1" x14ac:dyDescent="0.3">
      <c r="B455" s="1904"/>
      <c r="C455" s="1904" t="s">
        <v>347</v>
      </c>
      <c r="D455" s="1904"/>
      <c r="E455" s="1904"/>
      <c r="F455" s="1904"/>
      <c r="G455" s="1904"/>
      <c r="H455" s="1904"/>
      <c r="I455" s="1904"/>
      <c r="J455" s="1904"/>
      <c r="K455" s="1904"/>
      <c r="L455" s="1904"/>
      <c r="M455" s="1905"/>
      <c r="N455" s="1260"/>
      <c r="O455" s="1260"/>
      <c r="P455" s="1260"/>
      <c r="Q455" s="1260"/>
      <c r="R455" s="1260"/>
      <c r="S455" s="1260"/>
      <c r="T455" s="1260"/>
      <c r="U455" s="1260"/>
      <c r="V455" s="1260"/>
      <c r="W455" s="1260"/>
    </row>
    <row r="456" spans="2:23" s="1201" customFormat="1" ht="14" hidden="1" x14ac:dyDescent="0.3">
      <c r="B456" s="1904"/>
      <c r="C456" s="1904"/>
      <c r="D456" s="1904"/>
      <c r="E456" s="1904"/>
      <c r="F456" s="1904"/>
      <c r="G456" s="1904"/>
      <c r="H456" s="1904"/>
      <c r="I456" s="1904"/>
      <c r="J456" s="1904"/>
      <c r="K456" s="1904"/>
      <c r="L456" s="1904"/>
      <c r="M456" s="1905"/>
      <c r="N456" s="1260"/>
      <c r="O456" s="1260"/>
      <c r="P456" s="1260"/>
      <c r="Q456" s="1260"/>
      <c r="R456" s="1260"/>
      <c r="S456" s="1260"/>
      <c r="T456" s="1260"/>
      <c r="U456" s="1260"/>
      <c r="V456" s="1260"/>
      <c r="W456" s="1260"/>
    </row>
    <row r="457" spans="2:23" s="1201" customFormat="1" ht="14" hidden="1" x14ac:dyDescent="0.3">
      <c r="B457" s="1903" t="s">
        <v>348</v>
      </c>
      <c r="C457" s="1903" t="s">
        <v>349</v>
      </c>
      <c r="D457" s="1904"/>
      <c r="E457" s="1904"/>
      <c r="F457" s="1904"/>
      <c r="G457" s="1904"/>
      <c r="H457" s="1904"/>
      <c r="I457" s="1904"/>
      <c r="J457" s="1904"/>
      <c r="K457" s="1904"/>
      <c r="L457" s="1904" t="s">
        <v>312</v>
      </c>
      <c r="M457" s="1905" t="s">
        <v>350</v>
      </c>
      <c r="N457" s="1260"/>
      <c r="O457" s="1260"/>
      <c r="P457" s="1260"/>
      <c r="Q457" s="1260"/>
      <c r="R457" s="1260"/>
      <c r="S457" s="1260"/>
      <c r="T457" s="1260"/>
      <c r="U457" s="1260"/>
      <c r="V457" s="1260"/>
      <c r="W457" s="1260"/>
    </row>
    <row r="458" spans="2:23" s="1201" customFormat="1" ht="14" hidden="1" x14ac:dyDescent="0.3">
      <c r="B458" s="1904"/>
      <c r="C458" s="1904" t="s">
        <v>351</v>
      </c>
      <c r="D458" s="1904"/>
      <c r="E458" s="1904"/>
      <c r="F458" s="1904"/>
      <c r="G458" s="1904"/>
      <c r="H458" s="1904"/>
      <c r="I458" s="1904"/>
      <c r="J458" s="1904"/>
      <c r="K458" s="1904"/>
      <c r="L458" s="1904" t="s">
        <v>315</v>
      </c>
      <c r="M458" s="1940" t="s">
        <v>339</v>
      </c>
      <c r="N458" s="1260"/>
      <c r="O458" s="1260"/>
      <c r="P458" s="1260"/>
      <c r="Q458" s="1260"/>
      <c r="R458" s="1260"/>
      <c r="S458" s="1260"/>
      <c r="T458" s="1260"/>
      <c r="U458" s="1260"/>
      <c r="V458" s="1260"/>
      <c r="W458" s="1260"/>
    </row>
    <row r="459" spans="2:23" s="1201" customFormat="1" ht="14" hidden="1" x14ac:dyDescent="0.3">
      <c r="B459" s="1904"/>
      <c r="C459" s="1904"/>
      <c r="D459" s="1904"/>
      <c r="E459" s="1904"/>
      <c r="F459" s="1904"/>
      <c r="G459" s="1904"/>
      <c r="H459" s="1904"/>
      <c r="I459" s="1904"/>
      <c r="J459" s="1904"/>
      <c r="K459" s="1904"/>
      <c r="L459" s="1904"/>
      <c r="M459" s="1905"/>
      <c r="N459" s="1260"/>
      <c r="O459" s="1934"/>
      <c r="P459" s="1260"/>
      <c r="Q459" s="1260"/>
      <c r="R459" s="1260"/>
      <c r="S459" s="1260"/>
      <c r="T459" s="1260"/>
      <c r="U459" s="1260"/>
      <c r="V459" s="1260"/>
      <c r="W459" s="1260"/>
    </row>
    <row r="460" spans="2:23" s="1201" customFormat="1" ht="14" hidden="1" x14ac:dyDescent="0.3">
      <c r="B460" s="1904"/>
      <c r="C460" s="1904"/>
      <c r="D460" s="1904"/>
      <c r="E460" s="1904"/>
      <c r="F460" s="1904"/>
      <c r="G460" s="1904"/>
      <c r="H460" s="1904"/>
      <c r="I460" s="1904"/>
      <c r="J460" s="1904"/>
      <c r="K460" s="1904"/>
      <c r="L460" s="1904"/>
      <c r="M460" s="1905"/>
      <c r="N460" s="1260"/>
      <c r="O460" s="1260"/>
      <c r="P460" s="1260"/>
      <c r="Q460" s="1260"/>
      <c r="R460" s="1260"/>
      <c r="S460" s="1260"/>
      <c r="T460" s="1260"/>
      <c r="U460" s="1260"/>
      <c r="V460" s="1260"/>
      <c r="W460" s="1260"/>
    </row>
    <row r="461" spans="2:23" s="1201" customFormat="1" ht="14" hidden="1" x14ac:dyDescent="0.3">
      <c r="B461" s="1904" t="s">
        <v>352</v>
      </c>
      <c r="C461" s="1904"/>
      <c r="D461" s="1904"/>
      <c r="E461" s="1904"/>
      <c r="F461" s="1904"/>
      <c r="G461" s="1904"/>
      <c r="H461" s="1904"/>
      <c r="I461" s="1904"/>
      <c r="J461" s="1904"/>
      <c r="K461" s="1904"/>
      <c r="L461" s="1904"/>
      <c r="M461" s="1905"/>
      <c r="N461" s="1260"/>
      <c r="O461" s="1260"/>
      <c r="P461" s="1260"/>
      <c r="Q461" s="1260"/>
      <c r="R461" s="1260"/>
      <c r="S461" s="1260"/>
      <c r="T461" s="1260"/>
      <c r="U461" s="1260"/>
      <c r="V461" s="1260"/>
      <c r="W461" s="1260"/>
    </row>
    <row r="462" spans="2:23" s="1201" customFormat="1" ht="14" hidden="1" x14ac:dyDescent="0.3">
      <c r="B462" s="1903" t="s">
        <v>353</v>
      </c>
      <c r="C462" s="1903" t="s">
        <v>354</v>
      </c>
      <c r="D462" s="1904"/>
      <c r="E462" s="1904"/>
      <c r="F462" s="1904"/>
      <c r="G462" s="1904"/>
      <c r="H462" s="1904"/>
      <c r="I462" s="1904"/>
      <c r="J462" s="1904"/>
      <c r="K462" s="1904"/>
      <c r="L462" s="1904"/>
      <c r="M462" s="1905" t="s">
        <v>355</v>
      </c>
      <c r="N462" s="1260"/>
      <c r="O462" s="1260"/>
      <c r="P462" s="1260"/>
      <c r="Q462" s="1260"/>
      <c r="R462" s="1260"/>
      <c r="S462" s="1260"/>
      <c r="T462" s="1260"/>
      <c r="U462" s="1260"/>
      <c r="V462" s="1260"/>
      <c r="W462" s="1260"/>
    </row>
    <row r="463" spans="2:23" s="1201" customFormat="1" ht="14" hidden="1" x14ac:dyDescent="0.3">
      <c r="B463" s="1904"/>
      <c r="C463" s="1904" t="s">
        <v>356</v>
      </c>
      <c r="D463" s="1904"/>
      <c r="E463" s="1904"/>
      <c r="F463" s="1904"/>
      <c r="G463" s="1904"/>
      <c r="H463" s="1904"/>
      <c r="I463" s="1904"/>
      <c r="J463" s="1904"/>
      <c r="K463" s="1904"/>
      <c r="L463" s="1904"/>
      <c r="M463" s="1940" t="s">
        <v>339</v>
      </c>
      <c r="N463" s="1260"/>
      <c r="O463" s="1260"/>
      <c r="P463" s="1260"/>
      <c r="Q463" s="1260"/>
      <c r="R463" s="1260"/>
      <c r="S463" s="1260"/>
      <c r="T463" s="1260"/>
      <c r="U463" s="1260"/>
      <c r="V463" s="1260"/>
      <c r="W463" s="1260"/>
    </row>
    <row r="464" spans="2:23" s="1201" customFormat="1" ht="14" hidden="1" x14ac:dyDescent="0.3">
      <c r="B464" s="1904"/>
      <c r="C464" s="1904" t="s">
        <v>357</v>
      </c>
      <c r="D464" s="1904"/>
      <c r="E464" s="1904"/>
      <c r="F464" s="1904"/>
      <c r="G464" s="1904"/>
      <c r="H464" s="1904"/>
      <c r="I464" s="1904"/>
      <c r="J464" s="1904"/>
      <c r="K464" s="1904"/>
      <c r="L464" s="1904"/>
      <c r="M464" s="1905"/>
      <c r="N464" s="1260"/>
      <c r="O464" s="1260"/>
      <c r="P464" s="1941"/>
      <c r="Q464" s="1260"/>
      <c r="R464" s="1260"/>
      <c r="S464" s="1260"/>
      <c r="T464" s="1260"/>
      <c r="U464" s="1260"/>
      <c r="V464" s="1260"/>
      <c r="W464" s="1260"/>
    </row>
    <row r="465" spans="2:23" s="1201" customFormat="1" ht="14" hidden="1" x14ac:dyDescent="0.3">
      <c r="B465" s="1904"/>
      <c r="C465" s="1904" t="s">
        <v>358</v>
      </c>
      <c r="D465" s="1904"/>
      <c r="E465" s="1904"/>
      <c r="F465" s="1904"/>
      <c r="G465" s="1904"/>
      <c r="H465" s="1904"/>
      <c r="I465" s="1904"/>
      <c r="J465" s="1904"/>
      <c r="K465" s="1904"/>
      <c r="L465" s="1904"/>
      <c r="M465" s="1905"/>
      <c r="N465" s="1260"/>
      <c r="O465" s="1260"/>
      <c r="P465" s="1260"/>
      <c r="Q465" s="1260"/>
      <c r="R465" s="1260"/>
      <c r="S465" s="1260"/>
      <c r="T465" s="1260"/>
      <c r="U465" s="1260"/>
      <c r="V465" s="1928"/>
      <c r="W465" s="1928"/>
    </row>
    <row r="466" spans="2:23" s="1201" customFormat="1" ht="14" hidden="1" x14ac:dyDescent="0.3">
      <c r="B466" s="1904"/>
      <c r="C466" s="1904"/>
      <c r="D466" s="1904"/>
      <c r="E466" s="1904"/>
      <c r="F466" s="1904"/>
      <c r="G466" s="1904"/>
      <c r="H466" s="1904"/>
      <c r="I466" s="1904"/>
      <c r="J466" s="1904"/>
      <c r="K466" s="1904"/>
      <c r="L466" s="1904"/>
      <c r="M466" s="1905"/>
      <c r="N466" s="1260"/>
      <c r="O466" s="1260"/>
      <c r="P466" s="1260"/>
      <c r="Q466" s="1260"/>
      <c r="R466" s="1260"/>
      <c r="S466" s="1260"/>
      <c r="T466" s="1260"/>
      <c r="U466" s="1260"/>
      <c r="V466" s="1942"/>
      <c r="W466" s="1937"/>
    </row>
    <row r="467" spans="2:23" s="1201" customFormat="1" ht="14" hidden="1" x14ac:dyDescent="0.3">
      <c r="B467" s="1903" t="s">
        <v>359</v>
      </c>
      <c r="C467" s="1903" t="s">
        <v>349</v>
      </c>
      <c r="D467" s="1904"/>
      <c r="E467" s="1904"/>
      <c r="F467" s="1904"/>
      <c r="G467" s="1904"/>
      <c r="H467" s="1904"/>
      <c r="I467" s="1904"/>
      <c r="J467" s="1904"/>
      <c r="K467" s="1904"/>
      <c r="L467" s="1904" t="s">
        <v>312</v>
      </c>
      <c r="M467" s="1905" t="s">
        <v>360</v>
      </c>
      <c r="N467" s="1260"/>
      <c r="O467" s="1260"/>
      <c r="P467" s="1260"/>
      <c r="Q467" s="1260"/>
      <c r="R467" s="1260"/>
      <c r="S467" s="1260"/>
      <c r="T467" s="1260"/>
      <c r="U467" s="1260"/>
      <c r="V467" s="1928"/>
      <c r="W467" s="1937"/>
    </row>
    <row r="468" spans="2:23" s="1201" customFormat="1" ht="14" hidden="1" x14ac:dyDescent="0.3">
      <c r="B468" s="1904"/>
      <c r="C468" s="1904" t="s">
        <v>351</v>
      </c>
      <c r="D468" s="1904"/>
      <c r="E468" s="1904"/>
      <c r="F468" s="1904"/>
      <c r="G468" s="1904"/>
      <c r="H468" s="1904"/>
      <c r="I468" s="1904"/>
      <c r="J468" s="1904"/>
      <c r="K468" s="1904"/>
      <c r="L468" s="1904" t="s">
        <v>315</v>
      </c>
      <c r="M468" s="1940" t="s">
        <v>339</v>
      </c>
      <c r="N468" s="1260"/>
      <c r="O468" s="1260"/>
      <c r="P468" s="1260"/>
      <c r="Q468" s="1260"/>
      <c r="R468" s="1260"/>
      <c r="S468" s="1260"/>
      <c r="T468" s="1260"/>
      <c r="U468" s="1260"/>
      <c r="V468" s="1928"/>
      <c r="W468" s="1936"/>
    </row>
    <row r="469" spans="2:23" s="1201" customFormat="1" ht="14" hidden="1" x14ac:dyDescent="0.3">
      <c r="B469" s="1904"/>
      <c r="C469" s="1904"/>
      <c r="D469" s="1904"/>
      <c r="E469" s="1904"/>
      <c r="F469" s="1904"/>
      <c r="G469" s="1904"/>
      <c r="H469" s="1904"/>
      <c r="I469" s="1904"/>
      <c r="J469" s="1904"/>
      <c r="K469" s="1904"/>
      <c r="L469" s="1904"/>
      <c r="M469" s="1905"/>
      <c r="N469" s="1260"/>
      <c r="O469" s="1260"/>
      <c r="P469" s="1260"/>
      <c r="Q469" s="1928"/>
      <c r="R469" s="1928"/>
      <c r="S469" s="1928"/>
      <c r="T469" s="1928"/>
      <c r="U469" s="1928"/>
      <c r="V469" s="1928"/>
      <c r="W469" s="1928"/>
    </row>
    <row r="470" spans="2:23" s="1201" customFormat="1" ht="14" hidden="1" x14ac:dyDescent="0.3">
      <c r="B470" s="1904"/>
      <c r="C470" s="1904"/>
      <c r="D470" s="1904"/>
      <c r="E470" s="1904"/>
      <c r="F470" s="1904"/>
      <c r="G470" s="1904"/>
      <c r="H470" s="1904"/>
      <c r="I470" s="1904"/>
      <c r="J470" s="1904"/>
      <c r="K470" s="1904"/>
      <c r="L470" s="1904"/>
      <c r="M470" s="1905"/>
      <c r="N470" s="1260"/>
      <c r="O470" s="1260"/>
      <c r="P470" s="1260"/>
      <c r="Q470" s="1942"/>
      <c r="R470" s="1942"/>
      <c r="S470" s="1942"/>
      <c r="T470" s="1942"/>
      <c r="U470" s="1942"/>
      <c r="V470" s="1928"/>
      <c r="W470" s="1928"/>
    </row>
    <row r="471" spans="2:23" s="1201" customFormat="1" ht="14" hidden="1" x14ac:dyDescent="0.3">
      <c r="B471" s="1904"/>
      <c r="C471" s="1904"/>
      <c r="D471" s="1904"/>
      <c r="E471" s="1904"/>
      <c r="F471" s="1904"/>
      <c r="G471" s="1904"/>
      <c r="H471" s="1904"/>
      <c r="I471" s="1904"/>
      <c r="J471" s="1904"/>
      <c r="K471" s="1904"/>
      <c r="L471" s="1904"/>
      <c r="M471" s="1905"/>
      <c r="N471" s="1260"/>
      <c r="O471" s="1934"/>
      <c r="P471" s="1928"/>
      <c r="Q471" s="1928"/>
      <c r="R471" s="1928"/>
      <c r="S471" s="1928"/>
      <c r="T471" s="1928"/>
      <c r="U471" s="1928"/>
      <c r="V471" s="1928"/>
      <c r="W471" s="1928"/>
    </row>
    <row r="472" spans="2:23" s="1201" customFormat="1" ht="14" hidden="1" x14ac:dyDescent="0.3">
      <c r="B472" s="1903" t="s">
        <v>361</v>
      </c>
      <c r="C472" s="1903" t="s">
        <v>362</v>
      </c>
      <c r="D472" s="1904"/>
      <c r="E472" s="1904"/>
      <c r="F472" s="1904"/>
      <c r="G472" s="1904"/>
      <c r="H472" s="1904"/>
      <c r="I472" s="1904"/>
      <c r="J472" s="1904"/>
      <c r="K472" s="1904"/>
      <c r="L472" s="1904" t="s">
        <v>312</v>
      </c>
      <c r="M472" s="1905" t="s">
        <v>363</v>
      </c>
      <c r="N472" s="1260"/>
      <c r="O472" s="1934"/>
      <c r="P472" s="1928"/>
      <c r="Q472" s="1928"/>
      <c r="R472" s="1928"/>
      <c r="S472" s="1928"/>
      <c r="T472" s="1928"/>
      <c r="U472" s="1928"/>
      <c r="V472" s="1260"/>
      <c r="W472" s="1260"/>
    </row>
    <row r="473" spans="2:23" s="1201" customFormat="1" ht="14" hidden="1" x14ac:dyDescent="0.3">
      <c r="B473" s="1904"/>
      <c r="C473" s="1904" t="s">
        <v>364</v>
      </c>
      <c r="D473" s="1904"/>
      <c r="E473" s="1904"/>
      <c r="F473" s="1904"/>
      <c r="G473" s="1904"/>
      <c r="H473" s="1904"/>
      <c r="I473" s="1904"/>
      <c r="J473" s="1904"/>
      <c r="K473" s="1904"/>
      <c r="L473" s="1904" t="s">
        <v>224</v>
      </c>
      <c r="M473" s="1940" t="s">
        <v>339</v>
      </c>
      <c r="N473" s="1260"/>
      <c r="O473" s="1934"/>
      <c r="P473" s="1928"/>
      <c r="Q473" s="1928"/>
      <c r="R473" s="1928"/>
      <c r="S473" s="1928"/>
      <c r="T473" s="1928"/>
      <c r="U473" s="1928"/>
      <c r="V473" s="1260"/>
      <c r="W473" s="1260"/>
    </row>
    <row r="474" spans="2:23" s="1201" customFormat="1" ht="14" hidden="1" x14ac:dyDescent="0.3">
      <c r="B474" s="1904"/>
      <c r="C474" s="1904" t="s">
        <v>365</v>
      </c>
      <c r="D474" s="1904"/>
      <c r="E474" s="1904"/>
      <c r="F474" s="1904"/>
      <c r="G474" s="1904"/>
      <c r="H474" s="1904"/>
      <c r="I474" s="1904"/>
      <c r="J474" s="1904"/>
      <c r="K474" s="1904"/>
      <c r="L474" s="1904" t="s">
        <v>366</v>
      </c>
      <c r="M474" s="1905"/>
      <c r="N474" s="1260"/>
      <c r="O474" s="1934"/>
      <c r="P474" s="1260"/>
      <c r="Q474" s="1928"/>
      <c r="R474" s="1928"/>
      <c r="S474" s="1928"/>
      <c r="T474" s="1928"/>
      <c r="U474" s="1928"/>
      <c r="V474" s="1260"/>
      <c r="W474" s="1260"/>
    </row>
    <row r="475" spans="2:23" s="1201" customFormat="1" ht="14" hidden="1" x14ac:dyDescent="0.3">
      <c r="B475" s="1904"/>
      <c r="C475" s="1903"/>
      <c r="D475" s="1904"/>
      <c r="E475" s="1904"/>
      <c r="F475" s="1904"/>
      <c r="G475" s="1904"/>
      <c r="H475" s="1904"/>
      <c r="I475" s="1904"/>
      <c r="J475" s="1904"/>
      <c r="K475" s="1904"/>
      <c r="L475" s="1904"/>
      <c r="M475" s="1905"/>
      <c r="N475" s="1260"/>
      <c r="O475" s="1260"/>
      <c r="P475" s="1941"/>
      <c r="Q475" s="1928"/>
      <c r="R475" s="1928"/>
      <c r="S475" s="1928"/>
      <c r="T475" s="1928"/>
      <c r="U475" s="1928"/>
      <c r="V475" s="1260"/>
      <c r="W475" s="1260"/>
    </row>
    <row r="476" spans="2:23" s="1201" customFormat="1" ht="14" hidden="1" x14ac:dyDescent="0.3">
      <c r="B476" s="1904"/>
      <c r="C476" s="1906"/>
      <c r="D476" s="1906"/>
      <c r="E476" s="1926"/>
      <c r="F476" s="1907"/>
      <c r="G476" s="1904"/>
      <c r="H476" s="1904"/>
      <c r="I476" s="1904"/>
      <c r="J476" s="1904"/>
      <c r="K476" s="1904"/>
      <c r="L476" s="1904"/>
      <c r="M476" s="1905"/>
      <c r="N476" s="1260"/>
      <c r="O476" s="1260"/>
      <c r="P476" s="1941"/>
      <c r="Q476" s="1943"/>
      <c r="R476" s="1260"/>
      <c r="S476" s="1260"/>
      <c r="T476" s="1260"/>
      <c r="U476" s="1260"/>
      <c r="V476" s="1260"/>
      <c r="W476" s="1260"/>
    </row>
    <row r="477" spans="2:23" s="1201" customFormat="1" ht="14" hidden="1" x14ac:dyDescent="0.3">
      <c r="B477" s="1904"/>
      <c r="C477" s="1904"/>
      <c r="D477" s="1904"/>
      <c r="E477" s="1904"/>
      <c r="F477" s="1904"/>
      <c r="G477" s="1904"/>
      <c r="H477" s="1904"/>
      <c r="I477" s="1904"/>
      <c r="J477" s="1904"/>
      <c r="K477" s="1904"/>
      <c r="L477" s="1904"/>
      <c r="M477" s="1905"/>
      <c r="N477" s="1260"/>
      <c r="O477" s="1260"/>
      <c r="P477" s="1941"/>
      <c r="Q477" s="1260"/>
      <c r="R477" s="1260"/>
      <c r="S477" s="1260"/>
      <c r="T477" s="1260"/>
      <c r="U477" s="1260"/>
      <c r="V477" s="1260"/>
      <c r="W477" s="1260"/>
    </row>
    <row r="478" spans="2:23" s="1201" customFormat="1" ht="14" hidden="1" x14ac:dyDescent="0.3">
      <c r="B478" s="1904" t="s">
        <v>367</v>
      </c>
      <c r="C478" s="1904"/>
      <c r="D478" s="1904"/>
      <c r="E478" s="1904"/>
      <c r="F478" s="1904"/>
      <c r="G478" s="1904"/>
      <c r="H478" s="1904"/>
      <c r="I478" s="1904"/>
      <c r="J478" s="1904"/>
      <c r="K478" s="1904"/>
      <c r="L478" s="1904"/>
      <c r="M478" s="1905"/>
      <c r="N478" s="1260"/>
      <c r="O478" s="1260"/>
      <c r="P478" s="1941"/>
      <c r="Q478" s="1260"/>
      <c r="R478" s="1260"/>
      <c r="S478" s="1260"/>
      <c r="T478" s="1260"/>
      <c r="U478" s="1260"/>
      <c r="V478" s="1260"/>
      <c r="W478" s="1260"/>
    </row>
    <row r="479" spans="2:23" s="1201" customFormat="1" ht="14" hidden="1" x14ac:dyDescent="0.3">
      <c r="B479" s="1903" t="s">
        <v>368</v>
      </c>
      <c r="C479" s="1904"/>
      <c r="D479" s="1904"/>
      <c r="E479" s="1904"/>
      <c r="F479" s="1904"/>
      <c r="G479" s="1904"/>
      <c r="H479" s="1904"/>
      <c r="I479" s="1904"/>
      <c r="J479" s="1904"/>
      <c r="K479" s="1904"/>
      <c r="L479" s="1904"/>
      <c r="M479" s="1905" t="s">
        <v>369</v>
      </c>
      <c r="N479" s="1260"/>
      <c r="O479" s="1260"/>
      <c r="P479" s="1941"/>
      <c r="Q479" s="1260"/>
      <c r="R479" s="1260"/>
      <c r="S479" s="1260"/>
      <c r="T479" s="1260"/>
      <c r="U479" s="1260"/>
      <c r="V479" s="1260"/>
      <c r="W479" s="1260"/>
    </row>
    <row r="480" spans="2:23" s="1201" customFormat="1" ht="14" hidden="1" x14ac:dyDescent="0.3">
      <c r="B480" s="1904"/>
      <c r="C480" s="1903" t="s">
        <v>370</v>
      </c>
      <c r="D480" s="1904"/>
      <c r="E480" s="1908"/>
      <c r="F480" s="1904"/>
      <c r="G480" s="1904"/>
      <c r="H480" s="1904"/>
      <c r="I480" s="1904"/>
      <c r="J480" s="1904"/>
      <c r="K480" s="1904"/>
      <c r="L480" s="1904"/>
      <c r="M480" s="1905" t="s">
        <v>371</v>
      </c>
      <c r="N480" s="1260"/>
      <c r="O480" s="1260"/>
      <c r="P480" s="1941"/>
      <c r="Q480" s="1260"/>
      <c r="R480" s="1260"/>
      <c r="S480" s="1260"/>
      <c r="T480" s="1260"/>
      <c r="U480" s="1260"/>
      <c r="V480" s="1928"/>
      <c r="W480" s="1928"/>
    </row>
    <row r="481" spans="2:23" s="1201" customFormat="1" ht="14" hidden="1" x14ac:dyDescent="0.3">
      <c r="B481" s="1904"/>
      <c r="C481" s="1904"/>
      <c r="D481" s="1904"/>
      <c r="E481" s="1904"/>
      <c r="F481" s="1904"/>
      <c r="G481" s="1904"/>
      <c r="H481" s="1904"/>
      <c r="I481" s="1904"/>
      <c r="J481" s="1904"/>
      <c r="K481" s="1904"/>
      <c r="L481" s="1904"/>
      <c r="M481" s="1933"/>
      <c r="N481" s="1260"/>
      <c r="O481" s="1260"/>
      <c r="P481" s="1941"/>
      <c r="Q481" s="1260"/>
      <c r="R481" s="1260"/>
      <c r="S481" s="1260"/>
      <c r="T481" s="1260"/>
      <c r="U481" s="1260"/>
      <c r="V481" s="1939"/>
      <c r="W481" s="1928"/>
    </row>
    <row r="482" spans="2:23" s="1201" customFormat="1" ht="14" hidden="1" x14ac:dyDescent="0.3">
      <c r="B482" s="1915"/>
      <c r="C482" s="1907" t="s">
        <v>440</v>
      </c>
      <c r="D482" s="1908" t="e">
        <f>D344*G$85%</f>
        <v>#DIV/0!</v>
      </c>
      <c r="E482" s="1912">
        <f t="shared" ref="E482:J482" si="29">E344*$G$86%</f>
        <v>0</v>
      </c>
      <c r="F482" s="1912">
        <f t="shared" si="29"/>
        <v>0</v>
      </c>
      <c r="G482" s="1912">
        <f t="shared" si="29"/>
        <v>0</v>
      </c>
      <c r="H482" s="1912">
        <f t="shared" si="29"/>
        <v>0</v>
      </c>
      <c r="I482" s="1912">
        <f t="shared" si="29"/>
        <v>0</v>
      </c>
      <c r="J482" s="1912">
        <f t="shared" si="29"/>
        <v>0</v>
      </c>
      <c r="K482" s="1912">
        <f t="shared" ref="K482" si="30">K344*$G$86%</f>
        <v>0</v>
      </c>
      <c r="L482" s="1904" t="s">
        <v>288</v>
      </c>
      <c r="M482" s="1905"/>
      <c r="N482" s="1944"/>
      <c r="O482" s="1944"/>
      <c r="P482" s="1945"/>
      <c r="Q482" s="1260"/>
      <c r="R482" s="1260"/>
      <c r="S482" s="1260"/>
      <c r="T482" s="1260"/>
      <c r="U482" s="1260"/>
      <c r="V482" s="1939"/>
      <c r="W482" s="1928"/>
    </row>
    <row r="483" spans="2:23" s="1201" customFormat="1" ht="14" hidden="1" x14ac:dyDescent="0.3">
      <c r="B483" s="1904"/>
      <c r="C483" s="1904"/>
      <c r="D483" s="1908"/>
      <c r="E483" s="1912"/>
      <c r="F483" s="1912"/>
      <c r="G483" s="1912"/>
      <c r="H483" s="1912"/>
      <c r="I483" s="1912"/>
      <c r="J483" s="1912"/>
      <c r="K483" s="1912"/>
      <c r="L483" s="1904"/>
      <c r="M483" s="1905"/>
      <c r="N483" s="1944"/>
      <c r="O483" s="1944"/>
      <c r="P483" s="1944"/>
      <c r="Q483" s="1260"/>
      <c r="R483" s="1260"/>
      <c r="S483" s="1260"/>
      <c r="T483" s="1260"/>
      <c r="U483" s="1260"/>
      <c r="V483" s="1260"/>
      <c r="W483" s="1260"/>
    </row>
    <row r="484" spans="2:23" s="1201" customFormat="1" ht="14" hidden="1" x14ac:dyDescent="0.3">
      <c r="B484" s="1904"/>
      <c r="C484" s="1903" t="s">
        <v>372</v>
      </c>
      <c r="D484" s="1908"/>
      <c r="E484" s="1908"/>
      <c r="F484" s="1912"/>
      <c r="G484" s="1912"/>
      <c r="H484" s="1912"/>
      <c r="I484" s="1912"/>
      <c r="J484" s="1912"/>
      <c r="K484" s="1912"/>
      <c r="L484" s="1904"/>
      <c r="M484" s="1905" t="s">
        <v>373</v>
      </c>
      <c r="N484" s="1944"/>
      <c r="O484" s="1944"/>
      <c r="P484" s="1945"/>
      <c r="Q484" s="1928"/>
      <c r="R484" s="1928"/>
      <c r="S484" s="1928"/>
      <c r="T484" s="1928"/>
      <c r="U484" s="1928"/>
      <c r="V484" s="1260"/>
      <c r="W484" s="1260"/>
    </row>
    <row r="485" spans="2:23" s="1201" customFormat="1" ht="14" hidden="1" x14ac:dyDescent="0.3">
      <c r="B485" s="1904"/>
      <c r="C485" s="1904"/>
      <c r="D485" s="1908"/>
      <c r="E485" s="1912"/>
      <c r="F485" s="1912"/>
      <c r="G485" s="1912"/>
      <c r="H485" s="1912"/>
      <c r="I485" s="1912"/>
      <c r="J485" s="1912"/>
      <c r="K485" s="1912"/>
      <c r="L485" s="1904"/>
      <c r="M485" s="1933"/>
      <c r="N485" s="1944"/>
      <c r="O485" s="1944"/>
      <c r="P485" s="1945"/>
      <c r="Q485" s="1928"/>
      <c r="R485" s="1928"/>
      <c r="S485" s="1928"/>
      <c r="T485" s="1928"/>
      <c r="U485" s="1928"/>
      <c r="V485" s="1260"/>
      <c r="W485" s="1260"/>
    </row>
    <row r="486" spans="2:23" s="1201" customFormat="1" ht="14" hidden="1" x14ac:dyDescent="0.3">
      <c r="B486" s="1904"/>
      <c r="C486" s="1907" t="s">
        <v>440</v>
      </c>
      <c r="D486" s="1908" t="e">
        <f>D348*$G$85%</f>
        <v>#DIV/0!</v>
      </c>
      <c r="E486" s="1912" t="e">
        <f t="shared" ref="E486:J486" si="31">E348*$G$86%</f>
        <v>#N/A</v>
      </c>
      <c r="F486" s="1912" t="e">
        <f t="shared" si="31"/>
        <v>#N/A</v>
      </c>
      <c r="G486" s="1912" t="e">
        <f t="shared" si="31"/>
        <v>#N/A</v>
      </c>
      <c r="H486" s="1912" t="e">
        <f t="shared" si="31"/>
        <v>#N/A</v>
      </c>
      <c r="I486" s="1912">
        <f t="shared" si="31"/>
        <v>0</v>
      </c>
      <c r="J486" s="1912">
        <f t="shared" si="31"/>
        <v>0</v>
      </c>
      <c r="K486" s="1912" t="e">
        <f t="shared" ref="K486" si="32">K348*$G$86%</f>
        <v>#N/A</v>
      </c>
      <c r="L486" s="1904" t="s">
        <v>288</v>
      </c>
      <c r="M486" s="1933"/>
      <c r="N486" s="1944"/>
      <c r="O486" s="1944"/>
      <c r="P486" s="1945"/>
      <c r="Q486" s="1928"/>
      <c r="R486" s="1946"/>
      <c r="S486" s="1946"/>
      <c r="T486" s="1928"/>
      <c r="U486" s="1928"/>
      <c r="V486" s="1260"/>
      <c r="W486" s="1260"/>
    </row>
    <row r="487" spans="2:23" s="1201" customFormat="1" ht="14" hidden="1" x14ac:dyDescent="0.3">
      <c r="B487" s="1904"/>
      <c r="C487" s="1904"/>
      <c r="D487" s="1947"/>
      <c r="E487" s="1904"/>
      <c r="F487" s="1904"/>
      <c r="G487" s="1904"/>
      <c r="H487" s="1904"/>
      <c r="I487" s="1904"/>
      <c r="J487" s="1904"/>
      <c r="K487" s="1904"/>
      <c r="L487" s="1904"/>
      <c r="M487" s="1933"/>
      <c r="N487" s="1260"/>
      <c r="O487" s="1260"/>
      <c r="P487" s="1260"/>
      <c r="Q487" s="1260"/>
      <c r="R487" s="1260"/>
      <c r="S487" s="1260"/>
      <c r="T487" s="1260"/>
      <c r="U487" s="1260"/>
      <c r="V487" s="1928"/>
      <c r="W487" s="1928"/>
    </row>
    <row r="488" spans="2:23" s="1201" customFormat="1" ht="14" hidden="1" x14ac:dyDescent="0.3">
      <c r="B488" s="1903" t="s">
        <v>374</v>
      </c>
      <c r="C488" s="1903" t="s">
        <v>375</v>
      </c>
      <c r="D488" s="1904"/>
      <c r="E488" s="1904"/>
      <c r="F488" s="1904"/>
      <c r="G488" s="1904"/>
      <c r="H488" s="1904"/>
      <c r="I488" s="1904"/>
      <c r="J488" s="1904"/>
      <c r="K488" s="1904"/>
      <c r="L488" s="1904"/>
      <c r="M488" s="1905" t="s">
        <v>376</v>
      </c>
      <c r="N488" s="1260"/>
      <c r="O488" s="1260"/>
      <c r="P488" s="1260"/>
      <c r="Q488" s="1260"/>
      <c r="R488" s="1260"/>
      <c r="S488" s="1260"/>
      <c r="T488" s="1260"/>
      <c r="U488" s="1260"/>
      <c r="V488" s="1928"/>
      <c r="W488" s="1928"/>
    </row>
    <row r="489" spans="2:23" s="1201" customFormat="1" ht="14" hidden="1" x14ac:dyDescent="0.3">
      <c r="B489" s="1904"/>
      <c r="C489" s="1904" t="s">
        <v>377</v>
      </c>
      <c r="D489" s="1925">
        <v>4.0000000000000001E-3</v>
      </c>
      <c r="E489" s="1904"/>
      <c r="F489" s="1904"/>
      <c r="G489" s="1904"/>
      <c r="H489" s="1904"/>
      <c r="I489" s="1904"/>
      <c r="J489" s="1904"/>
      <c r="K489" s="1904"/>
      <c r="L489" s="1904"/>
      <c r="M489" s="1933"/>
      <c r="N489" s="1260"/>
      <c r="O489" s="1260"/>
      <c r="P489" s="1260"/>
      <c r="Q489" s="1260"/>
      <c r="R489" s="1260"/>
      <c r="S489" s="1260"/>
      <c r="T489" s="1260"/>
      <c r="U489" s="1260"/>
      <c r="V489" s="1260"/>
      <c r="W489" s="1260"/>
    </row>
    <row r="490" spans="2:23" s="1201" customFormat="1" ht="14" hidden="1" x14ac:dyDescent="0.3">
      <c r="B490" s="1904"/>
      <c r="C490" s="1904" t="s">
        <v>378</v>
      </c>
      <c r="D490" s="1906">
        <v>4.0000000000000001E-3</v>
      </c>
      <c r="E490" s="1904"/>
      <c r="F490" s="1904"/>
      <c r="G490" s="1904"/>
      <c r="H490" s="1904"/>
      <c r="I490" s="1904"/>
      <c r="J490" s="1904"/>
      <c r="K490" s="1904"/>
      <c r="L490" s="1904"/>
      <c r="M490" s="1933"/>
      <c r="N490" s="1260"/>
      <c r="O490" s="1260"/>
      <c r="P490" s="1260"/>
      <c r="Q490" s="1260"/>
      <c r="R490" s="1260"/>
      <c r="S490" s="1260"/>
      <c r="T490" s="1260"/>
      <c r="U490" s="1260"/>
      <c r="V490" s="1260"/>
      <c r="W490" s="1260"/>
    </row>
    <row r="491" spans="2:23" s="1201" customFormat="1" ht="14" hidden="1" x14ac:dyDescent="0.3">
      <c r="B491" s="1904"/>
      <c r="C491" s="1904"/>
      <c r="D491" s="1904"/>
      <c r="E491" s="1904"/>
      <c r="F491" s="1904"/>
      <c r="G491" s="1904"/>
      <c r="H491" s="1904"/>
      <c r="I491" s="1904"/>
      <c r="J491" s="1904"/>
      <c r="K491" s="1904"/>
      <c r="L491" s="1904"/>
      <c r="M491" s="1933"/>
      <c r="N491" s="1260"/>
      <c r="O491" s="1260"/>
      <c r="P491" s="1260"/>
      <c r="Q491" s="1928"/>
      <c r="R491" s="1928"/>
      <c r="S491" s="1928"/>
      <c r="T491" s="1928"/>
      <c r="U491" s="1928"/>
      <c r="V491" s="1260"/>
      <c r="W491" s="1260"/>
    </row>
    <row r="492" spans="2:23" s="1201" customFormat="1" ht="14" hidden="1" x14ac:dyDescent="0.3">
      <c r="B492" s="1904"/>
      <c r="C492" s="1907" t="s">
        <v>440</v>
      </c>
      <c r="D492" s="1947" t="e">
        <f t="shared" ref="D492:J492" si="33">(D482*$D$489*44/28)+(D486*$D$490*44/28)</f>
        <v>#DIV/0!</v>
      </c>
      <c r="E492" s="1947" t="e">
        <f t="shared" si="33"/>
        <v>#N/A</v>
      </c>
      <c r="F492" s="1947" t="e">
        <f t="shared" si="33"/>
        <v>#N/A</v>
      </c>
      <c r="G492" s="1947" t="e">
        <f t="shared" si="33"/>
        <v>#N/A</v>
      </c>
      <c r="H492" s="1947" t="e">
        <f t="shared" si="33"/>
        <v>#N/A</v>
      </c>
      <c r="I492" s="1947">
        <f t="shared" si="33"/>
        <v>0</v>
      </c>
      <c r="J492" s="1947">
        <f t="shared" si="33"/>
        <v>0</v>
      </c>
      <c r="K492" s="1947" t="e">
        <f t="shared" ref="K492" si="34">(K482*$D$489*44/28)+(K486*$D$490*44/28)</f>
        <v>#N/A</v>
      </c>
      <c r="L492" s="1907" t="s">
        <v>298</v>
      </c>
      <c r="M492" s="1933"/>
      <c r="N492" s="1260"/>
      <c r="O492" s="1948"/>
      <c r="P492" s="1260"/>
      <c r="Q492" s="1928"/>
      <c r="R492" s="1928"/>
      <c r="S492" s="1928"/>
      <c r="T492" s="1928"/>
      <c r="U492" s="1928"/>
      <c r="V492" s="1260"/>
      <c r="W492" s="1260"/>
    </row>
    <row r="493" spans="2:23" s="1201" customFormat="1" ht="14" hidden="1" x14ac:dyDescent="0.3">
      <c r="B493" s="1904"/>
      <c r="C493" s="1904"/>
      <c r="D493" s="1904"/>
      <c r="E493" s="1904"/>
      <c r="F493" s="1904"/>
      <c r="G493" s="1904"/>
      <c r="H493" s="1904"/>
      <c r="I493" s="1904"/>
      <c r="J493" s="1904"/>
      <c r="K493" s="1904"/>
      <c r="L493" s="1904"/>
      <c r="M493" s="1933"/>
      <c r="N493" s="1260"/>
      <c r="O493" s="1260"/>
      <c r="P493" s="1260"/>
      <c r="Q493" s="1260"/>
      <c r="R493" s="1260"/>
      <c r="S493" s="1260"/>
      <c r="T493" s="1260"/>
      <c r="U493" s="1260"/>
      <c r="V493" s="1260"/>
      <c r="W493" s="1260"/>
    </row>
    <row r="494" spans="2:23" s="1201" customFormat="1" ht="14" hidden="1" x14ac:dyDescent="0.3">
      <c r="B494" s="1903" t="s">
        <v>379</v>
      </c>
      <c r="C494" s="1904"/>
      <c r="D494" s="1949"/>
      <c r="E494" s="1904"/>
      <c r="F494" s="1904"/>
      <c r="G494" s="1904"/>
      <c r="H494" s="1904"/>
      <c r="I494" s="1904"/>
      <c r="J494" s="1904"/>
      <c r="K494" s="1904"/>
      <c r="L494" s="1904"/>
      <c r="M494" s="1933"/>
      <c r="N494" s="1260"/>
      <c r="O494" s="1260"/>
      <c r="P494" s="1260"/>
      <c r="Q494" s="1260"/>
      <c r="R494" s="1260"/>
      <c r="S494" s="1260"/>
      <c r="T494" s="1260"/>
      <c r="U494" s="1260"/>
      <c r="V494" s="1260"/>
      <c r="W494" s="1260"/>
    </row>
    <row r="495" spans="2:23" s="1201" customFormat="1" ht="14" hidden="1" x14ac:dyDescent="0.3">
      <c r="B495" s="1904"/>
      <c r="C495" s="1907" t="s">
        <v>440</v>
      </c>
      <c r="D495" s="1912" t="e">
        <f>D447+D492</f>
        <v>#DIV/0!</v>
      </c>
      <c r="E495" s="1912" t="e">
        <f t="shared" ref="E495:J495" si="35">E447+E492</f>
        <v>#N/A</v>
      </c>
      <c r="F495" s="1912" t="e">
        <f t="shared" si="35"/>
        <v>#N/A</v>
      </c>
      <c r="G495" s="1912" t="e">
        <f t="shared" si="35"/>
        <v>#N/A</v>
      </c>
      <c r="H495" s="1912" t="e">
        <f t="shared" si="35"/>
        <v>#N/A</v>
      </c>
      <c r="I495" s="1912">
        <f t="shared" si="35"/>
        <v>0</v>
      </c>
      <c r="J495" s="1912">
        <f t="shared" si="35"/>
        <v>0</v>
      </c>
      <c r="K495" s="1912" t="e">
        <f t="shared" ref="K495" si="36">K447+K492</f>
        <v>#N/A</v>
      </c>
      <c r="L495" s="1907" t="s">
        <v>298</v>
      </c>
      <c r="M495" s="1933"/>
      <c r="Q495" s="1260"/>
      <c r="R495" s="1260"/>
      <c r="S495" s="1260"/>
      <c r="T495" s="1260"/>
      <c r="U495" s="1260"/>
      <c r="V495" s="1260"/>
      <c r="W495" s="1260"/>
    </row>
    <row r="496" spans="2:23" s="1201" customFormat="1" ht="14" hidden="1" x14ac:dyDescent="0.3">
      <c r="B496" s="1904"/>
      <c r="C496" s="1907"/>
      <c r="D496" s="1915"/>
      <c r="E496" s="1915"/>
      <c r="F496" s="1915"/>
      <c r="G496" s="1915"/>
      <c r="H496" s="1915"/>
      <c r="I496" s="1915"/>
      <c r="J496" s="1915"/>
      <c r="K496" s="1907"/>
      <c r="L496" s="1907"/>
      <c r="M496" s="1950"/>
      <c r="Q496" s="1260"/>
      <c r="R496" s="1260"/>
      <c r="S496" s="1260"/>
      <c r="T496" s="1260"/>
      <c r="U496" s="1260"/>
      <c r="V496" s="1951"/>
      <c r="W496" s="1260"/>
    </row>
    <row r="497" spans="2:23" s="1201" customFormat="1" ht="14" hidden="1" x14ac:dyDescent="0.3">
      <c r="B497" s="1903" t="s">
        <v>263</v>
      </c>
      <c r="C497" s="1952" t="e">
        <f>SUM(D495:K495)</f>
        <v>#DIV/0!</v>
      </c>
      <c r="D497" s="1915"/>
      <c r="E497" s="1915"/>
      <c r="F497" s="1915"/>
      <c r="G497" s="1915"/>
      <c r="H497" s="1915"/>
      <c r="I497" s="1915"/>
      <c r="J497" s="1915"/>
      <c r="K497" s="1907"/>
      <c r="L497" s="1907" t="s">
        <v>299</v>
      </c>
      <c r="M497" s="1950"/>
      <c r="N497" s="1953"/>
      <c r="O497" s="1953"/>
      <c r="P497" s="1953"/>
      <c r="Q497" s="1260"/>
      <c r="R497" s="1260"/>
      <c r="S497" s="1260"/>
      <c r="T497" s="1260"/>
      <c r="U497" s="1260"/>
      <c r="V497" s="1260"/>
      <c r="W497" s="1260"/>
    </row>
    <row r="498" spans="2:23" s="1201" customFormat="1" ht="14" hidden="1" x14ac:dyDescent="0.3">
      <c r="B498" s="1903" t="s">
        <v>263</v>
      </c>
      <c r="C498" s="1924" t="e">
        <f>C497*'Emission factors'!$C$5</f>
        <v>#DIV/0!</v>
      </c>
      <c r="D498" s="1904"/>
      <c r="E498" s="1904"/>
      <c r="F498" s="1904"/>
      <c r="G498" s="1904"/>
      <c r="H498" s="1904"/>
      <c r="I498" s="1904"/>
      <c r="J498" s="1904"/>
      <c r="K498" s="1907"/>
      <c r="L498" s="1907" t="s">
        <v>265</v>
      </c>
      <c r="M498" s="1950"/>
      <c r="N498" s="1953"/>
      <c r="O498" s="1953"/>
      <c r="P498" s="1953"/>
      <c r="Q498" s="1260"/>
      <c r="R498" s="1260"/>
      <c r="S498" s="1260"/>
      <c r="T498" s="1260"/>
      <c r="U498" s="1260"/>
      <c r="V498" s="1260"/>
      <c r="W498" s="1260"/>
    </row>
    <row r="499" spans="2:23" s="1201" customFormat="1" ht="14" hidden="1" x14ac:dyDescent="0.3">
      <c r="B499" s="1903" t="s">
        <v>263</v>
      </c>
      <c r="C499" s="1924" t="e">
        <f>C498*10^3</f>
        <v>#DIV/0!</v>
      </c>
      <c r="D499" s="1904"/>
      <c r="E499" s="1954"/>
      <c r="F499" s="1904"/>
      <c r="G499" s="1904"/>
      <c r="H499" s="1904"/>
      <c r="I499" s="1904"/>
      <c r="J499" s="1904"/>
      <c r="K499" s="1907"/>
      <c r="L499" s="1907" t="s">
        <v>266</v>
      </c>
      <c r="M499" s="1950"/>
      <c r="N499" s="1953"/>
      <c r="O499" s="1953"/>
      <c r="P499" s="1953"/>
      <c r="Q499" s="1260"/>
      <c r="R499" s="1260"/>
      <c r="S499" s="1260"/>
      <c r="T499" s="1260"/>
      <c r="U499" s="1260"/>
      <c r="V499" s="1260"/>
      <c r="W499" s="1260"/>
    </row>
    <row r="500" spans="2:23" s="1201" customFormat="1" ht="14" hidden="1" x14ac:dyDescent="0.3">
      <c r="B500" s="1904"/>
      <c r="C500" s="1904"/>
      <c r="D500" s="1904"/>
      <c r="E500" s="1904"/>
      <c r="F500" s="1904"/>
      <c r="G500" s="1904"/>
      <c r="H500" s="1904"/>
      <c r="I500" s="1904"/>
      <c r="J500" s="1904"/>
      <c r="K500" s="1904"/>
      <c r="L500" s="1904"/>
      <c r="M500" s="1950"/>
      <c r="N500" s="1953"/>
      <c r="O500" s="1953"/>
      <c r="P500" s="1953"/>
      <c r="Q500" s="1951"/>
      <c r="R500" s="1951"/>
      <c r="S500" s="1951"/>
      <c r="T500" s="1951"/>
      <c r="U500" s="1951"/>
      <c r="V500" s="1260"/>
      <c r="W500" s="1260"/>
    </row>
    <row r="501" spans="2:23" s="1201" customFormat="1" ht="14" hidden="1" x14ac:dyDescent="0.3">
      <c r="B501" s="1903" t="s">
        <v>380</v>
      </c>
      <c r="C501" s="1903" t="s">
        <v>381</v>
      </c>
      <c r="D501" s="1904"/>
      <c r="E501" s="1904"/>
      <c r="F501" s="1904"/>
      <c r="G501" s="1904"/>
      <c r="H501" s="1904"/>
      <c r="I501" s="1904"/>
      <c r="J501" s="1904"/>
      <c r="K501" s="1904"/>
      <c r="L501" s="1904"/>
      <c r="M501" s="1905" t="s">
        <v>382</v>
      </c>
      <c r="N501" s="1902"/>
      <c r="O501" s="1953"/>
      <c r="P501" s="1953"/>
      <c r="Q501" s="1260"/>
      <c r="R501" s="1260"/>
      <c r="S501" s="1260"/>
      <c r="T501" s="1260"/>
      <c r="U501" s="1260"/>
      <c r="V501" s="1260"/>
      <c r="W501" s="1260"/>
    </row>
    <row r="502" spans="2:23" s="1201" customFormat="1" ht="14" hidden="1" x14ac:dyDescent="0.3">
      <c r="B502" s="1904"/>
      <c r="C502" s="1904" t="s">
        <v>383</v>
      </c>
      <c r="D502" s="1904"/>
      <c r="E502" s="1904"/>
      <c r="F502" s="1904"/>
      <c r="G502" s="1904"/>
      <c r="H502" s="1904"/>
      <c r="I502" s="1904"/>
      <c r="J502" s="1904"/>
      <c r="K502" s="1904"/>
      <c r="L502" s="1904" t="s">
        <v>307</v>
      </c>
      <c r="M502" s="1905"/>
      <c r="N502" s="1260"/>
      <c r="O502" s="1953"/>
      <c r="P502" s="1953"/>
      <c r="Q502" s="1260"/>
      <c r="R502" s="1260"/>
      <c r="S502" s="1260"/>
      <c r="T502" s="1260"/>
      <c r="U502" s="1260"/>
      <c r="V502" s="1260"/>
      <c r="W502" s="1260"/>
    </row>
    <row r="503" spans="2:23" s="1201" customFormat="1" ht="14" hidden="1" x14ac:dyDescent="0.3">
      <c r="B503" s="1904"/>
      <c r="C503" s="1904" t="s">
        <v>306</v>
      </c>
      <c r="D503" s="1904"/>
      <c r="E503" s="1904"/>
      <c r="F503" s="1904"/>
      <c r="G503" s="1904"/>
      <c r="H503" s="1904"/>
      <c r="I503" s="1904"/>
      <c r="J503" s="1904"/>
      <c r="K503" s="1955"/>
      <c r="L503" s="1955" t="s">
        <v>307</v>
      </c>
      <c r="M503" s="1905"/>
      <c r="N503" s="1260"/>
      <c r="O503" s="1953"/>
      <c r="P503" s="1953"/>
      <c r="Q503" s="1260"/>
      <c r="R503" s="1260"/>
      <c r="S503" s="1260"/>
      <c r="T503" s="1260"/>
      <c r="U503" s="1260"/>
      <c r="V503" s="1260"/>
      <c r="W503" s="1260"/>
    </row>
    <row r="504" spans="2:23" s="1201" customFormat="1" ht="14" hidden="1" x14ac:dyDescent="0.3">
      <c r="B504" s="1904"/>
      <c r="C504" s="1904" t="s">
        <v>1299</v>
      </c>
      <c r="D504" s="1904">
        <v>0.11</v>
      </c>
      <c r="E504" s="1904"/>
      <c r="F504" s="1904"/>
      <c r="G504" s="1904"/>
      <c r="H504" s="1904"/>
      <c r="I504" s="1904"/>
      <c r="J504" s="1904"/>
      <c r="K504" s="1955"/>
      <c r="L504" s="1955" t="s">
        <v>384</v>
      </c>
      <c r="M504" s="1905"/>
      <c r="N504" s="1260"/>
      <c r="O504" s="1953"/>
      <c r="P504" s="1953"/>
      <c r="Q504" s="1260"/>
      <c r="R504" s="1260"/>
      <c r="S504" s="1260"/>
      <c r="T504" s="1260"/>
      <c r="U504" s="1260"/>
      <c r="V504" s="894"/>
      <c r="W504" s="894"/>
    </row>
    <row r="505" spans="2:23" s="1201" customFormat="1" ht="14" hidden="1" x14ac:dyDescent="0.3">
      <c r="B505" s="1904"/>
      <c r="C505" s="1904"/>
      <c r="D505" s="1904"/>
      <c r="E505" s="1904"/>
      <c r="F505" s="1904"/>
      <c r="G505" s="1904"/>
      <c r="H505" s="1904"/>
      <c r="I505" s="1904"/>
      <c r="J505" s="1904"/>
      <c r="K505" s="1955"/>
      <c r="L505" s="1955"/>
      <c r="M505" s="1905"/>
      <c r="N505" s="1260"/>
      <c r="O505" s="894"/>
      <c r="P505" s="894"/>
      <c r="Q505" s="894"/>
      <c r="R505" s="894"/>
      <c r="S505" s="894"/>
      <c r="T505" s="894"/>
      <c r="U505" s="894"/>
      <c r="V505" s="894"/>
      <c r="W505" s="894"/>
    </row>
    <row r="506" spans="2:23" s="1201" customFormat="1" ht="14" hidden="1" x14ac:dyDescent="0.3">
      <c r="B506" s="1904" t="s">
        <v>385</v>
      </c>
      <c r="C506" s="1925" t="s">
        <v>807</v>
      </c>
      <c r="D506" s="1956">
        <f>D405*$D$504</f>
        <v>0</v>
      </c>
      <c r="E506" s="1918"/>
      <c r="F506" s="1908"/>
      <c r="G506" s="1904"/>
      <c r="H506" s="1904"/>
      <c r="I506" s="1904"/>
      <c r="J506" s="1904"/>
      <c r="K506" s="1955"/>
      <c r="L506" s="1955" t="s">
        <v>438</v>
      </c>
      <c r="M506" s="1957"/>
      <c r="N506" s="1928"/>
      <c r="O506" s="894"/>
      <c r="P506" s="894"/>
      <c r="Q506" s="894"/>
      <c r="R506" s="894"/>
      <c r="S506" s="894"/>
      <c r="T506" s="894"/>
      <c r="U506" s="894"/>
      <c r="V506" s="894"/>
      <c r="W506" s="894"/>
    </row>
    <row r="507" spans="2:23" s="1201" customFormat="1" ht="14" hidden="1" x14ac:dyDescent="0.3">
      <c r="B507" s="1904"/>
      <c r="C507" s="1925" t="s">
        <v>817</v>
      </c>
      <c r="D507" s="1956">
        <f>D406*$D$504</f>
        <v>0</v>
      </c>
      <c r="E507" s="1926"/>
      <c r="F507" s="1904"/>
      <c r="G507" s="1904"/>
      <c r="H507" s="1904"/>
      <c r="I507" s="1904"/>
      <c r="J507" s="1904"/>
      <c r="K507" s="1955"/>
      <c r="L507" s="1955" t="s">
        <v>438</v>
      </c>
      <c r="M507" s="1957"/>
      <c r="N507" s="1929"/>
      <c r="O507" s="894"/>
      <c r="P507" s="894"/>
      <c r="Q507" s="894"/>
      <c r="R507" s="894"/>
      <c r="S507" s="894"/>
      <c r="T507" s="894"/>
      <c r="U507" s="894"/>
      <c r="V507" s="894"/>
      <c r="W507" s="894"/>
    </row>
    <row r="508" spans="2:23" s="1201" customFormat="1" ht="14" hidden="1" x14ac:dyDescent="0.3">
      <c r="B508" s="1904"/>
      <c r="C508" s="1925"/>
      <c r="D508" s="1956"/>
      <c r="E508" s="1926"/>
      <c r="F508" s="1904"/>
      <c r="G508" s="1904"/>
      <c r="H508" s="1904"/>
      <c r="I508" s="1904"/>
      <c r="J508" s="1904"/>
      <c r="K508" s="1955"/>
      <c r="L508" s="1955"/>
      <c r="M508" s="1933"/>
      <c r="N508" s="1902"/>
      <c r="O508" s="894"/>
      <c r="P508" s="894"/>
      <c r="Q508" s="894"/>
      <c r="R508" s="894"/>
      <c r="S508" s="894"/>
      <c r="T508" s="894"/>
      <c r="U508" s="894"/>
      <c r="V508" s="894"/>
      <c r="W508" s="894"/>
    </row>
    <row r="509" spans="2:23" s="1201" customFormat="1" ht="14" hidden="1" x14ac:dyDescent="0.3">
      <c r="B509" s="1904"/>
      <c r="C509" s="1925"/>
      <c r="D509" s="1956"/>
      <c r="E509" s="1926"/>
      <c r="F509" s="1904"/>
      <c r="G509" s="1904"/>
      <c r="H509" s="1904"/>
      <c r="I509" s="1904"/>
      <c r="J509" s="1904"/>
      <c r="K509" s="1955"/>
      <c r="L509" s="1955"/>
      <c r="M509" s="1905"/>
      <c r="N509" s="1260"/>
      <c r="O509" s="894"/>
      <c r="P509" s="894"/>
      <c r="Q509" s="894"/>
      <c r="R509" s="894"/>
      <c r="S509" s="894"/>
      <c r="T509" s="894"/>
      <c r="U509" s="894"/>
      <c r="V509" s="894"/>
      <c r="W509" s="894"/>
    </row>
    <row r="510" spans="2:23" s="1201" customFormat="1" ht="14" hidden="1" x14ac:dyDescent="0.3">
      <c r="B510" s="1904"/>
      <c r="C510" s="1907"/>
      <c r="D510" s="1917"/>
      <c r="E510" s="1926"/>
      <c r="F510" s="1904"/>
      <c r="G510" s="1904"/>
      <c r="H510" s="1904"/>
      <c r="I510" s="1904"/>
      <c r="J510" s="1904"/>
      <c r="K510" s="1955"/>
      <c r="L510" s="1955"/>
      <c r="M510" s="1905"/>
      <c r="N510" s="1260"/>
      <c r="O510" s="894"/>
      <c r="P510" s="894"/>
      <c r="Q510" s="894"/>
      <c r="R510" s="894"/>
      <c r="S510" s="894"/>
      <c r="T510" s="894"/>
      <c r="U510" s="894"/>
      <c r="V510" s="894"/>
      <c r="W510" s="894"/>
    </row>
    <row r="511" spans="2:23" s="1201" customFormat="1" ht="14" hidden="1" x14ac:dyDescent="0.3">
      <c r="B511" s="1903" t="s">
        <v>386</v>
      </c>
      <c r="C511" s="1903" t="s">
        <v>1310</v>
      </c>
      <c r="D511" s="1904"/>
      <c r="E511" s="1904"/>
      <c r="F511" s="1904"/>
      <c r="G511" s="1904"/>
      <c r="H511" s="1904"/>
      <c r="I511" s="1904"/>
      <c r="J511" s="1904"/>
      <c r="K511" s="1904"/>
      <c r="L511" s="1904"/>
      <c r="M511" s="1905" t="s">
        <v>387</v>
      </c>
      <c r="N511" s="1260"/>
      <c r="O511" s="894"/>
      <c r="P511" s="894"/>
      <c r="Q511" s="894"/>
      <c r="R511" s="894"/>
      <c r="S511" s="894"/>
      <c r="T511" s="894"/>
      <c r="U511" s="894"/>
      <c r="V511" s="894"/>
      <c r="W511" s="894"/>
    </row>
    <row r="512" spans="2:23" s="1201" customFormat="1" ht="14" hidden="1" x14ac:dyDescent="0.3">
      <c r="B512" s="1904"/>
      <c r="C512" s="1904" t="s">
        <v>1311</v>
      </c>
      <c r="D512" s="1904">
        <v>0.21</v>
      </c>
      <c r="E512" s="1921"/>
      <c r="F512" s="1904"/>
      <c r="G512" s="1904"/>
      <c r="H512" s="1904"/>
      <c r="I512" s="1904"/>
      <c r="J512" s="1904"/>
      <c r="K512" s="1904"/>
      <c r="L512" s="1904"/>
      <c r="M512" s="1905" t="s">
        <v>389</v>
      </c>
      <c r="N512" s="1260"/>
      <c r="O512" s="894"/>
      <c r="P512" s="894"/>
      <c r="Q512" s="894"/>
      <c r="R512" s="894"/>
      <c r="S512" s="894"/>
      <c r="T512" s="894"/>
      <c r="U512" s="894"/>
      <c r="V512" s="894"/>
      <c r="W512" s="894"/>
    </row>
    <row r="513" spans="2:23" s="1201" customFormat="1" ht="14" hidden="1" x14ac:dyDescent="0.3">
      <c r="B513" s="1904"/>
      <c r="C513" s="1904"/>
      <c r="D513" s="1904"/>
      <c r="E513" s="1921"/>
      <c r="F513" s="1904"/>
      <c r="G513" s="1904"/>
      <c r="H513" s="1904"/>
      <c r="I513" s="1904"/>
      <c r="J513" s="1904"/>
      <c r="K513" s="1904"/>
      <c r="L513" s="1904"/>
      <c r="M513" s="1933"/>
      <c r="N513" s="1260"/>
      <c r="O513" s="894"/>
      <c r="P513" s="894"/>
      <c r="Q513" s="894"/>
      <c r="R513" s="894"/>
      <c r="S513" s="894"/>
      <c r="T513" s="894"/>
      <c r="U513" s="894"/>
      <c r="V513" s="894"/>
      <c r="W513" s="894"/>
    </row>
    <row r="514" spans="2:23" s="1201" customFormat="1" ht="14" hidden="1" x14ac:dyDescent="0.3">
      <c r="B514" s="1904" t="s">
        <v>390</v>
      </c>
      <c r="C514" s="1907" t="s">
        <v>440</v>
      </c>
      <c r="D514" s="1918" t="e">
        <f>(D443+D486+D482)*$D$512</f>
        <v>#DIV/0!</v>
      </c>
      <c r="E514" s="1917" t="e">
        <f t="shared" ref="E514:I514" si="37">(E443+E486+E482)*$D$512</f>
        <v>#N/A</v>
      </c>
      <c r="F514" s="1917" t="e">
        <f t="shared" si="37"/>
        <v>#N/A</v>
      </c>
      <c r="G514" s="1917" t="e">
        <f t="shared" si="37"/>
        <v>#N/A</v>
      </c>
      <c r="H514" s="1917" t="e">
        <f t="shared" si="37"/>
        <v>#N/A</v>
      </c>
      <c r="I514" s="1917">
        <f t="shared" si="37"/>
        <v>0</v>
      </c>
      <c r="J514" s="1917">
        <f>(J443+J486+J482)*$D$512</f>
        <v>0</v>
      </c>
      <c r="K514" s="1917" t="e">
        <f>(K443+K486+K482)*$D$512</f>
        <v>#N/A</v>
      </c>
      <c r="L514" s="1955" t="s">
        <v>288</v>
      </c>
      <c r="M514" s="1905"/>
      <c r="N514" s="1260"/>
      <c r="O514" s="894"/>
      <c r="P514" s="894"/>
      <c r="Q514" s="894"/>
      <c r="R514" s="894"/>
      <c r="S514" s="894"/>
      <c r="T514" s="894"/>
      <c r="U514" s="894"/>
      <c r="V514" s="894"/>
      <c r="W514" s="894"/>
    </row>
    <row r="515" spans="2:23" s="1201" customFormat="1" ht="14" hidden="1" x14ac:dyDescent="0.3">
      <c r="B515" s="1904"/>
      <c r="C515" s="1904"/>
      <c r="D515" s="1904"/>
      <c r="E515" s="1904"/>
      <c r="F515" s="1904"/>
      <c r="G515" s="1904"/>
      <c r="H515" s="1904"/>
      <c r="I515" s="1904"/>
      <c r="J515" s="1904"/>
      <c r="K515" s="1904"/>
      <c r="L515" s="1904"/>
      <c r="M515" s="1933"/>
      <c r="N515" s="1260"/>
      <c r="O515" s="894"/>
      <c r="P515" s="894"/>
      <c r="Q515" s="894"/>
      <c r="R515" s="894"/>
      <c r="S515" s="894"/>
      <c r="T515" s="894"/>
      <c r="U515" s="894"/>
      <c r="V515" s="894"/>
      <c r="W515" s="894"/>
    </row>
    <row r="516" spans="2:23" s="1201" customFormat="1" ht="14" hidden="1" x14ac:dyDescent="0.3">
      <c r="B516" s="1903" t="s">
        <v>391</v>
      </c>
      <c r="C516" s="1911" t="s">
        <v>392</v>
      </c>
      <c r="D516" s="1906"/>
      <c r="E516" s="1906"/>
      <c r="F516" s="1906"/>
      <c r="G516" s="1906"/>
      <c r="H516" s="1906"/>
      <c r="I516" s="1906"/>
      <c r="J516" s="1906"/>
      <c r="K516" s="1906"/>
      <c r="L516" s="1906" t="s">
        <v>307</v>
      </c>
      <c r="M516" s="1905" t="s">
        <v>393</v>
      </c>
      <c r="N516" s="1260"/>
      <c r="O516" s="894"/>
      <c r="P516" s="894"/>
      <c r="Q516" s="894"/>
      <c r="R516" s="894"/>
      <c r="S516" s="894"/>
      <c r="T516" s="894"/>
      <c r="U516" s="894"/>
      <c r="V516" s="894"/>
      <c r="W516" s="894"/>
    </row>
    <row r="517" spans="2:23" s="1201" customFormat="1" ht="14" hidden="1" x14ac:dyDescent="0.3">
      <c r="B517" s="1904"/>
      <c r="C517" s="1906" t="s">
        <v>394</v>
      </c>
      <c r="D517" s="1906"/>
      <c r="E517" s="1906"/>
      <c r="F517" s="1906"/>
      <c r="G517" s="1906"/>
      <c r="H517" s="1906"/>
      <c r="I517" s="1906"/>
      <c r="J517" s="1906"/>
      <c r="K517" s="1906"/>
      <c r="L517" s="1906" t="s">
        <v>395</v>
      </c>
      <c r="M517" s="1905" t="s">
        <v>339</v>
      </c>
      <c r="N517" s="1260"/>
      <c r="O517" s="894"/>
      <c r="P517" s="894"/>
      <c r="Q517" s="894"/>
      <c r="R517" s="894"/>
      <c r="S517" s="894"/>
      <c r="T517" s="894"/>
      <c r="U517" s="894"/>
      <c r="V517" s="894"/>
      <c r="W517" s="894"/>
    </row>
    <row r="518" spans="2:23" s="1201" customFormat="1" ht="14" hidden="1" x14ac:dyDescent="0.3">
      <c r="B518" s="1904"/>
      <c r="C518" s="1906" t="s">
        <v>396</v>
      </c>
      <c r="D518" s="1906"/>
      <c r="E518" s="1906"/>
      <c r="F518" s="1906"/>
      <c r="G518" s="1906"/>
      <c r="H518" s="1906"/>
      <c r="I518" s="1906"/>
      <c r="J518" s="1906"/>
      <c r="K518" s="1906"/>
      <c r="L518" s="1906"/>
      <c r="M518" s="1905"/>
      <c r="N518" s="1260"/>
      <c r="O518" s="894"/>
      <c r="P518" s="894"/>
      <c r="Q518" s="894"/>
      <c r="R518" s="894"/>
      <c r="S518" s="894"/>
      <c r="T518" s="894"/>
      <c r="U518" s="894"/>
      <c r="V518" s="894"/>
      <c r="W518" s="894"/>
    </row>
    <row r="519" spans="2:23" s="1201" customFormat="1" ht="14" hidden="1" x14ac:dyDescent="0.3">
      <c r="B519" s="1904"/>
      <c r="C519" s="1904"/>
      <c r="D519" s="1904"/>
      <c r="E519" s="1904"/>
      <c r="F519" s="1904"/>
      <c r="G519" s="1904"/>
      <c r="H519" s="1904"/>
      <c r="I519" s="1904"/>
      <c r="J519" s="1904"/>
      <c r="K519" s="1904"/>
      <c r="L519" s="1904"/>
      <c r="M519" s="1933"/>
      <c r="N519" s="1260"/>
      <c r="O519" s="894"/>
      <c r="P519" s="894"/>
      <c r="Q519" s="894"/>
      <c r="R519" s="894"/>
      <c r="S519" s="894"/>
      <c r="T519" s="894"/>
      <c r="U519" s="894"/>
      <c r="V519" s="894"/>
      <c r="W519" s="894"/>
    </row>
    <row r="520" spans="2:23" s="1201" customFormat="1" ht="14" hidden="1" x14ac:dyDescent="0.3">
      <c r="B520" s="1903" t="s">
        <v>397</v>
      </c>
      <c r="C520" s="1903" t="s">
        <v>349</v>
      </c>
      <c r="D520" s="1904"/>
      <c r="E520" s="1904"/>
      <c r="F520" s="1904"/>
      <c r="G520" s="1904"/>
      <c r="H520" s="1904"/>
      <c r="I520" s="1904"/>
      <c r="J520" s="1904"/>
      <c r="K520" s="1904"/>
      <c r="L520" s="1904"/>
      <c r="M520" s="1905" t="s">
        <v>398</v>
      </c>
      <c r="N520" s="1260"/>
      <c r="O520" s="894"/>
      <c r="P520" s="894"/>
      <c r="Q520" s="894"/>
      <c r="R520" s="894"/>
      <c r="S520" s="894"/>
      <c r="T520" s="894"/>
      <c r="U520" s="894"/>
      <c r="V520" s="894"/>
      <c r="W520" s="894"/>
    </row>
    <row r="521" spans="2:23" s="1201" customFormat="1" ht="14" hidden="1" x14ac:dyDescent="0.3">
      <c r="B521" s="1904"/>
      <c r="C521" s="1904" t="s">
        <v>399</v>
      </c>
      <c r="D521" s="1904"/>
      <c r="E521" s="1904"/>
      <c r="F521" s="1904"/>
      <c r="G521" s="1904"/>
      <c r="H521" s="1904"/>
      <c r="I521" s="1904"/>
      <c r="J521" s="1904"/>
      <c r="K521" s="1904"/>
      <c r="L521" s="1904" t="s">
        <v>307</v>
      </c>
      <c r="M521" s="1905"/>
      <c r="N521" s="1260"/>
      <c r="O521" s="894"/>
      <c r="P521" s="894"/>
      <c r="Q521" s="894"/>
      <c r="R521" s="894"/>
      <c r="S521" s="894"/>
      <c r="T521" s="894"/>
      <c r="U521" s="894"/>
      <c r="V521" s="894"/>
      <c r="W521" s="894"/>
    </row>
    <row r="522" spans="2:23" s="1201" customFormat="1" ht="14" hidden="1" x14ac:dyDescent="0.3">
      <c r="B522" s="1904"/>
      <c r="C522" s="1904" t="s">
        <v>1301</v>
      </c>
      <c r="D522" s="1904">
        <v>4.0000000000000001E-3</v>
      </c>
      <c r="E522" s="1904"/>
      <c r="F522" s="1904"/>
      <c r="G522" s="1904"/>
      <c r="H522" s="1904"/>
      <c r="I522" s="1904"/>
      <c r="J522" s="1904"/>
      <c r="K522" s="1904"/>
      <c r="L522" s="1904" t="s">
        <v>315</v>
      </c>
      <c r="M522" s="1905"/>
      <c r="N522" s="1260"/>
      <c r="O522" s="894"/>
      <c r="P522" s="894"/>
      <c r="Q522" s="894"/>
      <c r="R522" s="894"/>
      <c r="S522" s="894"/>
      <c r="T522" s="894"/>
      <c r="U522" s="894"/>
      <c r="V522" s="894"/>
      <c r="W522" s="894"/>
    </row>
    <row r="523" spans="2:23" s="1201" customFormat="1" ht="14" hidden="1" x14ac:dyDescent="0.3">
      <c r="B523" s="1904"/>
      <c r="C523" s="1904"/>
      <c r="D523" s="1904"/>
      <c r="E523" s="1904"/>
      <c r="F523" s="1904"/>
      <c r="G523" s="1904"/>
      <c r="H523" s="1904"/>
      <c r="I523" s="1904"/>
      <c r="J523" s="1904"/>
      <c r="K523" s="1904"/>
      <c r="L523" s="1904"/>
      <c r="M523" s="1905"/>
      <c r="N523" s="1260"/>
      <c r="O523" s="894"/>
      <c r="P523" s="894"/>
      <c r="Q523" s="894"/>
      <c r="R523" s="894"/>
      <c r="S523" s="894"/>
      <c r="T523" s="894"/>
      <c r="U523" s="894"/>
      <c r="V523" s="894"/>
      <c r="W523" s="894"/>
    </row>
    <row r="524" spans="2:23" s="1201" customFormat="1" ht="14" hidden="1" x14ac:dyDescent="0.3">
      <c r="B524" s="1904" t="s">
        <v>385</v>
      </c>
      <c r="C524" s="1925" t="s">
        <v>807</v>
      </c>
      <c r="D524" s="1917">
        <f>D506*$D$522*44/28</f>
        <v>0</v>
      </c>
      <c r="E524" s="1918"/>
      <c r="F524" s="1904"/>
      <c r="G524" s="1904"/>
      <c r="H524" s="1904"/>
      <c r="I524" s="1904"/>
      <c r="J524" s="1904"/>
      <c r="K524" s="1955"/>
      <c r="L524" s="1955" t="s">
        <v>439</v>
      </c>
      <c r="M524" s="1905"/>
      <c r="N524" s="1260"/>
      <c r="O524" s="894"/>
      <c r="P524" s="894"/>
      <c r="Q524" s="894"/>
      <c r="R524" s="894"/>
      <c r="S524" s="894"/>
      <c r="T524" s="894"/>
      <c r="U524" s="894"/>
      <c r="V524" s="894"/>
      <c r="W524" s="894"/>
    </row>
    <row r="525" spans="2:23" s="1201" customFormat="1" ht="14" hidden="1" x14ac:dyDescent="0.3">
      <c r="B525" s="1904"/>
      <c r="C525" s="1925" t="s">
        <v>817</v>
      </c>
      <c r="D525" s="1917">
        <f>D507*$D$522*44/28</f>
        <v>0</v>
      </c>
      <c r="E525" s="1938"/>
      <c r="F525" s="1904"/>
      <c r="G525" s="1904"/>
      <c r="H525" s="1904"/>
      <c r="I525" s="1904"/>
      <c r="J525" s="1904"/>
      <c r="K525" s="1955"/>
      <c r="L525" s="1955" t="s">
        <v>439</v>
      </c>
      <c r="M525" s="1905"/>
      <c r="N525" s="1260"/>
      <c r="O525" s="894"/>
      <c r="P525" s="894"/>
      <c r="Q525" s="894"/>
      <c r="R525" s="894"/>
      <c r="S525" s="894"/>
      <c r="T525" s="894"/>
      <c r="U525" s="894"/>
      <c r="V525" s="894"/>
      <c r="W525" s="894"/>
    </row>
    <row r="526" spans="2:23" s="1201" customFormat="1" ht="14" hidden="1" x14ac:dyDescent="0.3">
      <c r="B526" s="1904"/>
      <c r="C526" s="1925"/>
      <c r="D526" s="1917"/>
      <c r="E526" s="1906"/>
      <c r="F526" s="1904"/>
      <c r="G526" s="1904"/>
      <c r="H526" s="1904"/>
      <c r="I526" s="1904"/>
      <c r="J526" s="1904"/>
      <c r="K526" s="1955"/>
      <c r="L526" s="1955"/>
      <c r="M526" s="1905"/>
      <c r="N526" s="1260"/>
      <c r="O526" s="894"/>
      <c r="P526" s="894"/>
      <c r="Q526" s="894"/>
      <c r="R526" s="894"/>
      <c r="S526" s="894"/>
      <c r="T526" s="894"/>
      <c r="U526" s="894"/>
    </row>
    <row r="527" spans="2:23" s="1201" customFormat="1" ht="14" hidden="1" x14ac:dyDescent="0.3">
      <c r="B527" s="1904"/>
      <c r="C527" s="1925"/>
      <c r="D527" s="1917"/>
      <c r="E527" s="1906"/>
      <c r="F527" s="1904"/>
      <c r="G527" s="1904"/>
      <c r="H527" s="1904"/>
      <c r="I527" s="1904"/>
      <c r="J527" s="1904"/>
      <c r="K527" s="1955"/>
      <c r="L527" s="1955"/>
      <c r="M527" s="1905"/>
      <c r="N527" s="1260"/>
      <c r="O527" s="1260"/>
      <c r="P527" s="1260"/>
    </row>
    <row r="528" spans="2:23" s="1201" customFormat="1" ht="14" hidden="1" x14ac:dyDescent="0.3">
      <c r="B528" s="1904"/>
      <c r="C528" s="1925"/>
      <c r="D528" s="1906"/>
      <c r="E528" s="1958"/>
      <c r="F528" s="1904"/>
      <c r="G528" s="1904"/>
      <c r="H528" s="1904"/>
      <c r="I528" s="1904"/>
      <c r="J528" s="1904"/>
      <c r="K528" s="1904"/>
      <c r="L528" s="1904"/>
      <c r="M528" s="1905"/>
      <c r="N528" s="1260"/>
      <c r="O528" s="1260"/>
      <c r="P528" s="1260"/>
    </row>
    <row r="529" spans="2:26" s="1201" customFormat="1" ht="14" hidden="1" x14ac:dyDescent="0.3">
      <c r="B529" s="1904" t="s">
        <v>390</v>
      </c>
      <c r="C529" s="1907" t="s">
        <v>440</v>
      </c>
      <c r="D529" s="1959" t="e">
        <f>D514*$D$522*44/28</f>
        <v>#DIV/0!</v>
      </c>
      <c r="E529" s="1954" t="e">
        <f t="shared" ref="E529:J529" si="38">E514*$D$522*44/28</f>
        <v>#N/A</v>
      </c>
      <c r="F529" s="1954" t="e">
        <f t="shared" si="38"/>
        <v>#N/A</v>
      </c>
      <c r="G529" s="1954" t="e">
        <f t="shared" si="38"/>
        <v>#N/A</v>
      </c>
      <c r="H529" s="1954" t="e">
        <f t="shared" si="38"/>
        <v>#N/A</v>
      </c>
      <c r="I529" s="1954">
        <f t="shared" si="38"/>
        <v>0</v>
      </c>
      <c r="J529" s="1954">
        <f t="shared" si="38"/>
        <v>0</v>
      </c>
      <c r="K529" s="1954" t="e">
        <f>K514*$D$522*44/28</f>
        <v>#N/A</v>
      </c>
      <c r="L529" s="1955" t="s">
        <v>439</v>
      </c>
      <c r="M529" s="1905"/>
      <c r="N529" s="1260"/>
      <c r="O529" s="1260"/>
      <c r="P529" s="1260"/>
    </row>
    <row r="530" spans="2:26" s="1201" customFormat="1" ht="14" hidden="1" x14ac:dyDescent="0.3">
      <c r="B530" s="1904"/>
      <c r="C530" s="1911"/>
      <c r="D530" s="1915"/>
      <c r="E530" s="1904"/>
      <c r="F530" s="1904"/>
      <c r="G530" s="1904"/>
      <c r="H530" s="1904"/>
      <c r="I530" s="1904"/>
      <c r="J530" s="1904"/>
      <c r="K530" s="1904"/>
      <c r="L530" s="1904"/>
      <c r="M530" s="1905"/>
      <c r="N530" s="1260"/>
      <c r="O530" s="1260"/>
      <c r="P530" s="1260"/>
    </row>
    <row r="531" spans="2:26" s="1201" customFormat="1" ht="14" hidden="1" x14ac:dyDescent="0.3">
      <c r="B531" s="1911" t="s">
        <v>223</v>
      </c>
      <c r="C531" s="1907" t="s">
        <v>440</v>
      </c>
      <c r="D531" s="1915" t="e">
        <f>SUM(D524:D525)+SUM(D529:K529)</f>
        <v>#DIV/0!</v>
      </c>
      <c r="E531" s="1915"/>
      <c r="F531" s="1915"/>
      <c r="G531" s="1915"/>
      <c r="H531" s="1915"/>
      <c r="I531" s="1915"/>
      <c r="J531" s="1915"/>
      <c r="K531" s="1955"/>
      <c r="L531" s="1955" t="s">
        <v>439</v>
      </c>
      <c r="M531" s="1933"/>
      <c r="N531" s="1260"/>
      <c r="O531" s="1260"/>
      <c r="P531" s="1260"/>
    </row>
    <row r="532" spans="2:26" s="1201" customFormat="1" ht="14" hidden="1" x14ac:dyDescent="0.3">
      <c r="B532" s="1911"/>
      <c r="C532" s="1911"/>
      <c r="D532" s="1915"/>
      <c r="E532" s="1904"/>
      <c r="F532" s="1904"/>
      <c r="G532" s="1904"/>
      <c r="H532" s="1904"/>
      <c r="I532" s="1904"/>
      <c r="J532" s="1904"/>
      <c r="K532" s="1955"/>
      <c r="L532" s="1955"/>
      <c r="M532" s="1905"/>
      <c r="N532" s="1260"/>
      <c r="O532" s="1260"/>
      <c r="P532" s="1260"/>
      <c r="X532" s="1960"/>
      <c r="Y532" s="1960"/>
      <c r="Z532" s="1960"/>
    </row>
    <row r="533" spans="2:26" s="1201" customFormat="1" ht="14" hidden="1" x14ac:dyDescent="0.3">
      <c r="B533" s="1903" t="s">
        <v>263</v>
      </c>
      <c r="C533" s="1915" t="e">
        <f>SUM(D531:D531)</f>
        <v>#DIV/0!</v>
      </c>
      <c r="D533" s="1915"/>
      <c r="E533" s="1904"/>
      <c r="F533" s="1904"/>
      <c r="G533" s="1907"/>
      <c r="H533" s="1907"/>
      <c r="I533" s="1907"/>
      <c r="J533" s="1907"/>
      <c r="K533" s="1955"/>
      <c r="L533" s="1955" t="s">
        <v>299</v>
      </c>
      <c r="M533" s="1905"/>
      <c r="N533" s="1260"/>
      <c r="O533" s="1260"/>
      <c r="P533" s="1260"/>
      <c r="X533" s="1960"/>
    </row>
    <row r="534" spans="2:26" s="1201" customFormat="1" ht="14" hidden="1" x14ac:dyDescent="0.3">
      <c r="B534" s="1903" t="s">
        <v>400</v>
      </c>
      <c r="C534" s="1908" t="e">
        <f>C533*'Emission factors'!$C$5</f>
        <v>#DIV/0!</v>
      </c>
      <c r="D534" s="1904"/>
      <c r="E534" s="1904"/>
      <c r="F534" s="1904"/>
      <c r="G534" s="1904"/>
      <c r="H534" s="1904"/>
      <c r="I534" s="1904"/>
      <c r="J534" s="1904"/>
      <c r="K534" s="1955"/>
      <c r="L534" s="1955" t="s">
        <v>265</v>
      </c>
      <c r="M534" s="1905"/>
      <c r="N534" s="1260"/>
      <c r="O534" s="1260"/>
      <c r="P534" s="1260"/>
      <c r="X534" s="1960"/>
    </row>
    <row r="535" spans="2:26" s="1201" customFormat="1" ht="14" hidden="1" x14ac:dyDescent="0.3">
      <c r="B535" s="1904"/>
      <c r="C535" s="1904"/>
      <c r="D535" s="1904"/>
      <c r="E535" s="1904"/>
      <c r="F535" s="1904"/>
      <c r="G535" s="1904"/>
      <c r="H535" s="1904"/>
      <c r="I535" s="1904"/>
      <c r="J535" s="1904"/>
      <c r="K535" s="1904"/>
      <c r="L535" s="1904"/>
      <c r="M535" s="1905"/>
      <c r="N535" s="1260"/>
      <c r="O535" s="1260"/>
      <c r="P535" s="1260"/>
      <c r="X535" s="1960"/>
    </row>
    <row r="536" spans="2:26" s="1201" customFormat="1" ht="14" hidden="1" x14ac:dyDescent="0.3">
      <c r="B536" s="1903" t="s">
        <v>401</v>
      </c>
      <c r="C536" s="1904"/>
      <c r="D536" s="1904"/>
      <c r="E536" s="1904"/>
      <c r="F536" s="1904"/>
      <c r="G536" s="1904"/>
      <c r="H536" s="1904"/>
      <c r="I536" s="1904"/>
      <c r="J536" s="1904"/>
      <c r="K536" s="1904"/>
      <c r="L536" s="1904"/>
      <c r="M536" s="1905"/>
      <c r="N536" s="1260"/>
      <c r="O536" s="1260"/>
      <c r="P536" s="1260"/>
    </row>
    <row r="537" spans="2:26" s="1201" customFormat="1" ht="14" hidden="1" x14ac:dyDescent="0.3">
      <c r="B537" s="1903" t="s">
        <v>402</v>
      </c>
      <c r="C537" s="1903" t="s">
        <v>403</v>
      </c>
      <c r="D537" s="1904"/>
      <c r="E537" s="1904"/>
      <c r="F537" s="1904"/>
      <c r="G537" s="1904"/>
      <c r="H537" s="1904"/>
      <c r="I537" s="1904"/>
      <c r="J537" s="1904"/>
      <c r="K537" s="1904"/>
      <c r="L537" s="1904"/>
      <c r="M537" s="1905" t="s">
        <v>404</v>
      </c>
      <c r="N537" s="1260"/>
      <c r="O537" s="1260"/>
      <c r="P537" s="1260"/>
    </row>
    <row r="538" spans="2:26" s="1201" customFormat="1" ht="14" hidden="1" x14ac:dyDescent="0.3">
      <c r="B538" s="1904"/>
      <c r="C538" s="1904" t="s">
        <v>405</v>
      </c>
      <c r="D538" s="1904"/>
      <c r="E538" s="1904"/>
      <c r="F538" s="1904"/>
      <c r="G538" s="1904"/>
      <c r="H538" s="1904"/>
      <c r="I538" s="1904"/>
      <c r="J538" s="1904"/>
      <c r="K538" s="1904"/>
      <c r="L538" s="1904" t="s">
        <v>307</v>
      </c>
      <c r="M538" s="1905"/>
      <c r="N538" s="1260"/>
      <c r="O538" s="1260"/>
      <c r="P538" s="1260"/>
    </row>
    <row r="539" spans="2:26" s="1201" customFormat="1" ht="14" hidden="1" x14ac:dyDescent="0.3">
      <c r="B539" s="1904"/>
      <c r="C539" s="1904" t="s">
        <v>406</v>
      </c>
      <c r="D539" s="1907">
        <v>1</v>
      </c>
      <c r="E539" s="1904"/>
      <c r="F539" s="1904"/>
      <c r="G539" s="1904"/>
      <c r="H539" s="1904"/>
      <c r="I539" s="1904"/>
      <c r="J539" s="1904"/>
      <c r="K539" s="1904"/>
      <c r="L539" s="1904"/>
      <c r="M539" s="1905" t="s">
        <v>407</v>
      </c>
      <c r="N539" s="1260"/>
      <c r="O539" s="1260"/>
      <c r="P539" s="1260"/>
    </row>
    <row r="540" spans="2:26" s="1201" customFormat="1" ht="14" hidden="1" x14ac:dyDescent="0.3">
      <c r="B540" s="1904"/>
      <c r="C540" s="1904" t="s">
        <v>408</v>
      </c>
      <c r="D540" s="1907">
        <v>0.24</v>
      </c>
      <c r="E540" s="1904"/>
      <c r="F540" s="1904"/>
      <c r="G540" s="1904"/>
      <c r="H540" s="1904"/>
      <c r="I540" s="1904"/>
      <c r="J540" s="1904"/>
      <c r="K540" s="1904"/>
      <c r="L540" s="1904" t="s">
        <v>384</v>
      </c>
      <c r="M540" s="1905"/>
      <c r="N540" s="1902"/>
      <c r="O540" s="1260"/>
      <c r="P540" s="1260"/>
    </row>
    <row r="541" spans="2:26" s="1201" customFormat="1" ht="14" hidden="1" x14ac:dyDescent="0.3">
      <c r="B541" s="1904"/>
      <c r="C541" s="1904"/>
      <c r="D541" s="1904"/>
      <c r="E541" s="1904"/>
      <c r="F541" s="1904"/>
      <c r="G541" s="1904"/>
      <c r="H541" s="1904"/>
      <c r="I541" s="1904"/>
      <c r="J541" s="1904"/>
      <c r="K541" s="1904"/>
      <c r="L541" s="1904"/>
      <c r="M541" s="1905"/>
      <c r="N541" s="1260"/>
      <c r="O541" s="1260"/>
      <c r="P541" s="1260"/>
    </row>
    <row r="542" spans="2:26" s="1201" customFormat="1" ht="14" hidden="1" x14ac:dyDescent="0.3">
      <c r="B542" s="1904" t="s">
        <v>385</v>
      </c>
      <c r="C542" s="1925" t="s">
        <v>807</v>
      </c>
      <c r="D542" s="1917">
        <f>D405*$D$539*$D$540</f>
        <v>0</v>
      </c>
      <c r="E542" s="1917"/>
      <c r="F542" s="1904"/>
      <c r="G542" s="1904"/>
      <c r="H542" s="1904"/>
      <c r="I542" s="1904"/>
      <c r="J542" s="1904"/>
      <c r="K542" s="1904"/>
      <c r="L542" s="1904" t="s">
        <v>438</v>
      </c>
      <c r="M542" s="1905"/>
      <c r="N542" s="1260"/>
      <c r="O542" s="1260"/>
      <c r="P542" s="1260"/>
    </row>
    <row r="543" spans="2:26" s="1201" customFormat="1" ht="14" hidden="1" x14ac:dyDescent="0.3">
      <c r="B543" s="1904"/>
      <c r="C543" s="1925" t="s">
        <v>817</v>
      </c>
      <c r="D543" s="1917">
        <f>D406*$D$539*$D$540</f>
        <v>0</v>
      </c>
      <c r="E543" s="1906"/>
      <c r="F543" s="1904"/>
      <c r="G543" s="1904"/>
      <c r="H543" s="1904"/>
      <c r="I543" s="1904"/>
      <c r="J543" s="1904"/>
      <c r="K543" s="1904"/>
      <c r="L543" s="1904" t="s">
        <v>438</v>
      </c>
      <c r="M543" s="1905"/>
      <c r="N543" s="1260"/>
      <c r="O543" s="1260"/>
      <c r="P543" s="1260"/>
    </row>
    <row r="544" spans="2:26" s="1201" customFormat="1" ht="14" hidden="1" x14ac:dyDescent="0.3">
      <c r="B544" s="1904"/>
      <c r="C544" s="1925"/>
      <c r="D544" s="1917"/>
      <c r="E544" s="1906"/>
      <c r="F544" s="1904"/>
      <c r="G544" s="1904"/>
      <c r="H544" s="1904"/>
      <c r="I544" s="1904"/>
      <c r="J544" s="1904"/>
      <c r="K544" s="1904"/>
      <c r="L544" s="1904"/>
      <c r="M544" s="1905"/>
      <c r="N544" s="1260"/>
      <c r="O544" s="1260"/>
      <c r="P544" s="1260"/>
    </row>
    <row r="545" spans="2:16" s="1201" customFormat="1" ht="14" hidden="1" x14ac:dyDescent="0.3">
      <c r="B545" s="1904"/>
      <c r="C545" s="1925"/>
      <c r="D545" s="1917"/>
      <c r="E545" s="1906"/>
      <c r="F545" s="1904"/>
      <c r="G545" s="1904"/>
      <c r="H545" s="1904"/>
      <c r="I545" s="1904"/>
      <c r="J545" s="1904"/>
      <c r="K545" s="1904"/>
      <c r="L545" s="1904"/>
      <c r="M545" s="1905"/>
      <c r="N545" s="1260"/>
      <c r="O545" s="1260"/>
      <c r="P545" s="1260"/>
    </row>
    <row r="546" spans="2:16" s="1201" customFormat="1" ht="14" hidden="1" x14ac:dyDescent="0.3">
      <c r="B546" s="1904"/>
      <c r="C546" s="1904"/>
      <c r="D546" s="1904"/>
      <c r="E546" s="1904"/>
      <c r="F546" s="1904"/>
      <c r="G546" s="1904"/>
      <c r="H546" s="1904"/>
      <c r="I546" s="1904"/>
      <c r="J546" s="1904"/>
      <c r="K546" s="1904"/>
      <c r="L546" s="1904"/>
      <c r="M546" s="1905"/>
      <c r="N546" s="1260"/>
      <c r="O546" s="1948"/>
      <c r="P546" s="1948"/>
    </row>
    <row r="547" spans="2:16" s="1201" customFormat="1" ht="14" hidden="1" x14ac:dyDescent="0.3">
      <c r="B547" s="1903" t="s">
        <v>409</v>
      </c>
      <c r="C547" s="1903" t="s">
        <v>410</v>
      </c>
      <c r="D547" s="1904"/>
      <c r="E547" s="1904"/>
      <c r="F547" s="1904"/>
      <c r="G547" s="1904"/>
      <c r="H547" s="1904"/>
      <c r="I547" s="1904"/>
      <c r="J547" s="1904"/>
      <c r="K547" s="1904"/>
      <c r="L547" s="1904" t="s">
        <v>288</v>
      </c>
      <c r="M547" s="1905" t="s">
        <v>411</v>
      </c>
      <c r="N547" s="1260"/>
      <c r="O547" s="1948"/>
      <c r="P547" s="1948"/>
    </row>
    <row r="548" spans="2:16" s="1201" customFormat="1" ht="14" hidden="1" x14ac:dyDescent="0.3">
      <c r="B548" s="1904"/>
      <c r="C548" s="1904" t="s">
        <v>412</v>
      </c>
      <c r="D548" s="1904"/>
      <c r="E548" s="1904"/>
      <c r="F548" s="1904"/>
      <c r="G548" s="1904"/>
      <c r="H548" s="1904"/>
      <c r="I548" s="1904"/>
      <c r="J548" s="1904"/>
      <c r="K548" s="1904"/>
      <c r="L548" s="1904" t="s">
        <v>288</v>
      </c>
      <c r="M548" s="1905"/>
      <c r="N548" s="1260"/>
      <c r="O548" s="1260"/>
      <c r="P548" s="1260"/>
    </row>
    <row r="549" spans="2:16" s="1201" customFormat="1" ht="14" hidden="1" x14ac:dyDescent="0.3">
      <c r="B549" s="1904"/>
      <c r="C549" s="1904" t="s">
        <v>413</v>
      </c>
      <c r="D549" s="1904"/>
      <c r="E549" s="1904"/>
      <c r="F549" s="1904"/>
      <c r="G549" s="1904"/>
      <c r="H549" s="1904"/>
      <c r="I549" s="1904"/>
      <c r="J549" s="1904"/>
      <c r="K549" s="1904"/>
      <c r="L549" s="1904" t="s">
        <v>288</v>
      </c>
      <c r="M549" s="1905"/>
      <c r="N549" s="1260"/>
      <c r="O549" s="1260"/>
      <c r="P549" s="1260"/>
    </row>
    <row r="550" spans="2:16" s="1201" customFormat="1" ht="14" hidden="1" x14ac:dyDescent="0.3">
      <c r="B550" s="1904"/>
      <c r="C550" s="1904" t="s">
        <v>414</v>
      </c>
      <c r="D550" s="1904"/>
      <c r="E550" s="1904"/>
      <c r="F550" s="1904"/>
      <c r="G550" s="1904"/>
      <c r="H550" s="1904"/>
      <c r="I550" s="1904"/>
      <c r="J550" s="1904"/>
      <c r="K550" s="1904"/>
      <c r="L550" s="1904" t="s">
        <v>288</v>
      </c>
      <c r="M550" s="1905"/>
      <c r="N550" s="1260"/>
      <c r="O550" s="1260"/>
      <c r="P550" s="1260"/>
    </row>
    <row r="551" spans="2:16" s="1201" customFormat="1" ht="14" hidden="1" x14ac:dyDescent="0.3">
      <c r="B551" s="1904"/>
      <c r="C551" s="1904"/>
      <c r="D551" s="1904"/>
      <c r="E551" s="1904"/>
      <c r="F551" s="1904"/>
      <c r="G551" s="1904"/>
      <c r="H551" s="1904"/>
      <c r="I551" s="1904"/>
      <c r="J551" s="1904"/>
      <c r="K551" s="1904"/>
      <c r="L551" s="1904"/>
      <c r="M551" s="1905"/>
      <c r="N551" s="1260"/>
      <c r="O551" s="1260"/>
      <c r="P551" s="1260"/>
    </row>
    <row r="552" spans="2:16" s="1201" customFormat="1" ht="14" hidden="1" x14ac:dyDescent="0.3">
      <c r="B552" s="1904"/>
      <c r="C552" s="1907" t="s">
        <v>440</v>
      </c>
      <c r="D552" s="1923" t="e">
        <f t="shared" ref="D552:J552" si="39">SUM(D443,D486,D482)*$D$539*$D$540</f>
        <v>#DIV/0!</v>
      </c>
      <c r="E552" s="1923" t="e">
        <f t="shared" si="39"/>
        <v>#N/A</v>
      </c>
      <c r="F552" s="1923" t="e">
        <f t="shared" si="39"/>
        <v>#N/A</v>
      </c>
      <c r="G552" s="1923" t="e">
        <f t="shared" si="39"/>
        <v>#N/A</v>
      </c>
      <c r="H552" s="1923" t="e">
        <f t="shared" si="39"/>
        <v>#N/A</v>
      </c>
      <c r="I552" s="1923">
        <f t="shared" si="39"/>
        <v>0</v>
      </c>
      <c r="J552" s="1923">
        <f t="shared" si="39"/>
        <v>0</v>
      </c>
      <c r="K552" s="1923" t="e">
        <f>SUM(K443,K486,K482)*$D$539*$D$540</f>
        <v>#N/A</v>
      </c>
      <c r="L552" s="1904" t="s">
        <v>288</v>
      </c>
      <c r="M552" s="1905"/>
      <c r="N552" s="1260"/>
      <c r="O552" s="1260"/>
      <c r="P552" s="1260"/>
    </row>
    <row r="553" spans="2:16" s="1201" customFormat="1" ht="14" hidden="1" x14ac:dyDescent="0.3">
      <c r="B553" s="1904"/>
      <c r="C553" s="1904"/>
      <c r="D553" s="1904"/>
      <c r="E553" s="1904"/>
      <c r="F553" s="1904"/>
      <c r="G553" s="1904"/>
      <c r="H553" s="1904"/>
      <c r="I553" s="1904"/>
      <c r="J553" s="1904"/>
      <c r="K553" s="1904"/>
      <c r="L553" s="1904"/>
      <c r="M553" s="1905"/>
      <c r="N553" s="1260"/>
    </row>
    <row r="554" spans="2:16" s="1201" customFormat="1" ht="14" hidden="1" x14ac:dyDescent="0.3">
      <c r="B554" s="1903" t="s">
        <v>415</v>
      </c>
      <c r="C554" s="1903" t="s">
        <v>349</v>
      </c>
      <c r="D554" s="1904"/>
      <c r="E554" s="1904"/>
      <c r="F554" s="1904"/>
      <c r="G554" s="1904"/>
      <c r="H554" s="1904"/>
      <c r="I554" s="1904"/>
      <c r="J554" s="1904"/>
      <c r="K554" s="1904"/>
      <c r="L554" s="1904"/>
      <c r="M554" s="1905" t="s">
        <v>416</v>
      </c>
      <c r="N554" s="1260"/>
    </row>
    <row r="555" spans="2:16" s="1201" customFormat="1" ht="14" hidden="1" x14ac:dyDescent="0.3">
      <c r="B555" s="1904"/>
      <c r="C555" s="1904" t="s">
        <v>417</v>
      </c>
      <c r="D555" s="1904"/>
      <c r="E555" s="1904"/>
      <c r="F555" s="1904"/>
      <c r="G555" s="1904"/>
      <c r="H555" s="1904"/>
      <c r="I555" s="1904"/>
      <c r="J555" s="1904"/>
      <c r="K555" s="1904"/>
      <c r="L555" s="1904" t="s">
        <v>307</v>
      </c>
      <c r="M555" s="1905"/>
      <c r="N555" s="1260"/>
    </row>
    <row r="556" spans="2:16" s="1201" customFormat="1" ht="14" hidden="1" x14ac:dyDescent="0.3">
      <c r="B556" s="1904"/>
      <c r="C556" s="1904" t="s">
        <v>1301</v>
      </c>
      <c r="D556" s="1904">
        <v>1.0999999999999999E-2</v>
      </c>
      <c r="E556" s="1904"/>
      <c r="F556" s="1904"/>
      <c r="G556" s="1904"/>
      <c r="H556" s="1904"/>
      <c r="I556" s="1904"/>
      <c r="J556" s="1904"/>
      <c r="K556" s="1904"/>
      <c r="L556" s="1904" t="s">
        <v>315</v>
      </c>
      <c r="M556" s="1905"/>
      <c r="N556" s="1260"/>
    </row>
    <row r="557" spans="2:16" s="1201" customFormat="1" ht="14" hidden="1" x14ac:dyDescent="0.3">
      <c r="B557" s="1904"/>
      <c r="C557" s="1904"/>
      <c r="D557" s="1904"/>
      <c r="E557" s="1904"/>
      <c r="F557" s="1904"/>
      <c r="G557" s="1904"/>
      <c r="H557" s="1904"/>
      <c r="I557" s="1904"/>
      <c r="J557" s="1904"/>
      <c r="K557" s="1904"/>
      <c r="L557" s="1904"/>
      <c r="M557" s="1905"/>
      <c r="N557" s="1260"/>
    </row>
    <row r="558" spans="2:16" s="1201" customFormat="1" ht="14" hidden="1" x14ac:dyDescent="0.3">
      <c r="B558" s="1904" t="s">
        <v>385</v>
      </c>
      <c r="C558" s="1925" t="s">
        <v>807</v>
      </c>
      <c r="D558" s="1917">
        <f>D542*$D$556*44/28</f>
        <v>0</v>
      </c>
      <c r="E558" s="1956"/>
      <c r="F558" s="1904"/>
      <c r="G558" s="1954"/>
      <c r="H558" s="1904"/>
      <c r="I558" s="1904"/>
      <c r="J558" s="1904"/>
      <c r="K558" s="1904"/>
      <c r="L558" s="1904" t="s">
        <v>439</v>
      </c>
      <c r="M558" s="1905"/>
      <c r="N558" s="1260"/>
    </row>
    <row r="559" spans="2:16" s="1201" customFormat="1" ht="14" hidden="1" x14ac:dyDescent="0.3">
      <c r="B559" s="1904"/>
      <c r="C559" s="1925" t="s">
        <v>817</v>
      </c>
      <c r="D559" s="1917">
        <f>D543*$D$556*44/28</f>
        <v>0</v>
      </c>
      <c r="E559" s="1906"/>
      <c r="F559" s="1904"/>
      <c r="G559" s="1954"/>
      <c r="H559" s="1904"/>
      <c r="I559" s="1904"/>
      <c r="J559" s="1904"/>
      <c r="K559" s="1904"/>
      <c r="L559" s="1904" t="s">
        <v>439</v>
      </c>
      <c r="M559" s="1905"/>
      <c r="N559" s="1260"/>
    </row>
    <row r="560" spans="2:16" s="1201" customFormat="1" ht="14" hidden="1" x14ac:dyDescent="0.3">
      <c r="B560" s="1904"/>
      <c r="C560" s="1925"/>
      <c r="D560" s="1917"/>
      <c r="E560" s="1906"/>
      <c r="F560" s="1904"/>
      <c r="G560" s="1954"/>
      <c r="H560" s="1904"/>
      <c r="I560" s="1904"/>
      <c r="J560" s="1904"/>
      <c r="K560" s="1904"/>
      <c r="L560" s="1904"/>
      <c r="M560" s="1905"/>
      <c r="N560" s="1260"/>
    </row>
    <row r="561" spans="1:50" s="1201" customFormat="1" ht="14" hidden="1" x14ac:dyDescent="0.3">
      <c r="B561" s="1904"/>
      <c r="C561" s="1925"/>
      <c r="D561" s="1917"/>
      <c r="E561" s="1906"/>
      <c r="F561" s="1904"/>
      <c r="G561" s="1954"/>
      <c r="H561" s="1904"/>
      <c r="I561" s="1904"/>
      <c r="J561" s="1904"/>
      <c r="K561" s="1904"/>
      <c r="L561" s="1904"/>
      <c r="M561" s="1905"/>
      <c r="N561" s="1260"/>
    </row>
    <row r="562" spans="1:50" s="1201" customFormat="1" ht="14" hidden="1" x14ac:dyDescent="0.3">
      <c r="B562" s="1904"/>
      <c r="C562" s="1904"/>
      <c r="D562" s="1904"/>
      <c r="E562" s="1904"/>
      <c r="F562" s="1904"/>
      <c r="G562" s="1904"/>
      <c r="H562" s="1904"/>
      <c r="I562" s="1904"/>
      <c r="J562" s="1904"/>
      <c r="K562" s="1904"/>
      <c r="L562" s="1904"/>
      <c r="M562" s="1905"/>
      <c r="N562" s="1260"/>
    </row>
    <row r="563" spans="1:50" s="1201" customFormat="1" ht="14" hidden="1" x14ac:dyDescent="0.3">
      <c r="B563" s="1904" t="s">
        <v>390</v>
      </c>
      <c r="C563" s="1907" t="s">
        <v>440</v>
      </c>
      <c r="D563" s="1959" t="e">
        <f t="shared" ref="D563:J563" si="40">D552*$D$556*44/28</f>
        <v>#DIV/0!</v>
      </c>
      <c r="E563" s="1954" t="e">
        <f t="shared" si="40"/>
        <v>#N/A</v>
      </c>
      <c r="F563" s="1954" t="e">
        <f t="shared" si="40"/>
        <v>#N/A</v>
      </c>
      <c r="G563" s="1954" t="e">
        <f t="shared" si="40"/>
        <v>#N/A</v>
      </c>
      <c r="H563" s="1954" t="e">
        <f t="shared" si="40"/>
        <v>#N/A</v>
      </c>
      <c r="I563" s="1954">
        <f t="shared" si="40"/>
        <v>0</v>
      </c>
      <c r="J563" s="1954">
        <f t="shared" si="40"/>
        <v>0</v>
      </c>
      <c r="K563" s="1954" t="e">
        <f>K552*$D$556*44/28</f>
        <v>#N/A</v>
      </c>
      <c r="L563" s="1904" t="s">
        <v>298</v>
      </c>
      <c r="M563" s="1905"/>
      <c r="N563" s="1260"/>
    </row>
    <row r="564" spans="1:50" s="1201" customFormat="1" ht="14" hidden="1" x14ac:dyDescent="0.3">
      <c r="B564" s="1904"/>
      <c r="C564" s="1907"/>
      <c r="D564" s="1915"/>
      <c r="E564" s="1915"/>
      <c r="F564" s="1915"/>
      <c r="G564" s="1915"/>
      <c r="H564" s="1915"/>
      <c r="I564" s="1915"/>
      <c r="J564" s="1915"/>
      <c r="K564" s="1904"/>
      <c r="L564" s="1904"/>
      <c r="M564" s="1905"/>
      <c r="N564" s="1260"/>
    </row>
    <row r="565" spans="1:50" s="1201" customFormat="1" ht="14" hidden="1" x14ac:dyDescent="0.3">
      <c r="B565" s="1903" t="s">
        <v>223</v>
      </c>
      <c r="C565" s="1907" t="s">
        <v>440</v>
      </c>
      <c r="D565" s="1917" t="e">
        <f>SUM(D558:D559)+SUM(D563:K563)</f>
        <v>#DIV/0!</v>
      </c>
      <c r="E565" s="1917"/>
      <c r="F565" s="1915"/>
      <c r="G565" s="1915"/>
      <c r="H565" s="1915"/>
      <c r="I565" s="1915"/>
      <c r="J565" s="1915"/>
      <c r="K565" s="1904"/>
      <c r="L565" s="1904" t="s">
        <v>439</v>
      </c>
      <c r="M565" s="1905"/>
      <c r="N565" s="1260"/>
    </row>
    <row r="566" spans="1:50" s="1201" customFormat="1" ht="14" hidden="1" x14ac:dyDescent="0.3">
      <c r="B566" s="1903" t="s">
        <v>263</v>
      </c>
      <c r="C566" s="1961" t="e">
        <f>D565</f>
        <v>#DIV/0!</v>
      </c>
      <c r="D566" s="1915"/>
      <c r="E566" s="1915"/>
      <c r="F566" s="1915"/>
      <c r="G566" s="1915"/>
      <c r="H566" s="1915"/>
      <c r="I566" s="1915"/>
      <c r="J566" s="1915"/>
      <c r="K566" s="1904"/>
      <c r="L566" s="1904" t="s">
        <v>299</v>
      </c>
      <c r="M566" s="1905"/>
      <c r="N566" s="1260"/>
    </row>
    <row r="567" spans="1:50" s="1201" customFormat="1" ht="14" hidden="1" x14ac:dyDescent="0.3">
      <c r="B567" s="1962" t="s">
        <v>418</v>
      </c>
      <c r="C567" s="1963" t="e">
        <f>C566*'Emission factors'!$C$5</f>
        <v>#DIV/0!</v>
      </c>
      <c r="D567" s="1964"/>
      <c r="E567" s="1965"/>
      <c r="F567" s="1965"/>
      <c r="G567" s="1965"/>
      <c r="H567" s="1965"/>
      <c r="I567" s="1965"/>
      <c r="J567" s="1965"/>
      <c r="K567" s="1965"/>
      <c r="L567" s="1965" t="s">
        <v>265</v>
      </c>
      <c r="M567" s="1966"/>
      <c r="N567" s="1260"/>
    </row>
    <row r="568" spans="1:50" s="1201" customFormat="1" ht="14" hidden="1" x14ac:dyDescent="0.3">
      <c r="K568" s="1260"/>
    </row>
    <row r="569" spans="1:50" s="1201" customFormat="1" ht="14" hidden="1" x14ac:dyDescent="0.3">
      <c r="B569" s="1928"/>
      <c r="C569" s="1928"/>
      <c r="D569" s="1928"/>
      <c r="E569" s="1928"/>
      <c r="F569" s="1928"/>
      <c r="G569" s="1928"/>
      <c r="H569" s="1928"/>
      <c r="I569" s="1928"/>
      <c r="J569" s="1928"/>
      <c r="K569" s="1928"/>
    </row>
    <row r="570" spans="1:50" s="1201" customFormat="1" ht="14" hidden="1" x14ac:dyDescent="0.3">
      <c r="A570" s="1934"/>
      <c r="B570" s="1934" t="s">
        <v>590</v>
      </c>
      <c r="C570" s="1260"/>
      <c r="D570" s="1260"/>
      <c r="E570" s="1260"/>
      <c r="F570" s="1260"/>
      <c r="G570" s="1260"/>
      <c r="H570" s="1260"/>
      <c r="I570" s="1928"/>
      <c r="J570" s="1928"/>
      <c r="K570" s="1928"/>
      <c r="L570" s="1928"/>
      <c r="M570" s="1928"/>
      <c r="N570" s="1928"/>
      <c r="V570" s="1928"/>
      <c r="W570" s="1928"/>
      <c r="X570" s="1928"/>
      <c r="Y570" s="1928"/>
      <c r="Z570" s="1928"/>
      <c r="AA570" s="1928"/>
      <c r="AB570" s="1928"/>
      <c r="AC570" s="1928"/>
      <c r="AD570" s="1928"/>
      <c r="AE570" s="1928"/>
      <c r="AF570" s="1928"/>
      <c r="AG570" s="1928"/>
      <c r="AH570" s="1928"/>
      <c r="AI570" s="1928"/>
      <c r="AJ570" s="1928"/>
      <c r="AK570" s="1928"/>
      <c r="AL570" s="1928"/>
      <c r="AM570" s="1928"/>
      <c r="AN570" s="1928"/>
      <c r="AO570" s="1928"/>
      <c r="AP570" s="1928"/>
      <c r="AQ570" s="1928"/>
      <c r="AR570" s="1928"/>
      <c r="AS570" s="1928"/>
      <c r="AT570" s="1928"/>
      <c r="AU570" s="1928"/>
      <c r="AV570" s="1928"/>
      <c r="AW570" s="1928"/>
      <c r="AX570" s="1928"/>
    </row>
    <row r="571" spans="1:50" s="1201" customFormat="1" ht="14" hidden="1" x14ac:dyDescent="0.3">
      <c r="A571" s="1934"/>
      <c r="B571" s="1260"/>
      <c r="C571" s="1260"/>
      <c r="D571" s="1260"/>
      <c r="E571" s="1260"/>
      <c r="F571" s="1260"/>
      <c r="G571" s="1260"/>
      <c r="H571" s="1260"/>
      <c r="I571" s="1928"/>
      <c r="J571" s="1928"/>
      <c r="K571" s="1928"/>
      <c r="L571" s="1928"/>
      <c r="M571" s="1928"/>
      <c r="N571" s="1928"/>
      <c r="O571" s="1928"/>
      <c r="P571" s="1928"/>
      <c r="Q571" s="1928"/>
      <c r="R571" s="1928"/>
      <c r="S571" s="1928"/>
      <c r="T571" s="1928"/>
      <c r="U571" s="1928"/>
      <c r="V571" s="1928"/>
      <c r="W571" s="1928"/>
      <c r="X571" s="1928"/>
      <c r="Y571" s="1928"/>
      <c r="Z571" s="1928"/>
      <c r="AA571" s="1928"/>
      <c r="AB571" s="1928"/>
      <c r="AC571" s="1928"/>
      <c r="AD571" s="1928"/>
      <c r="AE571" s="1928"/>
      <c r="AF571" s="1928"/>
      <c r="AG571" s="1928"/>
      <c r="AH571" s="1928"/>
      <c r="AI571" s="1928"/>
      <c r="AJ571" s="1928"/>
      <c r="AK571" s="1928"/>
      <c r="AL571" s="1928"/>
      <c r="AM571" s="1928"/>
      <c r="AN571" s="1928"/>
      <c r="AO571" s="1928"/>
      <c r="AP571" s="1928"/>
      <c r="AQ571" s="1928"/>
      <c r="AR571" s="1928"/>
      <c r="AS571" s="1928"/>
      <c r="AT571" s="1928"/>
      <c r="AU571" s="1928"/>
      <c r="AV571" s="1928"/>
      <c r="AW571" s="1928"/>
      <c r="AX571" s="1928"/>
    </row>
    <row r="572" spans="1:50" s="1201" customFormat="1" ht="14" hidden="1" x14ac:dyDescent="0.3">
      <c r="A572" s="1934"/>
      <c r="B572" s="1967"/>
      <c r="C572" s="1967"/>
      <c r="D572" s="2626" t="s">
        <v>1481</v>
      </c>
      <c r="E572" s="2626"/>
      <c r="F572" s="2626"/>
      <c r="G572" s="2626"/>
      <c r="H572" s="1968" t="s">
        <v>1482</v>
      </c>
      <c r="I572" s="1969"/>
      <c r="J572" s="2626" t="s">
        <v>1483</v>
      </c>
      <c r="K572" s="2626"/>
      <c r="L572" s="2626"/>
      <c r="M572" s="2626"/>
      <c r="N572" s="1969"/>
      <c r="O572" s="1970" t="s">
        <v>1484</v>
      </c>
      <c r="P572" s="1928"/>
      <c r="Q572" s="1928"/>
      <c r="R572" s="1928"/>
      <c r="S572" s="1928"/>
      <c r="T572" s="1928"/>
      <c r="U572" s="1928"/>
    </row>
    <row r="573" spans="1:50" s="1201" customFormat="1" ht="14" hidden="1" x14ac:dyDescent="0.3">
      <c r="A573" s="1260"/>
      <c r="B573" s="1971" t="s">
        <v>1480</v>
      </c>
      <c r="C573" s="1971" t="s">
        <v>1485</v>
      </c>
      <c r="D573" s="1972" t="s">
        <v>223</v>
      </c>
      <c r="E573" s="1972" t="s">
        <v>1475</v>
      </c>
      <c r="F573" s="1972" t="s">
        <v>610</v>
      </c>
      <c r="G573" s="1970" t="s">
        <v>611</v>
      </c>
      <c r="H573" s="1967"/>
      <c r="I573" s="1969"/>
      <c r="J573" s="1973" t="s">
        <v>223</v>
      </c>
      <c r="K573" s="1970" t="s">
        <v>1475</v>
      </c>
      <c r="L573" s="1974" t="s">
        <v>610</v>
      </c>
      <c r="M573" s="1974" t="s">
        <v>611</v>
      </c>
      <c r="N573" s="1969"/>
      <c r="O573" s="1975" t="s">
        <v>223</v>
      </c>
      <c r="P573" s="894"/>
      <c r="Q573" s="894"/>
      <c r="R573" s="894"/>
      <c r="S573" s="894"/>
      <c r="T573" s="1976"/>
      <c r="U573" s="1976"/>
    </row>
    <row r="574" spans="1:50" s="1201" customFormat="1" ht="14" hidden="1" x14ac:dyDescent="0.3">
      <c r="A574" s="1260"/>
      <c r="B574" s="1977" t="s">
        <v>633</v>
      </c>
      <c r="C574" s="1978">
        <v>38.6</v>
      </c>
      <c r="D574" s="1978">
        <f>SUM(E574:G574)</f>
        <v>70.5</v>
      </c>
      <c r="E574" s="1979">
        <v>69.900000000000006</v>
      </c>
      <c r="F574" s="1979">
        <v>0.1</v>
      </c>
      <c r="G574" s="1979">
        <v>0.5</v>
      </c>
      <c r="H574" s="1978">
        <v>3.6</v>
      </c>
      <c r="I574" s="1969"/>
      <c r="J574" s="1980">
        <f>D574*$C574/1000</f>
        <v>2.7213000000000003</v>
      </c>
      <c r="K574" s="1980">
        <f>C574*E574/1000</f>
        <v>2.6981400000000004</v>
      </c>
      <c r="L574" s="1981">
        <f>F574*C574/1000</f>
        <v>3.8600000000000001E-3</v>
      </c>
      <c r="M574" s="1981">
        <f>G574*C574/1000</f>
        <v>1.9300000000000001E-2</v>
      </c>
      <c r="N574" s="1969"/>
      <c r="O574" s="1980">
        <f>C574*H574/1000</f>
        <v>0.13896</v>
      </c>
      <c r="P574" s="1182"/>
      <c r="Q574" s="894"/>
      <c r="R574" s="894"/>
      <c r="S574" s="894"/>
      <c r="T574" s="1976"/>
      <c r="U574" s="1976"/>
    </row>
    <row r="575" spans="1:50" s="1201" customFormat="1" ht="14" hidden="1" x14ac:dyDescent="0.3">
      <c r="A575" s="1260"/>
      <c r="B575" s="1967"/>
      <c r="C575" s="1967"/>
      <c r="D575" s="1967"/>
      <c r="E575" s="1967"/>
      <c r="F575" s="1967"/>
      <c r="G575" s="1967"/>
      <c r="H575" s="1967"/>
      <c r="I575" s="1967"/>
      <c r="J575" s="1967"/>
      <c r="K575" s="1967"/>
      <c r="L575" s="1967"/>
      <c r="M575" s="1967"/>
      <c r="N575" s="1969"/>
      <c r="O575" s="1967"/>
      <c r="P575" s="894"/>
      <c r="Q575" s="894"/>
      <c r="R575" s="894"/>
      <c r="S575" s="894"/>
      <c r="T575" s="1976"/>
      <c r="U575" s="1976"/>
    </row>
    <row r="576" spans="1:50" s="1984" customFormat="1" ht="15.75" hidden="1" customHeight="1" x14ac:dyDescent="0.3">
      <c r="A576" s="1982"/>
      <c r="B576" s="2627" t="s">
        <v>1476</v>
      </c>
      <c r="C576" s="2628" t="s">
        <v>1501</v>
      </c>
      <c r="D576" s="2628" t="s">
        <v>1477</v>
      </c>
      <c r="E576" s="2628" t="s">
        <v>1492</v>
      </c>
      <c r="F576" s="2628"/>
      <c r="G576" s="2628"/>
      <c r="H576" s="2628"/>
      <c r="I576" s="2628" t="s">
        <v>1493</v>
      </c>
      <c r="J576" s="2628"/>
      <c r="K576" s="2628"/>
      <c r="L576" s="2628" t="s">
        <v>1494</v>
      </c>
      <c r="M576" s="2628"/>
      <c r="N576" s="1967"/>
      <c r="O576" s="1967"/>
      <c r="P576" s="894"/>
      <c r="Q576" s="894"/>
      <c r="R576" s="894"/>
      <c r="S576" s="894"/>
      <c r="T576" s="1983"/>
      <c r="U576" s="1983"/>
      <c r="AH576" s="1928"/>
      <c r="AI576" s="1928"/>
      <c r="AJ576" s="1928"/>
      <c r="AK576" s="1928"/>
      <c r="AL576" s="1928"/>
      <c r="AM576" s="1928"/>
      <c r="AN576" s="1928"/>
      <c r="AO576" s="1928"/>
      <c r="AP576" s="1928"/>
      <c r="AQ576" s="1928"/>
      <c r="AR576" s="1928"/>
      <c r="AS576" s="1928"/>
      <c r="AT576" s="1928"/>
      <c r="AU576" s="1928"/>
      <c r="AV576" s="1928"/>
      <c r="AW576" s="1928"/>
      <c r="AX576" s="1928"/>
    </row>
    <row r="577" spans="1:21" s="1201" customFormat="1" ht="15.75" hidden="1" customHeight="1" x14ac:dyDescent="0.3">
      <c r="A577" s="1934"/>
      <c r="B577" s="2627"/>
      <c r="C577" s="2628"/>
      <c r="D577" s="2628"/>
      <c r="E577" s="1970" t="s">
        <v>1475</v>
      </c>
      <c r="F577" s="1970" t="s">
        <v>610</v>
      </c>
      <c r="G577" s="1970" t="s">
        <v>611</v>
      </c>
      <c r="H577" s="1970" t="s">
        <v>1478</v>
      </c>
      <c r="I577" s="1970"/>
      <c r="J577" s="1970" t="s">
        <v>1478</v>
      </c>
      <c r="K577" s="1967"/>
      <c r="L577" s="1970"/>
      <c r="M577" s="1967"/>
      <c r="N577" s="1967"/>
      <c r="O577" s="1967"/>
      <c r="P577" s="1446"/>
      <c r="Q577" s="1446"/>
      <c r="R577" s="1446"/>
      <c r="S577" s="1446"/>
      <c r="T577" s="1446"/>
      <c r="U577" s="1446"/>
    </row>
    <row r="578" spans="1:21" s="1201" customFormat="1" ht="14" hidden="1" x14ac:dyDescent="0.3">
      <c r="A578" s="1934"/>
      <c r="B578" s="1967" t="s">
        <v>1479</v>
      </c>
      <c r="C578" s="1985">
        <f>C63</f>
        <v>0</v>
      </c>
      <c r="D578" s="1979">
        <f>C578/1000</f>
        <v>0</v>
      </c>
      <c r="E578" s="1980">
        <f>$D$578*K574</f>
        <v>0</v>
      </c>
      <c r="F578" s="1980">
        <f>$D$578*L574</f>
        <v>0</v>
      </c>
      <c r="G578" s="1980">
        <f>$D$578*M574</f>
        <v>0</v>
      </c>
      <c r="H578" s="1980">
        <f>SUM(E578:G578)</f>
        <v>0</v>
      </c>
      <c r="I578" s="1980"/>
      <c r="J578" s="1980">
        <f>$D$578*O574</f>
        <v>0</v>
      </c>
      <c r="K578" s="1967"/>
      <c r="L578" s="2624">
        <f>H578+J578</f>
        <v>0</v>
      </c>
      <c r="M578" s="2624"/>
      <c r="N578" s="1967"/>
      <c r="O578" s="1967"/>
      <c r="P578" s="1976"/>
      <c r="Q578" s="1976"/>
      <c r="R578" s="1976"/>
      <c r="S578" s="1976"/>
      <c r="T578" s="1976"/>
      <c r="U578" s="1976"/>
    </row>
    <row r="579" spans="1:21" s="1201" customFormat="1" ht="14" hidden="1" x14ac:dyDescent="0.3">
      <c r="A579" s="1934"/>
      <c r="B579" s="1968" t="s">
        <v>223</v>
      </c>
      <c r="C579" s="1967"/>
      <c r="D579" s="1967"/>
      <c r="E579" s="1973">
        <f>SUM(E578:E578)</f>
        <v>0</v>
      </c>
      <c r="F579" s="1973">
        <f>SUM(F578:F578)</f>
        <v>0</v>
      </c>
      <c r="G579" s="1973">
        <f>SUM(G578:G578)</f>
        <v>0</v>
      </c>
      <c r="H579" s="1973">
        <f>SUM(H578:H578)</f>
        <v>0</v>
      </c>
      <c r="I579" s="1973"/>
      <c r="J579" s="1973">
        <f>SUM(J578:J578)</f>
        <v>0</v>
      </c>
      <c r="K579" s="1967"/>
      <c r="L579" s="2625">
        <f>SUM(L578:L578)</f>
        <v>0</v>
      </c>
      <c r="M579" s="2625"/>
      <c r="N579" s="1967"/>
      <c r="O579" s="1967"/>
      <c r="P579" s="1976"/>
      <c r="Q579" s="1976"/>
      <c r="R579" s="1976"/>
      <c r="S579" s="1976"/>
      <c r="T579" s="1976"/>
      <c r="U579" s="1976"/>
    </row>
    <row r="580" spans="1:21" s="1201" customFormat="1" ht="14" hidden="1" x14ac:dyDescent="0.3">
      <c r="A580" s="1934"/>
      <c r="B580" s="1968"/>
      <c r="C580" s="1967"/>
      <c r="D580" s="1967"/>
      <c r="E580" s="1986"/>
      <c r="F580" s="1986"/>
      <c r="G580" s="1986"/>
      <c r="H580" s="1986"/>
      <c r="I580" s="1986"/>
      <c r="J580" s="1986"/>
      <c r="K580" s="1967"/>
      <c r="L580" s="1967"/>
      <c r="M580" s="1967"/>
      <c r="N580" s="1967"/>
      <c r="O580" s="1967"/>
      <c r="P580" s="1976"/>
      <c r="Q580" s="1976"/>
      <c r="R580" s="1976"/>
      <c r="S580" s="1976"/>
      <c r="T580" s="1976"/>
      <c r="U580" s="1976"/>
    </row>
    <row r="581" spans="1:21" s="1201" customFormat="1" ht="14" hidden="1" x14ac:dyDescent="0.3">
      <c r="A581" s="1260"/>
      <c r="B581" s="1987"/>
      <c r="C581" s="1988"/>
      <c r="D581" s="1988"/>
      <c r="E581" s="1446"/>
      <c r="F581" s="1446"/>
      <c r="G581" s="1446"/>
      <c r="H581" s="1988"/>
      <c r="I581" s="1988"/>
      <c r="J581" s="1446"/>
      <c r="K581" s="1446"/>
      <c r="L581" s="1446"/>
      <c r="M581" s="1446"/>
      <c r="N581" s="2035"/>
      <c r="P581" s="1976"/>
      <c r="Q581" s="1976"/>
      <c r="R581" s="1976"/>
      <c r="S581" s="1976"/>
      <c r="T581" s="1976"/>
      <c r="U581" s="1976"/>
    </row>
    <row r="582" spans="1:21" s="1201" customFormat="1" ht="14" hidden="1" x14ac:dyDescent="0.3">
      <c r="A582" s="1260"/>
      <c r="B582" s="1989"/>
      <c r="C582" s="1990" t="s">
        <v>1500</v>
      </c>
      <c r="D582" s="1991"/>
      <c r="E582" s="1991" t="s">
        <v>1499</v>
      </c>
      <c r="F582" s="1991" t="s">
        <v>228</v>
      </c>
      <c r="G582" s="1992"/>
      <c r="H582" s="1992"/>
      <c r="I582" s="2001"/>
      <c r="J582" s="2001"/>
      <c r="K582" s="2001"/>
      <c r="O582" s="1446"/>
      <c r="P582" s="894"/>
      <c r="Q582" s="894"/>
      <c r="R582" s="894"/>
      <c r="S582" s="894"/>
      <c r="T582" s="1983"/>
      <c r="U582" s="1983"/>
    </row>
    <row r="583" spans="1:21" s="1201" customFormat="1" ht="15.75" hidden="1" customHeight="1" x14ac:dyDescent="0.3">
      <c r="A583" s="1260"/>
      <c r="B583" s="1993" t="s">
        <v>1495</v>
      </c>
      <c r="C583" s="1994">
        <f>C62</f>
        <v>0</v>
      </c>
      <c r="D583" s="1995" t="s">
        <v>1496</v>
      </c>
      <c r="E583" s="1996" t="s">
        <v>1497</v>
      </c>
      <c r="F583" s="1991">
        <f>G62</f>
        <v>0</v>
      </c>
      <c r="G583" s="1997"/>
      <c r="H583" s="1998" t="s">
        <v>2010</v>
      </c>
      <c r="I583" s="2001"/>
      <c r="J583" s="2000">
        <f>G63</f>
        <v>0</v>
      </c>
      <c r="K583" s="2001"/>
    </row>
    <row r="584" spans="1:21" s="1201" customFormat="1" ht="15.75" hidden="1" customHeight="1" x14ac:dyDescent="0.3">
      <c r="A584" s="1260"/>
      <c r="B584" s="1989"/>
      <c r="C584" s="1999"/>
      <c r="D584" s="1991"/>
      <c r="E584" s="1996" t="s">
        <v>1498</v>
      </c>
      <c r="F584" s="1991"/>
      <c r="G584" s="1997"/>
      <c r="H584" s="1997"/>
      <c r="I584" s="1997"/>
      <c r="J584" s="1997"/>
      <c r="K584" s="2001"/>
    </row>
    <row r="585" spans="1:21" s="1201" customFormat="1" ht="14" hidden="1" x14ac:dyDescent="0.3">
      <c r="A585" s="1260"/>
      <c r="B585" s="1993"/>
      <c r="C585" s="1999"/>
      <c r="D585" s="1991"/>
      <c r="E585" s="1997"/>
      <c r="F585" s="1991"/>
      <c r="G585" s="1997"/>
      <c r="H585" s="1998" t="s">
        <v>1502</v>
      </c>
      <c r="I585" s="2001"/>
      <c r="J585" s="2000">
        <f>IF(F583="State Grid",(C596*(1-J583%)),0)</f>
        <v>0</v>
      </c>
      <c r="K585" s="2001"/>
    </row>
    <row r="586" spans="1:21" s="1201" customFormat="1" ht="14" hidden="1" x14ac:dyDescent="0.3">
      <c r="A586" s="1260"/>
      <c r="B586" s="1989"/>
      <c r="C586" s="1991"/>
      <c r="D586" s="1991"/>
      <c r="E586" s="1991"/>
      <c r="F586" s="1991"/>
      <c r="G586" s="1992"/>
      <c r="H586" s="1998"/>
      <c r="I586" s="2001"/>
      <c r="J586" s="2001"/>
      <c r="K586" s="2001"/>
    </row>
    <row r="587" spans="1:21" s="1201" customFormat="1" ht="14" hidden="1" x14ac:dyDescent="0.3">
      <c r="A587" s="1260"/>
      <c r="B587" s="2002"/>
      <c r="C587" s="2003"/>
      <c r="D587" s="2003"/>
      <c r="E587" s="2004"/>
      <c r="F587" s="1991"/>
      <c r="G587" s="1992"/>
      <c r="H587" s="1459" t="s">
        <v>1503</v>
      </c>
      <c r="I587" s="2001"/>
      <c r="J587" s="2000">
        <f>J585*C583/1000</f>
        <v>0</v>
      </c>
      <c r="K587" s="2001"/>
    </row>
    <row r="588" spans="1:21" s="1201" customFormat="1" ht="14" hidden="1" x14ac:dyDescent="0.3">
      <c r="B588" s="2005" t="s">
        <v>260</v>
      </c>
      <c r="C588" s="2006" t="s">
        <v>1490</v>
      </c>
      <c r="D588" s="2007" t="s">
        <v>1491</v>
      </c>
      <c r="E588" s="2008"/>
      <c r="F588" s="1991"/>
      <c r="G588" s="1992"/>
      <c r="H588" s="1998"/>
      <c r="I588" s="2001"/>
      <c r="J588" s="2001"/>
      <c r="K588" s="2001"/>
    </row>
    <row r="589" spans="1:21" s="1201" customFormat="1" ht="14" hidden="1" x14ac:dyDescent="0.3">
      <c r="A589" s="1260">
        <v>1</v>
      </c>
      <c r="B589" s="2009" t="s">
        <v>912</v>
      </c>
      <c r="C589" s="2010">
        <v>1.02</v>
      </c>
      <c r="D589" s="2010">
        <v>0.1</v>
      </c>
      <c r="E589" s="2011"/>
      <c r="F589" s="1991"/>
      <c r="G589" s="1997"/>
      <c r="H589" s="1998" t="s">
        <v>1504</v>
      </c>
      <c r="I589" s="2001"/>
      <c r="J589" s="2000">
        <f>IF(F583="State Grid",(D596*(1-J583%)),0)</f>
        <v>0</v>
      </c>
      <c r="K589" s="2001"/>
    </row>
    <row r="590" spans="1:21" s="1201" customFormat="1" ht="14" hidden="1" x14ac:dyDescent="0.3">
      <c r="A590" s="1260">
        <v>2</v>
      </c>
      <c r="B590" s="2012" t="s">
        <v>917</v>
      </c>
      <c r="C590" s="2010">
        <v>0.81</v>
      </c>
      <c r="D590" s="2010">
        <v>0.09</v>
      </c>
      <c r="E590" s="2011"/>
      <c r="F590" s="1991"/>
      <c r="G590" s="1992"/>
      <c r="H590" s="1998"/>
      <c r="I590" s="2001"/>
      <c r="J590" s="2000"/>
      <c r="K590" s="2001"/>
    </row>
    <row r="591" spans="1:21" s="1201" customFormat="1" ht="14" hidden="1" x14ac:dyDescent="0.3">
      <c r="A591" s="1260">
        <v>3</v>
      </c>
      <c r="B591" s="2012" t="s">
        <v>866</v>
      </c>
      <c r="C591" s="2010">
        <v>0.15</v>
      </c>
      <c r="D591" s="2010">
        <v>0.02</v>
      </c>
      <c r="E591" s="2011"/>
      <c r="F591" s="1991"/>
      <c r="G591" s="1992"/>
      <c r="H591" s="1460" t="s">
        <v>1505</v>
      </c>
      <c r="I591" s="2001"/>
      <c r="J591" s="2000">
        <f>C583*J589/1000</f>
        <v>0</v>
      </c>
      <c r="K591" s="2001"/>
    </row>
    <row r="592" spans="1:21" s="1201" customFormat="1" ht="14" hidden="1" x14ac:dyDescent="0.3">
      <c r="A592" s="1260">
        <v>4</v>
      </c>
      <c r="B592" s="2012" t="s">
        <v>914</v>
      </c>
      <c r="C592" s="2010">
        <v>0.81</v>
      </c>
      <c r="D592" s="2010">
        <v>0.12</v>
      </c>
      <c r="E592" s="2013"/>
      <c r="F592" s="1991"/>
      <c r="G592" s="1992"/>
      <c r="H592" s="1992"/>
      <c r="I592" s="2001"/>
      <c r="J592" s="2001"/>
      <c r="K592" s="2001"/>
    </row>
    <row r="593" spans="1:33" s="1201" customFormat="1" ht="14" hidden="1" x14ac:dyDescent="0.3">
      <c r="A593" s="1260">
        <v>5</v>
      </c>
      <c r="B593" s="2012" t="s">
        <v>918</v>
      </c>
      <c r="C593" s="2010">
        <v>0.44</v>
      </c>
      <c r="D593" s="2010">
        <v>0.1</v>
      </c>
      <c r="E593" s="2013"/>
      <c r="F593" s="1991"/>
      <c r="G593" s="1992"/>
      <c r="H593" s="1998" t="s">
        <v>1506</v>
      </c>
      <c r="I593" s="2001"/>
      <c r="J593" s="2000">
        <f>J587+J591</f>
        <v>0</v>
      </c>
      <c r="K593" s="2001"/>
    </row>
    <row r="594" spans="1:33" s="1201" customFormat="1" ht="14" hidden="1" x14ac:dyDescent="0.3">
      <c r="A594" s="1260">
        <v>6</v>
      </c>
      <c r="B594" s="2014" t="s">
        <v>919</v>
      </c>
      <c r="C594" s="2010">
        <v>0.69</v>
      </c>
      <c r="D594" s="2010">
        <v>0.04</v>
      </c>
      <c r="E594" s="2013"/>
      <c r="F594" s="1991"/>
      <c r="G594" s="1992"/>
      <c r="H594" s="1992"/>
      <c r="I594" s="2001"/>
      <c r="J594" s="2001"/>
      <c r="K594" s="2001"/>
    </row>
    <row r="595" spans="1:33" s="1201" customFormat="1" ht="14" hidden="1" x14ac:dyDescent="0.3">
      <c r="A595" s="1260">
        <v>7</v>
      </c>
      <c r="B595" s="2015" t="s">
        <v>920</v>
      </c>
      <c r="C595" s="2016">
        <v>0.63</v>
      </c>
      <c r="D595" s="2016">
        <v>0.08</v>
      </c>
      <c r="E595" s="2017"/>
      <c r="F595" s="1991"/>
      <c r="G595" s="1992"/>
      <c r="H595" s="1992"/>
      <c r="I595" s="2001"/>
      <c r="J595" s="2001"/>
      <c r="K595" s="2001"/>
    </row>
    <row r="596" spans="1:33" s="1201" customFormat="1" ht="14" hidden="1" x14ac:dyDescent="0.3">
      <c r="A596" s="1201" t="s">
        <v>228</v>
      </c>
      <c r="B596" s="2018" t="e">
        <f>VLOOKUP($D$15,$B$589:$E$595,1,FALSE)</f>
        <v>#N/A</v>
      </c>
      <c r="C596" s="2019" t="e">
        <f>VLOOKUP($D$15,$B$589:$E$595,2,FALSE)</f>
        <v>#N/A</v>
      </c>
      <c r="D596" s="2019" t="e">
        <f>VLOOKUP($D$15,$B$589:$E$595,3,FALSE)</f>
        <v>#N/A</v>
      </c>
      <c r="E596" s="2020"/>
      <c r="F596" s="2018"/>
      <c r="G596" s="2018"/>
      <c r="H596" s="2018"/>
      <c r="I596" s="2036"/>
      <c r="J596" s="2037"/>
      <c r="K596" s="2037"/>
      <c r="L596" s="892"/>
      <c r="M596" s="892"/>
      <c r="N596" s="892"/>
      <c r="V596" s="892"/>
      <c r="W596" s="892"/>
      <c r="X596" s="892"/>
      <c r="Y596" s="892"/>
      <c r="Z596" s="892"/>
      <c r="AA596" s="892"/>
      <c r="AB596" s="892"/>
      <c r="AC596" s="892"/>
      <c r="AD596" s="892"/>
      <c r="AE596" s="892"/>
      <c r="AF596" s="892"/>
      <c r="AG596" s="892"/>
    </row>
    <row r="597" spans="1:33" s="1201" customFormat="1" ht="14" hidden="1" x14ac:dyDescent="0.3">
      <c r="A597" s="892"/>
      <c r="B597" s="892"/>
      <c r="C597" s="892"/>
      <c r="D597" s="892"/>
      <c r="E597" s="892"/>
      <c r="F597" s="892"/>
      <c r="G597" s="892"/>
      <c r="H597" s="892"/>
      <c r="I597" s="892"/>
      <c r="J597" s="892"/>
      <c r="K597" s="892"/>
      <c r="L597" s="892"/>
      <c r="M597" s="892"/>
      <c r="N597" s="892"/>
      <c r="O597" s="892"/>
      <c r="P597" s="892"/>
      <c r="Q597" s="892"/>
      <c r="R597" s="892"/>
      <c r="S597" s="892"/>
      <c r="T597" s="892"/>
      <c r="U597" s="892"/>
      <c r="V597" s="892"/>
      <c r="W597" s="892"/>
      <c r="X597" s="892"/>
      <c r="Y597" s="892"/>
      <c r="Z597" s="892"/>
      <c r="AA597" s="892"/>
      <c r="AB597" s="892"/>
      <c r="AC597" s="892"/>
      <c r="AD597" s="892"/>
      <c r="AE597" s="892"/>
      <c r="AF597" s="892"/>
      <c r="AG597" s="892"/>
    </row>
    <row r="598" spans="1:33" s="892" customFormat="1" ht="14" hidden="1" x14ac:dyDescent="0.3"/>
    <row r="599" spans="1:33" s="892" customFormat="1" ht="14" hidden="1" x14ac:dyDescent="0.3">
      <c r="B599" s="1755" t="s">
        <v>837</v>
      </c>
    </row>
    <row r="600" spans="1:33" s="892" customFormat="1" ht="14" hidden="1" x14ac:dyDescent="0.3"/>
    <row r="601" spans="1:33" s="892" customFormat="1" ht="14" hidden="1" x14ac:dyDescent="0.3">
      <c r="B601" s="2021" t="s">
        <v>830</v>
      </c>
      <c r="C601" s="2022" t="s">
        <v>839</v>
      </c>
      <c r="D601" s="2023" t="s">
        <v>318</v>
      </c>
      <c r="E601" s="2023" t="s">
        <v>832</v>
      </c>
    </row>
    <row r="602" spans="1:33" s="892" customFormat="1" ht="14" hidden="1" x14ac:dyDescent="0.3">
      <c r="B602" s="2023" t="s">
        <v>831</v>
      </c>
      <c r="C602" s="2024">
        <f>C66</f>
        <v>0</v>
      </c>
      <c r="D602" s="2025">
        <v>0.16</v>
      </c>
      <c r="E602" s="2026">
        <f>C602*D602</f>
        <v>0</v>
      </c>
      <c r="F602" s="892" t="s">
        <v>1520</v>
      </c>
      <c r="L602" s="2038"/>
      <c r="M602" s="2038"/>
      <c r="N602" s="2038"/>
    </row>
    <row r="603" spans="1:33" s="892" customFormat="1" ht="14" hidden="1" x14ac:dyDescent="0.3">
      <c r="B603" s="2023" t="s">
        <v>833</v>
      </c>
      <c r="C603" s="2024">
        <f>G66</f>
        <v>0</v>
      </c>
      <c r="D603" s="2025">
        <v>0.16</v>
      </c>
      <c r="E603" s="2026">
        <f t="shared" ref="E603:E607" si="41">C603*D603</f>
        <v>0</v>
      </c>
      <c r="F603" s="892" t="s">
        <v>1520</v>
      </c>
      <c r="L603" s="2038"/>
      <c r="M603" s="2038"/>
      <c r="N603" s="2038"/>
      <c r="O603" s="2038"/>
      <c r="Q603" s="2039"/>
    </row>
    <row r="604" spans="1:33" s="892" customFormat="1" ht="14" hidden="1" x14ac:dyDescent="0.3">
      <c r="B604" s="2023" t="s">
        <v>834</v>
      </c>
      <c r="C604" s="2024">
        <f>C68</f>
        <v>0</v>
      </c>
      <c r="D604" s="2025">
        <v>0.16</v>
      </c>
      <c r="E604" s="2026">
        <f t="shared" si="41"/>
        <v>0</v>
      </c>
      <c r="F604" s="892" t="s">
        <v>1520</v>
      </c>
      <c r="L604" s="2038"/>
      <c r="M604" s="2038"/>
      <c r="N604" s="2038"/>
      <c r="O604" s="2038"/>
      <c r="Q604" s="2039"/>
    </row>
    <row r="605" spans="1:33" s="892" customFormat="1" ht="14" hidden="1" x14ac:dyDescent="0.3">
      <c r="B605" s="2023" t="s">
        <v>835</v>
      </c>
      <c r="C605" s="2024">
        <f>G68</f>
        <v>0</v>
      </c>
      <c r="D605" s="2025">
        <v>0.16</v>
      </c>
      <c r="E605" s="2026">
        <f t="shared" si="41"/>
        <v>0</v>
      </c>
      <c r="F605" s="892" t="s">
        <v>1520</v>
      </c>
      <c r="L605" s="2038"/>
      <c r="M605" s="2038"/>
      <c r="N605" s="2038"/>
      <c r="O605" s="2038"/>
      <c r="Q605" s="2039"/>
    </row>
    <row r="606" spans="1:33" s="892" customFormat="1" ht="14" hidden="1" x14ac:dyDescent="0.3">
      <c r="B606" s="2023" t="s">
        <v>836</v>
      </c>
      <c r="C606" s="2024">
        <f>C70</f>
        <v>0</v>
      </c>
      <c r="D606" s="2025">
        <v>0.2</v>
      </c>
      <c r="E606" s="2026">
        <f t="shared" si="41"/>
        <v>0</v>
      </c>
      <c r="F606" s="892" t="s">
        <v>1520</v>
      </c>
      <c r="L606" s="2038"/>
      <c r="M606" s="2038"/>
      <c r="N606" s="2038"/>
      <c r="O606" s="2038"/>
      <c r="Q606" s="2039"/>
    </row>
    <row r="607" spans="1:33" s="892" customFormat="1" ht="14" hidden="1" x14ac:dyDescent="0.3">
      <c r="B607" s="2023" t="s">
        <v>811</v>
      </c>
      <c r="C607" s="2024">
        <f>G70</f>
        <v>0</v>
      </c>
      <c r="D607" s="2023">
        <v>0</v>
      </c>
      <c r="E607" s="2026">
        <f t="shared" si="41"/>
        <v>0</v>
      </c>
      <c r="L607" s="2038"/>
      <c r="M607" s="2038"/>
      <c r="N607" s="2038"/>
      <c r="O607" s="2038"/>
      <c r="Q607" s="469"/>
    </row>
    <row r="608" spans="1:33" s="892" customFormat="1" ht="14" hidden="1" x14ac:dyDescent="0.3">
      <c r="B608" s="2023" t="s">
        <v>223</v>
      </c>
      <c r="C608" s="2022"/>
      <c r="D608" s="2023"/>
      <c r="E608" s="2026">
        <f>SUM(E602:E607)</f>
        <v>0</v>
      </c>
      <c r="L608" s="2038"/>
      <c r="M608" s="2038"/>
      <c r="N608" s="2038"/>
      <c r="O608" s="2038"/>
      <c r="Q608" s="2039"/>
    </row>
    <row r="609" spans="2:17" s="892" customFormat="1" ht="14" hidden="1" x14ac:dyDescent="0.3">
      <c r="B609" s="2022"/>
      <c r="C609" s="2022" t="s">
        <v>1509</v>
      </c>
      <c r="D609" s="2022"/>
      <c r="E609" s="2022"/>
      <c r="O609" s="2038"/>
      <c r="Q609" s="2039"/>
    </row>
    <row r="610" spans="2:17" s="892" customFormat="1" ht="14" hidden="1" x14ac:dyDescent="0.3">
      <c r="B610" s="2023" t="s">
        <v>840</v>
      </c>
      <c r="C610" s="2022">
        <f>IF($T$196="1",((G53*$C$58)+(G54*$C$59))/1000,(G53+G54))</f>
        <v>0</v>
      </c>
      <c r="D610" s="2027">
        <v>1.8</v>
      </c>
      <c r="E610" s="2025">
        <f>C610/0.46*D610</f>
        <v>0</v>
      </c>
      <c r="F610" s="892" t="s">
        <v>2052</v>
      </c>
    </row>
    <row r="611" spans="2:17" s="892" customFormat="1" ht="14" hidden="1" x14ac:dyDescent="0.3">
      <c r="B611" s="2023" t="s">
        <v>1521</v>
      </c>
      <c r="C611" s="2022">
        <f>IF($T$196="1",((G58*$C$58)+(G59*$C$59))/1000,(G58+G59))</f>
        <v>0</v>
      </c>
      <c r="D611" s="2027">
        <v>0.2</v>
      </c>
      <c r="E611" s="2027">
        <f>C611/0.09*D611</f>
        <v>0</v>
      </c>
    </row>
    <row r="612" spans="2:17" s="892" customFormat="1" ht="14" hidden="1" x14ac:dyDescent="0.3">
      <c r="B612" s="2023" t="s">
        <v>842</v>
      </c>
      <c r="C612" s="2022">
        <f>IF($T$196="1",((H58*$C$58)+(H59*$C$59))/1000,(H58+H59))</f>
        <v>0</v>
      </c>
      <c r="D612" s="2028">
        <v>0.13100000000000001</v>
      </c>
      <c r="E612" s="2027">
        <f>C612/0.5*D612</f>
        <v>0</v>
      </c>
    </row>
    <row r="613" spans="2:17" s="892" customFormat="1" ht="14" hidden="1" x14ac:dyDescent="0.3">
      <c r="B613" s="2023" t="s">
        <v>1522</v>
      </c>
      <c r="C613" s="2022">
        <f>IF($T$196="1",((I58*$C$58)+(I59*$C$59))/1000,(I58+I59))</f>
        <v>0</v>
      </c>
      <c r="D613" s="2027">
        <v>0.2</v>
      </c>
      <c r="E613" s="2027">
        <f>C613/0.11*D613</f>
        <v>0</v>
      </c>
    </row>
    <row r="614" spans="2:17" s="892" customFormat="1" ht="14" hidden="1" x14ac:dyDescent="0.3">
      <c r="B614" s="2023" t="s">
        <v>838</v>
      </c>
      <c r="C614" s="2022">
        <f>IF($T$196="1",((J58*$C$58)+(J59*$C$59))/1000,(J58+J59))</f>
        <v>0</v>
      </c>
      <c r="D614" s="2027">
        <v>2.5000000000000001E-2</v>
      </c>
      <c r="E614" s="2027">
        <f>C614*D614</f>
        <v>0</v>
      </c>
    </row>
    <row r="615" spans="2:17" s="892" customFormat="1" ht="14" hidden="1" x14ac:dyDescent="0.3">
      <c r="B615" s="2023" t="s">
        <v>223</v>
      </c>
      <c r="C615" s="2023"/>
      <c r="D615" s="2023"/>
      <c r="E615" s="2026">
        <f>IF(C611&gt;C613,E611,E613)+E610+E612+E614</f>
        <v>0</v>
      </c>
      <c r="F615" s="469"/>
    </row>
    <row r="616" spans="2:17" s="892" customFormat="1" ht="14" hidden="1" x14ac:dyDescent="0.3">
      <c r="B616" s="2023"/>
      <c r="C616" s="2022"/>
      <c r="D616" s="2023"/>
      <c r="E616" s="2029"/>
      <c r="F616" s="2039"/>
    </row>
    <row r="617" spans="2:17" s="892" customFormat="1" ht="14" hidden="1" x14ac:dyDescent="0.3">
      <c r="B617" s="2021" t="s">
        <v>1508</v>
      </c>
      <c r="C617" s="2022"/>
      <c r="D617" s="2023"/>
      <c r="E617" s="2029"/>
    </row>
    <row r="618" spans="2:17" s="892" customFormat="1" ht="14" hidden="1" x14ac:dyDescent="0.3">
      <c r="B618" s="2023" t="s">
        <v>1511</v>
      </c>
      <c r="C618" s="2022">
        <f>C610/0.46</f>
        <v>0</v>
      </c>
      <c r="D618" s="2023"/>
      <c r="E618" s="2029"/>
    </row>
    <row r="619" spans="2:17" s="892" customFormat="1" ht="14" hidden="1" x14ac:dyDescent="0.3">
      <c r="B619" s="2023" t="s">
        <v>1510</v>
      </c>
      <c r="C619" s="2022">
        <f>IF(G55="",100,G55)</f>
        <v>0</v>
      </c>
      <c r="D619" s="2023"/>
      <c r="E619" s="2029"/>
    </row>
    <row r="620" spans="2:17" s="892" customFormat="1" ht="14" hidden="1" x14ac:dyDescent="0.3">
      <c r="B620" s="2023" t="s">
        <v>1512</v>
      </c>
      <c r="C620" s="2022">
        <f>C618*C619%</f>
        <v>0</v>
      </c>
      <c r="D620" s="2023"/>
      <c r="E620" s="2029"/>
    </row>
    <row r="621" spans="2:17" s="892" customFormat="1" ht="14" hidden="1" x14ac:dyDescent="0.3">
      <c r="B621" s="2023" t="s">
        <v>1513</v>
      </c>
      <c r="C621" s="2022">
        <v>0.2</v>
      </c>
      <c r="D621" s="2023"/>
      <c r="E621" s="2029"/>
    </row>
    <row r="622" spans="2:17" s="892" customFormat="1" ht="14" hidden="1" x14ac:dyDescent="0.3">
      <c r="B622" s="2023" t="s">
        <v>1514</v>
      </c>
      <c r="C622" s="2030">
        <f>C620*C621*44/12</f>
        <v>0</v>
      </c>
      <c r="D622" s="2023"/>
      <c r="E622" s="2029"/>
    </row>
    <row r="623" spans="2:17" s="892" customFormat="1" ht="14" hidden="1" x14ac:dyDescent="0.3">
      <c r="B623" s="2023"/>
      <c r="C623" s="2022"/>
      <c r="D623" s="2023"/>
      <c r="E623" s="2029"/>
    </row>
    <row r="624" spans="2:17" s="892" customFormat="1" ht="14" hidden="1" x14ac:dyDescent="0.3">
      <c r="B624" s="2021" t="s">
        <v>1515</v>
      </c>
      <c r="C624" s="2022"/>
      <c r="D624" s="2023"/>
      <c r="E624" s="2029"/>
    </row>
    <row r="625" spans="2:21" s="892" customFormat="1" ht="14" hidden="1" x14ac:dyDescent="0.3">
      <c r="B625" s="2023" t="s">
        <v>1516</v>
      </c>
      <c r="C625" s="2022">
        <f>C614</f>
        <v>0</v>
      </c>
      <c r="D625" s="2023"/>
      <c r="E625" s="2029"/>
    </row>
    <row r="626" spans="2:21" s="892" customFormat="1" ht="14" hidden="1" x14ac:dyDescent="0.3">
      <c r="B626" s="2023" t="s">
        <v>1517</v>
      </c>
      <c r="C626" s="2022">
        <v>1</v>
      </c>
      <c r="D626" s="2023"/>
      <c r="E626" s="2029"/>
    </row>
    <row r="627" spans="2:21" s="892" customFormat="1" ht="14" hidden="1" x14ac:dyDescent="0.3">
      <c r="B627" s="2023" t="s">
        <v>1518</v>
      </c>
      <c r="C627" s="2022">
        <v>0.12</v>
      </c>
      <c r="D627" s="2023"/>
      <c r="E627" s="2029"/>
    </row>
    <row r="628" spans="2:21" s="892" customFormat="1" ht="14" hidden="1" x14ac:dyDescent="0.3">
      <c r="B628" s="2023" t="s">
        <v>1519</v>
      </c>
      <c r="C628" s="2022">
        <f>(C625*C626*C627*44/12)/1000</f>
        <v>0</v>
      </c>
      <c r="D628" s="2022"/>
      <c r="E628" s="2029"/>
    </row>
    <row r="629" spans="2:21" s="892" customFormat="1" ht="14" hidden="1" x14ac:dyDescent="0.3">
      <c r="B629" s="2023" t="s">
        <v>1514</v>
      </c>
      <c r="C629" s="2030">
        <f>C628*1000</f>
        <v>0</v>
      </c>
      <c r="D629" s="2022"/>
      <c r="E629" s="2029"/>
    </row>
    <row r="630" spans="2:21" s="892" customFormat="1" ht="14" hidden="1" x14ac:dyDescent="0.3">
      <c r="B630" s="2023"/>
      <c r="C630" s="2022"/>
      <c r="D630" s="2023"/>
      <c r="E630" s="2029"/>
    </row>
    <row r="631" spans="2:21" s="892" customFormat="1" ht="14" hidden="1" x14ac:dyDescent="0.3">
      <c r="C631" s="1201"/>
      <c r="E631" s="1754"/>
    </row>
    <row r="632" spans="2:21" s="892" customFormat="1" ht="14" hidden="1" x14ac:dyDescent="0.3">
      <c r="C632" s="1201"/>
      <c r="E632" s="1754"/>
    </row>
    <row r="633" spans="2:21" s="892" customFormat="1" ht="14" hidden="1" x14ac:dyDescent="0.3">
      <c r="C633" s="1201"/>
      <c r="E633" s="1754"/>
    </row>
    <row r="634" spans="2:21" s="892" customFormat="1" ht="14" hidden="1" x14ac:dyDescent="0.3">
      <c r="B634" s="1755" t="s">
        <v>1570</v>
      </c>
    </row>
    <row r="635" spans="2:21" s="892" customFormat="1" ht="14" hidden="1" x14ac:dyDescent="0.3"/>
    <row r="636" spans="2:21" s="2040" customFormat="1" hidden="1" thickBot="1" x14ac:dyDescent="0.35">
      <c r="B636" s="2621" t="s">
        <v>245</v>
      </c>
      <c r="C636" s="2622"/>
      <c r="E636" s="2621" t="s">
        <v>1571</v>
      </c>
      <c r="F636" s="2623"/>
      <c r="G636" s="2622"/>
    </row>
    <row r="637" spans="2:21" s="2040" customFormat="1" ht="14" hidden="1" x14ac:dyDescent="0.3">
      <c r="B637" s="2041" t="s">
        <v>260</v>
      </c>
      <c r="C637" s="2042">
        <f>D15</f>
        <v>0</v>
      </c>
      <c r="E637" s="2043" t="str">
        <f>CONCATENATE("Amount of carbon grown in the trees between Year ",FIXED(C644-1,0)," and Year ",FIXED(C644,0)," = ")</f>
        <v xml:space="preserve">Amount of carbon grown in the trees between Year -1 and Year 0 = </v>
      </c>
      <c r="F637" s="2044">
        <f>IF(ISERROR(F661),"",F661)</f>
        <v>0</v>
      </c>
      <c r="G637" s="2045" t="s">
        <v>1574</v>
      </c>
      <c r="Q637" s="2046" t="s">
        <v>1573</v>
      </c>
      <c r="R637" s="2047"/>
      <c r="S637" s="2047"/>
      <c r="T637" s="2047"/>
      <c r="U637" s="2048"/>
    </row>
    <row r="638" spans="2:21" s="2040" customFormat="1" ht="14" hidden="1" x14ac:dyDescent="0.3">
      <c r="B638" s="2049" t="s">
        <v>1576</v>
      </c>
      <c r="C638" s="2050">
        <f>C75</f>
        <v>0</v>
      </c>
      <c r="E638" s="2051"/>
      <c r="G638" s="2052"/>
      <c r="Q638" s="2053"/>
      <c r="R638" s="2054"/>
      <c r="S638" s="2054"/>
      <c r="T638" s="2054"/>
      <c r="U638" s="2055"/>
    </row>
    <row r="639" spans="2:21" s="2040" customFormat="1" ht="14" hidden="1" x14ac:dyDescent="0.3">
      <c r="B639" s="2049"/>
      <c r="C639" s="2050"/>
      <c r="E639" s="2051" t="s">
        <v>1578</v>
      </c>
      <c r="F639" s="2056">
        <f>IF(ISERROR(-F637*F644),"",F637*F644)</f>
        <v>0</v>
      </c>
      <c r="G639" s="2052" t="s">
        <v>1574</v>
      </c>
      <c r="Q639" s="2053" t="s">
        <v>1572</v>
      </c>
      <c r="R639" s="2054" t="str">
        <f>CONCATENATE(C637," -- ",C638)</f>
        <v>0 -- 0</v>
      </c>
      <c r="S639" s="2054"/>
      <c r="T639" s="2054"/>
      <c r="U639" s="2055"/>
    </row>
    <row r="640" spans="2:21" s="2040" customFormat="1" ht="14" hidden="1" x14ac:dyDescent="0.3">
      <c r="B640" s="2049" t="s">
        <v>1581</v>
      </c>
      <c r="C640" s="2050">
        <f>C77</f>
        <v>0</v>
      </c>
      <c r="E640" s="2051"/>
      <c r="G640" s="2052"/>
      <c r="Q640" s="2053" t="s">
        <v>1580</v>
      </c>
      <c r="R640" s="2054">
        <f>C640</f>
        <v>0</v>
      </c>
      <c r="S640" s="2054"/>
      <c r="T640" s="2054"/>
      <c r="U640" s="2055"/>
    </row>
    <row r="641" spans="2:21" s="2040" customFormat="1" ht="14" hidden="1" x14ac:dyDescent="0.3">
      <c r="B641" s="2049" t="s">
        <v>1584</v>
      </c>
      <c r="C641" s="2050">
        <f>C79</f>
        <v>0</v>
      </c>
      <c r="E641" s="2057" t="str">
        <f>CONCATENATE("Annual amount of CO2-e sequestered by trees on the ",FIXED(C643,0)," hectares = ")</f>
        <v xml:space="preserve">Annual amount of CO2-e sequestered by trees on the 0 hectares = </v>
      </c>
      <c r="F641" s="2058">
        <f>IF(ISERROR(F639*C643),0,(F639*C643))</f>
        <v>0</v>
      </c>
      <c r="G641" s="2059" t="str">
        <f>IF(F639&gt;0,CONCATENATE("Total tonnes CO2 sequestered in Year ",C644),"")</f>
        <v/>
      </c>
      <c r="Q641" s="2060" t="s">
        <v>1583</v>
      </c>
      <c r="R641" s="2061">
        <f>C641</f>
        <v>0</v>
      </c>
      <c r="S641" s="2061"/>
      <c r="T641" s="2061"/>
      <c r="U641" s="2062"/>
    </row>
    <row r="642" spans="2:21" s="2040" customFormat="1" ht="14" hidden="1" x14ac:dyDescent="0.3">
      <c r="B642" s="2049"/>
      <c r="C642" s="2050"/>
      <c r="E642" s="2051"/>
      <c r="G642" s="2052"/>
      <c r="Q642" s="2063" t="s">
        <v>557</v>
      </c>
      <c r="R642" s="2064" t="s">
        <v>1586</v>
      </c>
      <c r="S642" s="2064"/>
      <c r="T642" s="2064" t="s">
        <v>1587</v>
      </c>
      <c r="U642" s="2065" t="s">
        <v>1588</v>
      </c>
    </row>
    <row r="643" spans="2:21" s="2040" customFormat="1" ht="14" hidden="1" x14ac:dyDescent="0.3">
      <c r="B643" s="2049" t="s">
        <v>1590</v>
      </c>
      <c r="C643" s="2050">
        <f>G79</f>
        <v>0</v>
      </c>
      <c r="E643" s="2051"/>
      <c r="G643" s="2052"/>
      <c r="Q643" s="2066">
        <v>0</v>
      </c>
      <c r="R643" s="2067">
        <v>0</v>
      </c>
      <c r="S643" s="2067"/>
      <c r="T643" s="2067">
        <v>0</v>
      </c>
      <c r="U643" s="2068">
        <f>IF(Q643=$E$659,R643-0,"")</f>
        <v>0</v>
      </c>
    </row>
    <row r="644" spans="2:21" s="2040" customFormat="1" ht="15.75" hidden="1" customHeight="1" x14ac:dyDescent="0.45">
      <c r="B644" s="2069" t="s">
        <v>1569</v>
      </c>
      <c r="C644" s="2070">
        <f>I79</f>
        <v>0</v>
      </c>
      <c r="E644" s="2051" t="s">
        <v>2145</v>
      </c>
      <c r="F644" s="2044">
        <v>3.67</v>
      </c>
      <c r="G644" s="2052"/>
      <c r="Q644" s="2066">
        <v>1</v>
      </c>
      <c r="R644" s="2067">
        <f t="shared" ref="R644:R675" si="42">IF($F$661&gt;0,HLOOKUP($E$656,$B$749:$HX$849,Q644+1,FALSE),0)</f>
        <v>0</v>
      </c>
      <c r="S644" s="2067"/>
      <c r="T644" s="2067">
        <f>AVERAGE(T643,T645)</f>
        <v>0</v>
      </c>
      <c r="U644" s="2068" t="str">
        <f t="shared" ref="U644:U707" si="43">IF(Q644=$E$659,R644-0,"")</f>
        <v/>
      </c>
    </row>
    <row r="645" spans="2:21" s="2040" customFormat="1" ht="14" hidden="1" x14ac:dyDescent="0.3">
      <c r="E645" s="2051"/>
      <c r="F645" s="2071" t="s">
        <v>1592</v>
      </c>
      <c r="G645" s="2072" t="s">
        <v>1593</v>
      </c>
      <c r="Q645" s="2066">
        <v>2</v>
      </c>
      <c r="R645" s="2067">
        <f t="shared" si="42"/>
        <v>0</v>
      </c>
      <c r="S645" s="2067"/>
      <c r="T645" s="2067">
        <f>R645-R644</f>
        <v>0</v>
      </c>
      <c r="U645" s="2068" t="str">
        <f t="shared" si="43"/>
        <v/>
      </c>
    </row>
    <row r="646" spans="2:21" s="2040" customFormat="1" ht="14" hidden="1" x14ac:dyDescent="0.3">
      <c r="E646" s="2051" t="s">
        <v>1594</v>
      </c>
      <c r="F646" s="2056">
        <f>IF(ISERROR(F661),"",F662)</f>
        <v>0</v>
      </c>
      <c r="G646" s="2056">
        <f>IF(AND(F646&gt;0,C643&gt;0),F646*C643,0)</f>
        <v>0</v>
      </c>
      <c r="Q646" s="2066">
        <v>3</v>
      </c>
      <c r="R646" s="2067">
        <f t="shared" si="42"/>
        <v>0</v>
      </c>
      <c r="S646" s="2067"/>
      <c r="T646" s="2067">
        <f t="shared" ref="T646:T709" si="44">R646-R645</f>
        <v>0</v>
      </c>
      <c r="U646" s="2068" t="str">
        <f t="shared" si="43"/>
        <v/>
      </c>
    </row>
    <row r="647" spans="2:21" s="2040" customFormat="1" ht="17" hidden="1" x14ac:dyDescent="0.45">
      <c r="E647" s="2073" t="s">
        <v>2146</v>
      </c>
      <c r="F647" s="2056" t="str">
        <f>IF(F646&gt;0,(F644*F637),"")</f>
        <v/>
      </c>
      <c r="G647" s="2074" t="str">
        <f>IF(G646&gt;0,(G646*F644),"")</f>
        <v/>
      </c>
      <c r="Q647" s="2066">
        <v>4</v>
      </c>
      <c r="R647" s="2067">
        <f t="shared" si="42"/>
        <v>0</v>
      </c>
      <c r="S647" s="2067"/>
      <c r="T647" s="2067">
        <f t="shared" si="44"/>
        <v>0</v>
      </c>
      <c r="U647" s="2068" t="str">
        <f t="shared" si="43"/>
        <v/>
      </c>
    </row>
    <row r="648" spans="2:21" s="2040" customFormat="1" ht="14" hidden="1" x14ac:dyDescent="0.3">
      <c r="Q648" s="2066">
        <v>5</v>
      </c>
      <c r="R648" s="2067">
        <f t="shared" si="42"/>
        <v>0</v>
      </c>
      <c r="S648" s="2067"/>
      <c r="T648" s="2067">
        <f t="shared" si="44"/>
        <v>0</v>
      </c>
      <c r="U648" s="2068" t="str">
        <f t="shared" si="43"/>
        <v/>
      </c>
    </row>
    <row r="649" spans="2:21" s="2040" customFormat="1" ht="14" hidden="1" x14ac:dyDescent="0.3">
      <c r="Q649" s="2066">
        <v>6</v>
      </c>
      <c r="R649" s="2067">
        <f t="shared" si="42"/>
        <v>0</v>
      </c>
      <c r="S649" s="2067"/>
      <c r="T649" s="2067">
        <f t="shared" si="44"/>
        <v>0</v>
      </c>
      <c r="U649" s="2068" t="str">
        <f t="shared" si="43"/>
        <v/>
      </c>
    </row>
    <row r="650" spans="2:21" s="2040" customFormat="1" ht="14" hidden="1" x14ac:dyDescent="0.3">
      <c r="Q650" s="2066">
        <v>7</v>
      </c>
      <c r="R650" s="2067">
        <f t="shared" si="42"/>
        <v>0</v>
      </c>
      <c r="S650" s="2067"/>
      <c r="T650" s="2067">
        <f t="shared" si="44"/>
        <v>0</v>
      </c>
      <c r="U650" s="2068" t="str">
        <f t="shared" si="43"/>
        <v/>
      </c>
    </row>
    <row r="651" spans="2:21" s="2040" customFormat="1" ht="14" hidden="1" x14ac:dyDescent="0.3">
      <c r="B651" s="2075" t="s">
        <v>1595</v>
      </c>
      <c r="C651" s="2054"/>
      <c r="D651" s="2054"/>
      <c r="E651" s="2054"/>
      <c r="F651" s="2054"/>
      <c r="Q651" s="2066">
        <v>8</v>
      </c>
      <c r="R651" s="2067">
        <f t="shared" si="42"/>
        <v>0</v>
      </c>
      <c r="S651" s="2067"/>
      <c r="T651" s="2067">
        <f t="shared" si="44"/>
        <v>0</v>
      </c>
      <c r="U651" s="2068" t="str">
        <f t="shared" si="43"/>
        <v/>
      </c>
    </row>
    <row r="652" spans="2:21" s="2040" customFormat="1" ht="14" hidden="1" x14ac:dyDescent="0.3">
      <c r="B652" s="2075"/>
      <c r="C652" s="2076" t="s">
        <v>1596</v>
      </c>
      <c r="D652" s="2077">
        <f>C637</f>
        <v>0</v>
      </c>
      <c r="E652" s="2078" t="s">
        <v>1597</v>
      </c>
      <c r="F652" s="2054"/>
      <c r="O652" s="2079"/>
      <c r="Q652" s="2066">
        <v>9</v>
      </c>
      <c r="R652" s="2067">
        <f t="shared" si="42"/>
        <v>0</v>
      </c>
      <c r="S652" s="2067"/>
      <c r="T652" s="2067">
        <f t="shared" si="44"/>
        <v>0</v>
      </c>
      <c r="U652" s="2068" t="str">
        <f t="shared" si="43"/>
        <v/>
      </c>
    </row>
    <row r="653" spans="2:21" s="2040" customFormat="1" ht="14" hidden="1" x14ac:dyDescent="0.3">
      <c r="B653" s="2075"/>
      <c r="C653" s="2076" t="s">
        <v>1598</v>
      </c>
      <c r="D653" s="2077">
        <f>C638</f>
        <v>0</v>
      </c>
      <c r="E653" s="2080">
        <f>IF(ISERROR(VLOOKUP($D$653,$C$667:$D$684,2,FALSE)),0,VLOOKUP($D$653,$C$667:$D$684,2,FALSE))</f>
        <v>0</v>
      </c>
      <c r="F653" s="2081"/>
      <c r="O653" s="2079"/>
      <c r="Q653" s="2066">
        <v>10</v>
      </c>
      <c r="R653" s="2067">
        <f t="shared" si="42"/>
        <v>0</v>
      </c>
      <c r="S653" s="2067"/>
      <c r="T653" s="2067">
        <f t="shared" si="44"/>
        <v>0</v>
      </c>
      <c r="U653" s="2068" t="str">
        <f t="shared" si="43"/>
        <v/>
      </c>
    </row>
    <row r="654" spans="2:21" s="2040" customFormat="1" ht="14" hidden="1" x14ac:dyDescent="0.3">
      <c r="B654" s="2075"/>
      <c r="C654" s="2076" t="s">
        <v>1599</v>
      </c>
      <c r="D654" s="2082">
        <f>C640</f>
        <v>0</v>
      </c>
      <c r="E654" s="2083" t="e">
        <f>IF(VLOOKUP($E$653,$D$667:$M$684,5,FALSE)=D654,1,IF(VLOOKUP($E$653,$D$667:$M$684,6,FALSE)=$D654,2,IF(VLOOKUP($E$653,$D$667:$M$684,7,FALSE)=$D654,3,IF(VLOOKUP($E$653,$D$667:$M$684,8,FALSE)=$D654,4,IF(VLOOKUP($E$653,$D$667:$M$684,9,FALSE)=$D654,5,IF(VLOOKUP($E$653,$D$667:$M$684,10,FALSE)=$D654,6,0))))))</f>
        <v>#N/A</v>
      </c>
      <c r="F654" s="2054"/>
      <c r="O654" s="2079"/>
      <c r="Q654" s="2066">
        <v>11</v>
      </c>
      <c r="R654" s="2067">
        <f t="shared" si="42"/>
        <v>0</v>
      </c>
      <c r="S654" s="2067"/>
      <c r="T654" s="2067">
        <f t="shared" si="44"/>
        <v>0</v>
      </c>
      <c r="U654" s="2068" t="str">
        <f t="shared" si="43"/>
        <v/>
      </c>
    </row>
    <row r="655" spans="2:21" s="2040" customFormat="1" hidden="1" thickBot="1" x14ac:dyDescent="0.35">
      <c r="B655" s="2075"/>
      <c r="C655" s="2076" t="s">
        <v>1600</v>
      </c>
      <c r="D655" s="2077">
        <f>C641</f>
        <v>0</v>
      </c>
      <c r="E655" s="2080" t="e">
        <f>IF(VLOOKUP($E$653,$D$667:$E$684,2,FALSE)=$C$641,1,IF(VLOOKUP($E$653,$D$667:$F$684,3,FALSE)=$C$641,2,0))</f>
        <v>#N/A</v>
      </c>
      <c r="F655" s="2081"/>
      <c r="O655" s="2079"/>
      <c r="Q655" s="2066">
        <v>12</v>
      </c>
      <c r="R655" s="2067">
        <f t="shared" si="42"/>
        <v>0</v>
      </c>
      <c r="S655" s="2067"/>
      <c r="T655" s="2067">
        <f t="shared" si="44"/>
        <v>0</v>
      </c>
      <c r="U655" s="2068" t="str">
        <f t="shared" si="43"/>
        <v/>
      </c>
    </row>
    <row r="656" spans="2:21" s="2040" customFormat="1" hidden="1" thickBot="1" x14ac:dyDescent="0.35">
      <c r="B656" s="2075"/>
      <c r="C656" s="2031"/>
      <c r="D656" s="2084" t="s">
        <v>1601</v>
      </c>
      <c r="E656" s="2085" t="e">
        <f>CONCATENATE("R",E653,"T",E654,"S",E655)</f>
        <v>#N/A</v>
      </c>
      <c r="F656" s="2081"/>
      <c r="O656" s="2079"/>
      <c r="Q656" s="2066">
        <v>13</v>
      </c>
      <c r="R656" s="2067">
        <f t="shared" si="42"/>
        <v>0</v>
      </c>
      <c r="S656" s="2067"/>
      <c r="T656" s="2067">
        <f t="shared" si="44"/>
        <v>0</v>
      </c>
      <c r="U656" s="2068" t="str">
        <f t="shared" si="43"/>
        <v/>
      </c>
    </row>
    <row r="657" spans="2:21" s="2040" customFormat="1" ht="14" hidden="1" x14ac:dyDescent="0.3">
      <c r="B657" s="2075"/>
      <c r="C657" s="2031"/>
      <c r="D657" s="2086"/>
      <c r="E657" s="2087"/>
      <c r="F657" s="2081"/>
      <c r="O657" s="2079"/>
      <c r="Q657" s="2066">
        <v>14</v>
      </c>
      <c r="R657" s="2067">
        <f t="shared" si="42"/>
        <v>0</v>
      </c>
      <c r="S657" s="2067"/>
      <c r="T657" s="2067">
        <f t="shared" si="44"/>
        <v>0</v>
      </c>
      <c r="U657" s="2068" t="str">
        <f t="shared" si="43"/>
        <v/>
      </c>
    </row>
    <row r="658" spans="2:21" s="2040" customFormat="1" ht="14" hidden="1" x14ac:dyDescent="0.3">
      <c r="B658" s="2075"/>
      <c r="C658" s="2054"/>
      <c r="D658" s="2054"/>
      <c r="E658" s="2064" t="s">
        <v>1602</v>
      </c>
      <c r="F658" s="2064" t="s">
        <v>1603</v>
      </c>
      <c r="O658" s="2079"/>
      <c r="Q658" s="2066">
        <v>15</v>
      </c>
      <c r="R658" s="2067">
        <f t="shared" si="42"/>
        <v>0</v>
      </c>
      <c r="S658" s="2067"/>
      <c r="T658" s="2067">
        <f t="shared" si="44"/>
        <v>0</v>
      </c>
      <c r="U658" s="2068" t="str">
        <f t="shared" si="43"/>
        <v/>
      </c>
    </row>
    <row r="659" spans="2:21" s="2040" customFormat="1" ht="14" hidden="1" x14ac:dyDescent="0.3">
      <c r="B659" s="2088"/>
      <c r="C659" s="2031" t="s">
        <v>1604</v>
      </c>
      <c r="D659" s="2031"/>
      <c r="E659" s="2077">
        <f>IF(C643&gt;0,C644,0)</f>
        <v>0</v>
      </c>
      <c r="F659" s="2089">
        <f>IF($E$659&gt;0,HLOOKUP($E$656,$B$749:$HX$849,($E$659+1),FALSE),0)</f>
        <v>0</v>
      </c>
      <c r="O659" s="2079"/>
      <c r="Q659" s="2066">
        <v>16</v>
      </c>
      <c r="R659" s="2067">
        <f t="shared" si="42"/>
        <v>0</v>
      </c>
      <c r="S659" s="2067"/>
      <c r="T659" s="2067">
        <f t="shared" si="44"/>
        <v>0</v>
      </c>
      <c r="U659" s="2068" t="str">
        <f t="shared" si="43"/>
        <v/>
      </c>
    </row>
    <row r="660" spans="2:21" s="2040" customFormat="1" hidden="1" thickBot="1" x14ac:dyDescent="0.35">
      <c r="B660" s="2075"/>
      <c r="C660" s="2031" t="s">
        <v>1604</v>
      </c>
      <c r="D660" s="2031"/>
      <c r="E660" s="2090">
        <f>IF($E$659&gt;0,$E$659-1,0)</f>
        <v>0</v>
      </c>
      <c r="F660" s="2091">
        <f>IF($E$659&gt;0,HLOOKUP($E$656,$B$749:$HX$849,($E$660+1),FALSE),0)</f>
        <v>0</v>
      </c>
      <c r="O660" s="2079"/>
      <c r="Q660" s="2066">
        <v>17</v>
      </c>
      <c r="R660" s="2067">
        <f t="shared" si="42"/>
        <v>0</v>
      </c>
      <c r="S660" s="2067"/>
      <c r="T660" s="2067">
        <f t="shared" si="44"/>
        <v>0</v>
      </c>
      <c r="U660" s="2068" t="str">
        <f t="shared" si="43"/>
        <v/>
      </c>
    </row>
    <row r="661" spans="2:21" s="2040" customFormat="1" hidden="1" thickBot="1" x14ac:dyDescent="0.35">
      <c r="B661" s="2088"/>
      <c r="C661" s="2054"/>
      <c r="D661" s="2054"/>
      <c r="E661" s="2092" t="s">
        <v>1605</v>
      </c>
      <c r="F661" s="2093">
        <f>F659-F660</f>
        <v>0</v>
      </c>
      <c r="O661" s="2079"/>
      <c r="Q661" s="2066">
        <v>18</v>
      </c>
      <c r="R661" s="2067">
        <f t="shared" si="42"/>
        <v>0</v>
      </c>
      <c r="S661" s="2067"/>
      <c r="T661" s="2067">
        <f t="shared" si="44"/>
        <v>0</v>
      </c>
      <c r="U661" s="2068" t="str">
        <f t="shared" si="43"/>
        <v/>
      </c>
    </row>
    <row r="662" spans="2:21" s="2040" customFormat="1" ht="14" hidden="1" x14ac:dyDescent="0.3">
      <c r="B662" s="2088"/>
      <c r="C662" s="2054"/>
      <c r="D662" s="2054"/>
      <c r="E662" s="2031" t="s">
        <v>1606</v>
      </c>
      <c r="F662" s="2094">
        <f>IF(OR(ISERROR(F661),F661=0),0,AVERAGE(T644:T743))</f>
        <v>0</v>
      </c>
      <c r="O662" s="2079"/>
      <c r="Q662" s="2066">
        <v>19</v>
      </c>
      <c r="R662" s="2067">
        <f t="shared" si="42"/>
        <v>0</v>
      </c>
      <c r="S662" s="2067"/>
      <c r="T662" s="2067">
        <f t="shared" si="44"/>
        <v>0</v>
      </c>
      <c r="U662" s="2068" t="str">
        <f t="shared" si="43"/>
        <v/>
      </c>
    </row>
    <row r="663" spans="2:21" s="2040" customFormat="1" ht="14" hidden="1" x14ac:dyDescent="0.3">
      <c r="B663" s="2051"/>
      <c r="O663" s="2079"/>
      <c r="Q663" s="2066">
        <v>20</v>
      </c>
      <c r="R663" s="2067">
        <f t="shared" si="42"/>
        <v>0</v>
      </c>
      <c r="S663" s="2067"/>
      <c r="T663" s="2067">
        <f t="shared" si="44"/>
        <v>0</v>
      </c>
      <c r="U663" s="2068" t="str">
        <f t="shared" si="43"/>
        <v/>
      </c>
    </row>
    <row r="664" spans="2:21" s="2040" customFormat="1" ht="14" hidden="1" x14ac:dyDescent="0.3">
      <c r="B664" s="2051"/>
      <c r="O664" s="2079"/>
      <c r="Q664" s="2066">
        <v>21</v>
      </c>
      <c r="R664" s="2067">
        <f t="shared" si="42"/>
        <v>0</v>
      </c>
      <c r="S664" s="2067"/>
      <c r="T664" s="2067">
        <f t="shared" si="44"/>
        <v>0</v>
      </c>
      <c r="U664" s="2068" t="str">
        <f t="shared" si="43"/>
        <v/>
      </c>
    </row>
    <row r="665" spans="2:21" s="2040" customFormat="1" ht="14" hidden="1" x14ac:dyDescent="0.3">
      <c r="B665" s="2075" t="s">
        <v>1607</v>
      </c>
      <c r="C665" s="2054"/>
      <c r="D665" s="2095" t="s">
        <v>1608</v>
      </c>
      <c r="E665" s="2064" t="s">
        <v>1609</v>
      </c>
      <c r="F665" s="2054"/>
      <c r="G665" s="2054"/>
      <c r="H665" s="2086" t="s">
        <v>1610</v>
      </c>
      <c r="I665" s="2054"/>
      <c r="J665" s="2054"/>
      <c r="K665" s="2054"/>
      <c r="L665" s="2054"/>
      <c r="M665" s="2054"/>
      <c r="N665" s="2054"/>
      <c r="O665" s="2079"/>
      <c r="Q665" s="2066">
        <v>22</v>
      </c>
      <c r="R665" s="2067">
        <f t="shared" si="42"/>
        <v>0</v>
      </c>
      <c r="S665" s="2067"/>
      <c r="T665" s="2067">
        <f t="shared" si="44"/>
        <v>0</v>
      </c>
      <c r="U665" s="2068" t="str">
        <f t="shared" si="43"/>
        <v/>
      </c>
    </row>
    <row r="666" spans="2:21" s="2040" customFormat="1" ht="14" hidden="1" x14ac:dyDescent="0.3">
      <c r="B666" s="2075" t="s">
        <v>1611</v>
      </c>
      <c r="C666" s="2064" t="s">
        <v>1612</v>
      </c>
      <c r="D666" s="2087" t="s">
        <v>1613</v>
      </c>
      <c r="E666" s="2064" t="s">
        <v>1614</v>
      </c>
      <c r="F666" s="2064" t="s">
        <v>1615</v>
      </c>
      <c r="G666" s="2054"/>
      <c r="H666" s="2087" t="s">
        <v>1616</v>
      </c>
      <c r="I666" s="2087" t="s">
        <v>1617</v>
      </c>
      <c r="J666" s="2087" t="s">
        <v>1618</v>
      </c>
      <c r="K666" s="2087" t="s">
        <v>1619</v>
      </c>
      <c r="L666" s="2087" t="s">
        <v>1620</v>
      </c>
      <c r="M666" s="2087" t="s">
        <v>1621</v>
      </c>
      <c r="N666" s="2096"/>
      <c r="O666" s="2079"/>
      <c r="Q666" s="2066">
        <v>23</v>
      </c>
      <c r="R666" s="2067">
        <f t="shared" si="42"/>
        <v>0</v>
      </c>
      <c r="S666" s="2067"/>
      <c r="T666" s="2067">
        <f t="shared" si="44"/>
        <v>0</v>
      </c>
      <c r="U666" s="2068" t="str">
        <f t="shared" si="43"/>
        <v/>
      </c>
    </row>
    <row r="667" spans="2:21" s="2040" customFormat="1" ht="14" hidden="1" x14ac:dyDescent="0.3">
      <c r="B667" s="2097" t="s">
        <v>868</v>
      </c>
      <c r="C667" s="2098" t="s">
        <v>1551</v>
      </c>
      <c r="D667" s="2099">
        <v>1</v>
      </c>
      <c r="E667" s="2100" t="s">
        <v>1622</v>
      </c>
      <c r="F667" s="2101" t="s">
        <v>1623</v>
      </c>
      <c r="G667" s="2101"/>
      <c r="H667" s="2102" t="s">
        <v>1624</v>
      </c>
      <c r="I667" s="2102" t="s">
        <v>1625</v>
      </c>
      <c r="J667" s="2102" t="s">
        <v>1626</v>
      </c>
      <c r="K667" s="2102" t="s">
        <v>1627</v>
      </c>
      <c r="L667" s="2102" t="s">
        <v>1628</v>
      </c>
      <c r="M667" s="2102" t="s">
        <v>1629</v>
      </c>
      <c r="N667" s="2098"/>
      <c r="O667" s="2079"/>
      <c r="Q667" s="2066">
        <v>24</v>
      </c>
      <c r="R667" s="2067">
        <f t="shared" si="42"/>
        <v>0</v>
      </c>
      <c r="S667" s="2067"/>
      <c r="T667" s="2067">
        <f t="shared" si="44"/>
        <v>0</v>
      </c>
      <c r="U667" s="2068" t="str">
        <f t="shared" si="43"/>
        <v/>
      </c>
    </row>
    <row r="668" spans="2:21" s="2040" customFormat="1" ht="14" hidden="1" x14ac:dyDescent="0.3">
      <c r="B668" s="2097" t="s">
        <v>913</v>
      </c>
      <c r="C668" s="2103" t="s">
        <v>1904</v>
      </c>
      <c r="D668" s="2099">
        <v>10</v>
      </c>
      <c r="E668" s="2100" t="s">
        <v>1630</v>
      </c>
      <c r="F668" s="2101" t="s">
        <v>1631</v>
      </c>
      <c r="G668" s="2101"/>
      <c r="H668" s="2102" t="s">
        <v>1624</v>
      </c>
      <c r="I668" s="2101" t="s">
        <v>1632</v>
      </c>
      <c r="J668" s="2101" t="s">
        <v>1633</v>
      </c>
      <c r="K668" s="2101" t="s">
        <v>1634</v>
      </c>
      <c r="L668" s="2101" t="s">
        <v>1635</v>
      </c>
      <c r="M668" s="2101" t="s">
        <v>1636</v>
      </c>
      <c r="N668" s="2098"/>
      <c r="O668" s="2079"/>
      <c r="Q668" s="2066">
        <v>25</v>
      </c>
      <c r="R668" s="2067">
        <f t="shared" si="42"/>
        <v>0</v>
      </c>
      <c r="S668" s="2067"/>
      <c r="T668" s="2067">
        <f t="shared" si="44"/>
        <v>0</v>
      </c>
      <c r="U668" s="2068" t="str">
        <f t="shared" si="43"/>
        <v/>
      </c>
    </row>
    <row r="669" spans="2:21" s="2040" customFormat="1" ht="14" hidden="1" x14ac:dyDescent="0.3">
      <c r="B669" s="2104" t="s">
        <v>913</v>
      </c>
      <c r="C669" s="2105" t="s">
        <v>1905</v>
      </c>
      <c r="D669" s="2106">
        <v>11</v>
      </c>
      <c r="E669" s="2088" t="s">
        <v>1637</v>
      </c>
      <c r="F669" s="2054" t="s">
        <v>1638</v>
      </c>
      <c r="G669" s="2054"/>
      <c r="H669" s="2081" t="s">
        <v>1624</v>
      </c>
      <c r="I669" s="2054" t="s">
        <v>1639</v>
      </c>
      <c r="J669" s="2054" t="s">
        <v>1625</v>
      </c>
      <c r="K669" s="2054" t="s">
        <v>1640</v>
      </c>
      <c r="L669" s="2054" t="s">
        <v>1641</v>
      </c>
      <c r="M669" s="2054" t="s">
        <v>1642</v>
      </c>
      <c r="N669" s="2107"/>
      <c r="O669" s="2079"/>
      <c r="Q669" s="2066">
        <v>26</v>
      </c>
      <c r="R669" s="2067">
        <f t="shared" si="42"/>
        <v>0</v>
      </c>
      <c r="S669" s="2067"/>
      <c r="T669" s="2067">
        <f t="shared" si="44"/>
        <v>0</v>
      </c>
      <c r="U669" s="2068" t="str">
        <f t="shared" si="43"/>
        <v/>
      </c>
    </row>
    <row r="670" spans="2:21" s="2040" customFormat="1" ht="14" hidden="1" x14ac:dyDescent="0.3">
      <c r="B670" s="2108" t="s">
        <v>913</v>
      </c>
      <c r="C670" s="2109" t="s">
        <v>1911</v>
      </c>
      <c r="D670" s="2106">
        <v>15</v>
      </c>
      <c r="E670" s="2088" t="s">
        <v>1637</v>
      </c>
      <c r="F670" s="2054" t="s">
        <v>1638</v>
      </c>
      <c r="G670" s="2054"/>
      <c r="H670" s="2081" t="s">
        <v>1624</v>
      </c>
      <c r="I670" s="2054" t="s">
        <v>1639</v>
      </c>
      <c r="J670" s="2054" t="s">
        <v>1625</v>
      </c>
      <c r="K670" s="2054" t="s">
        <v>1640</v>
      </c>
      <c r="L670" s="2054" t="s">
        <v>1641</v>
      </c>
      <c r="M670" s="2054" t="s">
        <v>1642</v>
      </c>
      <c r="N670" s="2107"/>
      <c r="O670" s="2079"/>
      <c r="Q670" s="2066">
        <v>27</v>
      </c>
      <c r="R670" s="2067">
        <f t="shared" si="42"/>
        <v>0</v>
      </c>
      <c r="S670" s="2067"/>
      <c r="T670" s="2067">
        <f t="shared" si="44"/>
        <v>0</v>
      </c>
      <c r="U670" s="2068" t="str">
        <f t="shared" si="43"/>
        <v/>
      </c>
    </row>
    <row r="671" spans="2:21" s="2040" customFormat="1" ht="14" hidden="1" x14ac:dyDescent="0.3">
      <c r="B671" s="2088" t="s">
        <v>866</v>
      </c>
      <c r="C671" s="2107" t="s">
        <v>1548</v>
      </c>
      <c r="D671" s="2099">
        <v>17</v>
      </c>
      <c r="E671" s="2100" t="s">
        <v>1643</v>
      </c>
      <c r="F671" s="2101" t="s">
        <v>1644</v>
      </c>
      <c r="G671" s="2101"/>
      <c r="H671" s="2102" t="s">
        <v>1624</v>
      </c>
      <c r="I671" s="2101" t="s">
        <v>1625</v>
      </c>
      <c r="J671" s="2101" t="s">
        <v>1645</v>
      </c>
      <c r="K671" s="2101" t="s">
        <v>1641</v>
      </c>
      <c r="L671" s="2101" t="s">
        <v>1642</v>
      </c>
      <c r="M671" s="2101" t="s">
        <v>1629</v>
      </c>
      <c r="N671" s="2098"/>
      <c r="O671" s="2079"/>
      <c r="Q671" s="2066">
        <v>28</v>
      </c>
      <c r="R671" s="2067">
        <f t="shared" si="42"/>
        <v>0</v>
      </c>
      <c r="S671" s="2067"/>
      <c r="T671" s="2067">
        <f t="shared" si="44"/>
        <v>0</v>
      </c>
      <c r="U671" s="2068" t="str">
        <f t="shared" si="43"/>
        <v/>
      </c>
    </row>
    <row r="672" spans="2:21" s="2040" customFormat="1" ht="14" hidden="1" x14ac:dyDescent="0.3">
      <c r="B672" s="2088" t="s">
        <v>866</v>
      </c>
      <c r="C672" s="2107" t="s">
        <v>1906</v>
      </c>
      <c r="D672" s="2106">
        <v>19</v>
      </c>
      <c r="E672" s="2088" t="s">
        <v>1646</v>
      </c>
      <c r="F672" s="2054" t="s">
        <v>1644</v>
      </c>
      <c r="G672" s="2054"/>
      <c r="H672" s="2081" t="s">
        <v>1624</v>
      </c>
      <c r="I672" s="2054" t="s">
        <v>1625</v>
      </c>
      <c r="J672" s="2054" t="s">
        <v>1645</v>
      </c>
      <c r="K672" s="2054" t="s">
        <v>1641</v>
      </c>
      <c r="L672" s="2054" t="s">
        <v>1642</v>
      </c>
      <c r="M672" s="2054" t="s">
        <v>1629</v>
      </c>
      <c r="N672" s="2107"/>
      <c r="O672" s="2079"/>
      <c r="Q672" s="2066">
        <v>29</v>
      </c>
      <c r="R672" s="2067">
        <f t="shared" si="42"/>
        <v>0</v>
      </c>
      <c r="S672" s="2067"/>
      <c r="T672" s="2067">
        <f t="shared" si="44"/>
        <v>0</v>
      </c>
      <c r="U672" s="2068" t="str">
        <f t="shared" si="43"/>
        <v/>
      </c>
    </row>
    <row r="673" spans="2:21" s="2040" customFormat="1" ht="14" hidden="1" x14ac:dyDescent="0.3">
      <c r="B673" s="2088" t="s">
        <v>866</v>
      </c>
      <c r="C673" s="2107" t="s">
        <v>1544</v>
      </c>
      <c r="D673" s="2106">
        <v>20</v>
      </c>
      <c r="E673" s="2088" t="s">
        <v>1646</v>
      </c>
      <c r="F673" s="2054" t="s">
        <v>1644</v>
      </c>
      <c r="G673" s="2054"/>
      <c r="H673" s="2081" t="s">
        <v>1624</v>
      </c>
      <c r="I673" s="2054" t="s">
        <v>1625</v>
      </c>
      <c r="J673" s="2054" t="s">
        <v>1645</v>
      </c>
      <c r="K673" s="2054" t="s">
        <v>1641</v>
      </c>
      <c r="L673" s="2054" t="s">
        <v>1642</v>
      </c>
      <c r="M673" s="2054" t="s">
        <v>1629</v>
      </c>
      <c r="N673" s="2107"/>
      <c r="O673" s="2079"/>
      <c r="Q673" s="2066">
        <v>30</v>
      </c>
      <c r="R673" s="2067">
        <f t="shared" si="42"/>
        <v>0</v>
      </c>
      <c r="S673" s="2067"/>
      <c r="T673" s="2067">
        <f t="shared" si="44"/>
        <v>0</v>
      </c>
      <c r="U673" s="2068" t="str">
        <f t="shared" si="43"/>
        <v/>
      </c>
    </row>
    <row r="674" spans="2:21" s="2040" customFormat="1" ht="14" hidden="1" x14ac:dyDescent="0.3">
      <c r="B674" s="2108" t="s">
        <v>866</v>
      </c>
      <c r="C674" s="2110" t="s">
        <v>1549</v>
      </c>
      <c r="D674" s="2111">
        <v>22</v>
      </c>
      <c r="E674" s="2088" t="s">
        <v>1646</v>
      </c>
      <c r="F674" s="2054" t="s">
        <v>1644</v>
      </c>
      <c r="G674" s="2112"/>
      <c r="H674" s="2061" t="s">
        <v>1624</v>
      </c>
      <c r="I674" s="2112" t="s">
        <v>1625</v>
      </c>
      <c r="J674" s="2112" t="s">
        <v>1645</v>
      </c>
      <c r="K674" s="2112" t="s">
        <v>1641</v>
      </c>
      <c r="L674" s="2112" t="s">
        <v>1642</v>
      </c>
      <c r="M674" s="2112" t="s">
        <v>1629</v>
      </c>
      <c r="N674" s="2110"/>
      <c r="O674" s="2079"/>
      <c r="Q674" s="2066">
        <v>31</v>
      </c>
      <c r="R674" s="2067">
        <f t="shared" si="42"/>
        <v>0</v>
      </c>
      <c r="S674" s="2067"/>
      <c r="T674" s="2067">
        <f t="shared" si="44"/>
        <v>0</v>
      </c>
      <c r="U674" s="2068" t="str">
        <f t="shared" si="43"/>
        <v/>
      </c>
    </row>
    <row r="675" spans="2:21" s="2040" customFormat="1" ht="14" hidden="1" x14ac:dyDescent="0.3">
      <c r="B675" s="2104" t="s">
        <v>867</v>
      </c>
      <c r="C675" s="2107" t="s">
        <v>1552</v>
      </c>
      <c r="D675" s="2099">
        <v>23</v>
      </c>
      <c r="E675" s="2100" t="s">
        <v>1647</v>
      </c>
      <c r="F675" s="2101" t="s">
        <v>1648</v>
      </c>
      <c r="G675" s="2101"/>
      <c r="H675" s="2102" t="s">
        <v>1624</v>
      </c>
      <c r="I675" s="2101" t="s">
        <v>1625</v>
      </c>
      <c r="J675" s="2101" t="s">
        <v>1628</v>
      </c>
      <c r="K675" s="2101" t="s">
        <v>1629</v>
      </c>
      <c r="L675" s="2101" t="s">
        <v>1629</v>
      </c>
      <c r="M675" s="2101" t="s">
        <v>1629</v>
      </c>
      <c r="N675" s="2098"/>
      <c r="O675" s="2079"/>
      <c r="Q675" s="2066">
        <v>32</v>
      </c>
      <c r="R675" s="2067">
        <f t="shared" si="42"/>
        <v>0</v>
      </c>
      <c r="S675" s="2067"/>
      <c r="T675" s="2067">
        <f t="shared" si="44"/>
        <v>0</v>
      </c>
      <c r="U675" s="2068" t="str">
        <f t="shared" si="43"/>
        <v/>
      </c>
    </row>
    <row r="676" spans="2:21" s="2040" customFormat="1" ht="14" hidden="1" x14ac:dyDescent="0.3">
      <c r="B676" s="2108" t="s">
        <v>867</v>
      </c>
      <c r="C676" s="2110" t="s">
        <v>1907</v>
      </c>
      <c r="D676" s="2106">
        <v>24</v>
      </c>
      <c r="E676" s="2088" t="s">
        <v>1647</v>
      </c>
      <c r="F676" s="2054" t="s">
        <v>1648</v>
      </c>
      <c r="G676" s="2054"/>
      <c r="H676" s="2081" t="s">
        <v>1624</v>
      </c>
      <c r="I676" s="2054" t="s">
        <v>1625</v>
      </c>
      <c r="J676" s="2054" t="s">
        <v>1628</v>
      </c>
      <c r="K676" s="2054" t="s">
        <v>1629</v>
      </c>
      <c r="L676" s="2054" t="s">
        <v>1629</v>
      </c>
      <c r="M676" s="2054" t="s">
        <v>1629</v>
      </c>
      <c r="N676" s="2107"/>
      <c r="O676" s="2079"/>
      <c r="Q676" s="2066">
        <v>33</v>
      </c>
      <c r="R676" s="2067">
        <f t="shared" ref="R676:R707" si="45">IF($F$661&gt;0,HLOOKUP($E$656,$B$749:$HX$849,Q676+1,FALSE),0)</f>
        <v>0</v>
      </c>
      <c r="S676" s="2067"/>
      <c r="T676" s="2067">
        <f t="shared" si="44"/>
        <v>0</v>
      </c>
      <c r="U676" s="2068" t="str">
        <f t="shared" si="43"/>
        <v/>
      </c>
    </row>
    <row r="677" spans="2:21" s="2040" customFormat="1" ht="14" hidden="1" x14ac:dyDescent="0.3">
      <c r="B677" s="2104" t="s">
        <v>912</v>
      </c>
      <c r="C677" s="2113" t="s">
        <v>1908</v>
      </c>
      <c r="D677" s="2099">
        <v>28</v>
      </c>
      <c r="E677" s="2100" t="s">
        <v>1649</v>
      </c>
      <c r="F677" s="2101" t="s">
        <v>1650</v>
      </c>
      <c r="G677" s="2101"/>
      <c r="H677" s="2102" t="s">
        <v>1624</v>
      </c>
      <c r="I677" s="2101" t="s">
        <v>1639</v>
      </c>
      <c r="J677" s="2101" t="s">
        <v>1625</v>
      </c>
      <c r="K677" s="2101" t="s">
        <v>1645</v>
      </c>
      <c r="L677" s="2101" t="s">
        <v>1651</v>
      </c>
      <c r="M677" s="2101" t="s">
        <v>1652</v>
      </c>
      <c r="N677" s="2098"/>
      <c r="O677" s="2079"/>
      <c r="Q677" s="2066">
        <v>34</v>
      </c>
      <c r="R677" s="2067">
        <f t="shared" si="45"/>
        <v>0</v>
      </c>
      <c r="S677" s="2067"/>
      <c r="T677" s="2067">
        <f t="shared" si="44"/>
        <v>0</v>
      </c>
      <c r="U677" s="2068" t="str">
        <f t="shared" si="43"/>
        <v/>
      </c>
    </row>
    <row r="678" spans="2:21" s="2040" customFormat="1" ht="14" hidden="1" x14ac:dyDescent="0.3">
      <c r="B678" s="2104" t="s">
        <v>912</v>
      </c>
      <c r="C678" s="2054" t="s">
        <v>1909</v>
      </c>
      <c r="D678" s="2106">
        <v>30</v>
      </c>
      <c r="E678" s="2088" t="s">
        <v>1653</v>
      </c>
      <c r="F678" s="2054" t="s">
        <v>1654</v>
      </c>
      <c r="G678" s="2054"/>
      <c r="H678" s="2081" t="s">
        <v>1624</v>
      </c>
      <c r="I678" s="2054" t="s">
        <v>1639</v>
      </c>
      <c r="J678" s="2054" t="s">
        <v>1625</v>
      </c>
      <c r="K678" s="2054" t="s">
        <v>1645</v>
      </c>
      <c r="L678" s="2054" t="s">
        <v>1628</v>
      </c>
      <c r="M678" s="2054" t="s">
        <v>1629</v>
      </c>
      <c r="N678" s="2107"/>
      <c r="O678" s="2079"/>
      <c r="Q678" s="2066">
        <v>35</v>
      </c>
      <c r="R678" s="2067">
        <f t="shared" si="45"/>
        <v>0</v>
      </c>
      <c r="S678" s="2067"/>
      <c r="T678" s="2067">
        <f t="shared" si="44"/>
        <v>0</v>
      </c>
      <c r="U678" s="2068" t="str">
        <f t="shared" si="43"/>
        <v/>
      </c>
    </row>
    <row r="679" spans="2:21" s="2040" customFormat="1" ht="14" hidden="1" x14ac:dyDescent="0.3">
      <c r="B679" s="2104" t="s">
        <v>912</v>
      </c>
      <c r="C679" s="2054" t="s">
        <v>1910</v>
      </c>
      <c r="D679" s="2106">
        <v>31</v>
      </c>
      <c r="E679" s="2088" t="s">
        <v>1653</v>
      </c>
      <c r="F679" s="2054" t="s">
        <v>1654</v>
      </c>
      <c r="G679" s="2054"/>
      <c r="H679" s="2081" t="s">
        <v>1624</v>
      </c>
      <c r="I679" s="2054" t="s">
        <v>1639</v>
      </c>
      <c r="J679" s="2054" t="s">
        <v>1625</v>
      </c>
      <c r="K679" s="2054" t="s">
        <v>1645</v>
      </c>
      <c r="L679" s="2054" t="s">
        <v>1628</v>
      </c>
      <c r="M679" s="2054" t="s">
        <v>1629</v>
      </c>
      <c r="N679" s="2107"/>
      <c r="O679" s="2079"/>
      <c r="Q679" s="2066">
        <v>36</v>
      </c>
      <c r="R679" s="2067">
        <f t="shared" si="45"/>
        <v>0</v>
      </c>
      <c r="S679" s="2067"/>
      <c r="T679" s="2067">
        <f t="shared" si="44"/>
        <v>0</v>
      </c>
      <c r="U679" s="2068" t="str">
        <f t="shared" si="43"/>
        <v/>
      </c>
    </row>
    <row r="680" spans="2:21" s="2040" customFormat="1" ht="14" hidden="1" x14ac:dyDescent="0.3">
      <c r="B680" s="2104" t="s">
        <v>912</v>
      </c>
      <c r="C680" s="2054" t="s">
        <v>1555</v>
      </c>
      <c r="D680" s="2106">
        <v>32</v>
      </c>
      <c r="E680" s="2088" t="s">
        <v>1655</v>
      </c>
      <c r="F680" s="2054" t="s">
        <v>1650</v>
      </c>
      <c r="G680" s="2054"/>
      <c r="H680" s="2081" t="s">
        <v>1624</v>
      </c>
      <c r="I680" s="2054" t="s">
        <v>1625</v>
      </c>
      <c r="J680" s="2054" t="s">
        <v>1645</v>
      </c>
      <c r="K680" s="2054" t="s">
        <v>1628</v>
      </c>
      <c r="L680" s="2054" t="s">
        <v>1629</v>
      </c>
      <c r="M680" s="2054" t="s">
        <v>1629</v>
      </c>
      <c r="N680" s="2107"/>
      <c r="O680" s="2079"/>
      <c r="Q680" s="2066">
        <v>37</v>
      </c>
      <c r="R680" s="2067">
        <f t="shared" si="45"/>
        <v>0</v>
      </c>
      <c r="S680" s="2067"/>
      <c r="T680" s="2067">
        <f t="shared" si="44"/>
        <v>0</v>
      </c>
      <c r="U680" s="2068" t="str">
        <f t="shared" si="43"/>
        <v/>
      </c>
    </row>
    <row r="681" spans="2:21" s="2040" customFormat="1" ht="14" hidden="1" x14ac:dyDescent="0.3">
      <c r="B681" s="2104" t="s">
        <v>912</v>
      </c>
      <c r="C681" s="2054" t="s">
        <v>1557</v>
      </c>
      <c r="D681" s="2106">
        <v>33</v>
      </c>
      <c r="E681" s="2088" t="s">
        <v>1656</v>
      </c>
      <c r="F681" s="2054" t="s">
        <v>1657</v>
      </c>
      <c r="G681" s="2054"/>
      <c r="H681" s="2081" t="s">
        <v>1624</v>
      </c>
      <c r="I681" s="2054" t="s">
        <v>1625</v>
      </c>
      <c r="J681" s="2054" t="s">
        <v>1645</v>
      </c>
      <c r="K681" s="2054" t="s">
        <v>1658</v>
      </c>
      <c r="L681" s="2054" t="s">
        <v>1628</v>
      </c>
      <c r="M681" s="2054" t="s">
        <v>1629</v>
      </c>
      <c r="N681" s="2107"/>
      <c r="Q681" s="2066">
        <v>38</v>
      </c>
      <c r="R681" s="2067">
        <f t="shared" si="45"/>
        <v>0</v>
      </c>
      <c r="S681" s="2067"/>
      <c r="T681" s="2067">
        <f t="shared" si="44"/>
        <v>0</v>
      </c>
      <c r="U681" s="2068" t="str">
        <f t="shared" si="43"/>
        <v/>
      </c>
    </row>
    <row r="682" spans="2:21" s="2040" customFormat="1" ht="14" hidden="1" x14ac:dyDescent="0.3">
      <c r="B682" s="2108" t="s">
        <v>912</v>
      </c>
      <c r="C682" s="2112" t="s">
        <v>1556</v>
      </c>
      <c r="D682" s="2111">
        <v>35</v>
      </c>
      <c r="E682" s="2114" t="s">
        <v>1648</v>
      </c>
      <c r="F682" s="2112" t="s">
        <v>1654</v>
      </c>
      <c r="G682" s="2112"/>
      <c r="H682" s="2061" t="s">
        <v>1624</v>
      </c>
      <c r="I682" s="2112" t="s">
        <v>1639</v>
      </c>
      <c r="J682" s="2112" t="s">
        <v>1625</v>
      </c>
      <c r="K682" s="2112" t="s">
        <v>1645</v>
      </c>
      <c r="L682" s="2112" t="s">
        <v>1628</v>
      </c>
      <c r="M682" s="2112" t="s">
        <v>1629</v>
      </c>
      <c r="N682" s="2110"/>
      <c r="Q682" s="2066">
        <v>39</v>
      </c>
      <c r="R682" s="2067">
        <f t="shared" si="45"/>
        <v>0</v>
      </c>
      <c r="S682" s="2067"/>
      <c r="T682" s="2067">
        <f t="shared" si="44"/>
        <v>0</v>
      </c>
      <c r="U682" s="2068" t="str">
        <f t="shared" si="43"/>
        <v/>
      </c>
    </row>
    <row r="683" spans="2:21" s="2040" customFormat="1" ht="14" hidden="1" x14ac:dyDescent="0.3">
      <c r="B683" s="2104" t="s">
        <v>914</v>
      </c>
      <c r="C683" s="2054" t="s">
        <v>1550</v>
      </c>
      <c r="D683" s="2099">
        <v>36</v>
      </c>
      <c r="E683" s="2100" t="s">
        <v>1659</v>
      </c>
      <c r="F683" s="2101" t="s">
        <v>1630</v>
      </c>
      <c r="G683" s="2101"/>
      <c r="H683" s="2102" t="s">
        <v>1624</v>
      </c>
      <c r="I683" s="2101" t="s">
        <v>1660</v>
      </c>
      <c r="J683" s="2101" t="s">
        <v>1661</v>
      </c>
      <c r="K683" s="2101" t="s">
        <v>1662</v>
      </c>
      <c r="L683" s="2101" t="s">
        <v>1663</v>
      </c>
      <c r="M683" s="2101" t="s">
        <v>1664</v>
      </c>
      <c r="N683" s="2098"/>
      <c r="Q683" s="2066">
        <v>40</v>
      </c>
      <c r="R683" s="2067">
        <f t="shared" si="45"/>
        <v>0</v>
      </c>
      <c r="S683" s="2067"/>
      <c r="T683" s="2067">
        <f t="shared" si="44"/>
        <v>0</v>
      </c>
      <c r="U683" s="2068" t="str">
        <f t="shared" si="43"/>
        <v/>
      </c>
    </row>
    <row r="684" spans="2:21" s="2040" customFormat="1" ht="14" hidden="1" x14ac:dyDescent="0.3">
      <c r="B684" s="2108" t="s">
        <v>914</v>
      </c>
      <c r="C684" s="2110" t="s">
        <v>1543</v>
      </c>
      <c r="D684" s="2111">
        <v>40</v>
      </c>
      <c r="E684" s="2114" t="s">
        <v>1665</v>
      </c>
      <c r="F684" s="2112" t="s">
        <v>1666</v>
      </c>
      <c r="G684" s="2112"/>
      <c r="H684" s="2061" t="s">
        <v>1624</v>
      </c>
      <c r="I684" s="2112" t="s">
        <v>1660</v>
      </c>
      <c r="J684" s="2112" t="s">
        <v>1661</v>
      </c>
      <c r="K684" s="2112" t="s">
        <v>1662</v>
      </c>
      <c r="L684" s="2112" t="s">
        <v>1663</v>
      </c>
      <c r="M684" s="2112" t="s">
        <v>1664</v>
      </c>
      <c r="N684" s="2110"/>
      <c r="Q684" s="2066">
        <v>41</v>
      </c>
      <c r="R684" s="2067">
        <f t="shared" si="45"/>
        <v>0</v>
      </c>
      <c r="S684" s="2067"/>
      <c r="T684" s="2067">
        <f t="shared" si="44"/>
        <v>0</v>
      </c>
      <c r="U684" s="2068" t="str">
        <f t="shared" si="43"/>
        <v/>
      </c>
    </row>
    <row r="685" spans="2:21" s="2040" customFormat="1" ht="14" hidden="1" x14ac:dyDescent="0.3">
      <c r="Q685" s="2066">
        <v>42</v>
      </c>
      <c r="R685" s="2067">
        <f t="shared" si="45"/>
        <v>0</v>
      </c>
      <c r="S685" s="2067"/>
      <c r="T685" s="2067">
        <f t="shared" si="44"/>
        <v>0</v>
      </c>
      <c r="U685" s="2068" t="str">
        <f t="shared" si="43"/>
        <v/>
      </c>
    </row>
    <row r="686" spans="2:21" s="2040" customFormat="1" ht="14" hidden="1" x14ac:dyDescent="0.3">
      <c r="Q686" s="2066">
        <v>43</v>
      </c>
      <c r="R686" s="2067">
        <f t="shared" si="45"/>
        <v>0</v>
      </c>
      <c r="S686" s="2067"/>
      <c r="T686" s="2067">
        <f t="shared" si="44"/>
        <v>0</v>
      </c>
      <c r="U686" s="2068" t="str">
        <f t="shared" si="43"/>
        <v/>
      </c>
    </row>
    <row r="687" spans="2:21" s="2040" customFormat="1" ht="14" hidden="1" x14ac:dyDescent="0.3">
      <c r="Q687" s="2066">
        <v>44</v>
      </c>
      <c r="R687" s="2067">
        <f t="shared" si="45"/>
        <v>0</v>
      </c>
      <c r="S687" s="2054"/>
      <c r="T687" s="2067">
        <f t="shared" si="44"/>
        <v>0</v>
      </c>
      <c r="U687" s="2068" t="str">
        <f t="shared" si="43"/>
        <v/>
      </c>
    </row>
    <row r="688" spans="2:21" s="2040" customFormat="1" ht="14" hidden="1" x14ac:dyDescent="0.3">
      <c r="Q688" s="2066">
        <v>45</v>
      </c>
      <c r="R688" s="2067">
        <f t="shared" si="45"/>
        <v>0</v>
      </c>
      <c r="S688" s="2054"/>
      <c r="T688" s="2067">
        <f t="shared" si="44"/>
        <v>0</v>
      </c>
      <c r="U688" s="2068" t="str">
        <f t="shared" si="43"/>
        <v/>
      </c>
    </row>
    <row r="689" spans="17:21" s="2040" customFormat="1" ht="14" hidden="1" x14ac:dyDescent="0.3">
      <c r="Q689" s="2066">
        <v>46</v>
      </c>
      <c r="R689" s="2067">
        <f t="shared" si="45"/>
        <v>0</v>
      </c>
      <c r="S689" s="2054"/>
      <c r="T689" s="2067">
        <f t="shared" si="44"/>
        <v>0</v>
      </c>
      <c r="U689" s="2068" t="str">
        <f t="shared" si="43"/>
        <v/>
      </c>
    </row>
    <row r="690" spans="17:21" s="2040" customFormat="1" ht="14" hidden="1" x14ac:dyDescent="0.3">
      <c r="Q690" s="2066">
        <v>47</v>
      </c>
      <c r="R690" s="2067">
        <f t="shared" si="45"/>
        <v>0</v>
      </c>
      <c r="S690" s="2054"/>
      <c r="T690" s="2067">
        <f t="shared" si="44"/>
        <v>0</v>
      </c>
      <c r="U690" s="2068" t="str">
        <f t="shared" si="43"/>
        <v/>
      </c>
    </row>
    <row r="691" spans="17:21" s="2040" customFormat="1" ht="14" hidden="1" x14ac:dyDescent="0.3">
      <c r="Q691" s="2066">
        <v>48</v>
      </c>
      <c r="R691" s="2067">
        <f t="shared" si="45"/>
        <v>0</v>
      </c>
      <c r="S691" s="2054"/>
      <c r="T691" s="2067">
        <f t="shared" si="44"/>
        <v>0</v>
      </c>
      <c r="U691" s="2068" t="str">
        <f t="shared" si="43"/>
        <v/>
      </c>
    </row>
    <row r="692" spans="17:21" s="2040" customFormat="1" ht="14" hidden="1" x14ac:dyDescent="0.3">
      <c r="Q692" s="2066">
        <v>49</v>
      </c>
      <c r="R692" s="2067">
        <f t="shared" si="45"/>
        <v>0</v>
      </c>
      <c r="S692" s="2054"/>
      <c r="T692" s="2067">
        <f t="shared" si="44"/>
        <v>0</v>
      </c>
      <c r="U692" s="2068" t="str">
        <f t="shared" si="43"/>
        <v/>
      </c>
    </row>
    <row r="693" spans="17:21" s="2040" customFormat="1" ht="14" hidden="1" x14ac:dyDescent="0.3">
      <c r="Q693" s="2066">
        <v>50</v>
      </c>
      <c r="R693" s="2067">
        <f t="shared" si="45"/>
        <v>0</v>
      </c>
      <c r="S693" s="2054"/>
      <c r="T693" s="2067">
        <f t="shared" si="44"/>
        <v>0</v>
      </c>
      <c r="U693" s="2068" t="str">
        <f t="shared" si="43"/>
        <v/>
      </c>
    </row>
    <row r="694" spans="17:21" s="2040" customFormat="1" ht="14" hidden="1" x14ac:dyDescent="0.3">
      <c r="Q694" s="2066">
        <v>51</v>
      </c>
      <c r="R694" s="2067">
        <f t="shared" si="45"/>
        <v>0</v>
      </c>
      <c r="S694" s="2054"/>
      <c r="T694" s="2067">
        <f t="shared" si="44"/>
        <v>0</v>
      </c>
      <c r="U694" s="2068" t="str">
        <f t="shared" si="43"/>
        <v/>
      </c>
    </row>
    <row r="695" spans="17:21" s="2040" customFormat="1" ht="14" hidden="1" x14ac:dyDescent="0.3">
      <c r="Q695" s="2066">
        <v>52</v>
      </c>
      <c r="R695" s="2067">
        <f t="shared" si="45"/>
        <v>0</v>
      </c>
      <c r="S695" s="2054"/>
      <c r="T695" s="2067">
        <f t="shared" si="44"/>
        <v>0</v>
      </c>
      <c r="U695" s="2068" t="str">
        <f t="shared" si="43"/>
        <v/>
      </c>
    </row>
    <row r="696" spans="17:21" s="2040" customFormat="1" ht="14" hidden="1" x14ac:dyDescent="0.3">
      <c r="Q696" s="2066">
        <v>53</v>
      </c>
      <c r="R696" s="2067">
        <f t="shared" si="45"/>
        <v>0</v>
      </c>
      <c r="S696" s="2054"/>
      <c r="T696" s="2067">
        <f t="shared" si="44"/>
        <v>0</v>
      </c>
      <c r="U696" s="2068" t="str">
        <f t="shared" si="43"/>
        <v/>
      </c>
    </row>
    <row r="697" spans="17:21" s="2040" customFormat="1" ht="14" hidden="1" x14ac:dyDescent="0.3">
      <c r="Q697" s="2066">
        <v>54</v>
      </c>
      <c r="R697" s="2067">
        <f t="shared" si="45"/>
        <v>0</v>
      </c>
      <c r="S697" s="2054"/>
      <c r="T697" s="2067">
        <f t="shared" si="44"/>
        <v>0</v>
      </c>
      <c r="U697" s="2068" t="str">
        <f t="shared" si="43"/>
        <v/>
      </c>
    </row>
    <row r="698" spans="17:21" s="2040" customFormat="1" ht="14" hidden="1" x14ac:dyDescent="0.3">
      <c r="Q698" s="2066">
        <v>55</v>
      </c>
      <c r="R698" s="2067">
        <f t="shared" si="45"/>
        <v>0</v>
      </c>
      <c r="S698" s="2054"/>
      <c r="T698" s="2067">
        <f t="shared" si="44"/>
        <v>0</v>
      </c>
      <c r="U698" s="2068" t="str">
        <f t="shared" si="43"/>
        <v/>
      </c>
    </row>
    <row r="699" spans="17:21" s="2040" customFormat="1" ht="14" hidden="1" x14ac:dyDescent="0.3">
      <c r="Q699" s="2066">
        <v>56</v>
      </c>
      <c r="R699" s="2067">
        <f t="shared" si="45"/>
        <v>0</v>
      </c>
      <c r="S699" s="2054"/>
      <c r="T699" s="2067">
        <f t="shared" si="44"/>
        <v>0</v>
      </c>
      <c r="U699" s="2068" t="str">
        <f t="shared" si="43"/>
        <v/>
      </c>
    </row>
    <row r="700" spans="17:21" s="2040" customFormat="1" ht="14" hidden="1" x14ac:dyDescent="0.3">
      <c r="Q700" s="2066">
        <v>57</v>
      </c>
      <c r="R700" s="2067">
        <f t="shared" si="45"/>
        <v>0</v>
      </c>
      <c r="S700" s="2054"/>
      <c r="T700" s="2067">
        <f t="shared" si="44"/>
        <v>0</v>
      </c>
      <c r="U700" s="2068" t="str">
        <f t="shared" si="43"/>
        <v/>
      </c>
    </row>
    <row r="701" spans="17:21" s="2040" customFormat="1" ht="14" hidden="1" x14ac:dyDescent="0.3">
      <c r="Q701" s="2066">
        <v>58</v>
      </c>
      <c r="R701" s="2067">
        <f t="shared" si="45"/>
        <v>0</v>
      </c>
      <c r="S701" s="2054"/>
      <c r="T701" s="2067">
        <f t="shared" si="44"/>
        <v>0</v>
      </c>
      <c r="U701" s="2068" t="str">
        <f t="shared" si="43"/>
        <v/>
      </c>
    </row>
    <row r="702" spans="17:21" s="2040" customFormat="1" ht="14" hidden="1" x14ac:dyDescent="0.3">
      <c r="Q702" s="2066">
        <v>59</v>
      </c>
      <c r="R702" s="2067">
        <f t="shared" si="45"/>
        <v>0</v>
      </c>
      <c r="S702" s="2054"/>
      <c r="T702" s="2067">
        <f t="shared" si="44"/>
        <v>0</v>
      </c>
      <c r="U702" s="2068" t="str">
        <f t="shared" si="43"/>
        <v/>
      </c>
    </row>
    <row r="703" spans="17:21" s="2040" customFormat="1" ht="14" hidden="1" x14ac:dyDescent="0.3">
      <c r="Q703" s="2066">
        <v>60</v>
      </c>
      <c r="R703" s="2067">
        <f t="shared" si="45"/>
        <v>0</v>
      </c>
      <c r="S703" s="2054"/>
      <c r="T703" s="2067">
        <f t="shared" si="44"/>
        <v>0</v>
      </c>
      <c r="U703" s="2068" t="str">
        <f t="shared" si="43"/>
        <v/>
      </c>
    </row>
    <row r="704" spans="17:21" s="2040" customFormat="1" ht="14" hidden="1" x14ac:dyDescent="0.3">
      <c r="Q704" s="2066">
        <v>61</v>
      </c>
      <c r="R704" s="2067">
        <f t="shared" si="45"/>
        <v>0</v>
      </c>
      <c r="S704" s="2054"/>
      <c r="T704" s="2067">
        <f t="shared" si="44"/>
        <v>0</v>
      </c>
      <c r="U704" s="2068" t="str">
        <f t="shared" si="43"/>
        <v/>
      </c>
    </row>
    <row r="705" spans="17:21" s="2040" customFormat="1" ht="14" hidden="1" x14ac:dyDescent="0.3">
      <c r="Q705" s="2066">
        <v>62</v>
      </c>
      <c r="R705" s="2067">
        <f t="shared" si="45"/>
        <v>0</v>
      </c>
      <c r="S705" s="2054"/>
      <c r="T705" s="2067">
        <f t="shared" si="44"/>
        <v>0</v>
      </c>
      <c r="U705" s="2068" t="str">
        <f t="shared" si="43"/>
        <v/>
      </c>
    </row>
    <row r="706" spans="17:21" s="2040" customFormat="1" ht="14" hidden="1" x14ac:dyDescent="0.3">
      <c r="Q706" s="2066">
        <v>63</v>
      </c>
      <c r="R706" s="2067">
        <f t="shared" si="45"/>
        <v>0</v>
      </c>
      <c r="S706" s="2054"/>
      <c r="T706" s="2067">
        <f t="shared" si="44"/>
        <v>0</v>
      </c>
      <c r="U706" s="2068" t="str">
        <f t="shared" si="43"/>
        <v/>
      </c>
    </row>
    <row r="707" spans="17:21" s="2040" customFormat="1" ht="14" hidden="1" x14ac:dyDescent="0.3">
      <c r="Q707" s="2066">
        <v>64</v>
      </c>
      <c r="R707" s="2067">
        <f t="shared" si="45"/>
        <v>0</v>
      </c>
      <c r="S707" s="2054"/>
      <c r="T707" s="2067">
        <f t="shared" si="44"/>
        <v>0</v>
      </c>
      <c r="U707" s="2068" t="str">
        <f t="shared" si="43"/>
        <v/>
      </c>
    </row>
    <row r="708" spans="17:21" s="2040" customFormat="1" ht="14" hidden="1" x14ac:dyDescent="0.3">
      <c r="Q708" s="2066">
        <v>65</v>
      </c>
      <c r="R708" s="2067">
        <f t="shared" ref="R708:R739" si="46">IF($F$661&gt;0,HLOOKUP($E$656,$B$749:$HX$849,Q708+1,FALSE),0)</f>
        <v>0</v>
      </c>
      <c r="S708" s="2054"/>
      <c r="T708" s="2067">
        <f t="shared" si="44"/>
        <v>0</v>
      </c>
      <c r="U708" s="2068" t="str">
        <f t="shared" ref="U708:U716" si="47">IF(Q708=$E$659,R708-0,"")</f>
        <v/>
      </c>
    </row>
    <row r="709" spans="17:21" s="2040" customFormat="1" ht="14" hidden="1" x14ac:dyDescent="0.3">
      <c r="Q709" s="2066">
        <v>66</v>
      </c>
      <c r="R709" s="2067">
        <f t="shared" si="46"/>
        <v>0</v>
      </c>
      <c r="S709" s="2054"/>
      <c r="T709" s="2067">
        <f t="shared" si="44"/>
        <v>0</v>
      </c>
      <c r="U709" s="2068" t="str">
        <f t="shared" si="47"/>
        <v/>
      </c>
    </row>
    <row r="710" spans="17:21" s="2040" customFormat="1" ht="14" hidden="1" x14ac:dyDescent="0.3">
      <c r="Q710" s="2066">
        <v>67</v>
      </c>
      <c r="R710" s="2067">
        <f t="shared" si="46"/>
        <v>0</v>
      </c>
      <c r="S710" s="2054"/>
      <c r="T710" s="2067">
        <f t="shared" ref="T710:T743" si="48">R710-R709</f>
        <v>0</v>
      </c>
      <c r="U710" s="2068" t="str">
        <f t="shared" si="47"/>
        <v/>
      </c>
    </row>
    <row r="711" spans="17:21" s="2040" customFormat="1" ht="14" hidden="1" x14ac:dyDescent="0.3">
      <c r="Q711" s="2066">
        <v>68</v>
      </c>
      <c r="R711" s="2067">
        <f t="shared" si="46"/>
        <v>0</v>
      </c>
      <c r="S711" s="2054"/>
      <c r="T711" s="2067">
        <f t="shared" si="48"/>
        <v>0</v>
      </c>
      <c r="U711" s="2068" t="str">
        <f t="shared" si="47"/>
        <v/>
      </c>
    </row>
    <row r="712" spans="17:21" s="2040" customFormat="1" ht="14" hidden="1" x14ac:dyDescent="0.3">
      <c r="Q712" s="2066">
        <v>69</v>
      </c>
      <c r="R712" s="2067">
        <f t="shared" si="46"/>
        <v>0</v>
      </c>
      <c r="S712" s="2054"/>
      <c r="T712" s="2067">
        <f t="shared" si="48"/>
        <v>0</v>
      </c>
      <c r="U712" s="2068" t="str">
        <f t="shared" si="47"/>
        <v/>
      </c>
    </row>
    <row r="713" spans="17:21" s="2040" customFormat="1" ht="14" hidden="1" x14ac:dyDescent="0.3">
      <c r="Q713" s="2066">
        <v>70</v>
      </c>
      <c r="R713" s="2067">
        <f t="shared" si="46"/>
        <v>0</v>
      </c>
      <c r="S713" s="2054"/>
      <c r="T713" s="2067">
        <f t="shared" si="48"/>
        <v>0</v>
      </c>
      <c r="U713" s="2068" t="str">
        <f t="shared" si="47"/>
        <v/>
      </c>
    </row>
    <row r="714" spans="17:21" s="2040" customFormat="1" ht="14" hidden="1" x14ac:dyDescent="0.3">
      <c r="Q714" s="2066">
        <v>71</v>
      </c>
      <c r="R714" s="2067">
        <f t="shared" si="46"/>
        <v>0</v>
      </c>
      <c r="S714" s="2054"/>
      <c r="T714" s="2067">
        <f t="shared" si="48"/>
        <v>0</v>
      </c>
      <c r="U714" s="2068" t="str">
        <f t="shared" si="47"/>
        <v/>
      </c>
    </row>
    <row r="715" spans="17:21" s="2040" customFormat="1" ht="14" hidden="1" x14ac:dyDescent="0.3">
      <c r="Q715" s="2066">
        <v>72</v>
      </c>
      <c r="R715" s="2067">
        <f t="shared" si="46"/>
        <v>0</v>
      </c>
      <c r="S715" s="2054"/>
      <c r="T715" s="2067">
        <f t="shared" si="48"/>
        <v>0</v>
      </c>
      <c r="U715" s="2068" t="str">
        <f t="shared" si="47"/>
        <v/>
      </c>
    </row>
    <row r="716" spans="17:21" s="2040" customFormat="1" ht="14" hidden="1" x14ac:dyDescent="0.3">
      <c r="Q716" s="2066">
        <v>73</v>
      </c>
      <c r="R716" s="2067">
        <f t="shared" si="46"/>
        <v>0</v>
      </c>
      <c r="T716" s="2067">
        <f t="shared" si="48"/>
        <v>0</v>
      </c>
      <c r="U716" s="2068" t="str">
        <f t="shared" si="47"/>
        <v/>
      </c>
    </row>
    <row r="717" spans="17:21" s="2040" customFormat="1" ht="14" hidden="1" x14ac:dyDescent="0.3">
      <c r="Q717" s="2066">
        <v>74</v>
      </c>
      <c r="R717" s="2067">
        <f t="shared" si="46"/>
        <v>0</v>
      </c>
      <c r="T717" s="2067">
        <f t="shared" si="48"/>
        <v>0</v>
      </c>
      <c r="U717" s="2115"/>
    </row>
    <row r="718" spans="17:21" s="2040" customFormat="1" ht="14" hidden="1" x14ac:dyDescent="0.3">
      <c r="Q718" s="2066">
        <v>75</v>
      </c>
      <c r="R718" s="2067">
        <f t="shared" si="46"/>
        <v>0</v>
      </c>
      <c r="T718" s="2067">
        <f t="shared" si="48"/>
        <v>0</v>
      </c>
      <c r="U718" s="2115"/>
    </row>
    <row r="719" spans="17:21" s="2040" customFormat="1" ht="14" hidden="1" x14ac:dyDescent="0.3">
      <c r="Q719" s="2066">
        <v>76</v>
      </c>
      <c r="R719" s="2067">
        <f t="shared" si="46"/>
        <v>0</v>
      </c>
      <c r="T719" s="2067">
        <f t="shared" si="48"/>
        <v>0</v>
      </c>
      <c r="U719" s="2115"/>
    </row>
    <row r="720" spans="17:21" s="2040" customFormat="1" ht="14" hidden="1" x14ac:dyDescent="0.3">
      <c r="Q720" s="2066">
        <v>77</v>
      </c>
      <c r="R720" s="2067">
        <f t="shared" si="46"/>
        <v>0</v>
      </c>
      <c r="T720" s="2067">
        <f t="shared" si="48"/>
        <v>0</v>
      </c>
      <c r="U720" s="2115"/>
    </row>
    <row r="721" spans="17:21" s="2040" customFormat="1" ht="14" hidden="1" x14ac:dyDescent="0.3">
      <c r="Q721" s="2066">
        <v>78</v>
      </c>
      <c r="R721" s="2067">
        <f t="shared" si="46"/>
        <v>0</v>
      </c>
      <c r="T721" s="2067">
        <f t="shared" si="48"/>
        <v>0</v>
      </c>
      <c r="U721" s="2115"/>
    </row>
    <row r="722" spans="17:21" s="2040" customFormat="1" ht="14" hidden="1" x14ac:dyDescent="0.3">
      <c r="Q722" s="2066">
        <v>79</v>
      </c>
      <c r="R722" s="2067">
        <f t="shared" si="46"/>
        <v>0</v>
      </c>
      <c r="T722" s="2067">
        <f t="shared" si="48"/>
        <v>0</v>
      </c>
      <c r="U722" s="2115"/>
    </row>
    <row r="723" spans="17:21" s="2040" customFormat="1" ht="14" hidden="1" x14ac:dyDescent="0.3">
      <c r="Q723" s="2066">
        <v>80</v>
      </c>
      <c r="R723" s="2067">
        <f t="shared" si="46"/>
        <v>0</v>
      </c>
      <c r="T723" s="2067">
        <f t="shared" si="48"/>
        <v>0</v>
      </c>
      <c r="U723" s="2115"/>
    </row>
    <row r="724" spans="17:21" s="2040" customFormat="1" ht="14" hidden="1" x14ac:dyDescent="0.3">
      <c r="Q724" s="2066">
        <v>81</v>
      </c>
      <c r="R724" s="2067">
        <f t="shared" si="46"/>
        <v>0</v>
      </c>
      <c r="T724" s="2067">
        <f t="shared" si="48"/>
        <v>0</v>
      </c>
      <c r="U724" s="2115"/>
    </row>
    <row r="725" spans="17:21" s="2040" customFormat="1" ht="14" hidden="1" x14ac:dyDescent="0.3">
      <c r="Q725" s="2066">
        <v>82</v>
      </c>
      <c r="R725" s="2067">
        <f t="shared" si="46"/>
        <v>0</v>
      </c>
      <c r="T725" s="2067">
        <f t="shared" si="48"/>
        <v>0</v>
      </c>
      <c r="U725" s="2115"/>
    </row>
    <row r="726" spans="17:21" s="2040" customFormat="1" ht="14" hidden="1" x14ac:dyDescent="0.3">
      <c r="Q726" s="2066">
        <v>83</v>
      </c>
      <c r="R726" s="2067">
        <f t="shared" si="46"/>
        <v>0</v>
      </c>
      <c r="T726" s="2067">
        <f t="shared" si="48"/>
        <v>0</v>
      </c>
      <c r="U726" s="2115"/>
    </row>
    <row r="727" spans="17:21" s="2040" customFormat="1" ht="14" hidden="1" x14ac:dyDescent="0.3">
      <c r="Q727" s="2066">
        <v>84</v>
      </c>
      <c r="R727" s="2067">
        <f t="shared" si="46"/>
        <v>0</v>
      </c>
      <c r="T727" s="2067">
        <f t="shared" si="48"/>
        <v>0</v>
      </c>
      <c r="U727" s="2115"/>
    </row>
    <row r="728" spans="17:21" s="2040" customFormat="1" ht="14" hidden="1" x14ac:dyDescent="0.3">
      <c r="Q728" s="2066">
        <v>85</v>
      </c>
      <c r="R728" s="2067">
        <f t="shared" si="46"/>
        <v>0</v>
      </c>
      <c r="T728" s="2067">
        <f t="shared" si="48"/>
        <v>0</v>
      </c>
      <c r="U728" s="2115"/>
    </row>
    <row r="729" spans="17:21" s="2040" customFormat="1" ht="14" hidden="1" x14ac:dyDescent="0.3">
      <c r="Q729" s="2066">
        <v>86</v>
      </c>
      <c r="R729" s="2067">
        <f t="shared" si="46"/>
        <v>0</v>
      </c>
      <c r="T729" s="2067">
        <f t="shared" si="48"/>
        <v>0</v>
      </c>
      <c r="U729" s="2115"/>
    </row>
    <row r="730" spans="17:21" s="2040" customFormat="1" ht="14" hidden="1" x14ac:dyDescent="0.3">
      <c r="Q730" s="2066">
        <v>87</v>
      </c>
      <c r="R730" s="2067">
        <f t="shared" si="46"/>
        <v>0</v>
      </c>
      <c r="T730" s="2067">
        <f t="shared" si="48"/>
        <v>0</v>
      </c>
      <c r="U730" s="2115"/>
    </row>
    <row r="731" spans="17:21" s="2040" customFormat="1" ht="14" hidden="1" x14ac:dyDescent="0.3">
      <c r="Q731" s="2066">
        <v>88</v>
      </c>
      <c r="R731" s="2067">
        <f t="shared" si="46"/>
        <v>0</v>
      </c>
      <c r="T731" s="2067">
        <f t="shared" si="48"/>
        <v>0</v>
      </c>
      <c r="U731" s="2115"/>
    </row>
    <row r="732" spans="17:21" s="2040" customFormat="1" ht="14" hidden="1" x14ac:dyDescent="0.3">
      <c r="Q732" s="2066">
        <v>89</v>
      </c>
      <c r="R732" s="2067">
        <f t="shared" si="46"/>
        <v>0</v>
      </c>
      <c r="T732" s="2067">
        <f t="shared" si="48"/>
        <v>0</v>
      </c>
      <c r="U732" s="2115"/>
    </row>
    <row r="733" spans="17:21" s="2040" customFormat="1" ht="14" hidden="1" x14ac:dyDescent="0.3">
      <c r="Q733" s="2066">
        <v>90</v>
      </c>
      <c r="R733" s="2067">
        <f t="shared" si="46"/>
        <v>0</v>
      </c>
      <c r="T733" s="2067">
        <f t="shared" si="48"/>
        <v>0</v>
      </c>
      <c r="U733" s="2115"/>
    </row>
    <row r="734" spans="17:21" s="2040" customFormat="1" ht="14" hidden="1" x14ac:dyDescent="0.3">
      <c r="Q734" s="2066">
        <v>91</v>
      </c>
      <c r="R734" s="2067">
        <f t="shared" si="46"/>
        <v>0</v>
      </c>
      <c r="T734" s="2067">
        <f t="shared" si="48"/>
        <v>0</v>
      </c>
      <c r="U734" s="2115"/>
    </row>
    <row r="735" spans="17:21" s="2040" customFormat="1" ht="14" hidden="1" x14ac:dyDescent="0.3">
      <c r="Q735" s="2066">
        <v>92</v>
      </c>
      <c r="R735" s="2067">
        <f t="shared" si="46"/>
        <v>0</v>
      </c>
      <c r="T735" s="2067">
        <f t="shared" si="48"/>
        <v>0</v>
      </c>
      <c r="U735" s="2115"/>
    </row>
    <row r="736" spans="17:21" s="2040" customFormat="1" ht="14" hidden="1" x14ac:dyDescent="0.3">
      <c r="Q736" s="2066">
        <v>93</v>
      </c>
      <c r="R736" s="2067">
        <f t="shared" si="46"/>
        <v>0</v>
      </c>
      <c r="T736" s="2067">
        <f t="shared" si="48"/>
        <v>0</v>
      </c>
      <c r="U736" s="2115"/>
    </row>
    <row r="737" spans="1:232" s="2040" customFormat="1" ht="14" hidden="1" x14ac:dyDescent="0.3">
      <c r="Q737" s="2066">
        <v>94</v>
      </c>
      <c r="R737" s="2067">
        <f t="shared" si="46"/>
        <v>0</v>
      </c>
      <c r="T737" s="2067">
        <f t="shared" si="48"/>
        <v>0</v>
      </c>
      <c r="U737" s="2115"/>
    </row>
    <row r="738" spans="1:232" s="2040" customFormat="1" ht="14" hidden="1" x14ac:dyDescent="0.3">
      <c r="Q738" s="2066">
        <v>95</v>
      </c>
      <c r="R738" s="2067">
        <f t="shared" si="46"/>
        <v>0</v>
      </c>
      <c r="T738" s="2067">
        <f t="shared" si="48"/>
        <v>0</v>
      </c>
      <c r="U738" s="2115"/>
    </row>
    <row r="739" spans="1:232" s="2040" customFormat="1" ht="14" hidden="1" x14ac:dyDescent="0.3">
      <c r="Q739" s="2066">
        <v>96</v>
      </c>
      <c r="R739" s="2067">
        <f t="shared" si="46"/>
        <v>0</v>
      </c>
      <c r="T739" s="2067">
        <f t="shared" si="48"/>
        <v>0</v>
      </c>
      <c r="U739" s="2115"/>
    </row>
    <row r="740" spans="1:232" s="2040" customFormat="1" ht="14" hidden="1" x14ac:dyDescent="0.3">
      <c r="Q740" s="2066">
        <v>97</v>
      </c>
      <c r="R740" s="2067">
        <f t="shared" ref="R740:R743" si="49">IF($F$661&gt;0,HLOOKUP($E$656,$B$749:$HX$849,Q740+1,FALSE),0)</f>
        <v>0</v>
      </c>
      <c r="T740" s="2067">
        <f t="shared" si="48"/>
        <v>0</v>
      </c>
      <c r="U740" s="2115"/>
    </row>
    <row r="741" spans="1:232" s="2040" customFormat="1" ht="14" hidden="1" x14ac:dyDescent="0.3">
      <c r="Q741" s="2066">
        <v>98</v>
      </c>
      <c r="R741" s="2067">
        <f t="shared" si="49"/>
        <v>0</v>
      </c>
      <c r="T741" s="2067">
        <f t="shared" si="48"/>
        <v>0</v>
      </c>
      <c r="U741" s="2115"/>
    </row>
    <row r="742" spans="1:232" s="2040" customFormat="1" ht="14" hidden="1" x14ac:dyDescent="0.3">
      <c r="Q742" s="2066">
        <v>99</v>
      </c>
      <c r="R742" s="2067">
        <f t="shared" si="49"/>
        <v>0</v>
      </c>
      <c r="T742" s="2067">
        <f t="shared" si="48"/>
        <v>0</v>
      </c>
      <c r="U742" s="2115"/>
    </row>
    <row r="743" spans="1:232" s="2040" customFormat="1" hidden="1" thickBot="1" x14ac:dyDescent="0.35">
      <c r="Q743" s="2116">
        <v>100</v>
      </c>
      <c r="R743" s="2117">
        <f t="shared" si="49"/>
        <v>0</v>
      </c>
      <c r="S743" s="2118"/>
      <c r="T743" s="2117">
        <f t="shared" si="48"/>
        <v>0</v>
      </c>
      <c r="U743" s="2119"/>
    </row>
    <row r="744" spans="1:232" s="2040" customFormat="1" ht="14" hidden="1" x14ac:dyDescent="0.3"/>
    <row r="745" spans="1:232" s="2040" customFormat="1" ht="14" hidden="1" x14ac:dyDescent="0.3"/>
    <row r="746" spans="1:232" s="2040" customFormat="1" ht="14" hidden="1" x14ac:dyDescent="0.3">
      <c r="B746" s="2120" t="s">
        <v>1667</v>
      </c>
    </row>
    <row r="747" spans="1:232" s="2123" customFormat="1" ht="14" hidden="1" x14ac:dyDescent="0.3">
      <c r="A747" s="2040"/>
      <c r="B747" s="2100"/>
      <c r="C747" s="2121">
        <v>1</v>
      </c>
      <c r="D747" s="2121">
        <v>1</v>
      </c>
      <c r="E747" s="2121">
        <v>1</v>
      </c>
      <c r="F747" s="2121">
        <v>1</v>
      </c>
      <c r="G747" s="2121">
        <v>1</v>
      </c>
      <c r="H747" s="2121">
        <v>1</v>
      </c>
      <c r="I747" s="2121">
        <v>1</v>
      </c>
      <c r="J747" s="2121">
        <v>1</v>
      </c>
      <c r="K747" s="2121">
        <v>1</v>
      </c>
      <c r="L747" s="2121">
        <v>1</v>
      </c>
      <c r="M747" s="2121">
        <v>1</v>
      </c>
      <c r="N747" s="2121">
        <v>1</v>
      </c>
      <c r="O747" s="2121">
        <v>10</v>
      </c>
      <c r="P747" s="2121">
        <v>10</v>
      </c>
      <c r="Q747" s="2121">
        <v>10</v>
      </c>
      <c r="R747" s="2121">
        <v>10</v>
      </c>
      <c r="S747" s="2121">
        <v>10</v>
      </c>
      <c r="T747" s="2121">
        <v>10</v>
      </c>
      <c r="U747" s="2121">
        <v>10</v>
      </c>
      <c r="V747" s="2121">
        <v>10</v>
      </c>
      <c r="W747" s="2121">
        <v>10</v>
      </c>
      <c r="X747" s="2121">
        <v>10</v>
      </c>
      <c r="Y747" s="2121">
        <v>10</v>
      </c>
      <c r="Z747" s="2121">
        <v>10</v>
      </c>
      <c r="AA747" s="2121">
        <v>10</v>
      </c>
      <c r="AB747" s="2121">
        <v>10</v>
      </c>
      <c r="AC747" s="2121">
        <v>10</v>
      </c>
      <c r="AD747" s="2121">
        <v>10</v>
      </c>
      <c r="AE747" s="2121">
        <v>10</v>
      </c>
      <c r="AF747" s="2121">
        <v>10</v>
      </c>
      <c r="AG747" s="2121">
        <v>10</v>
      </c>
      <c r="AH747" s="2121">
        <v>10</v>
      </c>
      <c r="AI747" s="2121">
        <v>10</v>
      </c>
      <c r="AJ747" s="2121">
        <v>10</v>
      </c>
      <c r="AK747" s="2121">
        <v>10</v>
      </c>
      <c r="AL747" s="2121">
        <v>10</v>
      </c>
      <c r="AM747" s="2121">
        <v>11</v>
      </c>
      <c r="AN747" s="2121">
        <v>11</v>
      </c>
      <c r="AO747" s="2121">
        <v>11</v>
      </c>
      <c r="AP747" s="2121">
        <v>11</v>
      </c>
      <c r="AQ747" s="2121">
        <v>11</v>
      </c>
      <c r="AR747" s="2121">
        <v>11</v>
      </c>
      <c r="AS747" s="2121">
        <v>11</v>
      </c>
      <c r="AT747" s="2121">
        <v>11</v>
      </c>
      <c r="AU747" s="2121">
        <v>11</v>
      </c>
      <c r="AV747" s="2121">
        <v>11</v>
      </c>
      <c r="AW747" s="2121">
        <v>11</v>
      </c>
      <c r="AX747" s="2121">
        <v>11</v>
      </c>
      <c r="AY747" s="2121">
        <v>11</v>
      </c>
      <c r="AZ747" s="2121">
        <v>11</v>
      </c>
      <c r="BA747" s="2122">
        <v>15</v>
      </c>
      <c r="BB747" s="2122">
        <v>15</v>
      </c>
      <c r="BC747" s="2122">
        <v>15</v>
      </c>
      <c r="BD747" s="2122">
        <v>15</v>
      </c>
      <c r="BE747" s="2122">
        <v>15</v>
      </c>
      <c r="BF747" s="2122">
        <v>15</v>
      </c>
      <c r="BG747" s="2122">
        <v>15</v>
      </c>
      <c r="BH747" s="2122">
        <v>15</v>
      </c>
      <c r="BI747" s="2122">
        <v>15</v>
      </c>
      <c r="BJ747" s="2122">
        <v>15</v>
      </c>
      <c r="BK747" s="2122">
        <v>15</v>
      </c>
      <c r="BL747" s="2122">
        <v>15</v>
      </c>
      <c r="BM747" s="2122">
        <v>17</v>
      </c>
      <c r="BN747" s="2122">
        <v>17</v>
      </c>
      <c r="BO747" s="2122">
        <v>17</v>
      </c>
      <c r="BP747" s="2122">
        <v>17</v>
      </c>
      <c r="BQ747" s="2122">
        <v>17</v>
      </c>
      <c r="BR747" s="2122">
        <v>17</v>
      </c>
      <c r="BS747" s="2122">
        <v>17</v>
      </c>
      <c r="BT747" s="2122">
        <v>17</v>
      </c>
      <c r="BU747" s="2122">
        <v>17</v>
      </c>
      <c r="BV747" s="2122">
        <v>17</v>
      </c>
      <c r="BW747" s="2122">
        <v>17</v>
      </c>
      <c r="BX747" s="2122">
        <v>17</v>
      </c>
      <c r="BY747" s="2122">
        <v>19</v>
      </c>
      <c r="BZ747" s="2122">
        <v>19</v>
      </c>
      <c r="CA747" s="2122">
        <v>19</v>
      </c>
      <c r="CB747" s="2122">
        <v>19</v>
      </c>
      <c r="CC747" s="2122">
        <v>19</v>
      </c>
      <c r="CD747" s="2122">
        <v>19</v>
      </c>
      <c r="CE747" s="2122">
        <v>19</v>
      </c>
      <c r="CF747" s="2122">
        <v>19</v>
      </c>
      <c r="CG747" s="2122">
        <v>19</v>
      </c>
      <c r="CH747" s="2122">
        <v>19</v>
      </c>
      <c r="CI747" s="2122">
        <v>19</v>
      </c>
      <c r="CJ747" s="2122">
        <v>19</v>
      </c>
      <c r="CK747" s="2122">
        <v>20</v>
      </c>
      <c r="CL747" s="2122">
        <v>20</v>
      </c>
      <c r="CM747" s="2122">
        <v>20</v>
      </c>
      <c r="CN747" s="2122">
        <v>20</v>
      </c>
      <c r="CO747" s="2122">
        <v>20</v>
      </c>
      <c r="CP747" s="2122">
        <v>20</v>
      </c>
      <c r="CQ747" s="2122">
        <v>20</v>
      </c>
      <c r="CR747" s="2122">
        <v>20</v>
      </c>
      <c r="CS747" s="2122">
        <v>20</v>
      </c>
      <c r="CT747" s="2122">
        <v>20</v>
      </c>
      <c r="CU747" s="2122">
        <v>20</v>
      </c>
      <c r="CV747" s="2122">
        <v>20</v>
      </c>
      <c r="CW747" s="2122">
        <v>22</v>
      </c>
      <c r="CX747" s="2122">
        <v>22</v>
      </c>
      <c r="CY747" s="2122">
        <v>22</v>
      </c>
      <c r="CZ747" s="2122">
        <v>22</v>
      </c>
      <c r="DA747" s="2122">
        <v>22</v>
      </c>
      <c r="DB747" s="2122">
        <v>22</v>
      </c>
      <c r="DC747" s="2122">
        <v>22</v>
      </c>
      <c r="DD747" s="2122">
        <v>22</v>
      </c>
      <c r="DE747" s="2122">
        <v>22</v>
      </c>
      <c r="DF747" s="2122">
        <v>22</v>
      </c>
      <c r="DG747" s="2122">
        <v>22</v>
      </c>
      <c r="DH747" s="2122">
        <v>22</v>
      </c>
      <c r="DI747" s="2122">
        <v>23</v>
      </c>
      <c r="DJ747" s="2122">
        <v>23</v>
      </c>
      <c r="DK747" s="2122">
        <v>23</v>
      </c>
      <c r="DL747" s="2122">
        <v>23</v>
      </c>
      <c r="DM747" s="2122">
        <v>23</v>
      </c>
      <c r="DN747" s="2122">
        <v>23</v>
      </c>
      <c r="DO747" s="2122">
        <v>23</v>
      </c>
      <c r="DP747" s="2122">
        <v>23</v>
      </c>
      <c r="DQ747" s="2122">
        <v>23</v>
      </c>
      <c r="DR747" s="2122">
        <v>23</v>
      </c>
      <c r="DS747" s="2122">
        <v>23</v>
      </c>
      <c r="DT747" s="2122">
        <v>23</v>
      </c>
      <c r="DU747" s="2122">
        <v>24</v>
      </c>
      <c r="DV747" s="2122">
        <v>24</v>
      </c>
      <c r="DW747" s="2122">
        <v>24</v>
      </c>
      <c r="DX747" s="2122">
        <v>24</v>
      </c>
      <c r="DY747" s="2122">
        <v>24</v>
      </c>
      <c r="DZ747" s="2122">
        <v>24</v>
      </c>
      <c r="EA747" s="2122">
        <v>24</v>
      </c>
      <c r="EB747" s="2122">
        <v>24</v>
      </c>
      <c r="EC747" s="2122">
        <v>24</v>
      </c>
      <c r="ED747" s="2122">
        <v>24</v>
      </c>
      <c r="EE747" s="2122">
        <v>24</v>
      </c>
      <c r="EF747" s="2122">
        <v>24</v>
      </c>
      <c r="EG747" s="2122">
        <v>28</v>
      </c>
      <c r="EH747" s="2122">
        <v>28</v>
      </c>
      <c r="EI747" s="2122">
        <v>28</v>
      </c>
      <c r="EJ747" s="2122">
        <v>28</v>
      </c>
      <c r="EK747" s="2122">
        <v>28</v>
      </c>
      <c r="EL747" s="2122">
        <v>28</v>
      </c>
      <c r="EM747" s="2122">
        <v>28</v>
      </c>
      <c r="EN747" s="2122">
        <v>28</v>
      </c>
      <c r="EO747" s="2122">
        <v>28</v>
      </c>
      <c r="EP747" s="2122">
        <v>28</v>
      </c>
      <c r="EQ747" s="2122">
        <v>28</v>
      </c>
      <c r="ER747" s="2122">
        <v>28</v>
      </c>
      <c r="ES747" s="2122">
        <v>30</v>
      </c>
      <c r="ET747" s="2122">
        <v>30</v>
      </c>
      <c r="EU747" s="2122">
        <v>30</v>
      </c>
      <c r="EV747" s="2122">
        <v>30</v>
      </c>
      <c r="EW747" s="2122">
        <v>30</v>
      </c>
      <c r="EX747" s="2122">
        <v>30</v>
      </c>
      <c r="EY747" s="2122">
        <v>30</v>
      </c>
      <c r="EZ747" s="2122">
        <v>30</v>
      </c>
      <c r="FA747" s="2122">
        <v>30</v>
      </c>
      <c r="FB747" s="2122">
        <v>30</v>
      </c>
      <c r="FC747" s="2122">
        <v>30</v>
      </c>
      <c r="FD747" s="2122">
        <v>30</v>
      </c>
      <c r="FE747" s="2122">
        <v>31</v>
      </c>
      <c r="FF747" s="2122">
        <v>31</v>
      </c>
      <c r="FG747" s="2122">
        <v>31</v>
      </c>
      <c r="FH747" s="2122">
        <v>31</v>
      </c>
      <c r="FI747" s="2122">
        <v>31</v>
      </c>
      <c r="FJ747" s="2122">
        <v>31</v>
      </c>
      <c r="FK747" s="2122">
        <v>31</v>
      </c>
      <c r="FL747" s="2122">
        <v>31</v>
      </c>
      <c r="FM747" s="2122">
        <v>31</v>
      </c>
      <c r="FN747" s="2122">
        <v>31</v>
      </c>
      <c r="FO747" s="2122">
        <v>31</v>
      </c>
      <c r="FP747" s="2122">
        <v>31</v>
      </c>
      <c r="FQ747" s="2122">
        <v>32</v>
      </c>
      <c r="FR747" s="2122">
        <v>32</v>
      </c>
      <c r="FS747" s="2122">
        <v>32</v>
      </c>
      <c r="FT747" s="2122">
        <v>32</v>
      </c>
      <c r="FU747" s="2122">
        <v>32</v>
      </c>
      <c r="FV747" s="2122">
        <v>32</v>
      </c>
      <c r="FW747" s="2122">
        <v>32</v>
      </c>
      <c r="FX747" s="2122">
        <v>32</v>
      </c>
      <c r="FY747" s="2122">
        <v>32</v>
      </c>
      <c r="FZ747" s="2122">
        <v>32</v>
      </c>
      <c r="GA747" s="2122">
        <v>32</v>
      </c>
      <c r="GB747" s="2122">
        <v>32</v>
      </c>
      <c r="GC747" s="2122">
        <v>33</v>
      </c>
      <c r="GD747" s="2122">
        <v>33</v>
      </c>
      <c r="GE747" s="2122">
        <v>33</v>
      </c>
      <c r="GF747" s="2122">
        <v>33</v>
      </c>
      <c r="GG747" s="2122">
        <v>33</v>
      </c>
      <c r="GH747" s="2122">
        <v>33</v>
      </c>
      <c r="GI747" s="2122">
        <v>33</v>
      </c>
      <c r="GJ747" s="2122">
        <v>33</v>
      </c>
      <c r="GK747" s="2122">
        <v>33</v>
      </c>
      <c r="GL747" s="2122">
        <v>33</v>
      </c>
      <c r="GM747" s="2122">
        <v>33</v>
      </c>
      <c r="GN747" s="2122">
        <v>33</v>
      </c>
      <c r="GO747" s="2122">
        <v>35</v>
      </c>
      <c r="GP747" s="2122">
        <v>35</v>
      </c>
      <c r="GQ747" s="2122">
        <v>35</v>
      </c>
      <c r="GR747" s="2122">
        <v>35</v>
      </c>
      <c r="GS747" s="2122">
        <v>35</v>
      </c>
      <c r="GT747" s="2122">
        <v>35</v>
      </c>
      <c r="GU747" s="2122">
        <v>35</v>
      </c>
      <c r="GV747" s="2122">
        <v>35</v>
      </c>
      <c r="GW747" s="2122">
        <v>35</v>
      </c>
      <c r="GX747" s="2122">
        <v>35</v>
      </c>
      <c r="GY747" s="2122">
        <v>35</v>
      </c>
      <c r="GZ747" s="2122">
        <v>35</v>
      </c>
      <c r="HA747" s="2122">
        <v>36</v>
      </c>
      <c r="HB747" s="2122">
        <v>36</v>
      </c>
      <c r="HC747" s="2122">
        <v>36</v>
      </c>
      <c r="HD747" s="2122">
        <v>36</v>
      </c>
      <c r="HE747" s="2122">
        <v>36</v>
      </c>
      <c r="HF747" s="2122">
        <v>36</v>
      </c>
      <c r="HG747" s="2122">
        <v>36</v>
      </c>
      <c r="HH747" s="2122">
        <v>36</v>
      </c>
      <c r="HI747" s="2122">
        <v>36</v>
      </c>
      <c r="HJ747" s="2122">
        <v>36</v>
      </c>
      <c r="HK747" s="2122">
        <v>36</v>
      </c>
      <c r="HL747" s="2122">
        <v>36</v>
      </c>
      <c r="HM747" s="2122">
        <v>40</v>
      </c>
      <c r="HN747" s="2122">
        <v>40</v>
      </c>
      <c r="HO747" s="2122">
        <v>40</v>
      </c>
      <c r="HP747" s="2122">
        <v>40</v>
      </c>
      <c r="HQ747" s="2122">
        <v>40</v>
      </c>
      <c r="HR747" s="2122">
        <v>40</v>
      </c>
      <c r="HS747" s="2122">
        <v>40</v>
      </c>
      <c r="HT747" s="2122">
        <v>40</v>
      </c>
      <c r="HU747" s="2122">
        <v>40</v>
      </c>
      <c r="HV747" s="2122">
        <v>40</v>
      </c>
      <c r="HW747" s="2122">
        <v>40</v>
      </c>
      <c r="HX747" s="2042">
        <v>40</v>
      </c>
    </row>
    <row r="748" spans="1:232" s="2123" customFormat="1" ht="14" hidden="1" x14ac:dyDescent="0.3">
      <c r="A748" s="2040"/>
      <c r="B748" s="2124" t="s">
        <v>1668</v>
      </c>
      <c r="C748" s="2125" t="s">
        <v>1579</v>
      </c>
      <c r="D748" s="2125" t="s">
        <v>1579</v>
      </c>
      <c r="E748" s="2125" t="s">
        <v>1579</v>
      </c>
      <c r="F748" s="2125" t="s">
        <v>1579</v>
      </c>
      <c r="G748" s="2125" t="s">
        <v>1579</v>
      </c>
      <c r="H748" s="2125" t="s">
        <v>1579</v>
      </c>
      <c r="I748" s="2125" t="s">
        <v>1579</v>
      </c>
      <c r="J748" s="2125" t="s">
        <v>1579</v>
      </c>
      <c r="K748" s="2125" t="s">
        <v>1579</v>
      </c>
      <c r="L748" s="2125" t="s">
        <v>1579</v>
      </c>
      <c r="M748" s="2125" t="s">
        <v>1579</v>
      </c>
      <c r="N748" s="2125" t="s">
        <v>1579</v>
      </c>
      <c r="O748" s="2125" t="s">
        <v>1575</v>
      </c>
      <c r="P748" s="2125" t="s">
        <v>1575</v>
      </c>
      <c r="Q748" s="2125" t="s">
        <v>1575</v>
      </c>
      <c r="R748" s="2125" t="s">
        <v>1575</v>
      </c>
      <c r="S748" s="2125" t="s">
        <v>1575</v>
      </c>
      <c r="T748" s="2125" t="s">
        <v>1575</v>
      </c>
      <c r="U748" s="2125" t="s">
        <v>1575</v>
      </c>
      <c r="V748" s="2125" t="s">
        <v>1575</v>
      </c>
      <c r="W748" s="2125" t="s">
        <v>1575</v>
      </c>
      <c r="X748" s="2125" t="s">
        <v>1575</v>
      </c>
      <c r="Y748" s="2125" t="s">
        <v>1575</v>
      </c>
      <c r="Z748" s="2125" t="s">
        <v>1575</v>
      </c>
      <c r="AA748" s="2125" t="s">
        <v>1575</v>
      </c>
      <c r="AB748" s="2125" t="s">
        <v>1575</v>
      </c>
      <c r="AC748" s="2125" t="s">
        <v>1575</v>
      </c>
      <c r="AD748" s="2125" t="s">
        <v>1575</v>
      </c>
      <c r="AE748" s="2125" t="s">
        <v>1575</v>
      </c>
      <c r="AF748" s="2125" t="s">
        <v>1575</v>
      </c>
      <c r="AG748" s="2125" t="s">
        <v>1575</v>
      </c>
      <c r="AH748" s="2125" t="s">
        <v>1575</v>
      </c>
      <c r="AI748" s="2125" t="s">
        <v>1575</v>
      </c>
      <c r="AJ748" s="2125" t="s">
        <v>1575</v>
      </c>
      <c r="AK748" s="2125" t="s">
        <v>1575</v>
      </c>
      <c r="AL748" s="2125" t="s">
        <v>1575</v>
      </c>
      <c r="AM748" s="2125" t="s">
        <v>1575</v>
      </c>
      <c r="AN748" s="2125" t="s">
        <v>1575</v>
      </c>
      <c r="AO748" s="2125" t="s">
        <v>1575</v>
      </c>
      <c r="AP748" s="2125" t="s">
        <v>1575</v>
      </c>
      <c r="AQ748" s="2125" t="s">
        <v>1575</v>
      </c>
      <c r="AR748" s="2125" t="s">
        <v>1575</v>
      </c>
      <c r="AS748" s="2125" t="s">
        <v>1575</v>
      </c>
      <c r="AT748" s="2125" t="s">
        <v>1575</v>
      </c>
      <c r="AU748" s="2125" t="s">
        <v>1575</v>
      </c>
      <c r="AV748" s="2125" t="s">
        <v>1575</v>
      </c>
      <c r="AW748" s="2125" t="s">
        <v>1575</v>
      </c>
      <c r="AX748" s="2125" t="s">
        <v>1575</v>
      </c>
      <c r="AY748" s="2125" t="s">
        <v>1575</v>
      </c>
      <c r="AZ748" s="2125" t="s">
        <v>1575</v>
      </c>
      <c r="BA748" s="2123" t="s">
        <v>1575</v>
      </c>
      <c r="BB748" s="2123" t="s">
        <v>1575</v>
      </c>
      <c r="BC748" s="2123" t="s">
        <v>1575</v>
      </c>
      <c r="BD748" s="2123" t="s">
        <v>1575</v>
      </c>
      <c r="BE748" s="2123" t="s">
        <v>1575</v>
      </c>
      <c r="BF748" s="2123" t="s">
        <v>1575</v>
      </c>
      <c r="BG748" s="2123" t="s">
        <v>1575</v>
      </c>
      <c r="BH748" s="2123" t="s">
        <v>1575</v>
      </c>
      <c r="BI748" s="2123" t="s">
        <v>1575</v>
      </c>
      <c r="BJ748" s="2123" t="s">
        <v>1575</v>
      </c>
      <c r="BK748" s="2123" t="s">
        <v>1575</v>
      </c>
      <c r="BL748" s="2123" t="s">
        <v>1575</v>
      </c>
      <c r="BM748" s="2123" t="s">
        <v>1669</v>
      </c>
      <c r="BN748" s="2123" t="s">
        <v>1669</v>
      </c>
      <c r="BO748" s="2123" t="s">
        <v>1669</v>
      </c>
      <c r="BP748" s="2123" t="s">
        <v>1669</v>
      </c>
      <c r="BQ748" s="2123" t="s">
        <v>1669</v>
      </c>
      <c r="BR748" s="2123" t="s">
        <v>1669</v>
      </c>
      <c r="BS748" s="2123" t="s">
        <v>1669</v>
      </c>
      <c r="BT748" s="2123" t="s">
        <v>1669</v>
      </c>
      <c r="BU748" s="2123" t="s">
        <v>1669</v>
      </c>
      <c r="BV748" s="2123" t="s">
        <v>1669</v>
      </c>
      <c r="BW748" s="2123" t="s">
        <v>1669</v>
      </c>
      <c r="BX748" s="2123" t="s">
        <v>1669</v>
      </c>
      <c r="BY748" s="2123" t="s">
        <v>1669</v>
      </c>
      <c r="BZ748" s="2123" t="s">
        <v>1669</v>
      </c>
      <c r="CA748" s="2123" t="s">
        <v>1669</v>
      </c>
      <c r="CB748" s="2123" t="s">
        <v>1669</v>
      </c>
      <c r="CC748" s="2123" t="s">
        <v>1669</v>
      </c>
      <c r="CD748" s="2123" t="s">
        <v>1669</v>
      </c>
      <c r="CE748" s="2123" t="s">
        <v>1669</v>
      </c>
      <c r="CF748" s="2123" t="s">
        <v>1669</v>
      </c>
      <c r="CG748" s="2123" t="s">
        <v>1669</v>
      </c>
      <c r="CH748" s="2123" t="s">
        <v>1669</v>
      </c>
      <c r="CI748" s="2123" t="s">
        <v>1669</v>
      </c>
      <c r="CJ748" s="2123" t="s">
        <v>1669</v>
      </c>
      <c r="CK748" s="2123" t="s">
        <v>1669</v>
      </c>
      <c r="CL748" s="2123" t="s">
        <v>1669</v>
      </c>
      <c r="CM748" s="2123" t="s">
        <v>1669</v>
      </c>
      <c r="CN748" s="2123" t="s">
        <v>1669</v>
      </c>
      <c r="CO748" s="2123" t="s">
        <v>1669</v>
      </c>
      <c r="CP748" s="2123" t="s">
        <v>1669</v>
      </c>
      <c r="CQ748" s="2123" t="s">
        <v>1669</v>
      </c>
      <c r="CR748" s="2123" t="s">
        <v>1669</v>
      </c>
      <c r="CS748" s="2123" t="s">
        <v>1669</v>
      </c>
      <c r="CT748" s="2123" t="s">
        <v>1669</v>
      </c>
      <c r="CU748" s="2123" t="s">
        <v>1669</v>
      </c>
      <c r="CV748" s="2123" t="s">
        <v>1669</v>
      </c>
      <c r="CW748" s="2123" t="s">
        <v>1669</v>
      </c>
      <c r="CX748" s="2123" t="s">
        <v>1669</v>
      </c>
      <c r="CY748" s="2123" t="s">
        <v>1669</v>
      </c>
      <c r="CZ748" s="2123" t="s">
        <v>1669</v>
      </c>
      <c r="DA748" s="2123" t="s">
        <v>1669</v>
      </c>
      <c r="DB748" s="2123" t="s">
        <v>1669</v>
      </c>
      <c r="DC748" s="2123" t="s">
        <v>1669</v>
      </c>
      <c r="DD748" s="2123" t="s">
        <v>1669</v>
      </c>
      <c r="DE748" s="2123" t="s">
        <v>1669</v>
      </c>
      <c r="DF748" s="2123" t="s">
        <v>1669</v>
      </c>
      <c r="DG748" s="2123" t="s">
        <v>1669</v>
      </c>
      <c r="DH748" s="2123" t="s">
        <v>1669</v>
      </c>
      <c r="DI748" s="2123" t="s">
        <v>1582</v>
      </c>
      <c r="DJ748" s="2123" t="s">
        <v>1582</v>
      </c>
      <c r="DK748" s="2123" t="s">
        <v>1582</v>
      </c>
      <c r="DL748" s="2123" t="s">
        <v>1582</v>
      </c>
      <c r="DM748" s="2123" t="s">
        <v>1582</v>
      </c>
      <c r="DN748" s="2123" t="s">
        <v>1582</v>
      </c>
      <c r="DO748" s="2123" t="s">
        <v>1582</v>
      </c>
      <c r="DP748" s="2123" t="s">
        <v>1582</v>
      </c>
      <c r="DQ748" s="2123" t="s">
        <v>1582</v>
      </c>
      <c r="DR748" s="2123" t="s">
        <v>1582</v>
      </c>
      <c r="DS748" s="2123" t="s">
        <v>1582</v>
      </c>
      <c r="DT748" s="2123" t="s">
        <v>1582</v>
      </c>
      <c r="DU748" s="2123" t="s">
        <v>1582</v>
      </c>
      <c r="DV748" s="2123" t="s">
        <v>1582</v>
      </c>
      <c r="DW748" s="2123" t="s">
        <v>1582</v>
      </c>
      <c r="DX748" s="2123" t="s">
        <v>1582</v>
      </c>
      <c r="DY748" s="2123" t="s">
        <v>1582</v>
      </c>
      <c r="DZ748" s="2123" t="s">
        <v>1582</v>
      </c>
      <c r="EA748" s="2123" t="s">
        <v>1582</v>
      </c>
      <c r="EB748" s="2123" t="s">
        <v>1582</v>
      </c>
      <c r="EC748" s="2123" t="s">
        <v>1582</v>
      </c>
      <c r="ED748" s="2123" t="s">
        <v>1582</v>
      </c>
      <c r="EE748" s="2123" t="s">
        <v>1582</v>
      </c>
      <c r="EF748" s="2123" t="s">
        <v>1582</v>
      </c>
      <c r="EG748" s="2123" t="s">
        <v>1670</v>
      </c>
      <c r="EH748" s="2123" t="s">
        <v>1670</v>
      </c>
      <c r="EI748" s="2123" t="s">
        <v>1670</v>
      </c>
      <c r="EJ748" s="2123" t="s">
        <v>1670</v>
      </c>
      <c r="EK748" s="2123" t="s">
        <v>1670</v>
      </c>
      <c r="EL748" s="2123" t="s">
        <v>1670</v>
      </c>
      <c r="EM748" s="2123" t="s">
        <v>1670</v>
      </c>
      <c r="EN748" s="2123" t="s">
        <v>1670</v>
      </c>
      <c r="EO748" s="2123" t="s">
        <v>1670</v>
      </c>
      <c r="EP748" s="2123" t="s">
        <v>1670</v>
      </c>
      <c r="EQ748" s="2123" t="s">
        <v>1670</v>
      </c>
      <c r="ER748" s="2123" t="s">
        <v>1670</v>
      </c>
      <c r="ES748" s="2123" t="s">
        <v>1670</v>
      </c>
      <c r="ET748" s="2123" t="s">
        <v>1670</v>
      </c>
      <c r="EU748" s="2123" t="s">
        <v>1670</v>
      </c>
      <c r="EV748" s="2123" t="s">
        <v>1670</v>
      </c>
      <c r="EW748" s="2123" t="s">
        <v>1670</v>
      </c>
      <c r="EX748" s="2123" t="s">
        <v>1670</v>
      </c>
      <c r="EY748" s="2123" t="s">
        <v>1670</v>
      </c>
      <c r="EZ748" s="2123" t="s">
        <v>1670</v>
      </c>
      <c r="FA748" s="2123" t="s">
        <v>1670</v>
      </c>
      <c r="FB748" s="2123" t="s">
        <v>1670</v>
      </c>
      <c r="FC748" s="2123" t="s">
        <v>1670</v>
      </c>
      <c r="FD748" s="2123" t="s">
        <v>1670</v>
      </c>
      <c r="FE748" s="2123" t="s">
        <v>1670</v>
      </c>
      <c r="FF748" s="2123" t="s">
        <v>1670</v>
      </c>
      <c r="FG748" s="2123" t="s">
        <v>1670</v>
      </c>
      <c r="FH748" s="2123" t="s">
        <v>1670</v>
      </c>
      <c r="FI748" s="2123" t="s">
        <v>1670</v>
      </c>
      <c r="FJ748" s="2123" t="s">
        <v>1670</v>
      </c>
      <c r="FK748" s="2123" t="s">
        <v>1670</v>
      </c>
      <c r="FL748" s="2123" t="s">
        <v>1670</v>
      </c>
      <c r="FM748" s="2123" t="s">
        <v>1670</v>
      </c>
      <c r="FN748" s="2123" t="s">
        <v>1670</v>
      </c>
      <c r="FO748" s="2123" t="s">
        <v>1670</v>
      </c>
      <c r="FP748" s="2123" t="s">
        <v>1670</v>
      </c>
      <c r="FQ748" s="2123" t="s">
        <v>1670</v>
      </c>
      <c r="FR748" s="2123" t="s">
        <v>1670</v>
      </c>
      <c r="FS748" s="2123" t="s">
        <v>1670</v>
      </c>
      <c r="FT748" s="2123" t="s">
        <v>1670</v>
      </c>
      <c r="FU748" s="2123" t="s">
        <v>1670</v>
      </c>
      <c r="FV748" s="2123" t="s">
        <v>1670</v>
      </c>
      <c r="FW748" s="2123" t="s">
        <v>1670</v>
      </c>
      <c r="FX748" s="2123" t="s">
        <v>1670</v>
      </c>
      <c r="FY748" s="2123" t="s">
        <v>1670</v>
      </c>
      <c r="FZ748" s="2123" t="s">
        <v>1670</v>
      </c>
      <c r="GA748" s="2123" t="s">
        <v>1670</v>
      </c>
      <c r="GB748" s="2123" t="s">
        <v>1670</v>
      </c>
      <c r="GC748" s="2123" t="s">
        <v>1670</v>
      </c>
      <c r="GD748" s="2123" t="s">
        <v>1670</v>
      </c>
      <c r="GE748" s="2123" t="s">
        <v>1670</v>
      </c>
      <c r="GF748" s="2123" t="s">
        <v>1670</v>
      </c>
      <c r="GG748" s="2123" t="s">
        <v>1670</v>
      </c>
      <c r="GH748" s="2123" t="s">
        <v>1670</v>
      </c>
      <c r="GI748" s="2123" t="s">
        <v>1670</v>
      </c>
      <c r="GJ748" s="2123" t="s">
        <v>1670</v>
      </c>
      <c r="GK748" s="2123" t="s">
        <v>1670</v>
      </c>
      <c r="GL748" s="2123" t="s">
        <v>1670</v>
      </c>
      <c r="GM748" s="2123" t="s">
        <v>1670</v>
      </c>
      <c r="GN748" s="2123" t="s">
        <v>1670</v>
      </c>
      <c r="GO748" s="2123" t="s">
        <v>1670</v>
      </c>
      <c r="GP748" s="2123" t="s">
        <v>1670</v>
      </c>
      <c r="GQ748" s="2123" t="s">
        <v>1670</v>
      </c>
      <c r="GR748" s="2123" t="s">
        <v>1670</v>
      </c>
      <c r="GS748" s="2123" t="s">
        <v>1670</v>
      </c>
      <c r="GT748" s="2123" t="s">
        <v>1670</v>
      </c>
      <c r="GU748" s="2123" t="s">
        <v>1670</v>
      </c>
      <c r="GV748" s="2123" t="s">
        <v>1670</v>
      </c>
      <c r="GW748" s="2123" t="s">
        <v>1670</v>
      </c>
      <c r="GX748" s="2123" t="s">
        <v>1670</v>
      </c>
      <c r="GY748" s="2123" t="s">
        <v>1670</v>
      </c>
      <c r="GZ748" s="2123" t="s">
        <v>1670</v>
      </c>
      <c r="HA748" s="2123" t="s">
        <v>1671</v>
      </c>
      <c r="HB748" s="2123" t="s">
        <v>1671</v>
      </c>
      <c r="HC748" s="2123" t="s">
        <v>1671</v>
      </c>
      <c r="HD748" s="2123" t="s">
        <v>1671</v>
      </c>
      <c r="HE748" s="2123" t="s">
        <v>1671</v>
      </c>
      <c r="HF748" s="2123" t="s">
        <v>1671</v>
      </c>
      <c r="HG748" s="2123" t="s">
        <v>1671</v>
      </c>
      <c r="HH748" s="2123" t="s">
        <v>1671</v>
      </c>
      <c r="HI748" s="2123" t="s">
        <v>1671</v>
      </c>
      <c r="HJ748" s="2123" t="s">
        <v>1671</v>
      </c>
      <c r="HK748" s="2123" t="s">
        <v>1671</v>
      </c>
      <c r="HL748" s="2123" t="s">
        <v>1671</v>
      </c>
      <c r="HM748" s="2123" t="s">
        <v>1671</v>
      </c>
      <c r="HN748" s="2123" t="s">
        <v>1671</v>
      </c>
      <c r="HO748" s="2123" t="s">
        <v>1671</v>
      </c>
      <c r="HP748" s="2123" t="s">
        <v>1671</v>
      </c>
      <c r="HQ748" s="2123" t="s">
        <v>1671</v>
      </c>
      <c r="HR748" s="2123" t="s">
        <v>1671</v>
      </c>
      <c r="HS748" s="2123" t="s">
        <v>1671</v>
      </c>
      <c r="HT748" s="2123" t="s">
        <v>1671</v>
      </c>
      <c r="HU748" s="2123" t="s">
        <v>1671</v>
      </c>
      <c r="HV748" s="2123" t="s">
        <v>1671</v>
      </c>
      <c r="HW748" s="2123" t="s">
        <v>1671</v>
      </c>
      <c r="HX748" s="2050" t="s">
        <v>1671</v>
      </c>
    </row>
    <row r="749" spans="1:232" s="2123" customFormat="1" ht="14" hidden="1" x14ac:dyDescent="0.3">
      <c r="A749" s="2040"/>
      <c r="B749" s="2124" t="s">
        <v>1602</v>
      </c>
      <c r="C749" s="2126" t="s">
        <v>1672</v>
      </c>
      <c r="D749" s="2126" t="s">
        <v>1673</v>
      </c>
      <c r="E749" s="2126" t="s">
        <v>1674</v>
      </c>
      <c r="F749" s="2126" t="s">
        <v>1675</v>
      </c>
      <c r="G749" s="2126" t="s">
        <v>1676</v>
      </c>
      <c r="H749" s="2126" t="s">
        <v>1677</v>
      </c>
      <c r="I749" s="2126" t="s">
        <v>1678</v>
      </c>
      <c r="J749" s="2126" t="s">
        <v>1679</v>
      </c>
      <c r="K749" s="2126" t="s">
        <v>1680</v>
      </c>
      <c r="L749" s="2126" t="s">
        <v>1681</v>
      </c>
      <c r="M749" s="2126" t="s">
        <v>1682</v>
      </c>
      <c r="N749" s="2126" t="s">
        <v>1683</v>
      </c>
      <c r="O749" s="2126" t="s">
        <v>1684</v>
      </c>
      <c r="P749" s="2126" t="s">
        <v>1685</v>
      </c>
      <c r="Q749" s="2126" t="s">
        <v>1686</v>
      </c>
      <c r="R749" s="2126" t="s">
        <v>1687</v>
      </c>
      <c r="S749" s="2126" t="s">
        <v>1688</v>
      </c>
      <c r="T749" s="2126" t="s">
        <v>1689</v>
      </c>
      <c r="U749" s="2126" t="s">
        <v>1690</v>
      </c>
      <c r="V749" s="2126" t="s">
        <v>1691</v>
      </c>
      <c r="W749" s="2126" t="s">
        <v>1692</v>
      </c>
      <c r="X749" s="2126" t="s">
        <v>1693</v>
      </c>
      <c r="Y749" s="2126" t="s">
        <v>1694</v>
      </c>
      <c r="Z749" s="2126" t="s">
        <v>1695</v>
      </c>
      <c r="AA749" s="2126" t="s">
        <v>1696</v>
      </c>
      <c r="AB749" s="2126" t="s">
        <v>1697</v>
      </c>
      <c r="AC749" s="2126" t="s">
        <v>1698</v>
      </c>
      <c r="AD749" s="2126" t="s">
        <v>1699</v>
      </c>
      <c r="AE749" s="2126" t="s">
        <v>1700</v>
      </c>
      <c r="AF749" s="2126" t="s">
        <v>1701</v>
      </c>
      <c r="AG749" s="2126" t="s">
        <v>1702</v>
      </c>
      <c r="AH749" s="2126" t="s">
        <v>1703</v>
      </c>
      <c r="AI749" s="2126" t="s">
        <v>1704</v>
      </c>
      <c r="AJ749" s="2126" t="s">
        <v>1705</v>
      </c>
      <c r="AK749" s="2126" t="s">
        <v>1706</v>
      </c>
      <c r="AL749" s="2126" t="s">
        <v>1707</v>
      </c>
      <c r="AM749" s="2126" t="s">
        <v>1708</v>
      </c>
      <c r="AN749" s="2126" t="s">
        <v>1709</v>
      </c>
      <c r="AO749" s="2126" t="s">
        <v>1710</v>
      </c>
      <c r="AP749" s="2126" t="s">
        <v>1711</v>
      </c>
      <c r="AQ749" s="2126" t="s">
        <v>1712</v>
      </c>
      <c r="AR749" s="2126" t="s">
        <v>1713</v>
      </c>
      <c r="AS749" s="2126" t="s">
        <v>1714</v>
      </c>
      <c r="AT749" s="2126" t="s">
        <v>1715</v>
      </c>
      <c r="AU749" s="2126" t="s">
        <v>1716</v>
      </c>
      <c r="AV749" s="2126" t="s">
        <v>1717</v>
      </c>
      <c r="AW749" s="2126" t="s">
        <v>1718</v>
      </c>
      <c r="AX749" s="2126" t="s">
        <v>1719</v>
      </c>
      <c r="AY749" s="2126" t="s">
        <v>1720</v>
      </c>
      <c r="AZ749" s="2126" t="s">
        <v>1721</v>
      </c>
      <c r="BA749" s="2123" t="s">
        <v>1722</v>
      </c>
      <c r="BB749" s="2123" t="s">
        <v>1723</v>
      </c>
      <c r="BC749" s="2123" t="s">
        <v>1724</v>
      </c>
      <c r="BD749" s="2123" t="s">
        <v>1725</v>
      </c>
      <c r="BE749" s="2123" t="s">
        <v>1726</v>
      </c>
      <c r="BF749" s="2123" t="s">
        <v>1727</v>
      </c>
      <c r="BG749" s="2123" t="s">
        <v>1728</v>
      </c>
      <c r="BH749" s="2123" t="s">
        <v>1729</v>
      </c>
      <c r="BI749" s="2123" t="s">
        <v>1730</v>
      </c>
      <c r="BJ749" s="2123" t="s">
        <v>1731</v>
      </c>
      <c r="BK749" s="2123" t="s">
        <v>1732</v>
      </c>
      <c r="BL749" s="2123" t="s">
        <v>1733</v>
      </c>
      <c r="BM749" s="2123" t="s">
        <v>1734</v>
      </c>
      <c r="BN749" s="2123" t="s">
        <v>1735</v>
      </c>
      <c r="BO749" s="2123" t="s">
        <v>1736</v>
      </c>
      <c r="BP749" s="2123" t="s">
        <v>1737</v>
      </c>
      <c r="BQ749" s="2123" t="s">
        <v>1738</v>
      </c>
      <c r="BR749" s="2123" t="s">
        <v>1739</v>
      </c>
      <c r="BS749" s="2123" t="s">
        <v>1740</v>
      </c>
      <c r="BT749" s="2123" t="s">
        <v>1741</v>
      </c>
      <c r="BU749" s="2123" t="s">
        <v>1742</v>
      </c>
      <c r="BV749" s="2123" t="s">
        <v>1743</v>
      </c>
      <c r="BW749" s="2123" t="s">
        <v>1744</v>
      </c>
      <c r="BX749" s="2123" t="s">
        <v>1745</v>
      </c>
      <c r="BY749" s="2123" t="s">
        <v>1746</v>
      </c>
      <c r="BZ749" s="2123" t="s">
        <v>1747</v>
      </c>
      <c r="CA749" s="2123" t="s">
        <v>1748</v>
      </c>
      <c r="CB749" s="2123" t="s">
        <v>1749</v>
      </c>
      <c r="CC749" s="2123" t="s">
        <v>1750</v>
      </c>
      <c r="CD749" s="2123" t="s">
        <v>1751</v>
      </c>
      <c r="CE749" s="2123" t="s">
        <v>1752</v>
      </c>
      <c r="CF749" s="2123" t="s">
        <v>1753</v>
      </c>
      <c r="CG749" s="2123" t="s">
        <v>1754</v>
      </c>
      <c r="CH749" s="2123" t="s">
        <v>1755</v>
      </c>
      <c r="CI749" s="2123" t="s">
        <v>1756</v>
      </c>
      <c r="CJ749" s="2123" t="s">
        <v>1757</v>
      </c>
      <c r="CK749" s="2123" t="s">
        <v>1758</v>
      </c>
      <c r="CL749" s="2123" t="s">
        <v>1759</v>
      </c>
      <c r="CM749" s="2123" t="s">
        <v>1760</v>
      </c>
      <c r="CN749" s="2123" t="s">
        <v>1761</v>
      </c>
      <c r="CO749" s="2123" t="s">
        <v>1762</v>
      </c>
      <c r="CP749" s="2123" t="s">
        <v>1763</v>
      </c>
      <c r="CQ749" s="2123" t="s">
        <v>1764</v>
      </c>
      <c r="CR749" s="2123" t="s">
        <v>1765</v>
      </c>
      <c r="CS749" s="2123" t="s">
        <v>1766</v>
      </c>
      <c r="CT749" s="2123" t="s">
        <v>1767</v>
      </c>
      <c r="CU749" s="2123" t="s">
        <v>1768</v>
      </c>
      <c r="CV749" s="2123" t="s">
        <v>1769</v>
      </c>
      <c r="CW749" s="2123" t="s">
        <v>1770</v>
      </c>
      <c r="CX749" s="2123" t="s">
        <v>1771</v>
      </c>
      <c r="CY749" s="2123" t="s">
        <v>1772</v>
      </c>
      <c r="CZ749" s="2123" t="s">
        <v>1773</v>
      </c>
      <c r="DA749" s="2123" t="s">
        <v>1774</v>
      </c>
      <c r="DB749" s="2123" t="s">
        <v>1775</v>
      </c>
      <c r="DC749" s="2123" t="s">
        <v>1776</v>
      </c>
      <c r="DD749" s="2123" t="s">
        <v>1777</v>
      </c>
      <c r="DE749" s="2123" t="s">
        <v>1778</v>
      </c>
      <c r="DF749" s="2123" t="s">
        <v>1779</v>
      </c>
      <c r="DG749" s="2123" t="s">
        <v>1780</v>
      </c>
      <c r="DH749" s="2123" t="s">
        <v>1781</v>
      </c>
      <c r="DI749" s="2123" t="s">
        <v>1782</v>
      </c>
      <c r="DJ749" s="2123" t="s">
        <v>1783</v>
      </c>
      <c r="DK749" s="2123" t="s">
        <v>1784</v>
      </c>
      <c r="DL749" s="2123" t="s">
        <v>1785</v>
      </c>
      <c r="DM749" s="2123" t="s">
        <v>1786</v>
      </c>
      <c r="DN749" s="2123" t="s">
        <v>1787</v>
      </c>
      <c r="DO749" s="2123" t="s">
        <v>1788</v>
      </c>
      <c r="DP749" s="2123" t="s">
        <v>1789</v>
      </c>
      <c r="DQ749" s="2123" t="s">
        <v>1790</v>
      </c>
      <c r="DR749" s="2123" t="s">
        <v>1791</v>
      </c>
      <c r="DS749" s="2123" t="s">
        <v>1792</v>
      </c>
      <c r="DT749" s="2123" t="s">
        <v>1793</v>
      </c>
      <c r="DU749" s="2123" t="s">
        <v>1794</v>
      </c>
      <c r="DV749" s="2123" t="s">
        <v>1795</v>
      </c>
      <c r="DW749" s="2123" t="s">
        <v>1796</v>
      </c>
      <c r="DX749" s="2123" t="s">
        <v>1797</v>
      </c>
      <c r="DY749" s="2123" t="s">
        <v>1798</v>
      </c>
      <c r="DZ749" s="2123" t="s">
        <v>1799</v>
      </c>
      <c r="EA749" s="2123" t="s">
        <v>1800</v>
      </c>
      <c r="EB749" s="2123" t="s">
        <v>1801</v>
      </c>
      <c r="EC749" s="2123" t="s">
        <v>1802</v>
      </c>
      <c r="ED749" s="2123" t="s">
        <v>1803</v>
      </c>
      <c r="EE749" s="2123" t="s">
        <v>1804</v>
      </c>
      <c r="EF749" s="2123" t="s">
        <v>1805</v>
      </c>
      <c r="EG749" s="2123" t="s">
        <v>1806</v>
      </c>
      <c r="EH749" s="2123" t="s">
        <v>1807</v>
      </c>
      <c r="EI749" s="2123" t="s">
        <v>1808</v>
      </c>
      <c r="EJ749" s="2123" t="s">
        <v>1809</v>
      </c>
      <c r="EK749" s="2123" t="s">
        <v>1810</v>
      </c>
      <c r="EL749" s="2123" t="s">
        <v>1811</v>
      </c>
      <c r="EM749" s="2123" t="s">
        <v>1812</v>
      </c>
      <c r="EN749" s="2123" t="s">
        <v>1813</v>
      </c>
      <c r="EO749" s="2123" t="s">
        <v>1814</v>
      </c>
      <c r="EP749" s="2123" t="s">
        <v>1815</v>
      </c>
      <c r="EQ749" s="2123" t="s">
        <v>1816</v>
      </c>
      <c r="ER749" s="2123" t="s">
        <v>1817</v>
      </c>
      <c r="ES749" s="2123" t="s">
        <v>1818</v>
      </c>
      <c r="ET749" s="2123" t="s">
        <v>1819</v>
      </c>
      <c r="EU749" s="2123" t="s">
        <v>1820</v>
      </c>
      <c r="EV749" s="2123" t="s">
        <v>1821</v>
      </c>
      <c r="EW749" s="2123" t="s">
        <v>1822</v>
      </c>
      <c r="EX749" s="2123" t="s">
        <v>1823</v>
      </c>
      <c r="EY749" s="2123" t="s">
        <v>1824</v>
      </c>
      <c r="EZ749" s="2123" t="s">
        <v>1825</v>
      </c>
      <c r="FA749" s="2123" t="s">
        <v>1826</v>
      </c>
      <c r="FB749" s="2123" t="s">
        <v>1827</v>
      </c>
      <c r="FC749" s="2123" t="s">
        <v>1828</v>
      </c>
      <c r="FD749" s="2123" t="s">
        <v>1829</v>
      </c>
      <c r="FE749" s="2123" t="s">
        <v>1830</v>
      </c>
      <c r="FF749" s="2123" t="s">
        <v>1831</v>
      </c>
      <c r="FG749" s="2123" t="s">
        <v>1832</v>
      </c>
      <c r="FH749" s="2123" t="s">
        <v>1833</v>
      </c>
      <c r="FI749" s="2123" t="s">
        <v>1834</v>
      </c>
      <c r="FJ749" s="2123" t="s">
        <v>1835</v>
      </c>
      <c r="FK749" s="2123" t="s">
        <v>1836</v>
      </c>
      <c r="FL749" s="2123" t="s">
        <v>1837</v>
      </c>
      <c r="FM749" s="2123" t="s">
        <v>1838</v>
      </c>
      <c r="FN749" s="2123" t="s">
        <v>1839</v>
      </c>
      <c r="FO749" s="2123" t="s">
        <v>1840</v>
      </c>
      <c r="FP749" s="2123" t="s">
        <v>1841</v>
      </c>
      <c r="FQ749" s="2123" t="s">
        <v>1842</v>
      </c>
      <c r="FR749" s="2123" t="s">
        <v>1843</v>
      </c>
      <c r="FS749" s="2123" t="s">
        <v>1844</v>
      </c>
      <c r="FT749" s="2123" t="s">
        <v>1845</v>
      </c>
      <c r="FU749" s="2123" t="s">
        <v>1846</v>
      </c>
      <c r="FV749" s="2123" t="s">
        <v>1847</v>
      </c>
      <c r="FW749" s="2123" t="s">
        <v>1848</v>
      </c>
      <c r="FX749" s="2123" t="s">
        <v>1849</v>
      </c>
      <c r="FY749" s="2123" t="s">
        <v>1850</v>
      </c>
      <c r="FZ749" s="2123" t="s">
        <v>1851</v>
      </c>
      <c r="GA749" s="2123" t="s">
        <v>1852</v>
      </c>
      <c r="GB749" s="2123" t="s">
        <v>1853</v>
      </c>
      <c r="GC749" s="2123" t="s">
        <v>1854</v>
      </c>
      <c r="GD749" s="2123" t="s">
        <v>1855</v>
      </c>
      <c r="GE749" s="2123" t="s">
        <v>1856</v>
      </c>
      <c r="GF749" s="2123" t="s">
        <v>1857</v>
      </c>
      <c r="GG749" s="2123" t="s">
        <v>1858</v>
      </c>
      <c r="GH749" s="2123" t="s">
        <v>1859</v>
      </c>
      <c r="GI749" s="2123" t="s">
        <v>1860</v>
      </c>
      <c r="GJ749" s="2123" t="s">
        <v>1861</v>
      </c>
      <c r="GK749" s="2123" t="s">
        <v>1862</v>
      </c>
      <c r="GL749" s="2123" t="s">
        <v>1863</v>
      </c>
      <c r="GM749" s="2123" t="s">
        <v>1864</v>
      </c>
      <c r="GN749" s="2123" t="s">
        <v>1865</v>
      </c>
      <c r="GO749" s="2123" t="s">
        <v>1866</v>
      </c>
      <c r="GP749" s="2123" t="s">
        <v>1867</v>
      </c>
      <c r="GQ749" s="2123" t="s">
        <v>1868</v>
      </c>
      <c r="GR749" s="2123" t="s">
        <v>1869</v>
      </c>
      <c r="GS749" s="2123" t="s">
        <v>1870</v>
      </c>
      <c r="GT749" s="2123" t="s">
        <v>1871</v>
      </c>
      <c r="GU749" s="2123" t="s">
        <v>1872</v>
      </c>
      <c r="GV749" s="2123" t="s">
        <v>1873</v>
      </c>
      <c r="GW749" s="2123" t="s">
        <v>1874</v>
      </c>
      <c r="GX749" s="2123" t="s">
        <v>1875</v>
      </c>
      <c r="GY749" s="2123" t="s">
        <v>1876</v>
      </c>
      <c r="GZ749" s="2123" t="s">
        <v>1877</v>
      </c>
      <c r="HA749" s="2123" t="s">
        <v>1878</v>
      </c>
      <c r="HB749" s="2123" t="s">
        <v>1879</v>
      </c>
      <c r="HC749" s="2123" t="s">
        <v>1880</v>
      </c>
      <c r="HD749" s="2123" t="s">
        <v>1881</v>
      </c>
      <c r="HE749" s="2123" t="s">
        <v>1882</v>
      </c>
      <c r="HF749" s="2123" t="s">
        <v>1883</v>
      </c>
      <c r="HG749" s="2123" t="s">
        <v>1884</v>
      </c>
      <c r="HH749" s="2123" t="s">
        <v>1885</v>
      </c>
      <c r="HI749" s="2123" t="s">
        <v>1886</v>
      </c>
      <c r="HJ749" s="2123" t="s">
        <v>1887</v>
      </c>
      <c r="HK749" s="2123" t="s">
        <v>1888</v>
      </c>
      <c r="HL749" s="2123" t="s">
        <v>1889</v>
      </c>
      <c r="HM749" s="2123" t="s">
        <v>1890</v>
      </c>
      <c r="HN749" s="2123" t="s">
        <v>1891</v>
      </c>
      <c r="HO749" s="2123" t="s">
        <v>1892</v>
      </c>
      <c r="HP749" s="2123" t="s">
        <v>1893</v>
      </c>
      <c r="HQ749" s="2123" t="s">
        <v>1894</v>
      </c>
      <c r="HR749" s="2123" t="s">
        <v>1895</v>
      </c>
      <c r="HS749" s="2123" t="s">
        <v>1896</v>
      </c>
      <c r="HT749" s="2123" t="s">
        <v>1897</v>
      </c>
      <c r="HU749" s="2123" t="s">
        <v>1898</v>
      </c>
      <c r="HV749" s="2123" t="s">
        <v>1899</v>
      </c>
      <c r="HW749" s="2123" t="s">
        <v>1900</v>
      </c>
      <c r="HX749" s="2050" t="s">
        <v>1901</v>
      </c>
    </row>
    <row r="750" spans="1:232" s="2123" customFormat="1" ht="14" hidden="1" x14ac:dyDescent="0.3">
      <c r="A750" s="2040"/>
      <c r="B750" s="2127">
        <v>1</v>
      </c>
      <c r="C750" s="2128">
        <v>0.28999999999999998</v>
      </c>
      <c r="D750" s="2128">
        <v>0.28999999999999998</v>
      </c>
      <c r="E750" s="2128">
        <v>0.28999999999999998</v>
      </c>
      <c r="F750" s="2128">
        <v>0.28999999999999998</v>
      </c>
      <c r="G750" s="2128">
        <v>0.33</v>
      </c>
      <c r="H750" s="2128">
        <v>0.33</v>
      </c>
      <c r="I750" s="2128">
        <v>0.31</v>
      </c>
      <c r="J750" s="2128">
        <v>0.31</v>
      </c>
      <c r="K750" s="2128">
        <v>0.31</v>
      </c>
      <c r="L750" s="2128">
        <v>0.31</v>
      </c>
      <c r="M750" s="2128"/>
      <c r="N750" s="2128"/>
      <c r="O750" s="2128">
        <v>0.28999999999999998</v>
      </c>
      <c r="P750" s="2128">
        <v>0.28999999999999998</v>
      </c>
      <c r="Q750" s="2128">
        <v>0.28999999999999998</v>
      </c>
      <c r="R750" s="2128">
        <v>0.28999999999999998</v>
      </c>
      <c r="S750" s="2128">
        <v>0.28999999999999998</v>
      </c>
      <c r="T750" s="2128">
        <v>0.28999999999999998</v>
      </c>
      <c r="U750" s="2128">
        <v>0.28999999999999998</v>
      </c>
      <c r="V750" s="2128">
        <v>0.28999999999999998</v>
      </c>
      <c r="W750" s="2128">
        <v>0.28999999999999998</v>
      </c>
      <c r="X750" s="2128">
        <v>0.28999999999999998</v>
      </c>
      <c r="Y750" s="2128">
        <v>0.28999999999999998</v>
      </c>
      <c r="Z750" s="2128">
        <v>0.28999999999999998</v>
      </c>
      <c r="AA750" s="2128">
        <v>0.28999999999999998</v>
      </c>
      <c r="AB750" s="2128">
        <v>0.28999999999999998</v>
      </c>
      <c r="AC750" s="2128">
        <v>0.28999999999999998</v>
      </c>
      <c r="AD750" s="2128">
        <v>0.28999999999999998</v>
      </c>
      <c r="AE750" s="2128">
        <v>0.31</v>
      </c>
      <c r="AF750" s="2128">
        <v>0.31</v>
      </c>
      <c r="AG750" s="2128">
        <v>0.31</v>
      </c>
      <c r="AH750" s="2128">
        <v>0.31</v>
      </c>
      <c r="AI750" s="2128">
        <v>0.31</v>
      </c>
      <c r="AJ750" s="2128">
        <v>0.31</v>
      </c>
      <c r="AK750" s="2128">
        <v>0.31</v>
      </c>
      <c r="AL750" s="2128">
        <v>0.31</v>
      </c>
      <c r="AM750" s="2128">
        <v>0.28999999999999998</v>
      </c>
      <c r="AN750" s="2128">
        <v>0.28999999999999998</v>
      </c>
      <c r="AO750" s="2128">
        <v>0.28999999999999998</v>
      </c>
      <c r="AP750" s="2128">
        <v>0.28999999999999998</v>
      </c>
      <c r="AQ750" s="2128">
        <v>0.28999999999999998</v>
      </c>
      <c r="AR750" s="2128">
        <v>0.28999999999999998</v>
      </c>
      <c r="AS750" s="2128">
        <v>0.28999999999999998</v>
      </c>
      <c r="AT750" s="2128">
        <v>0.28999999999999998</v>
      </c>
      <c r="AU750" s="2128">
        <v>0.28999999999999998</v>
      </c>
      <c r="AV750" s="2128">
        <v>0.28999999999999998</v>
      </c>
      <c r="AW750" s="2128">
        <v>0.31</v>
      </c>
      <c r="AX750" s="2128">
        <v>0.31</v>
      </c>
      <c r="AY750" s="2128">
        <v>0.31</v>
      </c>
      <c r="AZ750" s="2128">
        <v>0.31</v>
      </c>
      <c r="BA750" s="2123">
        <v>0.28999999999999998</v>
      </c>
      <c r="BB750" s="2123">
        <v>0.28999999999999998</v>
      </c>
      <c r="BC750" s="2123">
        <v>0.28999999999999998</v>
      </c>
      <c r="BD750" s="2123">
        <v>0.28999999999999998</v>
      </c>
      <c r="BE750" s="2123">
        <v>0.28999999999999998</v>
      </c>
      <c r="BF750" s="2123">
        <v>0.28999999999999998</v>
      </c>
      <c r="BG750" s="2123">
        <v>0.28999999999999998</v>
      </c>
      <c r="BH750" s="2123">
        <v>0.28999999999999998</v>
      </c>
      <c r="BI750" s="2123">
        <v>0.31</v>
      </c>
      <c r="BJ750" s="2123">
        <v>0.31</v>
      </c>
      <c r="BK750" s="2123">
        <v>0.31</v>
      </c>
      <c r="BL750" s="2123">
        <v>0.31</v>
      </c>
      <c r="BM750" s="2123">
        <v>0.28999999999999998</v>
      </c>
      <c r="BN750" s="2123">
        <v>0.28999999999999998</v>
      </c>
      <c r="BO750" s="2123">
        <v>0.3</v>
      </c>
      <c r="BP750" s="2123">
        <v>0.3</v>
      </c>
      <c r="BQ750" s="2123">
        <v>0.3</v>
      </c>
      <c r="BR750" s="2123">
        <v>0.3</v>
      </c>
      <c r="BS750" s="2123">
        <v>0.31</v>
      </c>
      <c r="BT750" s="2123">
        <v>0.31</v>
      </c>
      <c r="BU750" s="2123">
        <v>0.31</v>
      </c>
      <c r="BV750" s="2123">
        <v>0.31</v>
      </c>
      <c r="BW750" s="2123">
        <v>0.31</v>
      </c>
      <c r="BX750" s="2123">
        <v>0.31</v>
      </c>
      <c r="BY750" s="2123">
        <v>0.28999999999999998</v>
      </c>
      <c r="BZ750" s="2123">
        <v>0.28999999999999998</v>
      </c>
      <c r="CA750" s="2123">
        <v>0.3</v>
      </c>
      <c r="CB750" s="2123">
        <v>0.3</v>
      </c>
      <c r="CC750" s="2123">
        <v>0.28999999999999998</v>
      </c>
      <c r="CD750" s="2123">
        <v>0.28999999999999998</v>
      </c>
      <c r="CE750" s="2123">
        <v>0.31</v>
      </c>
      <c r="CF750" s="2123">
        <v>0.31</v>
      </c>
      <c r="CK750" s="2123">
        <v>2.29</v>
      </c>
      <c r="CL750" s="2123">
        <v>2.29</v>
      </c>
      <c r="CM750" s="2123">
        <v>0.5</v>
      </c>
      <c r="CN750" s="2123">
        <v>0.5</v>
      </c>
      <c r="CO750" s="2123">
        <v>0.34</v>
      </c>
      <c r="CP750" s="2123">
        <v>0.34</v>
      </c>
      <c r="CQ750" s="2123">
        <v>0.34</v>
      </c>
      <c r="CR750" s="2123">
        <v>0.34</v>
      </c>
      <c r="CW750" s="2123">
        <v>0.28999999999999998</v>
      </c>
      <c r="CX750" s="2123">
        <v>0.28999999999999998</v>
      </c>
      <c r="CY750" s="2123">
        <v>0.43</v>
      </c>
      <c r="CZ750" s="2123">
        <v>0.43</v>
      </c>
      <c r="DA750" s="2123">
        <v>0.43</v>
      </c>
      <c r="DB750" s="2123">
        <v>0.43</v>
      </c>
      <c r="DC750" s="2123">
        <v>0.33</v>
      </c>
      <c r="DD750" s="2123">
        <v>0.33</v>
      </c>
      <c r="DE750" s="2123">
        <v>0.33</v>
      </c>
      <c r="DF750" s="2123">
        <v>0.33</v>
      </c>
      <c r="DI750" s="2123">
        <v>0.28999999999999998</v>
      </c>
      <c r="DJ750" s="2123">
        <v>0.28999999999999998</v>
      </c>
      <c r="DK750" s="2123">
        <v>0.28999999999999998</v>
      </c>
      <c r="DL750" s="2123">
        <v>0.28999999999999998</v>
      </c>
      <c r="DM750" s="2123">
        <v>0.28999999999999998</v>
      </c>
      <c r="DN750" s="2123">
        <v>0.28999999999999998</v>
      </c>
      <c r="DU750" s="2123">
        <v>0.28999999999999998</v>
      </c>
      <c r="DV750" s="2123">
        <v>0.28999999999999998</v>
      </c>
      <c r="DW750" s="2123">
        <v>0.28999999999999998</v>
      </c>
      <c r="DX750" s="2123">
        <v>0.28999999999999998</v>
      </c>
      <c r="DY750" s="2123">
        <v>0.28999999999999998</v>
      </c>
      <c r="DZ750" s="2123">
        <v>0.28999999999999998</v>
      </c>
      <c r="EG750" s="2123">
        <v>0.28999999999999998</v>
      </c>
      <c r="EH750" s="2123">
        <v>0.28999999999999998</v>
      </c>
      <c r="EI750" s="2123">
        <v>0.28999999999999998</v>
      </c>
      <c r="EJ750" s="2123">
        <v>0.28999999999999998</v>
      </c>
      <c r="EK750" s="2123">
        <v>0.28999999999999998</v>
      </c>
      <c r="EL750" s="2123">
        <v>0.28999999999999998</v>
      </c>
      <c r="EM750" s="2123">
        <v>0.28999999999999998</v>
      </c>
      <c r="EN750" s="2123">
        <v>0.28999999999999998</v>
      </c>
      <c r="EO750" s="2123">
        <v>0.31</v>
      </c>
      <c r="EP750" s="2123">
        <v>0.31</v>
      </c>
      <c r="EQ750" s="2123">
        <v>0.31</v>
      </c>
      <c r="ER750" s="2123">
        <v>0.28999999999999998</v>
      </c>
      <c r="ES750" s="2123">
        <v>0.28999999999999998</v>
      </c>
      <c r="ET750" s="2123">
        <v>0.28999999999999998</v>
      </c>
      <c r="EU750" s="2123">
        <v>0.3</v>
      </c>
      <c r="EV750" s="2123">
        <v>0.3</v>
      </c>
      <c r="EW750" s="2123">
        <v>0.3</v>
      </c>
      <c r="EX750" s="2123">
        <v>0.3</v>
      </c>
      <c r="EY750" s="2129">
        <f>AVERAGE(EU750,EW750)</f>
        <v>0.3</v>
      </c>
      <c r="EZ750" s="2129">
        <f>AVERAGE(EV750,EX750)</f>
        <v>0.3</v>
      </c>
      <c r="FA750" s="2123">
        <v>0.31</v>
      </c>
      <c r="FB750" s="2123">
        <v>0.31</v>
      </c>
      <c r="FE750" s="2123">
        <v>0.28999999999999998</v>
      </c>
      <c r="FF750" s="2123">
        <v>0.28999999999999998</v>
      </c>
      <c r="FG750" s="2123">
        <v>0.3</v>
      </c>
      <c r="FH750" s="2123">
        <v>0.3</v>
      </c>
      <c r="FI750" s="2123">
        <v>0.3</v>
      </c>
      <c r="FJ750" s="2123">
        <v>0.3</v>
      </c>
      <c r="FK750" s="2123">
        <v>0.3</v>
      </c>
      <c r="FL750" s="2123">
        <v>0.3</v>
      </c>
      <c r="FM750" s="2123">
        <v>0.31</v>
      </c>
      <c r="FN750" s="2123">
        <v>0.31</v>
      </c>
      <c r="FQ750" s="2123">
        <v>0.28999999999999998</v>
      </c>
      <c r="FR750" s="2123">
        <v>0.28999999999999998</v>
      </c>
      <c r="FS750" s="2123">
        <v>0.31</v>
      </c>
      <c r="FT750" s="2123">
        <v>0.31</v>
      </c>
      <c r="FU750" s="2123">
        <v>0.31</v>
      </c>
      <c r="FV750" s="2123">
        <v>0.31</v>
      </c>
      <c r="FW750" s="2123">
        <v>0.32</v>
      </c>
      <c r="FX750" s="2123">
        <v>0.32</v>
      </c>
      <c r="GC750" s="2123">
        <v>0.28999999999999998</v>
      </c>
      <c r="GD750" s="2123">
        <v>0.28999999999999998</v>
      </c>
      <c r="GE750" s="2123">
        <v>0.36</v>
      </c>
      <c r="GF750" s="2123">
        <v>0.36</v>
      </c>
      <c r="GG750" s="2123">
        <v>0.36</v>
      </c>
      <c r="GH750" s="2123">
        <v>0.36</v>
      </c>
      <c r="GI750" s="2123">
        <v>0.28999999999999998</v>
      </c>
      <c r="GJ750" s="2123">
        <v>0.28999999999999998</v>
      </c>
      <c r="GK750" s="2123">
        <v>0.31</v>
      </c>
      <c r="GL750" s="2123">
        <v>0.31</v>
      </c>
      <c r="GO750" s="2123">
        <v>0.28999999999999998</v>
      </c>
      <c r="GP750" s="2123">
        <v>0.28999999999999998</v>
      </c>
      <c r="GQ750" s="2123">
        <v>0.28999999999999998</v>
      </c>
      <c r="GR750" s="2123">
        <v>0.28999999999999998</v>
      </c>
      <c r="GS750" s="2123">
        <v>0.28999999999999998</v>
      </c>
      <c r="GT750" s="2123">
        <v>0.28999999999999998</v>
      </c>
      <c r="GU750" s="2123">
        <v>0.28999999999999998</v>
      </c>
      <c r="GV750" s="2123">
        <v>0.28999999999999998</v>
      </c>
      <c r="GW750" s="2123">
        <v>0.31</v>
      </c>
      <c r="GX750" s="2123">
        <v>0.31</v>
      </c>
      <c r="HA750" s="2123">
        <v>0.28999999999999998</v>
      </c>
      <c r="HB750" s="2123">
        <v>0.28999999999999998</v>
      </c>
      <c r="HC750" s="2123">
        <v>0.31</v>
      </c>
      <c r="HD750" s="2123">
        <v>0.31</v>
      </c>
      <c r="HE750" s="2123">
        <v>0.28999999999999998</v>
      </c>
      <c r="HF750" s="2123">
        <v>0.28999999999999998</v>
      </c>
      <c r="HG750" s="2123">
        <v>0.28999999999999998</v>
      </c>
      <c r="HH750" s="2123">
        <v>0.28999999999999998</v>
      </c>
      <c r="HI750" s="2123">
        <v>0.28999999999999998</v>
      </c>
      <c r="HJ750" s="2123">
        <v>0.28999999999999998</v>
      </c>
      <c r="HK750" s="2123">
        <v>0.31</v>
      </c>
      <c r="HL750" s="2123">
        <v>0.31</v>
      </c>
      <c r="HM750" s="2123">
        <v>0.28999999999999998</v>
      </c>
      <c r="HN750" s="2123">
        <v>0.28999999999999998</v>
      </c>
      <c r="HO750" s="2123">
        <v>0.31</v>
      </c>
      <c r="HP750" s="2123">
        <v>0.31</v>
      </c>
      <c r="HQ750" s="2123">
        <v>0.28999999999999998</v>
      </c>
      <c r="HR750" s="2123">
        <v>0.28999999999999998</v>
      </c>
      <c r="HS750" s="2123">
        <v>0.28999999999999998</v>
      </c>
      <c r="HT750" s="2123">
        <v>0.28999999999999998</v>
      </c>
      <c r="HU750" s="2123">
        <v>0.28999999999999998</v>
      </c>
      <c r="HV750" s="2123">
        <v>0.28999999999999998</v>
      </c>
      <c r="HW750" s="2123">
        <v>0.31</v>
      </c>
      <c r="HX750" s="2050">
        <v>0.31</v>
      </c>
    </row>
    <row r="751" spans="1:232" s="2123" customFormat="1" ht="14" hidden="1" x14ac:dyDescent="0.3">
      <c r="A751" s="2040"/>
      <c r="B751" s="2127">
        <v>2</v>
      </c>
      <c r="C751" s="2128">
        <v>0.34</v>
      </c>
      <c r="D751" s="2128">
        <v>0.34</v>
      </c>
      <c r="E751" s="2128">
        <v>0.7</v>
      </c>
      <c r="F751" s="2128">
        <v>0.7</v>
      </c>
      <c r="G751" s="2128">
        <v>0.56999999999999995</v>
      </c>
      <c r="H751" s="2128">
        <v>0.56999999999999995</v>
      </c>
      <c r="I751" s="2128">
        <v>0.35</v>
      </c>
      <c r="J751" s="2128">
        <v>0.35</v>
      </c>
      <c r="K751" s="2128">
        <v>0.43</v>
      </c>
      <c r="L751" s="2128">
        <v>0.43</v>
      </c>
      <c r="M751" s="2128"/>
      <c r="N751" s="2128"/>
      <c r="O751" s="2128">
        <v>0.43</v>
      </c>
      <c r="P751" s="2128">
        <v>0.43</v>
      </c>
      <c r="Q751" s="2128">
        <v>0.59</v>
      </c>
      <c r="R751" s="2128">
        <v>0.44</v>
      </c>
      <c r="S751" s="2128">
        <v>0.33999999999999997</v>
      </c>
      <c r="T751" s="2128">
        <v>0.34</v>
      </c>
      <c r="U751" s="2128">
        <v>0.34</v>
      </c>
      <c r="V751" s="2128">
        <v>0.34</v>
      </c>
      <c r="W751" s="2128">
        <v>0.34</v>
      </c>
      <c r="X751" s="2128">
        <v>0.34</v>
      </c>
      <c r="Y751" s="2128">
        <v>0.34</v>
      </c>
      <c r="Z751" s="2128">
        <v>0.34</v>
      </c>
      <c r="AA751" s="2128">
        <v>0.34</v>
      </c>
      <c r="AB751" s="2128">
        <v>0.34</v>
      </c>
      <c r="AC751" s="2128">
        <v>0.34</v>
      </c>
      <c r="AD751" s="2128">
        <v>0.34</v>
      </c>
      <c r="AE751" s="2128">
        <v>0.37</v>
      </c>
      <c r="AF751" s="2128">
        <v>0.36</v>
      </c>
      <c r="AG751" s="2128">
        <v>0.37</v>
      </c>
      <c r="AH751" s="2128">
        <v>0.37</v>
      </c>
      <c r="AI751" s="2128">
        <v>0.36</v>
      </c>
      <c r="AJ751" s="2128">
        <v>0.36</v>
      </c>
      <c r="AK751" s="2128">
        <v>0.47</v>
      </c>
      <c r="AL751" s="2128">
        <v>0.47</v>
      </c>
      <c r="AM751" s="2128">
        <v>0.37</v>
      </c>
      <c r="AN751" s="2128">
        <v>0.36</v>
      </c>
      <c r="AO751" s="2128">
        <v>0.36</v>
      </c>
      <c r="AP751" s="2128">
        <v>0.36</v>
      </c>
      <c r="AQ751" s="2128">
        <v>0.36</v>
      </c>
      <c r="AR751" s="2128">
        <v>0.36</v>
      </c>
      <c r="AS751" s="2128">
        <v>0.4</v>
      </c>
      <c r="AT751" s="2128">
        <v>0.4</v>
      </c>
      <c r="AU751" s="2128">
        <v>0.4</v>
      </c>
      <c r="AV751" s="2128">
        <v>0.42</v>
      </c>
      <c r="AW751" s="2128">
        <v>0.34</v>
      </c>
      <c r="AX751" s="2128">
        <v>0.34</v>
      </c>
      <c r="AY751" s="2128">
        <v>0.35</v>
      </c>
      <c r="AZ751" s="2128">
        <v>0.35</v>
      </c>
      <c r="BA751" s="2123">
        <v>0.33</v>
      </c>
      <c r="BB751" s="2123">
        <v>0.33</v>
      </c>
      <c r="BC751" s="2123">
        <v>0.3</v>
      </c>
      <c r="BD751" s="2123">
        <v>0.3</v>
      </c>
      <c r="BE751" s="2123">
        <v>0.34</v>
      </c>
      <c r="BF751" s="2123">
        <v>0.34</v>
      </c>
      <c r="BG751" s="2123">
        <v>0.3</v>
      </c>
      <c r="BH751" s="2123">
        <v>0.3</v>
      </c>
      <c r="BI751" s="2123">
        <v>0.31</v>
      </c>
      <c r="BJ751" s="2123">
        <v>0.31</v>
      </c>
      <c r="BK751" s="2123">
        <v>0.31</v>
      </c>
      <c r="BL751" s="2123">
        <v>0.31</v>
      </c>
      <c r="BM751" s="2123">
        <v>0.35</v>
      </c>
      <c r="BN751" s="2123">
        <v>0.35</v>
      </c>
      <c r="BO751" s="2123">
        <v>0.56999999999999995</v>
      </c>
      <c r="BP751" s="2123">
        <v>0.56999999999999995</v>
      </c>
      <c r="BQ751" s="2123">
        <v>0.56999999999999995</v>
      </c>
      <c r="BR751" s="2123">
        <v>0.56999999999999995</v>
      </c>
      <c r="BS751" s="2123">
        <v>0.41</v>
      </c>
      <c r="BT751" s="2123">
        <v>0.41</v>
      </c>
      <c r="BU751" s="2123">
        <v>0.41</v>
      </c>
      <c r="BV751" s="2123">
        <v>0.41</v>
      </c>
      <c r="BW751" s="2123">
        <v>0.41</v>
      </c>
      <c r="BX751" s="2123">
        <v>0.41</v>
      </c>
      <c r="BY751" s="2123">
        <v>0.35</v>
      </c>
      <c r="BZ751" s="2123">
        <v>0.35</v>
      </c>
      <c r="CA751" s="2123">
        <v>0.53</v>
      </c>
      <c r="CB751" s="2123">
        <v>0.53</v>
      </c>
      <c r="CC751" s="2123">
        <v>0.39</v>
      </c>
      <c r="CD751" s="2123">
        <v>0.39</v>
      </c>
      <c r="CE751" s="2123">
        <v>0.4</v>
      </c>
      <c r="CF751" s="2123">
        <v>0.4</v>
      </c>
      <c r="CK751" s="2123">
        <v>4.47</v>
      </c>
      <c r="CL751" s="2123">
        <v>4.47</v>
      </c>
      <c r="CM751" s="2123">
        <v>2.78</v>
      </c>
      <c r="CN751" s="2123">
        <v>2.78</v>
      </c>
      <c r="CO751" s="2123">
        <v>1.2</v>
      </c>
      <c r="CP751" s="2123">
        <v>1.2</v>
      </c>
      <c r="CQ751" s="2123">
        <v>1.2</v>
      </c>
      <c r="CR751" s="2123">
        <v>1.2</v>
      </c>
      <c r="CW751" s="2123">
        <v>0.41</v>
      </c>
      <c r="CX751" s="2123">
        <v>0.41</v>
      </c>
      <c r="CY751" s="2123">
        <v>2.17</v>
      </c>
      <c r="CZ751" s="2123">
        <v>2.17</v>
      </c>
      <c r="DA751" s="2123">
        <v>2.17</v>
      </c>
      <c r="DB751" s="2123">
        <v>2.17</v>
      </c>
      <c r="DC751" s="2123">
        <v>0.99</v>
      </c>
      <c r="DD751" s="2123">
        <v>0.99</v>
      </c>
      <c r="DE751" s="2123">
        <v>0.99</v>
      </c>
      <c r="DF751" s="2123">
        <v>0.99</v>
      </c>
      <c r="DI751" s="2123">
        <v>0.32</v>
      </c>
      <c r="DJ751" s="2123">
        <v>0.32</v>
      </c>
      <c r="DK751" s="2123">
        <v>0.32</v>
      </c>
      <c r="DL751" s="2123">
        <v>0.32</v>
      </c>
      <c r="DM751" s="2123">
        <v>0.32</v>
      </c>
      <c r="DN751" s="2123">
        <v>0.32</v>
      </c>
      <c r="DU751" s="2123">
        <v>0.31</v>
      </c>
      <c r="DV751" s="2123">
        <v>0.31</v>
      </c>
      <c r="DW751" s="2123">
        <v>0.28999999999999998</v>
      </c>
      <c r="DX751" s="2123">
        <v>0.28999999999999998</v>
      </c>
      <c r="DY751" s="2123">
        <v>0.28999999999999998</v>
      </c>
      <c r="DZ751" s="2123">
        <v>0.28999999999999998</v>
      </c>
      <c r="EG751" s="2123">
        <v>0.31</v>
      </c>
      <c r="EH751" s="2123">
        <v>0.32</v>
      </c>
      <c r="EI751" s="2123">
        <v>0.3</v>
      </c>
      <c r="EJ751" s="2123">
        <v>0.3</v>
      </c>
      <c r="EK751" s="2123">
        <v>0.3</v>
      </c>
      <c r="EL751" s="2123">
        <v>0.3</v>
      </c>
      <c r="EM751" s="2123">
        <v>0.3</v>
      </c>
      <c r="EN751" s="2123">
        <v>0.3</v>
      </c>
      <c r="EO751" s="2123">
        <v>0.31</v>
      </c>
      <c r="EP751" s="2123">
        <v>0.31</v>
      </c>
      <c r="EQ751" s="2123">
        <v>0.31</v>
      </c>
      <c r="ER751" s="2123">
        <v>0.3</v>
      </c>
      <c r="ES751" s="2123">
        <v>0.35</v>
      </c>
      <c r="ET751" s="2123">
        <v>0.35</v>
      </c>
      <c r="EU751" s="2123">
        <v>0.42</v>
      </c>
      <c r="EV751" s="2123">
        <v>0.42</v>
      </c>
      <c r="EW751" s="2123">
        <v>0.4</v>
      </c>
      <c r="EX751" s="2123">
        <v>0.4</v>
      </c>
      <c r="EY751" s="2129">
        <f t="shared" ref="EY751:EZ814" si="50">AVERAGE(EU751,EW751)</f>
        <v>0.41000000000000003</v>
      </c>
      <c r="EZ751" s="2129">
        <f t="shared" si="50"/>
        <v>0.41000000000000003</v>
      </c>
      <c r="FA751" s="2123">
        <v>0.45</v>
      </c>
      <c r="FB751" s="2123">
        <v>0.45</v>
      </c>
      <c r="FE751" s="2123">
        <v>0.34</v>
      </c>
      <c r="FF751" s="2123">
        <v>0.34</v>
      </c>
      <c r="FG751" s="2123">
        <v>0.39</v>
      </c>
      <c r="FH751" s="2123">
        <v>0.39</v>
      </c>
      <c r="FI751" s="2123">
        <v>0.39</v>
      </c>
      <c r="FJ751" s="2123">
        <v>0.39</v>
      </c>
      <c r="FK751" s="2123">
        <v>0.37</v>
      </c>
      <c r="FL751" s="2123">
        <v>0.37</v>
      </c>
      <c r="FM751" s="2123">
        <v>0.39</v>
      </c>
      <c r="FN751" s="2123">
        <v>0.39</v>
      </c>
      <c r="FQ751" s="2123">
        <v>0.41</v>
      </c>
      <c r="FR751" s="2123">
        <v>0.41</v>
      </c>
      <c r="FS751" s="2123">
        <v>0.64</v>
      </c>
      <c r="FT751" s="2123">
        <v>0.64</v>
      </c>
      <c r="FU751" s="2123">
        <v>0.64</v>
      </c>
      <c r="FV751" s="2123">
        <v>0.64</v>
      </c>
      <c r="FW751" s="2123">
        <v>0.67</v>
      </c>
      <c r="FX751" s="2123">
        <v>0.67</v>
      </c>
      <c r="GC751" s="2123">
        <v>0.37</v>
      </c>
      <c r="GD751" s="2123">
        <v>0.37</v>
      </c>
      <c r="GE751" s="2123">
        <v>1.31</v>
      </c>
      <c r="GF751" s="2123">
        <v>1.31</v>
      </c>
      <c r="GG751" s="2123">
        <v>1.31</v>
      </c>
      <c r="GH751" s="2123">
        <v>1.31</v>
      </c>
      <c r="GI751" s="2123">
        <v>0.3</v>
      </c>
      <c r="GJ751" s="2123">
        <v>0.3</v>
      </c>
      <c r="GK751" s="2123">
        <v>0.43</v>
      </c>
      <c r="GL751" s="2123">
        <v>0.43</v>
      </c>
      <c r="GO751" s="2123">
        <v>0.34</v>
      </c>
      <c r="GP751" s="2123">
        <v>0.34</v>
      </c>
      <c r="GQ751" s="2123">
        <v>0.31</v>
      </c>
      <c r="GR751" s="2123">
        <v>0.31</v>
      </c>
      <c r="GS751" s="2123">
        <v>0.31</v>
      </c>
      <c r="GT751" s="2123">
        <v>0.3</v>
      </c>
      <c r="GU751" s="2123">
        <v>0.3</v>
      </c>
      <c r="GV751" s="2123">
        <v>0.3</v>
      </c>
      <c r="GW751" s="2123">
        <v>0.38</v>
      </c>
      <c r="GX751" s="2123">
        <v>0.38</v>
      </c>
      <c r="HA751" s="2123">
        <v>0.32</v>
      </c>
      <c r="HB751" s="2123">
        <v>0.32</v>
      </c>
      <c r="HC751" s="2123">
        <v>0.31</v>
      </c>
      <c r="HD751" s="2123">
        <v>0.31</v>
      </c>
      <c r="HE751" s="2123">
        <v>0.3</v>
      </c>
      <c r="HF751" s="2123">
        <v>0.3</v>
      </c>
      <c r="HG751" s="2123">
        <v>0.3</v>
      </c>
      <c r="HH751" s="2123">
        <v>0.3</v>
      </c>
      <c r="HI751" s="2123">
        <v>0.3</v>
      </c>
      <c r="HJ751" s="2123">
        <v>0.3</v>
      </c>
      <c r="HK751" s="2123">
        <v>0.31</v>
      </c>
      <c r="HL751" s="2123">
        <v>0.31</v>
      </c>
      <c r="HM751" s="2123">
        <v>0.34</v>
      </c>
      <c r="HN751" s="2123">
        <v>0.34</v>
      </c>
      <c r="HO751" s="2123">
        <v>0.31</v>
      </c>
      <c r="HP751" s="2123">
        <v>0.31</v>
      </c>
      <c r="HQ751" s="2123">
        <v>0.3</v>
      </c>
      <c r="HR751" s="2123">
        <v>0.3</v>
      </c>
      <c r="HS751" s="2123">
        <v>0.3</v>
      </c>
      <c r="HT751" s="2123">
        <v>0.3</v>
      </c>
      <c r="HU751" s="2123">
        <v>0.3</v>
      </c>
      <c r="HV751" s="2123">
        <v>0.3</v>
      </c>
      <c r="HW751" s="2123">
        <v>0.31</v>
      </c>
      <c r="HX751" s="2050">
        <v>0.31</v>
      </c>
    </row>
    <row r="752" spans="1:232" s="2123" customFormat="1" ht="14" hidden="1" x14ac:dyDescent="0.3">
      <c r="A752" s="2040"/>
      <c r="B752" s="2127">
        <v>3</v>
      </c>
      <c r="C752" s="2128">
        <v>0.55000000000000004</v>
      </c>
      <c r="D752" s="2128">
        <v>0.55000000000000004</v>
      </c>
      <c r="E752" s="2128">
        <v>1.39</v>
      </c>
      <c r="F752" s="2128">
        <v>1.39</v>
      </c>
      <c r="G752" s="2128">
        <v>1.31</v>
      </c>
      <c r="H752" s="2128">
        <v>1.31</v>
      </c>
      <c r="I752" s="2128">
        <v>0.57999999999999996</v>
      </c>
      <c r="J752" s="2128">
        <v>0.57999999999999996</v>
      </c>
      <c r="K752" s="2128">
        <v>0.9</v>
      </c>
      <c r="L752" s="2128">
        <v>0.9</v>
      </c>
      <c r="M752" s="2128"/>
      <c r="N752" s="2128"/>
      <c r="O752" s="2128">
        <v>1.08</v>
      </c>
      <c r="P752" s="2128">
        <v>1.08</v>
      </c>
      <c r="Q752" s="2128">
        <v>2.4900000000000002</v>
      </c>
      <c r="R752" s="2128">
        <v>1.0900000000000001</v>
      </c>
      <c r="S752" s="2128">
        <v>0.6399999999999999</v>
      </c>
      <c r="T752" s="2128">
        <v>0.64</v>
      </c>
      <c r="U752" s="2128">
        <v>0.62</v>
      </c>
      <c r="V752" s="2128">
        <v>0.62</v>
      </c>
      <c r="W752" s="2128">
        <v>0.64</v>
      </c>
      <c r="X752" s="2128">
        <v>0.64</v>
      </c>
      <c r="Y752" s="2128">
        <v>0.62</v>
      </c>
      <c r="Z752" s="2128">
        <v>0.64</v>
      </c>
      <c r="AA752" s="2128">
        <v>0.64</v>
      </c>
      <c r="AB752" s="2128">
        <v>0.64</v>
      </c>
      <c r="AC752" s="2128">
        <v>0.62</v>
      </c>
      <c r="AD752" s="2128">
        <v>0.62</v>
      </c>
      <c r="AE752" s="2128">
        <v>0.79</v>
      </c>
      <c r="AF752" s="2128">
        <v>0.78</v>
      </c>
      <c r="AG752" s="2128">
        <v>0.79</v>
      </c>
      <c r="AH752" s="2128">
        <v>0.79</v>
      </c>
      <c r="AI752" s="2128">
        <v>0.78</v>
      </c>
      <c r="AJ752" s="2128">
        <v>0.78</v>
      </c>
      <c r="AK752" s="2128">
        <v>1.19</v>
      </c>
      <c r="AL752" s="2128">
        <v>1.19</v>
      </c>
      <c r="AM752" s="2128">
        <v>0.72</v>
      </c>
      <c r="AN752" s="2128">
        <v>0.69</v>
      </c>
      <c r="AO752" s="2128">
        <v>0.69</v>
      </c>
      <c r="AP752" s="2128">
        <v>0.69</v>
      </c>
      <c r="AQ752" s="2128">
        <v>1.1000000000000001</v>
      </c>
      <c r="AR752" s="2128">
        <v>1.1000000000000001</v>
      </c>
      <c r="AS752" s="2128">
        <v>0.88</v>
      </c>
      <c r="AT752" s="2128">
        <v>0.88</v>
      </c>
      <c r="AU752" s="2128">
        <v>0.88</v>
      </c>
      <c r="AV752" s="2128">
        <v>0.97</v>
      </c>
      <c r="AW752" s="2128">
        <v>0.62</v>
      </c>
      <c r="AX752" s="2128">
        <v>0.62</v>
      </c>
      <c r="AY752" s="2128">
        <v>0.64</v>
      </c>
      <c r="AZ752" s="2128">
        <v>0.64</v>
      </c>
      <c r="BA752" s="2123">
        <v>0.5</v>
      </c>
      <c r="BB752" s="2123">
        <v>0.5</v>
      </c>
      <c r="BC752" s="2123">
        <v>0.31</v>
      </c>
      <c r="BD752" s="2123">
        <v>0.31</v>
      </c>
      <c r="BE752" s="2123">
        <v>0.49</v>
      </c>
      <c r="BF752" s="2123">
        <v>0.49</v>
      </c>
      <c r="BG752" s="2123">
        <v>0.31</v>
      </c>
      <c r="BH752" s="2123">
        <v>0.31</v>
      </c>
      <c r="BI752" s="2123">
        <v>0.31</v>
      </c>
      <c r="BJ752" s="2123">
        <v>0.31</v>
      </c>
      <c r="BK752" s="2123">
        <v>0.31</v>
      </c>
      <c r="BL752" s="2123">
        <v>0.31</v>
      </c>
      <c r="BM752" s="2123">
        <v>0.61</v>
      </c>
      <c r="BN752" s="2123">
        <v>0.61</v>
      </c>
      <c r="BO752" s="2123">
        <v>1.36</v>
      </c>
      <c r="BP752" s="2123">
        <v>1.36</v>
      </c>
      <c r="BQ752" s="2123">
        <v>1.36</v>
      </c>
      <c r="BR752" s="2123">
        <v>1.36</v>
      </c>
      <c r="BS752" s="2123">
        <v>0.82</v>
      </c>
      <c r="BT752" s="2123">
        <v>0.82</v>
      </c>
      <c r="BU752" s="2123">
        <v>0.82</v>
      </c>
      <c r="BV752" s="2123">
        <v>0.82</v>
      </c>
      <c r="BW752" s="2123">
        <v>0.82</v>
      </c>
      <c r="BX752" s="2123">
        <v>0.82</v>
      </c>
      <c r="BY752" s="2123">
        <v>0.57999999999999996</v>
      </c>
      <c r="BZ752" s="2123">
        <v>0.57999999999999996</v>
      </c>
      <c r="CA752" s="2123">
        <v>1.22</v>
      </c>
      <c r="CB752" s="2123">
        <v>1.22</v>
      </c>
      <c r="CC752" s="2123">
        <v>0.84</v>
      </c>
      <c r="CD752" s="2123">
        <v>0.84</v>
      </c>
      <c r="CE752" s="2123">
        <v>0.77</v>
      </c>
      <c r="CF752" s="2123">
        <v>0.77</v>
      </c>
      <c r="CK752" s="2123">
        <v>7.49</v>
      </c>
      <c r="CL752" s="2123">
        <v>7.49</v>
      </c>
      <c r="CM752" s="2123">
        <v>7.09</v>
      </c>
      <c r="CN752" s="2123">
        <v>7.09</v>
      </c>
      <c r="CO752" s="2123">
        <v>3.44</v>
      </c>
      <c r="CP752" s="2123">
        <v>3.44</v>
      </c>
      <c r="CQ752" s="2123">
        <v>3.44</v>
      </c>
      <c r="CR752" s="2123">
        <v>3.44</v>
      </c>
      <c r="CW752" s="2123">
        <v>0.95</v>
      </c>
      <c r="CX752" s="2123">
        <v>0.95</v>
      </c>
      <c r="CY752" s="2123">
        <v>5.67</v>
      </c>
      <c r="CZ752" s="2123">
        <v>5.67</v>
      </c>
      <c r="DA752" s="2123">
        <v>5.67</v>
      </c>
      <c r="DB752" s="2123">
        <v>5.67</v>
      </c>
      <c r="DC752" s="2123">
        <v>2.8</v>
      </c>
      <c r="DD752" s="2123">
        <v>2.8</v>
      </c>
      <c r="DE752" s="2123">
        <v>2.8</v>
      </c>
      <c r="DF752" s="2123">
        <v>2.8</v>
      </c>
      <c r="DI752" s="2123">
        <v>0.46</v>
      </c>
      <c r="DJ752" s="2123">
        <v>0.46</v>
      </c>
      <c r="DK752" s="2123">
        <v>0.46</v>
      </c>
      <c r="DL752" s="2123">
        <v>0.46</v>
      </c>
      <c r="DM752" s="2123">
        <v>0.46</v>
      </c>
      <c r="DN752" s="2123">
        <v>0.46</v>
      </c>
      <c r="DU752" s="2123">
        <v>0.37</v>
      </c>
      <c r="DV752" s="2123">
        <v>0.37</v>
      </c>
      <c r="DW752" s="2123">
        <v>0.3</v>
      </c>
      <c r="DX752" s="2123">
        <v>0.3</v>
      </c>
      <c r="DY752" s="2123">
        <v>0.3</v>
      </c>
      <c r="DZ752" s="2123">
        <v>0.3</v>
      </c>
      <c r="EG752" s="2123">
        <v>0.38</v>
      </c>
      <c r="EH752" s="2123">
        <v>0.55000000000000004</v>
      </c>
      <c r="EI752" s="2123">
        <v>0.3</v>
      </c>
      <c r="EJ752" s="2123">
        <v>0.3</v>
      </c>
      <c r="EK752" s="2123">
        <v>0.3</v>
      </c>
      <c r="EL752" s="2123">
        <v>0.3</v>
      </c>
      <c r="EM752" s="2123">
        <v>0.31</v>
      </c>
      <c r="EN752" s="2123">
        <v>0.31</v>
      </c>
      <c r="EO752" s="2123">
        <v>0.32</v>
      </c>
      <c r="EP752" s="2123">
        <v>0.32</v>
      </c>
      <c r="EQ752" s="2123">
        <v>0.32</v>
      </c>
      <c r="ER752" s="2123">
        <v>0.31</v>
      </c>
      <c r="ES752" s="2123">
        <v>0.65</v>
      </c>
      <c r="ET752" s="2123">
        <v>0.65</v>
      </c>
      <c r="EU752" s="2123">
        <v>0.98</v>
      </c>
      <c r="EV752" s="2123">
        <v>0.98</v>
      </c>
      <c r="EW752" s="2123">
        <v>0.88</v>
      </c>
      <c r="EX752" s="2123">
        <v>0.88</v>
      </c>
      <c r="EY752" s="2129">
        <f t="shared" si="50"/>
        <v>0.92999999999999994</v>
      </c>
      <c r="EZ752" s="2129">
        <f t="shared" si="50"/>
        <v>0.92999999999999994</v>
      </c>
      <c r="FA752" s="2123">
        <v>1.06</v>
      </c>
      <c r="FB752" s="2123">
        <v>1.06</v>
      </c>
      <c r="FE752" s="2123">
        <v>0.6</v>
      </c>
      <c r="FF752" s="2123">
        <v>0.6</v>
      </c>
      <c r="FG752" s="2123">
        <v>0.8</v>
      </c>
      <c r="FH752" s="2123">
        <v>0.8</v>
      </c>
      <c r="FI752" s="2123">
        <v>0.8</v>
      </c>
      <c r="FJ752" s="2123">
        <v>0.8</v>
      </c>
      <c r="FK752" s="2123">
        <v>0.74</v>
      </c>
      <c r="FL752" s="2123">
        <v>0.74</v>
      </c>
      <c r="FM752" s="2123">
        <v>0.79</v>
      </c>
      <c r="FN752" s="2123">
        <v>0.79</v>
      </c>
      <c r="FQ752" s="2123">
        <v>0.93</v>
      </c>
      <c r="FR752" s="2123">
        <v>0.93</v>
      </c>
      <c r="FS752" s="2123">
        <v>1.65</v>
      </c>
      <c r="FT752" s="2123">
        <v>1.65</v>
      </c>
      <c r="FU752" s="2123">
        <v>1.65</v>
      </c>
      <c r="FV752" s="2123">
        <v>1.65</v>
      </c>
      <c r="FW752" s="2123">
        <v>1.72</v>
      </c>
      <c r="FX752" s="2123">
        <v>1.72</v>
      </c>
      <c r="GC752" s="2123">
        <v>0.79</v>
      </c>
      <c r="GD752" s="2123">
        <v>0.79</v>
      </c>
      <c r="GE752" s="2123">
        <v>3.67</v>
      </c>
      <c r="GF752" s="2123">
        <v>3.67</v>
      </c>
      <c r="GG752" s="2123">
        <v>3.67</v>
      </c>
      <c r="GH752" s="2123">
        <v>3.67</v>
      </c>
      <c r="GI752" s="2123">
        <v>0.37</v>
      </c>
      <c r="GJ752" s="2123">
        <v>0.37</v>
      </c>
      <c r="GK752" s="2123">
        <v>0.97</v>
      </c>
      <c r="GL752" s="2123">
        <v>0.97</v>
      </c>
      <c r="GO752" s="2123">
        <v>0.55000000000000004</v>
      </c>
      <c r="GP752" s="2123">
        <v>0.55000000000000004</v>
      </c>
      <c r="GQ752" s="2123">
        <v>0.35</v>
      </c>
      <c r="GR752" s="2123">
        <v>0.35</v>
      </c>
      <c r="GS752" s="2123">
        <v>0.35</v>
      </c>
      <c r="GT752" s="2123">
        <v>0.34</v>
      </c>
      <c r="GU752" s="2123">
        <v>0.34</v>
      </c>
      <c r="GV752" s="2123">
        <v>0.34</v>
      </c>
      <c r="GW752" s="2123">
        <v>0.71</v>
      </c>
      <c r="GX752" s="2123">
        <v>0.71</v>
      </c>
      <c r="HA752" s="2123">
        <v>0.46</v>
      </c>
      <c r="HB752" s="2123">
        <v>0.46</v>
      </c>
      <c r="HC752" s="2123">
        <v>0.31</v>
      </c>
      <c r="HD752" s="2123">
        <v>0.31</v>
      </c>
      <c r="HE752" s="2123">
        <v>0.31</v>
      </c>
      <c r="HF752" s="2123">
        <v>0.31</v>
      </c>
      <c r="HG752" s="2123">
        <v>0.31</v>
      </c>
      <c r="HH752" s="2123">
        <v>0.31</v>
      </c>
      <c r="HI752" s="2123">
        <v>0.31</v>
      </c>
      <c r="HJ752" s="2123">
        <v>0.31</v>
      </c>
      <c r="HK752" s="2123">
        <v>0.32</v>
      </c>
      <c r="HL752" s="2123">
        <v>0.32</v>
      </c>
      <c r="HM752" s="2123">
        <v>0.52</v>
      </c>
      <c r="HN752" s="2123">
        <v>0.52</v>
      </c>
      <c r="HO752" s="2123">
        <v>0.31</v>
      </c>
      <c r="HP752" s="2123">
        <v>0.31</v>
      </c>
      <c r="HQ752" s="2123">
        <v>0.33</v>
      </c>
      <c r="HR752" s="2123">
        <v>0.33</v>
      </c>
      <c r="HS752" s="2123">
        <v>0.33</v>
      </c>
      <c r="HT752" s="2123">
        <v>0.33</v>
      </c>
      <c r="HU752" s="2123">
        <v>0.33</v>
      </c>
      <c r="HV752" s="2123">
        <v>0.33</v>
      </c>
      <c r="HW752" s="2123">
        <v>0.32</v>
      </c>
      <c r="HX752" s="2050">
        <v>0.32</v>
      </c>
    </row>
    <row r="753" spans="1:232" s="2123" customFormat="1" ht="14" hidden="1" x14ac:dyDescent="0.3">
      <c r="A753" s="2040"/>
      <c r="B753" s="2127">
        <v>4</v>
      </c>
      <c r="C753" s="2128">
        <v>1.04</v>
      </c>
      <c r="D753" s="2128">
        <v>1.04</v>
      </c>
      <c r="E753" s="2128">
        <v>2.35</v>
      </c>
      <c r="F753" s="2128">
        <v>2.35</v>
      </c>
      <c r="G753" s="2128">
        <v>2.78</v>
      </c>
      <c r="H753" s="2128">
        <v>2.78</v>
      </c>
      <c r="I753" s="2128">
        <v>1.22</v>
      </c>
      <c r="J753" s="2128">
        <v>1.22</v>
      </c>
      <c r="K753" s="2128">
        <v>2.13</v>
      </c>
      <c r="L753" s="2128">
        <v>2.13</v>
      </c>
      <c r="M753" s="2128"/>
      <c r="N753" s="2128"/>
      <c r="O753" s="2128">
        <v>2.6</v>
      </c>
      <c r="P753" s="2128">
        <v>2.6</v>
      </c>
      <c r="Q753" s="2128">
        <v>4.88</v>
      </c>
      <c r="R753" s="2128">
        <v>2.6</v>
      </c>
      <c r="S753" s="2128">
        <v>1.4699999999999998</v>
      </c>
      <c r="T753" s="2128">
        <v>1.47</v>
      </c>
      <c r="U753" s="2128">
        <v>1.43</v>
      </c>
      <c r="V753" s="2128">
        <v>1.43</v>
      </c>
      <c r="W753" s="2128">
        <v>1.47</v>
      </c>
      <c r="X753" s="2128">
        <v>1.47</v>
      </c>
      <c r="Y753" s="2128">
        <v>1.43</v>
      </c>
      <c r="Z753" s="2128">
        <v>1.47</v>
      </c>
      <c r="AA753" s="2128">
        <v>1.47</v>
      </c>
      <c r="AB753" s="2128">
        <v>1.47</v>
      </c>
      <c r="AC753" s="2128">
        <v>1.43</v>
      </c>
      <c r="AD753" s="2128">
        <v>1.43</v>
      </c>
      <c r="AE753" s="2128">
        <v>2.06</v>
      </c>
      <c r="AF753" s="2128">
        <v>2.02</v>
      </c>
      <c r="AG753" s="2128">
        <v>2.06</v>
      </c>
      <c r="AH753" s="2128">
        <v>2.06</v>
      </c>
      <c r="AI753" s="2128">
        <v>2.02</v>
      </c>
      <c r="AJ753" s="2128">
        <v>2.02</v>
      </c>
      <c r="AK753" s="2128">
        <v>2.91</v>
      </c>
      <c r="AL753" s="2128">
        <v>2.91</v>
      </c>
      <c r="AM753" s="2128">
        <v>1.53</v>
      </c>
      <c r="AN753" s="2128">
        <v>1.46</v>
      </c>
      <c r="AO753" s="2128">
        <v>1.46</v>
      </c>
      <c r="AP753" s="2128">
        <v>1.46</v>
      </c>
      <c r="AQ753" s="2128">
        <v>3.65</v>
      </c>
      <c r="AR753" s="2128">
        <v>3.65</v>
      </c>
      <c r="AS753" s="2128">
        <v>2.08</v>
      </c>
      <c r="AT753" s="2128">
        <v>2.08</v>
      </c>
      <c r="AU753" s="2128">
        <v>2.08</v>
      </c>
      <c r="AV753" s="2128">
        <v>2.29</v>
      </c>
      <c r="AW753" s="2128">
        <v>1.51</v>
      </c>
      <c r="AX753" s="2128">
        <v>1.51</v>
      </c>
      <c r="AY753" s="2128">
        <v>1.55</v>
      </c>
      <c r="AZ753" s="2128">
        <v>1.55</v>
      </c>
      <c r="BA753" s="2123">
        <v>0.94</v>
      </c>
      <c r="BB753" s="2123">
        <v>0.94</v>
      </c>
      <c r="BC753" s="2123">
        <v>0.36</v>
      </c>
      <c r="BD753" s="2123">
        <v>0.36</v>
      </c>
      <c r="BE753" s="2123">
        <v>0.8</v>
      </c>
      <c r="BF753" s="2123">
        <v>0.8</v>
      </c>
      <c r="BG753" s="2123">
        <v>0.36</v>
      </c>
      <c r="BH753" s="2123">
        <v>0.36</v>
      </c>
      <c r="BI753" s="2123">
        <v>0.35</v>
      </c>
      <c r="BJ753" s="2123">
        <v>0.35</v>
      </c>
      <c r="BK753" s="2123">
        <v>0.35</v>
      </c>
      <c r="BL753" s="2123">
        <v>0.35</v>
      </c>
      <c r="BM753" s="2123">
        <v>1.2</v>
      </c>
      <c r="BN753" s="2123">
        <v>1.2</v>
      </c>
      <c r="BO753" s="2123">
        <v>2.97</v>
      </c>
      <c r="BP753" s="2123">
        <v>2.97</v>
      </c>
      <c r="BQ753" s="2123">
        <v>2.97</v>
      </c>
      <c r="BR753" s="2123">
        <v>2.97</v>
      </c>
      <c r="BS753" s="2123">
        <v>1.83</v>
      </c>
      <c r="BT753" s="2123">
        <v>1.83</v>
      </c>
      <c r="BU753" s="2123">
        <v>1.83</v>
      </c>
      <c r="BV753" s="2123">
        <v>1.83</v>
      </c>
      <c r="BW753" s="2123">
        <v>1.83</v>
      </c>
      <c r="BX753" s="2123">
        <v>1.83</v>
      </c>
      <c r="BY753" s="2123">
        <v>1.1100000000000001</v>
      </c>
      <c r="BZ753" s="2123">
        <v>1.1100000000000001</v>
      </c>
      <c r="CA753" s="2123">
        <v>2.65</v>
      </c>
      <c r="CB753" s="2123">
        <v>2.65</v>
      </c>
      <c r="CC753" s="2123">
        <v>1.95</v>
      </c>
      <c r="CD753" s="2123">
        <v>1.95</v>
      </c>
      <c r="CE753" s="2123">
        <v>1.68</v>
      </c>
      <c r="CF753" s="2123">
        <v>1.68</v>
      </c>
      <c r="CK753" s="2123">
        <v>11.26</v>
      </c>
      <c r="CL753" s="2123">
        <v>11.26</v>
      </c>
      <c r="CM753" s="2123">
        <v>13.8</v>
      </c>
      <c r="CN753" s="2123">
        <v>13.8</v>
      </c>
      <c r="CO753" s="2123">
        <v>7.65</v>
      </c>
      <c r="CP753" s="2123">
        <v>7.65</v>
      </c>
      <c r="CQ753" s="2123">
        <v>7.65</v>
      </c>
      <c r="CR753" s="2123">
        <v>7.65</v>
      </c>
      <c r="CW753" s="2123">
        <v>2.19</v>
      </c>
      <c r="CX753" s="2123">
        <v>2.19</v>
      </c>
      <c r="CY753" s="2123">
        <v>11.3</v>
      </c>
      <c r="CZ753" s="2123">
        <v>11.3</v>
      </c>
      <c r="DA753" s="2123">
        <v>11.3</v>
      </c>
      <c r="DB753" s="2123">
        <v>11.3</v>
      </c>
      <c r="DC753" s="2123">
        <v>6.34</v>
      </c>
      <c r="DD753" s="2123">
        <v>6.34</v>
      </c>
      <c r="DE753" s="2123">
        <v>6.34</v>
      </c>
      <c r="DF753" s="2123">
        <v>6.34</v>
      </c>
      <c r="DI753" s="2123">
        <v>0.79</v>
      </c>
      <c r="DJ753" s="2123">
        <v>0.79</v>
      </c>
      <c r="DK753" s="2123">
        <v>0.79</v>
      </c>
      <c r="DL753" s="2123">
        <v>0.79</v>
      </c>
      <c r="DM753" s="2123">
        <v>0.79</v>
      </c>
      <c r="DN753" s="2123">
        <v>0.79</v>
      </c>
      <c r="DU753" s="2123">
        <v>0.51</v>
      </c>
      <c r="DV753" s="2123">
        <v>0.51</v>
      </c>
      <c r="DW753" s="2123">
        <v>0.35</v>
      </c>
      <c r="DX753" s="2123">
        <v>0.35</v>
      </c>
      <c r="DY753" s="2123">
        <v>0.35</v>
      </c>
      <c r="DZ753" s="2123">
        <v>0.35</v>
      </c>
      <c r="EG753" s="2123">
        <v>0.54</v>
      </c>
      <c r="EH753" s="2123">
        <v>0.81</v>
      </c>
      <c r="EI753" s="2123">
        <v>0.33</v>
      </c>
      <c r="EJ753" s="2123">
        <v>0.33</v>
      </c>
      <c r="EK753" s="2123">
        <v>0.33</v>
      </c>
      <c r="EL753" s="2123">
        <v>0.33</v>
      </c>
      <c r="EM753" s="2123">
        <v>0.36</v>
      </c>
      <c r="EN753" s="2123">
        <v>0.36</v>
      </c>
      <c r="EO753" s="2123">
        <v>0.35</v>
      </c>
      <c r="EP753" s="2123">
        <v>0.35</v>
      </c>
      <c r="EQ753" s="2123">
        <v>0.35</v>
      </c>
      <c r="ER753" s="2123">
        <v>0.35</v>
      </c>
      <c r="ES753" s="2123">
        <v>1.29</v>
      </c>
      <c r="ET753" s="2123">
        <v>1.29</v>
      </c>
      <c r="EU753" s="2123">
        <v>2.19</v>
      </c>
      <c r="EV753" s="2123">
        <v>2.19</v>
      </c>
      <c r="EW753" s="2123">
        <v>1.97</v>
      </c>
      <c r="EX753" s="2123">
        <v>1.97</v>
      </c>
      <c r="EY753" s="2129">
        <f t="shared" si="50"/>
        <v>2.08</v>
      </c>
      <c r="EZ753" s="2129">
        <f t="shared" si="50"/>
        <v>2.08</v>
      </c>
      <c r="FA753" s="2123">
        <v>2.39</v>
      </c>
      <c r="FB753" s="2123">
        <v>2.39</v>
      </c>
      <c r="FE753" s="2123">
        <v>1.03</v>
      </c>
      <c r="FF753" s="2123">
        <v>1.03</v>
      </c>
      <c r="FG753" s="2123">
        <v>1.54</v>
      </c>
      <c r="FH753" s="2123">
        <v>1.54</v>
      </c>
      <c r="FI753" s="2123">
        <v>1.54</v>
      </c>
      <c r="FJ753" s="2123">
        <v>1.54</v>
      </c>
      <c r="FK753" s="2123">
        <v>1.42</v>
      </c>
      <c r="FL753" s="2123">
        <v>1.42</v>
      </c>
      <c r="FM753" s="2123">
        <v>1.52</v>
      </c>
      <c r="FN753" s="2123">
        <v>1.52</v>
      </c>
      <c r="FQ753" s="2123">
        <v>2.35</v>
      </c>
      <c r="FR753" s="2123">
        <v>2.35</v>
      </c>
      <c r="FS753" s="2123">
        <v>4.08</v>
      </c>
      <c r="FT753" s="2123">
        <v>4.08</v>
      </c>
      <c r="FU753" s="2123">
        <v>4.08</v>
      </c>
      <c r="FV753" s="2123">
        <v>4.08</v>
      </c>
      <c r="FW753" s="2123">
        <v>4.25</v>
      </c>
      <c r="FX753" s="2123">
        <v>4.25</v>
      </c>
      <c r="GC753" s="2123">
        <v>1.61</v>
      </c>
      <c r="GD753" s="2123">
        <v>1.61</v>
      </c>
      <c r="GE753" s="2123">
        <v>7.09</v>
      </c>
      <c r="GF753" s="2123">
        <v>7.09</v>
      </c>
      <c r="GG753" s="2123">
        <v>7.09</v>
      </c>
      <c r="GH753" s="2123">
        <v>7.09</v>
      </c>
      <c r="GI753" s="2123">
        <v>0.57999999999999996</v>
      </c>
      <c r="GJ753" s="2123">
        <v>0.57999999999999996</v>
      </c>
      <c r="GK753" s="2123">
        <v>2.0699999999999998</v>
      </c>
      <c r="GL753" s="2123">
        <v>2.0699999999999998</v>
      </c>
      <c r="GO753" s="2123">
        <v>1.06</v>
      </c>
      <c r="GP753" s="2123">
        <v>1.06</v>
      </c>
      <c r="GQ753" s="2123">
        <v>0.48</v>
      </c>
      <c r="GR753" s="2123">
        <v>0.48</v>
      </c>
      <c r="GS753" s="2123">
        <v>0.48</v>
      </c>
      <c r="GT753" s="2123">
        <v>0.46</v>
      </c>
      <c r="GU753" s="2123">
        <v>0.46</v>
      </c>
      <c r="GV753" s="2123">
        <v>0.46</v>
      </c>
      <c r="GW753" s="2123">
        <v>1.53</v>
      </c>
      <c r="GX753" s="2123">
        <v>1.53</v>
      </c>
      <c r="HA753" s="2123">
        <v>0.76</v>
      </c>
      <c r="HB753" s="2123">
        <v>0.76</v>
      </c>
      <c r="HC753" s="2123">
        <v>0.33</v>
      </c>
      <c r="HD753" s="2123">
        <v>0.33</v>
      </c>
      <c r="HE753" s="2123">
        <v>0.36</v>
      </c>
      <c r="HF753" s="2123">
        <v>0.36</v>
      </c>
      <c r="HG753" s="2123">
        <v>0.36</v>
      </c>
      <c r="HH753" s="2123">
        <v>0.36</v>
      </c>
      <c r="HI753" s="2123">
        <v>0.36</v>
      </c>
      <c r="HJ753" s="2123">
        <v>0.36</v>
      </c>
      <c r="HK753" s="2123">
        <v>0.35</v>
      </c>
      <c r="HL753" s="2123">
        <v>0.35</v>
      </c>
      <c r="HM753" s="2123">
        <v>0.95</v>
      </c>
      <c r="HN753" s="2123">
        <v>0.95</v>
      </c>
      <c r="HO753" s="2123">
        <v>0.34</v>
      </c>
      <c r="HP753" s="2123">
        <v>0.34</v>
      </c>
      <c r="HQ753" s="2123">
        <v>0.4</v>
      </c>
      <c r="HR753" s="2123">
        <v>0.4</v>
      </c>
      <c r="HS753" s="2123">
        <v>0.4</v>
      </c>
      <c r="HT753" s="2123">
        <v>0.4</v>
      </c>
      <c r="HU753" s="2123">
        <v>0.4</v>
      </c>
      <c r="HV753" s="2123">
        <v>0.4</v>
      </c>
      <c r="HW753" s="2123">
        <v>0.38</v>
      </c>
      <c r="HX753" s="2050">
        <v>0.38</v>
      </c>
    </row>
    <row r="754" spans="1:232" s="2123" customFormat="1" ht="14" hidden="1" x14ac:dyDescent="0.3">
      <c r="A754" s="2040"/>
      <c r="B754" s="2127">
        <v>5</v>
      </c>
      <c r="C754" s="2128">
        <v>1.85</v>
      </c>
      <c r="D754" s="2128">
        <v>1.85</v>
      </c>
      <c r="E754" s="2128">
        <v>3.59</v>
      </c>
      <c r="F754" s="2128">
        <v>3.59</v>
      </c>
      <c r="G754" s="2128">
        <v>5.0999999999999996</v>
      </c>
      <c r="H754" s="2128">
        <v>5.0999999999999996</v>
      </c>
      <c r="I754" s="2128">
        <v>2.4300000000000002</v>
      </c>
      <c r="J754" s="2128">
        <v>2.4300000000000002</v>
      </c>
      <c r="K754" s="2128">
        <v>4.6500000000000004</v>
      </c>
      <c r="L754" s="2128">
        <v>4.6500000000000004</v>
      </c>
      <c r="M754" s="2128"/>
      <c r="N754" s="2128"/>
      <c r="O754" s="2128">
        <v>5.1100000000000003</v>
      </c>
      <c r="P754" s="2128">
        <v>5.1100000000000003</v>
      </c>
      <c r="Q754" s="2128">
        <v>8.2200000000000006</v>
      </c>
      <c r="R754" s="2128">
        <v>5.12</v>
      </c>
      <c r="S754" s="2128">
        <v>3.13</v>
      </c>
      <c r="T754" s="2128">
        <v>3.13</v>
      </c>
      <c r="U754" s="2128">
        <v>3.03</v>
      </c>
      <c r="V754" s="2128">
        <v>3.03</v>
      </c>
      <c r="W754" s="2128">
        <v>3.13</v>
      </c>
      <c r="X754" s="2128">
        <v>3.13</v>
      </c>
      <c r="Y754" s="2128">
        <v>3.03</v>
      </c>
      <c r="Z754" s="2128">
        <v>3.13</v>
      </c>
      <c r="AA754" s="2128">
        <v>3.13</v>
      </c>
      <c r="AB754" s="2128">
        <v>3.13</v>
      </c>
      <c r="AC754" s="2128">
        <v>3.03</v>
      </c>
      <c r="AD754" s="2128">
        <v>3.03</v>
      </c>
      <c r="AE754" s="2128">
        <v>4.5599999999999996</v>
      </c>
      <c r="AF754" s="2128">
        <v>4.45</v>
      </c>
      <c r="AG754" s="2128">
        <v>4.5599999999999996</v>
      </c>
      <c r="AH754" s="2128">
        <v>4.5599999999999996</v>
      </c>
      <c r="AI754" s="2128">
        <v>4.45</v>
      </c>
      <c r="AJ754" s="2128">
        <v>4.45</v>
      </c>
      <c r="AK754" s="2128">
        <v>5.93</v>
      </c>
      <c r="AL754" s="2128">
        <v>5.93</v>
      </c>
      <c r="AM754" s="2128">
        <v>2.87</v>
      </c>
      <c r="AN754" s="2128">
        <v>2.74</v>
      </c>
      <c r="AO754" s="2128">
        <v>2.74</v>
      </c>
      <c r="AP754" s="2128">
        <v>2.74</v>
      </c>
      <c r="AQ754" s="2128">
        <v>5.64</v>
      </c>
      <c r="AR754" s="2128">
        <v>5.64</v>
      </c>
      <c r="AS754" s="2128">
        <v>4.2300000000000004</v>
      </c>
      <c r="AT754" s="2128">
        <v>4.2300000000000004</v>
      </c>
      <c r="AU754" s="2128">
        <v>4.2300000000000004</v>
      </c>
      <c r="AV754" s="2128">
        <v>4.62</v>
      </c>
      <c r="AW754" s="2128">
        <v>3.3</v>
      </c>
      <c r="AX754" s="2128">
        <v>3.3</v>
      </c>
      <c r="AY754" s="2128">
        <v>3.37</v>
      </c>
      <c r="AZ754" s="2128">
        <v>3.37</v>
      </c>
      <c r="BA754" s="2123">
        <v>1.76</v>
      </c>
      <c r="BB754" s="2123">
        <v>1.76</v>
      </c>
      <c r="BC754" s="2123">
        <v>0.45</v>
      </c>
      <c r="BD754" s="2123">
        <v>0.45</v>
      </c>
      <c r="BE754" s="2123">
        <v>1.28</v>
      </c>
      <c r="BF754" s="2123">
        <v>1.28</v>
      </c>
      <c r="BG754" s="2123">
        <v>0.47</v>
      </c>
      <c r="BH754" s="2123">
        <v>0.47</v>
      </c>
      <c r="BI754" s="2123">
        <v>0.43</v>
      </c>
      <c r="BJ754" s="2123">
        <v>0.43</v>
      </c>
      <c r="BK754" s="2123">
        <v>0.43</v>
      </c>
      <c r="BL754" s="2123">
        <v>0.43</v>
      </c>
      <c r="BM754" s="2123">
        <v>2.17</v>
      </c>
      <c r="BN754" s="2123">
        <v>2.17</v>
      </c>
      <c r="BO754" s="2123">
        <v>5.5</v>
      </c>
      <c r="BP754" s="2123">
        <v>5.5</v>
      </c>
      <c r="BQ754" s="2123">
        <v>5.5</v>
      </c>
      <c r="BR754" s="2123">
        <v>5.5</v>
      </c>
      <c r="BS754" s="2123">
        <v>3.62</v>
      </c>
      <c r="BT754" s="2123">
        <v>3.62</v>
      </c>
      <c r="BU754" s="2123">
        <v>3.62</v>
      </c>
      <c r="BV754" s="2123">
        <v>3.62</v>
      </c>
      <c r="BW754" s="2123">
        <v>3.62</v>
      </c>
      <c r="BX754" s="2123">
        <v>3.62</v>
      </c>
      <c r="BY754" s="2123">
        <v>2</v>
      </c>
      <c r="BZ754" s="2123">
        <v>2</v>
      </c>
      <c r="CA754" s="2123">
        <v>4.93</v>
      </c>
      <c r="CB754" s="2123">
        <v>4.93</v>
      </c>
      <c r="CC754" s="2123">
        <v>3.88</v>
      </c>
      <c r="CD754" s="2123">
        <v>3.88</v>
      </c>
      <c r="CE754" s="2123">
        <v>3.35</v>
      </c>
      <c r="CF754" s="2123">
        <v>3.35</v>
      </c>
      <c r="CK754" s="2123">
        <v>15.65</v>
      </c>
      <c r="CL754" s="2123">
        <v>15.65</v>
      </c>
      <c r="CM754" s="2123">
        <v>22.62</v>
      </c>
      <c r="CN754" s="2123">
        <v>22.62</v>
      </c>
      <c r="CO754" s="2123">
        <v>13.95</v>
      </c>
      <c r="CP754" s="2123">
        <v>13.95</v>
      </c>
      <c r="CQ754" s="2123">
        <v>13.95</v>
      </c>
      <c r="CR754" s="2123">
        <v>13.95</v>
      </c>
      <c r="CW754" s="2123">
        <v>4.25</v>
      </c>
      <c r="CX754" s="2123">
        <v>4.25</v>
      </c>
      <c r="CY754" s="2123">
        <v>18.899999999999999</v>
      </c>
      <c r="CZ754" s="2123">
        <v>18.899999999999999</v>
      </c>
      <c r="DA754" s="2123">
        <v>18.899999999999999</v>
      </c>
      <c r="DB754" s="2123">
        <v>18.899999999999999</v>
      </c>
      <c r="DC754" s="2123">
        <v>11.75</v>
      </c>
      <c r="DD754" s="2123">
        <v>11.75</v>
      </c>
      <c r="DE754" s="2123">
        <v>11.75</v>
      </c>
      <c r="DF754" s="2123">
        <v>11.75</v>
      </c>
      <c r="DI754" s="2123">
        <v>1.32</v>
      </c>
      <c r="DJ754" s="2123">
        <v>1.32</v>
      </c>
      <c r="DK754" s="2123">
        <v>1.32</v>
      </c>
      <c r="DL754" s="2123">
        <v>1.32</v>
      </c>
      <c r="DM754" s="2123">
        <v>1.32</v>
      </c>
      <c r="DN754" s="2123">
        <v>1.32</v>
      </c>
      <c r="DU754" s="2123">
        <v>0.75</v>
      </c>
      <c r="DV754" s="2123">
        <v>0.75</v>
      </c>
      <c r="DW754" s="2123">
        <v>0.44</v>
      </c>
      <c r="DX754" s="2123">
        <v>0.44</v>
      </c>
      <c r="DY754" s="2123">
        <v>0.44</v>
      </c>
      <c r="DZ754" s="2123">
        <v>0.44</v>
      </c>
      <c r="EG754" s="2123">
        <v>0.76</v>
      </c>
      <c r="EH754" s="2123">
        <v>1.1100000000000001</v>
      </c>
      <c r="EI754" s="2123">
        <v>0.37</v>
      </c>
      <c r="EJ754" s="2123">
        <v>0.37</v>
      </c>
      <c r="EK754" s="2123">
        <v>0.37</v>
      </c>
      <c r="EL754" s="2123">
        <v>0.37</v>
      </c>
      <c r="EM754" s="2123">
        <v>0.42</v>
      </c>
      <c r="EN754" s="2123">
        <v>0.42</v>
      </c>
      <c r="EO754" s="2123">
        <v>0.4</v>
      </c>
      <c r="EP754" s="2123">
        <v>0.4</v>
      </c>
      <c r="EQ754" s="2123">
        <v>0.4</v>
      </c>
      <c r="ER754" s="2123">
        <v>0.42</v>
      </c>
      <c r="ES754" s="2123">
        <v>1.98</v>
      </c>
      <c r="ET754" s="2123">
        <v>1.98</v>
      </c>
      <c r="EU754" s="2123">
        <v>3.6</v>
      </c>
      <c r="EV754" s="2123">
        <v>3.6</v>
      </c>
      <c r="EW754" s="2123">
        <v>3.27</v>
      </c>
      <c r="EX754" s="2123">
        <v>3.27</v>
      </c>
      <c r="EY754" s="2129">
        <f t="shared" si="50"/>
        <v>3.4350000000000001</v>
      </c>
      <c r="EZ754" s="2129">
        <f t="shared" si="50"/>
        <v>3.4350000000000001</v>
      </c>
      <c r="FA754" s="2123">
        <v>3.92</v>
      </c>
      <c r="FB754" s="2123">
        <v>3.92</v>
      </c>
      <c r="FE754" s="2123">
        <v>1.73</v>
      </c>
      <c r="FF754" s="2123">
        <v>1.73</v>
      </c>
      <c r="FG754" s="2123">
        <v>2.83</v>
      </c>
      <c r="FH754" s="2123">
        <v>2.83</v>
      </c>
      <c r="FI754" s="2123">
        <v>2.83</v>
      </c>
      <c r="FJ754" s="2123">
        <v>2.83</v>
      </c>
      <c r="FK754" s="2123">
        <v>2.64</v>
      </c>
      <c r="FL754" s="2123">
        <v>2.64</v>
      </c>
      <c r="FM754" s="2123">
        <v>2.82</v>
      </c>
      <c r="FN754" s="2123">
        <v>2.82</v>
      </c>
      <c r="FQ754" s="2123">
        <v>3.81</v>
      </c>
      <c r="FR754" s="2123">
        <v>3.81</v>
      </c>
      <c r="FS754" s="2123">
        <v>6.46</v>
      </c>
      <c r="FT754" s="2123">
        <v>6.46</v>
      </c>
      <c r="FU754" s="2123">
        <v>6.46</v>
      </c>
      <c r="FV754" s="2123">
        <v>6.46</v>
      </c>
      <c r="FW754" s="2123">
        <v>6.72</v>
      </c>
      <c r="FX754" s="2123">
        <v>6.72</v>
      </c>
      <c r="GC754" s="2123">
        <v>2.71</v>
      </c>
      <c r="GD754" s="2123">
        <v>2.71</v>
      </c>
      <c r="GE754" s="2123">
        <v>10.9</v>
      </c>
      <c r="GF754" s="2123">
        <v>10.9</v>
      </c>
      <c r="GG754" s="2123">
        <v>10.9</v>
      </c>
      <c r="GH754" s="2123">
        <v>10.9</v>
      </c>
      <c r="GI754" s="2123">
        <v>0.95</v>
      </c>
      <c r="GJ754" s="2123">
        <v>0.95</v>
      </c>
      <c r="GK754" s="2123">
        <v>3.61</v>
      </c>
      <c r="GL754" s="2123">
        <v>3.61</v>
      </c>
      <c r="GO754" s="2123">
        <v>1.73</v>
      </c>
      <c r="GP754" s="2123">
        <v>1.73</v>
      </c>
      <c r="GQ754" s="2123">
        <v>0.71</v>
      </c>
      <c r="GR754" s="2123">
        <v>0.71</v>
      </c>
      <c r="GS754" s="2123">
        <v>0.71</v>
      </c>
      <c r="GT754" s="2123">
        <v>0.66</v>
      </c>
      <c r="GU754" s="2123">
        <v>0.66</v>
      </c>
      <c r="GV754" s="2123">
        <v>0.66</v>
      </c>
      <c r="GW754" s="2123">
        <v>3.03</v>
      </c>
      <c r="GX754" s="2123">
        <v>3.03</v>
      </c>
      <c r="HA754" s="2123">
        <v>1.27</v>
      </c>
      <c r="HB754" s="2123">
        <v>1.27</v>
      </c>
      <c r="HC754" s="2123">
        <v>0.37</v>
      </c>
      <c r="HD754" s="2123">
        <v>0.37</v>
      </c>
      <c r="HE754" s="2123">
        <v>0.45</v>
      </c>
      <c r="HF754" s="2123">
        <v>0.45</v>
      </c>
      <c r="HG754" s="2123">
        <v>0.45</v>
      </c>
      <c r="HH754" s="2123">
        <v>0.45</v>
      </c>
      <c r="HI754" s="2123">
        <v>0.45</v>
      </c>
      <c r="HJ754" s="2123">
        <v>0.45</v>
      </c>
      <c r="HK754" s="2123">
        <v>0.42</v>
      </c>
      <c r="HL754" s="2123">
        <v>0.42</v>
      </c>
      <c r="HM754" s="2123">
        <v>1.67</v>
      </c>
      <c r="HN754" s="2123">
        <v>1.67</v>
      </c>
      <c r="HO754" s="2123">
        <v>0.42</v>
      </c>
      <c r="HP754" s="2123">
        <v>0.42</v>
      </c>
      <c r="HQ754" s="2123">
        <v>0.54</v>
      </c>
      <c r="HR754" s="2123">
        <v>0.54</v>
      </c>
      <c r="HS754" s="2123">
        <v>0.54</v>
      </c>
      <c r="HT754" s="2123">
        <v>0.54</v>
      </c>
      <c r="HU754" s="2123">
        <v>0.54</v>
      </c>
      <c r="HV754" s="2123">
        <v>0.54</v>
      </c>
      <c r="HW754" s="2123">
        <v>0.5</v>
      </c>
      <c r="HX754" s="2050">
        <v>0.5</v>
      </c>
    </row>
    <row r="755" spans="1:232" s="2123" customFormat="1" ht="14" hidden="1" x14ac:dyDescent="0.3">
      <c r="A755" s="2040"/>
      <c r="B755" s="2127">
        <v>6</v>
      </c>
      <c r="C755" s="2128">
        <v>2.96</v>
      </c>
      <c r="D755" s="2128">
        <v>2.96</v>
      </c>
      <c r="E755" s="2128">
        <v>5.0999999999999996</v>
      </c>
      <c r="F755" s="2128">
        <v>5.0999999999999996</v>
      </c>
      <c r="G755" s="2128">
        <v>8.27</v>
      </c>
      <c r="H755" s="2128">
        <v>8.27</v>
      </c>
      <c r="I755" s="2128">
        <v>4.3099999999999996</v>
      </c>
      <c r="J755" s="2128">
        <v>4.3099999999999996</v>
      </c>
      <c r="K755" s="2128">
        <v>8.39</v>
      </c>
      <c r="L755" s="2128">
        <v>8.39</v>
      </c>
      <c r="M755" s="2128"/>
      <c r="N755" s="2128"/>
      <c r="O755" s="2128">
        <v>8.6</v>
      </c>
      <c r="P755" s="2128">
        <v>8.6</v>
      </c>
      <c r="Q755" s="2128">
        <v>12.42</v>
      </c>
      <c r="R755" s="2128">
        <v>8.61</v>
      </c>
      <c r="S755" s="2128">
        <v>5.76</v>
      </c>
      <c r="T755" s="2128">
        <v>5.76</v>
      </c>
      <c r="U755" s="2128">
        <v>5.56</v>
      </c>
      <c r="V755" s="2128">
        <v>5.56</v>
      </c>
      <c r="W755" s="2128">
        <v>5.76</v>
      </c>
      <c r="X755" s="2128">
        <v>5.76</v>
      </c>
      <c r="Y755" s="2128">
        <v>5.56</v>
      </c>
      <c r="Z755" s="2128">
        <v>5.76</v>
      </c>
      <c r="AA755" s="2128">
        <v>5.76</v>
      </c>
      <c r="AB755" s="2128">
        <v>5.76</v>
      </c>
      <c r="AC755" s="2128">
        <v>5.56</v>
      </c>
      <c r="AD755" s="2128">
        <v>5.56</v>
      </c>
      <c r="AE755" s="2128">
        <v>8.4600000000000009</v>
      </c>
      <c r="AF755" s="2128">
        <v>8.24</v>
      </c>
      <c r="AG755" s="2128">
        <v>8.4600000000000009</v>
      </c>
      <c r="AH755" s="2128">
        <v>8.4600000000000009</v>
      </c>
      <c r="AI755" s="2128">
        <v>8.24</v>
      </c>
      <c r="AJ755" s="2128">
        <v>8.24</v>
      </c>
      <c r="AK755" s="2128">
        <v>10.31</v>
      </c>
      <c r="AL755" s="2128">
        <v>10.31</v>
      </c>
      <c r="AM755" s="2128">
        <v>4.72</v>
      </c>
      <c r="AN755" s="2128">
        <v>4.5199999999999996</v>
      </c>
      <c r="AO755" s="2128">
        <v>4.5199999999999996</v>
      </c>
      <c r="AP755" s="2128">
        <v>4.5199999999999996</v>
      </c>
      <c r="AQ755" s="2128">
        <v>8.0299999999999994</v>
      </c>
      <c r="AR755" s="2128">
        <v>8.0299999999999994</v>
      </c>
      <c r="AS755" s="2128">
        <v>7.4</v>
      </c>
      <c r="AT755" s="2128">
        <v>7.4</v>
      </c>
      <c r="AU755" s="2128">
        <v>7.4</v>
      </c>
      <c r="AV755" s="2128">
        <v>8.02</v>
      </c>
      <c r="AW755" s="2128">
        <v>6.15</v>
      </c>
      <c r="AX755" s="2128">
        <v>6.15</v>
      </c>
      <c r="AY755" s="2128">
        <v>6.25</v>
      </c>
      <c r="AZ755" s="2128">
        <v>6.25</v>
      </c>
      <c r="BA755" s="2123">
        <v>2.99</v>
      </c>
      <c r="BB755" s="2123">
        <v>2.99</v>
      </c>
      <c r="BC755" s="2123">
        <v>0.59</v>
      </c>
      <c r="BD755" s="2123">
        <v>0.59</v>
      </c>
      <c r="BE755" s="2123">
        <v>1.93</v>
      </c>
      <c r="BF755" s="2123">
        <v>1.93</v>
      </c>
      <c r="BG755" s="2123">
        <v>0.65</v>
      </c>
      <c r="BH755" s="2123">
        <v>0.65</v>
      </c>
      <c r="BI755" s="2123">
        <v>0.57999999999999996</v>
      </c>
      <c r="BJ755" s="2123">
        <v>0.57999999999999996</v>
      </c>
      <c r="BK755" s="2123">
        <v>0.57999999999999996</v>
      </c>
      <c r="BL755" s="2123">
        <v>0.57999999999999996</v>
      </c>
      <c r="BM755" s="2123">
        <v>3.53</v>
      </c>
      <c r="BN755" s="2123">
        <v>3.53</v>
      </c>
      <c r="BO755" s="2123">
        <v>8.9499999999999993</v>
      </c>
      <c r="BP755" s="2123">
        <v>8.9499999999999993</v>
      </c>
      <c r="BQ755" s="2123">
        <v>8.9499999999999993</v>
      </c>
      <c r="BR755" s="2123">
        <v>8.9499999999999993</v>
      </c>
      <c r="BS755" s="2123">
        <v>6.32</v>
      </c>
      <c r="BT755" s="2123">
        <v>6.32</v>
      </c>
      <c r="BU755" s="2123">
        <v>6.32</v>
      </c>
      <c r="BV755" s="2123">
        <v>6.32</v>
      </c>
      <c r="BW755" s="2123">
        <v>6.32</v>
      </c>
      <c r="BX755" s="2123">
        <v>6.32</v>
      </c>
      <c r="BY755" s="2123">
        <v>3.23</v>
      </c>
      <c r="BZ755" s="2123">
        <v>3.23</v>
      </c>
      <c r="CA755" s="2123">
        <v>8.07</v>
      </c>
      <c r="CB755" s="2123">
        <v>8.07</v>
      </c>
      <c r="CC755" s="2123">
        <v>6.69</v>
      </c>
      <c r="CD755" s="2123">
        <v>6.69</v>
      </c>
      <c r="CE755" s="2123">
        <v>5.87</v>
      </c>
      <c r="CF755" s="2123">
        <v>5.87</v>
      </c>
      <c r="CK755" s="2123">
        <v>20.55</v>
      </c>
      <c r="CL755" s="2123">
        <v>20.55</v>
      </c>
      <c r="CM755" s="2123">
        <v>33.11</v>
      </c>
      <c r="CN755" s="2123">
        <v>33.11</v>
      </c>
      <c r="CO755" s="2123">
        <v>22.19</v>
      </c>
      <c r="CP755" s="2123">
        <v>22.19</v>
      </c>
      <c r="CQ755" s="2123">
        <v>22.19</v>
      </c>
      <c r="CR755" s="2123">
        <v>22.19</v>
      </c>
      <c r="CW755" s="2123">
        <v>7.1</v>
      </c>
      <c r="CX755" s="2123">
        <v>7.1</v>
      </c>
      <c r="CY755" s="2123">
        <v>28.08</v>
      </c>
      <c r="CZ755" s="2123">
        <v>28.08</v>
      </c>
      <c r="DA755" s="2123">
        <v>28.08</v>
      </c>
      <c r="DB755" s="2123">
        <v>28.08</v>
      </c>
      <c r="DC755" s="2123">
        <v>18.97</v>
      </c>
      <c r="DD755" s="2123">
        <v>18.97</v>
      </c>
      <c r="DE755" s="2123">
        <v>18.97</v>
      </c>
      <c r="DF755" s="2123">
        <v>18.97</v>
      </c>
      <c r="DI755" s="2123">
        <v>2.0699999999999998</v>
      </c>
      <c r="DJ755" s="2123">
        <v>2.0699999999999998</v>
      </c>
      <c r="DK755" s="2123">
        <v>2.0699999999999998</v>
      </c>
      <c r="DL755" s="2123">
        <v>2.0699999999999998</v>
      </c>
      <c r="DM755" s="2123">
        <v>2.0699999999999998</v>
      </c>
      <c r="DN755" s="2123">
        <v>2.0699999999999998</v>
      </c>
      <c r="DU755" s="2123">
        <v>1.08</v>
      </c>
      <c r="DV755" s="2123">
        <v>1.08</v>
      </c>
      <c r="DW755" s="2123">
        <v>0.59</v>
      </c>
      <c r="DX755" s="2123">
        <v>0.59</v>
      </c>
      <c r="DY755" s="2123">
        <v>0.59</v>
      </c>
      <c r="DZ755" s="2123">
        <v>0.59</v>
      </c>
      <c r="EG755" s="2123">
        <v>1.32</v>
      </c>
      <c r="EH755" s="2123">
        <v>1.82</v>
      </c>
      <c r="EI755" s="2123">
        <v>0.5</v>
      </c>
      <c r="EJ755" s="2123">
        <v>0.5</v>
      </c>
      <c r="EK755" s="2123">
        <v>0.49</v>
      </c>
      <c r="EL755" s="2123">
        <v>0.49</v>
      </c>
      <c r="EM755" s="2123">
        <v>0.62</v>
      </c>
      <c r="EN755" s="2123">
        <v>0.62</v>
      </c>
      <c r="EO755" s="2123">
        <v>0.56000000000000005</v>
      </c>
      <c r="EP755" s="2123">
        <v>0.56000000000000005</v>
      </c>
      <c r="EQ755" s="2123">
        <v>0.56000000000000005</v>
      </c>
      <c r="ER755" s="2123">
        <v>0.6</v>
      </c>
      <c r="ES755" s="2123">
        <v>4.3099999999999996</v>
      </c>
      <c r="ET755" s="2123">
        <v>4.3099999999999996</v>
      </c>
      <c r="EU755" s="2123">
        <v>8.66</v>
      </c>
      <c r="EV755" s="2123">
        <v>8.66</v>
      </c>
      <c r="EW755" s="2123">
        <v>7.97</v>
      </c>
      <c r="EX755" s="2123">
        <v>7.97</v>
      </c>
      <c r="EY755" s="2129">
        <f t="shared" si="50"/>
        <v>8.3149999999999995</v>
      </c>
      <c r="EZ755" s="2129">
        <f t="shared" si="50"/>
        <v>8.3149999999999995</v>
      </c>
      <c r="FA755" s="2123">
        <v>9.39</v>
      </c>
      <c r="FB755" s="2123">
        <v>9.39</v>
      </c>
      <c r="FE755" s="2123">
        <v>3.57</v>
      </c>
      <c r="FF755" s="2123">
        <v>3.57</v>
      </c>
      <c r="FG755" s="2123">
        <v>6.49</v>
      </c>
      <c r="FH755" s="2123">
        <v>6.49</v>
      </c>
      <c r="FI755" s="2123">
        <v>6.49</v>
      </c>
      <c r="FJ755" s="2123">
        <v>6.49</v>
      </c>
      <c r="FK755" s="2123">
        <v>6.11</v>
      </c>
      <c r="FL755" s="2123">
        <v>6.11</v>
      </c>
      <c r="FM755" s="2123">
        <v>6.52</v>
      </c>
      <c r="FN755" s="2123">
        <v>6.52</v>
      </c>
      <c r="FQ755" s="2123">
        <v>6.94</v>
      </c>
      <c r="FR755" s="2123">
        <v>6.94</v>
      </c>
      <c r="FS755" s="2123">
        <v>11.48</v>
      </c>
      <c r="FT755" s="2123">
        <v>11.48</v>
      </c>
      <c r="FU755" s="2123">
        <v>11.48</v>
      </c>
      <c r="FV755" s="2123">
        <v>11.48</v>
      </c>
      <c r="FW755" s="2123">
        <v>11.93</v>
      </c>
      <c r="FX755" s="2123">
        <v>11.93</v>
      </c>
      <c r="GC755" s="2123">
        <v>4.9000000000000004</v>
      </c>
      <c r="GD755" s="2123">
        <v>4.9000000000000004</v>
      </c>
      <c r="GE755" s="2123">
        <v>17.690000000000001</v>
      </c>
      <c r="GF755" s="2123">
        <v>17.690000000000001</v>
      </c>
      <c r="GG755" s="2123">
        <v>17.690000000000001</v>
      </c>
      <c r="GH755" s="2123">
        <v>17.690000000000001</v>
      </c>
      <c r="GI755" s="2123">
        <v>1.91</v>
      </c>
      <c r="GJ755" s="2123">
        <v>1.91</v>
      </c>
      <c r="GK755" s="2123">
        <v>6.9</v>
      </c>
      <c r="GL755" s="2123">
        <v>6.9</v>
      </c>
      <c r="GO755" s="2123">
        <v>2.95</v>
      </c>
      <c r="GP755" s="2123">
        <v>2.95</v>
      </c>
      <c r="GQ755" s="2123">
        <v>1.06</v>
      </c>
      <c r="GR755" s="2123">
        <v>1.06</v>
      </c>
      <c r="GS755" s="2123">
        <v>1.06</v>
      </c>
      <c r="GT755" s="2123">
        <v>0.99</v>
      </c>
      <c r="GU755" s="2123">
        <v>0.99</v>
      </c>
      <c r="GV755" s="2123">
        <v>0.99</v>
      </c>
      <c r="GW755" s="2123">
        <v>5.31</v>
      </c>
      <c r="GX755" s="2123">
        <v>5.31</v>
      </c>
      <c r="HA755" s="2123">
        <v>1.97</v>
      </c>
      <c r="HB755" s="2123">
        <v>1.97</v>
      </c>
      <c r="HC755" s="2123">
        <v>0.46</v>
      </c>
      <c r="HD755" s="2123">
        <v>0.46</v>
      </c>
      <c r="HE755" s="2123">
        <v>0.59</v>
      </c>
      <c r="HF755" s="2123">
        <v>0.59</v>
      </c>
      <c r="HG755" s="2123">
        <v>0.59</v>
      </c>
      <c r="HH755" s="2123">
        <v>0.59</v>
      </c>
      <c r="HI755" s="2123">
        <v>0.59</v>
      </c>
      <c r="HJ755" s="2123">
        <v>0.59</v>
      </c>
      <c r="HK755" s="2123">
        <v>0.55000000000000004</v>
      </c>
      <c r="HL755" s="2123">
        <v>0.55000000000000004</v>
      </c>
      <c r="HM755" s="2123">
        <v>2.65</v>
      </c>
      <c r="HN755" s="2123">
        <v>2.65</v>
      </c>
      <c r="HO755" s="2123">
        <v>0.56000000000000005</v>
      </c>
      <c r="HP755" s="2123">
        <v>0.56000000000000005</v>
      </c>
      <c r="HQ755" s="2123">
        <v>0.77</v>
      </c>
      <c r="HR755" s="2123">
        <v>0.77</v>
      </c>
      <c r="HS755" s="2123">
        <v>0.77</v>
      </c>
      <c r="HT755" s="2123">
        <v>0.77</v>
      </c>
      <c r="HU755" s="2123">
        <v>0.77</v>
      </c>
      <c r="HV755" s="2123">
        <v>0.77</v>
      </c>
      <c r="HW755" s="2123">
        <v>0.7</v>
      </c>
      <c r="HX755" s="2050">
        <v>0.7</v>
      </c>
    </row>
    <row r="756" spans="1:232" s="2123" customFormat="1" ht="14" hidden="1" x14ac:dyDescent="0.3">
      <c r="A756" s="2040"/>
      <c r="B756" s="2127">
        <v>7</v>
      </c>
      <c r="C756" s="2128">
        <v>4.3499999999999996</v>
      </c>
      <c r="D756" s="2128">
        <v>4.3499999999999996</v>
      </c>
      <c r="E756" s="2128">
        <v>6.8</v>
      </c>
      <c r="F756" s="2128">
        <v>6.8</v>
      </c>
      <c r="G756" s="2128">
        <v>12.24</v>
      </c>
      <c r="H756" s="2128">
        <v>12.24</v>
      </c>
      <c r="I756" s="2128">
        <v>7.11</v>
      </c>
      <c r="J756" s="2128">
        <v>7.11</v>
      </c>
      <c r="K756" s="2128">
        <v>13.24</v>
      </c>
      <c r="L756" s="2128">
        <v>13.24</v>
      </c>
      <c r="M756" s="2128"/>
      <c r="N756" s="2128"/>
      <c r="O756" s="2128">
        <v>12.96</v>
      </c>
      <c r="P756" s="2128">
        <v>12.96</v>
      </c>
      <c r="Q756" s="2128">
        <v>17.3</v>
      </c>
      <c r="R756" s="2128">
        <v>12.96</v>
      </c>
      <c r="S756" s="2128">
        <v>9.41</v>
      </c>
      <c r="T756" s="2128">
        <v>9.41</v>
      </c>
      <c r="U756" s="2128">
        <v>9.08</v>
      </c>
      <c r="V756" s="2128">
        <v>9.08</v>
      </c>
      <c r="W756" s="2128">
        <v>9.41</v>
      </c>
      <c r="X756" s="2128">
        <v>9.41</v>
      </c>
      <c r="Y756" s="2128">
        <v>9.08</v>
      </c>
      <c r="Z756" s="2128">
        <v>9.41</v>
      </c>
      <c r="AA756" s="2128">
        <v>9.41</v>
      </c>
      <c r="AB756" s="2128">
        <v>9.41</v>
      </c>
      <c r="AC756" s="2128">
        <v>9.08</v>
      </c>
      <c r="AD756" s="2128">
        <v>9.08</v>
      </c>
      <c r="AE756" s="2128">
        <v>13.76</v>
      </c>
      <c r="AF756" s="2128">
        <v>13.39</v>
      </c>
      <c r="AG756" s="2128">
        <v>13.76</v>
      </c>
      <c r="AH756" s="2128">
        <v>13.76</v>
      </c>
      <c r="AI756" s="2128">
        <v>13.39</v>
      </c>
      <c r="AJ756" s="2128">
        <v>13.39</v>
      </c>
      <c r="AK756" s="2128">
        <v>16.02</v>
      </c>
      <c r="AL756" s="2128">
        <v>16.02</v>
      </c>
      <c r="AM756" s="2128">
        <v>7.03</v>
      </c>
      <c r="AN756" s="2128">
        <v>6.73</v>
      </c>
      <c r="AO756" s="2128">
        <v>6.73</v>
      </c>
      <c r="AP756" s="2128">
        <v>6.73</v>
      </c>
      <c r="AQ756" s="2128">
        <v>10.76</v>
      </c>
      <c r="AR756" s="2128">
        <v>10.76</v>
      </c>
      <c r="AS756" s="2128">
        <v>11.58</v>
      </c>
      <c r="AT756" s="2128">
        <v>11.58</v>
      </c>
      <c r="AU756" s="2128">
        <v>11.58</v>
      </c>
      <c r="AV756" s="2128">
        <v>12.46</v>
      </c>
      <c r="AW756" s="2128">
        <v>10.07</v>
      </c>
      <c r="AX756" s="2128">
        <v>10.07</v>
      </c>
      <c r="AY756" s="2128">
        <v>10.199999999999999</v>
      </c>
      <c r="AZ756" s="2128">
        <v>10.199999999999999</v>
      </c>
      <c r="BA756" s="2123">
        <v>4.6500000000000004</v>
      </c>
      <c r="BB756" s="2123">
        <v>4.6500000000000004</v>
      </c>
      <c r="BC756" s="2123">
        <v>0.85</v>
      </c>
      <c r="BD756" s="2123">
        <v>0.85</v>
      </c>
      <c r="BE756" s="2123">
        <v>2.73</v>
      </c>
      <c r="BF756" s="2123">
        <v>2.73</v>
      </c>
      <c r="BG756" s="2123">
        <v>0.9</v>
      </c>
      <c r="BH756" s="2123">
        <v>0.9</v>
      </c>
      <c r="BI756" s="2123">
        <v>0.8</v>
      </c>
      <c r="BJ756" s="2123">
        <v>0.8</v>
      </c>
      <c r="BK756" s="2123">
        <v>0.8</v>
      </c>
      <c r="BL756" s="2123">
        <v>0.8</v>
      </c>
      <c r="BM756" s="2123">
        <v>5.21</v>
      </c>
      <c r="BN756" s="2123">
        <v>5.21</v>
      </c>
      <c r="BO756" s="2123">
        <v>13.24</v>
      </c>
      <c r="BP756" s="2123">
        <v>13.24</v>
      </c>
      <c r="BQ756" s="2123">
        <v>13.24</v>
      </c>
      <c r="BR756" s="2123">
        <v>13.24</v>
      </c>
      <c r="BS756" s="2123">
        <v>9.91</v>
      </c>
      <c r="BT756" s="2123">
        <v>9.91</v>
      </c>
      <c r="BU756" s="2123">
        <v>9.91</v>
      </c>
      <c r="BV756" s="2123">
        <v>9.91</v>
      </c>
      <c r="BW756" s="2123">
        <v>9.91</v>
      </c>
      <c r="BX756" s="2123">
        <v>9.91</v>
      </c>
      <c r="BY756" s="2123">
        <v>4.76</v>
      </c>
      <c r="BZ756" s="2123">
        <v>4.76</v>
      </c>
      <c r="CA756" s="2123">
        <v>12</v>
      </c>
      <c r="CB756" s="2123">
        <v>12</v>
      </c>
      <c r="CC756" s="2123">
        <v>10.35</v>
      </c>
      <c r="CD756" s="2123">
        <v>10.35</v>
      </c>
      <c r="CE756" s="2123">
        <v>9.25</v>
      </c>
      <c r="CF756" s="2123">
        <v>9.25</v>
      </c>
      <c r="CK756" s="2123">
        <v>25.38</v>
      </c>
      <c r="CL756" s="2123">
        <v>25.38</v>
      </c>
      <c r="CM756" s="2123">
        <v>44.41</v>
      </c>
      <c r="CN756" s="2123">
        <v>44.41</v>
      </c>
      <c r="CO756" s="2123">
        <v>32.15</v>
      </c>
      <c r="CP756" s="2123">
        <v>32.15</v>
      </c>
      <c r="CQ756" s="2123">
        <v>32.15</v>
      </c>
      <c r="CR756" s="2123">
        <v>32.15</v>
      </c>
      <c r="CW756" s="2123">
        <v>10.66</v>
      </c>
      <c r="CX756" s="2123">
        <v>10.66</v>
      </c>
      <c r="CY756" s="2123">
        <v>38.57</v>
      </c>
      <c r="CZ756" s="2123">
        <v>38.57</v>
      </c>
      <c r="DA756" s="2123">
        <v>38.57</v>
      </c>
      <c r="DB756" s="2123">
        <v>38.57</v>
      </c>
      <c r="DC756" s="2123">
        <v>27.79</v>
      </c>
      <c r="DD756" s="2123">
        <v>27.79</v>
      </c>
      <c r="DE756" s="2123">
        <v>27.79</v>
      </c>
      <c r="DF756" s="2123">
        <v>27.79</v>
      </c>
      <c r="DI756" s="2123">
        <v>3</v>
      </c>
      <c r="DJ756" s="2123">
        <v>3</v>
      </c>
      <c r="DK756" s="2123">
        <v>3</v>
      </c>
      <c r="DL756" s="2123">
        <v>3</v>
      </c>
      <c r="DM756" s="2123">
        <v>3</v>
      </c>
      <c r="DN756" s="2123">
        <v>3</v>
      </c>
      <c r="DU756" s="2123">
        <v>1.49</v>
      </c>
      <c r="DV756" s="2123">
        <v>1.49</v>
      </c>
      <c r="DW756" s="2123">
        <v>0.81</v>
      </c>
      <c r="DX756" s="2123">
        <v>0.81</v>
      </c>
      <c r="DY756" s="2123">
        <v>0.81</v>
      </c>
      <c r="DZ756" s="2123">
        <v>0.81</v>
      </c>
      <c r="EG756" s="2123">
        <v>1.94</v>
      </c>
      <c r="EH756" s="2123">
        <v>2.54</v>
      </c>
      <c r="EI756" s="2123">
        <v>0.67</v>
      </c>
      <c r="EJ756" s="2123">
        <v>0.67</v>
      </c>
      <c r="EK756" s="2123">
        <v>0.65</v>
      </c>
      <c r="EL756" s="2123">
        <v>0.65</v>
      </c>
      <c r="EM756" s="2123">
        <v>0.85</v>
      </c>
      <c r="EN756" s="2123">
        <v>0.85</v>
      </c>
      <c r="EO756" s="2123">
        <v>0.75</v>
      </c>
      <c r="EP756" s="2123">
        <v>0.75</v>
      </c>
      <c r="EQ756" s="2123">
        <v>0.76</v>
      </c>
      <c r="ER756" s="2123">
        <v>0.83</v>
      </c>
      <c r="ES756" s="2123">
        <v>6.55</v>
      </c>
      <c r="ET756" s="2123">
        <v>6.55</v>
      </c>
      <c r="EU756" s="2123">
        <v>13.86</v>
      </c>
      <c r="EV756" s="2123">
        <v>13.86</v>
      </c>
      <c r="EW756" s="2123">
        <v>12.85</v>
      </c>
      <c r="EX756" s="2123">
        <v>12.85</v>
      </c>
      <c r="EY756" s="2129">
        <f t="shared" si="50"/>
        <v>13.355</v>
      </c>
      <c r="EZ756" s="2129">
        <f t="shared" si="50"/>
        <v>13.355</v>
      </c>
      <c r="FA756" s="2123">
        <v>14.99</v>
      </c>
      <c r="FB756" s="2123">
        <v>14.99</v>
      </c>
      <c r="FE756" s="2123">
        <v>5.43</v>
      </c>
      <c r="FF756" s="2123">
        <v>5.43</v>
      </c>
      <c r="FG756" s="2123">
        <v>10.48</v>
      </c>
      <c r="FH756" s="2123">
        <v>10.48</v>
      </c>
      <c r="FI756" s="2123">
        <v>10.48</v>
      </c>
      <c r="FJ756" s="2123">
        <v>10.48</v>
      </c>
      <c r="FK756" s="2123">
        <v>9.94</v>
      </c>
      <c r="FL756" s="2123">
        <v>9.94</v>
      </c>
      <c r="FM756" s="2123">
        <v>10.57</v>
      </c>
      <c r="FN756" s="2123">
        <v>10.57</v>
      </c>
      <c r="FQ756" s="2123">
        <v>10.66</v>
      </c>
      <c r="FR756" s="2123">
        <v>10.66</v>
      </c>
      <c r="FS756" s="2123">
        <v>17.47</v>
      </c>
      <c r="FT756" s="2123">
        <v>17.47</v>
      </c>
      <c r="FU756" s="2123">
        <v>17.47</v>
      </c>
      <c r="FV756" s="2123">
        <v>17.47</v>
      </c>
      <c r="FW756" s="2123">
        <v>18.13</v>
      </c>
      <c r="FX756" s="2123">
        <v>18.13</v>
      </c>
      <c r="GC756" s="2123">
        <v>7.18</v>
      </c>
      <c r="GD756" s="2123">
        <v>7.18</v>
      </c>
      <c r="GE756" s="2123">
        <v>24.26</v>
      </c>
      <c r="GF756" s="2123">
        <v>24.26</v>
      </c>
      <c r="GG756" s="2123">
        <v>24.26</v>
      </c>
      <c r="GH756" s="2123">
        <v>24.26</v>
      </c>
      <c r="GI756" s="2123">
        <v>3.14</v>
      </c>
      <c r="GJ756" s="2123">
        <v>3.14</v>
      </c>
      <c r="GK756" s="2123">
        <v>10.53</v>
      </c>
      <c r="GL756" s="2123">
        <v>10.53</v>
      </c>
      <c r="GO756" s="2123">
        <v>4.17</v>
      </c>
      <c r="GP756" s="2123">
        <v>4.17</v>
      </c>
      <c r="GQ756" s="2123">
        <v>1.55</v>
      </c>
      <c r="GR756" s="2123">
        <v>1.55</v>
      </c>
      <c r="GS756" s="2123">
        <v>1.55</v>
      </c>
      <c r="GT756" s="2123">
        <v>1.43</v>
      </c>
      <c r="GU756" s="2123">
        <v>1.43</v>
      </c>
      <c r="GV756" s="2123">
        <v>1.43</v>
      </c>
      <c r="GW756" s="2123">
        <v>8.3800000000000008</v>
      </c>
      <c r="GX756" s="2123">
        <v>8.3800000000000008</v>
      </c>
      <c r="HA756" s="2123">
        <v>2.84</v>
      </c>
      <c r="HB756" s="2123">
        <v>2.84</v>
      </c>
      <c r="HC756" s="2123">
        <v>0.6</v>
      </c>
      <c r="HD756" s="2123">
        <v>0.6</v>
      </c>
      <c r="HE756" s="2123">
        <v>0.8</v>
      </c>
      <c r="HF756" s="2123">
        <v>0.8</v>
      </c>
      <c r="HG756" s="2123">
        <v>0.8</v>
      </c>
      <c r="HH756" s="2123">
        <v>0.8</v>
      </c>
      <c r="HI756" s="2123">
        <v>0.8</v>
      </c>
      <c r="HJ756" s="2123">
        <v>0.8</v>
      </c>
      <c r="HK756" s="2123">
        <v>0.75</v>
      </c>
      <c r="HL756" s="2123">
        <v>0.75</v>
      </c>
      <c r="HM756" s="2123">
        <v>3.88</v>
      </c>
      <c r="HN756" s="2123">
        <v>3.88</v>
      </c>
      <c r="HO756" s="2123">
        <v>0.77</v>
      </c>
      <c r="HP756" s="2123">
        <v>0.77</v>
      </c>
      <c r="HQ756" s="2123">
        <v>1.1000000000000001</v>
      </c>
      <c r="HR756" s="2123">
        <v>1.1000000000000001</v>
      </c>
      <c r="HS756" s="2123">
        <v>1.1000000000000001</v>
      </c>
      <c r="HT756" s="2123">
        <v>1.1000000000000001</v>
      </c>
      <c r="HU756" s="2123">
        <v>1.1000000000000001</v>
      </c>
      <c r="HV756" s="2123">
        <v>1.1000000000000001</v>
      </c>
      <c r="HW756" s="2123">
        <v>1</v>
      </c>
      <c r="HX756" s="2050">
        <v>1</v>
      </c>
    </row>
    <row r="757" spans="1:232" s="2123" customFormat="1" ht="14" hidden="1" x14ac:dyDescent="0.3">
      <c r="A757" s="2040"/>
      <c r="B757" s="2127">
        <v>8</v>
      </c>
      <c r="C757" s="2128">
        <v>5.97</v>
      </c>
      <c r="D757" s="2128">
        <v>5.97</v>
      </c>
      <c r="E757" s="2128">
        <v>8.6</v>
      </c>
      <c r="F757" s="2128">
        <v>8.6</v>
      </c>
      <c r="G757" s="2128">
        <v>16.93</v>
      </c>
      <c r="H757" s="2128">
        <v>16.93</v>
      </c>
      <c r="I757" s="2128">
        <v>11.18</v>
      </c>
      <c r="J757" s="2128">
        <v>11.18</v>
      </c>
      <c r="K757" s="2128">
        <v>19.54</v>
      </c>
      <c r="L757" s="2128">
        <v>19.54</v>
      </c>
      <c r="M757" s="2128"/>
      <c r="N757" s="2128"/>
      <c r="O757" s="2128">
        <v>18.03</v>
      </c>
      <c r="P757" s="2128">
        <v>18.03</v>
      </c>
      <c r="Q757" s="2128">
        <v>22.78</v>
      </c>
      <c r="R757" s="2128">
        <v>18.04</v>
      </c>
      <c r="S757" s="2128">
        <v>14.07</v>
      </c>
      <c r="T757" s="2128">
        <v>14.07</v>
      </c>
      <c r="U757" s="2128">
        <v>13.58</v>
      </c>
      <c r="V757" s="2128">
        <v>13.58</v>
      </c>
      <c r="W757" s="2128">
        <v>14.07</v>
      </c>
      <c r="X757" s="2128">
        <v>14.07</v>
      </c>
      <c r="Y757" s="2128">
        <v>13.58</v>
      </c>
      <c r="Z757" s="2128">
        <v>14.07</v>
      </c>
      <c r="AA757" s="2128">
        <v>14.07</v>
      </c>
      <c r="AB757" s="2128">
        <v>14.07</v>
      </c>
      <c r="AC757" s="2128">
        <v>13.58</v>
      </c>
      <c r="AD757" s="2128">
        <v>13.58</v>
      </c>
      <c r="AE757" s="2128">
        <v>20.350000000000001</v>
      </c>
      <c r="AF757" s="2128">
        <v>19.8</v>
      </c>
      <c r="AG757" s="2128">
        <v>20.350000000000001</v>
      </c>
      <c r="AH757" s="2128">
        <v>20.350000000000001</v>
      </c>
      <c r="AI757" s="2128">
        <v>19.8</v>
      </c>
      <c r="AJ757" s="2128">
        <v>19.8</v>
      </c>
      <c r="AK757" s="2128">
        <v>22.93</v>
      </c>
      <c r="AL757" s="2128">
        <v>22.93</v>
      </c>
      <c r="AM757" s="2128">
        <v>9.7100000000000009</v>
      </c>
      <c r="AN757" s="2128">
        <v>9.31</v>
      </c>
      <c r="AO757" s="2128">
        <v>9.31</v>
      </c>
      <c r="AP757" s="2128">
        <v>9.31</v>
      </c>
      <c r="AQ757" s="2128">
        <v>13.62</v>
      </c>
      <c r="AR757" s="2128">
        <v>13.62</v>
      </c>
      <c r="AS757" s="2128">
        <v>16.71</v>
      </c>
      <c r="AT757" s="2128">
        <v>16.71</v>
      </c>
      <c r="AU757" s="2128">
        <v>16.71</v>
      </c>
      <c r="AV757" s="2128">
        <v>17.86</v>
      </c>
      <c r="AW757" s="2128">
        <v>14.68</v>
      </c>
      <c r="AX757" s="2128">
        <v>14.68</v>
      </c>
      <c r="AY757" s="2128">
        <v>14.93</v>
      </c>
      <c r="AZ757" s="2128">
        <v>14.93</v>
      </c>
      <c r="BA757" s="2123">
        <v>6.7</v>
      </c>
      <c r="BB757" s="2123">
        <v>6.7</v>
      </c>
      <c r="BC757" s="2123">
        <v>1.19</v>
      </c>
      <c r="BD757" s="2123">
        <v>1.19</v>
      </c>
      <c r="BE757" s="2123">
        <v>3.65</v>
      </c>
      <c r="BF757" s="2123">
        <v>3.65</v>
      </c>
      <c r="BG757" s="2123">
        <v>1.24</v>
      </c>
      <c r="BH757" s="2123">
        <v>1.24</v>
      </c>
      <c r="BI757" s="2123">
        <v>1.1100000000000001</v>
      </c>
      <c r="BJ757" s="2123">
        <v>1.1100000000000001</v>
      </c>
      <c r="BK757" s="2123">
        <v>1.1100000000000001</v>
      </c>
      <c r="BL757" s="2123">
        <v>1.1100000000000001</v>
      </c>
      <c r="BM757" s="2123">
        <v>7.17</v>
      </c>
      <c r="BN757" s="2123">
        <v>7.17</v>
      </c>
      <c r="BO757" s="2123">
        <v>18.28</v>
      </c>
      <c r="BP757" s="2123">
        <v>18.28</v>
      </c>
      <c r="BQ757" s="2123">
        <v>18.28</v>
      </c>
      <c r="BR757" s="2123">
        <v>18.28</v>
      </c>
      <c r="BS757" s="2123">
        <v>14.37</v>
      </c>
      <c r="BT757" s="2123">
        <v>14.37</v>
      </c>
      <c r="BU757" s="2123">
        <v>14.37</v>
      </c>
      <c r="BV757" s="2123">
        <v>14.37</v>
      </c>
      <c r="BW757" s="2123">
        <v>14.37</v>
      </c>
      <c r="BX757" s="2123">
        <v>14.37</v>
      </c>
      <c r="BY757" s="2123">
        <v>6.54</v>
      </c>
      <c r="BZ757" s="2123">
        <v>6.54</v>
      </c>
      <c r="CA757" s="2123">
        <v>16.64</v>
      </c>
      <c r="CB757" s="2123">
        <v>16.64</v>
      </c>
      <c r="CC757" s="2123">
        <v>14.76</v>
      </c>
      <c r="CD757" s="2123">
        <v>14.76</v>
      </c>
      <c r="CE757" s="2123">
        <v>13.48</v>
      </c>
      <c r="CF757" s="2123">
        <v>13.48</v>
      </c>
      <c r="CK757" s="2123">
        <v>30.06</v>
      </c>
      <c r="CL757" s="2123">
        <v>30.06</v>
      </c>
      <c r="CM757" s="2123">
        <v>55.41</v>
      </c>
      <c r="CN757" s="2123">
        <v>55.41</v>
      </c>
      <c r="CO757" s="2123">
        <v>43.54</v>
      </c>
      <c r="CP757" s="2123">
        <v>43.54</v>
      </c>
      <c r="CQ757" s="2123">
        <v>43.54</v>
      </c>
      <c r="CR757" s="2123">
        <v>43.54</v>
      </c>
      <c r="CW757" s="2123">
        <v>14.8</v>
      </c>
      <c r="CX757" s="2123">
        <v>14.8</v>
      </c>
      <c r="CY757" s="2123">
        <v>48.91</v>
      </c>
      <c r="CZ757" s="2123">
        <v>48.91</v>
      </c>
      <c r="DA757" s="2123">
        <v>48.91</v>
      </c>
      <c r="DB757" s="2123">
        <v>48.91</v>
      </c>
      <c r="DC757" s="2123">
        <v>38</v>
      </c>
      <c r="DD757" s="2123">
        <v>38</v>
      </c>
      <c r="DE757" s="2123">
        <v>38</v>
      </c>
      <c r="DF757" s="2123">
        <v>38</v>
      </c>
      <c r="DI757" s="2123">
        <v>4.08</v>
      </c>
      <c r="DJ757" s="2123">
        <v>4.08</v>
      </c>
      <c r="DK757" s="2123">
        <v>4.08</v>
      </c>
      <c r="DL757" s="2123">
        <v>4.08</v>
      </c>
      <c r="DM757" s="2123">
        <v>4.08</v>
      </c>
      <c r="DN757" s="2123">
        <v>4.08</v>
      </c>
      <c r="DU757" s="2123">
        <v>1.96</v>
      </c>
      <c r="DV757" s="2123">
        <v>1.96</v>
      </c>
      <c r="DW757" s="2123">
        <v>1.0900000000000001</v>
      </c>
      <c r="DX757" s="2123">
        <v>1.0900000000000001</v>
      </c>
      <c r="DY757" s="2123">
        <v>1.0900000000000001</v>
      </c>
      <c r="DZ757" s="2123">
        <v>1.0900000000000001</v>
      </c>
      <c r="EG757" s="2123">
        <v>2.63</v>
      </c>
      <c r="EH757" s="2123">
        <v>3.3</v>
      </c>
      <c r="EI757" s="2123">
        <v>0.87</v>
      </c>
      <c r="EJ757" s="2123">
        <v>0.87</v>
      </c>
      <c r="EK757" s="2123">
        <v>0.85</v>
      </c>
      <c r="EL757" s="2123">
        <v>0.85</v>
      </c>
      <c r="EM757" s="2123">
        <v>1.1299999999999999</v>
      </c>
      <c r="EN757" s="2123">
        <v>1.1299999999999999</v>
      </c>
      <c r="EO757" s="2123">
        <v>0.98</v>
      </c>
      <c r="EP757" s="2123">
        <v>0.98</v>
      </c>
      <c r="EQ757" s="2123">
        <v>1</v>
      </c>
      <c r="ER757" s="2123">
        <v>1.1000000000000001</v>
      </c>
      <c r="ES757" s="2123">
        <v>9.15</v>
      </c>
      <c r="ET757" s="2123">
        <v>9.15</v>
      </c>
      <c r="EU757" s="2123">
        <v>20.239999999999998</v>
      </c>
      <c r="EV757" s="2123">
        <v>20.239999999999998</v>
      </c>
      <c r="EW757" s="2123">
        <v>18.89</v>
      </c>
      <c r="EX757" s="2123">
        <v>18.89</v>
      </c>
      <c r="EY757" s="2129">
        <f t="shared" si="50"/>
        <v>19.564999999999998</v>
      </c>
      <c r="EZ757" s="2129">
        <f t="shared" si="50"/>
        <v>19.564999999999998</v>
      </c>
      <c r="FA757" s="2123">
        <v>21.81</v>
      </c>
      <c r="FB757" s="2123">
        <v>21.81</v>
      </c>
      <c r="FE757" s="2123">
        <v>7.51</v>
      </c>
      <c r="FF757" s="2123">
        <v>7.51</v>
      </c>
      <c r="FG757" s="2123">
        <v>15.25</v>
      </c>
      <c r="FH757" s="2123">
        <v>15.25</v>
      </c>
      <c r="FI757" s="2123">
        <v>15.25</v>
      </c>
      <c r="FJ757" s="2123">
        <v>15.25</v>
      </c>
      <c r="FK757" s="2123">
        <v>14.56</v>
      </c>
      <c r="FL757" s="2123">
        <v>14.56</v>
      </c>
      <c r="FM757" s="2123">
        <v>15.42</v>
      </c>
      <c r="FN757" s="2123">
        <v>15.42</v>
      </c>
      <c r="FQ757" s="2123">
        <v>14.48</v>
      </c>
      <c r="FR757" s="2123">
        <v>14.48</v>
      </c>
      <c r="FS757" s="2123">
        <v>23.67</v>
      </c>
      <c r="FT757" s="2123">
        <v>23.67</v>
      </c>
      <c r="FU757" s="2123">
        <v>23.67</v>
      </c>
      <c r="FV757" s="2123">
        <v>23.67</v>
      </c>
      <c r="FW757" s="2123">
        <v>24.53</v>
      </c>
      <c r="FX757" s="2123">
        <v>24.53</v>
      </c>
      <c r="GC757" s="2123">
        <v>10.07</v>
      </c>
      <c r="GD757" s="2123">
        <v>10.07</v>
      </c>
      <c r="GE757" s="2123">
        <v>31.77</v>
      </c>
      <c r="GF757" s="2123">
        <v>31.77</v>
      </c>
      <c r="GG757" s="2123">
        <v>31.77</v>
      </c>
      <c r="GH757" s="2123">
        <v>31.77</v>
      </c>
      <c r="GI757" s="2123">
        <v>4.97</v>
      </c>
      <c r="GJ757" s="2123">
        <v>4.97</v>
      </c>
      <c r="GK757" s="2123">
        <v>15.36</v>
      </c>
      <c r="GL757" s="2123">
        <v>15.36</v>
      </c>
      <c r="GO757" s="2123">
        <v>6.04</v>
      </c>
      <c r="GP757" s="2123">
        <v>6.04</v>
      </c>
      <c r="GQ757" s="2123">
        <v>2.15</v>
      </c>
      <c r="GR757" s="2123">
        <v>2.15</v>
      </c>
      <c r="GS757" s="2123">
        <v>2.15</v>
      </c>
      <c r="GT757" s="2123">
        <v>2</v>
      </c>
      <c r="GU757" s="2123">
        <v>2</v>
      </c>
      <c r="GV757" s="2123">
        <v>2</v>
      </c>
      <c r="GW757" s="2123">
        <v>12.22</v>
      </c>
      <c r="GX757" s="2123">
        <v>12.22</v>
      </c>
      <c r="HA757" s="2123">
        <v>3.86</v>
      </c>
      <c r="HB757" s="2123">
        <v>3.86</v>
      </c>
      <c r="HC757" s="2123">
        <v>0.79</v>
      </c>
      <c r="HD757" s="2123">
        <v>0.79</v>
      </c>
      <c r="HE757" s="2123">
        <v>1.08</v>
      </c>
      <c r="HF757" s="2123">
        <v>1.08</v>
      </c>
      <c r="HG757" s="2123">
        <v>1.08</v>
      </c>
      <c r="HH757" s="2123">
        <v>1.08</v>
      </c>
      <c r="HI757" s="2123">
        <v>1.08</v>
      </c>
      <c r="HJ757" s="2123">
        <v>1.08</v>
      </c>
      <c r="HK757" s="2123">
        <v>1.01</v>
      </c>
      <c r="HL757" s="2123">
        <v>1.01</v>
      </c>
      <c r="HM757" s="2123">
        <v>5.31</v>
      </c>
      <c r="HN757" s="2123">
        <v>5.31</v>
      </c>
      <c r="HO757" s="2123">
        <v>1.07</v>
      </c>
      <c r="HP757" s="2123">
        <v>1.07</v>
      </c>
      <c r="HQ757" s="2123">
        <v>1.53</v>
      </c>
      <c r="HR757" s="2123">
        <v>1.53</v>
      </c>
      <c r="HS757" s="2123">
        <v>1.53</v>
      </c>
      <c r="HT757" s="2123">
        <v>1.53</v>
      </c>
      <c r="HU757" s="2123">
        <v>1.53</v>
      </c>
      <c r="HV757" s="2123">
        <v>1.53</v>
      </c>
      <c r="HW757" s="2123">
        <v>1.39</v>
      </c>
      <c r="HX757" s="2050">
        <v>1.39</v>
      </c>
    </row>
    <row r="758" spans="1:232" s="2123" customFormat="1" ht="14" hidden="1" x14ac:dyDescent="0.3">
      <c r="A758" s="2040"/>
      <c r="B758" s="2127">
        <v>9</v>
      </c>
      <c r="C758" s="2128">
        <v>7.77</v>
      </c>
      <c r="D758" s="2128">
        <v>7.77</v>
      </c>
      <c r="E758" s="2128">
        <v>10.34</v>
      </c>
      <c r="F758" s="2128">
        <v>10.34</v>
      </c>
      <c r="G758" s="2128">
        <v>22.21</v>
      </c>
      <c r="H758" s="2128">
        <v>22.21</v>
      </c>
      <c r="I758" s="2128">
        <v>16.11</v>
      </c>
      <c r="J758" s="2128">
        <v>16.11</v>
      </c>
      <c r="K758" s="2128">
        <v>26.76</v>
      </c>
      <c r="L758" s="2128">
        <v>26.76</v>
      </c>
      <c r="M758" s="2128"/>
      <c r="N758" s="2128"/>
      <c r="O758" s="2128">
        <v>23.68</v>
      </c>
      <c r="P758" s="2128">
        <v>23.68</v>
      </c>
      <c r="Q758" s="2128">
        <v>28.36</v>
      </c>
      <c r="R758" s="2128">
        <v>23.69</v>
      </c>
      <c r="S758" s="2128">
        <v>19.670000000000002</v>
      </c>
      <c r="T758" s="2128">
        <v>19.670000000000002</v>
      </c>
      <c r="U758" s="2128">
        <v>18.98</v>
      </c>
      <c r="V758" s="2128">
        <v>18.98</v>
      </c>
      <c r="W758" s="2128">
        <v>19.670000000000002</v>
      </c>
      <c r="X758" s="2128">
        <v>19.670000000000002</v>
      </c>
      <c r="Y758" s="2128">
        <v>18.98</v>
      </c>
      <c r="Z758" s="2128">
        <v>19.670000000000002</v>
      </c>
      <c r="AA758" s="2128">
        <v>19.670000000000002</v>
      </c>
      <c r="AB758" s="2128">
        <v>19.670000000000002</v>
      </c>
      <c r="AC758" s="2128">
        <v>18.98</v>
      </c>
      <c r="AD758" s="2128">
        <v>18.98</v>
      </c>
      <c r="AE758" s="2128">
        <v>28.09</v>
      </c>
      <c r="AF758" s="2128">
        <v>27.32</v>
      </c>
      <c r="AG758" s="2128">
        <v>28.09</v>
      </c>
      <c r="AH758" s="2128">
        <v>28.09</v>
      </c>
      <c r="AI758" s="2128">
        <v>27.32</v>
      </c>
      <c r="AJ758" s="2128">
        <v>27.32</v>
      </c>
      <c r="AK758" s="2128">
        <v>30.88</v>
      </c>
      <c r="AL758" s="2128">
        <v>30.88</v>
      </c>
      <c r="AM758" s="2128">
        <v>12.7</v>
      </c>
      <c r="AN758" s="2128">
        <v>12.19</v>
      </c>
      <c r="AO758" s="2128">
        <v>12.19</v>
      </c>
      <c r="AP758" s="2128">
        <v>12.19</v>
      </c>
      <c r="AQ758" s="2128">
        <v>16.41</v>
      </c>
      <c r="AR758" s="2128">
        <v>16.41</v>
      </c>
      <c r="AS758" s="2128">
        <v>22.67</v>
      </c>
      <c r="AT758" s="2128">
        <v>22.67</v>
      </c>
      <c r="AU758" s="2128">
        <v>22.67</v>
      </c>
      <c r="AV758" s="2128">
        <v>24.1</v>
      </c>
      <c r="AW758" s="2128">
        <v>20.51</v>
      </c>
      <c r="AX758" s="2128">
        <v>20.51</v>
      </c>
      <c r="AY758" s="2128">
        <v>20.78</v>
      </c>
      <c r="AZ758" s="2128">
        <v>20.78</v>
      </c>
      <c r="BA758" s="2123">
        <v>9.1</v>
      </c>
      <c r="BB758" s="2123">
        <v>9.1</v>
      </c>
      <c r="BC758" s="2123">
        <v>1.6</v>
      </c>
      <c r="BD758" s="2123">
        <v>1.6</v>
      </c>
      <c r="BE758" s="2123">
        <v>4.67</v>
      </c>
      <c r="BF758" s="2123">
        <v>4.67</v>
      </c>
      <c r="BG758" s="2123">
        <v>1.65</v>
      </c>
      <c r="BH758" s="2123">
        <v>1.65</v>
      </c>
      <c r="BI758" s="2123">
        <v>1.5</v>
      </c>
      <c r="BJ758" s="2123">
        <v>1.5</v>
      </c>
      <c r="BK758" s="2123">
        <v>1.5</v>
      </c>
      <c r="BL758" s="2123">
        <v>1.5</v>
      </c>
      <c r="BM758" s="2123">
        <v>9.35</v>
      </c>
      <c r="BN758" s="2123">
        <v>9.35</v>
      </c>
      <c r="BO758" s="2123">
        <v>23.95</v>
      </c>
      <c r="BP758" s="2123">
        <v>23.95</v>
      </c>
      <c r="BQ758" s="2123">
        <v>23.95</v>
      </c>
      <c r="BR758" s="2123">
        <v>23.95</v>
      </c>
      <c r="BS758" s="2123">
        <v>19.62</v>
      </c>
      <c r="BT758" s="2123">
        <v>19.62</v>
      </c>
      <c r="BU758" s="2123">
        <v>19.62</v>
      </c>
      <c r="BV758" s="2123">
        <v>19.62</v>
      </c>
      <c r="BW758" s="2123">
        <v>19.62</v>
      </c>
      <c r="BX758" s="2123">
        <v>19.62</v>
      </c>
      <c r="BY758" s="2123">
        <v>8.52</v>
      </c>
      <c r="BZ758" s="2123">
        <v>8.52</v>
      </c>
      <c r="CA758" s="2123">
        <v>21.88</v>
      </c>
      <c r="CB758" s="2123">
        <v>21.88</v>
      </c>
      <c r="CC758" s="2123">
        <v>19.84</v>
      </c>
      <c r="CD758" s="2123">
        <v>19.84</v>
      </c>
      <c r="CE758" s="2123">
        <v>18.47</v>
      </c>
      <c r="CF758" s="2123">
        <v>18.47</v>
      </c>
      <c r="CK758" s="2123">
        <v>34.56</v>
      </c>
      <c r="CL758" s="2123">
        <v>34.56</v>
      </c>
      <c r="CM758" s="2123">
        <v>65.94</v>
      </c>
      <c r="CN758" s="2123">
        <v>65.94</v>
      </c>
      <c r="CO758" s="2123">
        <v>55.67</v>
      </c>
      <c r="CP758" s="2123">
        <v>55.67</v>
      </c>
      <c r="CQ758" s="2123">
        <v>55.67</v>
      </c>
      <c r="CR758" s="2123">
        <v>55.67</v>
      </c>
      <c r="CW758" s="2123">
        <v>19.41</v>
      </c>
      <c r="CX758" s="2123">
        <v>19.41</v>
      </c>
      <c r="CY758" s="2123">
        <v>58.91</v>
      </c>
      <c r="CZ758" s="2123">
        <v>58.91</v>
      </c>
      <c r="DA758" s="2123">
        <v>58.91</v>
      </c>
      <c r="DB758" s="2123">
        <v>58.91</v>
      </c>
      <c r="DC758" s="2123">
        <v>49.36</v>
      </c>
      <c r="DD758" s="2123">
        <v>49.36</v>
      </c>
      <c r="DE758" s="2123">
        <v>49.36</v>
      </c>
      <c r="DF758" s="2123">
        <v>49.36</v>
      </c>
      <c r="DI758" s="2123">
        <v>5.29</v>
      </c>
      <c r="DJ758" s="2123">
        <v>5.29</v>
      </c>
      <c r="DK758" s="2123">
        <v>5.29</v>
      </c>
      <c r="DL758" s="2123">
        <v>5.29</v>
      </c>
      <c r="DM758" s="2123">
        <v>5.29</v>
      </c>
      <c r="DN758" s="2123">
        <v>5.29</v>
      </c>
      <c r="DU758" s="2123">
        <v>2.5</v>
      </c>
      <c r="DV758" s="2123">
        <v>2.5</v>
      </c>
      <c r="DW758" s="2123">
        <v>1.43</v>
      </c>
      <c r="DX758" s="2123">
        <v>1.43</v>
      </c>
      <c r="DY758" s="2123">
        <v>1.43</v>
      </c>
      <c r="DZ758" s="2123">
        <v>1.43</v>
      </c>
      <c r="EG758" s="2123">
        <v>3.14</v>
      </c>
      <c r="EH758" s="2123">
        <v>3.8</v>
      </c>
      <c r="EI758" s="2123">
        <v>1.04</v>
      </c>
      <c r="EJ758" s="2123">
        <v>1.04</v>
      </c>
      <c r="EK758" s="2123">
        <v>1.01</v>
      </c>
      <c r="EL758" s="2123">
        <v>1.01</v>
      </c>
      <c r="EM758" s="2123">
        <v>1.35</v>
      </c>
      <c r="EN758" s="2123">
        <v>1.35</v>
      </c>
      <c r="EO758" s="2123">
        <v>1.17</v>
      </c>
      <c r="EP758" s="2123">
        <v>1.17</v>
      </c>
      <c r="EQ758" s="2123">
        <v>1.2</v>
      </c>
      <c r="ER758" s="2123">
        <v>1.31</v>
      </c>
      <c r="ES758" s="2123">
        <v>10.59</v>
      </c>
      <c r="ET758" s="2123">
        <v>10.59</v>
      </c>
      <c r="EU758" s="2123">
        <v>23.96</v>
      </c>
      <c r="EV758" s="2123">
        <v>23.96</v>
      </c>
      <c r="EW758" s="2123">
        <v>22.44</v>
      </c>
      <c r="EX758" s="2123">
        <v>22.44</v>
      </c>
      <c r="EY758" s="2129">
        <f t="shared" si="50"/>
        <v>23.200000000000003</v>
      </c>
      <c r="EZ758" s="2129">
        <f t="shared" si="50"/>
        <v>23.200000000000003</v>
      </c>
      <c r="FA758" s="2123">
        <v>25.77</v>
      </c>
      <c r="FB758" s="2123">
        <v>25.77</v>
      </c>
      <c r="FE758" s="2123">
        <v>8.86</v>
      </c>
      <c r="FF758" s="2123">
        <v>8.86</v>
      </c>
      <c r="FG758" s="2123">
        <v>18.52</v>
      </c>
      <c r="FH758" s="2123">
        <v>18.52</v>
      </c>
      <c r="FI758" s="2123">
        <v>18.52</v>
      </c>
      <c r="FJ758" s="2123">
        <v>18.52</v>
      </c>
      <c r="FK758" s="2123">
        <v>17.73</v>
      </c>
      <c r="FL758" s="2123">
        <v>17.73</v>
      </c>
      <c r="FM758" s="2123">
        <v>18.739999999999998</v>
      </c>
      <c r="FN758" s="2123">
        <v>18.739999999999998</v>
      </c>
      <c r="FQ758" s="2123">
        <v>18.54</v>
      </c>
      <c r="FR758" s="2123">
        <v>18.54</v>
      </c>
      <c r="FS758" s="2123">
        <v>30.34</v>
      </c>
      <c r="FT758" s="2123">
        <v>30.34</v>
      </c>
      <c r="FU758" s="2123">
        <v>30.34</v>
      </c>
      <c r="FV758" s="2123">
        <v>30.34</v>
      </c>
      <c r="FW758" s="2123">
        <v>31.4</v>
      </c>
      <c r="FX758" s="2123">
        <v>31.4</v>
      </c>
      <c r="GC758" s="2123">
        <v>13.23</v>
      </c>
      <c r="GD758" s="2123">
        <v>13.23</v>
      </c>
      <c r="GE758" s="2123">
        <v>38.96</v>
      </c>
      <c r="GF758" s="2123">
        <v>38.96</v>
      </c>
      <c r="GG758" s="2123">
        <v>38.96</v>
      </c>
      <c r="GH758" s="2123">
        <v>38.96</v>
      </c>
      <c r="GI758" s="2123">
        <v>7.29</v>
      </c>
      <c r="GJ758" s="2123">
        <v>7.29</v>
      </c>
      <c r="GK758" s="2123">
        <v>20.91</v>
      </c>
      <c r="GL758" s="2123">
        <v>20.91</v>
      </c>
      <c r="GO758" s="2123">
        <v>7.74</v>
      </c>
      <c r="GP758" s="2123">
        <v>7.74</v>
      </c>
      <c r="GQ758" s="2123">
        <v>2.88</v>
      </c>
      <c r="GR758" s="2123">
        <v>2.88</v>
      </c>
      <c r="GS758" s="2123">
        <v>2.88</v>
      </c>
      <c r="GT758" s="2123">
        <v>2.69</v>
      </c>
      <c r="GU758" s="2123">
        <v>2.69</v>
      </c>
      <c r="GV758" s="2123">
        <v>2.69</v>
      </c>
      <c r="GW758" s="2123">
        <v>16.77</v>
      </c>
      <c r="GX758" s="2123">
        <v>16.77</v>
      </c>
      <c r="HA758" s="2123">
        <v>4.99</v>
      </c>
      <c r="HB758" s="2123">
        <v>4.99</v>
      </c>
      <c r="HC758" s="2123">
        <v>1.04</v>
      </c>
      <c r="HD758" s="2123">
        <v>1.04</v>
      </c>
      <c r="HE758" s="2123">
        <v>1.43</v>
      </c>
      <c r="HF758" s="2123">
        <v>1.43</v>
      </c>
      <c r="HG758" s="2123">
        <v>1.43</v>
      </c>
      <c r="HH758" s="2123">
        <v>1.43</v>
      </c>
      <c r="HI758" s="2123">
        <v>1.43</v>
      </c>
      <c r="HJ758" s="2123">
        <v>1.43</v>
      </c>
      <c r="HK758" s="2123">
        <v>1.34</v>
      </c>
      <c r="HL758" s="2123">
        <v>1.34</v>
      </c>
      <c r="HM758" s="2123">
        <v>6.9</v>
      </c>
      <c r="HN758" s="2123">
        <v>6.9</v>
      </c>
      <c r="HO758" s="2123">
        <v>1.45</v>
      </c>
      <c r="HP758" s="2123">
        <v>1.45</v>
      </c>
      <c r="HQ758" s="2123">
        <v>2.06</v>
      </c>
      <c r="HR758" s="2123">
        <v>2.06</v>
      </c>
      <c r="HS758" s="2123">
        <v>2.06</v>
      </c>
      <c r="HT758" s="2123">
        <v>2.06</v>
      </c>
      <c r="HU758" s="2123">
        <v>2.06</v>
      </c>
      <c r="HV758" s="2123">
        <v>2.06</v>
      </c>
      <c r="HW758" s="2123">
        <v>1.89</v>
      </c>
      <c r="HX758" s="2050">
        <v>1.89</v>
      </c>
    </row>
    <row r="759" spans="1:232" s="2123" customFormat="1" ht="14" hidden="1" x14ac:dyDescent="0.3">
      <c r="A759" s="2040"/>
      <c r="B759" s="2127">
        <v>10</v>
      </c>
      <c r="C759" s="2128">
        <v>9.5500000000000007</v>
      </c>
      <c r="D759" s="2128">
        <v>9.5500000000000007</v>
      </c>
      <c r="E759" s="2128">
        <v>12.03</v>
      </c>
      <c r="F759" s="2128">
        <v>12.03</v>
      </c>
      <c r="G759" s="2128">
        <v>28.02</v>
      </c>
      <c r="H759" s="2128">
        <v>28.02</v>
      </c>
      <c r="I759" s="2128">
        <v>21.77</v>
      </c>
      <c r="J759" s="2128">
        <v>21.77</v>
      </c>
      <c r="K759" s="2128">
        <v>33.58</v>
      </c>
      <c r="L759" s="2128">
        <v>33.58</v>
      </c>
      <c r="M759" s="2128"/>
      <c r="N759" s="2128"/>
      <c r="O759" s="2128">
        <v>29.26</v>
      </c>
      <c r="P759" s="2128">
        <v>29.26</v>
      </c>
      <c r="Q759" s="2128">
        <v>33.770000000000003</v>
      </c>
      <c r="R759" s="2128">
        <v>29.27</v>
      </c>
      <c r="S759" s="2128">
        <v>26.12</v>
      </c>
      <c r="T759" s="2128">
        <v>26.12</v>
      </c>
      <c r="U759" s="2128">
        <v>25.2</v>
      </c>
      <c r="V759" s="2128">
        <v>25.2</v>
      </c>
      <c r="W759" s="2128">
        <v>26.12</v>
      </c>
      <c r="X759" s="2128">
        <v>26.12</v>
      </c>
      <c r="Y759" s="2128">
        <v>25.2</v>
      </c>
      <c r="Z759" s="2128">
        <v>26.12</v>
      </c>
      <c r="AA759" s="2128">
        <v>26.12</v>
      </c>
      <c r="AB759" s="2128">
        <v>26.12</v>
      </c>
      <c r="AC759" s="2128">
        <v>25.2</v>
      </c>
      <c r="AD759" s="2128">
        <v>25.2</v>
      </c>
      <c r="AE759" s="2128">
        <v>36.81</v>
      </c>
      <c r="AF759" s="2128">
        <v>35.79</v>
      </c>
      <c r="AG759" s="2128">
        <v>36.81</v>
      </c>
      <c r="AH759" s="2128">
        <v>36.81</v>
      </c>
      <c r="AI759" s="2128">
        <v>35.79</v>
      </c>
      <c r="AJ759" s="2128">
        <v>35.79</v>
      </c>
      <c r="AK759" s="2128">
        <v>39.72</v>
      </c>
      <c r="AL759" s="2128">
        <v>39.72</v>
      </c>
      <c r="AM759" s="2128">
        <v>15.65</v>
      </c>
      <c r="AN759" s="2128">
        <v>15.03</v>
      </c>
      <c r="AO759" s="2128">
        <v>15.03</v>
      </c>
      <c r="AP759" s="2128">
        <v>15.03</v>
      </c>
      <c r="AQ759" s="2128">
        <v>19.11</v>
      </c>
      <c r="AR759" s="2128">
        <v>19.11</v>
      </c>
      <c r="AS759" s="2128">
        <v>29.34</v>
      </c>
      <c r="AT759" s="2128">
        <v>29.34</v>
      </c>
      <c r="AU759" s="2128">
        <v>29.34</v>
      </c>
      <c r="AV759" s="2128">
        <v>31.06</v>
      </c>
      <c r="AW759" s="2128">
        <v>27.12</v>
      </c>
      <c r="AX759" s="2128">
        <v>27.12</v>
      </c>
      <c r="AY759" s="2128">
        <v>27.41</v>
      </c>
      <c r="AZ759" s="2128">
        <v>27.41</v>
      </c>
      <c r="BA759" s="2123">
        <v>11.82</v>
      </c>
      <c r="BB759" s="2123">
        <v>11.82</v>
      </c>
      <c r="BC759" s="2123">
        <v>2.09</v>
      </c>
      <c r="BD759" s="2123">
        <v>2.09</v>
      </c>
      <c r="BE759" s="2123">
        <v>5.67</v>
      </c>
      <c r="BF759" s="2123">
        <v>5.67</v>
      </c>
      <c r="BG759" s="2123">
        <v>2.14</v>
      </c>
      <c r="BH759" s="2123">
        <v>2.14</v>
      </c>
      <c r="BI759" s="2123">
        <v>1.97</v>
      </c>
      <c r="BJ759" s="2123">
        <v>1.97</v>
      </c>
      <c r="BK759" s="2123">
        <v>1.97</v>
      </c>
      <c r="BL759" s="2123">
        <v>1.97</v>
      </c>
      <c r="BM759" s="2123">
        <v>11.51</v>
      </c>
      <c r="BN759" s="2123">
        <v>11.51</v>
      </c>
      <c r="BO759" s="2123">
        <v>29.99</v>
      </c>
      <c r="BP759" s="2123">
        <v>29.99</v>
      </c>
      <c r="BQ759" s="2123">
        <v>29.99</v>
      </c>
      <c r="BR759" s="2123">
        <v>29.99</v>
      </c>
      <c r="BS759" s="2123">
        <v>25.56</v>
      </c>
      <c r="BT759" s="2123">
        <v>25.56</v>
      </c>
      <c r="BU759" s="2123">
        <v>25.56</v>
      </c>
      <c r="BV759" s="2123">
        <v>25.56</v>
      </c>
      <c r="BW759" s="2123">
        <v>25.56</v>
      </c>
      <c r="BX759" s="2123">
        <v>25.56</v>
      </c>
      <c r="BY759" s="2123">
        <v>10.47</v>
      </c>
      <c r="BZ759" s="2123">
        <v>10.47</v>
      </c>
      <c r="CA759" s="2123">
        <v>27.6</v>
      </c>
      <c r="CB759" s="2123">
        <v>27.6</v>
      </c>
      <c r="CC759" s="2123">
        <v>25.48</v>
      </c>
      <c r="CD759" s="2123">
        <v>25.48</v>
      </c>
      <c r="CE759" s="2123">
        <v>24.14</v>
      </c>
      <c r="CF759" s="2123">
        <v>24.14</v>
      </c>
      <c r="CK759" s="2123">
        <v>38.840000000000003</v>
      </c>
      <c r="CL759" s="2123">
        <v>38.840000000000003</v>
      </c>
      <c r="CM759" s="2123">
        <v>75.930000000000007</v>
      </c>
      <c r="CN759" s="2123">
        <v>75.930000000000007</v>
      </c>
      <c r="CO759" s="2123">
        <v>67.599999999999994</v>
      </c>
      <c r="CP759" s="2123">
        <v>67.599999999999994</v>
      </c>
      <c r="CQ759" s="2123">
        <v>67.599999999999994</v>
      </c>
      <c r="CR759" s="2123">
        <v>67.599999999999994</v>
      </c>
      <c r="CW759" s="2123">
        <v>23.96</v>
      </c>
      <c r="CX759" s="2123">
        <v>23.96</v>
      </c>
      <c r="CY759" s="2123">
        <v>68.45</v>
      </c>
      <c r="CZ759" s="2123">
        <v>68.45</v>
      </c>
      <c r="DA759" s="2123">
        <v>68.45</v>
      </c>
      <c r="DB759" s="2123">
        <v>68.45</v>
      </c>
      <c r="DC759" s="2123">
        <v>60.65</v>
      </c>
      <c r="DD759" s="2123">
        <v>60.65</v>
      </c>
      <c r="DE759" s="2123">
        <v>60.65</v>
      </c>
      <c r="DF759" s="2123">
        <v>60.65</v>
      </c>
      <c r="DI759" s="2123">
        <v>6.48</v>
      </c>
      <c r="DJ759" s="2123">
        <v>6.48</v>
      </c>
      <c r="DK759" s="2123">
        <v>6.48</v>
      </c>
      <c r="DL759" s="2123">
        <v>6.48</v>
      </c>
      <c r="DM759" s="2123">
        <v>6.48</v>
      </c>
      <c r="DN759" s="2123">
        <v>6.48</v>
      </c>
      <c r="DU759" s="2123">
        <v>3.02</v>
      </c>
      <c r="DV759" s="2123">
        <v>3.02</v>
      </c>
      <c r="DW759" s="2123">
        <v>1.81</v>
      </c>
      <c r="DX759" s="2123">
        <v>1.81</v>
      </c>
      <c r="DY759" s="2123">
        <v>1.81</v>
      </c>
      <c r="DZ759" s="2123">
        <v>1.81</v>
      </c>
      <c r="EG759" s="2123">
        <v>3.61</v>
      </c>
      <c r="EH759" s="2123">
        <v>4.26</v>
      </c>
      <c r="EI759" s="2123">
        <v>1.23</v>
      </c>
      <c r="EJ759" s="2123">
        <v>1.23</v>
      </c>
      <c r="EK759" s="2123">
        <v>1.2</v>
      </c>
      <c r="EL759" s="2123">
        <v>1.2</v>
      </c>
      <c r="EM759" s="2123">
        <v>1.59</v>
      </c>
      <c r="EN759" s="2123">
        <v>1.59</v>
      </c>
      <c r="EO759" s="2123">
        <v>1.38</v>
      </c>
      <c r="EP759" s="2123">
        <v>1.38</v>
      </c>
      <c r="EQ759" s="2123">
        <v>1.41</v>
      </c>
      <c r="ER759" s="2123">
        <v>1.55</v>
      </c>
      <c r="ES759" s="2123">
        <v>12.4</v>
      </c>
      <c r="ET759" s="2123">
        <v>12.4</v>
      </c>
      <c r="EU759" s="2123">
        <v>29.34</v>
      </c>
      <c r="EV759" s="2123">
        <v>29.34</v>
      </c>
      <c r="EW759" s="2123">
        <v>27.59</v>
      </c>
      <c r="EX759" s="2123">
        <v>27.59</v>
      </c>
      <c r="EY759" s="2129">
        <f t="shared" si="50"/>
        <v>28.465</v>
      </c>
      <c r="EZ759" s="2129">
        <f t="shared" si="50"/>
        <v>28.465</v>
      </c>
      <c r="FA759" s="2123">
        <v>31.47</v>
      </c>
      <c r="FB759" s="2123">
        <v>31.47</v>
      </c>
      <c r="FE759" s="2123">
        <v>10.25</v>
      </c>
      <c r="FF759" s="2123">
        <v>10.25</v>
      </c>
      <c r="FG759" s="2123">
        <v>22.39</v>
      </c>
      <c r="FH759" s="2123">
        <v>22.39</v>
      </c>
      <c r="FI759" s="2123">
        <v>22.39</v>
      </c>
      <c r="FJ759" s="2123">
        <v>22.39</v>
      </c>
      <c r="FK759" s="2123">
        <v>21.52</v>
      </c>
      <c r="FL759" s="2123">
        <v>21.52</v>
      </c>
      <c r="FM759" s="2123">
        <v>22.69</v>
      </c>
      <c r="FN759" s="2123">
        <v>22.69</v>
      </c>
      <c r="FQ759" s="2123">
        <v>22.59</v>
      </c>
      <c r="FR759" s="2123">
        <v>22.59</v>
      </c>
      <c r="FS759" s="2123">
        <v>37.57</v>
      </c>
      <c r="FT759" s="2123">
        <v>37.57</v>
      </c>
      <c r="FU759" s="2123">
        <v>37.57</v>
      </c>
      <c r="FV759" s="2123">
        <v>37.57</v>
      </c>
      <c r="FW759" s="2123">
        <v>38.68</v>
      </c>
      <c r="FX759" s="2123">
        <v>38.68</v>
      </c>
      <c r="GC759" s="2123">
        <v>16.079999999999998</v>
      </c>
      <c r="GD759" s="2123">
        <v>16.079999999999998</v>
      </c>
      <c r="GE759" s="2123">
        <v>45.3</v>
      </c>
      <c r="GF759" s="2123">
        <v>45.3</v>
      </c>
      <c r="GG759" s="2123">
        <v>45.3</v>
      </c>
      <c r="GH759" s="2123">
        <v>45.3</v>
      </c>
      <c r="GI759" s="2123">
        <v>9.8699999999999992</v>
      </c>
      <c r="GJ759" s="2123">
        <v>9.8699999999999992</v>
      </c>
      <c r="GK759" s="2123">
        <v>26.62</v>
      </c>
      <c r="GL759" s="2123">
        <v>26.62</v>
      </c>
      <c r="GO759" s="2123">
        <v>9.16</v>
      </c>
      <c r="GP759" s="2123">
        <v>9.16</v>
      </c>
      <c r="GQ759" s="2123">
        <v>3.72</v>
      </c>
      <c r="GR759" s="2123">
        <v>3.72</v>
      </c>
      <c r="GS759" s="2123">
        <v>3.72</v>
      </c>
      <c r="GT759" s="2123">
        <v>3.47</v>
      </c>
      <c r="GU759" s="2123">
        <v>3.47</v>
      </c>
      <c r="GV759" s="2123">
        <v>3.47</v>
      </c>
      <c r="GW759" s="2123">
        <v>21.96</v>
      </c>
      <c r="GX759" s="2123">
        <v>21.96</v>
      </c>
      <c r="HA759" s="2123">
        <v>6.11</v>
      </c>
      <c r="HB759" s="2123">
        <v>6.11</v>
      </c>
      <c r="HC759" s="2123">
        <v>1.35</v>
      </c>
      <c r="HD759" s="2123">
        <v>1.35</v>
      </c>
      <c r="HE759" s="2123">
        <v>1.84</v>
      </c>
      <c r="HF759" s="2123">
        <v>1.84</v>
      </c>
      <c r="HG759" s="2123">
        <v>1.84</v>
      </c>
      <c r="HH759" s="2123">
        <v>1.84</v>
      </c>
      <c r="HI759" s="2123">
        <v>1.84</v>
      </c>
      <c r="HJ759" s="2123">
        <v>1.84</v>
      </c>
      <c r="HK759" s="2123">
        <v>1.73</v>
      </c>
      <c r="HL759" s="2123">
        <v>1.73</v>
      </c>
      <c r="HM759" s="2123">
        <v>8.4700000000000006</v>
      </c>
      <c r="HN759" s="2123">
        <v>8.4700000000000006</v>
      </c>
      <c r="HO759" s="2123">
        <v>1.93</v>
      </c>
      <c r="HP759" s="2123">
        <v>1.93</v>
      </c>
      <c r="HQ759" s="2123">
        <v>2.68</v>
      </c>
      <c r="HR759" s="2123">
        <v>2.68</v>
      </c>
      <c r="HS759" s="2123">
        <v>2.68</v>
      </c>
      <c r="HT759" s="2123">
        <v>2.68</v>
      </c>
      <c r="HU759" s="2123">
        <v>2.68</v>
      </c>
      <c r="HV759" s="2123">
        <v>2.68</v>
      </c>
      <c r="HW759" s="2123">
        <v>2.4900000000000002</v>
      </c>
      <c r="HX759" s="2050">
        <v>2.4900000000000002</v>
      </c>
    </row>
    <row r="760" spans="1:232" s="2123" customFormat="1" ht="14" hidden="1" x14ac:dyDescent="0.3">
      <c r="A760" s="2040"/>
      <c r="B760" s="2127">
        <v>11</v>
      </c>
      <c r="C760" s="2128">
        <v>11.27</v>
      </c>
      <c r="D760" s="2128">
        <v>11.27</v>
      </c>
      <c r="E760" s="2128">
        <v>13.63</v>
      </c>
      <c r="F760" s="2128">
        <v>13.63</v>
      </c>
      <c r="G760" s="2128">
        <v>33.9</v>
      </c>
      <c r="H760" s="2128">
        <v>33.9</v>
      </c>
      <c r="I760" s="2128">
        <v>28.02</v>
      </c>
      <c r="J760" s="2128">
        <v>28.02</v>
      </c>
      <c r="K760" s="2128">
        <v>40.25</v>
      </c>
      <c r="L760" s="2128">
        <v>40.25</v>
      </c>
      <c r="M760" s="2128"/>
      <c r="N760" s="2128"/>
      <c r="O760" s="2128">
        <v>34.67</v>
      </c>
      <c r="P760" s="2128">
        <v>34.67</v>
      </c>
      <c r="Q760" s="2128">
        <v>38.97</v>
      </c>
      <c r="R760" s="2128">
        <v>34.68</v>
      </c>
      <c r="S760" s="2128">
        <v>33.31</v>
      </c>
      <c r="T760" s="2128">
        <v>33.31</v>
      </c>
      <c r="U760" s="2128">
        <v>32.15</v>
      </c>
      <c r="V760" s="2128">
        <v>32.15</v>
      </c>
      <c r="W760" s="2128">
        <v>33.31</v>
      </c>
      <c r="X760" s="2128">
        <v>33.31</v>
      </c>
      <c r="Y760" s="2128">
        <v>32.15</v>
      </c>
      <c r="Z760" s="2128">
        <v>33.31</v>
      </c>
      <c r="AA760" s="2128">
        <v>33.31</v>
      </c>
      <c r="AB760" s="2128">
        <v>33.31</v>
      </c>
      <c r="AC760" s="2128">
        <v>32.15</v>
      </c>
      <c r="AD760" s="2128">
        <v>32.15</v>
      </c>
      <c r="AE760" s="2128">
        <v>46.24</v>
      </c>
      <c r="AF760" s="2128">
        <v>44.97</v>
      </c>
      <c r="AG760" s="2128">
        <v>46.24</v>
      </c>
      <c r="AH760" s="2128">
        <v>46.24</v>
      </c>
      <c r="AI760" s="2128">
        <v>44.97</v>
      </c>
      <c r="AJ760" s="2128">
        <v>44.97</v>
      </c>
      <c r="AK760" s="2128">
        <v>48.87</v>
      </c>
      <c r="AL760" s="2128">
        <v>48.87</v>
      </c>
      <c r="AM760" s="2128">
        <v>18.510000000000002</v>
      </c>
      <c r="AN760" s="2128">
        <v>17.78</v>
      </c>
      <c r="AO760" s="2128">
        <v>17.78</v>
      </c>
      <c r="AP760" s="2128">
        <v>17.78</v>
      </c>
      <c r="AQ760" s="2128">
        <v>21.67</v>
      </c>
      <c r="AR760" s="2128">
        <v>21.67</v>
      </c>
      <c r="AS760" s="2128">
        <v>36.58</v>
      </c>
      <c r="AT760" s="2128">
        <v>36.58</v>
      </c>
      <c r="AU760" s="2128">
        <v>36.58</v>
      </c>
      <c r="AV760" s="2128">
        <v>38.590000000000003</v>
      </c>
      <c r="AW760" s="2128">
        <v>34.4</v>
      </c>
      <c r="AX760" s="2128">
        <v>34.4</v>
      </c>
      <c r="AY760" s="2128">
        <v>34.71</v>
      </c>
      <c r="AZ760" s="2128">
        <v>34.71</v>
      </c>
      <c r="BA760" s="2123">
        <v>14.81</v>
      </c>
      <c r="BB760" s="2123">
        <v>14.81</v>
      </c>
      <c r="BC760" s="2123">
        <v>2.64</v>
      </c>
      <c r="BD760" s="2123">
        <v>2.64</v>
      </c>
      <c r="BE760" s="2123">
        <v>6.65</v>
      </c>
      <c r="BF760" s="2123">
        <v>6.65</v>
      </c>
      <c r="BG760" s="2123">
        <v>2.69</v>
      </c>
      <c r="BH760" s="2123">
        <v>2.69</v>
      </c>
      <c r="BI760" s="2123">
        <v>2.5</v>
      </c>
      <c r="BJ760" s="2123">
        <v>2.5</v>
      </c>
      <c r="BK760" s="2123">
        <v>2.5</v>
      </c>
      <c r="BL760" s="2123">
        <v>2.5</v>
      </c>
      <c r="BM760" s="2123">
        <v>13.59</v>
      </c>
      <c r="BN760" s="2123">
        <v>13.59</v>
      </c>
      <c r="BO760" s="2123">
        <v>35.950000000000003</v>
      </c>
      <c r="BP760" s="2123">
        <v>35.950000000000003</v>
      </c>
      <c r="BQ760" s="2123">
        <v>35.950000000000003</v>
      </c>
      <c r="BR760" s="2123">
        <v>35.950000000000003</v>
      </c>
      <c r="BS760" s="2123">
        <v>32.119999999999997</v>
      </c>
      <c r="BT760" s="2123">
        <v>32.119999999999997</v>
      </c>
      <c r="BU760" s="2123">
        <v>32.119999999999997</v>
      </c>
      <c r="BV760" s="2123">
        <v>32.119999999999997</v>
      </c>
      <c r="BW760" s="2123">
        <v>32.119999999999997</v>
      </c>
      <c r="BX760" s="2123">
        <v>32.119999999999997</v>
      </c>
      <c r="BY760" s="2123">
        <v>12.37</v>
      </c>
      <c r="BZ760" s="2123">
        <v>12.37</v>
      </c>
      <c r="CA760" s="2123">
        <v>33.25</v>
      </c>
      <c r="CB760" s="2123">
        <v>33.25</v>
      </c>
      <c r="CC760" s="2123">
        <v>31.26</v>
      </c>
      <c r="CD760" s="2123">
        <v>31.26</v>
      </c>
      <c r="CE760" s="2123">
        <v>30.43</v>
      </c>
      <c r="CF760" s="2123">
        <v>30.43</v>
      </c>
      <c r="CK760" s="2123">
        <v>42.91</v>
      </c>
      <c r="CL760" s="2123">
        <v>42.91</v>
      </c>
      <c r="CM760" s="2123">
        <v>85.35</v>
      </c>
      <c r="CN760" s="2123">
        <v>85.35</v>
      </c>
      <c r="CO760" s="2123">
        <v>79.23</v>
      </c>
      <c r="CP760" s="2123">
        <v>79.23</v>
      </c>
      <c r="CQ760" s="2123">
        <v>79.23</v>
      </c>
      <c r="CR760" s="2123">
        <v>79.23</v>
      </c>
      <c r="CW760" s="2123">
        <v>28.37</v>
      </c>
      <c r="CX760" s="2123">
        <v>28.37</v>
      </c>
      <c r="CY760" s="2123">
        <v>77.510000000000005</v>
      </c>
      <c r="CZ760" s="2123">
        <v>77.510000000000005</v>
      </c>
      <c r="DA760" s="2123">
        <v>77.510000000000005</v>
      </c>
      <c r="DB760" s="2123">
        <v>77.510000000000005</v>
      </c>
      <c r="DC760" s="2123">
        <v>71.709999999999994</v>
      </c>
      <c r="DD760" s="2123">
        <v>71.709999999999994</v>
      </c>
      <c r="DE760" s="2123">
        <v>71.709999999999994</v>
      </c>
      <c r="DF760" s="2123">
        <v>71.709999999999994</v>
      </c>
      <c r="DI760" s="2123">
        <v>7.64</v>
      </c>
      <c r="DJ760" s="2123">
        <v>7.64</v>
      </c>
      <c r="DK760" s="2123">
        <v>7.64</v>
      </c>
      <c r="DL760" s="2123">
        <v>7.64</v>
      </c>
      <c r="DM760" s="2123">
        <v>7.64</v>
      </c>
      <c r="DN760" s="2123">
        <v>7.64</v>
      </c>
      <c r="DU760" s="2123">
        <v>3.53</v>
      </c>
      <c r="DV760" s="2123">
        <v>3.53</v>
      </c>
      <c r="DW760" s="2123">
        <v>2.2400000000000002</v>
      </c>
      <c r="DX760" s="2123">
        <v>2.2400000000000002</v>
      </c>
      <c r="DY760" s="2123">
        <v>2.2400000000000002</v>
      </c>
      <c r="DZ760" s="2123">
        <v>2.2400000000000002</v>
      </c>
      <c r="EG760" s="2123">
        <v>4.24</v>
      </c>
      <c r="EH760" s="2123">
        <v>4.87</v>
      </c>
      <c r="EI760" s="2123">
        <v>1.52</v>
      </c>
      <c r="EJ760" s="2123">
        <v>1.52</v>
      </c>
      <c r="EK760" s="2123">
        <v>1.48</v>
      </c>
      <c r="EL760" s="2123">
        <v>1.48</v>
      </c>
      <c r="EM760" s="2123">
        <v>1.97</v>
      </c>
      <c r="EN760" s="2123">
        <v>1.97</v>
      </c>
      <c r="EO760" s="2123">
        <v>1.7</v>
      </c>
      <c r="EP760" s="2123">
        <v>1.7</v>
      </c>
      <c r="EQ760" s="2123">
        <v>1.74</v>
      </c>
      <c r="ER760" s="2123">
        <v>1.91</v>
      </c>
      <c r="ES760" s="2123">
        <v>15.13</v>
      </c>
      <c r="ET760" s="2123">
        <v>15.13</v>
      </c>
      <c r="EU760" s="2123">
        <v>38.54</v>
      </c>
      <c r="EV760" s="2123">
        <v>38.54</v>
      </c>
      <c r="EW760" s="2123">
        <v>36.43</v>
      </c>
      <c r="EX760" s="2123">
        <v>36.43</v>
      </c>
      <c r="EY760" s="2129">
        <f t="shared" si="50"/>
        <v>37.484999999999999</v>
      </c>
      <c r="EZ760" s="2129">
        <f t="shared" si="50"/>
        <v>37.484999999999999</v>
      </c>
      <c r="FA760" s="2123">
        <v>41.17</v>
      </c>
      <c r="FB760" s="2123">
        <v>41.17</v>
      </c>
      <c r="FE760" s="2123">
        <v>12.35</v>
      </c>
      <c r="FF760" s="2123">
        <v>12.35</v>
      </c>
      <c r="FG760" s="2123">
        <v>29.07</v>
      </c>
      <c r="FH760" s="2123">
        <v>29.07</v>
      </c>
      <c r="FI760" s="2123">
        <v>29.07</v>
      </c>
      <c r="FJ760" s="2123">
        <v>29.07</v>
      </c>
      <c r="FK760" s="2123">
        <v>28.06</v>
      </c>
      <c r="FL760" s="2123">
        <v>28.06</v>
      </c>
      <c r="FM760" s="2123">
        <v>29.5</v>
      </c>
      <c r="FN760" s="2123">
        <v>29.5</v>
      </c>
      <c r="FQ760" s="2123">
        <v>27.35</v>
      </c>
      <c r="FR760" s="2123">
        <v>27.35</v>
      </c>
      <c r="FS760" s="2123">
        <v>46.21</v>
      </c>
      <c r="FT760" s="2123">
        <v>46.21</v>
      </c>
      <c r="FU760" s="2123">
        <v>46.21</v>
      </c>
      <c r="FV760" s="2123">
        <v>46.21</v>
      </c>
      <c r="FW760" s="2123">
        <v>47.39</v>
      </c>
      <c r="FX760" s="2123">
        <v>47.39</v>
      </c>
      <c r="GC760" s="2123">
        <v>19.45</v>
      </c>
      <c r="GD760" s="2123">
        <v>19.45</v>
      </c>
      <c r="GE760" s="2123">
        <v>52.69</v>
      </c>
      <c r="GF760" s="2123">
        <v>52.69</v>
      </c>
      <c r="GG760" s="2123">
        <v>52.69</v>
      </c>
      <c r="GH760" s="2123">
        <v>52.69</v>
      </c>
      <c r="GI760" s="2123">
        <v>13.55</v>
      </c>
      <c r="GJ760" s="2123">
        <v>13.55</v>
      </c>
      <c r="GK760" s="2123">
        <v>34.270000000000003</v>
      </c>
      <c r="GL760" s="2123">
        <v>34.270000000000003</v>
      </c>
      <c r="GO760" s="2123">
        <v>10.76</v>
      </c>
      <c r="GP760" s="2123">
        <v>10.76</v>
      </c>
      <c r="GQ760" s="2123">
        <v>4.6500000000000004</v>
      </c>
      <c r="GR760" s="2123">
        <v>4.6500000000000004</v>
      </c>
      <c r="GS760" s="2123">
        <v>4.6500000000000004</v>
      </c>
      <c r="GT760" s="2123">
        <v>4.3499999999999996</v>
      </c>
      <c r="GU760" s="2123">
        <v>4.3499999999999996</v>
      </c>
      <c r="GV760" s="2123">
        <v>4.3499999999999996</v>
      </c>
      <c r="GW760" s="2123">
        <v>27.71</v>
      </c>
      <c r="GX760" s="2123">
        <v>27.71</v>
      </c>
      <c r="HA760" s="2123">
        <v>7.19</v>
      </c>
      <c r="HB760" s="2123">
        <v>7.19</v>
      </c>
      <c r="HC760" s="2123">
        <v>1.72</v>
      </c>
      <c r="HD760" s="2123">
        <v>1.72</v>
      </c>
      <c r="HE760" s="2123">
        <v>2.2999999999999998</v>
      </c>
      <c r="HF760" s="2123">
        <v>2.2999999999999998</v>
      </c>
      <c r="HG760" s="2123">
        <v>2.2999999999999998</v>
      </c>
      <c r="HH760" s="2123">
        <v>2.2999999999999998</v>
      </c>
      <c r="HI760" s="2123">
        <v>2.2999999999999998</v>
      </c>
      <c r="HJ760" s="2123">
        <v>2.2999999999999998</v>
      </c>
      <c r="HK760" s="2123">
        <v>2.19</v>
      </c>
      <c r="HL760" s="2123">
        <v>2.19</v>
      </c>
      <c r="HM760" s="2123">
        <v>10</v>
      </c>
      <c r="HN760" s="2123">
        <v>10</v>
      </c>
      <c r="HO760" s="2123">
        <v>2.48</v>
      </c>
      <c r="HP760" s="2123">
        <v>2.48</v>
      </c>
      <c r="HQ760" s="2123">
        <v>3.38</v>
      </c>
      <c r="HR760" s="2123">
        <v>3.38</v>
      </c>
      <c r="HS760" s="2123">
        <v>3.38</v>
      </c>
      <c r="HT760" s="2123">
        <v>3.38</v>
      </c>
      <c r="HU760" s="2123">
        <v>3.38</v>
      </c>
      <c r="HV760" s="2123">
        <v>3.38</v>
      </c>
      <c r="HW760" s="2123">
        <v>3.17</v>
      </c>
      <c r="HX760" s="2050">
        <v>3.17</v>
      </c>
    </row>
    <row r="761" spans="1:232" s="2123" customFormat="1" ht="14" hidden="1" x14ac:dyDescent="0.3">
      <c r="A761" s="2040"/>
      <c r="B761" s="2127">
        <v>12</v>
      </c>
      <c r="C761" s="2128">
        <v>12.93</v>
      </c>
      <c r="D761" s="2128">
        <v>12.93</v>
      </c>
      <c r="E761" s="2128">
        <v>15.16</v>
      </c>
      <c r="F761" s="2128">
        <v>15.16</v>
      </c>
      <c r="G761" s="2128">
        <v>39.68</v>
      </c>
      <c r="H761" s="2128">
        <v>39.68</v>
      </c>
      <c r="I761" s="2128">
        <v>33.72</v>
      </c>
      <c r="J761" s="2128">
        <v>33.72</v>
      </c>
      <c r="K761" s="2128">
        <v>46.7</v>
      </c>
      <c r="L761" s="2128">
        <v>46.7</v>
      </c>
      <c r="M761" s="2128"/>
      <c r="N761" s="2128"/>
      <c r="O761" s="2128">
        <v>39.869999999999997</v>
      </c>
      <c r="P761" s="2128">
        <v>39.869999999999997</v>
      </c>
      <c r="Q761" s="2128">
        <v>43.91</v>
      </c>
      <c r="R761" s="2128">
        <v>39.880000000000003</v>
      </c>
      <c r="S761" s="2128">
        <v>41.160000000000004</v>
      </c>
      <c r="T761" s="2128">
        <v>41.16</v>
      </c>
      <c r="U761" s="2128">
        <v>39.72</v>
      </c>
      <c r="V761" s="2128">
        <v>39.72</v>
      </c>
      <c r="W761" s="2128">
        <v>41.16</v>
      </c>
      <c r="X761" s="2128">
        <v>41.16</v>
      </c>
      <c r="Y761" s="2128">
        <v>39.72</v>
      </c>
      <c r="Z761" s="2128">
        <v>41.16</v>
      </c>
      <c r="AA761" s="2128">
        <v>41.16</v>
      </c>
      <c r="AB761" s="2128">
        <v>41.16</v>
      </c>
      <c r="AC761" s="2128">
        <v>39.72</v>
      </c>
      <c r="AD761" s="2128">
        <v>39.72</v>
      </c>
      <c r="AE761" s="2128">
        <v>55.57</v>
      </c>
      <c r="AF761" s="2128">
        <v>54.04</v>
      </c>
      <c r="AG761" s="2128">
        <v>55.57</v>
      </c>
      <c r="AH761" s="2128">
        <v>55.57</v>
      </c>
      <c r="AI761" s="2128">
        <v>54.04</v>
      </c>
      <c r="AJ761" s="2128">
        <v>54.04</v>
      </c>
      <c r="AK761" s="2128">
        <v>57.87</v>
      </c>
      <c r="AL761" s="2128">
        <v>57.87</v>
      </c>
      <c r="AM761" s="2128">
        <v>21.26</v>
      </c>
      <c r="AN761" s="2128">
        <v>20.420000000000002</v>
      </c>
      <c r="AO761" s="2128">
        <v>20.420000000000002</v>
      </c>
      <c r="AP761" s="2128">
        <v>20.420000000000002</v>
      </c>
      <c r="AQ761" s="2128">
        <v>24.12</v>
      </c>
      <c r="AR761" s="2128">
        <v>24.12</v>
      </c>
      <c r="AS761" s="2128">
        <v>43.75</v>
      </c>
      <c r="AT761" s="2128">
        <v>43.75</v>
      </c>
      <c r="AU761" s="2128">
        <v>43.75</v>
      </c>
      <c r="AV761" s="2128">
        <v>46.01</v>
      </c>
      <c r="AW761" s="2128">
        <v>41.71</v>
      </c>
      <c r="AX761" s="2128">
        <v>41.71</v>
      </c>
      <c r="AY761" s="2128">
        <v>42.02</v>
      </c>
      <c r="AZ761" s="2128">
        <v>42.02</v>
      </c>
      <c r="BA761" s="2123">
        <v>17.87</v>
      </c>
      <c r="BB761" s="2123">
        <v>17.87</v>
      </c>
      <c r="BC761" s="2123">
        <v>3.25</v>
      </c>
      <c r="BD761" s="2123">
        <v>3.25</v>
      </c>
      <c r="BE761" s="2123">
        <v>7.59</v>
      </c>
      <c r="BF761" s="2123">
        <v>7.59</v>
      </c>
      <c r="BG761" s="2123">
        <v>3.31</v>
      </c>
      <c r="BH761" s="2123">
        <v>3.31</v>
      </c>
      <c r="BI761" s="2123">
        <v>3.1</v>
      </c>
      <c r="BJ761" s="2123">
        <v>3.1</v>
      </c>
      <c r="BK761" s="2123">
        <v>3.1</v>
      </c>
      <c r="BL761" s="2123">
        <v>3.1</v>
      </c>
      <c r="BM761" s="2123">
        <v>15.6</v>
      </c>
      <c r="BN761" s="2123">
        <v>15.6</v>
      </c>
      <c r="BO761" s="2123">
        <v>41.76</v>
      </c>
      <c r="BP761" s="2123">
        <v>41.76</v>
      </c>
      <c r="BQ761" s="2123">
        <v>41.76</v>
      </c>
      <c r="BR761" s="2123">
        <v>41.76</v>
      </c>
      <c r="BS761" s="2123">
        <v>39.06</v>
      </c>
      <c r="BT761" s="2123">
        <v>39.06</v>
      </c>
      <c r="BU761" s="2123">
        <v>39.06</v>
      </c>
      <c r="BV761" s="2123">
        <v>39.06</v>
      </c>
      <c r="BW761" s="2123">
        <v>39.06</v>
      </c>
      <c r="BX761" s="2123">
        <v>39.06</v>
      </c>
      <c r="BY761" s="2123">
        <v>14.18</v>
      </c>
      <c r="BZ761" s="2123">
        <v>14.18</v>
      </c>
      <c r="CA761" s="2123">
        <v>38.770000000000003</v>
      </c>
      <c r="CB761" s="2123">
        <v>38.770000000000003</v>
      </c>
      <c r="CC761" s="2123">
        <v>36.94</v>
      </c>
      <c r="CD761" s="2123">
        <v>36.94</v>
      </c>
      <c r="CE761" s="2123">
        <v>37.19</v>
      </c>
      <c r="CF761" s="2123">
        <v>37.19</v>
      </c>
      <c r="CK761" s="2123">
        <v>46.77</v>
      </c>
      <c r="CL761" s="2123">
        <v>46.77</v>
      </c>
      <c r="CM761" s="2123">
        <v>94.2</v>
      </c>
      <c r="CN761" s="2123">
        <v>94.2</v>
      </c>
      <c r="CO761" s="2123">
        <v>90.43</v>
      </c>
      <c r="CP761" s="2123">
        <v>90.43</v>
      </c>
      <c r="CQ761" s="2123">
        <v>90.43</v>
      </c>
      <c r="CR761" s="2123">
        <v>90.43</v>
      </c>
      <c r="CW761" s="2123">
        <v>32.61</v>
      </c>
      <c r="CX761" s="2123">
        <v>32.61</v>
      </c>
      <c r="CY761" s="2123">
        <v>86.06</v>
      </c>
      <c r="CZ761" s="2123">
        <v>86.06</v>
      </c>
      <c r="DA761" s="2123">
        <v>86.06</v>
      </c>
      <c r="DB761" s="2123">
        <v>86.06</v>
      </c>
      <c r="DC761" s="2123">
        <v>82.43</v>
      </c>
      <c r="DD761" s="2123">
        <v>82.43</v>
      </c>
      <c r="DE761" s="2123">
        <v>82.43</v>
      </c>
      <c r="DF761" s="2123">
        <v>82.43</v>
      </c>
      <c r="DI761" s="2123">
        <v>8.75</v>
      </c>
      <c r="DJ761" s="2123">
        <v>8.75</v>
      </c>
      <c r="DK761" s="2123">
        <v>8.75</v>
      </c>
      <c r="DL761" s="2123">
        <v>8.75</v>
      </c>
      <c r="DM761" s="2123">
        <v>8.75</v>
      </c>
      <c r="DN761" s="2123">
        <v>8.75</v>
      </c>
      <c r="DU761" s="2123">
        <v>4.0199999999999996</v>
      </c>
      <c r="DV761" s="2123">
        <v>4.0199999999999996</v>
      </c>
      <c r="DW761" s="2123">
        <v>2.67</v>
      </c>
      <c r="DX761" s="2123">
        <v>2.67</v>
      </c>
      <c r="DY761" s="2123">
        <v>2.67</v>
      </c>
      <c r="DZ761" s="2123">
        <v>2.67</v>
      </c>
      <c r="EG761" s="2123">
        <v>4.84</v>
      </c>
      <c r="EH761" s="2123">
        <v>5.44</v>
      </c>
      <c r="EI761" s="2123">
        <v>1.85</v>
      </c>
      <c r="EJ761" s="2123">
        <v>1.85</v>
      </c>
      <c r="EK761" s="2123">
        <v>1.8</v>
      </c>
      <c r="EL761" s="2123">
        <v>1.8</v>
      </c>
      <c r="EM761" s="2123">
        <v>2.37</v>
      </c>
      <c r="EN761" s="2123">
        <v>2.37</v>
      </c>
      <c r="EO761" s="2123">
        <v>2.06</v>
      </c>
      <c r="EP761" s="2123">
        <v>2.06</v>
      </c>
      <c r="EQ761" s="2123">
        <v>2.11</v>
      </c>
      <c r="ER761" s="2123">
        <v>2.2999999999999998</v>
      </c>
      <c r="ES761" s="2123">
        <v>17.09</v>
      </c>
      <c r="ET761" s="2123">
        <v>17.09</v>
      </c>
      <c r="EU761" s="2123">
        <v>45.92</v>
      </c>
      <c r="EV761" s="2123">
        <v>45.92</v>
      </c>
      <c r="EW761" s="2123">
        <v>43.54</v>
      </c>
      <c r="EX761" s="2123">
        <v>43.54</v>
      </c>
      <c r="EY761" s="2129">
        <f t="shared" si="50"/>
        <v>44.730000000000004</v>
      </c>
      <c r="EZ761" s="2129">
        <f t="shared" si="50"/>
        <v>44.730000000000004</v>
      </c>
      <c r="FA761" s="2123">
        <v>48.55</v>
      </c>
      <c r="FB761" s="2123">
        <v>48.55</v>
      </c>
      <c r="FE761" s="2123">
        <v>13.95</v>
      </c>
      <c r="FF761" s="2123">
        <v>13.95</v>
      </c>
      <c r="FG761" s="2123">
        <v>34.79</v>
      </c>
      <c r="FH761" s="2123">
        <v>34.79</v>
      </c>
      <c r="FI761" s="2123">
        <v>34.79</v>
      </c>
      <c r="FJ761" s="2123">
        <v>34.79</v>
      </c>
      <c r="FK761" s="2123">
        <v>33.69</v>
      </c>
      <c r="FL761" s="2123">
        <v>33.69</v>
      </c>
      <c r="FM761" s="2123">
        <v>35.29</v>
      </c>
      <c r="FN761" s="2123">
        <v>35.29</v>
      </c>
      <c r="FQ761" s="2123">
        <v>29.9</v>
      </c>
      <c r="FR761" s="2123">
        <v>29.9</v>
      </c>
      <c r="FS761" s="2123">
        <v>50.91</v>
      </c>
      <c r="FT761" s="2123">
        <v>50.91</v>
      </c>
      <c r="FU761" s="2123">
        <v>50.91</v>
      </c>
      <c r="FV761" s="2123">
        <v>50.91</v>
      </c>
      <c r="FW761" s="2123">
        <v>52.12</v>
      </c>
      <c r="FX761" s="2123">
        <v>52.12</v>
      </c>
      <c r="GC761" s="2123">
        <v>22.11</v>
      </c>
      <c r="GD761" s="2123">
        <v>22.11</v>
      </c>
      <c r="GE761" s="2123">
        <v>58.44</v>
      </c>
      <c r="GF761" s="2123">
        <v>58.44</v>
      </c>
      <c r="GG761" s="2123">
        <v>58.44</v>
      </c>
      <c r="GH761" s="2123">
        <v>58.44</v>
      </c>
      <c r="GI761" s="2123">
        <v>16.98</v>
      </c>
      <c r="GJ761" s="2123">
        <v>16.98</v>
      </c>
      <c r="GK761" s="2123">
        <v>40.68</v>
      </c>
      <c r="GL761" s="2123">
        <v>40.68</v>
      </c>
      <c r="GO761" s="2123">
        <v>12.31</v>
      </c>
      <c r="GP761" s="2123">
        <v>12.31</v>
      </c>
      <c r="GQ761" s="2123">
        <v>5.66</v>
      </c>
      <c r="GR761" s="2123">
        <v>5.66</v>
      </c>
      <c r="GS761" s="2123">
        <v>5.66</v>
      </c>
      <c r="GT761" s="2123">
        <v>5.31</v>
      </c>
      <c r="GU761" s="2123">
        <v>5.31</v>
      </c>
      <c r="GV761" s="2123">
        <v>5.31</v>
      </c>
      <c r="GW761" s="2123">
        <v>33.94</v>
      </c>
      <c r="GX761" s="2123">
        <v>33.94</v>
      </c>
      <c r="HA761" s="2123">
        <v>8.23</v>
      </c>
      <c r="HB761" s="2123">
        <v>8.23</v>
      </c>
      <c r="HC761" s="2123">
        <v>2.14</v>
      </c>
      <c r="HD761" s="2123">
        <v>2.14</v>
      </c>
      <c r="HE761" s="2123">
        <v>2.82</v>
      </c>
      <c r="HF761" s="2123">
        <v>2.82</v>
      </c>
      <c r="HG761" s="2123">
        <v>2.82</v>
      </c>
      <c r="HH761" s="2123">
        <v>2.82</v>
      </c>
      <c r="HI761" s="2123">
        <v>2.82</v>
      </c>
      <c r="HJ761" s="2123">
        <v>2.82</v>
      </c>
      <c r="HK761" s="2123">
        <v>2.7</v>
      </c>
      <c r="HL761" s="2123">
        <v>2.7</v>
      </c>
      <c r="HM761" s="2123">
        <v>11.46</v>
      </c>
      <c r="HN761" s="2123">
        <v>11.46</v>
      </c>
      <c r="HO761" s="2123">
        <v>3.11</v>
      </c>
      <c r="HP761" s="2123">
        <v>3.11</v>
      </c>
      <c r="HQ761" s="2123">
        <v>4.16</v>
      </c>
      <c r="HR761" s="2123">
        <v>4.16</v>
      </c>
      <c r="HS761" s="2123">
        <v>4.16</v>
      </c>
      <c r="HT761" s="2123">
        <v>4.16</v>
      </c>
      <c r="HU761" s="2123">
        <v>4.16</v>
      </c>
      <c r="HV761" s="2123">
        <v>4.16</v>
      </c>
      <c r="HW761" s="2123">
        <v>3.93</v>
      </c>
      <c r="HX761" s="2050">
        <v>3.93</v>
      </c>
    </row>
    <row r="762" spans="1:232" s="2123" customFormat="1" ht="14" hidden="1" x14ac:dyDescent="0.3">
      <c r="A762" s="2040"/>
      <c r="B762" s="2127">
        <v>13</v>
      </c>
      <c r="C762" s="2128">
        <v>14.5</v>
      </c>
      <c r="D762" s="2128">
        <v>14.5</v>
      </c>
      <c r="E762" s="2128">
        <v>16.62</v>
      </c>
      <c r="F762" s="2128">
        <v>16.62</v>
      </c>
      <c r="G762" s="2128">
        <v>45.31</v>
      </c>
      <c r="H762" s="2128">
        <v>45.31</v>
      </c>
      <c r="I762" s="2128">
        <v>38.81</v>
      </c>
      <c r="J762" s="2128">
        <v>38.81</v>
      </c>
      <c r="K762" s="2128">
        <v>52.89</v>
      </c>
      <c r="L762" s="2128">
        <v>52.89</v>
      </c>
      <c r="M762" s="2128"/>
      <c r="N762" s="2128"/>
      <c r="O762" s="2128">
        <v>44.81</v>
      </c>
      <c r="P762" s="2128">
        <v>44.81</v>
      </c>
      <c r="Q762" s="2128">
        <v>48.61</v>
      </c>
      <c r="R762" s="2128">
        <v>44.82</v>
      </c>
      <c r="S762" s="2128">
        <v>49.220000000000006</v>
      </c>
      <c r="T762" s="2128">
        <v>49.22</v>
      </c>
      <c r="U762" s="2128">
        <v>47.5</v>
      </c>
      <c r="V762" s="2128">
        <v>47.5</v>
      </c>
      <c r="W762" s="2128">
        <v>49.22</v>
      </c>
      <c r="X762" s="2128">
        <v>49.22</v>
      </c>
      <c r="Y762" s="2128">
        <v>47.5</v>
      </c>
      <c r="Z762" s="2128">
        <v>49.22</v>
      </c>
      <c r="AA762" s="2128">
        <v>49.22</v>
      </c>
      <c r="AB762" s="2128">
        <v>49.22</v>
      </c>
      <c r="AC762" s="2128">
        <v>47.5</v>
      </c>
      <c r="AD762" s="2128">
        <v>47.5</v>
      </c>
      <c r="AE762" s="2128">
        <v>64.709999999999994</v>
      </c>
      <c r="AF762" s="2128">
        <v>62.92</v>
      </c>
      <c r="AG762" s="2128">
        <v>64.709999999999994</v>
      </c>
      <c r="AH762" s="2128">
        <v>64.709999999999994</v>
      </c>
      <c r="AI762" s="2128">
        <v>62.92</v>
      </c>
      <c r="AJ762" s="2128">
        <v>62.92</v>
      </c>
      <c r="AK762" s="2128">
        <v>66.650000000000006</v>
      </c>
      <c r="AL762" s="2128">
        <v>66.650000000000006</v>
      </c>
      <c r="AM762" s="2128">
        <v>23.86</v>
      </c>
      <c r="AN762" s="2128">
        <v>22.93</v>
      </c>
      <c r="AO762" s="2128">
        <v>22.93</v>
      </c>
      <c r="AP762" s="2128">
        <v>22.93</v>
      </c>
      <c r="AQ762" s="2128">
        <v>26.45</v>
      </c>
      <c r="AR762" s="2128">
        <v>26.45</v>
      </c>
      <c r="AS762" s="2128">
        <v>50.78</v>
      </c>
      <c r="AT762" s="2128">
        <v>50.78</v>
      </c>
      <c r="AU762" s="2128">
        <v>50.78</v>
      </c>
      <c r="AV762" s="2128">
        <v>53.28</v>
      </c>
      <c r="AW762" s="2128">
        <v>48.89</v>
      </c>
      <c r="AX762" s="2128">
        <v>48.89</v>
      </c>
      <c r="AY762" s="2128">
        <v>49.19</v>
      </c>
      <c r="AZ762" s="2128">
        <v>49.19</v>
      </c>
      <c r="BA762" s="2123">
        <v>20.89</v>
      </c>
      <c r="BB762" s="2123">
        <v>20.89</v>
      </c>
      <c r="BC762" s="2123">
        <v>3.92</v>
      </c>
      <c r="BD762" s="2123">
        <v>3.92</v>
      </c>
      <c r="BE762" s="2123">
        <v>8.49</v>
      </c>
      <c r="BF762" s="2123">
        <v>8.49</v>
      </c>
      <c r="BG762" s="2123">
        <v>3.97</v>
      </c>
      <c r="BH762" s="2123">
        <v>3.97</v>
      </c>
      <c r="BI762" s="2123">
        <v>3.76</v>
      </c>
      <c r="BJ762" s="2123">
        <v>3.76</v>
      </c>
      <c r="BK762" s="2123">
        <v>3.76</v>
      </c>
      <c r="BL762" s="2123">
        <v>3.76</v>
      </c>
      <c r="BM762" s="2123">
        <v>17.5</v>
      </c>
      <c r="BN762" s="2123">
        <v>17.5</v>
      </c>
      <c r="BO762" s="2123">
        <v>47.39</v>
      </c>
      <c r="BP762" s="2123">
        <v>47.39</v>
      </c>
      <c r="BQ762" s="2123">
        <v>47.39</v>
      </c>
      <c r="BR762" s="2123">
        <v>47.39</v>
      </c>
      <c r="BS762" s="2123">
        <v>45.92</v>
      </c>
      <c r="BT762" s="2123">
        <v>45.92</v>
      </c>
      <c r="BU762" s="2123">
        <v>45.92</v>
      </c>
      <c r="BV762" s="2123">
        <v>45.92</v>
      </c>
      <c r="BW762" s="2123">
        <v>45.92</v>
      </c>
      <c r="BX762" s="2123">
        <v>45.92</v>
      </c>
      <c r="BY762" s="2123">
        <v>15.91</v>
      </c>
      <c r="BZ762" s="2123">
        <v>15.91</v>
      </c>
      <c r="CA762" s="2123">
        <v>44.14</v>
      </c>
      <c r="CB762" s="2123">
        <v>44.14</v>
      </c>
      <c r="CC762" s="2123">
        <v>42.47</v>
      </c>
      <c r="CD762" s="2123">
        <v>42.47</v>
      </c>
      <c r="CE762" s="2123">
        <v>43.9</v>
      </c>
      <c r="CF762" s="2123">
        <v>43.9</v>
      </c>
      <c r="CK762" s="2123">
        <v>50.44</v>
      </c>
      <c r="CL762" s="2123">
        <v>50.44</v>
      </c>
      <c r="CM762" s="2123">
        <v>102.51</v>
      </c>
      <c r="CN762" s="2123">
        <v>102.51</v>
      </c>
      <c r="CO762" s="2123">
        <v>101.18</v>
      </c>
      <c r="CP762" s="2123">
        <v>101.18</v>
      </c>
      <c r="CQ762" s="2123">
        <v>101.18</v>
      </c>
      <c r="CR762" s="2123">
        <v>101.18</v>
      </c>
      <c r="CW762" s="2123">
        <v>36.630000000000003</v>
      </c>
      <c r="CX762" s="2123">
        <v>36.630000000000003</v>
      </c>
      <c r="CY762" s="2123">
        <v>94.12</v>
      </c>
      <c r="CZ762" s="2123">
        <v>94.12</v>
      </c>
      <c r="DA762" s="2123">
        <v>94.12</v>
      </c>
      <c r="DB762" s="2123">
        <v>94.12</v>
      </c>
      <c r="DC762" s="2123">
        <v>92.75</v>
      </c>
      <c r="DD762" s="2123">
        <v>92.75</v>
      </c>
      <c r="DE762" s="2123">
        <v>92.75</v>
      </c>
      <c r="DF762" s="2123">
        <v>92.75</v>
      </c>
      <c r="DI762" s="2123">
        <v>9.8000000000000007</v>
      </c>
      <c r="DJ762" s="2123">
        <v>9.8000000000000007</v>
      </c>
      <c r="DK762" s="2123">
        <v>9.8000000000000007</v>
      </c>
      <c r="DL762" s="2123">
        <v>9.8000000000000007</v>
      </c>
      <c r="DM762" s="2123">
        <v>9.8000000000000007</v>
      </c>
      <c r="DN762" s="2123">
        <v>9.8000000000000007</v>
      </c>
      <c r="DU762" s="2123">
        <v>4.4800000000000004</v>
      </c>
      <c r="DV762" s="2123">
        <v>4.4800000000000004</v>
      </c>
      <c r="DW762" s="2123">
        <v>3.1</v>
      </c>
      <c r="DX762" s="2123">
        <v>3.1</v>
      </c>
      <c r="DY762" s="2123">
        <v>3.1</v>
      </c>
      <c r="DZ762" s="2123">
        <v>3.1</v>
      </c>
      <c r="EG762" s="2123">
        <v>5.35</v>
      </c>
      <c r="EH762" s="2123">
        <v>5.92</v>
      </c>
      <c r="EI762" s="2123">
        <v>2.16</v>
      </c>
      <c r="EJ762" s="2123">
        <v>2.16</v>
      </c>
      <c r="EK762" s="2123">
        <v>2.11</v>
      </c>
      <c r="EL762" s="2123">
        <v>2.11</v>
      </c>
      <c r="EM762" s="2123">
        <v>2.75</v>
      </c>
      <c r="EN762" s="2123">
        <v>2.75</v>
      </c>
      <c r="EO762" s="2123">
        <v>2.4</v>
      </c>
      <c r="EP762" s="2123">
        <v>2.4</v>
      </c>
      <c r="EQ762" s="2123">
        <v>2.46</v>
      </c>
      <c r="ER762" s="2123">
        <v>2.66</v>
      </c>
      <c r="ES762" s="2123">
        <v>19.09</v>
      </c>
      <c r="ET762" s="2123">
        <v>19.09</v>
      </c>
      <c r="EU762" s="2123">
        <v>53.81</v>
      </c>
      <c r="EV762" s="2123">
        <v>53.81</v>
      </c>
      <c r="EW762" s="2123">
        <v>51.17</v>
      </c>
      <c r="EX762" s="2123">
        <v>51.17</v>
      </c>
      <c r="EY762" s="2129">
        <f t="shared" si="50"/>
        <v>52.49</v>
      </c>
      <c r="EZ762" s="2129">
        <f t="shared" si="50"/>
        <v>52.49</v>
      </c>
      <c r="FA762" s="2123">
        <v>56.42</v>
      </c>
      <c r="FB762" s="2123">
        <v>56.42</v>
      </c>
      <c r="FE762" s="2123">
        <v>15.51</v>
      </c>
      <c r="FF762" s="2123">
        <v>15.51</v>
      </c>
      <c r="FG762" s="2123">
        <v>40.700000000000003</v>
      </c>
      <c r="FH762" s="2123">
        <v>40.700000000000003</v>
      </c>
      <c r="FI762" s="2123">
        <v>40.700000000000003</v>
      </c>
      <c r="FJ762" s="2123">
        <v>40.700000000000003</v>
      </c>
      <c r="FK762" s="2123">
        <v>39.520000000000003</v>
      </c>
      <c r="FL762" s="2123">
        <v>39.520000000000003</v>
      </c>
      <c r="FM762" s="2123">
        <v>41.19</v>
      </c>
      <c r="FN762" s="2123">
        <v>41.19</v>
      </c>
      <c r="FQ762" s="2123">
        <v>33.630000000000003</v>
      </c>
      <c r="FR762" s="2123">
        <v>33.630000000000003</v>
      </c>
      <c r="FS762" s="2123">
        <v>57.94</v>
      </c>
      <c r="FT762" s="2123">
        <v>57.94</v>
      </c>
      <c r="FU762" s="2123">
        <v>57.94</v>
      </c>
      <c r="FV762" s="2123">
        <v>57.94</v>
      </c>
      <c r="FW762" s="2123">
        <v>59.19</v>
      </c>
      <c r="FX762" s="2123">
        <v>59.19</v>
      </c>
      <c r="GC762" s="2123">
        <v>24.98</v>
      </c>
      <c r="GD762" s="2123">
        <v>24.98</v>
      </c>
      <c r="GE762" s="2123">
        <v>64.64</v>
      </c>
      <c r="GF762" s="2123">
        <v>64.64</v>
      </c>
      <c r="GG762" s="2123">
        <v>64.64</v>
      </c>
      <c r="GH762" s="2123">
        <v>64.64</v>
      </c>
      <c r="GI762" s="2123">
        <v>21.31</v>
      </c>
      <c r="GJ762" s="2123">
        <v>21.31</v>
      </c>
      <c r="GK762" s="2123">
        <v>47.88</v>
      </c>
      <c r="GL762" s="2123">
        <v>47.88</v>
      </c>
      <c r="GO762" s="2123">
        <v>13.62</v>
      </c>
      <c r="GP762" s="2123">
        <v>13.62</v>
      </c>
      <c r="GQ762" s="2123">
        <v>6.73</v>
      </c>
      <c r="GR762" s="2123">
        <v>6.73</v>
      </c>
      <c r="GS762" s="2123">
        <v>6.73</v>
      </c>
      <c r="GT762" s="2123">
        <v>6.33</v>
      </c>
      <c r="GU762" s="2123">
        <v>6.33</v>
      </c>
      <c r="GV762" s="2123">
        <v>6.33</v>
      </c>
      <c r="GW762" s="2123">
        <v>40.14</v>
      </c>
      <c r="GX762" s="2123">
        <v>40.14</v>
      </c>
      <c r="HA762" s="2123">
        <v>9.2200000000000006</v>
      </c>
      <c r="HB762" s="2123">
        <v>9.2200000000000006</v>
      </c>
      <c r="HC762" s="2123">
        <v>2.6</v>
      </c>
      <c r="HD762" s="2123">
        <v>2.6</v>
      </c>
      <c r="HE762" s="2123">
        <v>3.39</v>
      </c>
      <c r="HF762" s="2123">
        <v>3.39</v>
      </c>
      <c r="HG762" s="2123">
        <v>3.39</v>
      </c>
      <c r="HH762" s="2123">
        <v>3.39</v>
      </c>
      <c r="HI762" s="2123">
        <v>3.39</v>
      </c>
      <c r="HJ762" s="2123">
        <v>3.39</v>
      </c>
      <c r="HK762" s="2123">
        <v>3.26</v>
      </c>
      <c r="HL762" s="2123">
        <v>3.26</v>
      </c>
      <c r="HM762" s="2123">
        <v>12.85</v>
      </c>
      <c r="HN762" s="2123">
        <v>12.85</v>
      </c>
      <c r="HO762" s="2123">
        <v>3.81</v>
      </c>
      <c r="HP762" s="2123">
        <v>3.81</v>
      </c>
      <c r="HQ762" s="2123">
        <v>5.01</v>
      </c>
      <c r="HR762" s="2123">
        <v>5.01</v>
      </c>
      <c r="HS762" s="2123">
        <v>5.01</v>
      </c>
      <c r="HT762" s="2123">
        <v>5.01</v>
      </c>
      <c r="HU762" s="2123">
        <v>5.01</v>
      </c>
      <c r="HV762" s="2123">
        <v>5.01</v>
      </c>
      <c r="HW762" s="2123">
        <v>4.76</v>
      </c>
      <c r="HX762" s="2050">
        <v>4.76</v>
      </c>
    </row>
    <row r="763" spans="1:232" s="2123" customFormat="1" ht="14" hidden="1" x14ac:dyDescent="0.3">
      <c r="A763" s="2040"/>
      <c r="B763" s="2127">
        <v>14</v>
      </c>
      <c r="C763" s="2128">
        <v>15.99</v>
      </c>
      <c r="D763" s="2128">
        <v>15.99</v>
      </c>
      <c r="E763" s="2128">
        <v>18</v>
      </c>
      <c r="F763" s="2128">
        <v>18</v>
      </c>
      <c r="G763" s="2128">
        <v>50.76</v>
      </c>
      <c r="H763" s="2128">
        <v>50.76</v>
      </c>
      <c r="I763" s="2128">
        <v>43.78</v>
      </c>
      <c r="J763" s="2128">
        <v>43.78</v>
      </c>
      <c r="K763" s="2128">
        <v>58.81</v>
      </c>
      <c r="L763" s="2128">
        <v>58.81</v>
      </c>
      <c r="M763" s="2128"/>
      <c r="N763" s="2128"/>
      <c r="O763" s="2128">
        <v>49.51</v>
      </c>
      <c r="P763" s="2128">
        <v>49.51</v>
      </c>
      <c r="Q763" s="2128">
        <v>53.08</v>
      </c>
      <c r="R763" s="2128">
        <v>49.52</v>
      </c>
      <c r="S763" s="2128">
        <v>57.180000000000007</v>
      </c>
      <c r="T763" s="2128">
        <v>57.18</v>
      </c>
      <c r="U763" s="2128">
        <v>55.18</v>
      </c>
      <c r="V763" s="2128">
        <v>55.18</v>
      </c>
      <c r="W763" s="2128">
        <v>57.18</v>
      </c>
      <c r="X763" s="2128">
        <v>57.18</v>
      </c>
      <c r="Y763" s="2128">
        <v>55.18</v>
      </c>
      <c r="Z763" s="2128">
        <v>57.18</v>
      </c>
      <c r="AA763" s="2128">
        <v>57.18</v>
      </c>
      <c r="AB763" s="2128">
        <v>57.18</v>
      </c>
      <c r="AC763" s="2128">
        <v>55.18</v>
      </c>
      <c r="AD763" s="2128">
        <v>55.18</v>
      </c>
      <c r="AE763" s="2128">
        <v>73.59</v>
      </c>
      <c r="AF763" s="2128">
        <v>71.56</v>
      </c>
      <c r="AG763" s="2128">
        <v>73.59</v>
      </c>
      <c r="AH763" s="2128">
        <v>73.59</v>
      </c>
      <c r="AI763" s="2128">
        <v>71.56</v>
      </c>
      <c r="AJ763" s="2128">
        <v>71.56</v>
      </c>
      <c r="AK763" s="2128">
        <v>75.17</v>
      </c>
      <c r="AL763" s="2128">
        <v>75.17</v>
      </c>
      <c r="AM763" s="2128">
        <v>26.34</v>
      </c>
      <c r="AN763" s="2128">
        <v>25.32</v>
      </c>
      <c r="AO763" s="2128">
        <v>25.32</v>
      </c>
      <c r="AP763" s="2128">
        <v>25.32</v>
      </c>
      <c r="AQ763" s="2128">
        <v>28.66</v>
      </c>
      <c r="AR763" s="2128">
        <v>28.66</v>
      </c>
      <c r="AS763" s="2128">
        <v>57.63</v>
      </c>
      <c r="AT763" s="2128">
        <v>57.63</v>
      </c>
      <c r="AU763" s="2128">
        <v>57.63</v>
      </c>
      <c r="AV763" s="2128">
        <v>60.3</v>
      </c>
      <c r="AW763" s="2128">
        <v>55.89</v>
      </c>
      <c r="AX763" s="2128">
        <v>55.89</v>
      </c>
      <c r="AY763" s="2128">
        <v>56.18</v>
      </c>
      <c r="AZ763" s="2128">
        <v>56.18</v>
      </c>
      <c r="BA763" s="2123">
        <v>23.84</v>
      </c>
      <c r="BB763" s="2123">
        <v>23.84</v>
      </c>
      <c r="BC763" s="2123">
        <v>4.6100000000000003</v>
      </c>
      <c r="BD763" s="2123">
        <v>4.6100000000000003</v>
      </c>
      <c r="BE763" s="2123">
        <v>9.35</v>
      </c>
      <c r="BF763" s="2123">
        <v>9.35</v>
      </c>
      <c r="BG763" s="2123">
        <v>4.66</v>
      </c>
      <c r="BH763" s="2123">
        <v>4.66</v>
      </c>
      <c r="BI763" s="2123">
        <v>4.45</v>
      </c>
      <c r="BJ763" s="2123">
        <v>4.45</v>
      </c>
      <c r="BK763" s="2123">
        <v>4.45</v>
      </c>
      <c r="BL763" s="2123">
        <v>4.45</v>
      </c>
      <c r="BM763" s="2123">
        <v>19.309999999999999</v>
      </c>
      <c r="BN763" s="2123">
        <v>19.309999999999999</v>
      </c>
      <c r="BO763" s="2123">
        <v>52.82</v>
      </c>
      <c r="BP763" s="2123">
        <v>52.82</v>
      </c>
      <c r="BQ763" s="2123">
        <v>52.82</v>
      </c>
      <c r="BR763" s="2123">
        <v>52.82</v>
      </c>
      <c r="BS763" s="2123">
        <v>52.67</v>
      </c>
      <c r="BT763" s="2123">
        <v>52.67</v>
      </c>
      <c r="BU763" s="2123">
        <v>52.67</v>
      </c>
      <c r="BV763" s="2123">
        <v>52.67</v>
      </c>
      <c r="BW763" s="2123">
        <v>52.67</v>
      </c>
      <c r="BX763" s="2123">
        <v>52.67</v>
      </c>
      <c r="BY763" s="2123">
        <v>17.55</v>
      </c>
      <c r="BZ763" s="2123">
        <v>17.55</v>
      </c>
      <c r="CA763" s="2123">
        <v>49.33</v>
      </c>
      <c r="CB763" s="2123">
        <v>49.33</v>
      </c>
      <c r="CC763" s="2123">
        <v>47.83</v>
      </c>
      <c r="CD763" s="2123">
        <v>47.83</v>
      </c>
      <c r="CE763" s="2123">
        <v>50.51</v>
      </c>
      <c r="CF763" s="2123">
        <v>50.51</v>
      </c>
      <c r="CK763" s="2123">
        <v>53.91</v>
      </c>
      <c r="CL763" s="2123">
        <v>53.91</v>
      </c>
      <c r="CM763" s="2123">
        <v>110.29</v>
      </c>
      <c r="CN763" s="2123">
        <v>110.29</v>
      </c>
      <c r="CO763" s="2123">
        <v>111.45</v>
      </c>
      <c r="CP763" s="2123">
        <v>111.45</v>
      </c>
      <c r="CQ763" s="2123">
        <v>111.45</v>
      </c>
      <c r="CR763" s="2123">
        <v>111.45</v>
      </c>
      <c r="CW763" s="2123">
        <v>40.46</v>
      </c>
      <c r="CX763" s="2123">
        <v>40.46</v>
      </c>
      <c r="CY763" s="2123">
        <v>101.7</v>
      </c>
      <c r="CZ763" s="2123">
        <v>101.7</v>
      </c>
      <c r="DA763" s="2123">
        <v>101.7</v>
      </c>
      <c r="DB763" s="2123">
        <v>101.7</v>
      </c>
      <c r="DC763" s="2123">
        <v>102.65</v>
      </c>
      <c r="DD763" s="2123">
        <v>102.65</v>
      </c>
      <c r="DE763" s="2123">
        <v>102.65</v>
      </c>
      <c r="DF763" s="2123">
        <v>102.65</v>
      </c>
      <c r="DI763" s="2123">
        <v>10.81</v>
      </c>
      <c r="DJ763" s="2123">
        <v>10.81</v>
      </c>
      <c r="DK763" s="2123">
        <v>10.81</v>
      </c>
      <c r="DL763" s="2123">
        <v>10.81</v>
      </c>
      <c r="DM763" s="2123">
        <v>10.81</v>
      </c>
      <c r="DN763" s="2123">
        <v>10.81</v>
      </c>
      <c r="DU763" s="2123">
        <v>4.93</v>
      </c>
      <c r="DV763" s="2123">
        <v>4.93</v>
      </c>
      <c r="DW763" s="2123">
        <v>3.52</v>
      </c>
      <c r="DX763" s="2123">
        <v>3.52</v>
      </c>
      <c r="DY763" s="2123">
        <v>3.52</v>
      </c>
      <c r="DZ763" s="2123">
        <v>3.52</v>
      </c>
      <c r="EG763" s="2123">
        <v>5.78</v>
      </c>
      <c r="EH763" s="2123">
        <v>6.33</v>
      </c>
      <c r="EI763" s="2123">
        <v>2.46</v>
      </c>
      <c r="EJ763" s="2123">
        <v>2.46</v>
      </c>
      <c r="EK763" s="2123">
        <v>2.41</v>
      </c>
      <c r="EL763" s="2123">
        <v>2.41</v>
      </c>
      <c r="EM763" s="2123">
        <v>3.08</v>
      </c>
      <c r="EN763" s="2123">
        <v>3.08</v>
      </c>
      <c r="EO763" s="2123">
        <v>2.71</v>
      </c>
      <c r="EP763" s="2123">
        <v>2.71</v>
      </c>
      <c r="EQ763" s="2123">
        <v>2.77</v>
      </c>
      <c r="ER763" s="2123">
        <v>2.98</v>
      </c>
      <c r="ES763" s="2123">
        <v>20.78</v>
      </c>
      <c r="ET763" s="2123">
        <v>20.78</v>
      </c>
      <c r="EU763" s="2123">
        <v>60.63</v>
      </c>
      <c r="EV763" s="2123">
        <v>60.63</v>
      </c>
      <c r="EW763" s="2123">
        <v>57.82</v>
      </c>
      <c r="EX763" s="2123">
        <v>57.82</v>
      </c>
      <c r="EY763" s="2129">
        <f t="shared" si="50"/>
        <v>59.225000000000001</v>
      </c>
      <c r="EZ763" s="2129">
        <f t="shared" si="50"/>
        <v>59.225000000000001</v>
      </c>
      <c r="FA763" s="2123">
        <v>63.26</v>
      </c>
      <c r="FB763" s="2123">
        <v>63.26</v>
      </c>
      <c r="FE763" s="2123">
        <v>16.95</v>
      </c>
      <c r="FF763" s="2123">
        <v>16.95</v>
      </c>
      <c r="FG763" s="2123">
        <v>46.31</v>
      </c>
      <c r="FH763" s="2123">
        <v>46.31</v>
      </c>
      <c r="FI763" s="2123">
        <v>46.31</v>
      </c>
      <c r="FJ763" s="2123">
        <v>46.31</v>
      </c>
      <c r="FK763" s="2123">
        <v>45.09</v>
      </c>
      <c r="FL763" s="2123">
        <v>45.09</v>
      </c>
      <c r="FM763" s="2123">
        <v>46.81</v>
      </c>
      <c r="FN763" s="2123">
        <v>46.81</v>
      </c>
      <c r="FQ763" s="2123">
        <v>37.159999999999997</v>
      </c>
      <c r="FR763" s="2123">
        <v>37.159999999999997</v>
      </c>
      <c r="FS763" s="2123">
        <v>64.7</v>
      </c>
      <c r="FT763" s="2123">
        <v>64.7</v>
      </c>
      <c r="FU763" s="2123">
        <v>64.7</v>
      </c>
      <c r="FV763" s="2123">
        <v>64.7</v>
      </c>
      <c r="FW763" s="2123">
        <v>65.98</v>
      </c>
      <c r="FX763" s="2123">
        <v>65.98</v>
      </c>
      <c r="GC763" s="2123">
        <v>27.05</v>
      </c>
      <c r="GD763" s="2123">
        <v>27.05</v>
      </c>
      <c r="GE763" s="2123">
        <v>69.08</v>
      </c>
      <c r="GF763" s="2123">
        <v>69.08</v>
      </c>
      <c r="GG763" s="2123">
        <v>69.08</v>
      </c>
      <c r="GH763" s="2123">
        <v>69.08</v>
      </c>
      <c r="GI763" s="2123">
        <v>24.89</v>
      </c>
      <c r="GJ763" s="2123">
        <v>24.89</v>
      </c>
      <c r="GK763" s="2123">
        <v>53.22</v>
      </c>
      <c r="GL763" s="2123">
        <v>53.22</v>
      </c>
      <c r="GO763" s="2123">
        <v>14.79</v>
      </c>
      <c r="GP763" s="2123">
        <v>14.79</v>
      </c>
      <c r="GQ763" s="2123">
        <v>7.78</v>
      </c>
      <c r="GR763" s="2123">
        <v>7.78</v>
      </c>
      <c r="GS763" s="2123">
        <v>7.78</v>
      </c>
      <c r="GT763" s="2123">
        <v>7.34</v>
      </c>
      <c r="GU763" s="2123">
        <v>7.34</v>
      </c>
      <c r="GV763" s="2123">
        <v>7.34</v>
      </c>
      <c r="GW763" s="2123">
        <v>46.26</v>
      </c>
      <c r="GX763" s="2123">
        <v>46.26</v>
      </c>
      <c r="HA763" s="2123">
        <v>10.16</v>
      </c>
      <c r="HB763" s="2123">
        <v>10.16</v>
      </c>
      <c r="HC763" s="2123">
        <v>3.11</v>
      </c>
      <c r="HD763" s="2123">
        <v>3.11</v>
      </c>
      <c r="HE763" s="2123">
        <v>4</v>
      </c>
      <c r="HF763" s="2123">
        <v>4</v>
      </c>
      <c r="HG763" s="2123">
        <v>4</v>
      </c>
      <c r="HH763" s="2123">
        <v>4</v>
      </c>
      <c r="HI763" s="2123">
        <v>4</v>
      </c>
      <c r="HJ763" s="2123">
        <v>4</v>
      </c>
      <c r="HK763" s="2123">
        <v>3.87</v>
      </c>
      <c r="HL763" s="2123">
        <v>3.87</v>
      </c>
      <c r="HM763" s="2123">
        <v>14.17</v>
      </c>
      <c r="HN763" s="2123">
        <v>14.17</v>
      </c>
      <c r="HO763" s="2123">
        <v>4.57</v>
      </c>
      <c r="HP763" s="2123">
        <v>4.57</v>
      </c>
      <c r="HQ763" s="2123">
        <v>5.91</v>
      </c>
      <c r="HR763" s="2123">
        <v>5.91</v>
      </c>
      <c r="HS763" s="2123">
        <v>5.91</v>
      </c>
      <c r="HT763" s="2123">
        <v>5.91</v>
      </c>
      <c r="HU763" s="2123">
        <v>5.91</v>
      </c>
      <c r="HV763" s="2123">
        <v>5.91</v>
      </c>
      <c r="HW763" s="2123">
        <v>5.65</v>
      </c>
      <c r="HX763" s="2050">
        <v>5.65</v>
      </c>
    </row>
    <row r="764" spans="1:232" s="2123" customFormat="1" ht="14" hidden="1" x14ac:dyDescent="0.3">
      <c r="A764" s="2040"/>
      <c r="B764" s="2127">
        <v>15</v>
      </c>
      <c r="C764" s="2128">
        <v>17.41</v>
      </c>
      <c r="D764" s="2128">
        <v>17.41</v>
      </c>
      <c r="E764" s="2128">
        <v>19.309999999999999</v>
      </c>
      <c r="F764" s="2128">
        <v>19.309999999999999</v>
      </c>
      <c r="G764" s="2128">
        <v>56.03</v>
      </c>
      <c r="H764" s="2128">
        <v>56.03</v>
      </c>
      <c r="I764" s="2128">
        <v>48.62</v>
      </c>
      <c r="J764" s="2128">
        <v>48.62</v>
      </c>
      <c r="K764" s="2128">
        <v>64.45</v>
      </c>
      <c r="L764" s="2128">
        <v>64.45</v>
      </c>
      <c r="M764" s="2128"/>
      <c r="N764" s="2128"/>
      <c r="O764" s="2128">
        <v>53.98</v>
      </c>
      <c r="P764" s="2128">
        <v>53.98</v>
      </c>
      <c r="Q764" s="2128">
        <v>57.31</v>
      </c>
      <c r="R764" s="2128">
        <v>53.98</v>
      </c>
      <c r="S764" s="2128">
        <v>64.990000000000009</v>
      </c>
      <c r="T764" s="2128">
        <v>64.989999999999995</v>
      </c>
      <c r="U764" s="2128">
        <v>62.72</v>
      </c>
      <c r="V764" s="2128">
        <v>62.72</v>
      </c>
      <c r="W764" s="2128">
        <v>64.989999999999995</v>
      </c>
      <c r="X764" s="2128">
        <v>64.989999999999995</v>
      </c>
      <c r="Y764" s="2128">
        <v>62.72</v>
      </c>
      <c r="Z764" s="2128">
        <v>64.989999999999995</v>
      </c>
      <c r="AA764" s="2128">
        <v>64.989999999999995</v>
      </c>
      <c r="AB764" s="2128">
        <v>64.989999999999995</v>
      </c>
      <c r="AC764" s="2128">
        <v>62.72</v>
      </c>
      <c r="AD764" s="2128">
        <v>62.72</v>
      </c>
      <c r="AE764" s="2128">
        <v>82.18</v>
      </c>
      <c r="AF764" s="2128">
        <v>79.91</v>
      </c>
      <c r="AG764" s="2128">
        <v>82.18</v>
      </c>
      <c r="AH764" s="2128">
        <v>82.18</v>
      </c>
      <c r="AI764" s="2128">
        <v>79.91</v>
      </c>
      <c r="AJ764" s="2128">
        <v>79.91</v>
      </c>
      <c r="AK764" s="2128">
        <v>83.39</v>
      </c>
      <c r="AL764" s="2128">
        <v>83.39</v>
      </c>
      <c r="AM764" s="2128">
        <v>28.7</v>
      </c>
      <c r="AN764" s="2128">
        <v>27.59</v>
      </c>
      <c r="AO764" s="2128">
        <v>27.59</v>
      </c>
      <c r="AP764" s="2128">
        <v>27.59</v>
      </c>
      <c r="AQ764" s="2128">
        <v>30.75</v>
      </c>
      <c r="AR764" s="2128">
        <v>30.75</v>
      </c>
      <c r="AS764" s="2128">
        <v>64.260000000000005</v>
      </c>
      <c r="AT764" s="2128">
        <v>64.260000000000005</v>
      </c>
      <c r="AU764" s="2128">
        <v>64.260000000000005</v>
      </c>
      <c r="AV764" s="2128">
        <v>67.08</v>
      </c>
      <c r="AW764" s="2128">
        <v>62.67</v>
      </c>
      <c r="AX764" s="2128">
        <v>62.67</v>
      </c>
      <c r="AY764" s="2128">
        <v>62.96</v>
      </c>
      <c r="AZ764" s="2128">
        <v>62.96</v>
      </c>
      <c r="BA764" s="2123">
        <v>26.71</v>
      </c>
      <c r="BB764" s="2123">
        <v>26.71</v>
      </c>
      <c r="BC764" s="2123">
        <v>5.3</v>
      </c>
      <c r="BD764" s="2123">
        <v>5.3</v>
      </c>
      <c r="BE764" s="2123">
        <v>10.18</v>
      </c>
      <c r="BF764" s="2123">
        <v>10.18</v>
      </c>
      <c r="BG764" s="2123">
        <v>5.35</v>
      </c>
      <c r="BH764" s="2123">
        <v>5.35</v>
      </c>
      <c r="BI764" s="2123">
        <v>5.14</v>
      </c>
      <c r="BJ764" s="2123">
        <v>5.14</v>
      </c>
      <c r="BK764" s="2123">
        <v>5.14</v>
      </c>
      <c r="BL764" s="2123">
        <v>5.14</v>
      </c>
      <c r="BM764" s="2123">
        <v>21.02</v>
      </c>
      <c r="BN764" s="2123">
        <v>21.02</v>
      </c>
      <c r="BO764" s="2123">
        <v>58.04</v>
      </c>
      <c r="BP764" s="2123">
        <v>58.04</v>
      </c>
      <c r="BQ764" s="2123">
        <v>58.04</v>
      </c>
      <c r="BR764" s="2123">
        <v>58.04</v>
      </c>
      <c r="BS764" s="2123">
        <v>59.27</v>
      </c>
      <c r="BT764" s="2123">
        <v>59.27</v>
      </c>
      <c r="BU764" s="2123">
        <v>59.27</v>
      </c>
      <c r="BV764" s="2123">
        <v>59.27</v>
      </c>
      <c r="BW764" s="2123">
        <v>59.27</v>
      </c>
      <c r="BX764" s="2123">
        <v>59.27</v>
      </c>
      <c r="BY764" s="2123">
        <v>19.11</v>
      </c>
      <c r="BZ764" s="2123">
        <v>19.11</v>
      </c>
      <c r="CA764" s="2123">
        <v>54.32</v>
      </c>
      <c r="CB764" s="2123">
        <v>54.32</v>
      </c>
      <c r="CC764" s="2123">
        <v>52.99</v>
      </c>
      <c r="CD764" s="2123">
        <v>52.99</v>
      </c>
      <c r="CE764" s="2123">
        <v>56.98</v>
      </c>
      <c r="CF764" s="2123">
        <v>56.98</v>
      </c>
      <c r="CK764" s="2123">
        <v>57.2</v>
      </c>
      <c r="CL764" s="2123">
        <v>57.2</v>
      </c>
      <c r="CM764" s="2123">
        <v>117.58</v>
      </c>
      <c r="CN764" s="2123">
        <v>117.58</v>
      </c>
      <c r="CO764" s="2123">
        <v>121.23</v>
      </c>
      <c r="CP764" s="2123">
        <v>121.23</v>
      </c>
      <c r="CQ764" s="2123">
        <v>121.23</v>
      </c>
      <c r="CR764" s="2123">
        <v>121.23</v>
      </c>
      <c r="CW764" s="2123">
        <v>44.1</v>
      </c>
      <c r="CX764" s="2123">
        <v>44.1</v>
      </c>
      <c r="CY764" s="2123">
        <v>108.82</v>
      </c>
      <c r="CZ764" s="2123">
        <v>108.82</v>
      </c>
      <c r="DA764" s="2123">
        <v>108.82</v>
      </c>
      <c r="DB764" s="2123">
        <v>108.82</v>
      </c>
      <c r="DC764" s="2123">
        <v>112.11</v>
      </c>
      <c r="DD764" s="2123">
        <v>112.11</v>
      </c>
      <c r="DE764" s="2123">
        <v>112.11</v>
      </c>
      <c r="DF764" s="2123">
        <v>112.11</v>
      </c>
      <c r="DI764" s="2123">
        <v>11.76</v>
      </c>
      <c r="DJ764" s="2123">
        <v>11.76</v>
      </c>
      <c r="DK764" s="2123">
        <v>11.76</v>
      </c>
      <c r="DL764" s="2123">
        <v>11.76</v>
      </c>
      <c r="DM764" s="2123">
        <v>11.76</v>
      </c>
      <c r="DN764" s="2123">
        <v>11.76</v>
      </c>
      <c r="DU764" s="2123">
        <v>5.35</v>
      </c>
      <c r="DV764" s="2123">
        <v>5.35</v>
      </c>
      <c r="DW764" s="2123">
        <v>3.93</v>
      </c>
      <c r="DX764" s="2123">
        <v>3.93</v>
      </c>
      <c r="DY764" s="2123">
        <v>3.93</v>
      </c>
      <c r="DZ764" s="2123">
        <v>3.93</v>
      </c>
      <c r="EG764" s="2123">
        <v>5.95</v>
      </c>
      <c r="EH764" s="2123">
        <v>6.49</v>
      </c>
      <c r="EI764" s="2123">
        <v>2.59</v>
      </c>
      <c r="EJ764" s="2123">
        <v>2.59</v>
      </c>
      <c r="EK764" s="2123">
        <v>2.5299999999999998</v>
      </c>
      <c r="EL764" s="2123">
        <v>2.5299999999999998</v>
      </c>
      <c r="EM764" s="2123">
        <v>3.22</v>
      </c>
      <c r="EN764" s="2123">
        <v>3.22</v>
      </c>
      <c r="EO764" s="2123">
        <v>2.84</v>
      </c>
      <c r="EP764" s="2123">
        <v>2.84</v>
      </c>
      <c r="EQ764" s="2123">
        <v>2.91</v>
      </c>
      <c r="ER764" s="2123">
        <v>3.12</v>
      </c>
      <c r="ES764" s="2123">
        <v>21.76</v>
      </c>
      <c r="ET764" s="2123">
        <v>21.76</v>
      </c>
      <c r="EU764" s="2123">
        <v>64.709999999999994</v>
      </c>
      <c r="EV764" s="2123">
        <v>64.709999999999994</v>
      </c>
      <c r="EW764" s="2123">
        <v>61.8</v>
      </c>
      <c r="EX764" s="2123">
        <v>61.8</v>
      </c>
      <c r="EY764" s="2129">
        <f t="shared" si="50"/>
        <v>63.254999999999995</v>
      </c>
      <c r="EZ764" s="2129">
        <f t="shared" si="50"/>
        <v>63.254999999999995</v>
      </c>
      <c r="FA764" s="2123">
        <v>67.33</v>
      </c>
      <c r="FB764" s="2123">
        <v>67.33</v>
      </c>
      <c r="FE764" s="2123">
        <v>17.79</v>
      </c>
      <c r="FF764" s="2123">
        <v>17.79</v>
      </c>
      <c r="FG764" s="2123">
        <v>49.7</v>
      </c>
      <c r="FH764" s="2123">
        <v>49.7</v>
      </c>
      <c r="FI764" s="2123">
        <v>49.7</v>
      </c>
      <c r="FJ764" s="2123">
        <v>49.7</v>
      </c>
      <c r="FK764" s="2123">
        <v>48.47</v>
      </c>
      <c r="FL764" s="2123">
        <v>48.47</v>
      </c>
      <c r="FM764" s="2123">
        <v>50.22</v>
      </c>
      <c r="FN764" s="2123">
        <v>50.22</v>
      </c>
      <c r="FQ764" s="2123">
        <v>40.06</v>
      </c>
      <c r="FR764" s="2123">
        <v>40.06</v>
      </c>
      <c r="FS764" s="2123">
        <v>70.31</v>
      </c>
      <c r="FT764" s="2123">
        <v>70.31</v>
      </c>
      <c r="FU764" s="2123">
        <v>70.31</v>
      </c>
      <c r="FV764" s="2123">
        <v>70.31</v>
      </c>
      <c r="FW764" s="2123">
        <v>71.599999999999994</v>
      </c>
      <c r="FX764" s="2123">
        <v>71.599999999999994</v>
      </c>
      <c r="GC764" s="2123">
        <v>28.94</v>
      </c>
      <c r="GD764" s="2123">
        <v>28.94</v>
      </c>
      <c r="GE764" s="2123">
        <v>73.13</v>
      </c>
      <c r="GF764" s="2123">
        <v>73.13</v>
      </c>
      <c r="GG764" s="2123">
        <v>73.13</v>
      </c>
      <c r="GH764" s="2123">
        <v>73.13</v>
      </c>
      <c r="GI764" s="2123">
        <v>28.61</v>
      </c>
      <c r="GJ764" s="2123">
        <v>28.61</v>
      </c>
      <c r="GK764" s="2123">
        <v>58.25</v>
      </c>
      <c r="GL764" s="2123">
        <v>58.25</v>
      </c>
      <c r="GO764" s="2123">
        <v>15.59</v>
      </c>
      <c r="GP764" s="2123">
        <v>15.59</v>
      </c>
      <c r="GQ764" s="2123">
        <v>8.82</v>
      </c>
      <c r="GR764" s="2123">
        <v>8.82</v>
      </c>
      <c r="GS764" s="2123">
        <v>8.82</v>
      </c>
      <c r="GT764" s="2123">
        <v>8.34</v>
      </c>
      <c r="GU764" s="2123">
        <v>8.34</v>
      </c>
      <c r="GV764" s="2123">
        <v>8.34</v>
      </c>
      <c r="GW764" s="2123">
        <v>52.25</v>
      </c>
      <c r="GX764" s="2123">
        <v>52.25</v>
      </c>
      <c r="HA764" s="2123">
        <v>11.05</v>
      </c>
      <c r="HB764" s="2123">
        <v>11.05</v>
      </c>
      <c r="HC764" s="2123">
        <v>3.66</v>
      </c>
      <c r="HD764" s="2123">
        <v>3.66</v>
      </c>
      <c r="HE764" s="2123">
        <v>4.62</v>
      </c>
      <c r="HF764" s="2123">
        <v>4.62</v>
      </c>
      <c r="HG764" s="2123">
        <v>4.62</v>
      </c>
      <c r="HH764" s="2123">
        <v>4.62</v>
      </c>
      <c r="HI764" s="2123">
        <v>4.62</v>
      </c>
      <c r="HJ764" s="2123">
        <v>4.62</v>
      </c>
      <c r="HK764" s="2123">
        <v>4.5</v>
      </c>
      <c r="HL764" s="2123">
        <v>4.5</v>
      </c>
      <c r="HM764" s="2123">
        <v>15.42</v>
      </c>
      <c r="HN764" s="2123">
        <v>15.42</v>
      </c>
      <c r="HO764" s="2123">
        <v>5.38</v>
      </c>
      <c r="HP764" s="2123">
        <v>5.38</v>
      </c>
      <c r="HQ764" s="2123">
        <v>6.81</v>
      </c>
      <c r="HR764" s="2123">
        <v>6.81</v>
      </c>
      <c r="HS764" s="2123">
        <v>6.81</v>
      </c>
      <c r="HT764" s="2123">
        <v>6.81</v>
      </c>
      <c r="HU764" s="2123">
        <v>6.81</v>
      </c>
      <c r="HV764" s="2123">
        <v>6.81</v>
      </c>
      <c r="HW764" s="2123">
        <v>6.55</v>
      </c>
      <c r="HX764" s="2050">
        <v>6.55</v>
      </c>
    </row>
    <row r="765" spans="1:232" s="2123" customFormat="1" ht="14" hidden="1" x14ac:dyDescent="0.3">
      <c r="A765" s="2040"/>
      <c r="B765" s="2127">
        <v>16</v>
      </c>
      <c r="C765" s="2128">
        <v>18.75</v>
      </c>
      <c r="D765" s="2128">
        <v>18.75</v>
      </c>
      <c r="E765" s="2128">
        <v>20.54</v>
      </c>
      <c r="F765" s="2128">
        <v>20.54</v>
      </c>
      <c r="G765" s="2128">
        <v>61.1</v>
      </c>
      <c r="H765" s="2128">
        <v>61.1</v>
      </c>
      <c r="I765" s="2128">
        <v>53.31</v>
      </c>
      <c r="J765" s="2128">
        <v>53.31</v>
      </c>
      <c r="K765" s="2128">
        <v>69.81</v>
      </c>
      <c r="L765" s="2128">
        <v>69.81</v>
      </c>
      <c r="M765" s="2128"/>
      <c r="N765" s="2128"/>
      <c r="O765" s="2128">
        <v>58.21</v>
      </c>
      <c r="P765" s="2128">
        <v>58.21</v>
      </c>
      <c r="Q765" s="2128">
        <v>61.32</v>
      </c>
      <c r="R765" s="2128">
        <v>58.22</v>
      </c>
      <c r="S765" s="2128">
        <v>72.610000000000014</v>
      </c>
      <c r="T765" s="2128">
        <v>72.61</v>
      </c>
      <c r="U765" s="2128">
        <v>70.08</v>
      </c>
      <c r="V765" s="2128">
        <v>70.08</v>
      </c>
      <c r="W765" s="2128">
        <v>72.61</v>
      </c>
      <c r="X765" s="2128">
        <v>72.61</v>
      </c>
      <c r="Y765" s="2128">
        <v>70.08</v>
      </c>
      <c r="Z765" s="2128">
        <v>72.61</v>
      </c>
      <c r="AA765" s="2128">
        <v>72.61</v>
      </c>
      <c r="AB765" s="2128">
        <v>72.61</v>
      </c>
      <c r="AC765" s="2128">
        <v>70.08</v>
      </c>
      <c r="AD765" s="2128">
        <v>70.08</v>
      </c>
      <c r="AE765" s="2128">
        <v>90.46</v>
      </c>
      <c r="AF765" s="2128">
        <v>87.96</v>
      </c>
      <c r="AG765" s="2128">
        <v>90.46</v>
      </c>
      <c r="AH765" s="2128">
        <v>90.46</v>
      </c>
      <c r="AI765" s="2128">
        <v>87.96</v>
      </c>
      <c r="AJ765" s="2128">
        <v>87.96</v>
      </c>
      <c r="AK765" s="2128">
        <v>91.3</v>
      </c>
      <c r="AL765" s="2128">
        <v>91.3</v>
      </c>
      <c r="AM765" s="2128">
        <v>30.93</v>
      </c>
      <c r="AN765" s="2128">
        <v>29.75</v>
      </c>
      <c r="AO765" s="2128">
        <v>29.75</v>
      </c>
      <c r="AP765" s="2128">
        <v>29.75</v>
      </c>
      <c r="AQ765" s="2128">
        <v>32.74</v>
      </c>
      <c r="AR765" s="2128">
        <v>32.74</v>
      </c>
      <c r="AS765" s="2128">
        <v>70.67</v>
      </c>
      <c r="AT765" s="2128">
        <v>70.67</v>
      </c>
      <c r="AU765" s="2128">
        <v>70.67</v>
      </c>
      <c r="AV765" s="2128">
        <v>73.63</v>
      </c>
      <c r="AW765" s="2128">
        <v>69.23</v>
      </c>
      <c r="AX765" s="2128">
        <v>69.23</v>
      </c>
      <c r="AY765" s="2128">
        <v>69.510000000000005</v>
      </c>
      <c r="AZ765" s="2128">
        <v>69.510000000000005</v>
      </c>
      <c r="BA765" s="2123">
        <v>29.49</v>
      </c>
      <c r="BB765" s="2123">
        <v>29.49</v>
      </c>
      <c r="BC765" s="2123">
        <v>5.97</v>
      </c>
      <c r="BD765" s="2123">
        <v>5.97</v>
      </c>
      <c r="BE765" s="2123">
        <v>10.96</v>
      </c>
      <c r="BF765" s="2123">
        <v>10.96</v>
      </c>
      <c r="BG765" s="2123">
        <v>6.02</v>
      </c>
      <c r="BH765" s="2123">
        <v>6.02</v>
      </c>
      <c r="BI765" s="2123">
        <v>5.82</v>
      </c>
      <c r="BJ765" s="2123">
        <v>5.82</v>
      </c>
      <c r="BK765" s="2123">
        <v>5.82</v>
      </c>
      <c r="BL765" s="2123">
        <v>5.82</v>
      </c>
      <c r="BM765" s="2123">
        <v>22.65</v>
      </c>
      <c r="BN765" s="2123">
        <v>22.65</v>
      </c>
      <c r="BO765" s="2123">
        <v>63.04</v>
      </c>
      <c r="BP765" s="2123">
        <v>63.04</v>
      </c>
      <c r="BQ765" s="2123">
        <v>63.04</v>
      </c>
      <c r="BR765" s="2123">
        <v>63.04</v>
      </c>
      <c r="BS765" s="2123">
        <v>65.680000000000007</v>
      </c>
      <c r="BT765" s="2123">
        <v>65.680000000000007</v>
      </c>
      <c r="BU765" s="2123">
        <v>65.680000000000007</v>
      </c>
      <c r="BV765" s="2123">
        <v>65.680000000000007</v>
      </c>
      <c r="BW765" s="2123">
        <v>65.680000000000007</v>
      </c>
      <c r="BX765" s="2123">
        <v>65.680000000000007</v>
      </c>
      <c r="BY765" s="2123">
        <v>20.59</v>
      </c>
      <c r="BZ765" s="2123">
        <v>20.59</v>
      </c>
      <c r="CA765" s="2123">
        <v>59.11</v>
      </c>
      <c r="CB765" s="2123">
        <v>59.11</v>
      </c>
      <c r="CC765" s="2123">
        <v>57.95</v>
      </c>
      <c r="CD765" s="2123">
        <v>57.95</v>
      </c>
      <c r="CE765" s="2123">
        <v>63.28</v>
      </c>
      <c r="CF765" s="2123">
        <v>63.28</v>
      </c>
      <c r="CK765" s="2123">
        <v>60.31</v>
      </c>
      <c r="CL765" s="2123">
        <v>60.31</v>
      </c>
      <c r="CM765" s="2123">
        <v>124.42</v>
      </c>
      <c r="CN765" s="2123">
        <v>124.42</v>
      </c>
      <c r="CO765" s="2123">
        <v>130.54</v>
      </c>
      <c r="CP765" s="2123">
        <v>130.54</v>
      </c>
      <c r="CQ765" s="2123">
        <v>130.54</v>
      </c>
      <c r="CR765" s="2123">
        <v>130.54</v>
      </c>
      <c r="CW765" s="2123">
        <v>47.55</v>
      </c>
      <c r="CX765" s="2123">
        <v>47.55</v>
      </c>
      <c r="CY765" s="2123">
        <v>115.52</v>
      </c>
      <c r="CZ765" s="2123">
        <v>115.52</v>
      </c>
      <c r="DA765" s="2123">
        <v>115.52</v>
      </c>
      <c r="DB765" s="2123">
        <v>115.52</v>
      </c>
      <c r="DC765" s="2123">
        <v>121.14</v>
      </c>
      <c r="DD765" s="2123">
        <v>121.14</v>
      </c>
      <c r="DE765" s="2123">
        <v>121.14</v>
      </c>
      <c r="DF765" s="2123">
        <v>121.14</v>
      </c>
      <c r="DI765" s="2123">
        <v>12.66</v>
      </c>
      <c r="DJ765" s="2123">
        <v>12.66</v>
      </c>
      <c r="DK765" s="2123">
        <v>12.66</v>
      </c>
      <c r="DL765" s="2123">
        <v>12.66</v>
      </c>
      <c r="DM765" s="2123">
        <v>12.66</v>
      </c>
      <c r="DN765" s="2123">
        <v>12.66</v>
      </c>
      <c r="DU765" s="2123">
        <v>5.74</v>
      </c>
      <c r="DV765" s="2123">
        <v>5.74</v>
      </c>
      <c r="DW765" s="2123">
        <v>4.32</v>
      </c>
      <c r="DX765" s="2123">
        <v>4.32</v>
      </c>
      <c r="DY765" s="2123">
        <v>4.32</v>
      </c>
      <c r="DZ765" s="2123">
        <v>4.32</v>
      </c>
      <c r="EG765" s="2123">
        <v>6.46</v>
      </c>
      <c r="EH765" s="2123">
        <v>6.98</v>
      </c>
      <c r="EI765" s="2123">
        <v>2.98</v>
      </c>
      <c r="EJ765" s="2123">
        <v>2.98</v>
      </c>
      <c r="EK765" s="2123">
        <v>2.93</v>
      </c>
      <c r="EL765" s="2123">
        <v>2.93</v>
      </c>
      <c r="EM765" s="2123">
        <v>3.65</v>
      </c>
      <c r="EN765" s="2123">
        <v>3.65</v>
      </c>
      <c r="EO765" s="2123">
        <v>3.24</v>
      </c>
      <c r="EP765" s="2123">
        <v>3.24</v>
      </c>
      <c r="EQ765" s="2123">
        <v>3.32</v>
      </c>
      <c r="ER765" s="2123">
        <v>3.53</v>
      </c>
      <c r="ES765" s="2123">
        <v>23.47</v>
      </c>
      <c r="ET765" s="2123">
        <v>23.47</v>
      </c>
      <c r="EU765" s="2123">
        <v>72.010000000000005</v>
      </c>
      <c r="EV765" s="2123">
        <v>72.010000000000005</v>
      </c>
      <c r="EW765" s="2123">
        <v>68.94</v>
      </c>
      <c r="EX765" s="2123">
        <v>68.94</v>
      </c>
      <c r="EY765" s="2129">
        <f t="shared" si="50"/>
        <v>70.474999999999994</v>
      </c>
      <c r="EZ765" s="2129">
        <f t="shared" si="50"/>
        <v>70.474999999999994</v>
      </c>
      <c r="FA765" s="2123">
        <v>74.599999999999994</v>
      </c>
      <c r="FB765" s="2123">
        <v>74.599999999999994</v>
      </c>
      <c r="FE765" s="2123">
        <v>19.38</v>
      </c>
      <c r="FF765" s="2123">
        <v>19.38</v>
      </c>
      <c r="FG765" s="2123">
        <v>56.27</v>
      </c>
      <c r="FH765" s="2123">
        <v>56.27</v>
      </c>
      <c r="FI765" s="2123">
        <v>56.27</v>
      </c>
      <c r="FJ765" s="2123">
        <v>56.27</v>
      </c>
      <c r="FK765" s="2123">
        <v>55.01</v>
      </c>
      <c r="FL765" s="2123">
        <v>55.01</v>
      </c>
      <c r="FM765" s="2123">
        <v>56.8</v>
      </c>
      <c r="FN765" s="2123">
        <v>56.8</v>
      </c>
      <c r="FQ765" s="2123">
        <v>43</v>
      </c>
      <c r="FR765" s="2123">
        <v>43</v>
      </c>
      <c r="FS765" s="2123">
        <v>76.06</v>
      </c>
      <c r="FT765" s="2123">
        <v>76.06</v>
      </c>
      <c r="FU765" s="2123">
        <v>76.06</v>
      </c>
      <c r="FV765" s="2123">
        <v>76.06</v>
      </c>
      <c r="FW765" s="2123">
        <v>77.37</v>
      </c>
      <c r="FX765" s="2123">
        <v>77.37</v>
      </c>
      <c r="GC765" s="2123">
        <v>31.36</v>
      </c>
      <c r="GD765" s="2123">
        <v>31.36</v>
      </c>
      <c r="GE765" s="2123">
        <v>78.260000000000005</v>
      </c>
      <c r="GF765" s="2123">
        <v>78.260000000000005</v>
      </c>
      <c r="GG765" s="2123">
        <v>78.260000000000005</v>
      </c>
      <c r="GH765" s="2123">
        <v>78.260000000000005</v>
      </c>
      <c r="GI765" s="2123">
        <v>33.9</v>
      </c>
      <c r="GJ765" s="2123">
        <v>33.9</v>
      </c>
      <c r="GK765" s="2123">
        <v>64.81</v>
      </c>
      <c r="GL765" s="2123">
        <v>64.81</v>
      </c>
      <c r="GO765" s="2123">
        <v>16.940000000000001</v>
      </c>
      <c r="GP765" s="2123">
        <v>16.940000000000001</v>
      </c>
      <c r="GQ765" s="2123">
        <v>9.83</v>
      </c>
      <c r="GR765" s="2123">
        <v>9.83</v>
      </c>
      <c r="GS765" s="2123">
        <v>9.83</v>
      </c>
      <c r="GT765" s="2123">
        <v>9.31</v>
      </c>
      <c r="GU765" s="2123">
        <v>9.31</v>
      </c>
      <c r="GV765" s="2123">
        <v>9.31</v>
      </c>
      <c r="GW765" s="2123">
        <v>58.09</v>
      </c>
      <c r="GX765" s="2123">
        <v>58.09</v>
      </c>
      <c r="HA765" s="2123">
        <v>11.9</v>
      </c>
      <c r="HB765" s="2123">
        <v>11.9</v>
      </c>
      <c r="HC765" s="2123">
        <v>4.24</v>
      </c>
      <c r="HD765" s="2123">
        <v>4.24</v>
      </c>
      <c r="HE765" s="2123">
        <v>5.24</v>
      </c>
      <c r="HF765" s="2123">
        <v>5.24</v>
      </c>
      <c r="HG765" s="2123">
        <v>5.24</v>
      </c>
      <c r="HH765" s="2123">
        <v>5.24</v>
      </c>
      <c r="HI765" s="2123">
        <v>5.24</v>
      </c>
      <c r="HJ765" s="2123">
        <v>5.24</v>
      </c>
      <c r="HK765" s="2123">
        <v>5.12</v>
      </c>
      <c r="HL765" s="2123">
        <v>5.12</v>
      </c>
      <c r="HM765" s="2123">
        <v>16.61</v>
      </c>
      <c r="HN765" s="2123">
        <v>16.61</v>
      </c>
      <c r="HO765" s="2123">
        <v>6.22</v>
      </c>
      <c r="HP765" s="2123">
        <v>6.22</v>
      </c>
      <c r="HQ765" s="2123">
        <v>7.7</v>
      </c>
      <c r="HR765" s="2123">
        <v>7.7</v>
      </c>
      <c r="HS765" s="2123">
        <v>7.7</v>
      </c>
      <c r="HT765" s="2123">
        <v>7.7</v>
      </c>
      <c r="HU765" s="2123">
        <v>7.7</v>
      </c>
      <c r="HV765" s="2123">
        <v>7.7</v>
      </c>
      <c r="HW765" s="2123">
        <v>7.45</v>
      </c>
      <c r="HX765" s="2050">
        <v>7.45</v>
      </c>
    </row>
    <row r="766" spans="1:232" s="2123" customFormat="1" ht="14" hidden="1" x14ac:dyDescent="0.3">
      <c r="A766" s="2040"/>
      <c r="B766" s="2127">
        <v>17</v>
      </c>
      <c r="C766" s="2128">
        <v>20.03</v>
      </c>
      <c r="D766" s="2128">
        <v>20.03</v>
      </c>
      <c r="E766" s="2128">
        <v>21.72</v>
      </c>
      <c r="F766" s="2128">
        <v>21.72</v>
      </c>
      <c r="G766" s="2128">
        <v>65.97</v>
      </c>
      <c r="H766" s="2128">
        <v>65.97</v>
      </c>
      <c r="I766" s="2128">
        <v>57.85</v>
      </c>
      <c r="J766" s="2128">
        <v>57.85</v>
      </c>
      <c r="K766" s="2128">
        <v>74.91</v>
      </c>
      <c r="L766" s="2128">
        <v>74.91</v>
      </c>
      <c r="M766" s="2128"/>
      <c r="N766" s="2128"/>
      <c r="O766" s="2128">
        <v>62.22</v>
      </c>
      <c r="P766" s="2128">
        <v>62.22</v>
      </c>
      <c r="Q766" s="2128">
        <v>65.11</v>
      </c>
      <c r="R766" s="2128">
        <v>62.22</v>
      </c>
      <c r="S766" s="2128">
        <v>80.030000000000015</v>
      </c>
      <c r="T766" s="2128">
        <v>80.03</v>
      </c>
      <c r="U766" s="2128">
        <v>77.23</v>
      </c>
      <c r="V766" s="2128">
        <v>77.23</v>
      </c>
      <c r="W766" s="2128">
        <v>80.03</v>
      </c>
      <c r="X766" s="2128">
        <v>80.03</v>
      </c>
      <c r="Y766" s="2128">
        <v>77.23</v>
      </c>
      <c r="Z766" s="2128">
        <v>80.03</v>
      </c>
      <c r="AA766" s="2128">
        <v>80.03</v>
      </c>
      <c r="AB766" s="2128">
        <v>80.03</v>
      </c>
      <c r="AC766" s="2128">
        <v>77.23</v>
      </c>
      <c r="AD766" s="2128">
        <v>77.23</v>
      </c>
      <c r="AE766" s="2128">
        <v>98.42</v>
      </c>
      <c r="AF766" s="2128">
        <v>95.69</v>
      </c>
      <c r="AG766" s="2128">
        <v>98.42</v>
      </c>
      <c r="AH766" s="2128">
        <v>98.42</v>
      </c>
      <c r="AI766" s="2128">
        <v>95.69</v>
      </c>
      <c r="AJ766" s="2128">
        <v>95.69</v>
      </c>
      <c r="AK766" s="2128">
        <v>98.9</v>
      </c>
      <c r="AL766" s="2128">
        <v>98.9</v>
      </c>
      <c r="AM766" s="2128">
        <v>33.04</v>
      </c>
      <c r="AN766" s="2128">
        <v>31.79</v>
      </c>
      <c r="AO766" s="2128">
        <v>31.79</v>
      </c>
      <c r="AP766" s="2128">
        <v>31.79</v>
      </c>
      <c r="AQ766" s="2128">
        <v>34.61</v>
      </c>
      <c r="AR766" s="2128">
        <v>34.61</v>
      </c>
      <c r="AS766" s="2128">
        <v>76.83</v>
      </c>
      <c r="AT766" s="2128">
        <v>76.83</v>
      </c>
      <c r="AU766" s="2128">
        <v>76.83</v>
      </c>
      <c r="AV766" s="2128">
        <v>79.92</v>
      </c>
      <c r="AW766" s="2128">
        <v>75.53</v>
      </c>
      <c r="AX766" s="2128">
        <v>75.53</v>
      </c>
      <c r="AY766" s="2128">
        <v>75.81</v>
      </c>
      <c r="AZ766" s="2128">
        <v>75.81</v>
      </c>
      <c r="BA766" s="2123">
        <v>32.17</v>
      </c>
      <c r="BB766" s="2123">
        <v>32.17</v>
      </c>
      <c r="BC766" s="2123">
        <v>6.63</v>
      </c>
      <c r="BD766" s="2123">
        <v>6.63</v>
      </c>
      <c r="BE766" s="2123">
        <v>11.7</v>
      </c>
      <c r="BF766" s="2123">
        <v>11.7</v>
      </c>
      <c r="BG766" s="2123">
        <v>6.69</v>
      </c>
      <c r="BH766" s="2123">
        <v>6.69</v>
      </c>
      <c r="BI766" s="2123">
        <v>6.48</v>
      </c>
      <c r="BJ766" s="2123">
        <v>6.48</v>
      </c>
      <c r="BK766" s="2123">
        <v>6.48</v>
      </c>
      <c r="BL766" s="2123">
        <v>6.48</v>
      </c>
      <c r="BM766" s="2123">
        <v>24.2</v>
      </c>
      <c r="BN766" s="2123">
        <v>24.2</v>
      </c>
      <c r="BO766" s="2123">
        <v>67.819999999999993</v>
      </c>
      <c r="BP766" s="2123">
        <v>67.819999999999993</v>
      </c>
      <c r="BQ766" s="2123">
        <v>67.819999999999993</v>
      </c>
      <c r="BR766" s="2123">
        <v>67.819999999999993</v>
      </c>
      <c r="BS766" s="2123">
        <v>71.900000000000006</v>
      </c>
      <c r="BT766" s="2123">
        <v>71.900000000000006</v>
      </c>
      <c r="BU766" s="2123">
        <v>71.900000000000006</v>
      </c>
      <c r="BV766" s="2123">
        <v>71.900000000000006</v>
      </c>
      <c r="BW766" s="2123">
        <v>71.900000000000006</v>
      </c>
      <c r="BX766" s="2123">
        <v>71.900000000000006</v>
      </c>
      <c r="BY766" s="2123">
        <v>21.99</v>
      </c>
      <c r="BZ766" s="2123">
        <v>21.99</v>
      </c>
      <c r="CA766" s="2123">
        <v>63.7</v>
      </c>
      <c r="CB766" s="2123">
        <v>63.7</v>
      </c>
      <c r="CC766" s="2123">
        <v>62.7</v>
      </c>
      <c r="CD766" s="2123">
        <v>62.7</v>
      </c>
      <c r="CE766" s="2123">
        <v>69.400000000000006</v>
      </c>
      <c r="CF766" s="2123">
        <v>69.400000000000006</v>
      </c>
      <c r="CK766" s="2123">
        <v>63.25</v>
      </c>
      <c r="CL766" s="2123">
        <v>63.25</v>
      </c>
      <c r="CM766" s="2123">
        <v>130.84</v>
      </c>
      <c r="CN766" s="2123">
        <v>130.84</v>
      </c>
      <c r="CO766" s="2123">
        <v>139.38999999999999</v>
      </c>
      <c r="CP766" s="2123">
        <v>139.38999999999999</v>
      </c>
      <c r="CQ766" s="2123">
        <v>139.38999999999999</v>
      </c>
      <c r="CR766" s="2123">
        <v>139.38999999999999</v>
      </c>
      <c r="CW766" s="2123">
        <v>50.81</v>
      </c>
      <c r="CX766" s="2123">
        <v>50.81</v>
      </c>
      <c r="CY766" s="2123">
        <v>121.83</v>
      </c>
      <c r="CZ766" s="2123">
        <v>121.83</v>
      </c>
      <c r="DA766" s="2123">
        <v>121.83</v>
      </c>
      <c r="DB766" s="2123">
        <v>121.83</v>
      </c>
      <c r="DC766" s="2123">
        <v>129.75</v>
      </c>
      <c r="DD766" s="2123">
        <v>129.75</v>
      </c>
      <c r="DE766" s="2123">
        <v>129.75</v>
      </c>
      <c r="DF766" s="2123">
        <v>129.75</v>
      </c>
      <c r="DI766" s="2123">
        <v>13.52</v>
      </c>
      <c r="DJ766" s="2123">
        <v>13.52</v>
      </c>
      <c r="DK766" s="2123">
        <v>13.52</v>
      </c>
      <c r="DL766" s="2123">
        <v>13.52</v>
      </c>
      <c r="DM766" s="2123">
        <v>13.52</v>
      </c>
      <c r="DN766" s="2123">
        <v>13.52</v>
      </c>
      <c r="DU766" s="2123">
        <v>6.12</v>
      </c>
      <c r="DV766" s="2123">
        <v>6.12</v>
      </c>
      <c r="DW766" s="2123">
        <v>4.7</v>
      </c>
      <c r="DX766" s="2123">
        <v>4.7</v>
      </c>
      <c r="DY766" s="2123">
        <v>4.7</v>
      </c>
      <c r="DZ766" s="2123">
        <v>4.7</v>
      </c>
      <c r="EG766" s="2123">
        <v>6.73</v>
      </c>
      <c r="EH766" s="2123">
        <v>7.23</v>
      </c>
      <c r="EI766" s="2123">
        <v>3.19</v>
      </c>
      <c r="EJ766" s="2123">
        <v>3.19</v>
      </c>
      <c r="EK766" s="2123">
        <v>3.14</v>
      </c>
      <c r="EL766" s="2123">
        <v>3.14</v>
      </c>
      <c r="EM766" s="2123">
        <v>3.87</v>
      </c>
      <c r="EN766" s="2123">
        <v>3.87</v>
      </c>
      <c r="EO766" s="2123">
        <v>3.45</v>
      </c>
      <c r="EP766" s="2123">
        <v>3.45</v>
      </c>
      <c r="EQ766" s="2123">
        <v>3.54</v>
      </c>
      <c r="ER766" s="2123">
        <v>3.74</v>
      </c>
      <c r="ES766" s="2123">
        <v>24.9</v>
      </c>
      <c r="ET766" s="2123">
        <v>24.9</v>
      </c>
      <c r="EU766" s="2123">
        <v>78.22</v>
      </c>
      <c r="EV766" s="2123">
        <v>78.22</v>
      </c>
      <c r="EW766" s="2123">
        <v>75.02</v>
      </c>
      <c r="EX766" s="2123">
        <v>75.02</v>
      </c>
      <c r="EY766" s="2129">
        <f t="shared" si="50"/>
        <v>76.62</v>
      </c>
      <c r="EZ766" s="2129">
        <f t="shared" si="50"/>
        <v>76.62</v>
      </c>
      <c r="FA766" s="2123">
        <v>80.77</v>
      </c>
      <c r="FB766" s="2123">
        <v>80.77</v>
      </c>
      <c r="FE766" s="2123">
        <v>20.5</v>
      </c>
      <c r="FF766" s="2123">
        <v>20.5</v>
      </c>
      <c r="FG766" s="2123">
        <v>61.02</v>
      </c>
      <c r="FH766" s="2123">
        <v>61.02</v>
      </c>
      <c r="FI766" s="2123">
        <v>61.02</v>
      </c>
      <c r="FJ766" s="2123">
        <v>61.02</v>
      </c>
      <c r="FK766" s="2123">
        <v>59.75</v>
      </c>
      <c r="FL766" s="2123">
        <v>59.75</v>
      </c>
      <c r="FM766" s="2123">
        <v>61.57</v>
      </c>
      <c r="FN766" s="2123">
        <v>61.57</v>
      </c>
      <c r="FQ766" s="2123">
        <v>46.36</v>
      </c>
      <c r="FR766" s="2123">
        <v>46.36</v>
      </c>
      <c r="FS766" s="2123">
        <v>82.7</v>
      </c>
      <c r="FT766" s="2123">
        <v>82.7</v>
      </c>
      <c r="FU766" s="2123">
        <v>82.7</v>
      </c>
      <c r="FV766" s="2123">
        <v>82.7</v>
      </c>
      <c r="FW766" s="2123">
        <v>84.01</v>
      </c>
      <c r="FX766" s="2123">
        <v>84.01</v>
      </c>
      <c r="GC766" s="2123">
        <v>33.659999999999997</v>
      </c>
      <c r="GD766" s="2123">
        <v>33.659999999999997</v>
      </c>
      <c r="GE766" s="2123">
        <v>83.11</v>
      </c>
      <c r="GF766" s="2123">
        <v>83.11</v>
      </c>
      <c r="GG766" s="2123">
        <v>83.11</v>
      </c>
      <c r="GH766" s="2123">
        <v>83.11</v>
      </c>
      <c r="GI766" s="2123">
        <v>39.17</v>
      </c>
      <c r="GJ766" s="2123">
        <v>39.17</v>
      </c>
      <c r="GK766" s="2123">
        <v>71.16</v>
      </c>
      <c r="GL766" s="2123">
        <v>71.16</v>
      </c>
      <c r="GO766" s="2123">
        <v>18.190000000000001</v>
      </c>
      <c r="GP766" s="2123">
        <v>18.190000000000001</v>
      </c>
      <c r="GQ766" s="2123">
        <v>10.82</v>
      </c>
      <c r="GR766" s="2123">
        <v>10.82</v>
      </c>
      <c r="GS766" s="2123">
        <v>10.82</v>
      </c>
      <c r="GT766" s="2123">
        <v>10.26</v>
      </c>
      <c r="GU766" s="2123">
        <v>10.26</v>
      </c>
      <c r="GV766" s="2123">
        <v>10.26</v>
      </c>
      <c r="GW766" s="2123">
        <v>63.76</v>
      </c>
      <c r="GX766" s="2123">
        <v>63.76</v>
      </c>
      <c r="HA766" s="2123">
        <v>12.7</v>
      </c>
      <c r="HB766" s="2123">
        <v>12.7</v>
      </c>
      <c r="HC766" s="2123">
        <v>4.82</v>
      </c>
      <c r="HD766" s="2123">
        <v>4.82</v>
      </c>
      <c r="HE766" s="2123">
        <v>5.85</v>
      </c>
      <c r="HF766" s="2123">
        <v>5.85</v>
      </c>
      <c r="HG766" s="2123">
        <v>5.85</v>
      </c>
      <c r="HH766" s="2123">
        <v>5.85</v>
      </c>
      <c r="HI766" s="2123">
        <v>5.85</v>
      </c>
      <c r="HJ766" s="2123">
        <v>5.85</v>
      </c>
      <c r="HK766" s="2123">
        <v>5.74</v>
      </c>
      <c r="HL766" s="2123">
        <v>5.74</v>
      </c>
      <c r="HM766" s="2123">
        <v>17.73</v>
      </c>
      <c r="HN766" s="2123">
        <v>17.73</v>
      </c>
      <c r="HO766" s="2123">
        <v>7.06</v>
      </c>
      <c r="HP766" s="2123">
        <v>7.06</v>
      </c>
      <c r="HQ766" s="2123">
        <v>8.57</v>
      </c>
      <c r="HR766" s="2123">
        <v>8.57</v>
      </c>
      <c r="HS766" s="2123">
        <v>8.57</v>
      </c>
      <c r="HT766" s="2123">
        <v>8.57</v>
      </c>
      <c r="HU766" s="2123">
        <v>8.57</v>
      </c>
      <c r="HV766" s="2123">
        <v>8.57</v>
      </c>
      <c r="HW766" s="2123">
        <v>8.33</v>
      </c>
      <c r="HX766" s="2050">
        <v>8.33</v>
      </c>
    </row>
    <row r="767" spans="1:232" s="2123" customFormat="1" ht="14" hidden="1" x14ac:dyDescent="0.3">
      <c r="A767" s="2040"/>
      <c r="B767" s="2127">
        <v>18</v>
      </c>
      <c r="C767" s="2128">
        <v>21.23</v>
      </c>
      <c r="D767" s="2128">
        <v>21.23</v>
      </c>
      <c r="E767" s="2128">
        <v>22.83</v>
      </c>
      <c r="F767" s="2128">
        <v>22.83</v>
      </c>
      <c r="G767" s="2128">
        <v>70.63</v>
      </c>
      <c r="H767" s="2128">
        <v>70.63</v>
      </c>
      <c r="I767" s="2128">
        <v>62.23</v>
      </c>
      <c r="J767" s="2128">
        <v>62.23</v>
      </c>
      <c r="K767" s="2128">
        <v>79.28</v>
      </c>
      <c r="L767" s="2128">
        <v>79.28</v>
      </c>
      <c r="M767" s="2128"/>
      <c r="N767" s="2128"/>
      <c r="O767" s="2128">
        <v>66.010000000000005</v>
      </c>
      <c r="P767" s="2128">
        <v>66.010000000000005</v>
      </c>
      <c r="Q767" s="2128">
        <v>68.709999999999994</v>
      </c>
      <c r="R767" s="2128">
        <v>66.02</v>
      </c>
      <c r="S767" s="2128">
        <v>87.210000000000008</v>
      </c>
      <c r="T767" s="2128">
        <v>87.21</v>
      </c>
      <c r="U767" s="2128">
        <v>84.16</v>
      </c>
      <c r="V767" s="2128">
        <v>84.16</v>
      </c>
      <c r="W767" s="2128">
        <v>87.21</v>
      </c>
      <c r="X767" s="2128">
        <v>87.21</v>
      </c>
      <c r="Y767" s="2128">
        <v>84.16</v>
      </c>
      <c r="Z767" s="2128">
        <v>87.21</v>
      </c>
      <c r="AA767" s="2128">
        <v>87.21</v>
      </c>
      <c r="AB767" s="2128">
        <v>87.21</v>
      </c>
      <c r="AC767" s="2128">
        <v>84.16</v>
      </c>
      <c r="AD767" s="2128">
        <v>84.16</v>
      </c>
      <c r="AE767" s="2128">
        <v>106.05</v>
      </c>
      <c r="AF767" s="2128">
        <v>103.11</v>
      </c>
      <c r="AG767" s="2128">
        <v>106.05</v>
      </c>
      <c r="AH767" s="2128">
        <v>106.05</v>
      </c>
      <c r="AI767" s="2128">
        <v>103.11</v>
      </c>
      <c r="AJ767" s="2128">
        <v>103.11</v>
      </c>
      <c r="AK767" s="2128">
        <v>106.18</v>
      </c>
      <c r="AL767" s="2128">
        <v>106.18</v>
      </c>
      <c r="AM767" s="2128">
        <v>35.049999999999997</v>
      </c>
      <c r="AN767" s="2128">
        <v>33.72</v>
      </c>
      <c r="AO767" s="2128">
        <v>33.72</v>
      </c>
      <c r="AP767" s="2128">
        <v>33.72</v>
      </c>
      <c r="AQ767" s="2128">
        <v>36.39</v>
      </c>
      <c r="AR767" s="2128">
        <v>36.39</v>
      </c>
      <c r="AS767" s="2128">
        <v>82.76</v>
      </c>
      <c r="AT767" s="2128">
        <v>82.76</v>
      </c>
      <c r="AU767" s="2128">
        <v>82.76</v>
      </c>
      <c r="AV767" s="2128">
        <v>85.97</v>
      </c>
      <c r="AW767" s="2128">
        <v>81.59</v>
      </c>
      <c r="AX767" s="2128">
        <v>81.59</v>
      </c>
      <c r="AY767" s="2128">
        <v>81.86</v>
      </c>
      <c r="AZ767" s="2128">
        <v>81.86</v>
      </c>
      <c r="BA767" s="2123">
        <v>34.76</v>
      </c>
      <c r="BB767" s="2123">
        <v>34.76</v>
      </c>
      <c r="BC767" s="2123">
        <v>7.28</v>
      </c>
      <c r="BD767" s="2123">
        <v>7.28</v>
      </c>
      <c r="BE767" s="2123">
        <v>12.41</v>
      </c>
      <c r="BF767" s="2123">
        <v>12.41</v>
      </c>
      <c r="BG767" s="2123">
        <v>7.33</v>
      </c>
      <c r="BH767" s="2123">
        <v>7.33</v>
      </c>
      <c r="BI767" s="2123">
        <v>7.13</v>
      </c>
      <c r="BJ767" s="2123">
        <v>7.13</v>
      </c>
      <c r="BK767" s="2123">
        <v>7.13</v>
      </c>
      <c r="BL767" s="2123">
        <v>7.13</v>
      </c>
      <c r="BM767" s="2123">
        <v>25.66</v>
      </c>
      <c r="BN767" s="2123">
        <v>25.66</v>
      </c>
      <c r="BO767" s="2123">
        <v>72.39</v>
      </c>
      <c r="BP767" s="2123">
        <v>72.39</v>
      </c>
      <c r="BQ767" s="2123">
        <v>72.39</v>
      </c>
      <c r="BR767" s="2123">
        <v>72.39</v>
      </c>
      <c r="BS767" s="2123">
        <v>77.91</v>
      </c>
      <c r="BT767" s="2123">
        <v>77.91</v>
      </c>
      <c r="BU767" s="2123">
        <v>77.91</v>
      </c>
      <c r="BV767" s="2123">
        <v>77.91</v>
      </c>
      <c r="BW767" s="2123">
        <v>77.91</v>
      </c>
      <c r="BX767" s="2123">
        <v>77.91</v>
      </c>
      <c r="BY767" s="2123">
        <v>23.32</v>
      </c>
      <c r="BZ767" s="2123">
        <v>23.32</v>
      </c>
      <c r="CA767" s="2123">
        <v>68.09</v>
      </c>
      <c r="CB767" s="2123">
        <v>68.09</v>
      </c>
      <c r="CC767" s="2123">
        <v>67.260000000000005</v>
      </c>
      <c r="CD767" s="2123">
        <v>67.260000000000005</v>
      </c>
      <c r="CE767" s="2123">
        <v>75.33</v>
      </c>
      <c r="CF767" s="2123">
        <v>75.33</v>
      </c>
      <c r="CK767" s="2123">
        <v>66.05</v>
      </c>
      <c r="CL767" s="2123">
        <v>66.05</v>
      </c>
      <c r="CM767" s="2123">
        <v>136.87</v>
      </c>
      <c r="CN767" s="2123">
        <v>136.87</v>
      </c>
      <c r="CO767" s="2123">
        <v>147.81</v>
      </c>
      <c r="CP767" s="2123">
        <v>147.81</v>
      </c>
      <c r="CQ767" s="2123">
        <v>147.81</v>
      </c>
      <c r="CR767" s="2123">
        <v>147.81</v>
      </c>
      <c r="CW767" s="2123">
        <v>53.9</v>
      </c>
      <c r="CX767" s="2123">
        <v>53.9</v>
      </c>
      <c r="CY767" s="2123">
        <v>127.76</v>
      </c>
      <c r="CZ767" s="2123">
        <v>127.76</v>
      </c>
      <c r="DA767" s="2123">
        <v>127.76</v>
      </c>
      <c r="DB767" s="2123">
        <v>127.76</v>
      </c>
      <c r="DC767" s="2123">
        <v>137.94999999999999</v>
      </c>
      <c r="DD767" s="2123">
        <v>137.94999999999999</v>
      </c>
      <c r="DE767" s="2123">
        <v>137.94999999999999</v>
      </c>
      <c r="DF767" s="2123">
        <v>137.94999999999999</v>
      </c>
      <c r="DI767" s="2123">
        <v>14.33</v>
      </c>
      <c r="DJ767" s="2123">
        <v>14.33</v>
      </c>
      <c r="DK767" s="2123">
        <v>14.33</v>
      </c>
      <c r="DL767" s="2123">
        <v>14.33</v>
      </c>
      <c r="DM767" s="2123">
        <v>14.33</v>
      </c>
      <c r="DN767" s="2123">
        <v>14.33</v>
      </c>
      <c r="DU767" s="2123">
        <v>6.48</v>
      </c>
      <c r="DV767" s="2123">
        <v>6.48</v>
      </c>
      <c r="DW767" s="2123">
        <v>5.0599999999999996</v>
      </c>
      <c r="DX767" s="2123">
        <v>5.0599999999999996</v>
      </c>
      <c r="DY767" s="2123">
        <v>5.0599999999999996</v>
      </c>
      <c r="DZ767" s="2123">
        <v>5.0599999999999996</v>
      </c>
      <c r="EG767" s="2123">
        <v>7.08</v>
      </c>
      <c r="EH767" s="2123">
        <v>7.56</v>
      </c>
      <c r="EI767" s="2123">
        <v>3.49</v>
      </c>
      <c r="EJ767" s="2123">
        <v>3.49</v>
      </c>
      <c r="EK767" s="2123">
        <v>3.43</v>
      </c>
      <c r="EL767" s="2123">
        <v>3.43</v>
      </c>
      <c r="EM767" s="2123">
        <v>4.18</v>
      </c>
      <c r="EN767" s="2123">
        <v>4.18</v>
      </c>
      <c r="EO767" s="2123">
        <v>3.74</v>
      </c>
      <c r="EP767" s="2123">
        <v>3.74</v>
      </c>
      <c r="EQ767" s="2123">
        <v>3.84</v>
      </c>
      <c r="ER767" s="2123">
        <v>4.04</v>
      </c>
      <c r="ES767" s="2123">
        <v>26.15</v>
      </c>
      <c r="ET767" s="2123">
        <v>26.15</v>
      </c>
      <c r="EU767" s="2123">
        <v>83.82</v>
      </c>
      <c r="EV767" s="2123">
        <v>83.82</v>
      </c>
      <c r="EW767" s="2123">
        <v>80.510000000000005</v>
      </c>
      <c r="EX767" s="2123">
        <v>80.510000000000005</v>
      </c>
      <c r="EY767" s="2129">
        <f t="shared" si="50"/>
        <v>82.164999999999992</v>
      </c>
      <c r="EZ767" s="2129">
        <f t="shared" si="50"/>
        <v>82.164999999999992</v>
      </c>
      <c r="FA767" s="2123">
        <v>86.32</v>
      </c>
      <c r="FB767" s="2123">
        <v>86.32</v>
      </c>
      <c r="FE767" s="2123">
        <v>21.79</v>
      </c>
      <c r="FF767" s="2123">
        <v>21.79</v>
      </c>
      <c r="FG767" s="2123">
        <v>66.62</v>
      </c>
      <c r="FH767" s="2123">
        <v>66.62</v>
      </c>
      <c r="FI767" s="2123">
        <v>66.62</v>
      </c>
      <c r="FJ767" s="2123">
        <v>66.62</v>
      </c>
      <c r="FK767" s="2123">
        <v>65.34</v>
      </c>
      <c r="FL767" s="2123">
        <v>65.34</v>
      </c>
      <c r="FM767" s="2123">
        <v>67.180000000000007</v>
      </c>
      <c r="FN767" s="2123">
        <v>67.180000000000007</v>
      </c>
      <c r="FQ767" s="2123">
        <v>49.4</v>
      </c>
      <c r="FR767" s="2123">
        <v>49.4</v>
      </c>
      <c r="FS767" s="2123">
        <v>88.77</v>
      </c>
      <c r="FT767" s="2123">
        <v>88.77</v>
      </c>
      <c r="FU767" s="2123">
        <v>88.77</v>
      </c>
      <c r="FV767" s="2123">
        <v>88.77</v>
      </c>
      <c r="FW767" s="2123">
        <v>90.08</v>
      </c>
      <c r="FX767" s="2123">
        <v>90.08</v>
      </c>
      <c r="GC767" s="2123">
        <v>35.79</v>
      </c>
      <c r="GD767" s="2123">
        <v>35.79</v>
      </c>
      <c r="GE767" s="2123">
        <v>87.61</v>
      </c>
      <c r="GF767" s="2123">
        <v>87.61</v>
      </c>
      <c r="GG767" s="2123">
        <v>87.61</v>
      </c>
      <c r="GH767" s="2123">
        <v>87.61</v>
      </c>
      <c r="GI767" s="2123">
        <v>44.31</v>
      </c>
      <c r="GJ767" s="2123">
        <v>44.31</v>
      </c>
      <c r="GK767" s="2123">
        <v>77.19</v>
      </c>
      <c r="GL767" s="2123">
        <v>77.19</v>
      </c>
      <c r="GO767" s="2123">
        <v>19.34</v>
      </c>
      <c r="GP767" s="2123">
        <v>19.34</v>
      </c>
      <c r="GQ767" s="2123">
        <v>11.78</v>
      </c>
      <c r="GR767" s="2123">
        <v>11.78</v>
      </c>
      <c r="GS767" s="2123">
        <v>11.78</v>
      </c>
      <c r="GT767" s="2123">
        <v>11.19</v>
      </c>
      <c r="GU767" s="2123">
        <v>11.19</v>
      </c>
      <c r="GV767" s="2123">
        <v>11.19</v>
      </c>
      <c r="GW767" s="2123">
        <v>69.260000000000005</v>
      </c>
      <c r="GX767" s="2123">
        <v>69.260000000000005</v>
      </c>
      <c r="HA767" s="2123">
        <v>13.45</v>
      </c>
      <c r="HB767" s="2123">
        <v>13.45</v>
      </c>
      <c r="HC767" s="2123">
        <v>5.4</v>
      </c>
      <c r="HD767" s="2123">
        <v>5.4</v>
      </c>
      <c r="HE767" s="2123">
        <v>6.45</v>
      </c>
      <c r="HF767" s="2123">
        <v>6.45</v>
      </c>
      <c r="HG767" s="2123">
        <v>6.45</v>
      </c>
      <c r="HH767" s="2123">
        <v>6.45</v>
      </c>
      <c r="HI767" s="2123">
        <v>6.45</v>
      </c>
      <c r="HJ767" s="2123">
        <v>6.45</v>
      </c>
      <c r="HK767" s="2123">
        <v>6.34</v>
      </c>
      <c r="HL767" s="2123">
        <v>6.34</v>
      </c>
      <c r="HM767" s="2123">
        <v>18.8</v>
      </c>
      <c r="HN767" s="2123">
        <v>18.8</v>
      </c>
      <c r="HO767" s="2123">
        <v>7.88</v>
      </c>
      <c r="HP767" s="2123">
        <v>7.88</v>
      </c>
      <c r="HQ767" s="2123">
        <v>9.42</v>
      </c>
      <c r="HR767" s="2123">
        <v>9.42</v>
      </c>
      <c r="HS767" s="2123">
        <v>9.42</v>
      </c>
      <c r="HT767" s="2123">
        <v>9.42</v>
      </c>
      <c r="HU767" s="2123">
        <v>9.42</v>
      </c>
      <c r="HV767" s="2123">
        <v>9.42</v>
      </c>
      <c r="HW767" s="2123">
        <v>9.19</v>
      </c>
      <c r="HX767" s="2050">
        <v>9.19</v>
      </c>
    </row>
    <row r="768" spans="1:232" s="2123" customFormat="1" ht="14" hidden="1" x14ac:dyDescent="0.3">
      <c r="A768" s="2040"/>
      <c r="B768" s="2127">
        <v>19</v>
      </c>
      <c r="C768" s="2128">
        <v>22.37</v>
      </c>
      <c r="D768" s="2128">
        <v>22.37</v>
      </c>
      <c r="E768" s="2128">
        <v>23.88</v>
      </c>
      <c r="F768" s="2128">
        <v>23.88</v>
      </c>
      <c r="G768" s="2128">
        <v>75.11</v>
      </c>
      <c r="H768" s="2128">
        <v>75.11</v>
      </c>
      <c r="I768" s="2128">
        <v>66.44</v>
      </c>
      <c r="J768" s="2128">
        <v>66.44</v>
      </c>
      <c r="K768" s="2128">
        <v>83.14</v>
      </c>
      <c r="L768" s="2128">
        <v>83.14</v>
      </c>
      <c r="M768" s="2128"/>
      <c r="N768" s="2128"/>
      <c r="O768" s="2128">
        <v>69.61</v>
      </c>
      <c r="P768" s="2128">
        <v>69.61</v>
      </c>
      <c r="Q768" s="2128">
        <v>72.11</v>
      </c>
      <c r="R768" s="2128">
        <v>69.61</v>
      </c>
      <c r="S768" s="2128">
        <v>94.16</v>
      </c>
      <c r="T768" s="2128">
        <v>94.16</v>
      </c>
      <c r="U768" s="2128">
        <v>90.87</v>
      </c>
      <c r="V768" s="2128">
        <v>90.87</v>
      </c>
      <c r="W768" s="2128">
        <v>94.16</v>
      </c>
      <c r="X768" s="2128">
        <v>94.16</v>
      </c>
      <c r="Y768" s="2128">
        <v>90.87</v>
      </c>
      <c r="Z768" s="2128">
        <v>94.16</v>
      </c>
      <c r="AA768" s="2128">
        <v>94.16</v>
      </c>
      <c r="AB768" s="2128">
        <v>94.16</v>
      </c>
      <c r="AC768" s="2128">
        <v>90.87</v>
      </c>
      <c r="AD768" s="2128">
        <v>90.87</v>
      </c>
      <c r="AE768" s="2128">
        <v>113.37</v>
      </c>
      <c r="AF768" s="2128">
        <v>110.21</v>
      </c>
      <c r="AG768" s="2128">
        <v>113.37</v>
      </c>
      <c r="AH768" s="2128">
        <v>113.37</v>
      </c>
      <c r="AI768" s="2128">
        <v>110.21</v>
      </c>
      <c r="AJ768" s="2128">
        <v>110.21</v>
      </c>
      <c r="AK768" s="2128">
        <v>113.15</v>
      </c>
      <c r="AL768" s="2128">
        <v>113.15</v>
      </c>
      <c r="AM768" s="2128">
        <v>36.94</v>
      </c>
      <c r="AN768" s="2128">
        <v>35.54</v>
      </c>
      <c r="AO768" s="2128">
        <v>35.54</v>
      </c>
      <c r="AP768" s="2128">
        <v>35.54</v>
      </c>
      <c r="AQ768" s="2128">
        <v>38.08</v>
      </c>
      <c r="AR768" s="2128">
        <v>38.08</v>
      </c>
      <c r="AS768" s="2128">
        <v>88.45</v>
      </c>
      <c r="AT768" s="2128">
        <v>88.45</v>
      </c>
      <c r="AU768" s="2128">
        <v>88.45</v>
      </c>
      <c r="AV768" s="2128">
        <v>91.76</v>
      </c>
      <c r="AW768" s="2128">
        <v>87.4</v>
      </c>
      <c r="AX768" s="2128">
        <v>87.4</v>
      </c>
      <c r="AY768" s="2128">
        <v>87.67</v>
      </c>
      <c r="AZ768" s="2128">
        <v>87.67</v>
      </c>
      <c r="BA768" s="2123">
        <v>37.25</v>
      </c>
      <c r="BB768" s="2123">
        <v>37.25</v>
      </c>
      <c r="BC768" s="2123">
        <v>7.91</v>
      </c>
      <c r="BD768" s="2123">
        <v>7.91</v>
      </c>
      <c r="BE768" s="2123">
        <v>13.08</v>
      </c>
      <c r="BF768" s="2123">
        <v>13.08</v>
      </c>
      <c r="BG768" s="2123">
        <v>7.96</v>
      </c>
      <c r="BH768" s="2123">
        <v>7.96</v>
      </c>
      <c r="BI768" s="2123">
        <v>7.76</v>
      </c>
      <c r="BJ768" s="2123">
        <v>7.76</v>
      </c>
      <c r="BK768" s="2123">
        <v>7.76</v>
      </c>
      <c r="BL768" s="2123">
        <v>7.76</v>
      </c>
      <c r="BM768" s="2123">
        <v>27.04</v>
      </c>
      <c r="BN768" s="2123">
        <v>27.04</v>
      </c>
      <c r="BO768" s="2123">
        <v>76.760000000000005</v>
      </c>
      <c r="BP768" s="2123">
        <v>76.760000000000005</v>
      </c>
      <c r="BQ768" s="2123">
        <v>76.760000000000005</v>
      </c>
      <c r="BR768" s="2123">
        <v>76.760000000000005</v>
      </c>
      <c r="BS768" s="2123">
        <v>83.71</v>
      </c>
      <c r="BT768" s="2123">
        <v>83.71</v>
      </c>
      <c r="BU768" s="2123">
        <v>83.71</v>
      </c>
      <c r="BV768" s="2123">
        <v>83.71</v>
      </c>
      <c r="BW768" s="2123">
        <v>83.71</v>
      </c>
      <c r="BX768" s="2123">
        <v>83.71</v>
      </c>
      <c r="BY768" s="2123">
        <v>24.57</v>
      </c>
      <c r="BZ768" s="2123">
        <v>24.57</v>
      </c>
      <c r="CA768" s="2123">
        <v>72.290000000000006</v>
      </c>
      <c r="CB768" s="2123">
        <v>72.290000000000006</v>
      </c>
      <c r="CC768" s="2123">
        <v>71.61</v>
      </c>
      <c r="CD768" s="2123">
        <v>71.61</v>
      </c>
      <c r="CE768" s="2123">
        <v>81.06</v>
      </c>
      <c r="CF768" s="2123">
        <v>81.06</v>
      </c>
      <c r="CK768" s="2123">
        <v>68.7</v>
      </c>
      <c r="CL768" s="2123">
        <v>68.7</v>
      </c>
      <c r="CM768" s="2123">
        <v>142.53</v>
      </c>
      <c r="CN768" s="2123">
        <v>142.53</v>
      </c>
      <c r="CO768" s="2123">
        <v>155.80000000000001</v>
      </c>
      <c r="CP768" s="2123">
        <v>155.80000000000001</v>
      </c>
      <c r="CQ768" s="2123">
        <v>155.80000000000001</v>
      </c>
      <c r="CR768" s="2123">
        <v>155.80000000000001</v>
      </c>
      <c r="CW768" s="2123">
        <v>56.83</v>
      </c>
      <c r="CX768" s="2123">
        <v>56.83</v>
      </c>
      <c r="CY768" s="2123">
        <v>133.35</v>
      </c>
      <c r="CZ768" s="2123">
        <v>133.35</v>
      </c>
      <c r="DA768" s="2123">
        <v>133.35</v>
      </c>
      <c r="DB768" s="2123">
        <v>133.35</v>
      </c>
      <c r="DC768" s="2123">
        <v>145.76</v>
      </c>
      <c r="DD768" s="2123">
        <v>145.76</v>
      </c>
      <c r="DE768" s="2123">
        <v>145.76</v>
      </c>
      <c r="DF768" s="2123">
        <v>145.76</v>
      </c>
      <c r="DI768" s="2123">
        <v>15.1</v>
      </c>
      <c r="DJ768" s="2123">
        <v>15.1</v>
      </c>
      <c r="DK768" s="2123">
        <v>15.1</v>
      </c>
      <c r="DL768" s="2123">
        <v>15.1</v>
      </c>
      <c r="DM768" s="2123">
        <v>15.1</v>
      </c>
      <c r="DN768" s="2123">
        <v>15.1</v>
      </c>
      <c r="DU768" s="2123">
        <v>6.82</v>
      </c>
      <c r="DV768" s="2123">
        <v>6.82</v>
      </c>
      <c r="DW768" s="2123">
        <v>5.41</v>
      </c>
      <c r="DX768" s="2123">
        <v>5.41</v>
      </c>
      <c r="DY768" s="2123">
        <v>5.41</v>
      </c>
      <c r="DZ768" s="2123">
        <v>5.41</v>
      </c>
      <c r="EG768" s="2123">
        <v>7.49</v>
      </c>
      <c r="EH768" s="2123">
        <v>7.95</v>
      </c>
      <c r="EI768" s="2123">
        <v>3.84</v>
      </c>
      <c r="EJ768" s="2123">
        <v>3.84</v>
      </c>
      <c r="EK768" s="2123">
        <v>3.78</v>
      </c>
      <c r="EL768" s="2123">
        <v>3.78</v>
      </c>
      <c r="EM768" s="2123">
        <v>4.55</v>
      </c>
      <c r="EN768" s="2123">
        <v>4.55</v>
      </c>
      <c r="EO768" s="2123">
        <v>4.09</v>
      </c>
      <c r="EP768" s="2123">
        <v>4.09</v>
      </c>
      <c r="EQ768" s="2123">
        <v>4.2</v>
      </c>
      <c r="ER768" s="2123">
        <v>4.4000000000000004</v>
      </c>
      <c r="ES768" s="2123">
        <v>27.43</v>
      </c>
      <c r="ET768" s="2123">
        <v>27.43</v>
      </c>
      <c r="EU768" s="2123">
        <v>89.65</v>
      </c>
      <c r="EV768" s="2123">
        <v>89.65</v>
      </c>
      <c r="EW768" s="2123">
        <v>86.23</v>
      </c>
      <c r="EX768" s="2123">
        <v>86.23</v>
      </c>
      <c r="EY768" s="2129">
        <f t="shared" si="50"/>
        <v>87.94</v>
      </c>
      <c r="EZ768" s="2129">
        <f t="shared" si="50"/>
        <v>87.94</v>
      </c>
      <c r="FA768" s="2123">
        <v>92.09</v>
      </c>
      <c r="FB768" s="2123">
        <v>92.09</v>
      </c>
      <c r="FE768" s="2123">
        <v>22.94</v>
      </c>
      <c r="FF768" s="2123">
        <v>22.94</v>
      </c>
      <c r="FG768" s="2123">
        <v>71.7</v>
      </c>
      <c r="FH768" s="2123">
        <v>71.7</v>
      </c>
      <c r="FI768" s="2123">
        <v>71.7</v>
      </c>
      <c r="FJ768" s="2123">
        <v>71.7</v>
      </c>
      <c r="FK768" s="2123">
        <v>70.42</v>
      </c>
      <c r="FL768" s="2123">
        <v>70.42</v>
      </c>
      <c r="FM768" s="2123">
        <v>72.27</v>
      </c>
      <c r="FN768" s="2123">
        <v>72.27</v>
      </c>
      <c r="FQ768" s="2123">
        <v>51.52</v>
      </c>
      <c r="FR768" s="2123">
        <v>51.52</v>
      </c>
      <c r="FS768" s="2123">
        <v>93.04</v>
      </c>
      <c r="FT768" s="2123">
        <v>93.04</v>
      </c>
      <c r="FU768" s="2123">
        <v>93.04</v>
      </c>
      <c r="FV768" s="2123">
        <v>93.04</v>
      </c>
      <c r="FW768" s="2123">
        <v>94.35</v>
      </c>
      <c r="FX768" s="2123">
        <v>94.35</v>
      </c>
      <c r="GC768" s="2123">
        <v>37.6</v>
      </c>
      <c r="GD768" s="2123">
        <v>37.6</v>
      </c>
      <c r="GE768" s="2123">
        <v>91.42</v>
      </c>
      <c r="GF768" s="2123">
        <v>91.42</v>
      </c>
      <c r="GG768" s="2123">
        <v>91.42</v>
      </c>
      <c r="GH768" s="2123">
        <v>91.42</v>
      </c>
      <c r="GI768" s="2123">
        <v>48.85</v>
      </c>
      <c r="GJ768" s="2123">
        <v>48.85</v>
      </c>
      <c r="GK768" s="2123">
        <v>82.39</v>
      </c>
      <c r="GL768" s="2123">
        <v>82.39</v>
      </c>
      <c r="GO768" s="2123">
        <v>20.36</v>
      </c>
      <c r="GP768" s="2123">
        <v>20.36</v>
      </c>
      <c r="GQ768" s="2123">
        <v>12.71</v>
      </c>
      <c r="GR768" s="2123">
        <v>12.71</v>
      </c>
      <c r="GS768" s="2123">
        <v>12.71</v>
      </c>
      <c r="GT768" s="2123">
        <v>12.09</v>
      </c>
      <c r="GU768" s="2123">
        <v>12.09</v>
      </c>
      <c r="GV768" s="2123">
        <v>12.09</v>
      </c>
      <c r="GW768" s="2123">
        <v>74.569999999999993</v>
      </c>
      <c r="GX768" s="2123">
        <v>74.569999999999993</v>
      </c>
      <c r="HA768" s="2123">
        <v>14.17</v>
      </c>
      <c r="HB768" s="2123">
        <v>14.17</v>
      </c>
      <c r="HC768" s="2123">
        <v>5.97</v>
      </c>
      <c r="HD768" s="2123">
        <v>5.97</v>
      </c>
      <c r="HE768" s="2123">
        <v>7.03</v>
      </c>
      <c r="HF768" s="2123">
        <v>7.03</v>
      </c>
      <c r="HG768" s="2123">
        <v>7.03</v>
      </c>
      <c r="HH768" s="2123">
        <v>7.03</v>
      </c>
      <c r="HI768" s="2123">
        <v>7.03</v>
      </c>
      <c r="HJ768" s="2123">
        <v>7.03</v>
      </c>
      <c r="HK768" s="2123">
        <v>6.94</v>
      </c>
      <c r="HL768" s="2123">
        <v>6.94</v>
      </c>
      <c r="HM768" s="2123">
        <v>19.809999999999999</v>
      </c>
      <c r="HN768" s="2123">
        <v>19.809999999999999</v>
      </c>
      <c r="HO768" s="2123">
        <v>8.6999999999999993</v>
      </c>
      <c r="HP768" s="2123">
        <v>8.6999999999999993</v>
      </c>
      <c r="HQ768" s="2123">
        <v>10.26</v>
      </c>
      <c r="HR768" s="2123">
        <v>10.26</v>
      </c>
      <c r="HS768" s="2123">
        <v>10.26</v>
      </c>
      <c r="HT768" s="2123">
        <v>10.26</v>
      </c>
      <c r="HU768" s="2123">
        <v>10.26</v>
      </c>
      <c r="HV768" s="2123">
        <v>10.26</v>
      </c>
      <c r="HW768" s="2123">
        <v>10.039999999999999</v>
      </c>
      <c r="HX768" s="2050">
        <v>10.039999999999999</v>
      </c>
    </row>
    <row r="769" spans="1:232" s="2123" customFormat="1" ht="14" hidden="1" x14ac:dyDescent="0.3">
      <c r="A769" s="2040"/>
      <c r="B769" s="2127">
        <v>20</v>
      </c>
      <c r="C769" s="2128">
        <v>23.46</v>
      </c>
      <c r="D769" s="2128">
        <v>23.46</v>
      </c>
      <c r="E769" s="2128">
        <v>24.88</v>
      </c>
      <c r="F769" s="2128">
        <v>24.88</v>
      </c>
      <c r="G769" s="2128">
        <v>79.39</v>
      </c>
      <c r="H769" s="2128">
        <v>79.39</v>
      </c>
      <c r="I769" s="2128">
        <v>70.510000000000005</v>
      </c>
      <c r="J769" s="2128">
        <v>70.510000000000005</v>
      </c>
      <c r="K769" s="2128">
        <v>86.83</v>
      </c>
      <c r="L769" s="2128">
        <v>86.83</v>
      </c>
      <c r="M769" s="2128"/>
      <c r="N769" s="2128"/>
      <c r="O769" s="2128">
        <v>73.010000000000005</v>
      </c>
      <c r="P769" s="2128">
        <v>73.010000000000005</v>
      </c>
      <c r="Q769" s="2128">
        <v>75.34</v>
      </c>
      <c r="R769" s="2128">
        <v>73.02</v>
      </c>
      <c r="S769" s="2128">
        <v>100.87</v>
      </c>
      <c r="T769" s="2128">
        <v>100.87</v>
      </c>
      <c r="U769" s="2128">
        <v>97.35</v>
      </c>
      <c r="V769" s="2128">
        <v>97.35</v>
      </c>
      <c r="W769" s="2128">
        <v>100.87</v>
      </c>
      <c r="X769" s="2128">
        <v>100.87</v>
      </c>
      <c r="Y769" s="2128">
        <v>97.35</v>
      </c>
      <c r="Z769" s="2128">
        <v>100.87</v>
      </c>
      <c r="AA769" s="2128">
        <v>100.87</v>
      </c>
      <c r="AB769" s="2128">
        <v>100.87</v>
      </c>
      <c r="AC769" s="2128">
        <v>97.35</v>
      </c>
      <c r="AD769" s="2128">
        <v>97.35</v>
      </c>
      <c r="AE769" s="2128">
        <v>120.37</v>
      </c>
      <c r="AF769" s="2128">
        <v>117.01</v>
      </c>
      <c r="AG769" s="2128">
        <v>120.37</v>
      </c>
      <c r="AH769" s="2128">
        <v>120.37</v>
      </c>
      <c r="AI769" s="2128">
        <v>117.01</v>
      </c>
      <c r="AJ769" s="2128">
        <v>117.01</v>
      </c>
      <c r="AK769" s="2128">
        <v>119.82</v>
      </c>
      <c r="AL769" s="2128">
        <v>119.82</v>
      </c>
      <c r="AM769" s="2128">
        <v>38.74</v>
      </c>
      <c r="AN769" s="2128">
        <v>37.28</v>
      </c>
      <c r="AO769" s="2128">
        <v>37.28</v>
      </c>
      <c r="AP769" s="2128">
        <v>37.28</v>
      </c>
      <c r="AQ769" s="2128">
        <v>39.67</v>
      </c>
      <c r="AR769" s="2128">
        <v>39.67</v>
      </c>
      <c r="AS769" s="2128">
        <v>93.9</v>
      </c>
      <c r="AT769" s="2128">
        <v>93.9</v>
      </c>
      <c r="AU769" s="2128">
        <v>93.9</v>
      </c>
      <c r="AV769" s="2128">
        <v>97.32</v>
      </c>
      <c r="AW769" s="2128">
        <v>92.98</v>
      </c>
      <c r="AX769" s="2128">
        <v>92.98</v>
      </c>
      <c r="AY769" s="2128">
        <v>93.23</v>
      </c>
      <c r="AZ769" s="2128">
        <v>93.23</v>
      </c>
      <c r="BA769" s="2123">
        <v>39.64</v>
      </c>
      <c r="BB769" s="2123">
        <v>39.64</v>
      </c>
      <c r="BC769" s="2123">
        <v>8.52</v>
      </c>
      <c r="BD769" s="2123">
        <v>8.52</v>
      </c>
      <c r="BE769" s="2123">
        <v>13.71</v>
      </c>
      <c r="BF769" s="2123">
        <v>13.71</v>
      </c>
      <c r="BG769" s="2123">
        <v>8.57</v>
      </c>
      <c r="BH769" s="2123">
        <v>8.57</v>
      </c>
      <c r="BI769" s="2123">
        <v>8.3800000000000008</v>
      </c>
      <c r="BJ769" s="2123">
        <v>8.3800000000000008</v>
      </c>
      <c r="BK769" s="2123">
        <v>8.3800000000000008</v>
      </c>
      <c r="BL769" s="2123">
        <v>8.3800000000000008</v>
      </c>
      <c r="BM769" s="2123">
        <v>28.35</v>
      </c>
      <c r="BN769" s="2123">
        <v>28.35</v>
      </c>
      <c r="BO769" s="2123">
        <v>80.92</v>
      </c>
      <c r="BP769" s="2123">
        <v>80.92</v>
      </c>
      <c r="BQ769" s="2123">
        <v>80.92</v>
      </c>
      <c r="BR769" s="2123">
        <v>80.92</v>
      </c>
      <c r="BS769" s="2123">
        <v>89.3</v>
      </c>
      <c r="BT769" s="2123">
        <v>89.3</v>
      </c>
      <c r="BU769" s="2123">
        <v>89.3</v>
      </c>
      <c r="BV769" s="2123">
        <v>89.3</v>
      </c>
      <c r="BW769" s="2123">
        <v>89.3</v>
      </c>
      <c r="BX769" s="2123">
        <v>89.3</v>
      </c>
      <c r="BY769" s="2123">
        <v>25.76</v>
      </c>
      <c r="BZ769" s="2123">
        <v>25.76</v>
      </c>
      <c r="CA769" s="2123">
        <v>76.3</v>
      </c>
      <c r="CB769" s="2123">
        <v>76.3</v>
      </c>
      <c r="CC769" s="2123">
        <v>75.77</v>
      </c>
      <c r="CD769" s="2123">
        <v>75.77</v>
      </c>
      <c r="CE769" s="2123">
        <v>86.58</v>
      </c>
      <c r="CF769" s="2123">
        <v>86.58</v>
      </c>
      <c r="CK769" s="2123">
        <v>71.209999999999994</v>
      </c>
      <c r="CL769" s="2123">
        <v>71.209999999999994</v>
      </c>
      <c r="CM769" s="2123">
        <v>147.87</v>
      </c>
      <c r="CN769" s="2123">
        <v>147.87</v>
      </c>
      <c r="CO769" s="2123">
        <v>163.4</v>
      </c>
      <c r="CP769" s="2123">
        <v>163.4</v>
      </c>
      <c r="CQ769" s="2123">
        <v>163.4</v>
      </c>
      <c r="CR769" s="2123">
        <v>163.4</v>
      </c>
      <c r="CW769" s="2123">
        <v>59.6</v>
      </c>
      <c r="CX769" s="2123">
        <v>59.6</v>
      </c>
      <c r="CY769" s="2123">
        <v>138.63</v>
      </c>
      <c r="CZ769" s="2123">
        <v>138.63</v>
      </c>
      <c r="DA769" s="2123">
        <v>138.63</v>
      </c>
      <c r="DB769" s="2123">
        <v>138.63</v>
      </c>
      <c r="DC769" s="2123">
        <v>153.19</v>
      </c>
      <c r="DD769" s="2123">
        <v>153.19</v>
      </c>
      <c r="DE769" s="2123">
        <v>153.19</v>
      </c>
      <c r="DF769" s="2123">
        <v>153.19</v>
      </c>
      <c r="DI769" s="2123">
        <v>15.82</v>
      </c>
      <c r="DJ769" s="2123">
        <v>15.82</v>
      </c>
      <c r="DK769" s="2123">
        <v>15.82</v>
      </c>
      <c r="DL769" s="2123">
        <v>15.82</v>
      </c>
      <c r="DM769" s="2123">
        <v>15.82</v>
      </c>
      <c r="DN769" s="2123">
        <v>15.82</v>
      </c>
      <c r="DU769" s="2123">
        <v>7.14</v>
      </c>
      <c r="DV769" s="2123">
        <v>7.14</v>
      </c>
      <c r="DW769" s="2123">
        <v>5.74</v>
      </c>
      <c r="DX769" s="2123">
        <v>5.74</v>
      </c>
      <c r="DY769" s="2123">
        <v>5.74</v>
      </c>
      <c r="DZ769" s="2123">
        <v>5.74</v>
      </c>
      <c r="EG769" s="2123">
        <v>7.88</v>
      </c>
      <c r="EH769" s="2123">
        <v>8.32</v>
      </c>
      <c r="EI769" s="2123">
        <v>4.18</v>
      </c>
      <c r="EJ769" s="2123">
        <v>4.18</v>
      </c>
      <c r="EK769" s="2123">
        <v>4.12</v>
      </c>
      <c r="EL769" s="2123">
        <v>4.12</v>
      </c>
      <c r="EM769" s="2123">
        <v>4.9000000000000004</v>
      </c>
      <c r="EN769" s="2123">
        <v>4.9000000000000004</v>
      </c>
      <c r="EO769" s="2123">
        <v>4.43</v>
      </c>
      <c r="EP769" s="2123">
        <v>4.43</v>
      </c>
      <c r="EQ769" s="2123">
        <v>4.55</v>
      </c>
      <c r="ER769" s="2123">
        <v>4.74</v>
      </c>
      <c r="ES769" s="2123">
        <v>28.61</v>
      </c>
      <c r="ET769" s="2123">
        <v>28.61</v>
      </c>
      <c r="EU769" s="2123">
        <v>95.07</v>
      </c>
      <c r="EV769" s="2123">
        <v>95.07</v>
      </c>
      <c r="EW769" s="2123">
        <v>91.55</v>
      </c>
      <c r="EX769" s="2123">
        <v>91.55</v>
      </c>
      <c r="EY769" s="2129">
        <f t="shared" si="50"/>
        <v>93.31</v>
      </c>
      <c r="EZ769" s="2129">
        <f t="shared" si="50"/>
        <v>93.31</v>
      </c>
      <c r="FA769" s="2123">
        <v>97.45</v>
      </c>
      <c r="FB769" s="2123">
        <v>97.45</v>
      </c>
      <c r="FE769" s="2123">
        <v>23.96</v>
      </c>
      <c r="FF769" s="2123">
        <v>23.96</v>
      </c>
      <c r="FG769" s="2123">
        <v>76.290000000000006</v>
      </c>
      <c r="FH769" s="2123">
        <v>76.290000000000006</v>
      </c>
      <c r="FI769" s="2123">
        <v>76.290000000000006</v>
      </c>
      <c r="FJ769" s="2123">
        <v>76.290000000000006</v>
      </c>
      <c r="FK769" s="2123">
        <v>75.010000000000005</v>
      </c>
      <c r="FL769" s="2123">
        <v>75.010000000000005</v>
      </c>
      <c r="FM769" s="2123">
        <v>76.87</v>
      </c>
      <c r="FN769" s="2123">
        <v>76.87</v>
      </c>
      <c r="FQ769" s="2123">
        <v>53.95</v>
      </c>
      <c r="FR769" s="2123">
        <v>53.95</v>
      </c>
      <c r="FS769" s="2123">
        <v>97.97</v>
      </c>
      <c r="FT769" s="2123">
        <v>97.97</v>
      </c>
      <c r="FU769" s="2123">
        <v>97.97</v>
      </c>
      <c r="FV769" s="2123">
        <v>97.97</v>
      </c>
      <c r="FW769" s="2123">
        <v>99.28</v>
      </c>
      <c r="FX769" s="2123">
        <v>99.28</v>
      </c>
      <c r="GC769" s="2123">
        <v>39.520000000000003</v>
      </c>
      <c r="GD769" s="2123">
        <v>39.520000000000003</v>
      </c>
      <c r="GE769" s="2123">
        <v>95.43</v>
      </c>
      <c r="GF769" s="2123">
        <v>95.43</v>
      </c>
      <c r="GG769" s="2123">
        <v>95.43</v>
      </c>
      <c r="GH769" s="2123">
        <v>95.43</v>
      </c>
      <c r="GI769" s="2123">
        <v>53.82</v>
      </c>
      <c r="GJ769" s="2123">
        <v>53.82</v>
      </c>
      <c r="GK769" s="2123">
        <v>87.97</v>
      </c>
      <c r="GL769" s="2123">
        <v>87.97</v>
      </c>
      <c r="GO769" s="2123">
        <v>21.27</v>
      </c>
      <c r="GP769" s="2123">
        <v>21.27</v>
      </c>
      <c r="GQ769" s="2123">
        <v>13.61</v>
      </c>
      <c r="GR769" s="2123">
        <v>13.61</v>
      </c>
      <c r="GS769" s="2123">
        <v>13.61</v>
      </c>
      <c r="GT769" s="2123">
        <v>12.95</v>
      </c>
      <c r="GU769" s="2123">
        <v>12.95</v>
      </c>
      <c r="GV769" s="2123">
        <v>12.95</v>
      </c>
      <c r="GW769" s="2123">
        <v>79.7</v>
      </c>
      <c r="GX769" s="2123">
        <v>79.7</v>
      </c>
      <c r="HA769" s="2123">
        <v>14.85</v>
      </c>
      <c r="HB769" s="2123">
        <v>14.85</v>
      </c>
      <c r="HC769" s="2123">
        <v>6.52</v>
      </c>
      <c r="HD769" s="2123">
        <v>6.52</v>
      </c>
      <c r="HE769" s="2123">
        <v>7.6</v>
      </c>
      <c r="HF769" s="2123">
        <v>7.6</v>
      </c>
      <c r="HG769" s="2123">
        <v>7.6</v>
      </c>
      <c r="HH769" s="2123">
        <v>7.6</v>
      </c>
      <c r="HI769" s="2123">
        <v>7.6</v>
      </c>
      <c r="HJ769" s="2123">
        <v>7.6</v>
      </c>
      <c r="HK769" s="2123">
        <v>7.52</v>
      </c>
      <c r="HL769" s="2123">
        <v>7.52</v>
      </c>
      <c r="HM769" s="2123">
        <v>20.76</v>
      </c>
      <c r="HN769" s="2123">
        <v>20.76</v>
      </c>
      <c r="HO769" s="2123">
        <v>9.49</v>
      </c>
      <c r="HP769" s="2123">
        <v>9.49</v>
      </c>
      <c r="HQ769" s="2123">
        <v>11.07</v>
      </c>
      <c r="HR769" s="2123">
        <v>11.07</v>
      </c>
      <c r="HS769" s="2123">
        <v>11.07</v>
      </c>
      <c r="HT769" s="2123">
        <v>11.07</v>
      </c>
      <c r="HU769" s="2123">
        <v>11.07</v>
      </c>
      <c r="HV769" s="2123">
        <v>11.07</v>
      </c>
      <c r="HW769" s="2123">
        <v>10.86</v>
      </c>
      <c r="HX769" s="2050">
        <v>10.86</v>
      </c>
    </row>
    <row r="770" spans="1:232" s="2123" customFormat="1" ht="14" hidden="1" x14ac:dyDescent="0.3">
      <c r="A770" s="2040"/>
      <c r="B770" s="2127">
        <v>21</v>
      </c>
      <c r="C770" s="2128">
        <v>24.48</v>
      </c>
      <c r="D770" s="2128">
        <v>24.48</v>
      </c>
      <c r="E770" s="2128">
        <v>25.82</v>
      </c>
      <c r="F770" s="2128">
        <v>25.82</v>
      </c>
      <c r="G770" s="2128">
        <v>83.5</v>
      </c>
      <c r="H770" s="2128">
        <v>83.5</v>
      </c>
      <c r="I770" s="2128">
        <v>74.41</v>
      </c>
      <c r="J770" s="2128">
        <v>74.41</v>
      </c>
      <c r="K770" s="2128">
        <v>90.37</v>
      </c>
      <c r="L770" s="2128">
        <v>90.37</v>
      </c>
      <c r="M770" s="2128"/>
      <c r="N770" s="2128"/>
      <c r="O770" s="2128">
        <v>76.239999999999995</v>
      </c>
      <c r="P770" s="2128">
        <v>76.239999999999995</v>
      </c>
      <c r="Q770" s="2128">
        <v>78.400000000000006</v>
      </c>
      <c r="R770" s="2128">
        <v>76.25</v>
      </c>
      <c r="S770" s="2128">
        <v>107.35</v>
      </c>
      <c r="T770" s="2128">
        <v>107.35</v>
      </c>
      <c r="U770" s="2128">
        <v>103.6</v>
      </c>
      <c r="V770" s="2128">
        <v>103.6</v>
      </c>
      <c r="W770" s="2128">
        <v>107.35</v>
      </c>
      <c r="X770" s="2128">
        <v>107.35</v>
      </c>
      <c r="Y770" s="2128">
        <v>103.6</v>
      </c>
      <c r="Z770" s="2128">
        <v>107.35</v>
      </c>
      <c r="AA770" s="2128">
        <v>107.35</v>
      </c>
      <c r="AB770" s="2128">
        <v>107.35</v>
      </c>
      <c r="AC770" s="2128">
        <v>103.6</v>
      </c>
      <c r="AD770" s="2128">
        <v>103.6</v>
      </c>
      <c r="AE770" s="2128">
        <v>127.06</v>
      </c>
      <c r="AF770" s="2128">
        <v>123.51</v>
      </c>
      <c r="AG770" s="2128">
        <v>127.06</v>
      </c>
      <c r="AH770" s="2128">
        <v>127.06</v>
      </c>
      <c r="AI770" s="2128">
        <v>123.51</v>
      </c>
      <c r="AJ770" s="2128">
        <v>123.51</v>
      </c>
      <c r="AK770" s="2128">
        <v>126.2</v>
      </c>
      <c r="AL770" s="2128">
        <v>126.2</v>
      </c>
      <c r="AM770" s="2128">
        <v>40.44</v>
      </c>
      <c r="AN770" s="2128">
        <v>38.92</v>
      </c>
      <c r="AO770" s="2128">
        <v>38.92</v>
      </c>
      <c r="AP770" s="2128">
        <v>38.92</v>
      </c>
      <c r="AQ770" s="2128">
        <v>41.19</v>
      </c>
      <c r="AR770" s="2128">
        <v>41.19</v>
      </c>
      <c r="AS770" s="2128">
        <v>99.13</v>
      </c>
      <c r="AT770" s="2128">
        <v>99.13</v>
      </c>
      <c r="AU770" s="2128">
        <v>99.13</v>
      </c>
      <c r="AV770" s="2128">
        <v>102.63</v>
      </c>
      <c r="AW770" s="2128">
        <v>98.31</v>
      </c>
      <c r="AX770" s="2128">
        <v>98.31</v>
      </c>
      <c r="AY770" s="2128">
        <v>98.56</v>
      </c>
      <c r="AZ770" s="2128">
        <v>98.56</v>
      </c>
      <c r="BA770" s="2123">
        <v>41.93</v>
      </c>
      <c r="BB770" s="2123">
        <v>41.93</v>
      </c>
      <c r="BC770" s="2123">
        <v>9.11</v>
      </c>
      <c r="BD770" s="2123">
        <v>9.11</v>
      </c>
      <c r="BE770" s="2123">
        <v>14.32</v>
      </c>
      <c r="BF770" s="2123">
        <v>14.32</v>
      </c>
      <c r="BG770" s="2123">
        <v>9.16</v>
      </c>
      <c r="BH770" s="2123">
        <v>9.16</v>
      </c>
      <c r="BI770" s="2123">
        <v>8.98</v>
      </c>
      <c r="BJ770" s="2123">
        <v>8.98</v>
      </c>
      <c r="BK770" s="2123">
        <v>8.98</v>
      </c>
      <c r="BL770" s="2123">
        <v>8.98</v>
      </c>
      <c r="BM770" s="2123">
        <v>29.59</v>
      </c>
      <c r="BN770" s="2123">
        <v>29.59</v>
      </c>
      <c r="BO770" s="2123">
        <v>84.9</v>
      </c>
      <c r="BP770" s="2123">
        <v>84.9</v>
      </c>
      <c r="BQ770" s="2123">
        <v>84.9</v>
      </c>
      <c r="BR770" s="2123">
        <v>84.9</v>
      </c>
      <c r="BS770" s="2123">
        <v>94.69</v>
      </c>
      <c r="BT770" s="2123">
        <v>94.69</v>
      </c>
      <c r="BU770" s="2123">
        <v>94.69</v>
      </c>
      <c r="BV770" s="2123">
        <v>94.69</v>
      </c>
      <c r="BW770" s="2123">
        <v>94.69</v>
      </c>
      <c r="BX770" s="2123">
        <v>94.69</v>
      </c>
      <c r="BY770" s="2123">
        <v>26.89</v>
      </c>
      <c r="BZ770" s="2123">
        <v>26.89</v>
      </c>
      <c r="CA770" s="2123">
        <v>80.13</v>
      </c>
      <c r="CB770" s="2123">
        <v>80.13</v>
      </c>
      <c r="CC770" s="2123">
        <v>79.75</v>
      </c>
      <c r="CD770" s="2123">
        <v>79.75</v>
      </c>
      <c r="CE770" s="2123">
        <v>91.91</v>
      </c>
      <c r="CF770" s="2123">
        <v>91.91</v>
      </c>
      <c r="CK770" s="2123">
        <v>73.599999999999994</v>
      </c>
      <c r="CL770" s="2123">
        <v>73.599999999999994</v>
      </c>
      <c r="CM770" s="2123">
        <v>152.88999999999999</v>
      </c>
      <c r="CN770" s="2123">
        <v>152.88999999999999</v>
      </c>
      <c r="CO770" s="2123">
        <v>170.62</v>
      </c>
      <c r="CP770" s="2123">
        <v>170.62</v>
      </c>
      <c r="CQ770" s="2123">
        <v>170.62</v>
      </c>
      <c r="CR770" s="2123">
        <v>170.62</v>
      </c>
      <c r="CW770" s="2123">
        <v>62.23</v>
      </c>
      <c r="CX770" s="2123">
        <v>62.23</v>
      </c>
      <c r="CY770" s="2123">
        <v>143.6</v>
      </c>
      <c r="CZ770" s="2123">
        <v>143.6</v>
      </c>
      <c r="DA770" s="2123">
        <v>143.6</v>
      </c>
      <c r="DB770" s="2123">
        <v>143.6</v>
      </c>
      <c r="DC770" s="2123">
        <v>160.27000000000001</v>
      </c>
      <c r="DD770" s="2123">
        <v>160.27000000000001</v>
      </c>
      <c r="DE770" s="2123">
        <v>160.27000000000001</v>
      </c>
      <c r="DF770" s="2123">
        <v>160.27000000000001</v>
      </c>
      <c r="DI770" s="2123">
        <v>16.510000000000002</v>
      </c>
      <c r="DJ770" s="2123">
        <v>16.510000000000002</v>
      </c>
      <c r="DK770" s="2123">
        <v>16.510000000000002</v>
      </c>
      <c r="DL770" s="2123">
        <v>16.510000000000002</v>
      </c>
      <c r="DM770" s="2123">
        <v>16.510000000000002</v>
      </c>
      <c r="DN770" s="2123">
        <v>16.510000000000002</v>
      </c>
      <c r="DU770" s="2123">
        <v>7.44</v>
      </c>
      <c r="DV770" s="2123">
        <v>7.44</v>
      </c>
      <c r="DW770" s="2123">
        <v>6.06</v>
      </c>
      <c r="DX770" s="2123">
        <v>6.06</v>
      </c>
      <c r="DY770" s="2123">
        <v>6.06</v>
      </c>
      <c r="DZ770" s="2123">
        <v>6.06</v>
      </c>
      <c r="EG770" s="2123">
        <v>8.23</v>
      </c>
      <c r="EH770" s="2123">
        <v>8.65</v>
      </c>
      <c r="EI770" s="2123">
        <v>4.49</v>
      </c>
      <c r="EJ770" s="2123">
        <v>4.49</v>
      </c>
      <c r="EK770" s="2123">
        <v>4.4400000000000004</v>
      </c>
      <c r="EL770" s="2123">
        <v>4.4400000000000004</v>
      </c>
      <c r="EM770" s="2123">
        <v>5.23</v>
      </c>
      <c r="EN770" s="2123">
        <v>5.23</v>
      </c>
      <c r="EO770" s="2123">
        <v>4.74</v>
      </c>
      <c r="EP770" s="2123">
        <v>4.74</v>
      </c>
      <c r="EQ770" s="2123">
        <v>4.87</v>
      </c>
      <c r="ER770" s="2123">
        <v>5.0599999999999996</v>
      </c>
      <c r="ES770" s="2123">
        <v>30.04</v>
      </c>
      <c r="ET770" s="2123">
        <v>30.04</v>
      </c>
      <c r="EU770" s="2123">
        <v>101.82</v>
      </c>
      <c r="EV770" s="2123">
        <v>101.82</v>
      </c>
      <c r="EW770" s="2123">
        <v>98.19</v>
      </c>
      <c r="EX770" s="2123">
        <v>98.19</v>
      </c>
      <c r="EY770" s="2129">
        <f>AVERAGE(EU770,EW770)</f>
        <v>100.005</v>
      </c>
      <c r="EZ770" s="2129">
        <f t="shared" si="50"/>
        <v>100.005</v>
      </c>
      <c r="FA770" s="2123">
        <v>104.11</v>
      </c>
      <c r="FB770" s="2123">
        <v>104.11</v>
      </c>
      <c r="FE770" s="2123">
        <v>25.26</v>
      </c>
      <c r="FF770" s="2123">
        <v>25.26</v>
      </c>
      <c r="FG770" s="2123">
        <v>82.28</v>
      </c>
      <c r="FH770" s="2123">
        <v>82.28</v>
      </c>
      <c r="FI770" s="2123">
        <v>82.28</v>
      </c>
      <c r="FJ770" s="2123">
        <v>82.28</v>
      </c>
      <c r="FK770" s="2123">
        <v>81.010000000000005</v>
      </c>
      <c r="FL770" s="2123">
        <v>81.010000000000005</v>
      </c>
      <c r="FM770" s="2123">
        <v>82.87</v>
      </c>
      <c r="FN770" s="2123">
        <v>82.87</v>
      </c>
      <c r="FQ770" s="2123">
        <v>56.47</v>
      </c>
      <c r="FR770" s="2123">
        <v>56.47</v>
      </c>
      <c r="FS770" s="2123">
        <v>103.12</v>
      </c>
      <c r="FT770" s="2123">
        <v>103.12</v>
      </c>
      <c r="FU770" s="2123">
        <v>103.12</v>
      </c>
      <c r="FV770" s="2123">
        <v>103.12</v>
      </c>
      <c r="FW770" s="2123">
        <v>104.43</v>
      </c>
      <c r="FX770" s="2123">
        <v>104.43</v>
      </c>
      <c r="GC770" s="2123">
        <v>41.38</v>
      </c>
      <c r="GD770" s="2123">
        <v>41.38</v>
      </c>
      <c r="GE770" s="2123">
        <v>99.34</v>
      </c>
      <c r="GF770" s="2123">
        <v>99.34</v>
      </c>
      <c r="GG770" s="2123">
        <v>99.34</v>
      </c>
      <c r="GH770" s="2123">
        <v>99.34</v>
      </c>
      <c r="GI770" s="2123">
        <v>58.84</v>
      </c>
      <c r="GJ770" s="2123">
        <v>58.84</v>
      </c>
      <c r="GK770" s="2123">
        <v>93.5</v>
      </c>
      <c r="GL770" s="2123">
        <v>93.5</v>
      </c>
      <c r="GO770" s="2123">
        <v>22.15</v>
      </c>
      <c r="GP770" s="2123">
        <v>22.15</v>
      </c>
      <c r="GQ770" s="2123">
        <v>14.48</v>
      </c>
      <c r="GR770" s="2123">
        <v>14.48</v>
      </c>
      <c r="GS770" s="2123">
        <v>14.48</v>
      </c>
      <c r="GT770" s="2123">
        <v>13.8</v>
      </c>
      <c r="GU770" s="2123">
        <v>13.8</v>
      </c>
      <c r="GV770" s="2123">
        <v>13.8</v>
      </c>
      <c r="GW770" s="2123">
        <v>84.65</v>
      </c>
      <c r="GX770" s="2123">
        <v>84.65</v>
      </c>
      <c r="HA770" s="2123">
        <v>15.5</v>
      </c>
      <c r="HB770" s="2123">
        <v>15.5</v>
      </c>
      <c r="HC770" s="2123">
        <v>7.07</v>
      </c>
      <c r="HD770" s="2123">
        <v>7.07</v>
      </c>
      <c r="HE770" s="2123">
        <v>8.16</v>
      </c>
      <c r="HF770" s="2123">
        <v>8.16</v>
      </c>
      <c r="HG770" s="2123">
        <v>8.16</v>
      </c>
      <c r="HH770" s="2123">
        <v>8.16</v>
      </c>
      <c r="HI770" s="2123">
        <v>8.16</v>
      </c>
      <c r="HJ770" s="2123">
        <v>8.16</v>
      </c>
      <c r="HK770" s="2123">
        <v>8.08</v>
      </c>
      <c r="HL770" s="2123">
        <v>8.08</v>
      </c>
      <c r="HM770" s="2123">
        <v>21.67</v>
      </c>
      <c r="HN770" s="2123">
        <v>21.67</v>
      </c>
      <c r="HO770" s="2123">
        <v>10.27</v>
      </c>
      <c r="HP770" s="2123">
        <v>10.27</v>
      </c>
      <c r="HQ770" s="2123">
        <v>11.86</v>
      </c>
      <c r="HR770" s="2123">
        <v>11.86</v>
      </c>
      <c r="HS770" s="2123">
        <v>11.86</v>
      </c>
      <c r="HT770" s="2123">
        <v>11.86</v>
      </c>
      <c r="HU770" s="2123">
        <v>11.86</v>
      </c>
      <c r="HV770" s="2123">
        <v>11.86</v>
      </c>
      <c r="HW770" s="2123">
        <v>11.66</v>
      </c>
      <c r="HX770" s="2050">
        <v>11.66</v>
      </c>
    </row>
    <row r="771" spans="1:232" s="2123" customFormat="1" ht="14" hidden="1" x14ac:dyDescent="0.3">
      <c r="A771" s="2040"/>
      <c r="B771" s="2127">
        <v>22</v>
      </c>
      <c r="C771" s="2128">
        <v>25.45</v>
      </c>
      <c r="D771" s="2128">
        <v>25.45</v>
      </c>
      <c r="E771" s="2128">
        <v>26.72</v>
      </c>
      <c r="F771" s="2128">
        <v>26.72</v>
      </c>
      <c r="G771" s="2128">
        <v>87.43</v>
      </c>
      <c r="H771" s="2128">
        <v>87.43</v>
      </c>
      <c r="I771" s="2128">
        <v>78.17</v>
      </c>
      <c r="J771" s="2128">
        <v>78.17</v>
      </c>
      <c r="K771" s="2128">
        <v>93.76</v>
      </c>
      <c r="L771" s="2128">
        <v>93.76</v>
      </c>
      <c r="M771" s="2128"/>
      <c r="N771" s="2128"/>
      <c r="O771" s="2128">
        <v>79.3</v>
      </c>
      <c r="P771" s="2128">
        <v>79.3</v>
      </c>
      <c r="Q771" s="2128">
        <v>81.3</v>
      </c>
      <c r="R771" s="2128">
        <v>79.31</v>
      </c>
      <c r="S771" s="2128">
        <v>113.59</v>
      </c>
      <c r="T771" s="2128">
        <v>113.59</v>
      </c>
      <c r="U771" s="2128">
        <v>109.63</v>
      </c>
      <c r="V771" s="2128">
        <v>109.63</v>
      </c>
      <c r="W771" s="2128">
        <v>113.59</v>
      </c>
      <c r="X771" s="2128">
        <v>113.59</v>
      </c>
      <c r="Y771" s="2128">
        <v>109.63</v>
      </c>
      <c r="Z771" s="2128">
        <v>113.59</v>
      </c>
      <c r="AA771" s="2128">
        <v>113.59</v>
      </c>
      <c r="AB771" s="2128">
        <v>113.59</v>
      </c>
      <c r="AC771" s="2128">
        <v>109.63</v>
      </c>
      <c r="AD771" s="2128">
        <v>109.63</v>
      </c>
      <c r="AE771" s="2128">
        <v>133.47</v>
      </c>
      <c r="AF771" s="2128">
        <v>129.72999999999999</v>
      </c>
      <c r="AG771" s="2128">
        <v>133.47</v>
      </c>
      <c r="AH771" s="2128">
        <v>133.47</v>
      </c>
      <c r="AI771" s="2128">
        <v>129.72999999999999</v>
      </c>
      <c r="AJ771" s="2128">
        <v>129.72999999999999</v>
      </c>
      <c r="AK771" s="2128">
        <v>132.30000000000001</v>
      </c>
      <c r="AL771" s="2128">
        <v>132.30000000000001</v>
      </c>
      <c r="AM771" s="2128">
        <v>42.05</v>
      </c>
      <c r="AN771" s="2128">
        <v>40.47</v>
      </c>
      <c r="AO771" s="2128">
        <v>40.47</v>
      </c>
      <c r="AP771" s="2128">
        <v>40.47</v>
      </c>
      <c r="AQ771" s="2128">
        <v>42.63</v>
      </c>
      <c r="AR771" s="2128">
        <v>42.63</v>
      </c>
      <c r="AS771" s="2128">
        <v>104.13</v>
      </c>
      <c r="AT771" s="2128">
        <v>104.13</v>
      </c>
      <c r="AU771" s="2128">
        <v>104.13</v>
      </c>
      <c r="AV771" s="2128">
        <v>107.73</v>
      </c>
      <c r="AW771" s="2128">
        <v>103.42</v>
      </c>
      <c r="AX771" s="2128">
        <v>103.42</v>
      </c>
      <c r="AY771" s="2128">
        <v>103.66</v>
      </c>
      <c r="AZ771" s="2128">
        <v>103.66</v>
      </c>
      <c r="BA771" s="2123">
        <v>44.13</v>
      </c>
      <c r="BB771" s="2123">
        <v>44.13</v>
      </c>
      <c r="BC771" s="2123">
        <v>9.68</v>
      </c>
      <c r="BD771" s="2123">
        <v>9.68</v>
      </c>
      <c r="BE771" s="2123">
        <v>14.89</v>
      </c>
      <c r="BF771" s="2123">
        <v>14.89</v>
      </c>
      <c r="BG771" s="2123">
        <v>9.74</v>
      </c>
      <c r="BH771" s="2123">
        <v>9.74</v>
      </c>
      <c r="BI771" s="2123">
        <v>9.5500000000000007</v>
      </c>
      <c r="BJ771" s="2123">
        <v>9.5500000000000007</v>
      </c>
      <c r="BK771" s="2123">
        <v>9.5500000000000007</v>
      </c>
      <c r="BL771" s="2123">
        <v>9.5500000000000007</v>
      </c>
      <c r="BM771" s="2123">
        <v>30.77</v>
      </c>
      <c r="BN771" s="2123">
        <v>30.77</v>
      </c>
      <c r="BO771" s="2123">
        <v>88.7</v>
      </c>
      <c r="BP771" s="2123">
        <v>88.7</v>
      </c>
      <c r="BQ771" s="2123">
        <v>88.7</v>
      </c>
      <c r="BR771" s="2123">
        <v>88.7</v>
      </c>
      <c r="BS771" s="2123">
        <v>99.88</v>
      </c>
      <c r="BT771" s="2123">
        <v>99.88</v>
      </c>
      <c r="BU771" s="2123">
        <v>99.88</v>
      </c>
      <c r="BV771" s="2123">
        <v>99.88</v>
      </c>
      <c r="BW771" s="2123">
        <v>99.88</v>
      </c>
      <c r="BX771" s="2123">
        <v>99.88</v>
      </c>
      <c r="BY771" s="2123">
        <v>27.96</v>
      </c>
      <c r="BZ771" s="2123">
        <v>27.96</v>
      </c>
      <c r="CA771" s="2123">
        <v>83.8</v>
      </c>
      <c r="CB771" s="2123">
        <v>83.8</v>
      </c>
      <c r="CC771" s="2123">
        <v>83.55</v>
      </c>
      <c r="CD771" s="2123">
        <v>83.55</v>
      </c>
      <c r="CE771" s="2123">
        <v>97.04</v>
      </c>
      <c r="CF771" s="2123">
        <v>97.04</v>
      </c>
      <c r="CK771" s="2123">
        <v>75.87</v>
      </c>
      <c r="CL771" s="2123">
        <v>75.87</v>
      </c>
      <c r="CM771" s="2123">
        <v>157.63999999999999</v>
      </c>
      <c r="CN771" s="2123">
        <v>157.63999999999999</v>
      </c>
      <c r="CO771" s="2123">
        <v>177.49</v>
      </c>
      <c r="CP771" s="2123">
        <v>177.49</v>
      </c>
      <c r="CQ771" s="2123">
        <v>177.49</v>
      </c>
      <c r="CR771" s="2123">
        <v>177.49</v>
      </c>
      <c r="CW771" s="2123">
        <v>64.72</v>
      </c>
      <c r="CX771" s="2123">
        <v>64.72</v>
      </c>
      <c r="CY771" s="2123">
        <v>148.31</v>
      </c>
      <c r="CZ771" s="2123">
        <v>148.31</v>
      </c>
      <c r="DA771" s="2123">
        <v>148.31</v>
      </c>
      <c r="DB771" s="2123">
        <v>148.31</v>
      </c>
      <c r="DC771" s="2123">
        <v>167.01</v>
      </c>
      <c r="DD771" s="2123">
        <v>167.01</v>
      </c>
      <c r="DE771" s="2123">
        <v>167.01</v>
      </c>
      <c r="DF771" s="2123">
        <v>167.01</v>
      </c>
      <c r="DI771" s="2123">
        <v>17.170000000000002</v>
      </c>
      <c r="DJ771" s="2123">
        <v>17.170000000000002</v>
      </c>
      <c r="DK771" s="2123">
        <v>17.170000000000002</v>
      </c>
      <c r="DL771" s="2123">
        <v>17.170000000000002</v>
      </c>
      <c r="DM771" s="2123">
        <v>17.170000000000002</v>
      </c>
      <c r="DN771" s="2123">
        <v>17.170000000000002</v>
      </c>
      <c r="DU771" s="2123">
        <v>7.73</v>
      </c>
      <c r="DV771" s="2123">
        <v>7.73</v>
      </c>
      <c r="DW771" s="2123">
        <v>6.36</v>
      </c>
      <c r="DX771" s="2123">
        <v>6.36</v>
      </c>
      <c r="DY771" s="2123">
        <v>6.36</v>
      </c>
      <c r="DZ771" s="2123">
        <v>6.36</v>
      </c>
      <c r="EG771" s="2123">
        <v>8.49</v>
      </c>
      <c r="EH771" s="2123">
        <v>8.9</v>
      </c>
      <c r="EI771" s="2123">
        <v>4.7300000000000004</v>
      </c>
      <c r="EJ771" s="2123">
        <v>4.7300000000000004</v>
      </c>
      <c r="EK771" s="2123">
        <v>4.68</v>
      </c>
      <c r="EL771" s="2123">
        <v>4.68</v>
      </c>
      <c r="EM771" s="2123">
        <v>5.47</v>
      </c>
      <c r="EN771" s="2123">
        <v>5.47</v>
      </c>
      <c r="EO771" s="2123">
        <v>4.9800000000000004</v>
      </c>
      <c r="EP771" s="2123">
        <v>4.9800000000000004</v>
      </c>
      <c r="EQ771" s="2123">
        <v>5.1100000000000003</v>
      </c>
      <c r="ER771" s="2123">
        <v>5.29</v>
      </c>
      <c r="ES771" s="2123">
        <v>31.32</v>
      </c>
      <c r="ET771" s="2123">
        <v>31.32</v>
      </c>
      <c r="EU771" s="2123">
        <v>107.91</v>
      </c>
      <c r="EV771" s="2123">
        <v>107.91</v>
      </c>
      <c r="EW771" s="2123">
        <v>104.17</v>
      </c>
      <c r="EX771" s="2123">
        <v>104.17</v>
      </c>
      <c r="EY771" s="2129">
        <f t="shared" si="50"/>
        <v>106.03999999999999</v>
      </c>
      <c r="EZ771" s="2129">
        <f t="shared" si="50"/>
        <v>106.03999999999999</v>
      </c>
      <c r="FA771" s="2123">
        <v>110.1</v>
      </c>
      <c r="FB771" s="2123">
        <v>110.1</v>
      </c>
      <c r="FE771" s="2123">
        <v>26.27</v>
      </c>
      <c r="FF771" s="2123">
        <v>26.27</v>
      </c>
      <c r="FG771" s="2123">
        <v>86.98</v>
      </c>
      <c r="FH771" s="2123">
        <v>86.98</v>
      </c>
      <c r="FI771" s="2123">
        <v>86.98</v>
      </c>
      <c r="FJ771" s="2123">
        <v>86.98</v>
      </c>
      <c r="FK771" s="2123">
        <v>85.72</v>
      </c>
      <c r="FL771" s="2123">
        <v>85.72</v>
      </c>
      <c r="FM771" s="2123">
        <v>87.58</v>
      </c>
      <c r="FN771" s="2123">
        <v>87.58</v>
      </c>
      <c r="FQ771" s="2123">
        <v>58.54</v>
      </c>
      <c r="FR771" s="2123">
        <v>58.54</v>
      </c>
      <c r="FS771" s="2123">
        <v>107.39</v>
      </c>
      <c r="FT771" s="2123">
        <v>107.39</v>
      </c>
      <c r="FU771" s="2123">
        <v>107.39</v>
      </c>
      <c r="FV771" s="2123">
        <v>107.39</v>
      </c>
      <c r="FW771" s="2123">
        <v>108.68</v>
      </c>
      <c r="FX771" s="2123">
        <v>108.68</v>
      </c>
      <c r="GC771" s="2123">
        <v>42.91</v>
      </c>
      <c r="GD771" s="2123">
        <v>42.91</v>
      </c>
      <c r="GE771" s="2123">
        <v>102.53</v>
      </c>
      <c r="GF771" s="2123">
        <v>102.53</v>
      </c>
      <c r="GG771" s="2123">
        <v>102.53</v>
      </c>
      <c r="GH771" s="2123">
        <v>102.53</v>
      </c>
      <c r="GI771" s="2123">
        <v>63.08</v>
      </c>
      <c r="GJ771" s="2123">
        <v>63.08</v>
      </c>
      <c r="GK771" s="2123">
        <v>98.09</v>
      </c>
      <c r="GL771" s="2123">
        <v>98.09</v>
      </c>
      <c r="GO771" s="2123">
        <v>22.91</v>
      </c>
      <c r="GP771" s="2123">
        <v>22.91</v>
      </c>
      <c r="GQ771" s="2123">
        <v>15.32</v>
      </c>
      <c r="GR771" s="2123">
        <v>15.32</v>
      </c>
      <c r="GS771" s="2123">
        <v>15.32</v>
      </c>
      <c r="GT771" s="2123">
        <v>14.61</v>
      </c>
      <c r="GU771" s="2123">
        <v>14.61</v>
      </c>
      <c r="GV771" s="2123">
        <v>14.61</v>
      </c>
      <c r="GW771" s="2123">
        <v>89.42</v>
      </c>
      <c r="GX771" s="2123">
        <v>89.42</v>
      </c>
      <c r="HA771" s="2123">
        <v>16.11</v>
      </c>
      <c r="HB771" s="2123">
        <v>16.11</v>
      </c>
      <c r="HC771" s="2123">
        <v>7.6</v>
      </c>
      <c r="HD771" s="2123">
        <v>7.6</v>
      </c>
      <c r="HE771" s="2123">
        <v>8.6999999999999993</v>
      </c>
      <c r="HF771" s="2123">
        <v>8.6999999999999993</v>
      </c>
      <c r="HG771" s="2123">
        <v>8.6999999999999993</v>
      </c>
      <c r="HH771" s="2123">
        <v>8.6999999999999993</v>
      </c>
      <c r="HI771" s="2123">
        <v>8.6999999999999993</v>
      </c>
      <c r="HJ771" s="2123">
        <v>8.6999999999999993</v>
      </c>
      <c r="HK771" s="2123">
        <v>8.6300000000000008</v>
      </c>
      <c r="HL771" s="2123">
        <v>8.6300000000000008</v>
      </c>
      <c r="HM771" s="2123">
        <v>22.53</v>
      </c>
      <c r="HN771" s="2123">
        <v>22.53</v>
      </c>
      <c r="HO771" s="2123">
        <v>11.03</v>
      </c>
      <c r="HP771" s="2123">
        <v>11.03</v>
      </c>
      <c r="HQ771" s="2123">
        <v>12.63</v>
      </c>
      <c r="HR771" s="2123">
        <v>12.63</v>
      </c>
      <c r="HS771" s="2123">
        <v>12.63</v>
      </c>
      <c r="HT771" s="2123">
        <v>12.63</v>
      </c>
      <c r="HU771" s="2123">
        <v>12.63</v>
      </c>
      <c r="HV771" s="2123">
        <v>12.63</v>
      </c>
      <c r="HW771" s="2123">
        <v>12.44</v>
      </c>
      <c r="HX771" s="2050">
        <v>12.44</v>
      </c>
    </row>
    <row r="772" spans="1:232" s="2123" customFormat="1" ht="14" hidden="1" x14ac:dyDescent="0.3">
      <c r="A772" s="2040"/>
      <c r="B772" s="2127">
        <v>23</v>
      </c>
      <c r="C772" s="2128">
        <v>26.37</v>
      </c>
      <c r="D772" s="2128">
        <v>26.37</v>
      </c>
      <c r="E772" s="2128">
        <v>27.57</v>
      </c>
      <c r="F772" s="2128">
        <v>27.57</v>
      </c>
      <c r="G772" s="2128">
        <v>91.19</v>
      </c>
      <c r="H772" s="2128">
        <v>91.19</v>
      </c>
      <c r="I772" s="2128">
        <v>81.790000000000006</v>
      </c>
      <c r="J772" s="2128">
        <v>81.790000000000006</v>
      </c>
      <c r="K772" s="2128">
        <v>97</v>
      </c>
      <c r="L772" s="2128">
        <v>97</v>
      </c>
      <c r="M772" s="2128"/>
      <c r="N772" s="2128"/>
      <c r="O772" s="2128">
        <v>82.2</v>
      </c>
      <c r="P772" s="2128">
        <v>82.2</v>
      </c>
      <c r="Q772" s="2128">
        <v>84.06</v>
      </c>
      <c r="R772" s="2128">
        <v>82.21</v>
      </c>
      <c r="S772" s="2128">
        <v>119.6</v>
      </c>
      <c r="T772" s="2128">
        <v>119.6</v>
      </c>
      <c r="U772" s="2128">
        <v>115.43</v>
      </c>
      <c r="V772" s="2128">
        <v>115.43</v>
      </c>
      <c r="W772" s="2128">
        <v>119.6</v>
      </c>
      <c r="X772" s="2128">
        <v>119.6</v>
      </c>
      <c r="Y772" s="2128">
        <v>115.43</v>
      </c>
      <c r="Z772" s="2128">
        <v>119.6</v>
      </c>
      <c r="AA772" s="2128">
        <v>119.6</v>
      </c>
      <c r="AB772" s="2128">
        <v>119.6</v>
      </c>
      <c r="AC772" s="2128">
        <v>115.43</v>
      </c>
      <c r="AD772" s="2128">
        <v>115.43</v>
      </c>
      <c r="AE772" s="2128">
        <v>139.59</v>
      </c>
      <c r="AF772" s="2128">
        <v>135.68</v>
      </c>
      <c r="AG772" s="2128">
        <v>139.59</v>
      </c>
      <c r="AH772" s="2128">
        <v>139.59</v>
      </c>
      <c r="AI772" s="2128">
        <v>135.68</v>
      </c>
      <c r="AJ772" s="2128">
        <v>135.68</v>
      </c>
      <c r="AK772" s="2128">
        <v>138.13999999999999</v>
      </c>
      <c r="AL772" s="2128">
        <v>138.13999999999999</v>
      </c>
      <c r="AM772" s="2128">
        <v>43.58</v>
      </c>
      <c r="AN772" s="2128">
        <v>41.95</v>
      </c>
      <c r="AO772" s="2128">
        <v>41.95</v>
      </c>
      <c r="AP772" s="2128">
        <v>41.95</v>
      </c>
      <c r="AQ772" s="2128">
        <v>44</v>
      </c>
      <c r="AR772" s="2128">
        <v>44</v>
      </c>
      <c r="AS772" s="2128">
        <v>108.93</v>
      </c>
      <c r="AT772" s="2128">
        <v>108.93</v>
      </c>
      <c r="AU772" s="2128">
        <v>108.93</v>
      </c>
      <c r="AV772" s="2128">
        <v>112.6</v>
      </c>
      <c r="AW772" s="2128">
        <v>108.31</v>
      </c>
      <c r="AX772" s="2128">
        <v>108.31</v>
      </c>
      <c r="AY772" s="2128">
        <v>108.55</v>
      </c>
      <c r="AZ772" s="2128">
        <v>108.55</v>
      </c>
      <c r="BA772" s="2123">
        <v>46.25</v>
      </c>
      <c r="BB772" s="2123">
        <v>46.25</v>
      </c>
      <c r="BC772" s="2123">
        <v>10.24</v>
      </c>
      <c r="BD772" s="2123">
        <v>10.24</v>
      </c>
      <c r="BE772" s="2123">
        <v>15.44</v>
      </c>
      <c r="BF772" s="2123">
        <v>15.44</v>
      </c>
      <c r="BG772" s="2123">
        <v>10.29</v>
      </c>
      <c r="BH772" s="2123">
        <v>10.29</v>
      </c>
      <c r="BI772" s="2123">
        <v>10.11</v>
      </c>
      <c r="BJ772" s="2123">
        <v>10.11</v>
      </c>
      <c r="BK772" s="2123">
        <v>10.11</v>
      </c>
      <c r="BL772" s="2123">
        <v>10.11</v>
      </c>
      <c r="BM772" s="2123">
        <v>31.88</v>
      </c>
      <c r="BN772" s="2123">
        <v>31.88</v>
      </c>
      <c r="BO772" s="2123">
        <v>92.33</v>
      </c>
      <c r="BP772" s="2123">
        <v>92.33</v>
      </c>
      <c r="BQ772" s="2123">
        <v>92.33</v>
      </c>
      <c r="BR772" s="2123">
        <v>92.33</v>
      </c>
      <c r="BS772" s="2123">
        <v>104.87</v>
      </c>
      <c r="BT772" s="2123">
        <v>104.87</v>
      </c>
      <c r="BU772" s="2123">
        <v>104.87</v>
      </c>
      <c r="BV772" s="2123">
        <v>104.87</v>
      </c>
      <c r="BW772" s="2123">
        <v>104.87</v>
      </c>
      <c r="BX772" s="2123">
        <v>104.87</v>
      </c>
      <c r="BY772" s="2123">
        <v>28.97</v>
      </c>
      <c r="BZ772" s="2123">
        <v>28.97</v>
      </c>
      <c r="CA772" s="2123">
        <v>87.3</v>
      </c>
      <c r="CB772" s="2123">
        <v>87.3</v>
      </c>
      <c r="CC772" s="2123">
        <v>87.18</v>
      </c>
      <c r="CD772" s="2123">
        <v>87.18</v>
      </c>
      <c r="CE772" s="2123">
        <v>101.99</v>
      </c>
      <c r="CF772" s="2123">
        <v>101.99</v>
      </c>
      <c r="CK772" s="2123">
        <v>78.03</v>
      </c>
      <c r="CL772" s="2123">
        <v>78.03</v>
      </c>
      <c r="CM772" s="2123">
        <v>162.12</v>
      </c>
      <c r="CN772" s="2123">
        <v>162.12</v>
      </c>
      <c r="CO772" s="2123">
        <v>184.03</v>
      </c>
      <c r="CP772" s="2123">
        <v>184.03</v>
      </c>
      <c r="CQ772" s="2123">
        <v>184.03</v>
      </c>
      <c r="CR772" s="2123">
        <v>184.03</v>
      </c>
      <c r="CW772" s="2123">
        <v>67.09</v>
      </c>
      <c r="CX772" s="2123">
        <v>67.09</v>
      </c>
      <c r="CY772" s="2123">
        <v>152.76</v>
      </c>
      <c r="CZ772" s="2123">
        <v>152.76</v>
      </c>
      <c r="DA772" s="2123">
        <v>152.76</v>
      </c>
      <c r="DB772" s="2123">
        <v>152.76</v>
      </c>
      <c r="DC772" s="2123">
        <v>173.44</v>
      </c>
      <c r="DD772" s="2123">
        <v>173.44</v>
      </c>
      <c r="DE772" s="2123">
        <v>173.44</v>
      </c>
      <c r="DF772" s="2123">
        <v>173.44</v>
      </c>
      <c r="DI772" s="2123">
        <v>17.79</v>
      </c>
      <c r="DJ772" s="2123">
        <v>17.79</v>
      </c>
      <c r="DK772" s="2123">
        <v>17.79</v>
      </c>
      <c r="DL772" s="2123">
        <v>17.79</v>
      </c>
      <c r="DM772" s="2123">
        <v>17.79</v>
      </c>
      <c r="DN772" s="2123">
        <v>17.79</v>
      </c>
      <c r="DU772" s="2123">
        <v>8</v>
      </c>
      <c r="DV772" s="2123">
        <v>8</v>
      </c>
      <c r="DW772" s="2123">
        <v>6.65</v>
      </c>
      <c r="DX772" s="2123">
        <v>6.65</v>
      </c>
      <c r="DY772" s="2123">
        <v>6.65</v>
      </c>
      <c r="DZ772" s="2123">
        <v>6.65</v>
      </c>
      <c r="EG772" s="2123">
        <v>8.76</v>
      </c>
      <c r="EH772" s="2123">
        <v>9.15</v>
      </c>
      <c r="EI772" s="2123">
        <v>4.99</v>
      </c>
      <c r="EJ772" s="2123">
        <v>4.99</v>
      </c>
      <c r="EK772" s="2123">
        <v>4.93</v>
      </c>
      <c r="EL772" s="2123">
        <v>4.93</v>
      </c>
      <c r="EM772" s="2123">
        <v>5.74</v>
      </c>
      <c r="EN772" s="2123">
        <v>5.74</v>
      </c>
      <c r="EO772" s="2123">
        <v>5.23</v>
      </c>
      <c r="EP772" s="2123">
        <v>5.23</v>
      </c>
      <c r="EQ772" s="2123">
        <v>5.37</v>
      </c>
      <c r="ER772" s="2123">
        <v>5.55</v>
      </c>
      <c r="ES772" s="2123">
        <v>32.380000000000003</v>
      </c>
      <c r="ET772" s="2123">
        <v>32.380000000000003</v>
      </c>
      <c r="EU772" s="2123">
        <v>113.05</v>
      </c>
      <c r="EV772" s="2123">
        <v>113.05</v>
      </c>
      <c r="EW772" s="2123">
        <v>109.23</v>
      </c>
      <c r="EX772" s="2123">
        <v>109.23</v>
      </c>
      <c r="EY772" s="2129">
        <f t="shared" si="50"/>
        <v>111.14</v>
      </c>
      <c r="EZ772" s="2129">
        <f t="shared" si="50"/>
        <v>111.14</v>
      </c>
      <c r="FA772" s="2123">
        <v>115.16</v>
      </c>
      <c r="FB772" s="2123">
        <v>115.16</v>
      </c>
      <c r="FE772" s="2123">
        <v>27.43</v>
      </c>
      <c r="FF772" s="2123">
        <v>27.43</v>
      </c>
      <c r="FG772" s="2123">
        <v>92.45</v>
      </c>
      <c r="FH772" s="2123">
        <v>92.45</v>
      </c>
      <c r="FI772" s="2123">
        <v>92.45</v>
      </c>
      <c r="FJ772" s="2123">
        <v>92.45</v>
      </c>
      <c r="FK772" s="2123">
        <v>91.19</v>
      </c>
      <c r="FL772" s="2123">
        <v>91.19</v>
      </c>
      <c r="FM772" s="2123">
        <v>93.05</v>
      </c>
      <c r="FN772" s="2123">
        <v>93.05</v>
      </c>
      <c r="FQ772" s="2123">
        <v>60.91</v>
      </c>
      <c r="FR772" s="2123">
        <v>60.91</v>
      </c>
      <c r="FS772" s="2123">
        <v>112.32</v>
      </c>
      <c r="FT772" s="2123">
        <v>112.32</v>
      </c>
      <c r="FU772" s="2123">
        <v>112.32</v>
      </c>
      <c r="FV772" s="2123">
        <v>112.32</v>
      </c>
      <c r="FW772" s="2123">
        <v>113.6</v>
      </c>
      <c r="FX772" s="2123">
        <v>113.6</v>
      </c>
      <c r="GC772" s="2123">
        <v>44.44</v>
      </c>
      <c r="GD772" s="2123">
        <v>44.44</v>
      </c>
      <c r="GE772" s="2123">
        <v>105.72</v>
      </c>
      <c r="GF772" s="2123">
        <v>105.72</v>
      </c>
      <c r="GG772" s="2123">
        <v>105.72</v>
      </c>
      <c r="GH772" s="2123">
        <v>105.72</v>
      </c>
      <c r="GI772" s="2123">
        <v>67.44</v>
      </c>
      <c r="GJ772" s="2123">
        <v>67.44</v>
      </c>
      <c r="GK772" s="2123">
        <v>102.73</v>
      </c>
      <c r="GL772" s="2123">
        <v>102.73</v>
      </c>
      <c r="GO772" s="2123">
        <v>23.77</v>
      </c>
      <c r="GP772" s="2123">
        <v>23.77</v>
      </c>
      <c r="GQ772" s="2123">
        <v>16.13</v>
      </c>
      <c r="GR772" s="2123">
        <v>16.13</v>
      </c>
      <c r="GS772" s="2123">
        <v>16.13</v>
      </c>
      <c r="GT772" s="2123">
        <v>15.39</v>
      </c>
      <c r="GU772" s="2123">
        <v>15.39</v>
      </c>
      <c r="GV772" s="2123">
        <v>15.39</v>
      </c>
      <c r="GW772" s="2123">
        <v>94.01</v>
      </c>
      <c r="GX772" s="2123">
        <v>94.01</v>
      </c>
      <c r="HA772" s="2123">
        <v>16.690000000000001</v>
      </c>
      <c r="HB772" s="2123">
        <v>16.690000000000001</v>
      </c>
      <c r="HC772" s="2123">
        <v>8.1199999999999992</v>
      </c>
      <c r="HD772" s="2123">
        <v>8.1199999999999992</v>
      </c>
      <c r="HE772" s="2123">
        <v>9.2200000000000006</v>
      </c>
      <c r="HF772" s="2123">
        <v>9.2200000000000006</v>
      </c>
      <c r="HG772" s="2123">
        <v>9.2200000000000006</v>
      </c>
      <c r="HH772" s="2123">
        <v>9.2200000000000006</v>
      </c>
      <c r="HI772" s="2123">
        <v>9.2200000000000006</v>
      </c>
      <c r="HJ772" s="2123">
        <v>9.2200000000000006</v>
      </c>
      <c r="HK772" s="2123">
        <v>9.16</v>
      </c>
      <c r="HL772" s="2123">
        <v>9.16</v>
      </c>
      <c r="HM772" s="2123">
        <v>23.34</v>
      </c>
      <c r="HN772" s="2123">
        <v>23.34</v>
      </c>
      <c r="HO772" s="2123">
        <v>11.77</v>
      </c>
      <c r="HP772" s="2123">
        <v>11.77</v>
      </c>
      <c r="HQ772" s="2123">
        <v>13.38</v>
      </c>
      <c r="HR772" s="2123">
        <v>13.38</v>
      </c>
      <c r="HS772" s="2123">
        <v>13.38</v>
      </c>
      <c r="HT772" s="2123">
        <v>13.38</v>
      </c>
      <c r="HU772" s="2123">
        <v>13.38</v>
      </c>
      <c r="HV772" s="2123">
        <v>13.38</v>
      </c>
      <c r="HW772" s="2123">
        <v>13.2</v>
      </c>
      <c r="HX772" s="2050">
        <v>13.2</v>
      </c>
    </row>
    <row r="773" spans="1:232" s="2123" customFormat="1" ht="14" hidden="1" x14ac:dyDescent="0.3">
      <c r="A773" s="2040"/>
      <c r="B773" s="2127">
        <v>24</v>
      </c>
      <c r="C773" s="2128">
        <v>27.25</v>
      </c>
      <c r="D773" s="2128">
        <v>27.25</v>
      </c>
      <c r="E773" s="2128">
        <v>28.39</v>
      </c>
      <c r="F773" s="2128">
        <v>28.39</v>
      </c>
      <c r="G773" s="2128">
        <v>94.79</v>
      </c>
      <c r="H773" s="2128">
        <v>94.79</v>
      </c>
      <c r="I773" s="2128">
        <v>85.26</v>
      </c>
      <c r="J773" s="2128">
        <v>85.26</v>
      </c>
      <c r="K773" s="2128">
        <v>100.11</v>
      </c>
      <c r="L773" s="2128">
        <v>100.11</v>
      </c>
      <c r="M773" s="2128"/>
      <c r="N773" s="2128"/>
      <c r="O773" s="2128">
        <v>84.96</v>
      </c>
      <c r="P773" s="2128">
        <v>84.96</v>
      </c>
      <c r="Q773" s="2128">
        <v>86.68</v>
      </c>
      <c r="R773" s="2128">
        <v>84.97</v>
      </c>
      <c r="S773" s="2128">
        <v>125.39</v>
      </c>
      <c r="T773" s="2128">
        <v>125.39</v>
      </c>
      <c r="U773" s="2128">
        <v>121.02</v>
      </c>
      <c r="V773" s="2128">
        <v>121.02</v>
      </c>
      <c r="W773" s="2128">
        <v>125.39</v>
      </c>
      <c r="X773" s="2128">
        <v>125.39</v>
      </c>
      <c r="Y773" s="2128">
        <v>121.02</v>
      </c>
      <c r="Z773" s="2128">
        <v>125.39</v>
      </c>
      <c r="AA773" s="2128">
        <v>125.39</v>
      </c>
      <c r="AB773" s="2128">
        <v>125.39</v>
      </c>
      <c r="AC773" s="2128">
        <v>121.02</v>
      </c>
      <c r="AD773" s="2128">
        <v>121.02</v>
      </c>
      <c r="AE773" s="2128">
        <v>145.46</v>
      </c>
      <c r="AF773" s="2128">
        <v>141.38</v>
      </c>
      <c r="AG773" s="2128">
        <v>145.46</v>
      </c>
      <c r="AH773" s="2128">
        <v>145.46</v>
      </c>
      <c r="AI773" s="2128">
        <v>141.38</v>
      </c>
      <c r="AJ773" s="2128">
        <v>141.38</v>
      </c>
      <c r="AK773" s="2128">
        <v>143.72</v>
      </c>
      <c r="AL773" s="2128">
        <v>143.72</v>
      </c>
      <c r="AM773" s="2128">
        <v>45.03</v>
      </c>
      <c r="AN773" s="2128">
        <v>43.35</v>
      </c>
      <c r="AO773" s="2128">
        <v>43.35</v>
      </c>
      <c r="AP773" s="2128">
        <v>43.35</v>
      </c>
      <c r="AQ773" s="2128">
        <v>45.3</v>
      </c>
      <c r="AR773" s="2128">
        <v>45.3</v>
      </c>
      <c r="AS773" s="2128">
        <v>113.53</v>
      </c>
      <c r="AT773" s="2128">
        <v>113.53</v>
      </c>
      <c r="AU773" s="2128">
        <v>113.53</v>
      </c>
      <c r="AV773" s="2128">
        <v>117.27</v>
      </c>
      <c r="AW773" s="2128">
        <v>113</v>
      </c>
      <c r="AX773" s="2128">
        <v>113</v>
      </c>
      <c r="AY773" s="2128">
        <v>113.23</v>
      </c>
      <c r="AZ773" s="2128">
        <v>113.23</v>
      </c>
      <c r="BA773" s="2123">
        <v>48.28</v>
      </c>
      <c r="BB773" s="2123">
        <v>48.28</v>
      </c>
      <c r="BC773" s="2123">
        <v>10.78</v>
      </c>
      <c r="BD773" s="2123">
        <v>10.78</v>
      </c>
      <c r="BE773" s="2123">
        <v>15.96</v>
      </c>
      <c r="BF773" s="2123">
        <v>15.96</v>
      </c>
      <c r="BG773" s="2123">
        <v>10.83</v>
      </c>
      <c r="BH773" s="2123">
        <v>10.83</v>
      </c>
      <c r="BI773" s="2123">
        <v>10.65</v>
      </c>
      <c r="BJ773" s="2123">
        <v>10.65</v>
      </c>
      <c r="BK773" s="2123">
        <v>10.65</v>
      </c>
      <c r="BL773" s="2123">
        <v>10.65</v>
      </c>
      <c r="BM773" s="2123">
        <v>32.94</v>
      </c>
      <c r="BN773" s="2123">
        <v>32.94</v>
      </c>
      <c r="BO773" s="2123">
        <v>95.8</v>
      </c>
      <c r="BP773" s="2123">
        <v>95.8</v>
      </c>
      <c r="BQ773" s="2123">
        <v>95.8</v>
      </c>
      <c r="BR773" s="2123">
        <v>95.8</v>
      </c>
      <c r="BS773" s="2123">
        <v>109.67</v>
      </c>
      <c r="BT773" s="2123">
        <v>109.67</v>
      </c>
      <c r="BU773" s="2123">
        <v>109.67</v>
      </c>
      <c r="BV773" s="2123">
        <v>109.67</v>
      </c>
      <c r="BW773" s="2123">
        <v>109.67</v>
      </c>
      <c r="BX773" s="2123">
        <v>109.67</v>
      </c>
      <c r="BY773" s="2123">
        <v>29.93</v>
      </c>
      <c r="BZ773" s="2123">
        <v>29.93</v>
      </c>
      <c r="CA773" s="2123">
        <v>90.65</v>
      </c>
      <c r="CB773" s="2123">
        <v>90.65</v>
      </c>
      <c r="CC773" s="2123">
        <v>90.65</v>
      </c>
      <c r="CD773" s="2123">
        <v>90.65</v>
      </c>
      <c r="CE773" s="2123">
        <v>106.75</v>
      </c>
      <c r="CF773" s="2123">
        <v>106.75</v>
      </c>
      <c r="CK773" s="2123">
        <v>80.09</v>
      </c>
      <c r="CL773" s="2123">
        <v>80.09</v>
      </c>
      <c r="CM773" s="2123">
        <v>166.36</v>
      </c>
      <c r="CN773" s="2123">
        <v>166.36</v>
      </c>
      <c r="CO773" s="2123">
        <v>190.25</v>
      </c>
      <c r="CP773" s="2123">
        <v>190.25</v>
      </c>
      <c r="CQ773" s="2123">
        <v>190.25</v>
      </c>
      <c r="CR773" s="2123">
        <v>190.25</v>
      </c>
      <c r="CW773" s="2123">
        <v>69.33</v>
      </c>
      <c r="CX773" s="2123">
        <v>69.33</v>
      </c>
      <c r="CY773" s="2123">
        <v>156.97</v>
      </c>
      <c r="CZ773" s="2123">
        <v>156.97</v>
      </c>
      <c r="DA773" s="2123">
        <v>156.97</v>
      </c>
      <c r="DB773" s="2123">
        <v>156.97</v>
      </c>
      <c r="DC773" s="2123">
        <v>179.57</v>
      </c>
      <c r="DD773" s="2123">
        <v>179.57</v>
      </c>
      <c r="DE773" s="2123">
        <v>179.57</v>
      </c>
      <c r="DF773" s="2123">
        <v>179.57</v>
      </c>
      <c r="DI773" s="2123">
        <v>18.38</v>
      </c>
      <c r="DJ773" s="2123">
        <v>18.38</v>
      </c>
      <c r="DK773" s="2123">
        <v>18.38</v>
      </c>
      <c r="DL773" s="2123">
        <v>18.38</v>
      </c>
      <c r="DM773" s="2123">
        <v>18.38</v>
      </c>
      <c r="DN773" s="2123">
        <v>18.38</v>
      </c>
      <c r="DU773" s="2123">
        <v>8.26</v>
      </c>
      <c r="DV773" s="2123">
        <v>8.26</v>
      </c>
      <c r="DW773" s="2123">
        <v>6.93</v>
      </c>
      <c r="DX773" s="2123">
        <v>6.93</v>
      </c>
      <c r="DY773" s="2123">
        <v>6.93</v>
      </c>
      <c r="DZ773" s="2123">
        <v>6.93</v>
      </c>
      <c r="EG773" s="2123">
        <v>8.9700000000000006</v>
      </c>
      <c r="EH773" s="2123">
        <v>9.35</v>
      </c>
      <c r="EI773" s="2123">
        <v>5.19</v>
      </c>
      <c r="EJ773" s="2123">
        <v>5.19</v>
      </c>
      <c r="EK773" s="2123">
        <v>5.13</v>
      </c>
      <c r="EL773" s="2123">
        <v>5.13</v>
      </c>
      <c r="EM773" s="2123">
        <v>5.94</v>
      </c>
      <c r="EN773" s="2123">
        <v>5.94</v>
      </c>
      <c r="EO773" s="2123">
        <v>5.43</v>
      </c>
      <c r="EP773" s="2123">
        <v>5.43</v>
      </c>
      <c r="EQ773" s="2123">
        <v>5.58</v>
      </c>
      <c r="ER773" s="2123">
        <v>5.74</v>
      </c>
      <c r="ES773" s="2123">
        <v>33.409999999999997</v>
      </c>
      <c r="ET773" s="2123">
        <v>33.409999999999997</v>
      </c>
      <c r="EU773" s="2123">
        <v>118.09</v>
      </c>
      <c r="EV773" s="2123">
        <v>118.09</v>
      </c>
      <c r="EW773" s="2123">
        <v>114.18</v>
      </c>
      <c r="EX773" s="2123">
        <v>114.18</v>
      </c>
      <c r="EY773" s="2129">
        <f t="shared" si="50"/>
        <v>116.13500000000001</v>
      </c>
      <c r="EZ773" s="2129">
        <f t="shared" si="50"/>
        <v>116.13500000000001</v>
      </c>
      <c r="FA773" s="2123">
        <v>120.1</v>
      </c>
      <c r="FB773" s="2123">
        <v>120.1</v>
      </c>
      <c r="FE773" s="2123">
        <v>28.29</v>
      </c>
      <c r="FF773" s="2123">
        <v>28.29</v>
      </c>
      <c r="FG773" s="2123">
        <v>96.55</v>
      </c>
      <c r="FH773" s="2123">
        <v>96.55</v>
      </c>
      <c r="FI773" s="2123">
        <v>96.55</v>
      </c>
      <c r="FJ773" s="2123">
        <v>96.55</v>
      </c>
      <c r="FK773" s="2123">
        <v>95.31</v>
      </c>
      <c r="FL773" s="2123">
        <v>95.31</v>
      </c>
      <c r="FM773" s="2123">
        <v>97.15</v>
      </c>
      <c r="FN773" s="2123">
        <v>97.15</v>
      </c>
      <c r="FQ773" s="2123">
        <v>63.14</v>
      </c>
      <c r="FR773" s="2123">
        <v>63.14</v>
      </c>
      <c r="FS773" s="2123">
        <v>116.98</v>
      </c>
      <c r="FT773" s="2123">
        <v>116.98</v>
      </c>
      <c r="FU773" s="2123">
        <v>116.98</v>
      </c>
      <c r="FV773" s="2123">
        <v>116.98</v>
      </c>
      <c r="FW773" s="2123">
        <v>118.25</v>
      </c>
      <c r="FX773" s="2123">
        <v>118.25</v>
      </c>
      <c r="GC773" s="2123">
        <v>45.88</v>
      </c>
      <c r="GD773" s="2123">
        <v>45.88</v>
      </c>
      <c r="GE773" s="2123">
        <v>108.72</v>
      </c>
      <c r="GF773" s="2123">
        <v>108.72</v>
      </c>
      <c r="GG773" s="2123">
        <v>108.72</v>
      </c>
      <c r="GH773" s="2123">
        <v>108.72</v>
      </c>
      <c r="GI773" s="2123">
        <v>71.64</v>
      </c>
      <c r="GJ773" s="2123">
        <v>71.64</v>
      </c>
      <c r="GK773" s="2123">
        <v>107.15</v>
      </c>
      <c r="GL773" s="2123">
        <v>107.15</v>
      </c>
      <c r="GO773" s="2123">
        <v>24.58</v>
      </c>
      <c r="GP773" s="2123">
        <v>24.58</v>
      </c>
      <c r="GQ773" s="2123">
        <v>16.91</v>
      </c>
      <c r="GR773" s="2123">
        <v>16.91</v>
      </c>
      <c r="GS773" s="2123">
        <v>16.91</v>
      </c>
      <c r="GT773" s="2123">
        <v>16.149999999999999</v>
      </c>
      <c r="GU773" s="2123">
        <v>16.149999999999999</v>
      </c>
      <c r="GV773" s="2123">
        <v>16.149999999999999</v>
      </c>
      <c r="GW773" s="2123">
        <v>98.43</v>
      </c>
      <c r="GX773" s="2123">
        <v>98.43</v>
      </c>
      <c r="HA773" s="2123">
        <v>17.239999999999998</v>
      </c>
      <c r="HB773" s="2123">
        <v>17.239999999999998</v>
      </c>
      <c r="HC773" s="2123">
        <v>8.6300000000000008</v>
      </c>
      <c r="HD773" s="2123">
        <v>8.6300000000000008</v>
      </c>
      <c r="HE773" s="2123">
        <v>9.73</v>
      </c>
      <c r="HF773" s="2123">
        <v>9.73</v>
      </c>
      <c r="HG773" s="2123">
        <v>9.73</v>
      </c>
      <c r="HH773" s="2123">
        <v>9.73</v>
      </c>
      <c r="HI773" s="2123">
        <v>9.73</v>
      </c>
      <c r="HJ773" s="2123">
        <v>9.73</v>
      </c>
      <c r="HK773" s="2123">
        <v>9.68</v>
      </c>
      <c r="HL773" s="2123">
        <v>9.68</v>
      </c>
      <c r="HM773" s="2123">
        <v>24.12</v>
      </c>
      <c r="HN773" s="2123">
        <v>24.12</v>
      </c>
      <c r="HO773" s="2123">
        <v>12.49</v>
      </c>
      <c r="HP773" s="2123">
        <v>12.49</v>
      </c>
      <c r="HQ773" s="2123">
        <v>14.1</v>
      </c>
      <c r="HR773" s="2123">
        <v>14.1</v>
      </c>
      <c r="HS773" s="2123">
        <v>14.1</v>
      </c>
      <c r="HT773" s="2123">
        <v>14.1</v>
      </c>
      <c r="HU773" s="2123">
        <v>14.1</v>
      </c>
      <c r="HV773" s="2123">
        <v>14.1</v>
      </c>
      <c r="HW773" s="2123">
        <v>13.93</v>
      </c>
      <c r="HX773" s="2050">
        <v>13.93</v>
      </c>
    </row>
    <row r="774" spans="1:232" s="2123" customFormat="1" ht="14" hidden="1" x14ac:dyDescent="0.3">
      <c r="A774" s="2040"/>
      <c r="B774" s="2127">
        <v>25</v>
      </c>
      <c r="C774" s="2128">
        <v>28.08</v>
      </c>
      <c r="D774" s="2128">
        <v>28.08</v>
      </c>
      <c r="E774" s="2128">
        <v>29.16</v>
      </c>
      <c r="F774" s="2128">
        <v>29.16</v>
      </c>
      <c r="G774" s="2128">
        <v>98.24</v>
      </c>
      <c r="H774" s="2128">
        <v>98.24</v>
      </c>
      <c r="I774" s="2128">
        <v>88.6</v>
      </c>
      <c r="J774" s="2128">
        <v>88.6</v>
      </c>
      <c r="K774" s="2128">
        <v>103.1</v>
      </c>
      <c r="L774" s="2128">
        <v>103.1</v>
      </c>
      <c r="M774" s="2128"/>
      <c r="N774" s="2128"/>
      <c r="O774" s="2128">
        <v>87.58</v>
      </c>
      <c r="P774" s="2128">
        <v>87.58</v>
      </c>
      <c r="Q774" s="2128">
        <v>89.18</v>
      </c>
      <c r="R774" s="2128">
        <v>87.59</v>
      </c>
      <c r="S774" s="2128">
        <v>130.96</v>
      </c>
      <c r="T774" s="2128">
        <v>130.96</v>
      </c>
      <c r="U774" s="2128">
        <v>126.4</v>
      </c>
      <c r="V774" s="2128">
        <v>126.4</v>
      </c>
      <c r="W774" s="2128">
        <v>130.96</v>
      </c>
      <c r="X774" s="2128">
        <v>130.96</v>
      </c>
      <c r="Y774" s="2128">
        <v>126.4</v>
      </c>
      <c r="Z774" s="2128">
        <v>130.96</v>
      </c>
      <c r="AA774" s="2128">
        <v>130.96</v>
      </c>
      <c r="AB774" s="2128">
        <v>130.96</v>
      </c>
      <c r="AC774" s="2128">
        <v>126.4</v>
      </c>
      <c r="AD774" s="2128">
        <v>126.4</v>
      </c>
      <c r="AE774" s="2128">
        <v>151.07</v>
      </c>
      <c r="AF774" s="2128">
        <v>146.82</v>
      </c>
      <c r="AG774" s="2128">
        <v>151.07</v>
      </c>
      <c r="AH774" s="2128">
        <v>151.07</v>
      </c>
      <c r="AI774" s="2128">
        <v>146.82</v>
      </c>
      <c r="AJ774" s="2128">
        <v>146.82</v>
      </c>
      <c r="AK774" s="2128">
        <v>149.07</v>
      </c>
      <c r="AL774" s="2128">
        <v>149.07</v>
      </c>
      <c r="AM774" s="2128">
        <v>46.42</v>
      </c>
      <c r="AN774" s="2128">
        <v>44.69</v>
      </c>
      <c r="AO774" s="2128">
        <v>44.69</v>
      </c>
      <c r="AP774" s="2128">
        <v>44.69</v>
      </c>
      <c r="AQ774" s="2128">
        <v>46.53</v>
      </c>
      <c r="AR774" s="2128">
        <v>46.53</v>
      </c>
      <c r="AS774" s="2128">
        <v>117.94</v>
      </c>
      <c r="AT774" s="2128">
        <v>117.94</v>
      </c>
      <c r="AU774" s="2128">
        <v>117.94</v>
      </c>
      <c r="AV774" s="2128">
        <v>121.75</v>
      </c>
      <c r="AW774" s="2128">
        <v>117.48</v>
      </c>
      <c r="AX774" s="2128">
        <v>117.48</v>
      </c>
      <c r="AY774" s="2128">
        <v>117.71</v>
      </c>
      <c r="AZ774" s="2128">
        <v>117.71</v>
      </c>
      <c r="BA774" s="2123">
        <v>50.23</v>
      </c>
      <c r="BB774" s="2123">
        <v>50.23</v>
      </c>
      <c r="BC774" s="2123">
        <v>11.29</v>
      </c>
      <c r="BD774" s="2123">
        <v>11.29</v>
      </c>
      <c r="BE774" s="2123">
        <v>16.45</v>
      </c>
      <c r="BF774" s="2123">
        <v>16.45</v>
      </c>
      <c r="BG774" s="2123">
        <v>11.34</v>
      </c>
      <c r="BH774" s="2123">
        <v>11.34</v>
      </c>
      <c r="BI774" s="2123">
        <v>11.17</v>
      </c>
      <c r="BJ774" s="2123">
        <v>11.17</v>
      </c>
      <c r="BK774" s="2123">
        <v>11.17</v>
      </c>
      <c r="BL774" s="2123">
        <v>11.17</v>
      </c>
      <c r="BM774" s="2123">
        <v>33.950000000000003</v>
      </c>
      <c r="BN774" s="2123">
        <v>33.950000000000003</v>
      </c>
      <c r="BO774" s="2123">
        <v>99.11</v>
      </c>
      <c r="BP774" s="2123">
        <v>99.11</v>
      </c>
      <c r="BQ774" s="2123">
        <v>99.11</v>
      </c>
      <c r="BR774" s="2123">
        <v>99.11</v>
      </c>
      <c r="BS774" s="2123">
        <v>114.28</v>
      </c>
      <c r="BT774" s="2123">
        <v>114.28</v>
      </c>
      <c r="BU774" s="2123">
        <v>114.28</v>
      </c>
      <c r="BV774" s="2123">
        <v>114.28</v>
      </c>
      <c r="BW774" s="2123">
        <v>114.28</v>
      </c>
      <c r="BX774" s="2123">
        <v>114.28</v>
      </c>
      <c r="BY774" s="2123">
        <v>30.85</v>
      </c>
      <c r="BZ774" s="2123">
        <v>30.85</v>
      </c>
      <c r="CA774" s="2123">
        <v>93.85</v>
      </c>
      <c r="CB774" s="2123">
        <v>93.85</v>
      </c>
      <c r="CC774" s="2123">
        <v>93.97</v>
      </c>
      <c r="CD774" s="2123">
        <v>93.97</v>
      </c>
      <c r="CE774" s="2123">
        <v>111.33</v>
      </c>
      <c r="CF774" s="2123">
        <v>111.33</v>
      </c>
      <c r="CK774" s="2123">
        <v>82.05</v>
      </c>
      <c r="CL774" s="2123">
        <v>82.05</v>
      </c>
      <c r="CM774" s="2123">
        <v>170.37</v>
      </c>
      <c r="CN774" s="2123">
        <v>170.37</v>
      </c>
      <c r="CO774" s="2123">
        <v>196.19</v>
      </c>
      <c r="CP774" s="2123">
        <v>196.19</v>
      </c>
      <c r="CQ774" s="2123">
        <v>196.19</v>
      </c>
      <c r="CR774" s="2123">
        <v>196.19</v>
      </c>
      <c r="CW774" s="2123">
        <v>71.47</v>
      </c>
      <c r="CX774" s="2123">
        <v>71.47</v>
      </c>
      <c r="CY774" s="2123">
        <v>160.97</v>
      </c>
      <c r="CZ774" s="2123">
        <v>160.97</v>
      </c>
      <c r="DA774" s="2123">
        <v>160.97</v>
      </c>
      <c r="DB774" s="2123">
        <v>160.97</v>
      </c>
      <c r="DC774" s="2123">
        <v>185.42</v>
      </c>
      <c r="DD774" s="2123">
        <v>185.42</v>
      </c>
      <c r="DE774" s="2123">
        <v>185.42</v>
      </c>
      <c r="DF774" s="2123">
        <v>185.42</v>
      </c>
      <c r="DI774" s="2123">
        <v>18.940000000000001</v>
      </c>
      <c r="DJ774" s="2123">
        <v>18.940000000000001</v>
      </c>
      <c r="DK774" s="2123">
        <v>18.940000000000001</v>
      </c>
      <c r="DL774" s="2123">
        <v>18.940000000000001</v>
      </c>
      <c r="DM774" s="2123">
        <v>18.940000000000001</v>
      </c>
      <c r="DN774" s="2123">
        <v>18.940000000000001</v>
      </c>
      <c r="DU774" s="2123">
        <v>8.51</v>
      </c>
      <c r="DV774" s="2123">
        <v>8.51</v>
      </c>
      <c r="DW774" s="2123">
        <v>7.2</v>
      </c>
      <c r="DX774" s="2123">
        <v>7.2</v>
      </c>
      <c r="DY774" s="2123">
        <v>7.2</v>
      </c>
      <c r="DZ774" s="2123">
        <v>7.2</v>
      </c>
      <c r="EG774" s="2123">
        <v>9.31</v>
      </c>
      <c r="EH774" s="2123">
        <v>9.67</v>
      </c>
      <c r="EI774" s="2123">
        <v>5.52</v>
      </c>
      <c r="EJ774" s="2123">
        <v>5.52</v>
      </c>
      <c r="EK774" s="2123">
        <v>5.47</v>
      </c>
      <c r="EL774" s="2123">
        <v>5.47</v>
      </c>
      <c r="EM774" s="2123">
        <v>6.28</v>
      </c>
      <c r="EN774" s="2123">
        <v>6.28</v>
      </c>
      <c r="EO774" s="2123">
        <v>5.75</v>
      </c>
      <c r="EP774" s="2123">
        <v>5.75</v>
      </c>
      <c r="EQ774" s="2123">
        <v>5.91</v>
      </c>
      <c r="ER774" s="2123">
        <v>6.07</v>
      </c>
      <c r="ES774" s="2123">
        <v>34.68</v>
      </c>
      <c r="ET774" s="2123">
        <v>34.68</v>
      </c>
      <c r="EU774" s="2123">
        <v>124.4</v>
      </c>
      <c r="EV774" s="2123">
        <v>124.4</v>
      </c>
      <c r="EW774" s="2123">
        <v>120.41</v>
      </c>
      <c r="EX774" s="2123">
        <v>120.41</v>
      </c>
      <c r="EY774" s="2129">
        <f t="shared" si="50"/>
        <v>122.405</v>
      </c>
      <c r="EZ774" s="2129">
        <f t="shared" si="50"/>
        <v>122.405</v>
      </c>
      <c r="FA774" s="2123">
        <v>126.3</v>
      </c>
      <c r="FB774" s="2123">
        <v>126.3</v>
      </c>
      <c r="FE774" s="2123">
        <v>29.42</v>
      </c>
      <c r="FF774" s="2123">
        <v>29.42</v>
      </c>
      <c r="FG774" s="2123">
        <v>102.07</v>
      </c>
      <c r="FH774" s="2123">
        <v>102.07</v>
      </c>
      <c r="FI774" s="2123">
        <v>102.07</v>
      </c>
      <c r="FJ774" s="2123">
        <v>102.07</v>
      </c>
      <c r="FK774" s="2123">
        <v>100.85</v>
      </c>
      <c r="FL774" s="2123">
        <v>100.85</v>
      </c>
      <c r="FM774" s="2123">
        <v>102.68</v>
      </c>
      <c r="FN774" s="2123">
        <v>102.68</v>
      </c>
      <c r="FQ774" s="2123">
        <v>65.78</v>
      </c>
      <c r="FR774" s="2123">
        <v>65.78</v>
      </c>
      <c r="FS774" s="2123">
        <v>122.51</v>
      </c>
      <c r="FT774" s="2123">
        <v>122.51</v>
      </c>
      <c r="FU774" s="2123">
        <v>122.51</v>
      </c>
      <c r="FV774" s="2123">
        <v>122.51</v>
      </c>
      <c r="FW774" s="2123">
        <v>123.76</v>
      </c>
      <c r="FX774" s="2123">
        <v>123.76</v>
      </c>
      <c r="GC774" s="2123">
        <v>47.42</v>
      </c>
      <c r="GD774" s="2123">
        <v>47.42</v>
      </c>
      <c r="GE774" s="2123">
        <v>111.93</v>
      </c>
      <c r="GF774" s="2123">
        <v>111.93</v>
      </c>
      <c r="GG774" s="2123">
        <v>111.93</v>
      </c>
      <c r="GH774" s="2123">
        <v>111.93</v>
      </c>
      <c r="GI774" s="2123">
        <v>76.28</v>
      </c>
      <c r="GJ774" s="2123">
        <v>76.28</v>
      </c>
      <c r="GK774" s="2123">
        <v>111.95</v>
      </c>
      <c r="GL774" s="2123">
        <v>111.95</v>
      </c>
      <c r="GO774" s="2123">
        <v>25.54</v>
      </c>
      <c r="GP774" s="2123">
        <v>25.54</v>
      </c>
      <c r="GQ774" s="2123">
        <v>17.670000000000002</v>
      </c>
      <c r="GR774" s="2123">
        <v>17.670000000000002</v>
      </c>
      <c r="GS774" s="2123">
        <v>17.670000000000002</v>
      </c>
      <c r="GT774" s="2123">
        <v>16.88</v>
      </c>
      <c r="GU774" s="2123">
        <v>16.88</v>
      </c>
      <c r="GV774" s="2123">
        <v>16.88</v>
      </c>
      <c r="GW774" s="2123">
        <v>102.69</v>
      </c>
      <c r="GX774" s="2123">
        <v>102.69</v>
      </c>
      <c r="HA774" s="2123">
        <v>17.760000000000002</v>
      </c>
      <c r="HB774" s="2123">
        <v>17.760000000000002</v>
      </c>
      <c r="HC774" s="2123">
        <v>9.1300000000000008</v>
      </c>
      <c r="HD774" s="2123">
        <v>9.1300000000000008</v>
      </c>
      <c r="HE774" s="2123">
        <v>10.23</v>
      </c>
      <c r="HF774" s="2123">
        <v>10.23</v>
      </c>
      <c r="HG774" s="2123">
        <v>10.23</v>
      </c>
      <c r="HH774" s="2123">
        <v>10.23</v>
      </c>
      <c r="HI774" s="2123">
        <v>10.23</v>
      </c>
      <c r="HJ774" s="2123">
        <v>10.23</v>
      </c>
      <c r="HK774" s="2123">
        <v>10.18</v>
      </c>
      <c r="HL774" s="2123">
        <v>10.18</v>
      </c>
      <c r="HM774" s="2123">
        <v>24.85</v>
      </c>
      <c r="HN774" s="2123">
        <v>24.85</v>
      </c>
      <c r="HO774" s="2123">
        <v>13.19</v>
      </c>
      <c r="HP774" s="2123">
        <v>13.19</v>
      </c>
      <c r="HQ774" s="2123">
        <v>14.8</v>
      </c>
      <c r="HR774" s="2123">
        <v>14.8</v>
      </c>
      <c r="HS774" s="2123">
        <v>14.8</v>
      </c>
      <c r="HT774" s="2123">
        <v>14.8</v>
      </c>
      <c r="HU774" s="2123">
        <v>14.8</v>
      </c>
      <c r="HV774" s="2123">
        <v>14.8</v>
      </c>
      <c r="HW774" s="2123">
        <v>14.64</v>
      </c>
      <c r="HX774" s="2050">
        <v>14.64</v>
      </c>
    </row>
    <row r="775" spans="1:232" s="2123" customFormat="1" ht="14" hidden="1" x14ac:dyDescent="0.3">
      <c r="A775" s="2040"/>
      <c r="B775" s="2127">
        <v>26</v>
      </c>
      <c r="C775" s="2128">
        <v>28.87</v>
      </c>
      <c r="D775" s="2128">
        <v>28.87</v>
      </c>
      <c r="E775" s="2128">
        <v>29.9</v>
      </c>
      <c r="F775" s="2128">
        <v>29.9</v>
      </c>
      <c r="G775" s="2128">
        <v>101.54</v>
      </c>
      <c r="H775" s="2128">
        <v>101.54</v>
      </c>
      <c r="I775" s="2128">
        <v>91.81</v>
      </c>
      <c r="J775" s="2128">
        <v>91.81</v>
      </c>
      <c r="K775" s="2128">
        <v>105.96</v>
      </c>
      <c r="L775" s="2128">
        <v>105.96</v>
      </c>
      <c r="M775" s="2128"/>
      <c r="N775" s="2128"/>
      <c r="O775" s="2128">
        <v>90.08</v>
      </c>
      <c r="P775" s="2128">
        <v>90.08</v>
      </c>
      <c r="Q775" s="2128">
        <v>91.55</v>
      </c>
      <c r="R775" s="2128">
        <v>90.09</v>
      </c>
      <c r="S775" s="2128">
        <v>136.33000000000001</v>
      </c>
      <c r="T775" s="2128">
        <v>136.33000000000001</v>
      </c>
      <c r="U775" s="2128">
        <v>131.58000000000001</v>
      </c>
      <c r="V775" s="2128">
        <v>131.58000000000001</v>
      </c>
      <c r="W775" s="2128">
        <v>136.33000000000001</v>
      </c>
      <c r="X775" s="2128">
        <v>136.33000000000001</v>
      </c>
      <c r="Y775" s="2128">
        <v>131.58000000000001</v>
      </c>
      <c r="Z775" s="2128">
        <v>136.33000000000001</v>
      </c>
      <c r="AA775" s="2128">
        <v>136.33000000000001</v>
      </c>
      <c r="AB775" s="2128">
        <v>136.33000000000001</v>
      </c>
      <c r="AC775" s="2128">
        <v>131.58000000000001</v>
      </c>
      <c r="AD775" s="2128">
        <v>131.58000000000001</v>
      </c>
      <c r="AE775" s="2128">
        <v>156.44</v>
      </c>
      <c r="AF775" s="2128">
        <v>152.04</v>
      </c>
      <c r="AG775" s="2128">
        <v>156.44</v>
      </c>
      <c r="AH775" s="2128">
        <v>156.44</v>
      </c>
      <c r="AI775" s="2128">
        <v>152.04</v>
      </c>
      <c r="AJ775" s="2128">
        <v>152.04</v>
      </c>
      <c r="AK775" s="2128">
        <v>154.19</v>
      </c>
      <c r="AL775" s="2128">
        <v>154.19</v>
      </c>
      <c r="AM775" s="2128">
        <v>47.73</v>
      </c>
      <c r="AN775" s="2128">
        <v>45.96</v>
      </c>
      <c r="AO775" s="2128">
        <v>45.96</v>
      </c>
      <c r="AP775" s="2128">
        <v>45.96</v>
      </c>
      <c r="AQ775" s="2128">
        <v>47.71</v>
      </c>
      <c r="AR775" s="2128">
        <v>47.71</v>
      </c>
      <c r="AS775" s="2128">
        <v>122.17</v>
      </c>
      <c r="AT775" s="2128">
        <v>122.17</v>
      </c>
      <c r="AU775" s="2128">
        <v>122.17</v>
      </c>
      <c r="AV775" s="2128">
        <v>126.03</v>
      </c>
      <c r="AW775" s="2128">
        <v>121.78</v>
      </c>
      <c r="AX775" s="2128">
        <v>121.78</v>
      </c>
      <c r="AY775" s="2128">
        <v>122</v>
      </c>
      <c r="AZ775" s="2128">
        <v>122</v>
      </c>
      <c r="BA775" s="2123">
        <v>52.1</v>
      </c>
      <c r="BB775" s="2123">
        <v>52.1</v>
      </c>
      <c r="BC775" s="2123">
        <v>11.79</v>
      </c>
      <c r="BD775" s="2123">
        <v>11.79</v>
      </c>
      <c r="BE775" s="2123">
        <v>16.93</v>
      </c>
      <c r="BF775" s="2123">
        <v>16.93</v>
      </c>
      <c r="BG775" s="2123">
        <v>11.85</v>
      </c>
      <c r="BH775" s="2123">
        <v>11.85</v>
      </c>
      <c r="BI775" s="2123">
        <v>11.68</v>
      </c>
      <c r="BJ775" s="2123">
        <v>11.68</v>
      </c>
      <c r="BK775" s="2123">
        <v>11.68</v>
      </c>
      <c r="BL775" s="2123">
        <v>11.68</v>
      </c>
      <c r="BM775" s="2123">
        <v>34.909999999999997</v>
      </c>
      <c r="BN775" s="2123">
        <v>34.909999999999997</v>
      </c>
      <c r="BO775" s="2123">
        <v>102.29</v>
      </c>
      <c r="BP775" s="2123">
        <v>102.29</v>
      </c>
      <c r="BQ775" s="2123">
        <v>102.29</v>
      </c>
      <c r="BR775" s="2123">
        <v>102.29</v>
      </c>
      <c r="BS775" s="2123">
        <v>118.72</v>
      </c>
      <c r="BT775" s="2123">
        <v>118.72</v>
      </c>
      <c r="BU775" s="2123">
        <v>118.72</v>
      </c>
      <c r="BV775" s="2123">
        <v>118.72</v>
      </c>
      <c r="BW775" s="2123">
        <v>118.72</v>
      </c>
      <c r="BX775" s="2123">
        <v>118.72</v>
      </c>
      <c r="BY775" s="2123">
        <v>31.72</v>
      </c>
      <c r="BZ775" s="2123">
        <v>31.72</v>
      </c>
      <c r="CA775" s="2123">
        <v>96.92</v>
      </c>
      <c r="CB775" s="2123">
        <v>96.92</v>
      </c>
      <c r="CC775" s="2123">
        <v>97.15</v>
      </c>
      <c r="CD775" s="2123">
        <v>97.15</v>
      </c>
      <c r="CE775" s="2123">
        <v>115.74</v>
      </c>
      <c r="CF775" s="2123">
        <v>115.74</v>
      </c>
      <c r="CK775" s="2123">
        <v>83.92</v>
      </c>
      <c r="CL775" s="2123">
        <v>83.92</v>
      </c>
      <c r="CM775" s="2123">
        <v>174.18</v>
      </c>
      <c r="CN775" s="2123">
        <v>174.18</v>
      </c>
      <c r="CO775" s="2123">
        <v>201.84</v>
      </c>
      <c r="CP775" s="2123">
        <v>201.84</v>
      </c>
      <c r="CQ775" s="2123">
        <v>201.84</v>
      </c>
      <c r="CR775" s="2123">
        <v>201.84</v>
      </c>
      <c r="CW775" s="2123">
        <v>73.5</v>
      </c>
      <c r="CX775" s="2123">
        <v>73.5</v>
      </c>
      <c r="CY775" s="2123">
        <v>164.77</v>
      </c>
      <c r="CZ775" s="2123">
        <v>164.77</v>
      </c>
      <c r="DA775" s="2123">
        <v>164.77</v>
      </c>
      <c r="DB775" s="2123">
        <v>164.77</v>
      </c>
      <c r="DC775" s="2123">
        <v>191</v>
      </c>
      <c r="DD775" s="2123">
        <v>191</v>
      </c>
      <c r="DE775" s="2123">
        <v>191</v>
      </c>
      <c r="DF775" s="2123">
        <v>191</v>
      </c>
      <c r="DI775" s="2123">
        <v>19.47</v>
      </c>
      <c r="DJ775" s="2123">
        <v>19.47</v>
      </c>
      <c r="DK775" s="2123">
        <v>19.47</v>
      </c>
      <c r="DL775" s="2123">
        <v>19.47</v>
      </c>
      <c r="DM775" s="2123">
        <v>19.47</v>
      </c>
      <c r="DN775" s="2123">
        <v>19.47</v>
      </c>
      <c r="DU775" s="2123">
        <v>8.74</v>
      </c>
      <c r="DV775" s="2123">
        <v>8.74</v>
      </c>
      <c r="DW775" s="2123">
        <v>7.45</v>
      </c>
      <c r="DX775" s="2123">
        <v>7.45</v>
      </c>
      <c r="DY775" s="2123">
        <v>7.45</v>
      </c>
      <c r="DZ775" s="2123">
        <v>7.45</v>
      </c>
      <c r="EG775" s="2123">
        <v>9.58</v>
      </c>
      <c r="EH775" s="2123">
        <v>9.93</v>
      </c>
      <c r="EI775" s="2123">
        <v>5.79</v>
      </c>
      <c r="EJ775" s="2123">
        <v>5.79</v>
      </c>
      <c r="EK775" s="2123">
        <v>5.74</v>
      </c>
      <c r="EL775" s="2123">
        <v>5.74</v>
      </c>
      <c r="EM775" s="2123">
        <v>6.56</v>
      </c>
      <c r="EN775" s="2123">
        <v>6.56</v>
      </c>
      <c r="EO775" s="2123">
        <v>6.02</v>
      </c>
      <c r="EP775" s="2123">
        <v>6.02</v>
      </c>
      <c r="EQ775" s="2123">
        <v>6.19</v>
      </c>
      <c r="ER775" s="2123">
        <v>6.34</v>
      </c>
      <c r="ES775" s="2123">
        <v>36.090000000000003</v>
      </c>
      <c r="ET775" s="2123">
        <v>36.090000000000003</v>
      </c>
      <c r="EU775" s="2123">
        <v>131.47999999999999</v>
      </c>
      <c r="EV775" s="2123">
        <v>131.47999999999999</v>
      </c>
      <c r="EW775" s="2123">
        <v>127.39</v>
      </c>
      <c r="EX775" s="2123">
        <v>127.39</v>
      </c>
      <c r="EY775" s="2129">
        <f t="shared" si="50"/>
        <v>129.435</v>
      </c>
      <c r="EZ775" s="2129">
        <f t="shared" si="50"/>
        <v>129.435</v>
      </c>
      <c r="FA775" s="2123">
        <v>133.22999999999999</v>
      </c>
      <c r="FB775" s="2123">
        <v>133.22999999999999</v>
      </c>
      <c r="FE775" s="2123">
        <v>30.44</v>
      </c>
      <c r="FF775" s="2123">
        <v>30.44</v>
      </c>
      <c r="FG775" s="2123">
        <v>107.08</v>
      </c>
      <c r="FH775" s="2123">
        <v>107.08</v>
      </c>
      <c r="FI775" s="2123">
        <v>107.08</v>
      </c>
      <c r="FJ775" s="2123">
        <v>107.08</v>
      </c>
      <c r="FK775" s="2123">
        <v>105.88</v>
      </c>
      <c r="FL775" s="2123">
        <v>105.88</v>
      </c>
      <c r="FM775" s="2123">
        <v>107.69</v>
      </c>
      <c r="FN775" s="2123">
        <v>107.69</v>
      </c>
      <c r="FQ775" s="2123">
        <v>68.099999999999994</v>
      </c>
      <c r="FR775" s="2123">
        <v>68.099999999999994</v>
      </c>
      <c r="FS775" s="2123">
        <v>127.4</v>
      </c>
      <c r="FT775" s="2123">
        <v>127.4</v>
      </c>
      <c r="FU775" s="2123">
        <v>127.4</v>
      </c>
      <c r="FV775" s="2123">
        <v>127.4</v>
      </c>
      <c r="FW775" s="2123">
        <v>128.63</v>
      </c>
      <c r="FX775" s="2123">
        <v>128.63</v>
      </c>
      <c r="GC775" s="2123">
        <v>48.89</v>
      </c>
      <c r="GD775" s="2123">
        <v>48.89</v>
      </c>
      <c r="GE775" s="2123">
        <v>114.99</v>
      </c>
      <c r="GF775" s="2123">
        <v>114.99</v>
      </c>
      <c r="GG775" s="2123">
        <v>114.99</v>
      </c>
      <c r="GH775" s="2123">
        <v>114.99</v>
      </c>
      <c r="GI775" s="2123">
        <v>80.790000000000006</v>
      </c>
      <c r="GJ775" s="2123">
        <v>80.790000000000006</v>
      </c>
      <c r="GK775" s="2123">
        <v>116.55</v>
      </c>
      <c r="GL775" s="2123">
        <v>116.55</v>
      </c>
      <c r="GO775" s="2123">
        <v>26.3</v>
      </c>
      <c r="GP775" s="2123">
        <v>26.3</v>
      </c>
      <c r="GQ775" s="2123">
        <v>18.399999999999999</v>
      </c>
      <c r="GR775" s="2123">
        <v>18.399999999999999</v>
      </c>
      <c r="GS775" s="2123">
        <v>18.399999999999999</v>
      </c>
      <c r="GT775" s="2123">
        <v>17.59</v>
      </c>
      <c r="GU775" s="2123">
        <v>17.59</v>
      </c>
      <c r="GV775" s="2123">
        <v>17.59</v>
      </c>
      <c r="GW775" s="2123">
        <v>106.79</v>
      </c>
      <c r="GX775" s="2123">
        <v>106.79</v>
      </c>
      <c r="HA775" s="2123">
        <v>18.260000000000002</v>
      </c>
      <c r="HB775" s="2123">
        <v>18.260000000000002</v>
      </c>
      <c r="HC775" s="2123">
        <v>9.61</v>
      </c>
      <c r="HD775" s="2123">
        <v>9.61</v>
      </c>
      <c r="HE775" s="2123">
        <v>10.71</v>
      </c>
      <c r="HF775" s="2123">
        <v>10.71</v>
      </c>
      <c r="HG775" s="2123">
        <v>10.71</v>
      </c>
      <c r="HH775" s="2123">
        <v>10.71</v>
      </c>
      <c r="HI775" s="2123">
        <v>10.71</v>
      </c>
      <c r="HJ775" s="2123">
        <v>10.71</v>
      </c>
      <c r="HK775" s="2123">
        <v>10.67</v>
      </c>
      <c r="HL775" s="2123">
        <v>10.67</v>
      </c>
      <c r="HM775" s="2123">
        <v>25.55</v>
      </c>
      <c r="HN775" s="2123">
        <v>25.55</v>
      </c>
      <c r="HO775" s="2123">
        <v>13.87</v>
      </c>
      <c r="HP775" s="2123">
        <v>13.87</v>
      </c>
      <c r="HQ775" s="2123">
        <v>15.48</v>
      </c>
      <c r="HR775" s="2123">
        <v>15.48</v>
      </c>
      <c r="HS775" s="2123">
        <v>15.48</v>
      </c>
      <c r="HT775" s="2123">
        <v>15.48</v>
      </c>
      <c r="HU775" s="2123">
        <v>15.48</v>
      </c>
      <c r="HV775" s="2123">
        <v>15.48</v>
      </c>
      <c r="HW775" s="2123">
        <v>15.33</v>
      </c>
      <c r="HX775" s="2050">
        <v>15.33</v>
      </c>
    </row>
    <row r="776" spans="1:232" s="2123" customFormat="1" ht="14" hidden="1" x14ac:dyDescent="0.3">
      <c r="A776" s="2040"/>
      <c r="B776" s="2127">
        <v>27</v>
      </c>
      <c r="C776" s="2128">
        <v>29.63</v>
      </c>
      <c r="D776" s="2128">
        <v>29.63</v>
      </c>
      <c r="E776" s="2128">
        <v>30.6</v>
      </c>
      <c r="F776" s="2128">
        <v>30.6</v>
      </c>
      <c r="G776" s="2128">
        <v>104.71</v>
      </c>
      <c r="H776" s="2128">
        <v>104.71</v>
      </c>
      <c r="I776" s="2128">
        <v>94.91</v>
      </c>
      <c r="J776" s="2128">
        <v>94.91</v>
      </c>
      <c r="K776" s="2128">
        <v>108.7</v>
      </c>
      <c r="L776" s="2128">
        <v>108.7</v>
      </c>
      <c r="M776" s="2128"/>
      <c r="N776" s="2128"/>
      <c r="O776" s="2128">
        <v>92.45</v>
      </c>
      <c r="P776" s="2128">
        <v>92.45</v>
      </c>
      <c r="Q776" s="2128">
        <v>93.82</v>
      </c>
      <c r="R776" s="2128">
        <v>92.46</v>
      </c>
      <c r="S776" s="2128">
        <v>141.5</v>
      </c>
      <c r="T776" s="2128">
        <v>141.5</v>
      </c>
      <c r="U776" s="2128">
        <v>136.57</v>
      </c>
      <c r="V776" s="2128">
        <v>136.57</v>
      </c>
      <c r="W776" s="2128">
        <v>141.5</v>
      </c>
      <c r="X776" s="2128">
        <v>141.5</v>
      </c>
      <c r="Y776" s="2128">
        <v>136.57</v>
      </c>
      <c r="Z776" s="2128">
        <v>141.5</v>
      </c>
      <c r="AA776" s="2128">
        <v>141.5</v>
      </c>
      <c r="AB776" s="2128">
        <v>141.5</v>
      </c>
      <c r="AC776" s="2128">
        <v>136.57</v>
      </c>
      <c r="AD776" s="2128">
        <v>136.57</v>
      </c>
      <c r="AE776" s="2128">
        <v>161.58000000000001</v>
      </c>
      <c r="AF776" s="2128">
        <v>157.03</v>
      </c>
      <c r="AG776" s="2128">
        <v>161.58000000000001</v>
      </c>
      <c r="AH776" s="2128">
        <v>161.58000000000001</v>
      </c>
      <c r="AI776" s="2128">
        <v>157.03</v>
      </c>
      <c r="AJ776" s="2128">
        <v>157.03</v>
      </c>
      <c r="AK776" s="2128">
        <v>159.09</v>
      </c>
      <c r="AL776" s="2128">
        <v>159.09</v>
      </c>
      <c r="AM776" s="2128">
        <v>48.98</v>
      </c>
      <c r="AN776" s="2128">
        <v>47.16</v>
      </c>
      <c r="AO776" s="2128">
        <v>47.16</v>
      </c>
      <c r="AP776" s="2128">
        <v>47.16</v>
      </c>
      <c r="AQ776" s="2128">
        <v>48.84</v>
      </c>
      <c r="AR776" s="2128">
        <v>48.84</v>
      </c>
      <c r="AS776" s="2128">
        <v>126.22</v>
      </c>
      <c r="AT776" s="2128">
        <v>126.22</v>
      </c>
      <c r="AU776" s="2128">
        <v>126.22</v>
      </c>
      <c r="AV776" s="2128">
        <v>130.13999999999999</v>
      </c>
      <c r="AW776" s="2128">
        <v>125.9</v>
      </c>
      <c r="AX776" s="2128">
        <v>125.9</v>
      </c>
      <c r="AY776" s="2128">
        <v>126.11</v>
      </c>
      <c r="AZ776" s="2128">
        <v>126.11</v>
      </c>
      <c r="BA776" s="2123">
        <v>53.89</v>
      </c>
      <c r="BB776" s="2123">
        <v>53.89</v>
      </c>
      <c r="BC776" s="2123">
        <v>12.28</v>
      </c>
      <c r="BD776" s="2123">
        <v>12.28</v>
      </c>
      <c r="BE776" s="2123">
        <v>17.38</v>
      </c>
      <c r="BF776" s="2123">
        <v>17.38</v>
      </c>
      <c r="BG776" s="2123">
        <v>12.33</v>
      </c>
      <c r="BH776" s="2123">
        <v>12.33</v>
      </c>
      <c r="BI776" s="2123">
        <v>12.16</v>
      </c>
      <c r="BJ776" s="2123">
        <v>12.16</v>
      </c>
      <c r="BK776" s="2123">
        <v>12.16</v>
      </c>
      <c r="BL776" s="2123">
        <v>12.16</v>
      </c>
      <c r="BM776" s="2123">
        <v>35.83</v>
      </c>
      <c r="BN776" s="2123">
        <v>35.83</v>
      </c>
      <c r="BO776" s="2123">
        <v>105.32</v>
      </c>
      <c r="BP776" s="2123">
        <v>105.32</v>
      </c>
      <c r="BQ776" s="2123">
        <v>105.32</v>
      </c>
      <c r="BR776" s="2123">
        <v>105.32</v>
      </c>
      <c r="BS776" s="2123">
        <v>122.99</v>
      </c>
      <c r="BT776" s="2123">
        <v>122.99</v>
      </c>
      <c r="BU776" s="2123">
        <v>122.99</v>
      </c>
      <c r="BV776" s="2123">
        <v>122.99</v>
      </c>
      <c r="BW776" s="2123">
        <v>122.99</v>
      </c>
      <c r="BX776" s="2123">
        <v>122.99</v>
      </c>
      <c r="BY776" s="2123">
        <v>32.549999999999997</v>
      </c>
      <c r="BZ776" s="2123">
        <v>32.549999999999997</v>
      </c>
      <c r="CA776" s="2123">
        <v>99.85</v>
      </c>
      <c r="CB776" s="2123">
        <v>99.85</v>
      </c>
      <c r="CC776" s="2123">
        <v>100.2</v>
      </c>
      <c r="CD776" s="2123">
        <v>100.2</v>
      </c>
      <c r="CE776" s="2123">
        <v>119.98</v>
      </c>
      <c r="CF776" s="2123">
        <v>119.98</v>
      </c>
      <c r="CK776" s="2123">
        <v>85.7</v>
      </c>
      <c r="CL776" s="2123">
        <v>85.7</v>
      </c>
      <c r="CM776" s="2123">
        <v>177.8</v>
      </c>
      <c r="CN776" s="2123">
        <v>177.8</v>
      </c>
      <c r="CO776" s="2123">
        <v>207.25</v>
      </c>
      <c r="CP776" s="2123">
        <v>207.25</v>
      </c>
      <c r="CQ776" s="2123">
        <v>207.25</v>
      </c>
      <c r="CR776" s="2123">
        <v>207.25</v>
      </c>
      <c r="CW776" s="2123">
        <v>75.44</v>
      </c>
      <c r="CX776" s="2123">
        <v>75.44</v>
      </c>
      <c r="CY776" s="2123">
        <v>168.38</v>
      </c>
      <c r="CZ776" s="2123">
        <v>168.38</v>
      </c>
      <c r="DA776" s="2123">
        <v>168.38</v>
      </c>
      <c r="DB776" s="2123">
        <v>168.38</v>
      </c>
      <c r="DC776" s="2123">
        <v>196.34</v>
      </c>
      <c r="DD776" s="2123">
        <v>196.34</v>
      </c>
      <c r="DE776" s="2123">
        <v>196.34</v>
      </c>
      <c r="DF776" s="2123">
        <v>196.34</v>
      </c>
      <c r="DI776" s="2123">
        <v>19.98</v>
      </c>
      <c r="DJ776" s="2123">
        <v>19.98</v>
      </c>
      <c r="DK776" s="2123">
        <v>19.98</v>
      </c>
      <c r="DL776" s="2123">
        <v>19.98</v>
      </c>
      <c r="DM776" s="2123">
        <v>19.98</v>
      </c>
      <c r="DN776" s="2123">
        <v>19.98</v>
      </c>
      <c r="DU776" s="2123">
        <v>8.9700000000000006</v>
      </c>
      <c r="DV776" s="2123">
        <v>8.9700000000000006</v>
      </c>
      <c r="DW776" s="2123">
        <v>7.7</v>
      </c>
      <c r="DX776" s="2123">
        <v>7.7</v>
      </c>
      <c r="DY776" s="2123">
        <v>7.7</v>
      </c>
      <c r="DZ776" s="2123">
        <v>7.7</v>
      </c>
      <c r="EG776" s="2123">
        <v>9.7100000000000009</v>
      </c>
      <c r="EH776" s="2123">
        <v>10.06</v>
      </c>
      <c r="EI776" s="2123">
        <v>5.93</v>
      </c>
      <c r="EJ776" s="2123">
        <v>5.93</v>
      </c>
      <c r="EK776" s="2123">
        <v>5.88</v>
      </c>
      <c r="EL776" s="2123">
        <v>5.88</v>
      </c>
      <c r="EM776" s="2123">
        <v>6.69</v>
      </c>
      <c r="EN776" s="2123">
        <v>6.69</v>
      </c>
      <c r="EO776" s="2123">
        <v>6.15</v>
      </c>
      <c r="EP776" s="2123">
        <v>6.15</v>
      </c>
      <c r="EQ776" s="2123">
        <v>6.32</v>
      </c>
      <c r="ER776" s="2123">
        <v>6.47</v>
      </c>
      <c r="ES776" s="2123">
        <v>36.630000000000003</v>
      </c>
      <c r="ET776" s="2123">
        <v>36.630000000000003</v>
      </c>
      <c r="EU776" s="2123">
        <v>134.18</v>
      </c>
      <c r="EV776" s="2123">
        <v>134.18</v>
      </c>
      <c r="EW776" s="2123">
        <v>130.04</v>
      </c>
      <c r="EX776" s="2123">
        <v>130.04</v>
      </c>
      <c r="EY776" s="2129">
        <f t="shared" si="50"/>
        <v>132.11000000000001</v>
      </c>
      <c r="EZ776" s="2129">
        <f t="shared" si="50"/>
        <v>132.11000000000001</v>
      </c>
      <c r="FA776" s="2123">
        <v>135.87</v>
      </c>
      <c r="FB776" s="2123">
        <v>135.87</v>
      </c>
      <c r="FE776" s="2123">
        <v>31.05</v>
      </c>
      <c r="FF776" s="2123">
        <v>31.05</v>
      </c>
      <c r="FG776" s="2123">
        <v>110.08</v>
      </c>
      <c r="FH776" s="2123">
        <v>110.08</v>
      </c>
      <c r="FI776" s="2123">
        <v>110.08</v>
      </c>
      <c r="FJ776" s="2123">
        <v>110.08</v>
      </c>
      <c r="FK776" s="2123">
        <v>108.89</v>
      </c>
      <c r="FL776" s="2123">
        <v>108.89</v>
      </c>
      <c r="FM776" s="2123">
        <v>110.69</v>
      </c>
      <c r="FN776" s="2123">
        <v>110.69</v>
      </c>
      <c r="FQ776" s="2123">
        <v>70.010000000000005</v>
      </c>
      <c r="FR776" s="2123">
        <v>70.010000000000005</v>
      </c>
      <c r="FS776" s="2123">
        <v>131.46</v>
      </c>
      <c r="FT776" s="2123">
        <v>131.46</v>
      </c>
      <c r="FU776" s="2123">
        <v>131.46</v>
      </c>
      <c r="FV776" s="2123">
        <v>131.46</v>
      </c>
      <c r="FW776" s="2123">
        <v>132.66999999999999</v>
      </c>
      <c r="FX776" s="2123">
        <v>132.66999999999999</v>
      </c>
      <c r="GC776" s="2123">
        <v>50.25</v>
      </c>
      <c r="GD776" s="2123">
        <v>50.25</v>
      </c>
      <c r="GE776" s="2123">
        <v>117.83</v>
      </c>
      <c r="GF776" s="2123">
        <v>117.83</v>
      </c>
      <c r="GG776" s="2123">
        <v>117.83</v>
      </c>
      <c r="GH776" s="2123">
        <v>117.83</v>
      </c>
      <c r="GI776" s="2123">
        <v>85.07</v>
      </c>
      <c r="GJ776" s="2123">
        <v>85.07</v>
      </c>
      <c r="GK776" s="2123">
        <v>120.87</v>
      </c>
      <c r="GL776" s="2123">
        <v>120.87</v>
      </c>
      <c r="GO776" s="2123">
        <v>26.84</v>
      </c>
      <c r="GP776" s="2123">
        <v>26.84</v>
      </c>
      <c r="GQ776" s="2123">
        <v>19.100000000000001</v>
      </c>
      <c r="GR776" s="2123">
        <v>19.100000000000001</v>
      </c>
      <c r="GS776" s="2123">
        <v>19.100000000000001</v>
      </c>
      <c r="GT776" s="2123">
        <v>18.27</v>
      </c>
      <c r="GU776" s="2123">
        <v>18.27</v>
      </c>
      <c r="GV776" s="2123">
        <v>18.27</v>
      </c>
      <c r="GW776" s="2123">
        <v>110.74</v>
      </c>
      <c r="GX776" s="2123">
        <v>110.74</v>
      </c>
      <c r="HA776" s="2123">
        <v>18.73</v>
      </c>
      <c r="HB776" s="2123">
        <v>18.73</v>
      </c>
      <c r="HC776" s="2123">
        <v>10.08</v>
      </c>
      <c r="HD776" s="2123">
        <v>10.08</v>
      </c>
      <c r="HE776" s="2123">
        <v>11.18</v>
      </c>
      <c r="HF776" s="2123">
        <v>11.18</v>
      </c>
      <c r="HG776" s="2123">
        <v>11.18</v>
      </c>
      <c r="HH776" s="2123">
        <v>11.18</v>
      </c>
      <c r="HI776" s="2123">
        <v>11.18</v>
      </c>
      <c r="HJ776" s="2123">
        <v>11.18</v>
      </c>
      <c r="HK776" s="2123">
        <v>11.14</v>
      </c>
      <c r="HL776" s="2123">
        <v>11.14</v>
      </c>
      <c r="HM776" s="2123">
        <v>26.22</v>
      </c>
      <c r="HN776" s="2123">
        <v>26.22</v>
      </c>
      <c r="HO776" s="2123">
        <v>14.53</v>
      </c>
      <c r="HP776" s="2123">
        <v>14.53</v>
      </c>
      <c r="HQ776" s="2123">
        <v>16.13</v>
      </c>
      <c r="HR776" s="2123">
        <v>16.13</v>
      </c>
      <c r="HS776" s="2123">
        <v>16.13</v>
      </c>
      <c r="HT776" s="2123">
        <v>16.13</v>
      </c>
      <c r="HU776" s="2123">
        <v>16.13</v>
      </c>
      <c r="HV776" s="2123">
        <v>16.13</v>
      </c>
      <c r="HW776" s="2123">
        <v>15.99</v>
      </c>
      <c r="HX776" s="2050">
        <v>15.99</v>
      </c>
    </row>
    <row r="777" spans="1:232" s="2123" customFormat="1" ht="14" hidden="1" x14ac:dyDescent="0.3">
      <c r="A777" s="2040"/>
      <c r="B777" s="2127">
        <v>28</v>
      </c>
      <c r="C777" s="2128">
        <v>30.35</v>
      </c>
      <c r="D777" s="2128">
        <v>30.35</v>
      </c>
      <c r="E777" s="2128">
        <v>31.27</v>
      </c>
      <c r="F777" s="2128">
        <v>31.27</v>
      </c>
      <c r="G777" s="2128">
        <v>107.75</v>
      </c>
      <c r="H777" s="2128">
        <v>107.75</v>
      </c>
      <c r="I777" s="2128">
        <v>97.88</v>
      </c>
      <c r="J777" s="2128">
        <v>97.88</v>
      </c>
      <c r="K777" s="2128">
        <v>111.34</v>
      </c>
      <c r="L777" s="2128">
        <v>111.34</v>
      </c>
      <c r="M777" s="2128"/>
      <c r="N777" s="2128"/>
      <c r="O777" s="2128">
        <v>94.72</v>
      </c>
      <c r="P777" s="2128">
        <v>94.72</v>
      </c>
      <c r="Q777" s="2128">
        <v>95.98</v>
      </c>
      <c r="R777" s="2128">
        <v>94.73</v>
      </c>
      <c r="S777" s="2128">
        <v>146.47999999999999</v>
      </c>
      <c r="T777" s="2128">
        <v>146.47999999999999</v>
      </c>
      <c r="U777" s="2128">
        <v>141.38</v>
      </c>
      <c r="V777" s="2128">
        <v>141.38</v>
      </c>
      <c r="W777" s="2128">
        <v>146.47999999999999</v>
      </c>
      <c r="X777" s="2128">
        <v>146.47999999999999</v>
      </c>
      <c r="Y777" s="2128">
        <v>141.38</v>
      </c>
      <c r="Z777" s="2128">
        <v>146.47999999999999</v>
      </c>
      <c r="AA777" s="2128">
        <v>146.47999999999999</v>
      </c>
      <c r="AB777" s="2128">
        <v>146.47999999999999</v>
      </c>
      <c r="AC777" s="2128">
        <v>141.38</v>
      </c>
      <c r="AD777" s="2128">
        <v>141.38</v>
      </c>
      <c r="AE777" s="2128">
        <v>166.51</v>
      </c>
      <c r="AF777" s="2128">
        <v>161.82</v>
      </c>
      <c r="AG777" s="2128">
        <v>166.51</v>
      </c>
      <c r="AH777" s="2128">
        <v>166.51</v>
      </c>
      <c r="AI777" s="2128">
        <v>161.82</v>
      </c>
      <c r="AJ777" s="2128">
        <v>161.82</v>
      </c>
      <c r="AK777" s="2128">
        <v>163.79</v>
      </c>
      <c r="AL777" s="2128">
        <v>163.79</v>
      </c>
      <c r="AM777" s="2128">
        <v>50.18</v>
      </c>
      <c r="AN777" s="2128">
        <v>48.31</v>
      </c>
      <c r="AO777" s="2128">
        <v>48.31</v>
      </c>
      <c r="AP777" s="2128">
        <v>48.31</v>
      </c>
      <c r="AQ777" s="2128">
        <v>49.91</v>
      </c>
      <c r="AR777" s="2128">
        <v>49.91</v>
      </c>
      <c r="AS777" s="2128">
        <v>130.11000000000001</v>
      </c>
      <c r="AT777" s="2128">
        <v>130.11000000000001</v>
      </c>
      <c r="AU777" s="2128">
        <v>130.11000000000001</v>
      </c>
      <c r="AV777" s="2128">
        <v>134.08000000000001</v>
      </c>
      <c r="AW777" s="2128">
        <v>129.85</v>
      </c>
      <c r="AX777" s="2128">
        <v>129.85</v>
      </c>
      <c r="AY777" s="2128">
        <v>130.06</v>
      </c>
      <c r="AZ777" s="2128">
        <v>130.06</v>
      </c>
      <c r="BA777" s="2123">
        <v>55.62</v>
      </c>
      <c r="BB777" s="2123">
        <v>55.62</v>
      </c>
      <c r="BC777" s="2123">
        <v>12.74</v>
      </c>
      <c r="BD777" s="2123">
        <v>12.74</v>
      </c>
      <c r="BE777" s="2123">
        <v>17.809999999999999</v>
      </c>
      <c r="BF777" s="2123">
        <v>17.809999999999999</v>
      </c>
      <c r="BG777" s="2123">
        <v>12.8</v>
      </c>
      <c r="BH777" s="2123">
        <v>12.8</v>
      </c>
      <c r="BI777" s="2123">
        <v>12.63</v>
      </c>
      <c r="BJ777" s="2123">
        <v>12.63</v>
      </c>
      <c r="BK777" s="2123">
        <v>12.63</v>
      </c>
      <c r="BL777" s="2123">
        <v>12.63</v>
      </c>
      <c r="BM777" s="2123">
        <v>36.700000000000003</v>
      </c>
      <c r="BN777" s="2123">
        <v>36.700000000000003</v>
      </c>
      <c r="BO777" s="2123">
        <v>108.23</v>
      </c>
      <c r="BP777" s="2123">
        <v>108.23</v>
      </c>
      <c r="BQ777" s="2123">
        <v>108.23</v>
      </c>
      <c r="BR777" s="2123">
        <v>108.23</v>
      </c>
      <c r="BS777" s="2123">
        <v>127.11</v>
      </c>
      <c r="BT777" s="2123">
        <v>127.11</v>
      </c>
      <c r="BU777" s="2123">
        <v>127.11</v>
      </c>
      <c r="BV777" s="2123">
        <v>127.11</v>
      </c>
      <c r="BW777" s="2123">
        <v>127.11</v>
      </c>
      <c r="BX777" s="2123">
        <v>127.11</v>
      </c>
      <c r="BY777" s="2123">
        <v>33.340000000000003</v>
      </c>
      <c r="BZ777" s="2123">
        <v>33.340000000000003</v>
      </c>
      <c r="CA777" s="2123">
        <v>102.67</v>
      </c>
      <c r="CB777" s="2123">
        <v>102.67</v>
      </c>
      <c r="CC777" s="2123">
        <v>103.11</v>
      </c>
      <c r="CD777" s="2123">
        <v>103.11</v>
      </c>
      <c r="CE777" s="2123">
        <v>124.07</v>
      </c>
      <c r="CF777" s="2123">
        <v>124.07</v>
      </c>
      <c r="CK777" s="2123">
        <v>87.41</v>
      </c>
      <c r="CL777" s="2123">
        <v>87.41</v>
      </c>
      <c r="CM777" s="2123">
        <v>181.24</v>
      </c>
      <c r="CN777" s="2123">
        <v>181.24</v>
      </c>
      <c r="CO777" s="2123">
        <v>212.4</v>
      </c>
      <c r="CP777" s="2123">
        <v>212.4</v>
      </c>
      <c r="CQ777" s="2123">
        <v>212.4</v>
      </c>
      <c r="CR777" s="2123">
        <v>212.4</v>
      </c>
      <c r="CW777" s="2123">
        <v>77.28</v>
      </c>
      <c r="CX777" s="2123">
        <v>77.28</v>
      </c>
      <c r="CY777" s="2123">
        <v>171.81</v>
      </c>
      <c r="CZ777" s="2123">
        <v>171.81</v>
      </c>
      <c r="DA777" s="2123">
        <v>171.81</v>
      </c>
      <c r="DB777" s="2123">
        <v>171.81</v>
      </c>
      <c r="DC777" s="2123">
        <v>201.44</v>
      </c>
      <c r="DD777" s="2123">
        <v>201.44</v>
      </c>
      <c r="DE777" s="2123">
        <v>201.44</v>
      </c>
      <c r="DF777" s="2123">
        <v>201.44</v>
      </c>
      <c r="DI777" s="2123">
        <v>20.46</v>
      </c>
      <c r="DJ777" s="2123">
        <v>20.46</v>
      </c>
      <c r="DK777" s="2123">
        <v>20.46</v>
      </c>
      <c r="DL777" s="2123">
        <v>20.46</v>
      </c>
      <c r="DM777" s="2123">
        <v>20.46</v>
      </c>
      <c r="DN777" s="2123">
        <v>20.46</v>
      </c>
      <c r="DU777" s="2123">
        <v>9.18</v>
      </c>
      <c r="DV777" s="2123">
        <v>9.18</v>
      </c>
      <c r="DW777" s="2123">
        <v>7.93</v>
      </c>
      <c r="DX777" s="2123">
        <v>7.93</v>
      </c>
      <c r="DY777" s="2123">
        <v>7.93</v>
      </c>
      <c r="DZ777" s="2123">
        <v>7.93</v>
      </c>
      <c r="EG777" s="2123">
        <v>9.94</v>
      </c>
      <c r="EH777" s="2123">
        <v>10.28</v>
      </c>
      <c r="EI777" s="2123">
        <v>6.16</v>
      </c>
      <c r="EJ777" s="2123">
        <v>6.16</v>
      </c>
      <c r="EK777" s="2123">
        <v>6.11</v>
      </c>
      <c r="EL777" s="2123">
        <v>6.11</v>
      </c>
      <c r="EM777" s="2123">
        <v>6.93</v>
      </c>
      <c r="EN777" s="2123">
        <v>6.93</v>
      </c>
      <c r="EO777" s="2123">
        <v>6.38</v>
      </c>
      <c r="EP777" s="2123">
        <v>6.38</v>
      </c>
      <c r="EQ777" s="2123">
        <v>6.56</v>
      </c>
      <c r="ER777" s="2123">
        <v>6.7</v>
      </c>
      <c r="ES777" s="2123">
        <v>37.44</v>
      </c>
      <c r="ET777" s="2123">
        <v>37.44</v>
      </c>
      <c r="EU777" s="2123">
        <v>138.35</v>
      </c>
      <c r="EV777" s="2123">
        <v>138.35</v>
      </c>
      <c r="EW777" s="2123">
        <v>134.16</v>
      </c>
      <c r="EX777" s="2123">
        <v>134.16</v>
      </c>
      <c r="EY777" s="2129">
        <f t="shared" si="50"/>
        <v>136.255</v>
      </c>
      <c r="EZ777" s="2129">
        <f t="shared" si="50"/>
        <v>136.255</v>
      </c>
      <c r="FA777" s="2123">
        <v>139.94999999999999</v>
      </c>
      <c r="FB777" s="2123">
        <v>139.94999999999999</v>
      </c>
      <c r="FE777" s="2123">
        <v>31.77</v>
      </c>
      <c r="FF777" s="2123">
        <v>31.77</v>
      </c>
      <c r="FG777" s="2123">
        <v>113.71</v>
      </c>
      <c r="FH777" s="2123">
        <v>113.71</v>
      </c>
      <c r="FI777" s="2123">
        <v>113.71</v>
      </c>
      <c r="FJ777" s="2123">
        <v>113.71</v>
      </c>
      <c r="FK777" s="2123">
        <v>112.54</v>
      </c>
      <c r="FL777" s="2123">
        <v>112.54</v>
      </c>
      <c r="FM777" s="2123">
        <v>114.32</v>
      </c>
      <c r="FN777" s="2123">
        <v>114.32</v>
      </c>
      <c r="FQ777" s="2123">
        <v>72.14</v>
      </c>
      <c r="FR777" s="2123">
        <v>72.14</v>
      </c>
      <c r="FS777" s="2123">
        <v>136.02000000000001</v>
      </c>
      <c r="FT777" s="2123">
        <v>136.02000000000001</v>
      </c>
      <c r="FU777" s="2123">
        <v>136.02000000000001</v>
      </c>
      <c r="FV777" s="2123">
        <v>136.02000000000001</v>
      </c>
      <c r="FW777" s="2123">
        <v>137.19999999999999</v>
      </c>
      <c r="FX777" s="2123">
        <v>137.19999999999999</v>
      </c>
      <c r="GC777" s="2123">
        <v>51.6</v>
      </c>
      <c r="GD777" s="2123">
        <v>51.6</v>
      </c>
      <c r="GE777" s="2123">
        <v>120.64</v>
      </c>
      <c r="GF777" s="2123">
        <v>120.64</v>
      </c>
      <c r="GG777" s="2123">
        <v>120.64</v>
      </c>
      <c r="GH777" s="2123">
        <v>120.64</v>
      </c>
      <c r="GI777" s="2123">
        <v>89.4</v>
      </c>
      <c r="GJ777" s="2123">
        <v>89.4</v>
      </c>
      <c r="GK777" s="2123">
        <v>125.2</v>
      </c>
      <c r="GL777" s="2123">
        <v>125.2</v>
      </c>
      <c r="GO777" s="2123">
        <v>27.45</v>
      </c>
      <c r="GP777" s="2123">
        <v>27.45</v>
      </c>
      <c r="GQ777" s="2123">
        <v>19.77</v>
      </c>
      <c r="GR777" s="2123">
        <v>19.77</v>
      </c>
      <c r="GS777" s="2123">
        <v>19.77</v>
      </c>
      <c r="GT777" s="2123">
        <v>18.920000000000002</v>
      </c>
      <c r="GU777" s="2123">
        <v>18.920000000000002</v>
      </c>
      <c r="GV777" s="2123">
        <v>18.920000000000002</v>
      </c>
      <c r="GW777" s="2123">
        <v>114.55</v>
      </c>
      <c r="GX777" s="2123">
        <v>114.55</v>
      </c>
      <c r="HA777" s="2123">
        <v>19.18</v>
      </c>
      <c r="HB777" s="2123">
        <v>19.18</v>
      </c>
      <c r="HC777" s="2123">
        <v>10.53</v>
      </c>
      <c r="HD777" s="2123">
        <v>10.53</v>
      </c>
      <c r="HE777" s="2123">
        <v>11.63</v>
      </c>
      <c r="HF777" s="2123">
        <v>11.63</v>
      </c>
      <c r="HG777" s="2123">
        <v>11.63</v>
      </c>
      <c r="HH777" s="2123">
        <v>11.63</v>
      </c>
      <c r="HI777" s="2123">
        <v>11.63</v>
      </c>
      <c r="HJ777" s="2123">
        <v>11.63</v>
      </c>
      <c r="HK777" s="2123">
        <v>11.6</v>
      </c>
      <c r="HL777" s="2123">
        <v>11.6</v>
      </c>
      <c r="HM777" s="2123">
        <v>26.86</v>
      </c>
      <c r="HN777" s="2123">
        <v>26.86</v>
      </c>
      <c r="HO777" s="2123">
        <v>15.17</v>
      </c>
      <c r="HP777" s="2123">
        <v>15.17</v>
      </c>
      <c r="HQ777" s="2123">
        <v>16.77</v>
      </c>
      <c r="HR777" s="2123">
        <v>16.77</v>
      </c>
      <c r="HS777" s="2123">
        <v>16.77</v>
      </c>
      <c r="HT777" s="2123">
        <v>16.77</v>
      </c>
      <c r="HU777" s="2123">
        <v>16.77</v>
      </c>
      <c r="HV777" s="2123">
        <v>16.77</v>
      </c>
      <c r="HW777" s="2123">
        <v>16.63</v>
      </c>
      <c r="HX777" s="2050">
        <v>16.63</v>
      </c>
    </row>
    <row r="778" spans="1:232" s="2123" customFormat="1" ht="14" hidden="1" x14ac:dyDescent="0.3">
      <c r="A778" s="2040"/>
      <c r="B778" s="2127">
        <v>29</v>
      </c>
      <c r="C778" s="2128">
        <v>31.03</v>
      </c>
      <c r="D778" s="2128">
        <v>31.03</v>
      </c>
      <c r="E778" s="2128">
        <v>31.91</v>
      </c>
      <c r="F778" s="2128">
        <v>31.91</v>
      </c>
      <c r="G778" s="2128">
        <v>110.67</v>
      </c>
      <c r="H778" s="2128">
        <v>110.67</v>
      </c>
      <c r="I778" s="2128">
        <v>100.74</v>
      </c>
      <c r="J778" s="2128">
        <v>100.74</v>
      </c>
      <c r="K778" s="2128">
        <v>113.88</v>
      </c>
      <c r="L778" s="2128">
        <v>113.88</v>
      </c>
      <c r="M778" s="2128"/>
      <c r="N778" s="2128"/>
      <c r="O778" s="2128">
        <v>96.88</v>
      </c>
      <c r="P778" s="2128">
        <v>96.88</v>
      </c>
      <c r="Q778" s="2128">
        <v>98.04</v>
      </c>
      <c r="R778" s="2128">
        <v>96.89</v>
      </c>
      <c r="S778" s="2128">
        <v>151.28</v>
      </c>
      <c r="T778" s="2128">
        <v>151.28</v>
      </c>
      <c r="U778" s="2128">
        <v>146.01</v>
      </c>
      <c r="V778" s="2128">
        <v>146.01</v>
      </c>
      <c r="W778" s="2128">
        <v>151.28</v>
      </c>
      <c r="X778" s="2128">
        <v>151.28</v>
      </c>
      <c r="Y778" s="2128">
        <v>146.01</v>
      </c>
      <c r="Z778" s="2128">
        <v>151.28</v>
      </c>
      <c r="AA778" s="2128">
        <v>151.28</v>
      </c>
      <c r="AB778" s="2128">
        <v>151.28</v>
      </c>
      <c r="AC778" s="2128">
        <v>146.01</v>
      </c>
      <c r="AD778" s="2128">
        <v>146.01</v>
      </c>
      <c r="AE778" s="2128">
        <v>171.24</v>
      </c>
      <c r="AF778" s="2128">
        <v>166.4</v>
      </c>
      <c r="AG778" s="2128">
        <v>171.24</v>
      </c>
      <c r="AH778" s="2128">
        <v>171.24</v>
      </c>
      <c r="AI778" s="2128">
        <v>166.4</v>
      </c>
      <c r="AJ778" s="2128">
        <v>166.4</v>
      </c>
      <c r="AK778" s="2128">
        <v>168.29</v>
      </c>
      <c r="AL778" s="2128">
        <v>168.29</v>
      </c>
      <c r="AM778" s="2128">
        <v>51.31</v>
      </c>
      <c r="AN778" s="2128">
        <v>49.41</v>
      </c>
      <c r="AO778" s="2128">
        <v>49.41</v>
      </c>
      <c r="AP778" s="2128">
        <v>49.41</v>
      </c>
      <c r="AQ778" s="2128">
        <v>50.93</v>
      </c>
      <c r="AR778" s="2128">
        <v>50.93</v>
      </c>
      <c r="AS778" s="2128">
        <v>133.85</v>
      </c>
      <c r="AT778" s="2128">
        <v>133.85</v>
      </c>
      <c r="AU778" s="2128">
        <v>133.85</v>
      </c>
      <c r="AV778" s="2128">
        <v>137.87</v>
      </c>
      <c r="AW778" s="2128">
        <v>133.63999999999999</v>
      </c>
      <c r="AX778" s="2128">
        <v>133.63999999999999</v>
      </c>
      <c r="AY778" s="2128">
        <v>133.84</v>
      </c>
      <c r="AZ778" s="2128">
        <v>133.84</v>
      </c>
      <c r="BA778" s="2123">
        <v>57.27</v>
      </c>
      <c r="BB778" s="2123">
        <v>57.27</v>
      </c>
      <c r="BC778" s="2123">
        <v>13.2</v>
      </c>
      <c r="BD778" s="2123">
        <v>13.2</v>
      </c>
      <c r="BE778" s="2123">
        <v>18.22</v>
      </c>
      <c r="BF778" s="2123">
        <v>18.22</v>
      </c>
      <c r="BG778" s="2123">
        <v>13.25</v>
      </c>
      <c r="BH778" s="2123">
        <v>13.25</v>
      </c>
      <c r="BI778" s="2123">
        <v>13.08</v>
      </c>
      <c r="BJ778" s="2123">
        <v>13.08</v>
      </c>
      <c r="BK778" s="2123">
        <v>13.08</v>
      </c>
      <c r="BL778" s="2123">
        <v>13.08</v>
      </c>
      <c r="BM778" s="2123">
        <v>37.53</v>
      </c>
      <c r="BN778" s="2123">
        <v>37.53</v>
      </c>
      <c r="BO778" s="2123">
        <v>111.02</v>
      </c>
      <c r="BP778" s="2123">
        <v>111.02</v>
      </c>
      <c r="BQ778" s="2123">
        <v>111.02</v>
      </c>
      <c r="BR778" s="2123">
        <v>111.02</v>
      </c>
      <c r="BS778" s="2123">
        <v>131.06</v>
      </c>
      <c r="BT778" s="2123">
        <v>131.06</v>
      </c>
      <c r="BU778" s="2123">
        <v>131.06</v>
      </c>
      <c r="BV778" s="2123">
        <v>131.06</v>
      </c>
      <c r="BW778" s="2123">
        <v>131.06</v>
      </c>
      <c r="BX778" s="2123">
        <v>131.06</v>
      </c>
      <c r="BY778" s="2123">
        <v>34.1</v>
      </c>
      <c r="BZ778" s="2123">
        <v>34.1</v>
      </c>
      <c r="CA778" s="2123">
        <v>105.36</v>
      </c>
      <c r="CB778" s="2123">
        <v>105.36</v>
      </c>
      <c r="CC778" s="2123">
        <v>105.9</v>
      </c>
      <c r="CD778" s="2123">
        <v>105.9</v>
      </c>
      <c r="CE778" s="2123">
        <v>128</v>
      </c>
      <c r="CF778" s="2123">
        <v>128</v>
      </c>
      <c r="CK778" s="2123">
        <v>89.04</v>
      </c>
      <c r="CL778" s="2123">
        <v>89.04</v>
      </c>
      <c r="CM778" s="2123">
        <v>184.51</v>
      </c>
      <c r="CN778" s="2123">
        <v>184.51</v>
      </c>
      <c r="CO778" s="2123">
        <v>217.34</v>
      </c>
      <c r="CP778" s="2123">
        <v>217.34</v>
      </c>
      <c r="CQ778" s="2123">
        <v>217.34</v>
      </c>
      <c r="CR778" s="2123">
        <v>217.34</v>
      </c>
      <c r="CW778" s="2123">
        <v>79.040000000000006</v>
      </c>
      <c r="CX778" s="2123">
        <v>79.040000000000006</v>
      </c>
      <c r="CY778" s="2123">
        <v>175.08</v>
      </c>
      <c r="CZ778" s="2123">
        <v>175.08</v>
      </c>
      <c r="DA778" s="2123">
        <v>175.08</v>
      </c>
      <c r="DB778" s="2123">
        <v>175.08</v>
      </c>
      <c r="DC778" s="2123">
        <v>206.32</v>
      </c>
      <c r="DD778" s="2123">
        <v>206.32</v>
      </c>
      <c r="DE778" s="2123">
        <v>206.32</v>
      </c>
      <c r="DF778" s="2123">
        <v>206.32</v>
      </c>
      <c r="DI778" s="2123">
        <v>20.92</v>
      </c>
      <c r="DJ778" s="2123">
        <v>20.92</v>
      </c>
      <c r="DK778" s="2123">
        <v>20.92</v>
      </c>
      <c r="DL778" s="2123">
        <v>20.92</v>
      </c>
      <c r="DM778" s="2123">
        <v>20.92</v>
      </c>
      <c r="DN778" s="2123">
        <v>20.92</v>
      </c>
      <c r="DU778" s="2123">
        <v>9.3800000000000008</v>
      </c>
      <c r="DV778" s="2123">
        <v>9.3800000000000008</v>
      </c>
      <c r="DW778" s="2123">
        <v>8.15</v>
      </c>
      <c r="DX778" s="2123">
        <v>8.15</v>
      </c>
      <c r="DY778" s="2123">
        <v>8.15</v>
      </c>
      <c r="DZ778" s="2123">
        <v>8.15</v>
      </c>
      <c r="EG778" s="2123">
        <v>10.14</v>
      </c>
      <c r="EH778" s="2123">
        <v>10.47</v>
      </c>
      <c r="EI778" s="2123">
        <v>6.37</v>
      </c>
      <c r="EJ778" s="2123">
        <v>6.37</v>
      </c>
      <c r="EK778" s="2123">
        <v>6.32</v>
      </c>
      <c r="EL778" s="2123">
        <v>6.32</v>
      </c>
      <c r="EM778" s="2123">
        <v>7.14</v>
      </c>
      <c r="EN778" s="2123">
        <v>7.14</v>
      </c>
      <c r="EO778" s="2123">
        <v>6.58</v>
      </c>
      <c r="EP778" s="2123">
        <v>6.58</v>
      </c>
      <c r="EQ778" s="2123">
        <v>6.77</v>
      </c>
      <c r="ER778" s="2123">
        <v>6.9</v>
      </c>
      <c r="ES778" s="2123">
        <v>38.36</v>
      </c>
      <c r="ET778" s="2123">
        <v>38.36</v>
      </c>
      <c r="EU778" s="2123">
        <v>143.1</v>
      </c>
      <c r="EV778" s="2123">
        <v>143.1</v>
      </c>
      <c r="EW778" s="2123">
        <v>138.85</v>
      </c>
      <c r="EX778" s="2123">
        <v>138.85</v>
      </c>
      <c r="EY778" s="2129">
        <f t="shared" si="50"/>
        <v>140.97499999999999</v>
      </c>
      <c r="EZ778" s="2129">
        <f t="shared" si="50"/>
        <v>140.97499999999999</v>
      </c>
      <c r="FA778" s="2123">
        <v>144.59</v>
      </c>
      <c r="FB778" s="2123">
        <v>144.59</v>
      </c>
      <c r="FE778" s="2123">
        <v>32.590000000000003</v>
      </c>
      <c r="FF778" s="2123">
        <v>32.590000000000003</v>
      </c>
      <c r="FG778" s="2123">
        <v>117.87</v>
      </c>
      <c r="FH778" s="2123">
        <v>117.87</v>
      </c>
      <c r="FI778" s="2123">
        <v>117.87</v>
      </c>
      <c r="FJ778" s="2123">
        <v>117.87</v>
      </c>
      <c r="FK778" s="2123">
        <v>116.72</v>
      </c>
      <c r="FL778" s="2123">
        <v>116.72</v>
      </c>
      <c r="FM778" s="2123">
        <v>118.48</v>
      </c>
      <c r="FN778" s="2123">
        <v>118.48</v>
      </c>
      <c r="FQ778" s="2123">
        <v>73.83</v>
      </c>
      <c r="FR778" s="2123">
        <v>73.83</v>
      </c>
      <c r="FS778" s="2123">
        <v>139.63</v>
      </c>
      <c r="FT778" s="2123">
        <v>139.63</v>
      </c>
      <c r="FU778" s="2123">
        <v>139.63</v>
      </c>
      <c r="FV778" s="2123">
        <v>139.63</v>
      </c>
      <c r="FW778" s="2123">
        <v>140.79</v>
      </c>
      <c r="FX778" s="2123">
        <v>140.79</v>
      </c>
      <c r="GC778" s="2123">
        <v>52.82</v>
      </c>
      <c r="GD778" s="2123">
        <v>52.82</v>
      </c>
      <c r="GE778" s="2123">
        <v>123.16</v>
      </c>
      <c r="GF778" s="2123">
        <v>123.16</v>
      </c>
      <c r="GG778" s="2123">
        <v>123.16</v>
      </c>
      <c r="GH778" s="2123">
        <v>123.16</v>
      </c>
      <c r="GI778" s="2123">
        <v>93.36</v>
      </c>
      <c r="GJ778" s="2123">
        <v>93.36</v>
      </c>
      <c r="GK778" s="2123">
        <v>129.11000000000001</v>
      </c>
      <c r="GL778" s="2123">
        <v>129.11000000000001</v>
      </c>
      <c r="GO778" s="2123">
        <v>28.11</v>
      </c>
      <c r="GP778" s="2123">
        <v>28.11</v>
      </c>
      <c r="GQ778" s="2123">
        <v>20.43</v>
      </c>
      <c r="GR778" s="2123">
        <v>20.43</v>
      </c>
      <c r="GS778" s="2123">
        <v>20.43</v>
      </c>
      <c r="GT778" s="2123">
        <v>19.559999999999999</v>
      </c>
      <c r="GU778" s="2123">
        <v>19.559999999999999</v>
      </c>
      <c r="GV778" s="2123">
        <v>19.559999999999999</v>
      </c>
      <c r="GW778" s="2123">
        <v>118.21</v>
      </c>
      <c r="GX778" s="2123">
        <v>118.21</v>
      </c>
      <c r="HA778" s="2123">
        <v>19.61</v>
      </c>
      <c r="HB778" s="2123">
        <v>19.61</v>
      </c>
      <c r="HC778" s="2123">
        <v>10.97</v>
      </c>
      <c r="HD778" s="2123">
        <v>10.97</v>
      </c>
      <c r="HE778" s="2123">
        <v>12.06</v>
      </c>
      <c r="HF778" s="2123">
        <v>12.06</v>
      </c>
      <c r="HG778" s="2123">
        <v>12.06</v>
      </c>
      <c r="HH778" s="2123">
        <v>12.06</v>
      </c>
      <c r="HI778" s="2123">
        <v>12.06</v>
      </c>
      <c r="HJ778" s="2123">
        <v>12.06</v>
      </c>
      <c r="HK778" s="2123">
        <v>12.04</v>
      </c>
      <c r="HL778" s="2123">
        <v>12.04</v>
      </c>
      <c r="HM778" s="2123">
        <v>27.46</v>
      </c>
      <c r="HN778" s="2123">
        <v>27.46</v>
      </c>
      <c r="HO778" s="2123">
        <v>15.8</v>
      </c>
      <c r="HP778" s="2123">
        <v>15.8</v>
      </c>
      <c r="HQ778" s="2123">
        <v>17.38</v>
      </c>
      <c r="HR778" s="2123">
        <v>17.38</v>
      </c>
      <c r="HS778" s="2123">
        <v>17.38</v>
      </c>
      <c r="HT778" s="2123">
        <v>17.38</v>
      </c>
      <c r="HU778" s="2123">
        <v>17.38</v>
      </c>
      <c r="HV778" s="2123">
        <v>17.38</v>
      </c>
      <c r="HW778" s="2123">
        <v>17.260000000000002</v>
      </c>
      <c r="HX778" s="2050">
        <v>17.260000000000002</v>
      </c>
    </row>
    <row r="779" spans="1:232" s="2123" customFormat="1" ht="14" hidden="1" x14ac:dyDescent="0.3">
      <c r="A779" s="2040"/>
      <c r="B779" s="2127">
        <v>30</v>
      </c>
      <c r="C779" s="2128">
        <v>31.69</v>
      </c>
      <c r="D779" s="2128">
        <v>31.69</v>
      </c>
      <c r="E779" s="2128">
        <v>32.520000000000003</v>
      </c>
      <c r="F779" s="2128">
        <v>32.520000000000003</v>
      </c>
      <c r="G779" s="2128">
        <v>113.47</v>
      </c>
      <c r="H779" s="2128">
        <v>113.47</v>
      </c>
      <c r="I779" s="2128">
        <v>103.5</v>
      </c>
      <c r="J779" s="2128">
        <v>103.5</v>
      </c>
      <c r="K779" s="2128">
        <v>116.31</v>
      </c>
      <c r="L779" s="2128">
        <v>116.31</v>
      </c>
      <c r="M779" s="2128"/>
      <c r="N779" s="2128"/>
      <c r="O779" s="2128">
        <v>98.94</v>
      </c>
      <c r="P779" s="2128">
        <v>98.94</v>
      </c>
      <c r="Q779" s="2128">
        <v>100.01</v>
      </c>
      <c r="R779" s="2128">
        <v>98.95</v>
      </c>
      <c r="S779" s="2128">
        <v>155.9</v>
      </c>
      <c r="T779" s="2128">
        <v>155.9</v>
      </c>
      <c r="U779" s="2128">
        <v>150.47</v>
      </c>
      <c r="V779" s="2128">
        <v>150.47</v>
      </c>
      <c r="W779" s="2128">
        <v>155.9</v>
      </c>
      <c r="X779" s="2128">
        <v>155.9</v>
      </c>
      <c r="Y779" s="2128">
        <v>150.47</v>
      </c>
      <c r="Z779" s="2128">
        <v>155.9</v>
      </c>
      <c r="AA779" s="2128">
        <v>155.9</v>
      </c>
      <c r="AB779" s="2128">
        <v>155.9</v>
      </c>
      <c r="AC779" s="2128">
        <v>150.47</v>
      </c>
      <c r="AD779" s="2128">
        <v>150.47</v>
      </c>
      <c r="AE779" s="2128">
        <v>175.77</v>
      </c>
      <c r="AF779" s="2128">
        <v>170.8</v>
      </c>
      <c r="AG779" s="2128">
        <v>175.77</v>
      </c>
      <c r="AH779" s="2128">
        <v>175.77</v>
      </c>
      <c r="AI779" s="2128">
        <v>170.8</v>
      </c>
      <c r="AJ779" s="2128">
        <v>170.8</v>
      </c>
      <c r="AK779" s="2128">
        <v>172.61</v>
      </c>
      <c r="AL779" s="2128">
        <v>172.61</v>
      </c>
      <c r="AM779" s="2128">
        <v>52.4</v>
      </c>
      <c r="AN779" s="2128">
        <v>50.46</v>
      </c>
      <c r="AO779" s="2128">
        <v>50.46</v>
      </c>
      <c r="AP779" s="2128">
        <v>50.46</v>
      </c>
      <c r="AQ779" s="2128">
        <v>51.91</v>
      </c>
      <c r="AR779" s="2128">
        <v>51.91</v>
      </c>
      <c r="AS779" s="2128">
        <v>137.43</v>
      </c>
      <c r="AT779" s="2128">
        <v>137.43</v>
      </c>
      <c r="AU779" s="2128">
        <v>137.43</v>
      </c>
      <c r="AV779" s="2128">
        <v>141.5</v>
      </c>
      <c r="AW779" s="2128">
        <v>137.27000000000001</v>
      </c>
      <c r="AX779" s="2128">
        <v>137.27000000000001</v>
      </c>
      <c r="AY779" s="2128">
        <v>137.47</v>
      </c>
      <c r="AZ779" s="2128">
        <v>137.47</v>
      </c>
      <c r="BA779" s="2123">
        <v>58.87</v>
      </c>
      <c r="BB779" s="2123">
        <v>58.87</v>
      </c>
      <c r="BC779" s="2123">
        <v>13.63</v>
      </c>
      <c r="BD779" s="2123">
        <v>13.63</v>
      </c>
      <c r="BE779" s="2123">
        <v>18.61</v>
      </c>
      <c r="BF779" s="2123">
        <v>18.61</v>
      </c>
      <c r="BG779" s="2123">
        <v>13.68</v>
      </c>
      <c r="BH779" s="2123">
        <v>13.68</v>
      </c>
      <c r="BI779" s="2123">
        <v>13.52</v>
      </c>
      <c r="BJ779" s="2123">
        <v>13.52</v>
      </c>
      <c r="BK779" s="2123">
        <v>13.52</v>
      </c>
      <c r="BL779" s="2123">
        <v>13.52</v>
      </c>
      <c r="BM779" s="2123">
        <v>38.32</v>
      </c>
      <c r="BN779" s="2123">
        <v>38.32</v>
      </c>
      <c r="BO779" s="2123">
        <v>113.69</v>
      </c>
      <c r="BP779" s="2123">
        <v>113.69</v>
      </c>
      <c r="BQ779" s="2123">
        <v>113.69</v>
      </c>
      <c r="BR779" s="2123">
        <v>113.69</v>
      </c>
      <c r="BS779" s="2123">
        <v>134.87</v>
      </c>
      <c r="BT779" s="2123">
        <v>134.87</v>
      </c>
      <c r="BU779" s="2123">
        <v>134.87</v>
      </c>
      <c r="BV779" s="2123">
        <v>134.87</v>
      </c>
      <c r="BW779" s="2123">
        <v>134.87</v>
      </c>
      <c r="BX779" s="2123">
        <v>134.87</v>
      </c>
      <c r="BY779" s="2123">
        <v>34.82</v>
      </c>
      <c r="BZ779" s="2123">
        <v>34.82</v>
      </c>
      <c r="CA779" s="2123">
        <v>107.95</v>
      </c>
      <c r="CB779" s="2123">
        <v>107.95</v>
      </c>
      <c r="CC779" s="2123">
        <v>108.58</v>
      </c>
      <c r="CD779" s="2123">
        <v>108.58</v>
      </c>
      <c r="CE779" s="2123">
        <v>131.79</v>
      </c>
      <c r="CF779" s="2123">
        <v>131.79</v>
      </c>
      <c r="CK779" s="2123">
        <v>90.6</v>
      </c>
      <c r="CL779" s="2123">
        <v>90.6</v>
      </c>
      <c r="CM779" s="2123">
        <v>187.62</v>
      </c>
      <c r="CN779" s="2123">
        <v>187.62</v>
      </c>
      <c r="CO779" s="2123">
        <v>222.05</v>
      </c>
      <c r="CP779" s="2123">
        <v>222.05</v>
      </c>
      <c r="CQ779" s="2123">
        <v>222.05</v>
      </c>
      <c r="CR779" s="2123">
        <v>222.05</v>
      </c>
      <c r="CW779" s="2123">
        <v>80.72</v>
      </c>
      <c r="CX779" s="2123">
        <v>80.72</v>
      </c>
      <c r="CY779" s="2123">
        <v>178.2</v>
      </c>
      <c r="CZ779" s="2123">
        <v>178.2</v>
      </c>
      <c r="DA779" s="2123">
        <v>178.2</v>
      </c>
      <c r="DB779" s="2123">
        <v>178.2</v>
      </c>
      <c r="DC779" s="2123">
        <v>211</v>
      </c>
      <c r="DD779" s="2123">
        <v>211</v>
      </c>
      <c r="DE779" s="2123">
        <v>211</v>
      </c>
      <c r="DF779" s="2123">
        <v>211</v>
      </c>
      <c r="DI779" s="2123">
        <v>21.36</v>
      </c>
      <c r="DJ779" s="2123">
        <v>21.36</v>
      </c>
      <c r="DK779" s="2123">
        <v>21.36</v>
      </c>
      <c r="DL779" s="2123">
        <v>21.36</v>
      </c>
      <c r="DM779" s="2123">
        <v>21.36</v>
      </c>
      <c r="DN779" s="2123">
        <v>21.36</v>
      </c>
      <c r="DU779" s="2123">
        <v>9.58</v>
      </c>
      <c r="DV779" s="2123">
        <v>9.58</v>
      </c>
      <c r="DW779" s="2123">
        <v>8.3699999999999992</v>
      </c>
      <c r="DX779" s="2123">
        <v>8.3699999999999992</v>
      </c>
      <c r="DY779" s="2123">
        <v>8.3699999999999992</v>
      </c>
      <c r="DZ779" s="2123">
        <v>8.3699999999999992</v>
      </c>
      <c r="EG779" s="2123">
        <v>10.29</v>
      </c>
      <c r="EH779" s="2123">
        <v>10.61</v>
      </c>
      <c r="EI779" s="2123">
        <v>6.53</v>
      </c>
      <c r="EJ779" s="2123">
        <v>6.53</v>
      </c>
      <c r="EK779" s="2123">
        <v>6.48</v>
      </c>
      <c r="EL779" s="2123">
        <v>6.48</v>
      </c>
      <c r="EM779" s="2123">
        <v>7.3</v>
      </c>
      <c r="EN779" s="2123">
        <v>7.3</v>
      </c>
      <c r="EO779" s="2123">
        <v>6.74</v>
      </c>
      <c r="EP779" s="2123">
        <v>6.74</v>
      </c>
      <c r="EQ779" s="2123">
        <v>6.92</v>
      </c>
      <c r="ER779" s="2123">
        <v>7.05</v>
      </c>
      <c r="ES779" s="2123">
        <v>39.090000000000003</v>
      </c>
      <c r="ET779" s="2123">
        <v>39.090000000000003</v>
      </c>
      <c r="EU779" s="2123">
        <v>146.88999999999999</v>
      </c>
      <c r="EV779" s="2123">
        <v>146.88999999999999</v>
      </c>
      <c r="EW779" s="2123">
        <v>142.59</v>
      </c>
      <c r="EX779" s="2123">
        <v>142.59</v>
      </c>
      <c r="EY779" s="2129">
        <f t="shared" si="50"/>
        <v>144.74</v>
      </c>
      <c r="EZ779" s="2129">
        <f t="shared" si="50"/>
        <v>144.74</v>
      </c>
      <c r="FA779" s="2123">
        <v>148.29</v>
      </c>
      <c r="FB779" s="2123">
        <v>148.29</v>
      </c>
      <c r="FE779" s="2123">
        <v>33.229999999999997</v>
      </c>
      <c r="FF779" s="2123">
        <v>33.229999999999997</v>
      </c>
      <c r="FG779" s="2123">
        <v>121.12</v>
      </c>
      <c r="FH779" s="2123">
        <v>121.12</v>
      </c>
      <c r="FI779" s="2123">
        <v>121.12</v>
      </c>
      <c r="FJ779" s="2123">
        <v>121.12</v>
      </c>
      <c r="FK779" s="2123">
        <v>120</v>
      </c>
      <c r="FL779" s="2123">
        <v>120</v>
      </c>
      <c r="FM779" s="2123">
        <v>121.73</v>
      </c>
      <c r="FN779" s="2123">
        <v>121.73</v>
      </c>
      <c r="FQ779" s="2123">
        <v>75.260000000000005</v>
      </c>
      <c r="FR779" s="2123">
        <v>75.260000000000005</v>
      </c>
      <c r="FS779" s="2123">
        <v>142.69999999999999</v>
      </c>
      <c r="FT779" s="2123">
        <v>142.69999999999999</v>
      </c>
      <c r="FU779" s="2123">
        <v>142.69999999999999</v>
      </c>
      <c r="FV779" s="2123">
        <v>142.69999999999999</v>
      </c>
      <c r="FW779" s="2123">
        <v>143.85</v>
      </c>
      <c r="FX779" s="2123">
        <v>143.85</v>
      </c>
      <c r="GC779" s="2123">
        <v>53.75</v>
      </c>
      <c r="GD779" s="2123">
        <v>53.75</v>
      </c>
      <c r="GE779" s="2123">
        <v>125.09</v>
      </c>
      <c r="GF779" s="2123">
        <v>125.09</v>
      </c>
      <c r="GG779" s="2123">
        <v>125.09</v>
      </c>
      <c r="GH779" s="2123">
        <v>125.09</v>
      </c>
      <c r="GI779" s="2123">
        <v>96.45</v>
      </c>
      <c r="GJ779" s="2123">
        <v>96.45</v>
      </c>
      <c r="GK779" s="2123">
        <v>132.13</v>
      </c>
      <c r="GL779" s="2123">
        <v>132.13</v>
      </c>
      <c r="GO779" s="2123">
        <v>28.57</v>
      </c>
      <c r="GP779" s="2123">
        <v>28.57</v>
      </c>
      <c r="GQ779" s="2123">
        <v>21.06</v>
      </c>
      <c r="GR779" s="2123">
        <v>21.06</v>
      </c>
      <c r="GS779" s="2123">
        <v>21.06</v>
      </c>
      <c r="GT779" s="2123">
        <v>20.170000000000002</v>
      </c>
      <c r="GU779" s="2123">
        <v>20.170000000000002</v>
      </c>
      <c r="GV779" s="2123">
        <v>20.170000000000002</v>
      </c>
      <c r="GW779" s="2123">
        <v>121.74</v>
      </c>
      <c r="GX779" s="2123">
        <v>121.74</v>
      </c>
      <c r="HA779" s="2123">
        <v>20.03</v>
      </c>
      <c r="HB779" s="2123">
        <v>20.03</v>
      </c>
      <c r="HC779" s="2123">
        <v>11.4</v>
      </c>
      <c r="HD779" s="2123">
        <v>11.4</v>
      </c>
      <c r="HE779" s="2123">
        <v>12.48</v>
      </c>
      <c r="HF779" s="2123">
        <v>12.48</v>
      </c>
      <c r="HG779" s="2123">
        <v>12.48</v>
      </c>
      <c r="HH779" s="2123">
        <v>12.48</v>
      </c>
      <c r="HI779" s="2123">
        <v>12.48</v>
      </c>
      <c r="HJ779" s="2123">
        <v>12.48</v>
      </c>
      <c r="HK779" s="2123">
        <v>12.47</v>
      </c>
      <c r="HL779" s="2123">
        <v>12.47</v>
      </c>
      <c r="HM779" s="2123">
        <v>28.04</v>
      </c>
      <c r="HN779" s="2123">
        <v>28.04</v>
      </c>
      <c r="HO779" s="2123">
        <v>16.399999999999999</v>
      </c>
      <c r="HP779" s="2123">
        <v>16.399999999999999</v>
      </c>
      <c r="HQ779" s="2123">
        <v>17.97</v>
      </c>
      <c r="HR779" s="2123">
        <v>17.97</v>
      </c>
      <c r="HS779" s="2123">
        <v>17.97</v>
      </c>
      <c r="HT779" s="2123">
        <v>17.97</v>
      </c>
      <c r="HU779" s="2123">
        <v>17.97</v>
      </c>
      <c r="HV779" s="2123">
        <v>17.97</v>
      </c>
      <c r="HW779" s="2123">
        <v>17.86</v>
      </c>
      <c r="HX779" s="2050">
        <v>17.86</v>
      </c>
    </row>
    <row r="780" spans="1:232" s="2123" customFormat="1" ht="14" hidden="1" x14ac:dyDescent="0.3">
      <c r="A780" s="2040"/>
      <c r="B780" s="2127">
        <v>31</v>
      </c>
      <c r="C780" s="2128">
        <v>32.31</v>
      </c>
      <c r="D780" s="2128">
        <v>32.31</v>
      </c>
      <c r="E780" s="2128">
        <v>33.1</v>
      </c>
      <c r="F780" s="2128">
        <v>33.1</v>
      </c>
      <c r="G780" s="2128">
        <v>116.17</v>
      </c>
      <c r="H780" s="2128">
        <v>116.17</v>
      </c>
      <c r="I780" s="2128">
        <v>106.15</v>
      </c>
      <c r="J780" s="2128">
        <v>106.15</v>
      </c>
      <c r="K780" s="2128">
        <v>118.66</v>
      </c>
      <c r="L780" s="2128">
        <v>118.66</v>
      </c>
      <c r="M780" s="2128"/>
      <c r="N780" s="2128"/>
      <c r="O780" s="2128">
        <v>100.91</v>
      </c>
      <c r="P780" s="2128">
        <v>100.91</v>
      </c>
      <c r="Q780" s="2128">
        <v>101.89</v>
      </c>
      <c r="R780" s="2128">
        <v>100.92</v>
      </c>
      <c r="S780" s="2128">
        <v>160.35</v>
      </c>
      <c r="T780" s="2128">
        <v>160.35</v>
      </c>
      <c r="U780" s="2128">
        <v>154.77000000000001</v>
      </c>
      <c r="V780" s="2128">
        <v>154.77000000000001</v>
      </c>
      <c r="W780" s="2128">
        <v>160.35</v>
      </c>
      <c r="X780" s="2128">
        <v>160.35</v>
      </c>
      <c r="Y780" s="2128">
        <v>154.77000000000001</v>
      </c>
      <c r="Z780" s="2128">
        <v>160.35</v>
      </c>
      <c r="AA780" s="2128">
        <v>160.35</v>
      </c>
      <c r="AB780" s="2128">
        <v>160.35</v>
      </c>
      <c r="AC780" s="2128">
        <v>154.77000000000001</v>
      </c>
      <c r="AD780" s="2128">
        <v>154.77000000000001</v>
      </c>
      <c r="AE780" s="2128">
        <v>180.12</v>
      </c>
      <c r="AF780" s="2128">
        <v>175.02</v>
      </c>
      <c r="AG780" s="2128">
        <v>180.12</v>
      </c>
      <c r="AH780" s="2128">
        <v>180.12</v>
      </c>
      <c r="AI780" s="2128">
        <v>175.02</v>
      </c>
      <c r="AJ780" s="2128">
        <v>175.02</v>
      </c>
      <c r="AK780" s="2128">
        <v>176.76</v>
      </c>
      <c r="AL780" s="2128">
        <v>176.76</v>
      </c>
      <c r="AM780" s="2128">
        <v>53.44</v>
      </c>
      <c r="AN780" s="2128">
        <v>51.46</v>
      </c>
      <c r="AO780" s="2128">
        <v>51.46</v>
      </c>
      <c r="AP780" s="2128">
        <v>51.46</v>
      </c>
      <c r="AQ780" s="2128">
        <v>52.85</v>
      </c>
      <c r="AR780" s="2128">
        <v>52.85</v>
      </c>
      <c r="AS780" s="2128">
        <v>140.88</v>
      </c>
      <c r="AT780" s="2128">
        <v>140.88</v>
      </c>
      <c r="AU780" s="2128">
        <v>140.88</v>
      </c>
      <c r="AV780" s="2128">
        <v>144.97999999999999</v>
      </c>
      <c r="AW780" s="2128">
        <v>140.76</v>
      </c>
      <c r="AX780" s="2128">
        <v>140.76</v>
      </c>
      <c r="AY780" s="2128">
        <v>140.96</v>
      </c>
      <c r="AZ780" s="2128">
        <v>140.96</v>
      </c>
      <c r="BA780" s="2123">
        <v>60.4</v>
      </c>
      <c r="BB780" s="2123">
        <v>60.4</v>
      </c>
      <c r="BC780" s="2123">
        <v>14.05</v>
      </c>
      <c r="BD780" s="2123">
        <v>14.05</v>
      </c>
      <c r="BE780" s="2123">
        <v>18.989999999999998</v>
      </c>
      <c r="BF780" s="2123">
        <v>18.989999999999998</v>
      </c>
      <c r="BG780" s="2123">
        <v>14.1</v>
      </c>
      <c r="BH780" s="2123">
        <v>14.1</v>
      </c>
      <c r="BI780" s="2123">
        <v>13.94</v>
      </c>
      <c r="BJ780" s="2123">
        <v>13.94</v>
      </c>
      <c r="BK780" s="2123">
        <v>13.94</v>
      </c>
      <c r="BL780" s="2123">
        <v>13.94</v>
      </c>
      <c r="BM780" s="2123">
        <v>39.08</v>
      </c>
      <c r="BN780" s="2123">
        <v>39.08</v>
      </c>
      <c r="BO780" s="2123">
        <v>116.25</v>
      </c>
      <c r="BP780" s="2123">
        <v>116.25</v>
      </c>
      <c r="BQ780" s="2123">
        <v>116.25</v>
      </c>
      <c r="BR780" s="2123">
        <v>116.25</v>
      </c>
      <c r="BS780" s="2123">
        <v>138.54</v>
      </c>
      <c r="BT780" s="2123">
        <v>138.54</v>
      </c>
      <c r="BU780" s="2123">
        <v>138.54</v>
      </c>
      <c r="BV780" s="2123">
        <v>138.54</v>
      </c>
      <c r="BW780" s="2123">
        <v>138.54</v>
      </c>
      <c r="BX780" s="2123">
        <v>138.54</v>
      </c>
      <c r="BY780" s="2123">
        <v>35.5</v>
      </c>
      <c r="BZ780" s="2123">
        <v>35.5</v>
      </c>
      <c r="CA780" s="2123">
        <v>110.43</v>
      </c>
      <c r="CB780" s="2123">
        <v>110.43</v>
      </c>
      <c r="CC780" s="2123">
        <v>111.15</v>
      </c>
      <c r="CD780" s="2123">
        <v>111.15</v>
      </c>
      <c r="CE780" s="2123">
        <v>135.44999999999999</v>
      </c>
      <c r="CF780" s="2123">
        <v>135.44999999999999</v>
      </c>
      <c r="CK780" s="2123">
        <v>92.1</v>
      </c>
      <c r="CL780" s="2123">
        <v>92.1</v>
      </c>
      <c r="CM780" s="2123">
        <v>190.59</v>
      </c>
      <c r="CN780" s="2123">
        <v>190.59</v>
      </c>
      <c r="CO780" s="2123">
        <v>226.57</v>
      </c>
      <c r="CP780" s="2123">
        <v>226.57</v>
      </c>
      <c r="CQ780" s="2123">
        <v>226.57</v>
      </c>
      <c r="CR780" s="2123">
        <v>226.57</v>
      </c>
      <c r="CW780" s="2123">
        <v>82.32</v>
      </c>
      <c r="CX780" s="2123">
        <v>82.32</v>
      </c>
      <c r="CY780" s="2123">
        <v>181.18</v>
      </c>
      <c r="CZ780" s="2123">
        <v>181.18</v>
      </c>
      <c r="DA780" s="2123">
        <v>181.18</v>
      </c>
      <c r="DB780" s="2123">
        <v>181.18</v>
      </c>
      <c r="DC780" s="2123">
        <v>215.47</v>
      </c>
      <c r="DD780" s="2123">
        <v>215.47</v>
      </c>
      <c r="DE780" s="2123">
        <v>215.47</v>
      </c>
      <c r="DF780" s="2123">
        <v>215.47</v>
      </c>
      <c r="DI780" s="2123">
        <v>21.78</v>
      </c>
      <c r="DJ780" s="2123">
        <v>21.78</v>
      </c>
      <c r="DK780" s="2123">
        <v>21.78</v>
      </c>
      <c r="DL780" s="2123">
        <v>21.78</v>
      </c>
      <c r="DM780" s="2123">
        <v>21.78</v>
      </c>
      <c r="DN780" s="2123">
        <v>21.78</v>
      </c>
      <c r="DU780" s="2123">
        <v>9.76</v>
      </c>
      <c r="DV780" s="2123">
        <v>9.76</v>
      </c>
      <c r="DW780" s="2123">
        <v>8.58</v>
      </c>
      <c r="DX780" s="2123">
        <v>8.58</v>
      </c>
      <c r="DY780" s="2123">
        <v>8.58</v>
      </c>
      <c r="DZ780" s="2123">
        <v>8.58</v>
      </c>
      <c r="EG780" s="2123">
        <v>10.49</v>
      </c>
      <c r="EH780" s="2123">
        <v>10.8</v>
      </c>
      <c r="EI780" s="2123">
        <v>6.75</v>
      </c>
      <c r="EJ780" s="2123">
        <v>6.75</v>
      </c>
      <c r="EK780" s="2123">
        <v>6.7</v>
      </c>
      <c r="EL780" s="2123">
        <v>6.7</v>
      </c>
      <c r="EM780" s="2123">
        <v>7.51</v>
      </c>
      <c r="EN780" s="2123">
        <v>7.51</v>
      </c>
      <c r="EO780" s="2123">
        <v>6.95</v>
      </c>
      <c r="EP780" s="2123">
        <v>6.95</v>
      </c>
      <c r="EQ780" s="2123">
        <v>7.14</v>
      </c>
      <c r="ER780" s="2123">
        <v>7.26</v>
      </c>
      <c r="ES780" s="2123">
        <v>39.909999999999997</v>
      </c>
      <c r="ET780" s="2123">
        <v>39.909999999999997</v>
      </c>
      <c r="EU780" s="2123">
        <v>151.19999999999999</v>
      </c>
      <c r="EV780" s="2123">
        <v>151.19999999999999</v>
      </c>
      <c r="EW780" s="2123">
        <v>146.85</v>
      </c>
      <c r="EX780" s="2123">
        <v>146.85</v>
      </c>
      <c r="EY780" s="2129">
        <f t="shared" si="50"/>
        <v>149.02499999999998</v>
      </c>
      <c r="EZ780" s="2129">
        <f t="shared" si="50"/>
        <v>149.02499999999998</v>
      </c>
      <c r="FA780" s="2123">
        <v>152.49</v>
      </c>
      <c r="FB780" s="2123">
        <v>152.49</v>
      </c>
      <c r="FE780" s="2123">
        <v>33.94</v>
      </c>
      <c r="FF780" s="2123">
        <v>33.94</v>
      </c>
      <c r="FG780" s="2123">
        <v>124.81</v>
      </c>
      <c r="FH780" s="2123">
        <v>124.81</v>
      </c>
      <c r="FI780" s="2123">
        <v>124.81</v>
      </c>
      <c r="FJ780" s="2123">
        <v>124.81</v>
      </c>
      <c r="FK780" s="2123">
        <v>123.71</v>
      </c>
      <c r="FL780" s="2123">
        <v>123.71</v>
      </c>
      <c r="FM780" s="2123">
        <v>125.42</v>
      </c>
      <c r="FN780" s="2123">
        <v>125.42</v>
      </c>
      <c r="FQ780" s="2123">
        <v>76.63</v>
      </c>
      <c r="FR780" s="2123">
        <v>76.63</v>
      </c>
      <c r="FS780" s="2123">
        <v>145.66999999999999</v>
      </c>
      <c r="FT780" s="2123">
        <v>145.66999999999999</v>
      </c>
      <c r="FU780" s="2123">
        <v>145.66999999999999</v>
      </c>
      <c r="FV780" s="2123">
        <v>145.66999999999999</v>
      </c>
      <c r="FW780" s="2123">
        <v>146.80000000000001</v>
      </c>
      <c r="FX780" s="2123">
        <v>146.80000000000001</v>
      </c>
      <c r="GC780" s="2123">
        <v>54.9</v>
      </c>
      <c r="GD780" s="2123">
        <v>54.9</v>
      </c>
      <c r="GE780" s="2123">
        <v>127.5</v>
      </c>
      <c r="GF780" s="2123">
        <v>127.5</v>
      </c>
      <c r="GG780" s="2123">
        <v>127.5</v>
      </c>
      <c r="GH780" s="2123">
        <v>127.5</v>
      </c>
      <c r="GI780" s="2123">
        <v>100.36</v>
      </c>
      <c r="GJ780" s="2123">
        <v>100.36</v>
      </c>
      <c r="GK780" s="2123">
        <v>135.91999999999999</v>
      </c>
      <c r="GL780" s="2123">
        <v>135.91999999999999</v>
      </c>
      <c r="GO780" s="2123">
        <v>29.07</v>
      </c>
      <c r="GP780" s="2123">
        <v>29.07</v>
      </c>
      <c r="GQ780" s="2123">
        <v>21.66</v>
      </c>
      <c r="GR780" s="2123">
        <v>21.66</v>
      </c>
      <c r="GS780" s="2123">
        <v>21.66</v>
      </c>
      <c r="GT780" s="2123">
        <v>20.76</v>
      </c>
      <c r="GU780" s="2123">
        <v>20.76</v>
      </c>
      <c r="GV780" s="2123">
        <v>20.76</v>
      </c>
      <c r="GW780" s="2123">
        <v>125.14</v>
      </c>
      <c r="GX780" s="2123">
        <v>125.14</v>
      </c>
      <c r="HA780" s="2123">
        <v>20.420000000000002</v>
      </c>
      <c r="HB780" s="2123">
        <v>20.420000000000002</v>
      </c>
      <c r="HC780" s="2123">
        <v>11.82</v>
      </c>
      <c r="HD780" s="2123">
        <v>11.82</v>
      </c>
      <c r="HE780" s="2123">
        <v>12.89</v>
      </c>
      <c r="HF780" s="2123">
        <v>12.89</v>
      </c>
      <c r="HG780" s="2123">
        <v>12.89</v>
      </c>
      <c r="HH780" s="2123">
        <v>12.89</v>
      </c>
      <c r="HI780" s="2123">
        <v>12.89</v>
      </c>
      <c r="HJ780" s="2123">
        <v>12.89</v>
      </c>
      <c r="HK780" s="2123">
        <v>12.88</v>
      </c>
      <c r="HL780" s="2123">
        <v>13.14</v>
      </c>
      <c r="HM780" s="2123">
        <v>28.59</v>
      </c>
      <c r="HN780" s="2123">
        <v>28.59</v>
      </c>
      <c r="HO780" s="2123">
        <v>16.989999999999998</v>
      </c>
      <c r="HP780" s="2123">
        <v>16.989999999999998</v>
      </c>
      <c r="HQ780" s="2123">
        <v>18.55</v>
      </c>
      <c r="HR780" s="2123">
        <v>18.55</v>
      </c>
      <c r="HS780" s="2123">
        <v>18.55</v>
      </c>
      <c r="HT780" s="2123">
        <v>18.55</v>
      </c>
      <c r="HU780" s="2123">
        <v>18.55</v>
      </c>
      <c r="HV780" s="2123">
        <v>18.55</v>
      </c>
      <c r="HW780" s="2123">
        <v>18.440000000000001</v>
      </c>
      <c r="HX780" s="2050">
        <v>18.440000000000001</v>
      </c>
    </row>
    <row r="781" spans="1:232" s="2123" customFormat="1" ht="14" hidden="1" x14ac:dyDescent="0.3">
      <c r="A781" s="2040"/>
      <c r="B781" s="2127">
        <v>32</v>
      </c>
      <c r="C781" s="2128">
        <v>32.909999999999997</v>
      </c>
      <c r="D781" s="2128">
        <v>32.909999999999997</v>
      </c>
      <c r="E781" s="2128">
        <v>33.659999999999997</v>
      </c>
      <c r="F781" s="2128">
        <v>33.659999999999997</v>
      </c>
      <c r="G781" s="2128">
        <v>118.76</v>
      </c>
      <c r="H781" s="2128">
        <v>118.76</v>
      </c>
      <c r="I781" s="2128">
        <v>108.71</v>
      </c>
      <c r="J781" s="2128">
        <v>108.71</v>
      </c>
      <c r="K781" s="2128">
        <v>120.91</v>
      </c>
      <c r="L781" s="2128">
        <v>120.91</v>
      </c>
      <c r="M781" s="2128"/>
      <c r="N781" s="2128"/>
      <c r="O781" s="2128">
        <v>102.8</v>
      </c>
      <c r="P781" s="2128">
        <v>102.8</v>
      </c>
      <c r="Q781" s="2128">
        <v>103.7</v>
      </c>
      <c r="R781" s="2128">
        <v>102.8</v>
      </c>
      <c r="S781" s="2128">
        <v>164.64</v>
      </c>
      <c r="T781" s="2128">
        <v>164.64</v>
      </c>
      <c r="U781" s="2128">
        <v>158.91</v>
      </c>
      <c r="V781" s="2128">
        <v>158.91</v>
      </c>
      <c r="W781" s="2128">
        <v>164.64</v>
      </c>
      <c r="X781" s="2128">
        <v>164.64</v>
      </c>
      <c r="Y781" s="2128">
        <v>158.91</v>
      </c>
      <c r="Z781" s="2128">
        <v>164.64</v>
      </c>
      <c r="AA781" s="2128">
        <v>164.64</v>
      </c>
      <c r="AB781" s="2128">
        <v>164.64</v>
      </c>
      <c r="AC781" s="2128">
        <v>158.91</v>
      </c>
      <c r="AD781" s="2128">
        <v>158.91</v>
      </c>
      <c r="AE781" s="2128">
        <v>184.29</v>
      </c>
      <c r="AF781" s="2128">
        <v>179.08</v>
      </c>
      <c r="AG781" s="2128">
        <v>184.29</v>
      </c>
      <c r="AH781" s="2128">
        <v>184.29</v>
      </c>
      <c r="AI781" s="2128">
        <v>179.08</v>
      </c>
      <c r="AJ781" s="2128">
        <v>179.08</v>
      </c>
      <c r="AK781" s="2128">
        <v>180.74</v>
      </c>
      <c r="AL781" s="2128">
        <v>180.74</v>
      </c>
      <c r="AM781" s="2128">
        <v>54.43</v>
      </c>
      <c r="AN781" s="2128">
        <v>52.42</v>
      </c>
      <c r="AO781" s="2128">
        <v>52.42</v>
      </c>
      <c r="AP781" s="2128">
        <v>52.42</v>
      </c>
      <c r="AQ781" s="2128">
        <v>53.75</v>
      </c>
      <c r="AR781" s="2128">
        <v>53.75</v>
      </c>
      <c r="AS781" s="2128">
        <v>144.19</v>
      </c>
      <c r="AT781" s="2128">
        <v>144.19</v>
      </c>
      <c r="AU781" s="2128">
        <v>144.19</v>
      </c>
      <c r="AV781" s="2128">
        <v>148.33000000000001</v>
      </c>
      <c r="AW781" s="2128">
        <v>144.11000000000001</v>
      </c>
      <c r="AX781" s="2128">
        <v>144.11000000000001</v>
      </c>
      <c r="AY781" s="2128">
        <v>144.31</v>
      </c>
      <c r="AZ781" s="2128">
        <v>144.31</v>
      </c>
      <c r="BA781" s="2123">
        <v>61.88</v>
      </c>
      <c r="BB781" s="2123">
        <v>61.88</v>
      </c>
      <c r="BC781" s="2123">
        <v>14.46</v>
      </c>
      <c r="BD781" s="2123">
        <v>15</v>
      </c>
      <c r="BE781" s="2123">
        <v>19.350000000000001</v>
      </c>
      <c r="BF781" s="2123">
        <v>19.350000000000001</v>
      </c>
      <c r="BG781" s="2123">
        <v>14.51</v>
      </c>
      <c r="BH781" s="2123">
        <v>14.51</v>
      </c>
      <c r="BI781" s="2123">
        <v>14.35</v>
      </c>
      <c r="BJ781" s="2123">
        <v>14.35</v>
      </c>
      <c r="BK781" s="2123">
        <v>14.35</v>
      </c>
      <c r="BL781" s="2123">
        <v>14.35</v>
      </c>
      <c r="BM781" s="2123">
        <v>39.799999999999997</v>
      </c>
      <c r="BN781" s="2123">
        <v>39.799999999999997</v>
      </c>
      <c r="BO781" s="2123">
        <v>118.71</v>
      </c>
      <c r="BP781" s="2123">
        <v>118.71</v>
      </c>
      <c r="BQ781" s="2123">
        <v>118.71</v>
      </c>
      <c r="BR781" s="2123">
        <v>118.71</v>
      </c>
      <c r="BS781" s="2123">
        <v>142.08000000000001</v>
      </c>
      <c r="BT781" s="2123">
        <v>142.08000000000001</v>
      </c>
      <c r="BU781" s="2123">
        <v>142.08000000000001</v>
      </c>
      <c r="BV781" s="2123">
        <v>142.08000000000001</v>
      </c>
      <c r="BW781" s="2123">
        <v>142.08000000000001</v>
      </c>
      <c r="BX781" s="2123">
        <v>142.08000000000001</v>
      </c>
      <c r="BY781" s="2123">
        <v>36.159999999999997</v>
      </c>
      <c r="BZ781" s="2123">
        <v>36.159999999999997</v>
      </c>
      <c r="CA781" s="2123">
        <v>112.82</v>
      </c>
      <c r="CB781" s="2123">
        <v>112.82</v>
      </c>
      <c r="CC781" s="2123">
        <v>113.62</v>
      </c>
      <c r="CD781" s="2123">
        <v>113.62</v>
      </c>
      <c r="CE781" s="2123">
        <v>138.97</v>
      </c>
      <c r="CF781" s="2123">
        <v>138.97</v>
      </c>
      <c r="CK781" s="2123">
        <v>93.53</v>
      </c>
      <c r="CL781" s="2123">
        <v>93.53</v>
      </c>
      <c r="CM781" s="2123">
        <v>193.43</v>
      </c>
      <c r="CN781" s="2123">
        <v>193.43</v>
      </c>
      <c r="CO781" s="2123">
        <v>230.9</v>
      </c>
      <c r="CP781" s="2123">
        <v>230.9</v>
      </c>
      <c r="CQ781" s="2123">
        <v>230.9</v>
      </c>
      <c r="CR781" s="2123">
        <v>230.9</v>
      </c>
      <c r="CW781" s="2123">
        <v>83.86</v>
      </c>
      <c r="CX781" s="2123">
        <v>83.86</v>
      </c>
      <c r="CY781" s="2123">
        <v>184.02</v>
      </c>
      <c r="CZ781" s="2123">
        <v>184.02</v>
      </c>
      <c r="DA781" s="2123">
        <v>184.02</v>
      </c>
      <c r="DB781" s="2123">
        <v>184.02</v>
      </c>
      <c r="DC781" s="2123">
        <v>219.77</v>
      </c>
      <c r="DD781" s="2123">
        <v>219.77</v>
      </c>
      <c r="DE781" s="2123">
        <v>219.77</v>
      </c>
      <c r="DF781" s="2123">
        <v>219.77</v>
      </c>
      <c r="DI781" s="2123">
        <v>22.18</v>
      </c>
      <c r="DJ781" s="2123">
        <v>22.18</v>
      </c>
      <c r="DK781" s="2123">
        <v>22.18</v>
      </c>
      <c r="DL781" s="2123">
        <v>22.18</v>
      </c>
      <c r="DM781" s="2123">
        <v>22.18</v>
      </c>
      <c r="DN781" s="2123">
        <v>22.18</v>
      </c>
      <c r="DU781" s="2123">
        <v>9.94</v>
      </c>
      <c r="DV781" s="2123">
        <v>9.94</v>
      </c>
      <c r="DW781" s="2123">
        <v>8.77</v>
      </c>
      <c r="DX781" s="2123">
        <v>8.77</v>
      </c>
      <c r="DY781" s="2123">
        <v>8.77</v>
      </c>
      <c r="DZ781" s="2123">
        <v>8.77</v>
      </c>
      <c r="EG781" s="2123">
        <v>10.69</v>
      </c>
      <c r="EH781" s="2123">
        <v>11</v>
      </c>
      <c r="EI781" s="2123">
        <v>6.97</v>
      </c>
      <c r="EJ781" s="2123">
        <v>6.97</v>
      </c>
      <c r="EK781" s="2123">
        <v>6.93</v>
      </c>
      <c r="EL781" s="2123">
        <v>6.93</v>
      </c>
      <c r="EM781" s="2123">
        <v>7.73</v>
      </c>
      <c r="EN781" s="2123">
        <v>7.73</v>
      </c>
      <c r="EO781" s="2123">
        <v>7.16</v>
      </c>
      <c r="EP781" s="2123">
        <v>7.16</v>
      </c>
      <c r="EQ781" s="2123">
        <v>7.36</v>
      </c>
      <c r="ER781" s="2123">
        <v>7.47</v>
      </c>
      <c r="ES781" s="2123">
        <v>40.71</v>
      </c>
      <c r="ET781" s="2123">
        <v>40.71</v>
      </c>
      <c r="EU781" s="2123">
        <v>155.41999999999999</v>
      </c>
      <c r="EV781" s="2123">
        <v>155.41999999999999</v>
      </c>
      <c r="EW781" s="2123">
        <v>151.02000000000001</v>
      </c>
      <c r="EX781" s="2123">
        <v>151.02000000000001</v>
      </c>
      <c r="EY781" s="2129">
        <f t="shared" si="50"/>
        <v>153.22</v>
      </c>
      <c r="EZ781" s="2129">
        <f t="shared" si="50"/>
        <v>153.22</v>
      </c>
      <c r="FA781" s="2123">
        <v>156.6</v>
      </c>
      <c r="FB781" s="2123">
        <v>156.6</v>
      </c>
      <c r="FE781" s="2123">
        <v>34.65</v>
      </c>
      <c r="FF781" s="2123">
        <v>34.65</v>
      </c>
      <c r="FG781" s="2123">
        <v>128.47999999999999</v>
      </c>
      <c r="FH781" s="2123">
        <v>128.47999999999999</v>
      </c>
      <c r="FI781" s="2123">
        <v>128.47999999999999</v>
      </c>
      <c r="FJ781" s="2123">
        <v>128.47999999999999</v>
      </c>
      <c r="FK781" s="2123">
        <v>127.4</v>
      </c>
      <c r="FL781" s="2123">
        <v>127.4</v>
      </c>
      <c r="FM781" s="2123">
        <v>129.09</v>
      </c>
      <c r="FN781" s="2123">
        <v>129.09</v>
      </c>
      <c r="FQ781" s="2123">
        <v>78.290000000000006</v>
      </c>
      <c r="FR781" s="2123">
        <v>78.290000000000006</v>
      </c>
      <c r="FS781" s="2123">
        <v>149.26</v>
      </c>
      <c r="FT781" s="2123">
        <v>149.26</v>
      </c>
      <c r="FU781" s="2123">
        <v>149.26</v>
      </c>
      <c r="FV781" s="2123">
        <v>149.26</v>
      </c>
      <c r="FW781" s="2123">
        <v>150.37</v>
      </c>
      <c r="FX781" s="2123">
        <v>150.37</v>
      </c>
      <c r="GC781" s="2123">
        <v>55.89</v>
      </c>
      <c r="GD781" s="2123">
        <v>55.89</v>
      </c>
      <c r="GE781" s="2123">
        <v>129.54</v>
      </c>
      <c r="GF781" s="2123">
        <v>129.54</v>
      </c>
      <c r="GG781" s="2123">
        <v>129.54</v>
      </c>
      <c r="GH781" s="2123">
        <v>129.54</v>
      </c>
      <c r="GI781" s="2123">
        <v>103.72</v>
      </c>
      <c r="GJ781" s="2123">
        <v>103.72</v>
      </c>
      <c r="GK781" s="2123">
        <v>139.15</v>
      </c>
      <c r="GL781" s="2123">
        <v>139.15</v>
      </c>
      <c r="GO781" s="2123">
        <v>29.68</v>
      </c>
      <c r="GP781" s="2123">
        <v>29.68</v>
      </c>
      <c r="GQ781" s="2123">
        <v>22.25</v>
      </c>
      <c r="GR781" s="2123">
        <v>22.25</v>
      </c>
      <c r="GS781" s="2123">
        <v>22.25</v>
      </c>
      <c r="GT781" s="2123">
        <v>21.33</v>
      </c>
      <c r="GU781" s="2123">
        <v>21.33</v>
      </c>
      <c r="GV781" s="2123">
        <v>22.08</v>
      </c>
      <c r="GW781" s="2123">
        <v>128.41999999999999</v>
      </c>
      <c r="GX781" s="2123">
        <v>128.41999999999999</v>
      </c>
      <c r="HA781" s="2123">
        <v>20.8</v>
      </c>
      <c r="HB781" s="2123">
        <v>20.8</v>
      </c>
      <c r="HC781" s="2123">
        <v>12.22</v>
      </c>
      <c r="HD781" s="2123">
        <v>12.22</v>
      </c>
      <c r="HE781" s="2123">
        <v>13.29</v>
      </c>
      <c r="HF781" s="2123">
        <v>13.29</v>
      </c>
      <c r="HG781" s="2123">
        <v>13.29</v>
      </c>
      <c r="HH781" s="2123">
        <v>13.29</v>
      </c>
      <c r="HI781" s="2123">
        <v>13.29</v>
      </c>
      <c r="HJ781" s="2123">
        <v>13.29</v>
      </c>
      <c r="HK781" s="2123">
        <v>13.28</v>
      </c>
      <c r="HL781" s="2123">
        <v>13.86</v>
      </c>
      <c r="HM781" s="2123">
        <v>29.12</v>
      </c>
      <c r="HN781" s="2123">
        <v>29.12</v>
      </c>
      <c r="HO781" s="2123">
        <v>17.55</v>
      </c>
      <c r="HP781" s="2123">
        <v>17.55</v>
      </c>
      <c r="HQ781" s="2123">
        <v>19.11</v>
      </c>
      <c r="HR781" s="2123">
        <v>19.11</v>
      </c>
      <c r="HS781" s="2123">
        <v>19.11</v>
      </c>
      <c r="HT781" s="2123">
        <v>19.11</v>
      </c>
      <c r="HU781" s="2123">
        <v>19.11</v>
      </c>
      <c r="HV781" s="2123">
        <v>19.11</v>
      </c>
      <c r="HW781" s="2123">
        <v>19</v>
      </c>
      <c r="HX781" s="2050">
        <v>19</v>
      </c>
    </row>
    <row r="782" spans="1:232" s="2123" customFormat="1" ht="14" hidden="1" x14ac:dyDescent="0.3">
      <c r="A782" s="2040"/>
      <c r="B782" s="2127">
        <v>33</v>
      </c>
      <c r="C782" s="2128">
        <v>33.479999999999997</v>
      </c>
      <c r="D782" s="2128">
        <v>33.479999999999997</v>
      </c>
      <c r="E782" s="2128">
        <v>34.200000000000003</v>
      </c>
      <c r="F782" s="2128">
        <v>34.200000000000003</v>
      </c>
      <c r="G782" s="2128">
        <v>121.25</v>
      </c>
      <c r="H782" s="2128">
        <v>121.25</v>
      </c>
      <c r="I782" s="2128">
        <v>111.18</v>
      </c>
      <c r="J782" s="2128">
        <v>111.18</v>
      </c>
      <c r="K782" s="2128">
        <v>123.09</v>
      </c>
      <c r="L782" s="2128">
        <v>123.09</v>
      </c>
      <c r="M782" s="2128"/>
      <c r="N782" s="2128"/>
      <c r="O782" s="2128">
        <v>104.6</v>
      </c>
      <c r="P782" s="2128">
        <v>104.6</v>
      </c>
      <c r="Q782" s="2128">
        <v>105.43</v>
      </c>
      <c r="R782" s="2128">
        <v>104.61</v>
      </c>
      <c r="S782" s="2128">
        <v>168.78</v>
      </c>
      <c r="T782" s="2128">
        <v>168.78</v>
      </c>
      <c r="U782" s="2128">
        <v>162.91</v>
      </c>
      <c r="V782" s="2128">
        <v>162.91</v>
      </c>
      <c r="W782" s="2128">
        <v>168.78</v>
      </c>
      <c r="X782" s="2128">
        <v>168.78</v>
      </c>
      <c r="Y782" s="2128">
        <v>162.91</v>
      </c>
      <c r="Z782" s="2128">
        <v>168.78</v>
      </c>
      <c r="AA782" s="2128">
        <v>168.78</v>
      </c>
      <c r="AB782" s="2128">
        <v>168.78</v>
      </c>
      <c r="AC782" s="2128">
        <v>162.91</v>
      </c>
      <c r="AD782" s="2128">
        <v>162.91</v>
      </c>
      <c r="AE782" s="2128">
        <v>188.31</v>
      </c>
      <c r="AF782" s="2128">
        <v>182.97</v>
      </c>
      <c r="AG782" s="2128">
        <v>188.31</v>
      </c>
      <c r="AH782" s="2128">
        <v>188.31</v>
      </c>
      <c r="AI782" s="2128">
        <v>182.97</v>
      </c>
      <c r="AJ782" s="2128">
        <v>182.97</v>
      </c>
      <c r="AK782" s="2128">
        <v>184.57</v>
      </c>
      <c r="AL782" s="2128">
        <v>184.57</v>
      </c>
      <c r="AM782" s="2128">
        <v>55.38</v>
      </c>
      <c r="AN782" s="2128">
        <v>53.34</v>
      </c>
      <c r="AO782" s="2128">
        <v>53.34</v>
      </c>
      <c r="AP782" s="2128">
        <v>53.34</v>
      </c>
      <c r="AQ782" s="2128">
        <v>54.61</v>
      </c>
      <c r="AR782" s="2128">
        <v>54.61</v>
      </c>
      <c r="AS782" s="2128">
        <v>147.38</v>
      </c>
      <c r="AT782" s="2128">
        <v>147.38</v>
      </c>
      <c r="AU782" s="2128">
        <v>147.38</v>
      </c>
      <c r="AV782" s="2128">
        <v>151.56</v>
      </c>
      <c r="AW782" s="2128">
        <v>147.34</v>
      </c>
      <c r="AX782" s="2128">
        <v>147.34</v>
      </c>
      <c r="AY782" s="2128">
        <v>147.53</v>
      </c>
      <c r="AZ782" s="2128">
        <v>147.53</v>
      </c>
      <c r="BA782" s="2123">
        <v>63.29</v>
      </c>
      <c r="BB782" s="2123">
        <v>63.29</v>
      </c>
      <c r="BC782" s="2123">
        <v>14.85</v>
      </c>
      <c r="BD782" s="2123">
        <v>15.42</v>
      </c>
      <c r="BE782" s="2123">
        <v>19.690000000000001</v>
      </c>
      <c r="BF782" s="2123">
        <v>19.690000000000001</v>
      </c>
      <c r="BG782" s="2123">
        <v>14.9</v>
      </c>
      <c r="BH782" s="2123">
        <v>14.9</v>
      </c>
      <c r="BI782" s="2123">
        <v>14.75</v>
      </c>
      <c r="BJ782" s="2123">
        <v>14.75</v>
      </c>
      <c r="BK782" s="2123">
        <v>14.75</v>
      </c>
      <c r="BL782" s="2123">
        <v>14.75</v>
      </c>
      <c r="BM782" s="2123">
        <v>40.5</v>
      </c>
      <c r="BN782" s="2123">
        <v>40.5</v>
      </c>
      <c r="BO782" s="2123">
        <v>121.07</v>
      </c>
      <c r="BP782" s="2123">
        <v>121.07</v>
      </c>
      <c r="BQ782" s="2123">
        <v>121.07</v>
      </c>
      <c r="BR782" s="2123">
        <v>121.07</v>
      </c>
      <c r="BS782" s="2123">
        <v>145.49</v>
      </c>
      <c r="BT782" s="2123">
        <v>145.49</v>
      </c>
      <c r="BU782" s="2123">
        <v>145.49</v>
      </c>
      <c r="BV782" s="2123">
        <v>145.49</v>
      </c>
      <c r="BW782" s="2123">
        <v>145.49</v>
      </c>
      <c r="BX782" s="2123">
        <v>145.49</v>
      </c>
      <c r="BY782" s="2123">
        <v>36.79</v>
      </c>
      <c r="BZ782" s="2123">
        <v>36.79</v>
      </c>
      <c r="CA782" s="2123">
        <v>115.11</v>
      </c>
      <c r="CB782" s="2123">
        <v>115.11</v>
      </c>
      <c r="CC782" s="2123">
        <v>115.99</v>
      </c>
      <c r="CD782" s="2123">
        <v>115.99</v>
      </c>
      <c r="CE782" s="2123">
        <v>142.37</v>
      </c>
      <c r="CF782" s="2123">
        <v>142.37</v>
      </c>
      <c r="CK782" s="2123">
        <v>94.91</v>
      </c>
      <c r="CL782" s="2123">
        <v>94.91</v>
      </c>
      <c r="CM782" s="2123">
        <v>196.14</v>
      </c>
      <c r="CN782" s="2123">
        <v>196.14</v>
      </c>
      <c r="CO782" s="2123">
        <v>235.05</v>
      </c>
      <c r="CP782" s="2123">
        <v>235.05</v>
      </c>
      <c r="CQ782" s="2123">
        <v>235.05</v>
      </c>
      <c r="CR782" s="2123">
        <v>235.05</v>
      </c>
      <c r="CW782" s="2123">
        <v>85.32</v>
      </c>
      <c r="CX782" s="2123">
        <v>85.32</v>
      </c>
      <c r="CY782" s="2123">
        <v>186.73</v>
      </c>
      <c r="CZ782" s="2123">
        <v>186.73</v>
      </c>
      <c r="DA782" s="2123">
        <v>186.73</v>
      </c>
      <c r="DB782" s="2123">
        <v>186.73</v>
      </c>
      <c r="DC782" s="2123">
        <v>223.89</v>
      </c>
      <c r="DD782" s="2123">
        <v>223.89</v>
      </c>
      <c r="DE782" s="2123">
        <v>223.89</v>
      </c>
      <c r="DF782" s="2123">
        <v>223.89</v>
      </c>
      <c r="DI782" s="2123">
        <v>22.57</v>
      </c>
      <c r="DJ782" s="2123">
        <v>22.57</v>
      </c>
      <c r="DK782" s="2123">
        <v>22.57</v>
      </c>
      <c r="DL782" s="2123">
        <v>22.57</v>
      </c>
      <c r="DM782" s="2123">
        <v>22.57</v>
      </c>
      <c r="DN782" s="2123">
        <v>22.57</v>
      </c>
      <c r="DU782" s="2123">
        <v>10.11</v>
      </c>
      <c r="DV782" s="2123">
        <v>10.11</v>
      </c>
      <c r="DW782" s="2123">
        <v>8.9600000000000009</v>
      </c>
      <c r="DX782" s="2123">
        <v>8.9600000000000009</v>
      </c>
      <c r="DY782" s="2123">
        <v>8.9600000000000009</v>
      </c>
      <c r="DZ782" s="2123">
        <v>8.9600000000000009</v>
      </c>
      <c r="EG782" s="2123">
        <v>10.91</v>
      </c>
      <c r="EH782" s="2123">
        <v>11.21</v>
      </c>
      <c r="EI782" s="2123">
        <v>7.21</v>
      </c>
      <c r="EJ782" s="2123">
        <v>7.21</v>
      </c>
      <c r="EK782" s="2123">
        <v>7.17</v>
      </c>
      <c r="EL782" s="2123">
        <v>7.17</v>
      </c>
      <c r="EM782" s="2123">
        <v>7.97</v>
      </c>
      <c r="EN782" s="2123">
        <v>7.97</v>
      </c>
      <c r="EO782" s="2123">
        <v>7.4</v>
      </c>
      <c r="EP782" s="2123">
        <v>7.4</v>
      </c>
      <c r="EQ782" s="2123">
        <v>7.61</v>
      </c>
      <c r="ER782" s="2123">
        <v>7.71</v>
      </c>
      <c r="ES782" s="2123">
        <v>41.5</v>
      </c>
      <c r="ET782" s="2123">
        <v>41.5</v>
      </c>
      <c r="EU782" s="2123">
        <v>159.63</v>
      </c>
      <c r="EV782" s="2123">
        <v>159.63</v>
      </c>
      <c r="EW782" s="2123">
        <v>155.19</v>
      </c>
      <c r="EX782" s="2123">
        <v>155.19</v>
      </c>
      <c r="EY782" s="2129">
        <f t="shared" si="50"/>
        <v>157.41</v>
      </c>
      <c r="EZ782" s="2129">
        <f t="shared" si="50"/>
        <v>157.41</v>
      </c>
      <c r="FA782" s="2123">
        <v>160.71</v>
      </c>
      <c r="FB782" s="2123">
        <v>160.71</v>
      </c>
      <c r="FE782" s="2123">
        <v>35.31</v>
      </c>
      <c r="FF782" s="2123">
        <v>35.31</v>
      </c>
      <c r="FG782" s="2123">
        <v>131.93</v>
      </c>
      <c r="FH782" s="2123">
        <v>131.93</v>
      </c>
      <c r="FI782" s="2123">
        <v>131.93</v>
      </c>
      <c r="FJ782" s="2123">
        <v>131.93</v>
      </c>
      <c r="FK782" s="2123">
        <v>130.88</v>
      </c>
      <c r="FL782" s="2123">
        <v>130.88</v>
      </c>
      <c r="FM782" s="2123">
        <v>132.54</v>
      </c>
      <c r="FN782" s="2123">
        <v>132.54</v>
      </c>
      <c r="FQ782" s="2123">
        <v>79.650000000000006</v>
      </c>
      <c r="FR782" s="2123">
        <v>79.650000000000006</v>
      </c>
      <c r="FS782" s="2123">
        <v>152.22</v>
      </c>
      <c r="FT782" s="2123">
        <v>152.22</v>
      </c>
      <c r="FU782" s="2123">
        <v>152.22</v>
      </c>
      <c r="FV782" s="2123">
        <v>152.22</v>
      </c>
      <c r="FW782" s="2123">
        <v>153.31</v>
      </c>
      <c r="FX782" s="2123">
        <v>153.31</v>
      </c>
      <c r="GC782" s="2123">
        <v>56.72</v>
      </c>
      <c r="GD782" s="2123">
        <v>56.72</v>
      </c>
      <c r="GE782" s="2123">
        <v>131.26</v>
      </c>
      <c r="GF782" s="2123">
        <v>131.26</v>
      </c>
      <c r="GG782" s="2123">
        <v>131.26</v>
      </c>
      <c r="GH782" s="2123">
        <v>131.26</v>
      </c>
      <c r="GI782" s="2123">
        <v>106.61</v>
      </c>
      <c r="GJ782" s="2123">
        <v>106.61</v>
      </c>
      <c r="GK782" s="2123">
        <v>141.91</v>
      </c>
      <c r="GL782" s="2123">
        <v>141.91</v>
      </c>
      <c r="GO782" s="2123">
        <v>30.16</v>
      </c>
      <c r="GP782" s="2123">
        <v>30.16</v>
      </c>
      <c r="GQ782" s="2123">
        <v>22.82</v>
      </c>
      <c r="GR782" s="2123">
        <v>22.82</v>
      </c>
      <c r="GS782" s="2123">
        <v>22.82</v>
      </c>
      <c r="GT782" s="2123">
        <v>21.88</v>
      </c>
      <c r="GU782" s="2123">
        <v>21.88</v>
      </c>
      <c r="GV782" s="2123">
        <v>22.67</v>
      </c>
      <c r="GW782" s="2123">
        <v>131.59</v>
      </c>
      <c r="GX782" s="2123">
        <v>131.59</v>
      </c>
      <c r="HA782" s="2123">
        <v>21.16</v>
      </c>
      <c r="HB782" s="2123">
        <v>21.16</v>
      </c>
      <c r="HC782" s="2123">
        <v>12.61</v>
      </c>
      <c r="HD782" s="2123">
        <v>12.61</v>
      </c>
      <c r="HE782" s="2123">
        <v>13.67</v>
      </c>
      <c r="HF782" s="2123">
        <v>13.67</v>
      </c>
      <c r="HG782" s="2123">
        <v>13.67</v>
      </c>
      <c r="HH782" s="2123">
        <v>13.67</v>
      </c>
      <c r="HI782" s="2123">
        <v>13.67</v>
      </c>
      <c r="HJ782" s="2123">
        <v>13.67</v>
      </c>
      <c r="HK782" s="2123">
        <v>13.67</v>
      </c>
      <c r="HL782" s="2123">
        <v>14.23</v>
      </c>
      <c r="HM782" s="2123">
        <v>29.63</v>
      </c>
      <c r="HN782" s="2123">
        <v>29.63</v>
      </c>
      <c r="HO782" s="2123">
        <v>18.11</v>
      </c>
      <c r="HP782" s="2123">
        <v>18.11</v>
      </c>
      <c r="HQ782" s="2123">
        <v>19.64</v>
      </c>
      <c r="HR782" s="2123">
        <v>19.64</v>
      </c>
      <c r="HS782" s="2123">
        <v>19.64</v>
      </c>
      <c r="HT782" s="2123">
        <v>19.64</v>
      </c>
      <c r="HU782" s="2123">
        <v>19.64</v>
      </c>
      <c r="HV782" s="2123">
        <v>19.64</v>
      </c>
      <c r="HW782" s="2123">
        <v>19.55</v>
      </c>
      <c r="HX782" s="2050">
        <v>19.55</v>
      </c>
    </row>
    <row r="783" spans="1:232" s="2123" customFormat="1" ht="14" hidden="1" x14ac:dyDescent="0.3">
      <c r="A783" s="2040"/>
      <c r="B783" s="2127">
        <v>34</v>
      </c>
      <c r="C783" s="2128">
        <v>34.03</v>
      </c>
      <c r="D783" s="2128">
        <v>34.03</v>
      </c>
      <c r="E783" s="2128">
        <v>34.72</v>
      </c>
      <c r="F783" s="2128">
        <v>34.72</v>
      </c>
      <c r="G783" s="2128">
        <v>123.64</v>
      </c>
      <c r="H783" s="2128">
        <v>123.64</v>
      </c>
      <c r="I783" s="2128">
        <v>113.56</v>
      </c>
      <c r="J783" s="2128">
        <v>113.56</v>
      </c>
      <c r="K783" s="2128">
        <v>125.18</v>
      </c>
      <c r="L783" s="2128">
        <v>125.18</v>
      </c>
      <c r="M783" s="2128"/>
      <c r="N783" s="2128"/>
      <c r="O783" s="2128">
        <v>106.33</v>
      </c>
      <c r="P783" s="2128">
        <v>106.33</v>
      </c>
      <c r="Q783" s="2128">
        <v>107.08</v>
      </c>
      <c r="R783" s="2128">
        <v>106.33</v>
      </c>
      <c r="S783" s="2128">
        <v>172.78</v>
      </c>
      <c r="T783" s="2128">
        <v>172.78</v>
      </c>
      <c r="U783" s="2128">
        <v>166.77</v>
      </c>
      <c r="V783" s="2128">
        <v>166.77</v>
      </c>
      <c r="W783" s="2128">
        <v>172.78</v>
      </c>
      <c r="X783" s="2128">
        <v>172.78</v>
      </c>
      <c r="Y783" s="2128">
        <v>166.77</v>
      </c>
      <c r="Z783" s="2128">
        <v>172.78</v>
      </c>
      <c r="AA783" s="2128">
        <v>172.78</v>
      </c>
      <c r="AB783" s="2128">
        <v>172.78</v>
      </c>
      <c r="AC783" s="2128">
        <v>166.77</v>
      </c>
      <c r="AD783" s="2128">
        <v>166.77</v>
      </c>
      <c r="AE783" s="2128">
        <v>192.17</v>
      </c>
      <c r="AF783" s="2128">
        <v>186.72</v>
      </c>
      <c r="AG783" s="2128">
        <v>192.17</v>
      </c>
      <c r="AH783" s="2128">
        <v>192.17</v>
      </c>
      <c r="AI783" s="2128">
        <v>186.72</v>
      </c>
      <c r="AJ783" s="2128">
        <v>186.72</v>
      </c>
      <c r="AK783" s="2128">
        <v>188.26</v>
      </c>
      <c r="AL783" s="2128">
        <v>188.26</v>
      </c>
      <c r="AM783" s="2128">
        <v>56.29</v>
      </c>
      <c r="AN783" s="2128">
        <v>54.22</v>
      </c>
      <c r="AO783" s="2128">
        <v>54.22</v>
      </c>
      <c r="AP783" s="2128">
        <v>54.22</v>
      </c>
      <c r="AQ783" s="2128">
        <v>55.43</v>
      </c>
      <c r="AR783" s="2128">
        <v>55.43</v>
      </c>
      <c r="AS783" s="2128">
        <v>150.44</v>
      </c>
      <c r="AT783" s="2128">
        <v>150.44</v>
      </c>
      <c r="AU783" s="2128">
        <v>150.44</v>
      </c>
      <c r="AV783" s="2128">
        <v>154.66</v>
      </c>
      <c r="AW783" s="2128">
        <v>150.44</v>
      </c>
      <c r="AX783" s="2128">
        <v>150.44</v>
      </c>
      <c r="AY783" s="2128">
        <v>150.62</v>
      </c>
      <c r="AZ783" s="2128">
        <v>150.62</v>
      </c>
      <c r="BA783" s="2123">
        <v>64.66</v>
      </c>
      <c r="BB783" s="2123">
        <v>64.66</v>
      </c>
      <c r="BC783" s="2123">
        <v>15.23</v>
      </c>
      <c r="BD783" s="2123">
        <v>15.78</v>
      </c>
      <c r="BE783" s="2123">
        <v>20.02</v>
      </c>
      <c r="BF783" s="2123">
        <v>20.02</v>
      </c>
      <c r="BG783" s="2123">
        <v>15.28</v>
      </c>
      <c r="BH783" s="2123">
        <v>15.28</v>
      </c>
      <c r="BI783" s="2123">
        <v>15.13</v>
      </c>
      <c r="BJ783" s="2123">
        <v>15.13</v>
      </c>
      <c r="BK783" s="2123">
        <v>15.13</v>
      </c>
      <c r="BL783" s="2123">
        <v>15.13</v>
      </c>
      <c r="BM783" s="2123">
        <v>41.16</v>
      </c>
      <c r="BN783" s="2123">
        <v>41.16</v>
      </c>
      <c r="BO783" s="2123">
        <v>123.34</v>
      </c>
      <c r="BP783" s="2123">
        <v>123.34</v>
      </c>
      <c r="BQ783" s="2123">
        <v>123.34</v>
      </c>
      <c r="BR783" s="2123">
        <v>123.34</v>
      </c>
      <c r="BS783" s="2123">
        <v>148.78</v>
      </c>
      <c r="BT783" s="2123">
        <v>148.78</v>
      </c>
      <c r="BU783" s="2123">
        <v>148.78</v>
      </c>
      <c r="BV783" s="2123">
        <v>148.78</v>
      </c>
      <c r="BW783" s="2123">
        <v>148.78</v>
      </c>
      <c r="BX783" s="2123">
        <v>148.78</v>
      </c>
      <c r="BY783" s="2123">
        <v>37.39</v>
      </c>
      <c r="BZ783" s="2123">
        <v>37.39</v>
      </c>
      <c r="CA783" s="2123">
        <v>117.31</v>
      </c>
      <c r="CB783" s="2123">
        <v>117.31</v>
      </c>
      <c r="CC783" s="2123">
        <v>118.27</v>
      </c>
      <c r="CD783" s="2123">
        <v>118.27</v>
      </c>
      <c r="CE783" s="2123">
        <v>145.65</v>
      </c>
      <c r="CF783" s="2123">
        <v>145.65</v>
      </c>
      <c r="CK783" s="2123">
        <v>96.23</v>
      </c>
      <c r="CL783" s="2123">
        <v>96.23</v>
      </c>
      <c r="CM783" s="2123">
        <v>198.73</v>
      </c>
      <c r="CN783" s="2123">
        <v>198.73</v>
      </c>
      <c r="CO783" s="2123">
        <v>239.03</v>
      </c>
      <c r="CP783" s="2123">
        <v>239.03</v>
      </c>
      <c r="CQ783" s="2123">
        <v>239.03</v>
      </c>
      <c r="CR783" s="2123">
        <v>239.03</v>
      </c>
      <c r="CW783" s="2123">
        <v>86.73</v>
      </c>
      <c r="CX783" s="2123">
        <v>86.73</v>
      </c>
      <c r="CY783" s="2123">
        <v>189.33</v>
      </c>
      <c r="CZ783" s="2123">
        <v>189.33</v>
      </c>
      <c r="DA783" s="2123">
        <v>189.33</v>
      </c>
      <c r="DB783" s="2123">
        <v>189.33</v>
      </c>
      <c r="DC783" s="2123">
        <v>227.84</v>
      </c>
      <c r="DD783" s="2123">
        <v>227.84</v>
      </c>
      <c r="DE783" s="2123">
        <v>227.84</v>
      </c>
      <c r="DF783" s="2123">
        <v>227.84</v>
      </c>
      <c r="DI783" s="2123">
        <v>22.94</v>
      </c>
      <c r="DJ783" s="2123">
        <v>22.94</v>
      </c>
      <c r="DK783" s="2123">
        <v>22.94</v>
      </c>
      <c r="DL783" s="2123">
        <v>22.94</v>
      </c>
      <c r="DM783" s="2123">
        <v>22.94</v>
      </c>
      <c r="DN783" s="2123">
        <v>22.94</v>
      </c>
      <c r="DU783" s="2123">
        <v>10.27</v>
      </c>
      <c r="DV783" s="2123">
        <v>10.27</v>
      </c>
      <c r="DW783" s="2123">
        <v>9.15</v>
      </c>
      <c r="DX783" s="2123">
        <v>9.15</v>
      </c>
      <c r="DY783" s="2123">
        <v>9.15</v>
      </c>
      <c r="DZ783" s="2123">
        <v>9.15</v>
      </c>
      <c r="EG783" s="2123">
        <v>11.09</v>
      </c>
      <c r="EH783" s="2123">
        <v>11.38</v>
      </c>
      <c r="EI783" s="2123">
        <v>7.41</v>
      </c>
      <c r="EJ783" s="2123">
        <v>7.41</v>
      </c>
      <c r="EK783" s="2123">
        <v>7.36</v>
      </c>
      <c r="EL783" s="2123">
        <v>7.36</v>
      </c>
      <c r="EM783" s="2123">
        <v>8.16</v>
      </c>
      <c r="EN783" s="2123">
        <v>8.16</v>
      </c>
      <c r="EO783" s="2123">
        <v>7.58</v>
      </c>
      <c r="EP783" s="2123">
        <v>7.58</v>
      </c>
      <c r="EQ783" s="2123">
        <v>7.8</v>
      </c>
      <c r="ER783" s="2123">
        <v>7.89</v>
      </c>
      <c r="ES783" s="2123">
        <v>42.16</v>
      </c>
      <c r="ET783" s="2123">
        <v>42.16</v>
      </c>
      <c r="EU783" s="2123">
        <v>163.19</v>
      </c>
      <c r="EV783" s="2123">
        <v>163.19</v>
      </c>
      <c r="EW783" s="2123">
        <v>158.71</v>
      </c>
      <c r="EX783" s="2123">
        <v>158.71</v>
      </c>
      <c r="EY783" s="2129">
        <f t="shared" si="50"/>
        <v>160.94999999999999</v>
      </c>
      <c r="EZ783" s="2129">
        <f t="shared" si="50"/>
        <v>160.94999999999999</v>
      </c>
      <c r="FA783" s="2123">
        <v>164.18</v>
      </c>
      <c r="FB783" s="2123">
        <v>164.18</v>
      </c>
      <c r="FE783" s="2123">
        <v>35.950000000000003</v>
      </c>
      <c r="FF783" s="2123">
        <v>35.950000000000003</v>
      </c>
      <c r="FG783" s="2123">
        <v>135.33000000000001</v>
      </c>
      <c r="FH783" s="2123">
        <v>135.33000000000001</v>
      </c>
      <c r="FI783" s="2123">
        <v>135.33000000000001</v>
      </c>
      <c r="FJ783" s="2123">
        <v>135.33000000000001</v>
      </c>
      <c r="FK783" s="2123">
        <v>134.30000000000001</v>
      </c>
      <c r="FL783" s="2123">
        <v>134.30000000000001</v>
      </c>
      <c r="FM783" s="2123">
        <v>135.93</v>
      </c>
      <c r="FN783" s="2123">
        <v>135.93</v>
      </c>
      <c r="FQ783" s="2123">
        <v>81.22</v>
      </c>
      <c r="FR783" s="2123">
        <v>81.22</v>
      </c>
      <c r="FS783" s="2123">
        <v>155.66</v>
      </c>
      <c r="FT783" s="2123">
        <v>155.66</v>
      </c>
      <c r="FU783" s="2123">
        <v>155.66</v>
      </c>
      <c r="FV783" s="2123">
        <v>155.66</v>
      </c>
      <c r="FW783" s="2123">
        <v>156.72999999999999</v>
      </c>
      <c r="FX783" s="2123">
        <v>156.72999999999999</v>
      </c>
      <c r="GC783" s="2123">
        <v>57.69</v>
      </c>
      <c r="GD783" s="2123">
        <v>57.69</v>
      </c>
      <c r="GE783" s="2123">
        <v>133.27000000000001</v>
      </c>
      <c r="GF783" s="2123">
        <v>133.27000000000001</v>
      </c>
      <c r="GG783" s="2123">
        <v>133.27000000000001</v>
      </c>
      <c r="GH783" s="2123">
        <v>133.27000000000001</v>
      </c>
      <c r="GI783" s="2123">
        <v>110.02</v>
      </c>
      <c r="GJ783" s="2123">
        <v>110.02</v>
      </c>
      <c r="GK783" s="2123">
        <v>145.13999999999999</v>
      </c>
      <c r="GL783" s="2123">
        <v>145.13999999999999</v>
      </c>
      <c r="GO783" s="2123">
        <v>30.79</v>
      </c>
      <c r="GP783" s="2123">
        <v>30.79</v>
      </c>
      <c r="GQ783" s="2123">
        <v>23.36</v>
      </c>
      <c r="GR783" s="2123">
        <v>23.36</v>
      </c>
      <c r="GS783" s="2123">
        <v>23.36</v>
      </c>
      <c r="GT783" s="2123">
        <v>22.41</v>
      </c>
      <c r="GU783" s="2123">
        <v>22.41</v>
      </c>
      <c r="GV783" s="2123">
        <v>23.17</v>
      </c>
      <c r="GW783" s="2123">
        <v>134.63999999999999</v>
      </c>
      <c r="GX783" s="2123">
        <v>134.63999999999999</v>
      </c>
      <c r="HA783" s="2123">
        <v>21.5</v>
      </c>
      <c r="HB783" s="2123">
        <v>21.5</v>
      </c>
      <c r="HC783" s="2123">
        <v>12.99</v>
      </c>
      <c r="HD783" s="2123">
        <v>12.99</v>
      </c>
      <c r="HE783" s="2123">
        <v>14.05</v>
      </c>
      <c r="HF783" s="2123">
        <v>14.05</v>
      </c>
      <c r="HG783" s="2123">
        <v>14.05</v>
      </c>
      <c r="HH783" s="2123">
        <v>14.05</v>
      </c>
      <c r="HI783" s="2123">
        <v>14.05</v>
      </c>
      <c r="HJ783" s="2123">
        <v>14.05</v>
      </c>
      <c r="HK783" s="2123">
        <v>14.05</v>
      </c>
      <c r="HL783" s="2123">
        <v>14.59</v>
      </c>
      <c r="HM783" s="2123">
        <v>30.11</v>
      </c>
      <c r="HN783" s="2123">
        <v>30.11</v>
      </c>
      <c r="HO783" s="2123">
        <v>18.64</v>
      </c>
      <c r="HP783" s="2123">
        <v>18.64</v>
      </c>
      <c r="HQ783" s="2123">
        <v>20.170000000000002</v>
      </c>
      <c r="HR783" s="2123">
        <v>20.170000000000002</v>
      </c>
      <c r="HS783" s="2123">
        <v>20.170000000000002</v>
      </c>
      <c r="HT783" s="2123">
        <v>20.170000000000002</v>
      </c>
      <c r="HU783" s="2123">
        <v>20.170000000000002</v>
      </c>
      <c r="HV783" s="2123">
        <v>20.170000000000002</v>
      </c>
      <c r="HW783" s="2123">
        <v>20.079999999999998</v>
      </c>
      <c r="HX783" s="2050">
        <v>20.079999999999998</v>
      </c>
    </row>
    <row r="784" spans="1:232" s="2123" customFormat="1" ht="14" hidden="1" x14ac:dyDescent="0.3">
      <c r="A784" s="2040"/>
      <c r="B784" s="2127">
        <v>35</v>
      </c>
      <c r="C784" s="2128">
        <v>34.56</v>
      </c>
      <c r="D784" s="2128">
        <v>34.56</v>
      </c>
      <c r="E784" s="2128">
        <v>35.21</v>
      </c>
      <c r="F784" s="2128">
        <v>35.21</v>
      </c>
      <c r="G784" s="2128">
        <v>125.95</v>
      </c>
      <c r="H784" s="2128">
        <v>125.95</v>
      </c>
      <c r="I784" s="2128">
        <v>115.85</v>
      </c>
      <c r="J784" s="2128">
        <v>115.85</v>
      </c>
      <c r="K784" s="2128">
        <v>127.2</v>
      </c>
      <c r="L784" s="2128">
        <v>127.2</v>
      </c>
      <c r="M784" s="2128"/>
      <c r="N784" s="2128"/>
      <c r="O784" s="2128">
        <v>107.98</v>
      </c>
      <c r="P784" s="2128">
        <v>107.98</v>
      </c>
      <c r="Q784" s="2128">
        <v>108.67</v>
      </c>
      <c r="R784" s="2128">
        <v>107.99</v>
      </c>
      <c r="S784" s="2128">
        <v>176.63</v>
      </c>
      <c r="T784" s="2128">
        <v>176.63</v>
      </c>
      <c r="U784" s="2128">
        <v>170.49</v>
      </c>
      <c r="V784" s="2128">
        <v>170.49</v>
      </c>
      <c r="W784" s="2128">
        <v>176.63</v>
      </c>
      <c r="X784" s="2128">
        <v>176.63</v>
      </c>
      <c r="Y784" s="2128">
        <v>170.49</v>
      </c>
      <c r="Z784" s="2128">
        <v>176.63</v>
      </c>
      <c r="AA784" s="2128">
        <v>176.63</v>
      </c>
      <c r="AB784" s="2128">
        <v>176.63</v>
      </c>
      <c r="AC784" s="2128">
        <v>170.49</v>
      </c>
      <c r="AD784" s="2128">
        <v>170.49</v>
      </c>
      <c r="AE784" s="2128">
        <v>195.88</v>
      </c>
      <c r="AF784" s="2128">
        <v>190.32</v>
      </c>
      <c r="AG784" s="2128">
        <v>195.88</v>
      </c>
      <c r="AH784" s="2128">
        <v>195.88</v>
      </c>
      <c r="AI784" s="2128">
        <v>190.32</v>
      </c>
      <c r="AJ784" s="2128">
        <v>190.32</v>
      </c>
      <c r="AK784" s="2128">
        <v>191.8</v>
      </c>
      <c r="AL784" s="2128">
        <v>191.8</v>
      </c>
      <c r="AM784" s="2128">
        <v>57.17</v>
      </c>
      <c r="AN784" s="2128">
        <v>55.06</v>
      </c>
      <c r="AO784" s="2128">
        <v>55.06</v>
      </c>
      <c r="AP784" s="2128">
        <v>55.06</v>
      </c>
      <c r="AQ784" s="2128">
        <v>56.23</v>
      </c>
      <c r="AR784" s="2128">
        <v>56.23</v>
      </c>
      <c r="AS784" s="2128">
        <v>153.4</v>
      </c>
      <c r="AT784" s="2128">
        <v>153.4</v>
      </c>
      <c r="AU784" s="2128">
        <v>153.4</v>
      </c>
      <c r="AV784" s="2128">
        <v>157.63999999999999</v>
      </c>
      <c r="AW784" s="2128">
        <v>153.41999999999999</v>
      </c>
      <c r="AX784" s="2128">
        <v>153.41999999999999</v>
      </c>
      <c r="AY784" s="2128">
        <v>153.6</v>
      </c>
      <c r="AZ784" s="2128">
        <v>153.6</v>
      </c>
      <c r="BA784" s="2123">
        <v>65.98</v>
      </c>
      <c r="BB784" s="2123">
        <v>65.98</v>
      </c>
      <c r="BC784" s="2123">
        <v>15.6</v>
      </c>
      <c r="BD784" s="2123">
        <v>16.13</v>
      </c>
      <c r="BE784" s="2123">
        <v>20.34</v>
      </c>
      <c r="BF784" s="2123">
        <v>20.34</v>
      </c>
      <c r="BG784" s="2123">
        <v>15.65</v>
      </c>
      <c r="BH784" s="2123">
        <v>15.65</v>
      </c>
      <c r="BI784" s="2123">
        <v>15.5</v>
      </c>
      <c r="BJ784" s="2123">
        <v>15.5</v>
      </c>
      <c r="BK784" s="2123">
        <v>15.5</v>
      </c>
      <c r="BL784" s="2123">
        <v>15.5</v>
      </c>
      <c r="BM784" s="2123">
        <v>41.8</v>
      </c>
      <c r="BN784" s="2123">
        <v>41.8</v>
      </c>
      <c r="BO784" s="2123">
        <v>125.52</v>
      </c>
      <c r="BP784" s="2123">
        <v>125.52</v>
      </c>
      <c r="BQ784" s="2123">
        <v>125.52</v>
      </c>
      <c r="BR784" s="2123">
        <v>125.52</v>
      </c>
      <c r="BS784" s="2123">
        <v>151.94999999999999</v>
      </c>
      <c r="BT784" s="2123">
        <v>151.94999999999999</v>
      </c>
      <c r="BU784" s="2123">
        <v>151.94999999999999</v>
      </c>
      <c r="BV784" s="2123">
        <v>151.94999999999999</v>
      </c>
      <c r="BW784" s="2123">
        <v>151.94999999999999</v>
      </c>
      <c r="BX784" s="2123">
        <v>151.94999999999999</v>
      </c>
      <c r="BY784" s="2123">
        <v>37.97</v>
      </c>
      <c r="BZ784" s="2123">
        <v>37.97</v>
      </c>
      <c r="CA784" s="2123">
        <v>119.43</v>
      </c>
      <c r="CB784" s="2123">
        <v>119.43</v>
      </c>
      <c r="CC784" s="2123">
        <v>120.46</v>
      </c>
      <c r="CD784" s="2123">
        <v>120.46</v>
      </c>
      <c r="CE784" s="2123">
        <v>148.81</v>
      </c>
      <c r="CF784" s="2123">
        <v>148.81</v>
      </c>
      <c r="CK784" s="2123">
        <v>97.5</v>
      </c>
      <c r="CL784" s="2123">
        <v>97.5</v>
      </c>
      <c r="CM784" s="2123">
        <v>201.21</v>
      </c>
      <c r="CN784" s="2123">
        <v>201.21</v>
      </c>
      <c r="CO784" s="2123">
        <v>242.85</v>
      </c>
      <c r="CP784" s="2123">
        <v>242.85</v>
      </c>
      <c r="CQ784" s="2123">
        <v>242.85</v>
      </c>
      <c r="CR784" s="2123">
        <v>242.85</v>
      </c>
      <c r="CW784" s="2123">
        <v>88.08</v>
      </c>
      <c r="CX784" s="2123">
        <v>88.08</v>
      </c>
      <c r="CY784" s="2123">
        <v>191.82</v>
      </c>
      <c r="CZ784" s="2123">
        <v>191.82</v>
      </c>
      <c r="DA784" s="2123">
        <v>191.82</v>
      </c>
      <c r="DB784" s="2123">
        <v>191.82</v>
      </c>
      <c r="DC784" s="2123">
        <v>231.64</v>
      </c>
      <c r="DD784" s="2123">
        <v>231.64</v>
      </c>
      <c r="DE784" s="2123">
        <v>231.64</v>
      </c>
      <c r="DF784" s="2123">
        <v>231.64</v>
      </c>
      <c r="DI784" s="2123">
        <v>23.29</v>
      </c>
      <c r="DJ784" s="2123">
        <v>23.29</v>
      </c>
      <c r="DK784" s="2123">
        <v>23.29</v>
      </c>
      <c r="DL784" s="2123">
        <v>23.29</v>
      </c>
      <c r="DM784" s="2123">
        <v>23.29</v>
      </c>
      <c r="DN784" s="2123">
        <v>23.29</v>
      </c>
      <c r="DU784" s="2123">
        <v>10.43</v>
      </c>
      <c r="DV784" s="2123">
        <v>10.43</v>
      </c>
      <c r="DW784" s="2123">
        <v>9.32</v>
      </c>
      <c r="DX784" s="2123">
        <v>9.32</v>
      </c>
      <c r="DY784" s="2123">
        <v>9.32</v>
      </c>
      <c r="DZ784" s="2123">
        <v>9.32</v>
      </c>
      <c r="EG784" s="2123">
        <v>11.21</v>
      </c>
      <c r="EH784" s="2123">
        <v>11.5</v>
      </c>
      <c r="EI784" s="2123">
        <v>7.55</v>
      </c>
      <c r="EJ784" s="2123">
        <v>7.55</v>
      </c>
      <c r="EK784" s="2123">
        <v>7.51</v>
      </c>
      <c r="EL784" s="2123">
        <v>7.51</v>
      </c>
      <c r="EM784" s="2123">
        <v>8.3000000000000007</v>
      </c>
      <c r="EN784" s="2123">
        <v>8.3000000000000007</v>
      </c>
      <c r="EO784" s="2123">
        <v>7.72</v>
      </c>
      <c r="EP784" s="2123">
        <v>7.72</v>
      </c>
      <c r="EQ784" s="2123">
        <v>7.94</v>
      </c>
      <c r="ER784" s="2123">
        <v>8.02</v>
      </c>
      <c r="ES784" s="2123">
        <v>42.52</v>
      </c>
      <c r="ET784" s="2123">
        <v>42.52</v>
      </c>
      <c r="EU784" s="2123">
        <v>165.14</v>
      </c>
      <c r="EV784" s="2123">
        <v>165.14</v>
      </c>
      <c r="EW784" s="2123">
        <v>160.63999999999999</v>
      </c>
      <c r="EX784" s="2123">
        <v>160.63999999999999</v>
      </c>
      <c r="EY784" s="2129">
        <f t="shared" si="50"/>
        <v>162.88999999999999</v>
      </c>
      <c r="EZ784" s="2129">
        <f t="shared" si="50"/>
        <v>162.88999999999999</v>
      </c>
      <c r="FA784" s="2123">
        <v>166.07</v>
      </c>
      <c r="FB784" s="2123">
        <v>166.07</v>
      </c>
      <c r="FE784" s="2123">
        <v>36.450000000000003</v>
      </c>
      <c r="FF784" s="2123">
        <v>36.450000000000003</v>
      </c>
      <c r="FG784" s="2123">
        <v>137.97999999999999</v>
      </c>
      <c r="FH784" s="2123">
        <v>137.97999999999999</v>
      </c>
      <c r="FI784" s="2123">
        <v>137.97999999999999</v>
      </c>
      <c r="FJ784" s="2123">
        <v>137.97999999999999</v>
      </c>
      <c r="FK784" s="2123">
        <v>136.97</v>
      </c>
      <c r="FL784" s="2123">
        <v>136.97</v>
      </c>
      <c r="FM784" s="2123">
        <v>138.58000000000001</v>
      </c>
      <c r="FN784" s="2123">
        <v>138.58000000000001</v>
      </c>
      <c r="FQ784" s="2123">
        <v>82.44</v>
      </c>
      <c r="FR784" s="2123">
        <v>82.44</v>
      </c>
      <c r="FS784" s="2123">
        <v>158.32</v>
      </c>
      <c r="FT784" s="2123">
        <v>158.32</v>
      </c>
      <c r="FU784" s="2123">
        <v>158.32</v>
      </c>
      <c r="FV784" s="2123">
        <v>158.32</v>
      </c>
      <c r="FW784" s="2123">
        <v>159.37</v>
      </c>
      <c r="FX784" s="2123">
        <v>159.37</v>
      </c>
      <c r="GC784" s="2123">
        <v>58.58</v>
      </c>
      <c r="GD784" s="2123">
        <v>58.58</v>
      </c>
      <c r="GE784" s="2123">
        <v>135.12</v>
      </c>
      <c r="GF784" s="2123">
        <v>135.12</v>
      </c>
      <c r="GG784" s="2123">
        <v>135.12</v>
      </c>
      <c r="GH784" s="2123">
        <v>135.12</v>
      </c>
      <c r="GI784" s="2123">
        <v>113.2</v>
      </c>
      <c r="GJ784" s="2123">
        <v>113.2</v>
      </c>
      <c r="GK784" s="2123">
        <v>148.13</v>
      </c>
      <c r="GL784" s="2123">
        <v>148.13</v>
      </c>
      <c r="GO784" s="2123">
        <v>31.26</v>
      </c>
      <c r="GP784" s="2123">
        <v>31.26</v>
      </c>
      <c r="GQ784" s="2123">
        <v>23.89</v>
      </c>
      <c r="GR784" s="2123">
        <v>23.89</v>
      </c>
      <c r="GS784" s="2123">
        <v>23.89</v>
      </c>
      <c r="GT784" s="2123">
        <v>22.92</v>
      </c>
      <c r="GU784" s="2123">
        <v>22.92</v>
      </c>
      <c r="GV784" s="2123">
        <v>23.66</v>
      </c>
      <c r="GW784" s="2123">
        <v>137.59</v>
      </c>
      <c r="GX784" s="2123">
        <v>137.59</v>
      </c>
      <c r="HA784" s="2123">
        <v>21.83</v>
      </c>
      <c r="HB784" s="2123">
        <v>21.83</v>
      </c>
      <c r="HC784" s="2123">
        <v>13.36</v>
      </c>
      <c r="HD784" s="2123">
        <v>13.36</v>
      </c>
      <c r="HE784" s="2123">
        <v>14.41</v>
      </c>
      <c r="HF784" s="2123">
        <v>14.41</v>
      </c>
      <c r="HG784" s="2123">
        <v>14.41</v>
      </c>
      <c r="HH784" s="2123">
        <v>14.41</v>
      </c>
      <c r="HI784" s="2123">
        <v>14.41</v>
      </c>
      <c r="HJ784" s="2123">
        <v>14.41</v>
      </c>
      <c r="HK784" s="2123">
        <v>14.42</v>
      </c>
      <c r="HL784" s="2123">
        <v>14.94</v>
      </c>
      <c r="HM784" s="2123">
        <v>30.58</v>
      </c>
      <c r="HN784" s="2123">
        <v>30.58</v>
      </c>
      <c r="HO784" s="2123">
        <v>19.16</v>
      </c>
      <c r="HP784" s="2123">
        <v>19.16</v>
      </c>
      <c r="HQ784" s="2123">
        <v>20.67</v>
      </c>
      <c r="HR784" s="2123">
        <v>20.67</v>
      </c>
      <c r="HS784" s="2123">
        <v>20.67</v>
      </c>
      <c r="HT784" s="2123">
        <v>20.67</v>
      </c>
      <c r="HU784" s="2123">
        <v>20.67</v>
      </c>
      <c r="HV784" s="2123">
        <v>20.67</v>
      </c>
      <c r="HW784" s="2123">
        <v>20.59</v>
      </c>
      <c r="HX784" s="2050">
        <v>20.59</v>
      </c>
    </row>
    <row r="785" spans="1:232" s="2123" customFormat="1" ht="14" hidden="1" x14ac:dyDescent="0.3">
      <c r="A785" s="2040"/>
      <c r="B785" s="2127">
        <v>36</v>
      </c>
      <c r="C785" s="2128">
        <v>35.06</v>
      </c>
      <c r="D785" s="2128">
        <v>35.06</v>
      </c>
      <c r="E785" s="2128">
        <v>35.68</v>
      </c>
      <c r="F785" s="2128">
        <v>35.68</v>
      </c>
      <c r="G785" s="2128">
        <v>128.16999999999999</v>
      </c>
      <c r="H785" s="2128">
        <v>128.16999999999999</v>
      </c>
      <c r="I785" s="2128">
        <v>118.07</v>
      </c>
      <c r="J785" s="2128">
        <v>118.07</v>
      </c>
      <c r="K785" s="2128">
        <v>129.15</v>
      </c>
      <c r="L785" s="2128">
        <v>129.15</v>
      </c>
      <c r="M785" s="2128"/>
      <c r="N785" s="2128"/>
      <c r="O785" s="2128">
        <v>109.57</v>
      </c>
      <c r="P785" s="2128">
        <v>109.57</v>
      </c>
      <c r="Q785" s="2128">
        <v>110.2</v>
      </c>
      <c r="R785" s="2128">
        <v>109.58</v>
      </c>
      <c r="S785" s="2128">
        <v>180.35</v>
      </c>
      <c r="T785" s="2128">
        <v>180.35</v>
      </c>
      <c r="U785" s="2128">
        <v>174.08</v>
      </c>
      <c r="V785" s="2128">
        <v>174.08</v>
      </c>
      <c r="W785" s="2128">
        <v>180.35</v>
      </c>
      <c r="X785" s="2128">
        <v>180.35</v>
      </c>
      <c r="Y785" s="2128">
        <v>174.08</v>
      </c>
      <c r="Z785" s="2128">
        <v>180.35</v>
      </c>
      <c r="AA785" s="2128">
        <v>180.35</v>
      </c>
      <c r="AB785" s="2128">
        <v>180.35</v>
      </c>
      <c r="AC785" s="2128">
        <v>174.08</v>
      </c>
      <c r="AD785" s="2128">
        <v>174.08</v>
      </c>
      <c r="AE785" s="2128">
        <v>199.45</v>
      </c>
      <c r="AF785" s="2128">
        <v>193.79</v>
      </c>
      <c r="AG785" s="2128">
        <v>199.45</v>
      </c>
      <c r="AH785" s="2128">
        <v>199.45</v>
      </c>
      <c r="AI785" s="2128">
        <v>193.79</v>
      </c>
      <c r="AJ785" s="2128">
        <v>193.79</v>
      </c>
      <c r="AK785" s="2128">
        <v>195.21</v>
      </c>
      <c r="AL785" s="2128">
        <v>195.21</v>
      </c>
      <c r="AM785" s="2128">
        <v>58</v>
      </c>
      <c r="AN785" s="2128">
        <v>55.87</v>
      </c>
      <c r="AO785" s="2128">
        <v>55.87</v>
      </c>
      <c r="AP785" s="2128">
        <v>55.87</v>
      </c>
      <c r="AQ785" s="2128">
        <v>56.99</v>
      </c>
      <c r="AR785" s="2128">
        <v>56.99</v>
      </c>
      <c r="AS785" s="2128">
        <v>156.24</v>
      </c>
      <c r="AT785" s="2128">
        <v>156.24</v>
      </c>
      <c r="AU785" s="2128">
        <v>156.24</v>
      </c>
      <c r="AV785" s="2128">
        <v>160.52000000000001</v>
      </c>
      <c r="AW785" s="2128">
        <v>156.30000000000001</v>
      </c>
      <c r="AX785" s="2128">
        <v>156.30000000000001</v>
      </c>
      <c r="AY785" s="2128">
        <v>156.47</v>
      </c>
      <c r="AZ785" s="2128">
        <v>156.47</v>
      </c>
      <c r="BA785" s="2123">
        <v>67.25</v>
      </c>
      <c r="BB785" s="2123">
        <v>67.25</v>
      </c>
      <c r="BC785" s="2123">
        <v>15.95</v>
      </c>
      <c r="BD785" s="2123">
        <v>16.46</v>
      </c>
      <c r="BE785" s="2123">
        <v>20.65</v>
      </c>
      <c r="BF785" s="2123">
        <v>20.65</v>
      </c>
      <c r="BG785" s="2123">
        <v>16</v>
      </c>
      <c r="BH785" s="2123">
        <v>16</v>
      </c>
      <c r="BI785" s="2123">
        <v>15.85</v>
      </c>
      <c r="BJ785" s="2123">
        <v>15.85</v>
      </c>
      <c r="BK785" s="2123">
        <v>15.85</v>
      </c>
      <c r="BL785" s="2123">
        <v>15.85</v>
      </c>
      <c r="BM785" s="2123">
        <v>42.41</v>
      </c>
      <c r="BN785" s="2123">
        <v>42.41</v>
      </c>
      <c r="BO785" s="2123">
        <v>127.62</v>
      </c>
      <c r="BP785" s="2123">
        <v>127.62</v>
      </c>
      <c r="BQ785" s="2123">
        <v>127.62</v>
      </c>
      <c r="BR785" s="2123">
        <v>127.62</v>
      </c>
      <c r="BS785" s="2123">
        <v>155.01</v>
      </c>
      <c r="BT785" s="2123">
        <v>155.01</v>
      </c>
      <c r="BU785" s="2123">
        <v>155.01</v>
      </c>
      <c r="BV785" s="2123">
        <v>155.01</v>
      </c>
      <c r="BW785" s="2123">
        <v>155.01</v>
      </c>
      <c r="BX785" s="2123">
        <v>155.01</v>
      </c>
      <c r="BY785" s="2123">
        <v>38.53</v>
      </c>
      <c r="BZ785" s="2123">
        <v>38.53</v>
      </c>
      <c r="CA785" s="2123">
        <v>121.47</v>
      </c>
      <c r="CB785" s="2123">
        <v>121.47</v>
      </c>
      <c r="CC785" s="2123">
        <v>122.57</v>
      </c>
      <c r="CD785" s="2123">
        <v>122.57</v>
      </c>
      <c r="CE785" s="2123">
        <v>151.86000000000001</v>
      </c>
      <c r="CF785" s="2123">
        <v>151.86000000000001</v>
      </c>
      <c r="CK785" s="2123">
        <v>98.72</v>
      </c>
      <c r="CL785" s="2123">
        <v>98.72</v>
      </c>
      <c r="CM785" s="2123">
        <v>203.58</v>
      </c>
      <c r="CN785" s="2123">
        <v>203.58</v>
      </c>
      <c r="CO785" s="2123">
        <v>246.53</v>
      </c>
      <c r="CP785" s="2123">
        <v>246.53</v>
      </c>
      <c r="CQ785" s="2123">
        <v>246.53</v>
      </c>
      <c r="CR785" s="2123">
        <v>246.53</v>
      </c>
      <c r="CW785" s="2123">
        <v>89.37</v>
      </c>
      <c r="CX785" s="2123">
        <v>89.37</v>
      </c>
      <c r="CY785" s="2123">
        <v>194.21</v>
      </c>
      <c r="CZ785" s="2123">
        <v>194.21</v>
      </c>
      <c r="DA785" s="2123">
        <v>194.21</v>
      </c>
      <c r="DB785" s="2123">
        <v>194.21</v>
      </c>
      <c r="DC785" s="2123">
        <v>235.3</v>
      </c>
      <c r="DD785" s="2123">
        <v>235.3</v>
      </c>
      <c r="DE785" s="2123">
        <v>235.3</v>
      </c>
      <c r="DF785" s="2123">
        <v>235.3</v>
      </c>
      <c r="DI785" s="2123">
        <v>23.63</v>
      </c>
      <c r="DJ785" s="2123">
        <v>23.63</v>
      </c>
      <c r="DK785" s="2123">
        <v>23.63</v>
      </c>
      <c r="DL785" s="2123">
        <v>23.63</v>
      </c>
      <c r="DM785" s="2123">
        <v>23.63</v>
      </c>
      <c r="DN785" s="2123">
        <v>23.63</v>
      </c>
      <c r="DU785" s="2123">
        <v>10.58</v>
      </c>
      <c r="DV785" s="2123">
        <v>10.58</v>
      </c>
      <c r="DW785" s="2123">
        <v>9.49</v>
      </c>
      <c r="DX785" s="2123">
        <v>9.49</v>
      </c>
      <c r="DY785" s="2123">
        <v>9.49</v>
      </c>
      <c r="DZ785" s="2123">
        <v>9.49</v>
      </c>
      <c r="EG785" s="2123">
        <v>11.36</v>
      </c>
      <c r="EH785" s="2123">
        <v>11.64</v>
      </c>
      <c r="EI785" s="2123">
        <v>7.71</v>
      </c>
      <c r="EJ785" s="2123">
        <v>7.71</v>
      </c>
      <c r="EK785" s="2123">
        <v>7.68</v>
      </c>
      <c r="EL785" s="2123">
        <v>7.68</v>
      </c>
      <c r="EM785" s="2123">
        <v>8.4700000000000006</v>
      </c>
      <c r="EN785" s="2123">
        <v>8.4700000000000006</v>
      </c>
      <c r="EO785" s="2123">
        <v>7.88</v>
      </c>
      <c r="EP785" s="2123">
        <v>7.88</v>
      </c>
      <c r="EQ785" s="2123">
        <v>8.1</v>
      </c>
      <c r="ER785" s="2123">
        <v>8.18</v>
      </c>
      <c r="ES785" s="2123">
        <v>43.19</v>
      </c>
      <c r="ET785" s="2123">
        <v>43.19</v>
      </c>
      <c r="EU785" s="2123">
        <v>168.79</v>
      </c>
      <c r="EV785" s="2123">
        <v>168.79</v>
      </c>
      <c r="EW785" s="2123">
        <v>164.25</v>
      </c>
      <c r="EX785" s="2123">
        <v>164.25</v>
      </c>
      <c r="EY785" s="2129">
        <f t="shared" si="50"/>
        <v>166.51999999999998</v>
      </c>
      <c r="EZ785" s="2129">
        <f t="shared" si="50"/>
        <v>166.51999999999998</v>
      </c>
      <c r="FA785" s="2123">
        <v>169.62</v>
      </c>
      <c r="FB785" s="2123">
        <v>169.62</v>
      </c>
      <c r="FE785" s="2123">
        <v>37.049999999999997</v>
      </c>
      <c r="FF785" s="2123">
        <v>37.049999999999997</v>
      </c>
      <c r="FG785" s="2123">
        <v>141.16999999999999</v>
      </c>
      <c r="FH785" s="2123">
        <v>141.16999999999999</v>
      </c>
      <c r="FI785" s="2123">
        <v>141.16999999999999</v>
      </c>
      <c r="FJ785" s="2123">
        <v>141.16999999999999</v>
      </c>
      <c r="FK785" s="2123">
        <v>140.19</v>
      </c>
      <c r="FL785" s="2123">
        <v>140.19</v>
      </c>
      <c r="FM785" s="2123">
        <v>141.77000000000001</v>
      </c>
      <c r="FN785" s="2123">
        <v>141.77000000000001</v>
      </c>
      <c r="FQ785" s="2123">
        <v>83.58</v>
      </c>
      <c r="FR785" s="2123">
        <v>83.58</v>
      </c>
      <c r="FS785" s="2123">
        <v>160.84</v>
      </c>
      <c r="FT785" s="2123">
        <v>160.84</v>
      </c>
      <c r="FU785" s="2123">
        <v>160.84</v>
      </c>
      <c r="FV785" s="2123">
        <v>160.84</v>
      </c>
      <c r="FW785" s="2123">
        <v>161.87</v>
      </c>
      <c r="FX785" s="2123">
        <v>161.87</v>
      </c>
      <c r="GC785" s="2123">
        <v>59.31</v>
      </c>
      <c r="GD785" s="2123">
        <v>59.31</v>
      </c>
      <c r="GE785" s="2123">
        <v>136.63999999999999</v>
      </c>
      <c r="GF785" s="2123">
        <v>136.63999999999999</v>
      </c>
      <c r="GG785" s="2123">
        <v>136.63999999999999</v>
      </c>
      <c r="GH785" s="2123">
        <v>136.63999999999999</v>
      </c>
      <c r="GI785" s="2123">
        <v>115.85</v>
      </c>
      <c r="GJ785" s="2123">
        <v>115.85</v>
      </c>
      <c r="GK785" s="2123">
        <v>150.6</v>
      </c>
      <c r="GL785" s="2123">
        <v>150.6</v>
      </c>
      <c r="GO785" s="2123">
        <v>31.74</v>
      </c>
      <c r="GP785" s="2123">
        <v>31.74</v>
      </c>
      <c r="GQ785" s="2123">
        <v>24.4</v>
      </c>
      <c r="GR785" s="2123">
        <v>24.4</v>
      </c>
      <c r="GS785" s="2123">
        <v>24.4</v>
      </c>
      <c r="GT785" s="2123">
        <v>23.42</v>
      </c>
      <c r="GU785" s="2123">
        <v>23.42</v>
      </c>
      <c r="GV785" s="2123">
        <v>24.13</v>
      </c>
      <c r="GW785" s="2123">
        <v>140.43</v>
      </c>
      <c r="GX785" s="2123">
        <v>140.43</v>
      </c>
      <c r="HA785" s="2123">
        <v>22.15</v>
      </c>
      <c r="HB785" s="2123">
        <v>22.15</v>
      </c>
      <c r="HC785" s="2123">
        <v>13.72</v>
      </c>
      <c r="HD785" s="2123">
        <v>13.72</v>
      </c>
      <c r="HE785" s="2123">
        <v>14.76</v>
      </c>
      <c r="HF785" s="2123">
        <v>14.76</v>
      </c>
      <c r="HG785" s="2123">
        <v>14.76</v>
      </c>
      <c r="HH785" s="2123">
        <v>14.76</v>
      </c>
      <c r="HI785" s="2123">
        <v>14.76</v>
      </c>
      <c r="HJ785" s="2123">
        <v>14.76</v>
      </c>
      <c r="HK785" s="2123">
        <v>14.77</v>
      </c>
      <c r="HL785" s="2123">
        <v>15.28</v>
      </c>
      <c r="HM785" s="2123">
        <v>31.02</v>
      </c>
      <c r="HN785" s="2123">
        <v>31.02</v>
      </c>
      <c r="HO785" s="2123">
        <v>19.66</v>
      </c>
      <c r="HP785" s="2123">
        <v>19.66</v>
      </c>
      <c r="HQ785" s="2123">
        <v>21.16</v>
      </c>
      <c r="HR785" s="2123">
        <v>21.16</v>
      </c>
      <c r="HS785" s="2123">
        <v>21.16</v>
      </c>
      <c r="HT785" s="2123">
        <v>21.16</v>
      </c>
      <c r="HU785" s="2123">
        <v>21.16</v>
      </c>
      <c r="HV785" s="2123">
        <v>21.16</v>
      </c>
      <c r="HW785" s="2123">
        <v>21.09</v>
      </c>
      <c r="HX785" s="2050">
        <v>21.09</v>
      </c>
    </row>
    <row r="786" spans="1:232" s="2123" customFormat="1" ht="14" hidden="1" x14ac:dyDescent="0.3">
      <c r="A786" s="2040"/>
      <c r="B786" s="2127">
        <v>37</v>
      </c>
      <c r="C786" s="2128">
        <v>35.549999999999997</v>
      </c>
      <c r="D786" s="2128">
        <v>35.549999999999997</v>
      </c>
      <c r="E786" s="2128">
        <v>36.14</v>
      </c>
      <c r="F786" s="2128">
        <v>36.14</v>
      </c>
      <c r="G786" s="2128">
        <v>130.32</v>
      </c>
      <c r="H786" s="2128">
        <v>130.32</v>
      </c>
      <c r="I786" s="2128">
        <v>120.21</v>
      </c>
      <c r="J786" s="2128">
        <v>120.21</v>
      </c>
      <c r="K786" s="2128">
        <v>131.03</v>
      </c>
      <c r="L786" s="2128">
        <v>131.03</v>
      </c>
      <c r="M786" s="2128"/>
      <c r="N786" s="2128"/>
      <c r="O786" s="2128">
        <v>111.1</v>
      </c>
      <c r="P786" s="2128">
        <v>111.1</v>
      </c>
      <c r="Q786" s="2128">
        <v>111.66</v>
      </c>
      <c r="R786" s="2128">
        <v>111.11</v>
      </c>
      <c r="S786" s="2128">
        <v>183.95</v>
      </c>
      <c r="T786" s="2128">
        <v>183.95</v>
      </c>
      <c r="U786" s="2128">
        <v>177.55</v>
      </c>
      <c r="V786" s="2128">
        <v>177.55</v>
      </c>
      <c r="W786" s="2128">
        <v>183.95</v>
      </c>
      <c r="X786" s="2128">
        <v>183.95</v>
      </c>
      <c r="Y786" s="2128">
        <v>177.55</v>
      </c>
      <c r="Z786" s="2128">
        <v>183.95</v>
      </c>
      <c r="AA786" s="2128">
        <v>183.95</v>
      </c>
      <c r="AB786" s="2128">
        <v>183.95</v>
      </c>
      <c r="AC786" s="2128">
        <v>177.55</v>
      </c>
      <c r="AD786" s="2128">
        <v>177.55</v>
      </c>
      <c r="AE786" s="2128">
        <v>202.89</v>
      </c>
      <c r="AF786" s="2128">
        <v>197.13</v>
      </c>
      <c r="AG786" s="2128">
        <v>202.89</v>
      </c>
      <c r="AH786" s="2128">
        <v>202.89</v>
      </c>
      <c r="AI786" s="2128">
        <v>197.13</v>
      </c>
      <c r="AJ786" s="2128">
        <v>197.13</v>
      </c>
      <c r="AK786" s="2128">
        <v>198.5</v>
      </c>
      <c r="AL786" s="2128">
        <v>198.5</v>
      </c>
      <c r="AM786" s="2128">
        <v>58.81</v>
      </c>
      <c r="AN786" s="2128">
        <v>56.64</v>
      </c>
      <c r="AO786" s="2128">
        <v>56.64</v>
      </c>
      <c r="AP786" s="2128">
        <v>56.64</v>
      </c>
      <c r="AQ786" s="2128">
        <v>57.72</v>
      </c>
      <c r="AR786" s="2128">
        <v>57.72</v>
      </c>
      <c r="AS786" s="2128">
        <v>158.97999999999999</v>
      </c>
      <c r="AT786" s="2128">
        <v>158.97999999999999</v>
      </c>
      <c r="AU786" s="2128">
        <v>158.97999999999999</v>
      </c>
      <c r="AV786" s="2128">
        <v>163.29</v>
      </c>
      <c r="AW786" s="2128">
        <v>159.06</v>
      </c>
      <c r="AX786" s="2128">
        <v>159.06</v>
      </c>
      <c r="AY786" s="2128">
        <v>159.24</v>
      </c>
      <c r="AZ786" s="2128">
        <v>159.24</v>
      </c>
      <c r="BA786" s="2123">
        <v>68.47</v>
      </c>
      <c r="BB786" s="2123">
        <v>68.47</v>
      </c>
      <c r="BC786" s="2123">
        <v>16.3</v>
      </c>
      <c r="BD786" s="2123">
        <v>16.79</v>
      </c>
      <c r="BE786" s="2123">
        <v>20.94</v>
      </c>
      <c r="BF786" s="2123">
        <v>20.94</v>
      </c>
      <c r="BG786" s="2123">
        <v>16.350000000000001</v>
      </c>
      <c r="BH786" s="2123">
        <v>16.350000000000001</v>
      </c>
      <c r="BI786" s="2123">
        <v>16.2</v>
      </c>
      <c r="BJ786" s="2123">
        <v>16.2</v>
      </c>
      <c r="BK786" s="2123">
        <v>16.2</v>
      </c>
      <c r="BL786" s="2123">
        <v>16.2</v>
      </c>
      <c r="BM786" s="2123">
        <v>43</v>
      </c>
      <c r="BN786" s="2123">
        <v>43</v>
      </c>
      <c r="BO786" s="2123">
        <v>129.65</v>
      </c>
      <c r="BP786" s="2123">
        <v>129.65</v>
      </c>
      <c r="BQ786" s="2123">
        <v>129.65</v>
      </c>
      <c r="BR786" s="2123">
        <v>129.65</v>
      </c>
      <c r="BS786" s="2123">
        <v>157.97</v>
      </c>
      <c r="BT786" s="2123">
        <v>157.97</v>
      </c>
      <c r="BU786" s="2123">
        <v>157.97</v>
      </c>
      <c r="BV786" s="2123">
        <v>157.97</v>
      </c>
      <c r="BW786" s="2123">
        <v>157.97</v>
      </c>
      <c r="BX786" s="2123">
        <v>157.97</v>
      </c>
      <c r="BY786" s="2123">
        <v>39.06</v>
      </c>
      <c r="BZ786" s="2123">
        <v>39.06</v>
      </c>
      <c r="CA786" s="2123">
        <v>123.43</v>
      </c>
      <c r="CB786" s="2123">
        <v>123.43</v>
      </c>
      <c r="CC786" s="2123">
        <v>124.6</v>
      </c>
      <c r="CD786" s="2123">
        <v>124.6</v>
      </c>
      <c r="CE786" s="2123">
        <v>154.81</v>
      </c>
      <c r="CF786" s="2123">
        <v>154.81</v>
      </c>
      <c r="CK786" s="2123">
        <v>99.89</v>
      </c>
      <c r="CL786" s="2123">
        <v>99.89</v>
      </c>
      <c r="CM786" s="2123">
        <v>205.86</v>
      </c>
      <c r="CN786" s="2123">
        <v>205.86</v>
      </c>
      <c r="CO786" s="2123">
        <v>250.06</v>
      </c>
      <c r="CP786" s="2123">
        <v>250.06</v>
      </c>
      <c r="CQ786" s="2123">
        <v>250.06</v>
      </c>
      <c r="CR786" s="2123">
        <v>250.06</v>
      </c>
      <c r="CW786" s="2123">
        <v>90.62</v>
      </c>
      <c r="CX786" s="2123">
        <v>90.62</v>
      </c>
      <c r="CY786" s="2123">
        <v>196.5</v>
      </c>
      <c r="CZ786" s="2123">
        <v>196.5</v>
      </c>
      <c r="DA786" s="2123">
        <v>196.5</v>
      </c>
      <c r="DB786" s="2123">
        <v>196.5</v>
      </c>
      <c r="DC786" s="2123">
        <v>238.81</v>
      </c>
      <c r="DD786" s="2123">
        <v>238.81</v>
      </c>
      <c r="DE786" s="2123">
        <v>238.81</v>
      </c>
      <c r="DF786" s="2123">
        <v>238.81</v>
      </c>
      <c r="DI786" s="2123">
        <v>23.96</v>
      </c>
      <c r="DJ786" s="2123">
        <v>23.96</v>
      </c>
      <c r="DK786" s="2123">
        <v>23.96</v>
      </c>
      <c r="DL786" s="2123">
        <v>23.96</v>
      </c>
      <c r="DM786" s="2123">
        <v>23.96</v>
      </c>
      <c r="DN786" s="2123">
        <v>23.96</v>
      </c>
      <c r="DU786" s="2123">
        <v>10.72</v>
      </c>
      <c r="DV786" s="2123">
        <v>10.72</v>
      </c>
      <c r="DW786" s="2123">
        <v>9.66</v>
      </c>
      <c r="DX786" s="2123">
        <v>9.66</v>
      </c>
      <c r="DY786" s="2123">
        <v>9.66</v>
      </c>
      <c r="DZ786" s="2123">
        <v>9.66</v>
      </c>
      <c r="EG786" s="2123">
        <v>11.51</v>
      </c>
      <c r="EH786" s="2123">
        <v>11.78</v>
      </c>
      <c r="EI786" s="2123">
        <v>7.89</v>
      </c>
      <c r="EJ786" s="2123">
        <v>7.89</v>
      </c>
      <c r="EK786" s="2123">
        <v>7.85</v>
      </c>
      <c r="EL786" s="2123">
        <v>7.85</v>
      </c>
      <c r="EM786" s="2123">
        <v>8.64</v>
      </c>
      <c r="EN786" s="2123">
        <v>8.64</v>
      </c>
      <c r="EO786" s="2123">
        <v>8.0500000000000007</v>
      </c>
      <c r="EP786" s="2123">
        <v>8.0500000000000007</v>
      </c>
      <c r="EQ786" s="2123">
        <v>8.2799999999999994</v>
      </c>
      <c r="ER786" s="2123">
        <v>8.35</v>
      </c>
      <c r="ES786" s="2123">
        <v>43.79</v>
      </c>
      <c r="ET786" s="2123">
        <v>43.79</v>
      </c>
      <c r="EU786" s="2123">
        <v>172.07</v>
      </c>
      <c r="EV786" s="2123">
        <v>172.07</v>
      </c>
      <c r="EW786" s="2123">
        <v>167.49</v>
      </c>
      <c r="EX786" s="2123">
        <v>167.49</v>
      </c>
      <c r="EY786" s="2129">
        <f t="shared" si="50"/>
        <v>169.78</v>
      </c>
      <c r="EZ786" s="2129">
        <f t="shared" si="50"/>
        <v>169.78</v>
      </c>
      <c r="FA786" s="2123">
        <v>172.8</v>
      </c>
      <c r="FB786" s="2123">
        <v>172.8</v>
      </c>
      <c r="FE786" s="2123">
        <v>37.57</v>
      </c>
      <c r="FF786" s="2123">
        <v>37.57</v>
      </c>
      <c r="FG786" s="2123">
        <v>143.97</v>
      </c>
      <c r="FH786" s="2123">
        <v>143.97</v>
      </c>
      <c r="FI786" s="2123">
        <v>143.97</v>
      </c>
      <c r="FJ786" s="2123">
        <v>147.66999999999999</v>
      </c>
      <c r="FK786" s="2123">
        <v>143.01</v>
      </c>
      <c r="FL786" s="2123">
        <v>143.01</v>
      </c>
      <c r="FM786" s="2123">
        <v>144.56</v>
      </c>
      <c r="FN786" s="2123">
        <v>144.56</v>
      </c>
      <c r="FQ786" s="2123">
        <v>84.76</v>
      </c>
      <c r="FR786" s="2123">
        <v>84.76</v>
      </c>
      <c r="FS786" s="2123">
        <v>163.44</v>
      </c>
      <c r="FT786" s="2123">
        <v>163.44</v>
      </c>
      <c r="FU786" s="2123">
        <v>163.44</v>
      </c>
      <c r="FV786" s="2123">
        <v>163.44</v>
      </c>
      <c r="FW786" s="2123">
        <v>164.45</v>
      </c>
      <c r="FX786" s="2123">
        <v>164.45</v>
      </c>
      <c r="GC786" s="2123">
        <v>60.13</v>
      </c>
      <c r="GD786" s="2123">
        <v>60.13</v>
      </c>
      <c r="GE786" s="2123">
        <v>138.34</v>
      </c>
      <c r="GF786" s="2123">
        <v>138.34</v>
      </c>
      <c r="GG786" s="2123">
        <v>138.34</v>
      </c>
      <c r="GH786" s="2123">
        <v>138.34</v>
      </c>
      <c r="GI786" s="2123">
        <v>118.86</v>
      </c>
      <c r="GJ786" s="2123">
        <v>118.86</v>
      </c>
      <c r="GK786" s="2123">
        <v>153.38999999999999</v>
      </c>
      <c r="GL786" s="2123">
        <v>153.38999999999999</v>
      </c>
      <c r="GO786" s="2123">
        <v>32.18</v>
      </c>
      <c r="GP786" s="2123">
        <v>32.18</v>
      </c>
      <c r="GQ786" s="2123">
        <v>24.89</v>
      </c>
      <c r="GR786" s="2123">
        <v>24.89</v>
      </c>
      <c r="GS786" s="2123">
        <v>24.89</v>
      </c>
      <c r="GT786" s="2123">
        <v>23.9</v>
      </c>
      <c r="GU786" s="2123">
        <v>23.9</v>
      </c>
      <c r="GV786" s="2123">
        <v>24.59</v>
      </c>
      <c r="GW786" s="2123">
        <v>143.18</v>
      </c>
      <c r="GX786" s="2123">
        <v>143.18</v>
      </c>
      <c r="HA786" s="2123">
        <v>22.45</v>
      </c>
      <c r="HB786" s="2123">
        <v>22.45</v>
      </c>
      <c r="HC786" s="2123">
        <v>14.07</v>
      </c>
      <c r="HD786" s="2123">
        <v>14.07</v>
      </c>
      <c r="HE786" s="2123">
        <v>15.1</v>
      </c>
      <c r="HF786" s="2123">
        <v>15.1</v>
      </c>
      <c r="HG786" s="2123">
        <v>15.1</v>
      </c>
      <c r="HH786" s="2123">
        <v>15.1</v>
      </c>
      <c r="HI786" s="2123">
        <v>15.1</v>
      </c>
      <c r="HJ786" s="2123">
        <v>15.1</v>
      </c>
      <c r="HK786" s="2123">
        <v>15.11</v>
      </c>
      <c r="HL786" s="2123">
        <v>15.61</v>
      </c>
      <c r="HM786" s="2123">
        <v>31.45</v>
      </c>
      <c r="HN786" s="2123">
        <v>31.45</v>
      </c>
      <c r="HO786" s="2123">
        <v>20.149999999999999</v>
      </c>
      <c r="HP786" s="2123">
        <v>20.149999999999999</v>
      </c>
      <c r="HQ786" s="2123">
        <v>21.63</v>
      </c>
      <c r="HR786" s="2123">
        <v>21.63</v>
      </c>
      <c r="HS786" s="2123">
        <v>21.63</v>
      </c>
      <c r="HT786" s="2123">
        <v>21.63</v>
      </c>
      <c r="HU786" s="2123">
        <v>21.63</v>
      </c>
      <c r="HV786" s="2123">
        <v>21.63</v>
      </c>
      <c r="HW786" s="2123">
        <v>21.57</v>
      </c>
      <c r="HX786" s="2050">
        <v>21.57</v>
      </c>
    </row>
    <row r="787" spans="1:232" s="2123" customFormat="1" ht="14" hidden="1" x14ac:dyDescent="0.3">
      <c r="A787" s="2040"/>
      <c r="B787" s="2127">
        <v>38</v>
      </c>
      <c r="C787" s="2128">
        <v>36.01</v>
      </c>
      <c r="D787" s="2128">
        <v>36.01</v>
      </c>
      <c r="E787" s="2128">
        <v>36.58</v>
      </c>
      <c r="F787" s="2128">
        <v>36.58</v>
      </c>
      <c r="G787" s="2128">
        <v>132.38</v>
      </c>
      <c r="H787" s="2128">
        <v>132.38</v>
      </c>
      <c r="I787" s="2128">
        <v>122.28</v>
      </c>
      <c r="J787" s="2128">
        <v>122.28</v>
      </c>
      <c r="K787" s="2128">
        <v>132.85</v>
      </c>
      <c r="L787" s="2128">
        <v>132.85</v>
      </c>
      <c r="M787" s="2128"/>
      <c r="N787" s="2128"/>
      <c r="O787" s="2128">
        <v>112.56</v>
      </c>
      <c r="P787" s="2128">
        <v>112.56</v>
      </c>
      <c r="Q787" s="2128">
        <v>113.07</v>
      </c>
      <c r="R787" s="2128">
        <v>112.57</v>
      </c>
      <c r="S787" s="2128">
        <v>187.42</v>
      </c>
      <c r="T787" s="2128">
        <v>187.42</v>
      </c>
      <c r="U787" s="2128">
        <v>180.91</v>
      </c>
      <c r="V787" s="2128">
        <v>180.91</v>
      </c>
      <c r="W787" s="2128">
        <v>187.42</v>
      </c>
      <c r="X787" s="2128">
        <v>187.42</v>
      </c>
      <c r="Y787" s="2128">
        <v>180.91</v>
      </c>
      <c r="Z787" s="2128">
        <v>187.42</v>
      </c>
      <c r="AA787" s="2128">
        <v>187.42</v>
      </c>
      <c r="AB787" s="2128">
        <v>187.42</v>
      </c>
      <c r="AC787" s="2128">
        <v>180.91</v>
      </c>
      <c r="AD787" s="2128">
        <v>180.91</v>
      </c>
      <c r="AE787" s="2128">
        <v>206.21</v>
      </c>
      <c r="AF787" s="2128">
        <v>200.35</v>
      </c>
      <c r="AG787" s="2128">
        <v>206.21</v>
      </c>
      <c r="AH787" s="2128">
        <v>206.21</v>
      </c>
      <c r="AI787" s="2128">
        <v>200.35</v>
      </c>
      <c r="AJ787" s="2128">
        <v>200.35</v>
      </c>
      <c r="AK787" s="2128">
        <v>201.66</v>
      </c>
      <c r="AL787" s="2128">
        <v>201.66</v>
      </c>
      <c r="AM787" s="2128">
        <v>59.58</v>
      </c>
      <c r="AN787" s="2128">
        <v>57.39</v>
      </c>
      <c r="AO787" s="2128">
        <v>57.39</v>
      </c>
      <c r="AP787" s="2128">
        <v>57.39</v>
      </c>
      <c r="AQ787" s="2128">
        <v>58.42</v>
      </c>
      <c r="AR787" s="2128">
        <v>58.42</v>
      </c>
      <c r="AS787" s="2128">
        <v>161.63</v>
      </c>
      <c r="AT787" s="2128">
        <v>161.63</v>
      </c>
      <c r="AU787" s="2128">
        <v>161.63</v>
      </c>
      <c r="AV787" s="2128">
        <v>165.96</v>
      </c>
      <c r="AW787" s="2128">
        <v>161.72999999999999</v>
      </c>
      <c r="AX787" s="2128">
        <v>161.72999999999999</v>
      </c>
      <c r="AY787" s="2128">
        <v>161.9</v>
      </c>
      <c r="AZ787" s="2128">
        <v>161.9</v>
      </c>
      <c r="BA787" s="2123">
        <v>69.650000000000006</v>
      </c>
      <c r="BB787" s="2123">
        <v>69.650000000000006</v>
      </c>
      <c r="BC787" s="2123">
        <v>16.63</v>
      </c>
      <c r="BD787" s="2123">
        <v>17.11</v>
      </c>
      <c r="BE787" s="2123">
        <v>21.22</v>
      </c>
      <c r="BF787" s="2123">
        <v>21.22</v>
      </c>
      <c r="BG787" s="2123">
        <v>16.68</v>
      </c>
      <c r="BH787" s="2123">
        <v>16.68</v>
      </c>
      <c r="BI787" s="2123">
        <v>16.53</v>
      </c>
      <c r="BJ787" s="2123">
        <v>16.53</v>
      </c>
      <c r="BK787" s="2123">
        <v>16.53</v>
      </c>
      <c r="BL787" s="2123">
        <v>16.53</v>
      </c>
      <c r="BM787" s="2123">
        <v>43.56</v>
      </c>
      <c r="BN787" s="2123">
        <v>43.56</v>
      </c>
      <c r="BO787" s="2123">
        <v>131.6</v>
      </c>
      <c r="BP787" s="2123">
        <v>131.6</v>
      </c>
      <c r="BQ787" s="2123">
        <v>131.6</v>
      </c>
      <c r="BR787" s="2123">
        <v>131.6</v>
      </c>
      <c r="BS787" s="2123">
        <v>160.83000000000001</v>
      </c>
      <c r="BT787" s="2123">
        <v>160.83000000000001</v>
      </c>
      <c r="BU787" s="2123">
        <v>160.83000000000001</v>
      </c>
      <c r="BV787" s="2123">
        <v>160.83000000000001</v>
      </c>
      <c r="BW787" s="2123">
        <v>160.83000000000001</v>
      </c>
      <c r="BX787" s="2123">
        <v>160.83000000000001</v>
      </c>
      <c r="BY787" s="2123">
        <v>39.57</v>
      </c>
      <c r="BZ787" s="2123">
        <v>39.57</v>
      </c>
      <c r="CA787" s="2123">
        <v>125.33</v>
      </c>
      <c r="CB787" s="2123">
        <v>125.33</v>
      </c>
      <c r="CC787" s="2123">
        <v>126.56</v>
      </c>
      <c r="CD787" s="2123">
        <v>126.56</v>
      </c>
      <c r="CE787" s="2123">
        <v>157.66999999999999</v>
      </c>
      <c r="CF787" s="2123">
        <v>157.66999999999999</v>
      </c>
      <c r="CK787" s="2123">
        <v>101.02</v>
      </c>
      <c r="CL787" s="2123">
        <v>101.02</v>
      </c>
      <c r="CM787" s="2123">
        <v>208.04</v>
      </c>
      <c r="CN787" s="2123">
        <v>208.04</v>
      </c>
      <c r="CO787" s="2123">
        <v>253.46</v>
      </c>
      <c r="CP787" s="2123">
        <v>253.46</v>
      </c>
      <c r="CQ787" s="2123">
        <v>253.46</v>
      </c>
      <c r="CR787" s="2123">
        <v>253.46</v>
      </c>
      <c r="CW787" s="2123">
        <v>91.81</v>
      </c>
      <c r="CX787" s="2123">
        <v>91.81</v>
      </c>
      <c r="CY787" s="2123">
        <v>198.7</v>
      </c>
      <c r="CZ787" s="2123">
        <v>198.7</v>
      </c>
      <c r="DA787" s="2123">
        <v>198.7</v>
      </c>
      <c r="DB787" s="2123">
        <v>198.7</v>
      </c>
      <c r="DC787" s="2123">
        <v>242.2</v>
      </c>
      <c r="DD787" s="2123">
        <v>242.2</v>
      </c>
      <c r="DE787" s="2123">
        <v>242.2</v>
      </c>
      <c r="DF787" s="2123">
        <v>242.2</v>
      </c>
      <c r="DI787" s="2123">
        <v>24.27</v>
      </c>
      <c r="DJ787" s="2123">
        <v>24.27</v>
      </c>
      <c r="DK787" s="2123">
        <v>24.27</v>
      </c>
      <c r="DL787" s="2123">
        <v>24.27</v>
      </c>
      <c r="DM787" s="2123">
        <v>24.27</v>
      </c>
      <c r="DN787" s="2123">
        <v>24.27</v>
      </c>
      <c r="DU787" s="2123">
        <v>10.86</v>
      </c>
      <c r="DV787" s="2123">
        <v>10.86</v>
      </c>
      <c r="DW787" s="2123">
        <v>9.81</v>
      </c>
      <c r="DX787" s="2123">
        <v>9.81</v>
      </c>
      <c r="DY787" s="2123">
        <v>9.81</v>
      </c>
      <c r="DZ787" s="2123">
        <v>9.81</v>
      </c>
      <c r="EG787" s="2123">
        <v>11.66</v>
      </c>
      <c r="EH787" s="2123">
        <v>11.93</v>
      </c>
      <c r="EI787" s="2123">
        <v>8.06</v>
      </c>
      <c r="EJ787" s="2123">
        <v>8.06</v>
      </c>
      <c r="EK787" s="2123">
        <v>8.02</v>
      </c>
      <c r="EL787" s="2123">
        <v>8.02</v>
      </c>
      <c r="EM787" s="2123">
        <v>8.81</v>
      </c>
      <c r="EN787" s="2123">
        <v>8.81</v>
      </c>
      <c r="EO787" s="2123">
        <v>8.2100000000000009</v>
      </c>
      <c r="EP787" s="2123">
        <v>8.2100000000000009</v>
      </c>
      <c r="EQ787" s="2123">
        <v>8.4499999999999993</v>
      </c>
      <c r="ER787" s="2123">
        <v>8.51</v>
      </c>
      <c r="ES787" s="2123">
        <v>44.37</v>
      </c>
      <c r="ET787" s="2123">
        <v>44.37</v>
      </c>
      <c r="EU787" s="2123">
        <v>175.24</v>
      </c>
      <c r="EV787" s="2123">
        <v>175.24</v>
      </c>
      <c r="EW787" s="2123">
        <v>170.63</v>
      </c>
      <c r="EX787" s="2123">
        <v>170.63</v>
      </c>
      <c r="EY787" s="2129">
        <f t="shared" si="50"/>
        <v>172.935</v>
      </c>
      <c r="EZ787" s="2129">
        <f t="shared" si="50"/>
        <v>172.935</v>
      </c>
      <c r="FA787" s="2123">
        <v>175.88</v>
      </c>
      <c r="FB787" s="2123">
        <v>175.88</v>
      </c>
      <c r="FE787" s="2123">
        <v>38.07</v>
      </c>
      <c r="FF787" s="2123">
        <v>38.07</v>
      </c>
      <c r="FG787" s="2123">
        <v>146.68</v>
      </c>
      <c r="FH787" s="2123">
        <v>146.68</v>
      </c>
      <c r="FI787" s="2123">
        <v>146.68</v>
      </c>
      <c r="FJ787" s="2123">
        <v>150.56</v>
      </c>
      <c r="FK787" s="2123">
        <v>145.72999999999999</v>
      </c>
      <c r="FL787" s="2123">
        <v>145.72999999999999</v>
      </c>
      <c r="FM787" s="2123">
        <v>147.26</v>
      </c>
      <c r="FN787" s="2123">
        <v>147.26</v>
      </c>
      <c r="FQ787" s="2123">
        <v>85.9</v>
      </c>
      <c r="FR787" s="2123">
        <v>85.9</v>
      </c>
      <c r="FS787" s="2123">
        <v>165.95</v>
      </c>
      <c r="FT787" s="2123">
        <v>165.95</v>
      </c>
      <c r="FU787" s="2123">
        <v>165.95</v>
      </c>
      <c r="FV787" s="2123">
        <v>165.95</v>
      </c>
      <c r="FW787" s="2123">
        <v>166.94</v>
      </c>
      <c r="FX787" s="2123">
        <v>166.94</v>
      </c>
      <c r="GC787" s="2123">
        <v>60.92</v>
      </c>
      <c r="GD787" s="2123">
        <v>60.92</v>
      </c>
      <c r="GE787" s="2123">
        <v>139.97999999999999</v>
      </c>
      <c r="GF787" s="2123">
        <v>139.97999999999999</v>
      </c>
      <c r="GG787" s="2123">
        <v>139.97999999999999</v>
      </c>
      <c r="GH787" s="2123">
        <v>139.97999999999999</v>
      </c>
      <c r="GI787" s="2123">
        <v>121.78</v>
      </c>
      <c r="GJ787" s="2123">
        <v>121.78</v>
      </c>
      <c r="GK787" s="2123">
        <v>156.09</v>
      </c>
      <c r="GL787" s="2123">
        <v>156.09</v>
      </c>
      <c r="GO787" s="2123">
        <v>32.6</v>
      </c>
      <c r="GP787" s="2123">
        <v>32.6</v>
      </c>
      <c r="GQ787" s="2123">
        <v>25.37</v>
      </c>
      <c r="GR787" s="2123">
        <v>25.37</v>
      </c>
      <c r="GS787" s="2123">
        <v>25.37</v>
      </c>
      <c r="GT787" s="2123">
        <v>24.36</v>
      </c>
      <c r="GU787" s="2123">
        <v>24.36</v>
      </c>
      <c r="GV787" s="2123">
        <v>25.03</v>
      </c>
      <c r="GW787" s="2123">
        <v>145.84</v>
      </c>
      <c r="GX787" s="2123">
        <v>145.84</v>
      </c>
      <c r="HA787" s="2123">
        <v>22.74</v>
      </c>
      <c r="HB787" s="2123">
        <v>22.74</v>
      </c>
      <c r="HC787" s="2123">
        <v>14.41</v>
      </c>
      <c r="HD787" s="2123">
        <v>14.41</v>
      </c>
      <c r="HE787" s="2123">
        <v>15.42</v>
      </c>
      <c r="HF787" s="2123">
        <v>15.42</v>
      </c>
      <c r="HG787" s="2123">
        <v>15.42</v>
      </c>
      <c r="HH787" s="2123">
        <v>15.42</v>
      </c>
      <c r="HI787" s="2123">
        <v>15.42</v>
      </c>
      <c r="HJ787" s="2123">
        <v>15.42</v>
      </c>
      <c r="HK787" s="2123">
        <v>15.45</v>
      </c>
      <c r="HL787" s="2123">
        <v>15.93</v>
      </c>
      <c r="HM787" s="2123">
        <v>31.86</v>
      </c>
      <c r="HN787" s="2123">
        <v>31.86</v>
      </c>
      <c r="HO787" s="2123">
        <v>20.62</v>
      </c>
      <c r="HP787" s="2123">
        <v>20.62</v>
      </c>
      <c r="HQ787" s="2123">
        <v>22.09</v>
      </c>
      <c r="HR787" s="2123">
        <v>22.09</v>
      </c>
      <c r="HS787" s="2123">
        <v>22.09</v>
      </c>
      <c r="HT787" s="2123">
        <v>22.09</v>
      </c>
      <c r="HU787" s="2123">
        <v>22.09</v>
      </c>
      <c r="HV787" s="2123">
        <v>22.09</v>
      </c>
      <c r="HW787" s="2123">
        <v>22.03</v>
      </c>
      <c r="HX787" s="2050">
        <v>22.03</v>
      </c>
    </row>
    <row r="788" spans="1:232" s="2123" customFormat="1" ht="14" hidden="1" x14ac:dyDescent="0.3">
      <c r="A788" s="2040"/>
      <c r="B788" s="2127">
        <v>39</v>
      </c>
      <c r="C788" s="2128">
        <v>36.46</v>
      </c>
      <c r="D788" s="2128">
        <v>36.46</v>
      </c>
      <c r="E788" s="2128">
        <v>37</v>
      </c>
      <c r="F788" s="2128">
        <v>37</v>
      </c>
      <c r="G788" s="2128">
        <v>134.38</v>
      </c>
      <c r="H788" s="2128">
        <v>134.38</v>
      </c>
      <c r="I788" s="2128">
        <v>124.27</v>
      </c>
      <c r="J788" s="2128">
        <v>124.27</v>
      </c>
      <c r="K788" s="2128">
        <v>134.6</v>
      </c>
      <c r="L788" s="2128">
        <v>134.6</v>
      </c>
      <c r="M788" s="2128"/>
      <c r="N788" s="2128"/>
      <c r="O788" s="2128">
        <v>113.97</v>
      </c>
      <c r="P788" s="2128">
        <v>113.97</v>
      </c>
      <c r="Q788" s="2128">
        <v>114.43</v>
      </c>
      <c r="R788" s="2128">
        <v>113.98</v>
      </c>
      <c r="S788" s="2128">
        <v>190.78</v>
      </c>
      <c r="T788" s="2128">
        <v>190.78</v>
      </c>
      <c r="U788" s="2128">
        <v>184.15</v>
      </c>
      <c r="V788" s="2128">
        <v>184.15</v>
      </c>
      <c r="W788" s="2128">
        <v>190.78</v>
      </c>
      <c r="X788" s="2128">
        <v>190.78</v>
      </c>
      <c r="Y788" s="2128">
        <v>184.15</v>
      </c>
      <c r="Z788" s="2128">
        <v>190.78</v>
      </c>
      <c r="AA788" s="2128">
        <v>190.78</v>
      </c>
      <c r="AB788" s="2128">
        <v>190.78</v>
      </c>
      <c r="AC788" s="2128">
        <v>184.15</v>
      </c>
      <c r="AD788" s="2128">
        <v>184.15</v>
      </c>
      <c r="AE788" s="2128">
        <v>209.41</v>
      </c>
      <c r="AF788" s="2128">
        <v>203.45</v>
      </c>
      <c r="AG788" s="2128">
        <v>209.41</v>
      </c>
      <c r="AH788" s="2128">
        <v>209.41</v>
      </c>
      <c r="AI788" s="2128">
        <v>203.45</v>
      </c>
      <c r="AJ788" s="2128">
        <v>203.45</v>
      </c>
      <c r="AK788" s="2128">
        <v>204.72</v>
      </c>
      <c r="AL788" s="2128">
        <v>204.72</v>
      </c>
      <c r="AM788" s="2128">
        <v>60.32</v>
      </c>
      <c r="AN788" s="2128">
        <v>58.11</v>
      </c>
      <c r="AO788" s="2128">
        <v>58.11</v>
      </c>
      <c r="AP788" s="2128">
        <v>58.11</v>
      </c>
      <c r="AQ788" s="2128">
        <v>59.1</v>
      </c>
      <c r="AR788" s="2128">
        <v>59.1</v>
      </c>
      <c r="AS788" s="2128">
        <v>164.18</v>
      </c>
      <c r="AT788" s="2128">
        <v>164.18</v>
      </c>
      <c r="AU788" s="2128">
        <v>164.18</v>
      </c>
      <c r="AV788" s="2128">
        <v>168.54</v>
      </c>
      <c r="AW788" s="2128">
        <v>164.31</v>
      </c>
      <c r="AX788" s="2128">
        <v>164.31</v>
      </c>
      <c r="AY788" s="2128">
        <v>164.48</v>
      </c>
      <c r="AZ788" s="2128">
        <v>164.48</v>
      </c>
      <c r="BA788" s="2123">
        <v>70.8</v>
      </c>
      <c r="BB788" s="2123">
        <v>70.8</v>
      </c>
      <c r="BC788" s="2123">
        <v>16.95</v>
      </c>
      <c r="BD788" s="2123">
        <v>17.420000000000002</v>
      </c>
      <c r="BE788" s="2123">
        <v>21.5</v>
      </c>
      <c r="BF788" s="2123">
        <v>21.5</v>
      </c>
      <c r="BG788" s="2123">
        <v>17</v>
      </c>
      <c r="BH788" s="2123">
        <v>17</v>
      </c>
      <c r="BI788" s="2123">
        <v>16.850000000000001</v>
      </c>
      <c r="BJ788" s="2123">
        <v>16.850000000000001</v>
      </c>
      <c r="BK788" s="2123">
        <v>16.850000000000001</v>
      </c>
      <c r="BL788" s="2123">
        <v>16.850000000000001</v>
      </c>
      <c r="BM788" s="2123">
        <v>44.1</v>
      </c>
      <c r="BN788" s="2123">
        <v>44.1</v>
      </c>
      <c r="BO788" s="2123">
        <v>133.47</v>
      </c>
      <c r="BP788" s="2123">
        <v>133.47</v>
      </c>
      <c r="BQ788" s="2123">
        <v>133.47</v>
      </c>
      <c r="BR788" s="2123">
        <v>133.47</v>
      </c>
      <c r="BS788" s="2123">
        <v>163.59</v>
      </c>
      <c r="BT788" s="2123">
        <v>163.59</v>
      </c>
      <c r="BU788" s="2123">
        <v>163.59</v>
      </c>
      <c r="BV788" s="2123">
        <v>163.59</v>
      </c>
      <c r="BW788" s="2123">
        <v>163.59</v>
      </c>
      <c r="BX788" s="2123">
        <v>163.59</v>
      </c>
      <c r="BY788" s="2123">
        <v>40.06</v>
      </c>
      <c r="BZ788" s="2123">
        <v>40.06</v>
      </c>
      <c r="CA788" s="2123">
        <v>127.15</v>
      </c>
      <c r="CB788" s="2123">
        <v>127.15</v>
      </c>
      <c r="CC788" s="2123">
        <v>128.44</v>
      </c>
      <c r="CD788" s="2123">
        <v>128.44</v>
      </c>
      <c r="CE788" s="2123">
        <v>160.41999999999999</v>
      </c>
      <c r="CF788" s="2123">
        <v>160.41999999999999</v>
      </c>
      <c r="CK788" s="2123">
        <v>102.11</v>
      </c>
      <c r="CL788" s="2123">
        <v>102.11</v>
      </c>
      <c r="CM788" s="2123">
        <v>210.14</v>
      </c>
      <c r="CN788" s="2123">
        <v>210.14</v>
      </c>
      <c r="CO788" s="2123">
        <v>256.73</v>
      </c>
      <c r="CP788" s="2123">
        <v>256.73</v>
      </c>
      <c r="CQ788" s="2123">
        <v>256.73</v>
      </c>
      <c r="CR788" s="2123">
        <v>256.73</v>
      </c>
      <c r="CW788" s="2123">
        <v>92.96</v>
      </c>
      <c r="CX788" s="2123">
        <v>92.96</v>
      </c>
      <c r="CY788" s="2123">
        <v>200.81</v>
      </c>
      <c r="CZ788" s="2123">
        <v>200.81</v>
      </c>
      <c r="DA788" s="2123">
        <v>200.81</v>
      </c>
      <c r="DB788" s="2123">
        <v>200.81</v>
      </c>
      <c r="DC788" s="2123">
        <v>245.46</v>
      </c>
      <c r="DD788" s="2123">
        <v>245.46</v>
      </c>
      <c r="DE788" s="2123">
        <v>245.46</v>
      </c>
      <c r="DF788" s="2123">
        <v>245.46</v>
      </c>
      <c r="DI788" s="2123">
        <v>24.57</v>
      </c>
      <c r="DJ788" s="2123">
        <v>24.57</v>
      </c>
      <c r="DK788" s="2123">
        <v>24.57</v>
      </c>
      <c r="DL788" s="2123">
        <v>24.57</v>
      </c>
      <c r="DM788" s="2123">
        <v>24.57</v>
      </c>
      <c r="DN788" s="2123">
        <v>24.57</v>
      </c>
      <c r="DU788" s="2123">
        <v>10.99</v>
      </c>
      <c r="DV788" s="2123">
        <v>10.99</v>
      </c>
      <c r="DW788" s="2123">
        <v>9.9600000000000009</v>
      </c>
      <c r="DX788" s="2123">
        <v>9.9600000000000009</v>
      </c>
      <c r="DY788" s="2123">
        <v>9.9600000000000009</v>
      </c>
      <c r="DZ788" s="2123">
        <v>9.9600000000000009</v>
      </c>
      <c r="EG788" s="2123">
        <v>11.8</v>
      </c>
      <c r="EH788" s="2123">
        <v>12.06</v>
      </c>
      <c r="EI788" s="2123">
        <v>8.2200000000000006</v>
      </c>
      <c r="EJ788" s="2123">
        <v>8.2200000000000006</v>
      </c>
      <c r="EK788" s="2123">
        <v>8.19</v>
      </c>
      <c r="EL788" s="2123">
        <v>8.19</v>
      </c>
      <c r="EM788" s="2123">
        <v>8.9700000000000006</v>
      </c>
      <c r="EN788" s="2123">
        <v>8.9700000000000006</v>
      </c>
      <c r="EO788" s="2123">
        <v>8.3699999999999992</v>
      </c>
      <c r="EP788" s="2123">
        <v>8.3699999999999992</v>
      </c>
      <c r="EQ788" s="2123">
        <v>8.61</v>
      </c>
      <c r="ER788" s="2123">
        <v>8.67</v>
      </c>
      <c r="ES788" s="2123">
        <v>44.93</v>
      </c>
      <c r="ET788" s="2123">
        <v>44.93</v>
      </c>
      <c r="EU788" s="2123">
        <v>178.3</v>
      </c>
      <c r="EV788" s="2123">
        <v>178.3</v>
      </c>
      <c r="EW788" s="2123">
        <v>173.66</v>
      </c>
      <c r="EX788" s="2123">
        <v>173.66</v>
      </c>
      <c r="EY788" s="2129">
        <f t="shared" si="50"/>
        <v>175.98000000000002</v>
      </c>
      <c r="EZ788" s="2129">
        <f t="shared" si="50"/>
        <v>175.98000000000002</v>
      </c>
      <c r="FA788" s="2123">
        <v>178.85</v>
      </c>
      <c r="FB788" s="2123">
        <v>178.85</v>
      </c>
      <c r="FE788" s="2123">
        <v>38.549999999999997</v>
      </c>
      <c r="FF788" s="2123">
        <v>38.549999999999997</v>
      </c>
      <c r="FG788" s="2123">
        <v>149.29</v>
      </c>
      <c r="FH788" s="2123">
        <v>149.29</v>
      </c>
      <c r="FI788" s="2123">
        <v>149.29</v>
      </c>
      <c r="FJ788" s="2123">
        <v>153.05000000000001</v>
      </c>
      <c r="FK788" s="2123">
        <v>148.37</v>
      </c>
      <c r="FL788" s="2123">
        <v>148.37</v>
      </c>
      <c r="FM788" s="2123">
        <v>149.88</v>
      </c>
      <c r="FN788" s="2123">
        <v>149.88</v>
      </c>
      <c r="FQ788" s="2123">
        <v>86.99</v>
      </c>
      <c r="FR788" s="2123">
        <v>86.99</v>
      </c>
      <c r="FS788" s="2123">
        <v>168.37</v>
      </c>
      <c r="FT788" s="2123">
        <v>168.37</v>
      </c>
      <c r="FU788" s="2123">
        <v>168.37</v>
      </c>
      <c r="FV788" s="2123">
        <v>168.37</v>
      </c>
      <c r="FW788" s="2123">
        <v>169.34</v>
      </c>
      <c r="FX788" s="2123">
        <v>169.34</v>
      </c>
      <c r="GC788" s="2123">
        <v>61.68</v>
      </c>
      <c r="GD788" s="2123">
        <v>61.68</v>
      </c>
      <c r="GE788" s="2123">
        <v>141.55000000000001</v>
      </c>
      <c r="GF788" s="2123">
        <v>141.55000000000001</v>
      </c>
      <c r="GG788" s="2123">
        <v>141.55000000000001</v>
      </c>
      <c r="GH788" s="2123">
        <v>141.55000000000001</v>
      </c>
      <c r="GI788" s="2123">
        <v>124.62</v>
      </c>
      <c r="GJ788" s="2123">
        <v>124.62</v>
      </c>
      <c r="GK788" s="2123">
        <v>158.69</v>
      </c>
      <c r="GL788" s="2123">
        <v>158.69</v>
      </c>
      <c r="GO788" s="2123">
        <v>33.01</v>
      </c>
      <c r="GP788" s="2123">
        <v>33.01</v>
      </c>
      <c r="GQ788" s="2123">
        <v>25.83</v>
      </c>
      <c r="GR788" s="2123">
        <v>25.83</v>
      </c>
      <c r="GS788" s="2123">
        <v>25.83</v>
      </c>
      <c r="GT788" s="2123">
        <v>24.81</v>
      </c>
      <c r="GU788" s="2123">
        <v>24.81</v>
      </c>
      <c r="GV788" s="2123">
        <v>25.46</v>
      </c>
      <c r="GW788" s="2123">
        <v>148.41</v>
      </c>
      <c r="GX788" s="2123">
        <v>148.41</v>
      </c>
      <c r="HA788" s="2123">
        <v>23.03</v>
      </c>
      <c r="HB788" s="2123">
        <v>23.03</v>
      </c>
      <c r="HC788" s="2123">
        <v>14.74</v>
      </c>
      <c r="HD788" s="2123">
        <v>14.74</v>
      </c>
      <c r="HE788" s="2123">
        <v>15.74</v>
      </c>
      <c r="HF788" s="2123">
        <v>15.74</v>
      </c>
      <c r="HG788" s="2123">
        <v>15.74</v>
      </c>
      <c r="HH788" s="2123">
        <v>15.74</v>
      </c>
      <c r="HI788" s="2123">
        <v>15.74</v>
      </c>
      <c r="HJ788" s="2123">
        <v>15.74</v>
      </c>
      <c r="HK788" s="2123">
        <v>15.77</v>
      </c>
      <c r="HL788" s="2123">
        <v>16.23</v>
      </c>
      <c r="HM788" s="2123">
        <v>32.26</v>
      </c>
      <c r="HN788" s="2123">
        <v>32.26</v>
      </c>
      <c r="HO788" s="2123">
        <v>21.08</v>
      </c>
      <c r="HP788" s="2123">
        <v>21.08</v>
      </c>
      <c r="HQ788" s="2123">
        <v>22.54</v>
      </c>
      <c r="HR788" s="2123">
        <v>22.54</v>
      </c>
      <c r="HS788" s="2123">
        <v>22.54</v>
      </c>
      <c r="HT788" s="2123">
        <v>22.54</v>
      </c>
      <c r="HU788" s="2123">
        <v>22.54</v>
      </c>
      <c r="HV788" s="2123">
        <v>22.54</v>
      </c>
      <c r="HW788" s="2123">
        <v>22.48</v>
      </c>
      <c r="HX788" s="2050">
        <v>22.48</v>
      </c>
    </row>
    <row r="789" spans="1:232" s="2123" customFormat="1" ht="14" hidden="1" x14ac:dyDescent="0.3">
      <c r="A789" s="2040"/>
      <c r="B789" s="2127">
        <v>40</v>
      </c>
      <c r="C789" s="2128">
        <v>36.89</v>
      </c>
      <c r="D789" s="2128">
        <v>36.89</v>
      </c>
      <c r="E789" s="2128">
        <v>37.409999999999997</v>
      </c>
      <c r="F789" s="2128">
        <v>37.409999999999997</v>
      </c>
      <c r="G789" s="2128">
        <v>136.31</v>
      </c>
      <c r="H789" s="2128">
        <v>136.31</v>
      </c>
      <c r="I789" s="2128">
        <v>126.21</v>
      </c>
      <c r="J789" s="2128">
        <v>126.21</v>
      </c>
      <c r="K789" s="2128">
        <v>136.30000000000001</v>
      </c>
      <c r="L789" s="2128">
        <v>136.30000000000001</v>
      </c>
      <c r="M789" s="2128"/>
      <c r="N789" s="2128"/>
      <c r="O789" s="2128">
        <v>115.33</v>
      </c>
      <c r="P789" s="2128">
        <v>115.33</v>
      </c>
      <c r="Q789" s="2128">
        <v>115.74</v>
      </c>
      <c r="R789" s="2128">
        <v>115.34</v>
      </c>
      <c r="S789" s="2128">
        <v>194.03</v>
      </c>
      <c r="T789" s="2128">
        <v>194.03</v>
      </c>
      <c r="U789" s="2128">
        <v>187.29</v>
      </c>
      <c r="V789" s="2128">
        <v>187.29</v>
      </c>
      <c r="W789" s="2128">
        <v>194.03</v>
      </c>
      <c r="X789" s="2128">
        <v>194.03</v>
      </c>
      <c r="Y789" s="2128">
        <v>187.29</v>
      </c>
      <c r="Z789" s="2128">
        <v>194.03</v>
      </c>
      <c r="AA789" s="2128">
        <v>194.03</v>
      </c>
      <c r="AB789" s="2128">
        <v>194.03</v>
      </c>
      <c r="AC789" s="2128">
        <v>187.29</v>
      </c>
      <c r="AD789" s="2128">
        <v>187.29</v>
      </c>
      <c r="AE789" s="2128">
        <v>212.49</v>
      </c>
      <c r="AF789" s="2128">
        <v>206.44</v>
      </c>
      <c r="AG789" s="2128">
        <v>212.49</v>
      </c>
      <c r="AH789" s="2128">
        <v>212.49</v>
      </c>
      <c r="AI789" s="2128">
        <v>206.44</v>
      </c>
      <c r="AJ789" s="2128">
        <v>206.44</v>
      </c>
      <c r="AK789" s="2128">
        <v>207.67</v>
      </c>
      <c r="AL789" s="2128">
        <v>207.67</v>
      </c>
      <c r="AM789" s="2128">
        <v>61.04</v>
      </c>
      <c r="AN789" s="2128">
        <v>58.8</v>
      </c>
      <c r="AO789" s="2128">
        <v>58.8</v>
      </c>
      <c r="AP789" s="2128">
        <v>58.8</v>
      </c>
      <c r="AQ789" s="2128">
        <v>59.75</v>
      </c>
      <c r="AR789" s="2128">
        <v>59.75</v>
      </c>
      <c r="AS789" s="2128">
        <v>166.64</v>
      </c>
      <c r="AT789" s="2128">
        <v>166.64</v>
      </c>
      <c r="AU789" s="2128">
        <v>166.64</v>
      </c>
      <c r="AV789" s="2128">
        <v>171.03</v>
      </c>
      <c r="AW789" s="2128">
        <v>166.79</v>
      </c>
      <c r="AX789" s="2128">
        <v>166.79</v>
      </c>
      <c r="AY789" s="2128">
        <v>166.96</v>
      </c>
      <c r="AZ789" s="2128">
        <v>166.96</v>
      </c>
      <c r="BA789" s="2123">
        <v>71.900000000000006</v>
      </c>
      <c r="BB789" s="2123">
        <v>71.900000000000006</v>
      </c>
      <c r="BC789" s="2123">
        <v>17.260000000000002</v>
      </c>
      <c r="BD789" s="2123">
        <v>17.71</v>
      </c>
      <c r="BE789" s="2123">
        <v>21.76</v>
      </c>
      <c r="BF789" s="2123">
        <v>21.76</v>
      </c>
      <c r="BG789" s="2123">
        <v>17.309999999999999</v>
      </c>
      <c r="BH789" s="2123">
        <v>17.309999999999999</v>
      </c>
      <c r="BI789" s="2123">
        <v>17.16</v>
      </c>
      <c r="BJ789" s="2123">
        <v>17.16</v>
      </c>
      <c r="BK789" s="2123">
        <v>17.16</v>
      </c>
      <c r="BL789" s="2123">
        <v>17.16</v>
      </c>
      <c r="BM789" s="2123">
        <v>44.62</v>
      </c>
      <c r="BN789" s="2123">
        <v>44.62</v>
      </c>
      <c r="BO789" s="2123">
        <v>135.29</v>
      </c>
      <c r="BP789" s="2123">
        <v>135.29</v>
      </c>
      <c r="BQ789" s="2123">
        <v>135.29</v>
      </c>
      <c r="BR789" s="2123">
        <v>135.29</v>
      </c>
      <c r="BS789" s="2123">
        <v>166.26</v>
      </c>
      <c r="BT789" s="2123">
        <v>166.26</v>
      </c>
      <c r="BU789" s="2123">
        <v>166.26</v>
      </c>
      <c r="BV789" s="2123">
        <v>166.26</v>
      </c>
      <c r="BW789" s="2123">
        <v>166.26</v>
      </c>
      <c r="BX789" s="2123">
        <v>166.26</v>
      </c>
      <c r="BY789" s="2123">
        <v>40.54</v>
      </c>
      <c r="BZ789" s="2123">
        <v>40.54</v>
      </c>
      <c r="CA789" s="2123">
        <v>128.91999999999999</v>
      </c>
      <c r="CB789" s="2123">
        <v>128.91999999999999</v>
      </c>
      <c r="CC789" s="2123">
        <v>130.26</v>
      </c>
      <c r="CD789" s="2123">
        <v>130.26</v>
      </c>
      <c r="CE789" s="2123">
        <v>163.09</v>
      </c>
      <c r="CF789" s="2123">
        <v>163.09</v>
      </c>
      <c r="CK789" s="2123">
        <v>103.16</v>
      </c>
      <c r="CL789" s="2123">
        <v>103.16</v>
      </c>
      <c r="CM789" s="2123">
        <v>212.16</v>
      </c>
      <c r="CN789" s="2123">
        <v>212.16</v>
      </c>
      <c r="CO789" s="2123">
        <v>259.88</v>
      </c>
      <c r="CP789" s="2123">
        <v>259.88</v>
      </c>
      <c r="CQ789" s="2123">
        <v>259.88</v>
      </c>
      <c r="CR789" s="2123">
        <v>259.88</v>
      </c>
      <c r="CW789" s="2123">
        <v>94.06</v>
      </c>
      <c r="CX789" s="2123">
        <v>94.06</v>
      </c>
      <c r="CY789" s="2123">
        <v>202.84</v>
      </c>
      <c r="CZ789" s="2123">
        <v>202.84</v>
      </c>
      <c r="DA789" s="2123">
        <v>202.84</v>
      </c>
      <c r="DB789" s="2123">
        <v>202.84</v>
      </c>
      <c r="DC789" s="2123">
        <v>248.6</v>
      </c>
      <c r="DD789" s="2123">
        <v>248.6</v>
      </c>
      <c r="DE789" s="2123">
        <v>248.6</v>
      </c>
      <c r="DF789" s="2123">
        <v>248.6</v>
      </c>
      <c r="DI789" s="2123">
        <v>24.86</v>
      </c>
      <c r="DJ789" s="2123">
        <v>24.86</v>
      </c>
      <c r="DK789" s="2123">
        <v>24.86</v>
      </c>
      <c r="DL789" s="2123">
        <v>24.86</v>
      </c>
      <c r="DM789" s="2123">
        <v>24.86</v>
      </c>
      <c r="DN789" s="2123">
        <v>24.86</v>
      </c>
      <c r="DU789" s="2123">
        <v>11.12</v>
      </c>
      <c r="DV789" s="2123">
        <v>11.12</v>
      </c>
      <c r="DW789" s="2123">
        <v>10.11</v>
      </c>
      <c r="DX789" s="2123">
        <v>10.11</v>
      </c>
      <c r="DY789" s="2123">
        <v>10.11</v>
      </c>
      <c r="DZ789" s="2123">
        <v>10.11</v>
      </c>
      <c r="EG789" s="2123">
        <v>11.94</v>
      </c>
      <c r="EH789" s="2123">
        <v>12.19</v>
      </c>
      <c r="EI789" s="2123">
        <v>8.3800000000000008</v>
      </c>
      <c r="EJ789" s="2123">
        <v>8.3800000000000008</v>
      </c>
      <c r="EK789" s="2123">
        <v>8.35</v>
      </c>
      <c r="EL789" s="2123">
        <v>8.35</v>
      </c>
      <c r="EM789" s="2123">
        <v>9.1199999999999992</v>
      </c>
      <c r="EN789" s="2123">
        <v>9.1199999999999992</v>
      </c>
      <c r="EO789" s="2123">
        <v>8.52</v>
      </c>
      <c r="EP789" s="2123">
        <v>8.52</v>
      </c>
      <c r="EQ789" s="2123">
        <v>8.77</v>
      </c>
      <c r="ER789" s="2123">
        <v>8.82</v>
      </c>
      <c r="ES789" s="2123">
        <v>45.46</v>
      </c>
      <c r="ET789" s="2123">
        <v>45.46</v>
      </c>
      <c r="EU789" s="2123">
        <v>181.27</v>
      </c>
      <c r="EV789" s="2123">
        <v>181.27</v>
      </c>
      <c r="EW789" s="2123">
        <v>176.59</v>
      </c>
      <c r="EX789" s="2123">
        <v>176.59</v>
      </c>
      <c r="EY789" s="2129">
        <f t="shared" si="50"/>
        <v>178.93</v>
      </c>
      <c r="EZ789" s="2129">
        <f t="shared" si="50"/>
        <v>178.93</v>
      </c>
      <c r="FA789" s="2123">
        <v>181.73</v>
      </c>
      <c r="FB789" s="2123">
        <v>181.73</v>
      </c>
      <c r="FE789" s="2123">
        <v>39.01</v>
      </c>
      <c r="FF789" s="2123">
        <v>39.01</v>
      </c>
      <c r="FG789" s="2123">
        <v>151.82</v>
      </c>
      <c r="FH789" s="2123">
        <v>151.82</v>
      </c>
      <c r="FI789" s="2123">
        <v>151.82</v>
      </c>
      <c r="FJ789" s="2123">
        <v>155.46</v>
      </c>
      <c r="FK789" s="2123">
        <v>150.91999999999999</v>
      </c>
      <c r="FL789" s="2123">
        <v>150.91999999999999</v>
      </c>
      <c r="FM789" s="2123">
        <v>152.4</v>
      </c>
      <c r="FN789" s="2123">
        <v>152.4</v>
      </c>
      <c r="FQ789" s="2123">
        <v>88.04</v>
      </c>
      <c r="FR789" s="2123">
        <v>88.04</v>
      </c>
      <c r="FS789" s="2123">
        <v>170.7</v>
      </c>
      <c r="FT789" s="2123">
        <v>170.7</v>
      </c>
      <c r="FU789" s="2123">
        <v>170.7</v>
      </c>
      <c r="FV789" s="2123">
        <v>170.7</v>
      </c>
      <c r="FW789" s="2123">
        <v>171.65</v>
      </c>
      <c r="FX789" s="2123">
        <v>171.65</v>
      </c>
      <c r="GC789" s="2123">
        <v>62.41</v>
      </c>
      <c r="GD789" s="2123">
        <v>62.41</v>
      </c>
      <c r="GE789" s="2123">
        <v>143.07</v>
      </c>
      <c r="GF789" s="2123">
        <v>143.07</v>
      </c>
      <c r="GG789" s="2123">
        <v>143.07</v>
      </c>
      <c r="GH789" s="2123">
        <v>143.07</v>
      </c>
      <c r="GI789" s="2123">
        <v>127.38</v>
      </c>
      <c r="GJ789" s="2123">
        <v>127.38</v>
      </c>
      <c r="GK789" s="2123">
        <v>161.21</v>
      </c>
      <c r="GL789" s="2123">
        <v>161.21</v>
      </c>
      <c r="GO789" s="2123">
        <v>33.4</v>
      </c>
      <c r="GP789" s="2123">
        <v>33.4</v>
      </c>
      <c r="GQ789" s="2123">
        <v>26.28</v>
      </c>
      <c r="GR789" s="2123">
        <v>26.28</v>
      </c>
      <c r="GS789" s="2123">
        <v>26.28</v>
      </c>
      <c r="GT789" s="2123">
        <v>25.25</v>
      </c>
      <c r="GU789" s="2123">
        <v>25.25</v>
      </c>
      <c r="GV789" s="2123">
        <v>25.88</v>
      </c>
      <c r="GW789" s="2123">
        <v>150.9</v>
      </c>
      <c r="GX789" s="2123">
        <v>150.9</v>
      </c>
      <c r="HA789" s="2123">
        <v>23.3</v>
      </c>
      <c r="HB789" s="2123">
        <v>23.3</v>
      </c>
      <c r="HC789" s="2123">
        <v>15.06</v>
      </c>
      <c r="HD789" s="2123">
        <v>15.06</v>
      </c>
      <c r="HE789" s="2123">
        <v>16.05</v>
      </c>
      <c r="HF789" s="2123">
        <v>16.05</v>
      </c>
      <c r="HG789" s="2123">
        <v>16.05</v>
      </c>
      <c r="HH789" s="2123">
        <v>16.05</v>
      </c>
      <c r="HI789" s="2123">
        <v>16.05</v>
      </c>
      <c r="HJ789" s="2123">
        <v>16.05</v>
      </c>
      <c r="HK789" s="2123">
        <v>16.079999999999998</v>
      </c>
      <c r="HL789" s="2123">
        <v>16.53</v>
      </c>
      <c r="HM789" s="2123">
        <v>32.64</v>
      </c>
      <c r="HN789" s="2123">
        <v>32.64</v>
      </c>
      <c r="HO789" s="2123">
        <v>21.53</v>
      </c>
      <c r="HP789" s="2123">
        <v>21.53</v>
      </c>
      <c r="HQ789" s="2123">
        <v>22.97</v>
      </c>
      <c r="HR789" s="2123">
        <v>22.97</v>
      </c>
      <c r="HS789" s="2123">
        <v>22.97</v>
      </c>
      <c r="HT789" s="2123">
        <v>22.97</v>
      </c>
      <c r="HU789" s="2123">
        <v>22.97</v>
      </c>
      <c r="HV789" s="2123">
        <v>22.97</v>
      </c>
      <c r="HW789" s="2123">
        <v>22.92</v>
      </c>
      <c r="HX789" s="2050">
        <v>22.92</v>
      </c>
    </row>
    <row r="790" spans="1:232" s="2123" customFormat="1" ht="14" hidden="1" x14ac:dyDescent="0.3">
      <c r="A790" s="2040"/>
      <c r="B790" s="2127">
        <v>41</v>
      </c>
      <c r="C790" s="2128">
        <v>37.31</v>
      </c>
      <c r="D790" s="2128">
        <v>37.31</v>
      </c>
      <c r="E790" s="2128">
        <v>37.799999999999997</v>
      </c>
      <c r="F790" s="2128">
        <v>37.799999999999997</v>
      </c>
      <c r="G790" s="2128">
        <v>138.16999999999999</v>
      </c>
      <c r="H790" s="2128">
        <v>138.16999999999999</v>
      </c>
      <c r="I790" s="2128">
        <v>128.08000000000001</v>
      </c>
      <c r="J790" s="2128">
        <v>128.08000000000001</v>
      </c>
      <c r="K790" s="2128">
        <v>137.94</v>
      </c>
      <c r="L790" s="2128">
        <v>137.94</v>
      </c>
      <c r="M790" s="2128"/>
      <c r="N790" s="2128"/>
      <c r="O790" s="2128">
        <v>116.64</v>
      </c>
      <c r="P790" s="2128">
        <v>116.64</v>
      </c>
      <c r="Q790" s="2128">
        <v>117</v>
      </c>
      <c r="R790" s="2128">
        <v>116.64</v>
      </c>
      <c r="S790" s="2128">
        <v>197.18</v>
      </c>
      <c r="T790" s="2128">
        <v>197.18</v>
      </c>
      <c r="U790" s="2128">
        <v>190.32</v>
      </c>
      <c r="V790" s="2128">
        <v>190.32</v>
      </c>
      <c r="W790" s="2128">
        <v>197.18</v>
      </c>
      <c r="X790" s="2128">
        <v>197.18</v>
      </c>
      <c r="Y790" s="2128">
        <v>190.32</v>
      </c>
      <c r="Z790" s="2128">
        <v>197.18</v>
      </c>
      <c r="AA790" s="2128">
        <v>197.18</v>
      </c>
      <c r="AB790" s="2128">
        <v>197.18</v>
      </c>
      <c r="AC790" s="2128">
        <v>190.32</v>
      </c>
      <c r="AD790" s="2128">
        <v>190.32</v>
      </c>
      <c r="AE790" s="2128">
        <v>215.47</v>
      </c>
      <c r="AF790" s="2128">
        <v>209.33</v>
      </c>
      <c r="AG790" s="2128">
        <v>215.47</v>
      </c>
      <c r="AH790" s="2128">
        <v>215.47</v>
      </c>
      <c r="AI790" s="2128">
        <v>209.33</v>
      </c>
      <c r="AJ790" s="2128">
        <v>209.33</v>
      </c>
      <c r="AK790" s="2128">
        <v>210.51</v>
      </c>
      <c r="AL790" s="2128">
        <v>210.51</v>
      </c>
      <c r="AM790" s="2128">
        <v>61.73</v>
      </c>
      <c r="AN790" s="2128">
        <v>59.46</v>
      </c>
      <c r="AO790" s="2128">
        <v>59.46</v>
      </c>
      <c r="AP790" s="2128">
        <v>59.46</v>
      </c>
      <c r="AQ790" s="2128">
        <v>60.38</v>
      </c>
      <c r="AR790" s="2128">
        <v>60.38</v>
      </c>
      <c r="AS790" s="2128">
        <v>169.02</v>
      </c>
      <c r="AT790" s="2128">
        <v>169.02</v>
      </c>
      <c r="AU790" s="2128">
        <v>169.02</v>
      </c>
      <c r="AV790" s="2128">
        <v>173.43</v>
      </c>
      <c r="AW790" s="2128">
        <v>169.19</v>
      </c>
      <c r="AX790" s="2128">
        <v>169.19</v>
      </c>
      <c r="AY790" s="2128">
        <v>169.35</v>
      </c>
      <c r="AZ790" s="2128">
        <v>169.35</v>
      </c>
      <c r="BA790" s="2123">
        <v>72.959999999999994</v>
      </c>
      <c r="BB790" s="2123">
        <v>72.959999999999994</v>
      </c>
      <c r="BC790" s="2123">
        <v>17.57</v>
      </c>
      <c r="BD790" s="2123">
        <v>18</v>
      </c>
      <c r="BE790" s="2123">
        <v>22.01</v>
      </c>
      <c r="BF790" s="2123">
        <v>22.01</v>
      </c>
      <c r="BG790" s="2123">
        <v>17.62</v>
      </c>
      <c r="BH790" s="2123">
        <v>17.62</v>
      </c>
      <c r="BI790" s="2123">
        <v>17.47</v>
      </c>
      <c r="BJ790" s="2123">
        <v>17.47</v>
      </c>
      <c r="BK790" s="2123">
        <v>17.47</v>
      </c>
      <c r="BL790" s="2123">
        <v>17.47</v>
      </c>
      <c r="BM790" s="2123">
        <v>45.13</v>
      </c>
      <c r="BN790" s="2123">
        <v>45.13</v>
      </c>
      <c r="BO790" s="2123">
        <v>137.04</v>
      </c>
      <c r="BP790" s="2123">
        <v>137.04</v>
      </c>
      <c r="BQ790" s="2123">
        <v>137.04</v>
      </c>
      <c r="BR790" s="2123">
        <v>137.04</v>
      </c>
      <c r="BS790" s="2123">
        <v>168.84</v>
      </c>
      <c r="BT790" s="2123">
        <v>168.84</v>
      </c>
      <c r="BU790" s="2123">
        <v>168.84</v>
      </c>
      <c r="BV790" s="2123">
        <v>168.84</v>
      </c>
      <c r="BW790" s="2123">
        <v>168.84</v>
      </c>
      <c r="BX790" s="2123">
        <v>168.84</v>
      </c>
      <c r="BY790" s="2123">
        <v>40.99</v>
      </c>
      <c r="BZ790" s="2123">
        <v>40.99</v>
      </c>
      <c r="CA790" s="2123">
        <v>130.62</v>
      </c>
      <c r="CB790" s="2123">
        <v>130.62</v>
      </c>
      <c r="CC790" s="2123">
        <v>132.02000000000001</v>
      </c>
      <c r="CD790" s="2123">
        <v>132.02000000000001</v>
      </c>
      <c r="CE790" s="2123">
        <v>165.67</v>
      </c>
      <c r="CF790" s="2123">
        <v>165.67</v>
      </c>
      <c r="CK790" s="2123">
        <v>104.18</v>
      </c>
      <c r="CL790" s="2123">
        <v>104.18</v>
      </c>
      <c r="CM790" s="2123">
        <v>214.1</v>
      </c>
      <c r="CN790" s="2123">
        <v>214.1</v>
      </c>
      <c r="CO790" s="2123">
        <v>262.92</v>
      </c>
      <c r="CP790" s="2123">
        <v>262.92</v>
      </c>
      <c r="CQ790" s="2123">
        <v>262.92</v>
      </c>
      <c r="CR790" s="2123">
        <v>262.92</v>
      </c>
      <c r="CW790" s="2123">
        <v>95.13</v>
      </c>
      <c r="CX790" s="2123">
        <v>95.13</v>
      </c>
      <c r="CY790" s="2123">
        <v>204.79</v>
      </c>
      <c r="CZ790" s="2123">
        <v>204.79</v>
      </c>
      <c r="DA790" s="2123">
        <v>204.79</v>
      </c>
      <c r="DB790" s="2123">
        <v>204.79</v>
      </c>
      <c r="DC790" s="2123">
        <v>251.63</v>
      </c>
      <c r="DD790" s="2123">
        <v>251.63</v>
      </c>
      <c r="DE790" s="2123">
        <v>251.63</v>
      </c>
      <c r="DF790" s="2123">
        <v>251.63</v>
      </c>
      <c r="DI790" s="2123">
        <v>25.14</v>
      </c>
      <c r="DJ790" s="2123">
        <v>25.14</v>
      </c>
      <c r="DK790" s="2123">
        <v>25.14</v>
      </c>
      <c r="DL790" s="2123">
        <v>25.14</v>
      </c>
      <c r="DM790" s="2123">
        <v>25.14</v>
      </c>
      <c r="DN790" s="2123">
        <v>25.14</v>
      </c>
      <c r="DU790" s="2123">
        <v>11.24</v>
      </c>
      <c r="DV790" s="2123">
        <v>11.24</v>
      </c>
      <c r="DW790" s="2123">
        <v>10.25</v>
      </c>
      <c r="DX790" s="2123">
        <v>10.25</v>
      </c>
      <c r="DY790" s="2123">
        <v>10.25</v>
      </c>
      <c r="DZ790" s="2123">
        <v>10.25</v>
      </c>
      <c r="EG790" s="2123">
        <v>12.07</v>
      </c>
      <c r="EH790" s="2123">
        <v>12.32</v>
      </c>
      <c r="EI790" s="2123">
        <v>8.5399999999999991</v>
      </c>
      <c r="EJ790" s="2123">
        <v>8.5399999999999991</v>
      </c>
      <c r="EK790" s="2123">
        <v>8.5</v>
      </c>
      <c r="EL790" s="2123">
        <v>8.5</v>
      </c>
      <c r="EM790" s="2123">
        <v>9.27</v>
      </c>
      <c r="EN790" s="2123">
        <v>9.27</v>
      </c>
      <c r="EO790" s="2123">
        <v>8.67</v>
      </c>
      <c r="EP790" s="2123">
        <v>8.67</v>
      </c>
      <c r="EQ790" s="2123">
        <v>8.92</v>
      </c>
      <c r="ER790" s="2123">
        <v>8.9600000000000009</v>
      </c>
      <c r="ES790" s="2123">
        <v>45.97</v>
      </c>
      <c r="ET790" s="2123">
        <v>45.97</v>
      </c>
      <c r="EU790" s="2123">
        <v>184.13</v>
      </c>
      <c r="EV790" s="2123">
        <v>184.13</v>
      </c>
      <c r="EW790" s="2123">
        <v>179.43</v>
      </c>
      <c r="EX790" s="2123">
        <v>179.43</v>
      </c>
      <c r="EY790" s="2129">
        <f t="shared" si="50"/>
        <v>181.78</v>
      </c>
      <c r="EZ790" s="2129">
        <f t="shared" si="50"/>
        <v>181.78</v>
      </c>
      <c r="FA790" s="2123">
        <v>184.5</v>
      </c>
      <c r="FB790" s="2123">
        <v>184.5</v>
      </c>
      <c r="FE790" s="2123">
        <v>39.46</v>
      </c>
      <c r="FF790" s="2123">
        <v>39.46</v>
      </c>
      <c r="FG790" s="2123">
        <v>154.27000000000001</v>
      </c>
      <c r="FH790" s="2123">
        <v>154.27000000000001</v>
      </c>
      <c r="FI790" s="2123">
        <v>154.27000000000001</v>
      </c>
      <c r="FJ790" s="2123">
        <v>157.80000000000001</v>
      </c>
      <c r="FK790" s="2123">
        <v>153.38999999999999</v>
      </c>
      <c r="FL790" s="2123">
        <v>153.38999999999999</v>
      </c>
      <c r="FM790" s="2123">
        <v>154.85</v>
      </c>
      <c r="FN790" s="2123">
        <v>154.85</v>
      </c>
      <c r="FQ790" s="2123">
        <v>89.05</v>
      </c>
      <c r="FR790" s="2123">
        <v>89.05</v>
      </c>
      <c r="FS790" s="2123">
        <v>172.95</v>
      </c>
      <c r="FT790" s="2123">
        <v>172.95</v>
      </c>
      <c r="FU790" s="2123">
        <v>172.95</v>
      </c>
      <c r="FV790" s="2123">
        <v>172.95</v>
      </c>
      <c r="FW790" s="2123">
        <v>173.88</v>
      </c>
      <c r="FX790" s="2123">
        <v>173.88</v>
      </c>
      <c r="GC790" s="2123">
        <v>63.12</v>
      </c>
      <c r="GD790" s="2123">
        <v>63.12</v>
      </c>
      <c r="GE790" s="2123">
        <v>144.53</v>
      </c>
      <c r="GF790" s="2123">
        <v>144.53</v>
      </c>
      <c r="GG790" s="2123">
        <v>144.53</v>
      </c>
      <c r="GH790" s="2123">
        <v>144.53</v>
      </c>
      <c r="GI790" s="2123">
        <v>130.06</v>
      </c>
      <c r="GJ790" s="2123">
        <v>130.06</v>
      </c>
      <c r="GK790" s="2123">
        <v>163.63999999999999</v>
      </c>
      <c r="GL790" s="2123">
        <v>163.63999999999999</v>
      </c>
      <c r="GO790" s="2123">
        <v>33.78</v>
      </c>
      <c r="GP790" s="2123">
        <v>33.78</v>
      </c>
      <c r="GQ790" s="2123">
        <v>26.71</v>
      </c>
      <c r="GR790" s="2123">
        <v>26.71</v>
      </c>
      <c r="GS790" s="2123">
        <v>26.71</v>
      </c>
      <c r="GT790" s="2123">
        <v>25.67</v>
      </c>
      <c r="GU790" s="2123">
        <v>25.67</v>
      </c>
      <c r="GV790" s="2123">
        <v>26.28</v>
      </c>
      <c r="GW790" s="2123">
        <v>153.30000000000001</v>
      </c>
      <c r="GX790" s="2123">
        <v>153.30000000000001</v>
      </c>
      <c r="HA790" s="2123">
        <v>23.56</v>
      </c>
      <c r="HB790" s="2123">
        <v>23.56</v>
      </c>
      <c r="HC790" s="2123">
        <v>15.37</v>
      </c>
      <c r="HD790" s="2123">
        <v>15.37</v>
      </c>
      <c r="HE790" s="2123">
        <v>16.350000000000001</v>
      </c>
      <c r="HF790" s="2123">
        <v>16.350000000000001</v>
      </c>
      <c r="HG790" s="2123">
        <v>16.350000000000001</v>
      </c>
      <c r="HH790" s="2123">
        <v>16.350000000000001</v>
      </c>
      <c r="HI790" s="2123">
        <v>16.350000000000001</v>
      </c>
      <c r="HJ790" s="2123">
        <v>16.350000000000001</v>
      </c>
      <c r="HK790" s="2123">
        <v>16.39</v>
      </c>
      <c r="HL790" s="2123">
        <v>16.82</v>
      </c>
      <c r="HM790" s="2123">
        <v>33.01</v>
      </c>
      <c r="HN790" s="2123">
        <v>33.01</v>
      </c>
      <c r="HO790" s="2123">
        <v>21.96</v>
      </c>
      <c r="HP790" s="2123">
        <v>21.96</v>
      </c>
      <c r="HQ790" s="2123">
        <v>23.39</v>
      </c>
      <c r="HR790" s="2123">
        <v>23.39</v>
      </c>
      <c r="HS790" s="2123">
        <v>23.39</v>
      </c>
      <c r="HT790" s="2123">
        <v>23.39</v>
      </c>
      <c r="HU790" s="2123">
        <v>23.39</v>
      </c>
      <c r="HV790" s="2123">
        <v>23.39</v>
      </c>
      <c r="HW790" s="2123">
        <v>23.35</v>
      </c>
      <c r="HX790" s="2050">
        <v>23.35</v>
      </c>
    </row>
    <row r="791" spans="1:232" s="2123" customFormat="1" ht="14" hidden="1" x14ac:dyDescent="0.3">
      <c r="A791" s="2040"/>
      <c r="B791" s="2127">
        <v>42</v>
      </c>
      <c r="C791" s="2128">
        <v>37.71</v>
      </c>
      <c r="D791" s="2128">
        <v>37.71</v>
      </c>
      <c r="E791" s="2128">
        <v>38.18</v>
      </c>
      <c r="F791" s="2128">
        <v>38.18</v>
      </c>
      <c r="G791" s="2128">
        <v>139.97</v>
      </c>
      <c r="H791" s="2128">
        <v>139.97</v>
      </c>
      <c r="I791" s="2128">
        <v>129.88999999999999</v>
      </c>
      <c r="J791" s="2128">
        <v>129.88999999999999</v>
      </c>
      <c r="K791" s="2128">
        <v>139.53</v>
      </c>
      <c r="L791" s="2128">
        <v>139.53</v>
      </c>
      <c r="M791" s="2128"/>
      <c r="N791" s="2128"/>
      <c r="O791" s="2128">
        <v>117.9</v>
      </c>
      <c r="P791" s="2128">
        <v>117.9</v>
      </c>
      <c r="Q791" s="2128">
        <v>118.21</v>
      </c>
      <c r="R791" s="2128">
        <v>117.9</v>
      </c>
      <c r="S791" s="2128">
        <v>200.22</v>
      </c>
      <c r="T791" s="2128">
        <v>200.22</v>
      </c>
      <c r="U791" s="2128">
        <v>193.26</v>
      </c>
      <c r="V791" s="2128">
        <v>193.26</v>
      </c>
      <c r="W791" s="2128">
        <v>200.22</v>
      </c>
      <c r="X791" s="2128">
        <v>200.22</v>
      </c>
      <c r="Y791" s="2128">
        <v>193.26</v>
      </c>
      <c r="Z791" s="2128">
        <v>200.22</v>
      </c>
      <c r="AA791" s="2128">
        <v>200.22</v>
      </c>
      <c r="AB791" s="2128">
        <v>200.22</v>
      </c>
      <c r="AC791" s="2128">
        <v>193.26</v>
      </c>
      <c r="AD791" s="2128">
        <v>193.26</v>
      </c>
      <c r="AE791" s="2128">
        <v>218.35</v>
      </c>
      <c r="AF791" s="2128">
        <v>212.12</v>
      </c>
      <c r="AG791" s="2128">
        <v>218.35</v>
      </c>
      <c r="AH791" s="2128">
        <v>218.35</v>
      </c>
      <c r="AI791" s="2128">
        <v>212.12</v>
      </c>
      <c r="AJ791" s="2128">
        <v>212.12</v>
      </c>
      <c r="AK791" s="2128">
        <v>213.26</v>
      </c>
      <c r="AL791" s="2128">
        <v>213.26</v>
      </c>
      <c r="AM791" s="2128">
        <v>62.39</v>
      </c>
      <c r="AN791" s="2128">
        <v>60.1</v>
      </c>
      <c r="AO791" s="2128">
        <v>60.1</v>
      </c>
      <c r="AP791" s="2128">
        <v>60.1</v>
      </c>
      <c r="AQ791" s="2128">
        <v>60.98</v>
      </c>
      <c r="AR791" s="2128">
        <v>60.98</v>
      </c>
      <c r="AS791" s="2128">
        <v>171.32</v>
      </c>
      <c r="AT791" s="2128">
        <v>171.32</v>
      </c>
      <c r="AU791" s="2128">
        <v>171.32</v>
      </c>
      <c r="AV791" s="2128">
        <v>175.75</v>
      </c>
      <c r="AW791" s="2128">
        <v>171.5</v>
      </c>
      <c r="AX791" s="2128">
        <v>171.5</v>
      </c>
      <c r="AY791" s="2128">
        <v>171.67</v>
      </c>
      <c r="AZ791" s="2128">
        <v>171.67</v>
      </c>
      <c r="BA791" s="2123">
        <v>73.989999999999995</v>
      </c>
      <c r="BB791" s="2123">
        <v>73.989999999999995</v>
      </c>
      <c r="BC791" s="2123">
        <v>17.86</v>
      </c>
      <c r="BD791" s="2123">
        <v>18.28</v>
      </c>
      <c r="BE791" s="2123">
        <v>22.25</v>
      </c>
      <c r="BF791" s="2123">
        <v>22.25</v>
      </c>
      <c r="BG791" s="2123">
        <v>17.91</v>
      </c>
      <c r="BH791" s="2123">
        <v>17.91</v>
      </c>
      <c r="BI791" s="2123">
        <v>17.760000000000002</v>
      </c>
      <c r="BJ791" s="2123">
        <v>17.760000000000002</v>
      </c>
      <c r="BK791" s="2123">
        <v>17.760000000000002</v>
      </c>
      <c r="BL791" s="2123">
        <v>17.760000000000002</v>
      </c>
      <c r="BM791" s="2123">
        <v>45.61</v>
      </c>
      <c r="BN791" s="2123">
        <v>45.61</v>
      </c>
      <c r="BO791" s="2123">
        <v>138.72999999999999</v>
      </c>
      <c r="BP791" s="2123">
        <v>138.72999999999999</v>
      </c>
      <c r="BQ791" s="2123">
        <v>138.72999999999999</v>
      </c>
      <c r="BR791" s="2123">
        <v>138.72999999999999</v>
      </c>
      <c r="BS791" s="2123">
        <v>171.34</v>
      </c>
      <c r="BT791" s="2123">
        <v>171.34</v>
      </c>
      <c r="BU791" s="2123">
        <v>171.34</v>
      </c>
      <c r="BV791" s="2123">
        <v>171.34</v>
      </c>
      <c r="BW791" s="2123">
        <v>171.34</v>
      </c>
      <c r="BX791" s="2123">
        <v>171.34</v>
      </c>
      <c r="BY791" s="2123">
        <v>41.43</v>
      </c>
      <c r="BZ791" s="2123">
        <v>41.43</v>
      </c>
      <c r="CA791" s="2123">
        <v>132.26</v>
      </c>
      <c r="CB791" s="2123">
        <v>132.26</v>
      </c>
      <c r="CC791" s="2123">
        <v>133.72</v>
      </c>
      <c r="CD791" s="2123">
        <v>133.72</v>
      </c>
      <c r="CE791" s="2123">
        <v>168.17</v>
      </c>
      <c r="CF791" s="2123">
        <v>168.17</v>
      </c>
      <c r="CK791" s="2123">
        <v>105.16</v>
      </c>
      <c r="CL791" s="2123">
        <v>105.16</v>
      </c>
      <c r="CM791" s="2123">
        <v>215.96</v>
      </c>
      <c r="CN791" s="2123">
        <v>215.96</v>
      </c>
      <c r="CO791" s="2123">
        <v>265.85000000000002</v>
      </c>
      <c r="CP791" s="2123">
        <v>265.85000000000002</v>
      </c>
      <c r="CQ791" s="2123">
        <v>265.85000000000002</v>
      </c>
      <c r="CR791" s="2123">
        <v>265.85000000000002</v>
      </c>
      <c r="CW791" s="2123">
        <v>96.15</v>
      </c>
      <c r="CX791" s="2123">
        <v>96.15</v>
      </c>
      <c r="CY791" s="2123">
        <v>206.67</v>
      </c>
      <c r="CZ791" s="2123">
        <v>206.67</v>
      </c>
      <c r="DA791" s="2123">
        <v>206.67</v>
      </c>
      <c r="DB791" s="2123">
        <v>206.67</v>
      </c>
      <c r="DC791" s="2123">
        <v>254.56</v>
      </c>
      <c r="DD791" s="2123">
        <v>254.56</v>
      </c>
      <c r="DE791" s="2123">
        <v>254.56</v>
      </c>
      <c r="DF791" s="2123">
        <v>254.56</v>
      </c>
      <c r="DI791" s="2123">
        <v>25.41</v>
      </c>
      <c r="DJ791" s="2123">
        <v>25.41</v>
      </c>
      <c r="DK791" s="2123">
        <v>25.41</v>
      </c>
      <c r="DL791" s="2123">
        <v>25.41</v>
      </c>
      <c r="DM791" s="2123">
        <v>25.41</v>
      </c>
      <c r="DN791" s="2123">
        <v>25.41</v>
      </c>
      <c r="DU791" s="2123">
        <v>11.36</v>
      </c>
      <c r="DV791" s="2123">
        <v>11.36</v>
      </c>
      <c r="DW791" s="2123">
        <v>10.39</v>
      </c>
      <c r="DX791" s="2123">
        <v>10.39</v>
      </c>
      <c r="DY791" s="2123">
        <v>10.39</v>
      </c>
      <c r="DZ791" s="2123">
        <v>10.39</v>
      </c>
      <c r="EG791" s="2123">
        <v>12.19</v>
      </c>
      <c r="EH791" s="2123">
        <v>12.44</v>
      </c>
      <c r="EI791" s="2123">
        <v>8.69</v>
      </c>
      <c r="EJ791" s="2123">
        <v>8.69</v>
      </c>
      <c r="EK791" s="2123">
        <v>8.66</v>
      </c>
      <c r="EL791" s="2123">
        <v>8.66</v>
      </c>
      <c r="EM791" s="2123">
        <v>9.42</v>
      </c>
      <c r="EN791" s="2123">
        <v>9.42</v>
      </c>
      <c r="EO791" s="2123">
        <v>8.82</v>
      </c>
      <c r="EP791" s="2123">
        <v>8.82</v>
      </c>
      <c r="EQ791" s="2123">
        <v>9.07</v>
      </c>
      <c r="ER791" s="2123">
        <v>9.1</v>
      </c>
      <c r="ES791" s="2123">
        <v>46.47</v>
      </c>
      <c r="ET791" s="2123">
        <v>46.47</v>
      </c>
      <c r="EU791" s="2123">
        <v>186.91</v>
      </c>
      <c r="EV791" s="2123">
        <v>186.91</v>
      </c>
      <c r="EW791" s="2123">
        <v>182.18</v>
      </c>
      <c r="EX791" s="2123">
        <v>182.18</v>
      </c>
      <c r="EY791" s="2129">
        <f t="shared" si="50"/>
        <v>184.54500000000002</v>
      </c>
      <c r="EZ791" s="2129">
        <f t="shared" si="50"/>
        <v>184.54500000000002</v>
      </c>
      <c r="FA791" s="2123">
        <v>187.19</v>
      </c>
      <c r="FB791" s="2123">
        <v>187.19</v>
      </c>
      <c r="FE791" s="2123">
        <v>39.89</v>
      </c>
      <c r="FF791" s="2123">
        <v>39.89</v>
      </c>
      <c r="FG791" s="2123">
        <v>156.63999999999999</v>
      </c>
      <c r="FH791" s="2123">
        <v>156.63999999999999</v>
      </c>
      <c r="FI791" s="2123">
        <v>156.63999999999999</v>
      </c>
      <c r="FJ791" s="2123">
        <v>160.06</v>
      </c>
      <c r="FK791" s="2123">
        <v>155.78</v>
      </c>
      <c r="FL791" s="2123">
        <v>155.78</v>
      </c>
      <c r="FM791" s="2123">
        <v>157.21</v>
      </c>
      <c r="FN791" s="2123">
        <v>157.21</v>
      </c>
      <c r="FQ791" s="2123">
        <v>90.02</v>
      </c>
      <c r="FR791" s="2123">
        <v>90.02</v>
      </c>
      <c r="FS791" s="2123">
        <v>175.12</v>
      </c>
      <c r="FT791" s="2123">
        <v>175.12</v>
      </c>
      <c r="FU791" s="2123">
        <v>175.12</v>
      </c>
      <c r="FV791" s="2123">
        <v>175.12</v>
      </c>
      <c r="FW791" s="2123">
        <v>176.04</v>
      </c>
      <c r="FX791" s="2123">
        <v>176.04</v>
      </c>
      <c r="GC791" s="2123">
        <v>63.8</v>
      </c>
      <c r="GD791" s="2123">
        <v>63.8</v>
      </c>
      <c r="GE791" s="2123">
        <v>145.93</v>
      </c>
      <c r="GF791" s="2123">
        <v>145.93</v>
      </c>
      <c r="GG791" s="2123">
        <v>145.93</v>
      </c>
      <c r="GH791" s="2123">
        <v>145.93</v>
      </c>
      <c r="GI791" s="2123">
        <v>132.66999999999999</v>
      </c>
      <c r="GJ791" s="2123">
        <v>132.66999999999999</v>
      </c>
      <c r="GK791" s="2123">
        <v>166</v>
      </c>
      <c r="GL791" s="2123">
        <v>166</v>
      </c>
      <c r="GO791" s="2123">
        <v>34.14</v>
      </c>
      <c r="GP791" s="2123">
        <v>34.14</v>
      </c>
      <c r="GQ791" s="2123">
        <v>27.13</v>
      </c>
      <c r="GR791" s="2123">
        <v>27.13</v>
      </c>
      <c r="GS791" s="2123">
        <v>27.13</v>
      </c>
      <c r="GT791" s="2123">
        <v>26.08</v>
      </c>
      <c r="GU791" s="2123">
        <v>26.08</v>
      </c>
      <c r="GV791" s="2123">
        <v>26.67</v>
      </c>
      <c r="GW791" s="2123">
        <v>155.63</v>
      </c>
      <c r="GX791" s="2123">
        <v>155.63</v>
      </c>
      <c r="HA791" s="2123">
        <v>23.81</v>
      </c>
      <c r="HB791" s="2123">
        <v>23.81</v>
      </c>
      <c r="HC791" s="2123">
        <v>15.67</v>
      </c>
      <c r="HD791" s="2123">
        <v>15.67</v>
      </c>
      <c r="HE791" s="2123">
        <v>16.64</v>
      </c>
      <c r="HF791" s="2123">
        <v>16.64</v>
      </c>
      <c r="HG791" s="2123">
        <v>16.64</v>
      </c>
      <c r="HH791" s="2123">
        <v>16.64</v>
      </c>
      <c r="HI791" s="2123">
        <v>16.64</v>
      </c>
      <c r="HJ791" s="2123">
        <v>16.64</v>
      </c>
      <c r="HK791" s="2123">
        <v>16.68</v>
      </c>
      <c r="HL791" s="2123">
        <v>17.11</v>
      </c>
      <c r="HM791" s="2123">
        <v>33.36</v>
      </c>
      <c r="HN791" s="2123">
        <v>33.36</v>
      </c>
      <c r="HO791" s="2123">
        <v>22.38</v>
      </c>
      <c r="HP791" s="2123">
        <v>22.38</v>
      </c>
      <c r="HQ791" s="2123">
        <v>23.8</v>
      </c>
      <c r="HR791" s="2123">
        <v>23.8</v>
      </c>
      <c r="HS791" s="2123">
        <v>23.8</v>
      </c>
      <c r="HT791" s="2123">
        <v>23.8</v>
      </c>
      <c r="HU791" s="2123">
        <v>23.8</v>
      </c>
      <c r="HV791" s="2123">
        <v>23.8</v>
      </c>
      <c r="HW791" s="2123">
        <v>23.76</v>
      </c>
      <c r="HX791" s="2050">
        <v>23.76</v>
      </c>
    </row>
    <row r="792" spans="1:232" s="2123" customFormat="1" ht="14" hidden="1" x14ac:dyDescent="0.3">
      <c r="A792" s="2040"/>
      <c r="B792" s="2127">
        <v>43</v>
      </c>
      <c r="C792" s="2128">
        <v>38.090000000000003</v>
      </c>
      <c r="D792" s="2128">
        <v>38.090000000000003</v>
      </c>
      <c r="E792" s="2128">
        <v>38.549999999999997</v>
      </c>
      <c r="F792" s="2128">
        <v>38.549999999999997</v>
      </c>
      <c r="G792" s="2128">
        <v>141.71</v>
      </c>
      <c r="H792" s="2128">
        <v>141.71</v>
      </c>
      <c r="I792" s="2128">
        <v>131.63999999999999</v>
      </c>
      <c r="J792" s="2128">
        <v>131.63999999999999</v>
      </c>
      <c r="K792" s="2128">
        <v>141.06</v>
      </c>
      <c r="L792" s="2128">
        <v>141.06</v>
      </c>
      <c r="M792" s="2128"/>
      <c r="N792" s="2128"/>
      <c r="O792" s="2128">
        <v>119.11</v>
      </c>
      <c r="P792" s="2128">
        <v>119.11</v>
      </c>
      <c r="Q792" s="2128">
        <v>119.38</v>
      </c>
      <c r="R792" s="2128">
        <v>119.12</v>
      </c>
      <c r="S792" s="2128">
        <v>203.17</v>
      </c>
      <c r="T792" s="2128">
        <v>203.17</v>
      </c>
      <c r="U792" s="2128">
        <v>196.11</v>
      </c>
      <c r="V792" s="2128">
        <v>196.11</v>
      </c>
      <c r="W792" s="2128">
        <v>203.17</v>
      </c>
      <c r="X792" s="2128">
        <v>203.17</v>
      </c>
      <c r="Y792" s="2128">
        <v>196.11</v>
      </c>
      <c r="Z792" s="2128">
        <v>203.17</v>
      </c>
      <c r="AA792" s="2128">
        <v>203.17</v>
      </c>
      <c r="AB792" s="2128">
        <v>203.17</v>
      </c>
      <c r="AC792" s="2128">
        <v>196.11</v>
      </c>
      <c r="AD792" s="2128">
        <v>196.11</v>
      </c>
      <c r="AE792" s="2128">
        <v>221.13</v>
      </c>
      <c r="AF792" s="2128">
        <v>214.82</v>
      </c>
      <c r="AG792" s="2128">
        <v>221.13</v>
      </c>
      <c r="AH792" s="2128">
        <v>221.13</v>
      </c>
      <c r="AI792" s="2128">
        <v>214.82</v>
      </c>
      <c r="AJ792" s="2128">
        <v>214.82</v>
      </c>
      <c r="AK792" s="2128">
        <v>215.92</v>
      </c>
      <c r="AL792" s="2128">
        <v>215.92</v>
      </c>
      <c r="AM792" s="2128">
        <v>63.03</v>
      </c>
      <c r="AN792" s="2128">
        <v>60.72</v>
      </c>
      <c r="AO792" s="2128">
        <v>60.72</v>
      </c>
      <c r="AP792" s="2128">
        <v>60.72</v>
      </c>
      <c r="AQ792" s="2128">
        <v>61.57</v>
      </c>
      <c r="AR792" s="2128">
        <v>61.57</v>
      </c>
      <c r="AS792" s="2128">
        <v>173.55</v>
      </c>
      <c r="AT792" s="2128">
        <v>173.55</v>
      </c>
      <c r="AU792" s="2128">
        <v>173.55</v>
      </c>
      <c r="AV792" s="2128">
        <v>178</v>
      </c>
      <c r="AW792" s="2128">
        <v>173.74</v>
      </c>
      <c r="AX792" s="2128">
        <v>173.74</v>
      </c>
      <c r="AY792" s="2128">
        <v>173.9</v>
      </c>
      <c r="AZ792" s="2128">
        <v>173.9</v>
      </c>
      <c r="BA792" s="2123">
        <v>74.989999999999995</v>
      </c>
      <c r="BB792" s="2123">
        <v>74.989999999999995</v>
      </c>
      <c r="BC792" s="2123">
        <v>18.14</v>
      </c>
      <c r="BD792" s="2123">
        <v>18.559999999999999</v>
      </c>
      <c r="BE792" s="2123">
        <v>22.49</v>
      </c>
      <c r="BF792" s="2123">
        <v>22.49</v>
      </c>
      <c r="BG792" s="2123">
        <v>18.2</v>
      </c>
      <c r="BH792" s="2123">
        <v>18.2</v>
      </c>
      <c r="BI792" s="2123">
        <v>18.04</v>
      </c>
      <c r="BJ792" s="2123">
        <v>18.04</v>
      </c>
      <c r="BK792" s="2123">
        <v>18.04</v>
      </c>
      <c r="BL792" s="2123">
        <v>18.04</v>
      </c>
      <c r="BM792" s="2123">
        <v>46.08</v>
      </c>
      <c r="BN792" s="2123">
        <v>46.08</v>
      </c>
      <c r="BO792" s="2123">
        <v>140.36000000000001</v>
      </c>
      <c r="BP792" s="2123">
        <v>140.36000000000001</v>
      </c>
      <c r="BQ792" s="2123">
        <v>140.36000000000001</v>
      </c>
      <c r="BR792" s="2123">
        <v>140.36000000000001</v>
      </c>
      <c r="BS792" s="2123">
        <v>173.76</v>
      </c>
      <c r="BT792" s="2123">
        <v>173.76</v>
      </c>
      <c r="BU792" s="2123">
        <v>173.76</v>
      </c>
      <c r="BV792" s="2123">
        <v>173.76</v>
      </c>
      <c r="BW792" s="2123">
        <v>173.76</v>
      </c>
      <c r="BX792" s="2123">
        <v>173.76</v>
      </c>
      <c r="BY792" s="2123">
        <v>41.86</v>
      </c>
      <c r="BZ792" s="2123">
        <v>41.86</v>
      </c>
      <c r="CA792" s="2123">
        <v>133.85</v>
      </c>
      <c r="CB792" s="2123">
        <v>133.85</v>
      </c>
      <c r="CC792" s="2123">
        <v>135.35</v>
      </c>
      <c r="CD792" s="2123">
        <v>135.35</v>
      </c>
      <c r="CE792" s="2123">
        <v>170.59</v>
      </c>
      <c r="CF792" s="2123">
        <v>170.59</v>
      </c>
      <c r="CK792" s="2123">
        <v>106.1</v>
      </c>
      <c r="CL792" s="2123">
        <v>106.1</v>
      </c>
      <c r="CM792" s="2123">
        <v>217.76</v>
      </c>
      <c r="CN792" s="2123">
        <v>217.76</v>
      </c>
      <c r="CO792" s="2123">
        <v>268.68</v>
      </c>
      <c r="CP792" s="2123">
        <v>268.68</v>
      </c>
      <c r="CQ792" s="2123">
        <v>268.68</v>
      </c>
      <c r="CR792" s="2123">
        <v>268.68</v>
      </c>
      <c r="CW792" s="2123">
        <v>97.14</v>
      </c>
      <c r="CX792" s="2123">
        <v>97.14</v>
      </c>
      <c r="CY792" s="2123">
        <v>208.49</v>
      </c>
      <c r="CZ792" s="2123">
        <v>208.49</v>
      </c>
      <c r="DA792" s="2123">
        <v>208.49</v>
      </c>
      <c r="DB792" s="2123">
        <v>208.49</v>
      </c>
      <c r="DC792" s="2123">
        <v>257.38</v>
      </c>
      <c r="DD792" s="2123">
        <v>257.38</v>
      </c>
      <c r="DE792" s="2123">
        <v>257.38</v>
      </c>
      <c r="DF792" s="2123">
        <v>257.38</v>
      </c>
      <c r="DI792" s="2123">
        <v>25.67</v>
      </c>
      <c r="DJ792" s="2123">
        <v>25.67</v>
      </c>
      <c r="DK792" s="2123">
        <v>25.67</v>
      </c>
      <c r="DL792" s="2123">
        <v>25.67</v>
      </c>
      <c r="DM792" s="2123">
        <v>25.67</v>
      </c>
      <c r="DN792" s="2123">
        <v>25.67</v>
      </c>
      <c r="DU792" s="2123">
        <v>11.47</v>
      </c>
      <c r="DV792" s="2123">
        <v>11.47</v>
      </c>
      <c r="DW792" s="2123">
        <v>10.52</v>
      </c>
      <c r="DX792" s="2123">
        <v>10.52</v>
      </c>
      <c r="DY792" s="2123">
        <v>10.52</v>
      </c>
      <c r="DZ792" s="2123">
        <v>10.52</v>
      </c>
      <c r="EG792" s="2123">
        <v>12.31</v>
      </c>
      <c r="EH792" s="2123">
        <v>12.56</v>
      </c>
      <c r="EI792" s="2123">
        <v>8.83</v>
      </c>
      <c r="EJ792" s="2123">
        <v>8.83</v>
      </c>
      <c r="EK792" s="2123">
        <v>8.8000000000000007</v>
      </c>
      <c r="EL792" s="2123">
        <v>8.8000000000000007</v>
      </c>
      <c r="EM792" s="2123">
        <v>9.56</v>
      </c>
      <c r="EN792" s="2123">
        <v>9.56</v>
      </c>
      <c r="EO792" s="2123">
        <v>8.9600000000000009</v>
      </c>
      <c r="EP792" s="2123">
        <v>8.9600000000000009</v>
      </c>
      <c r="EQ792" s="2123">
        <v>9.2100000000000009</v>
      </c>
      <c r="ER792" s="2123">
        <v>9.24</v>
      </c>
      <c r="ES792" s="2123">
        <v>46.95</v>
      </c>
      <c r="ET792" s="2123">
        <v>46.95</v>
      </c>
      <c r="EU792" s="2123">
        <v>189.6</v>
      </c>
      <c r="EV792" s="2123">
        <v>189.6</v>
      </c>
      <c r="EW792" s="2123">
        <v>184.84</v>
      </c>
      <c r="EX792" s="2123">
        <v>184.84</v>
      </c>
      <c r="EY792" s="2129">
        <f t="shared" si="50"/>
        <v>187.22</v>
      </c>
      <c r="EZ792" s="2129">
        <f t="shared" si="50"/>
        <v>187.22</v>
      </c>
      <c r="FA792" s="2123">
        <v>189.79</v>
      </c>
      <c r="FB792" s="2123">
        <v>189.79</v>
      </c>
      <c r="FE792" s="2123">
        <v>40.299999999999997</v>
      </c>
      <c r="FF792" s="2123">
        <v>40.299999999999997</v>
      </c>
      <c r="FG792" s="2123">
        <v>158.94</v>
      </c>
      <c r="FH792" s="2123">
        <v>158.94</v>
      </c>
      <c r="FI792" s="2123">
        <v>158.94</v>
      </c>
      <c r="FJ792" s="2123">
        <v>162.25</v>
      </c>
      <c r="FK792" s="2123">
        <v>158.1</v>
      </c>
      <c r="FL792" s="2123">
        <v>158.1</v>
      </c>
      <c r="FM792" s="2123">
        <v>159.5</v>
      </c>
      <c r="FN792" s="2123">
        <v>159.5</v>
      </c>
      <c r="FQ792" s="2123">
        <v>90.96</v>
      </c>
      <c r="FR792" s="2123">
        <v>90.96</v>
      </c>
      <c r="FS792" s="2123">
        <v>177.22</v>
      </c>
      <c r="FT792" s="2123">
        <v>177.22</v>
      </c>
      <c r="FU792" s="2123">
        <v>177.22</v>
      </c>
      <c r="FV792" s="2123">
        <v>177.22</v>
      </c>
      <c r="FW792" s="2123">
        <v>178.12</v>
      </c>
      <c r="FX792" s="2123">
        <v>178.12</v>
      </c>
      <c r="GC792" s="2123">
        <v>64.45</v>
      </c>
      <c r="GD792" s="2123">
        <v>64.45</v>
      </c>
      <c r="GE792" s="2123">
        <v>147.29</v>
      </c>
      <c r="GF792" s="2123">
        <v>147.29</v>
      </c>
      <c r="GG792" s="2123">
        <v>147.29</v>
      </c>
      <c r="GH792" s="2123">
        <v>147.29</v>
      </c>
      <c r="GI792" s="2123">
        <v>135.21</v>
      </c>
      <c r="GJ792" s="2123">
        <v>135.21</v>
      </c>
      <c r="GK792" s="2123">
        <v>168.27</v>
      </c>
      <c r="GL792" s="2123">
        <v>168.27</v>
      </c>
      <c r="GO792" s="2123">
        <v>34.5</v>
      </c>
      <c r="GP792" s="2123">
        <v>34.5</v>
      </c>
      <c r="GQ792" s="2123">
        <v>27.54</v>
      </c>
      <c r="GR792" s="2123">
        <v>27.54</v>
      </c>
      <c r="GS792" s="2123">
        <v>27.54</v>
      </c>
      <c r="GT792" s="2123">
        <v>26.47</v>
      </c>
      <c r="GU792" s="2123">
        <v>26.47</v>
      </c>
      <c r="GV792" s="2123">
        <v>27.05</v>
      </c>
      <c r="GW792" s="2123">
        <v>157.88999999999999</v>
      </c>
      <c r="GX792" s="2123">
        <v>157.88999999999999</v>
      </c>
      <c r="HA792" s="2123">
        <v>24.05</v>
      </c>
      <c r="HB792" s="2123">
        <v>24.05</v>
      </c>
      <c r="HC792" s="2123">
        <v>15.96</v>
      </c>
      <c r="HD792" s="2123">
        <v>15.96</v>
      </c>
      <c r="HE792" s="2123">
        <v>16.93</v>
      </c>
      <c r="HF792" s="2123">
        <v>16.93</v>
      </c>
      <c r="HG792" s="2123">
        <v>16.93</v>
      </c>
      <c r="HH792" s="2123">
        <v>16.93</v>
      </c>
      <c r="HI792" s="2123">
        <v>16.93</v>
      </c>
      <c r="HJ792" s="2123">
        <v>16.93</v>
      </c>
      <c r="HK792" s="2123">
        <v>16.97</v>
      </c>
      <c r="HL792" s="2123">
        <v>17.38</v>
      </c>
      <c r="HM792" s="2123">
        <v>33.700000000000003</v>
      </c>
      <c r="HN792" s="2123">
        <v>33.700000000000003</v>
      </c>
      <c r="HO792" s="2123">
        <v>22.79</v>
      </c>
      <c r="HP792" s="2123">
        <v>22.79</v>
      </c>
      <c r="HQ792" s="2123">
        <v>24.19</v>
      </c>
      <c r="HR792" s="2123">
        <v>24.19</v>
      </c>
      <c r="HS792" s="2123">
        <v>24.19</v>
      </c>
      <c r="HT792" s="2123">
        <v>24.19</v>
      </c>
      <c r="HU792" s="2123">
        <v>24.19</v>
      </c>
      <c r="HV792" s="2123">
        <v>24.19</v>
      </c>
      <c r="HW792" s="2123">
        <v>24.16</v>
      </c>
      <c r="HX792" s="2050">
        <v>24.16</v>
      </c>
    </row>
    <row r="793" spans="1:232" s="2123" customFormat="1" ht="14" hidden="1" x14ac:dyDescent="0.3">
      <c r="A793" s="2040"/>
      <c r="B793" s="2127">
        <v>44</v>
      </c>
      <c r="C793" s="2128">
        <v>38.46</v>
      </c>
      <c r="D793" s="2128">
        <v>38.46</v>
      </c>
      <c r="E793" s="2128">
        <v>38.9</v>
      </c>
      <c r="F793" s="2128">
        <v>38.9</v>
      </c>
      <c r="G793" s="2128">
        <v>143.38999999999999</v>
      </c>
      <c r="H793" s="2128">
        <v>143.38999999999999</v>
      </c>
      <c r="I793" s="2128">
        <v>133.34</v>
      </c>
      <c r="J793" s="2128">
        <v>133.34</v>
      </c>
      <c r="K793" s="2128">
        <v>142.55000000000001</v>
      </c>
      <c r="L793" s="2128">
        <v>142.55000000000001</v>
      </c>
      <c r="M793" s="2128"/>
      <c r="N793" s="2128"/>
      <c r="O793" s="2128">
        <v>120.28</v>
      </c>
      <c r="P793" s="2128">
        <v>120.28</v>
      </c>
      <c r="Q793" s="2128">
        <v>120.51</v>
      </c>
      <c r="R793" s="2128">
        <v>120.29</v>
      </c>
      <c r="S793" s="2128">
        <v>206.03</v>
      </c>
      <c r="T793" s="2128">
        <v>206.03</v>
      </c>
      <c r="U793" s="2128">
        <v>198.87</v>
      </c>
      <c r="V793" s="2128">
        <v>198.87</v>
      </c>
      <c r="W793" s="2128">
        <v>206.03</v>
      </c>
      <c r="X793" s="2128">
        <v>206.03</v>
      </c>
      <c r="Y793" s="2128">
        <v>198.87</v>
      </c>
      <c r="Z793" s="2128">
        <v>206.03</v>
      </c>
      <c r="AA793" s="2128">
        <v>206.03</v>
      </c>
      <c r="AB793" s="2128">
        <v>206.03</v>
      </c>
      <c r="AC793" s="2128">
        <v>198.87</v>
      </c>
      <c r="AD793" s="2128">
        <v>198.87</v>
      </c>
      <c r="AE793" s="2128">
        <v>223.81</v>
      </c>
      <c r="AF793" s="2128">
        <v>217.42</v>
      </c>
      <c r="AG793" s="2128">
        <v>223.81</v>
      </c>
      <c r="AH793" s="2128">
        <v>223.81</v>
      </c>
      <c r="AI793" s="2128">
        <v>217.42</v>
      </c>
      <c r="AJ793" s="2128">
        <v>217.42</v>
      </c>
      <c r="AK793" s="2128">
        <v>218.49</v>
      </c>
      <c r="AL793" s="2128">
        <v>218.49</v>
      </c>
      <c r="AM793" s="2128">
        <v>63.65</v>
      </c>
      <c r="AN793" s="2128">
        <v>61.32</v>
      </c>
      <c r="AO793" s="2128">
        <v>61.32</v>
      </c>
      <c r="AP793" s="2128">
        <v>61.32</v>
      </c>
      <c r="AQ793" s="2128">
        <v>62.13</v>
      </c>
      <c r="AR793" s="2128">
        <v>62.13</v>
      </c>
      <c r="AS793" s="2128">
        <v>175.7</v>
      </c>
      <c r="AT793" s="2128">
        <v>175.7</v>
      </c>
      <c r="AU793" s="2128">
        <v>175.7</v>
      </c>
      <c r="AV793" s="2128">
        <v>180.17</v>
      </c>
      <c r="AW793" s="2128">
        <v>175.91</v>
      </c>
      <c r="AX793" s="2128">
        <v>175.91</v>
      </c>
      <c r="AY793" s="2128">
        <v>176.06</v>
      </c>
      <c r="AZ793" s="2128">
        <v>176.06</v>
      </c>
      <c r="BA793" s="2123">
        <v>75.959999999999994</v>
      </c>
      <c r="BB793" s="2123">
        <v>75.959999999999994</v>
      </c>
      <c r="BC793" s="2123">
        <v>18.420000000000002</v>
      </c>
      <c r="BD793" s="2123">
        <v>18.82</v>
      </c>
      <c r="BE793" s="2123">
        <v>22.71</v>
      </c>
      <c r="BF793" s="2123">
        <v>22.71</v>
      </c>
      <c r="BG793" s="2123">
        <v>18.47</v>
      </c>
      <c r="BH793" s="2123">
        <v>18.47</v>
      </c>
      <c r="BI793" s="2123">
        <v>18.32</v>
      </c>
      <c r="BJ793" s="2123">
        <v>18.32</v>
      </c>
      <c r="BK793" s="2123">
        <v>18.32</v>
      </c>
      <c r="BL793" s="2123">
        <v>18.32</v>
      </c>
      <c r="BM793" s="2123">
        <v>46.53</v>
      </c>
      <c r="BN793" s="2123">
        <v>46.53</v>
      </c>
      <c r="BO793" s="2123">
        <v>141.94</v>
      </c>
      <c r="BP793" s="2123">
        <v>141.94</v>
      </c>
      <c r="BQ793" s="2123">
        <v>141.94</v>
      </c>
      <c r="BR793" s="2123">
        <v>141.94</v>
      </c>
      <c r="BS793" s="2123">
        <v>176.11</v>
      </c>
      <c r="BT793" s="2123">
        <v>176.11</v>
      </c>
      <c r="BU793" s="2123">
        <v>176.11</v>
      </c>
      <c r="BV793" s="2123">
        <v>176.11</v>
      </c>
      <c r="BW793" s="2123">
        <v>176.11</v>
      </c>
      <c r="BX793" s="2123">
        <v>176.11</v>
      </c>
      <c r="BY793" s="2123">
        <v>42.26</v>
      </c>
      <c r="BZ793" s="2123">
        <v>42.26</v>
      </c>
      <c r="CA793" s="2123">
        <v>135.38</v>
      </c>
      <c r="CB793" s="2123">
        <v>135.38</v>
      </c>
      <c r="CC793" s="2123">
        <v>136.94</v>
      </c>
      <c r="CD793" s="2123">
        <v>136.94</v>
      </c>
      <c r="CE793" s="2123">
        <v>172.93</v>
      </c>
      <c r="CF793" s="2123">
        <v>172.93</v>
      </c>
      <c r="CK793" s="2123">
        <v>107.02</v>
      </c>
      <c r="CL793" s="2123">
        <v>107.02</v>
      </c>
      <c r="CM793" s="2123">
        <v>219.49</v>
      </c>
      <c r="CN793" s="2123">
        <v>219.49</v>
      </c>
      <c r="CO793" s="2123">
        <v>271.41000000000003</v>
      </c>
      <c r="CP793" s="2123">
        <v>271.41000000000003</v>
      </c>
      <c r="CQ793" s="2123">
        <v>271.41000000000003</v>
      </c>
      <c r="CR793" s="2123">
        <v>271.41000000000003</v>
      </c>
      <c r="CW793" s="2123">
        <v>98.09</v>
      </c>
      <c r="CX793" s="2123">
        <v>98.09</v>
      </c>
      <c r="CY793" s="2123">
        <v>210.24</v>
      </c>
      <c r="CZ793" s="2123">
        <v>210.24</v>
      </c>
      <c r="DA793" s="2123">
        <v>210.24</v>
      </c>
      <c r="DB793" s="2123">
        <v>210.24</v>
      </c>
      <c r="DC793" s="2123">
        <v>260.11</v>
      </c>
      <c r="DD793" s="2123">
        <v>260.11</v>
      </c>
      <c r="DE793" s="2123">
        <v>260.11</v>
      </c>
      <c r="DF793" s="2123">
        <v>260.11</v>
      </c>
      <c r="DI793" s="2123">
        <v>25.92</v>
      </c>
      <c r="DJ793" s="2123">
        <v>25.92</v>
      </c>
      <c r="DK793" s="2123">
        <v>25.92</v>
      </c>
      <c r="DL793" s="2123">
        <v>25.92</v>
      </c>
      <c r="DM793" s="2123">
        <v>25.92</v>
      </c>
      <c r="DN793" s="2123">
        <v>25.92</v>
      </c>
      <c r="DU793" s="2123">
        <v>11.58</v>
      </c>
      <c r="DV793" s="2123">
        <v>11.58</v>
      </c>
      <c r="DW793" s="2123">
        <v>10.65</v>
      </c>
      <c r="DX793" s="2123">
        <v>10.65</v>
      </c>
      <c r="DY793" s="2123">
        <v>10.65</v>
      </c>
      <c r="DZ793" s="2123">
        <v>10.65</v>
      </c>
      <c r="EG793" s="2123">
        <v>12.43</v>
      </c>
      <c r="EH793" s="2123">
        <v>12.67</v>
      </c>
      <c r="EI793" s="2123">
        <v>8.9700000000000006</v>
      </c>
      <c r="EJ793" s="2123">
        <v>8.9700000000000006</v>
      </c>
      <c r="EK793" s="2123">
        <v>8.9499999999999993</v>
      </c>
      <c r="EL793" s="2123">
        <v>8.9499999999999993</v>
      </c>
      <c r="EM793" s="2123">
        <v>9.6999999999999993</v>
      </c>
      <c r="EN793" s="2123">
        <v>9.6999999999999993</v>
      </c>
      <c r="EO793" s="2123">
        <v>9.09</v>
      </c>
      <c r="EP793" s="2123">
        <v>9.09</v>
      </c>
      <c r="EQ793" s="2123">
        <v>9.35</v>
      </c>
      <c r="ER793" s="2123">
        <v>9.3699999999999992</v>
      </c>
      <c r="ES793" s="2123">
        <v>47.41</v>
      </c>
      <c r="ET793" s="2123">
        <v>47.41</v>
      </c>
      <c r="EU793" s="2123">
        <v>192.2</v>
      </c>
      <c r="EV793" s="2123">
        <v>192.2</v>
      </c>
      <c r="EW793" s="2123">
        <v>187.42</v>
      </c>
      <c r="EX793" s="2123">
        <v>187.42</v>
      </c>
      <c r="EY793" s="2129">
        <f t="shared" si="50"/>
        <v>189.81</v>
      </c>
      <c r="EZ793" s="2129">
        <f t="shared" si="50"/>
        <v>189.81</v>
      </c>
      <c r="FA793" s="2123">
        <v>192.31</v>
      </c>
      <c r="FB793" s="2123">
        <v>192.31</v>
      </c>
      <c r="FE793" s="2123">
        <v>40.700000000000003</v>
      </c>
      <c r="FF793" s="2123">
        <v>40.700000000000003</v>
      </c>
      <c r="FG793" s="2123">
        <v>161.16999999999999</v>
      </c>
      <c r="FH793" s="2123">
        <v>161.16999999999999</v>
      </c>
      <c r="FI793" s="2123">
        <v>161.16999999999999</v>
      </c>
      <c r="FJ793" s="2123">
        <v>164.38</v>
      </c>
      <c r="FK793" s="2123">
        <v>160.34</v>
      </c>
      <c r="FL793" s="2123">
        <v>160.34</v>
      </c>
      <c r="FM793" s="2123">
        <v>161.72</v>
      </c>
      <c r="FN793" s="2123">
        <v>161.72</v>
      </c>
      <c r="FQ793" s="2123">
        <v>91.87</v>
      </c>
      <c r="FR793" s="2123">
        <v>91.87</v>
      </c>
      <c r="FS793" s="2123">
        <v>179.25</v>
      </c>
      <c r="FT793" s="2123">
        <v>179.25</v>
      </c>
      <c r="FU793" s="2123">
        <v>179.25</v>
      </c>
      <c r="FV793" s="2123">
        <v>179.25</v>
      </c>
      <c r="FW793" s="2123">
        <v>180.13</v>
      </c>
      <c r="FX793" s="2123">
        <v>180.13</v>
      </c>
      <c r="GC793" s="2123">
        <v>65.08</v>
      </c>
      <c r="GD793" s="2123">
        <v>65.08</v>
      </c>
      <c r="GE793" s="2123">
        <v>148.59</v>
      </c>
      <c r="GF793" s="2123">
        <v>148.59</v>
      </c>
      <c r="GG793" s="2123">
        <v>148.59</v>
      </c>
      <c r="GH793" s="2123">
        <v>148.59</v>
      </c>
      <c r="GI793" s="2123">
        <v>137.68</v>
      </c>
      <c r="GJ793" s="2123">
        <v>137.68</v>
      </c>
      <c r="GK793" s="2123">
        <v>170.48</v>
      </c>
      <c r="GL793" s="2123">
        <v>170.48</v>
      </c>
      <c r="GO793" s="2123">
        <v>34.83</v>
      </c>
      <c r="GP793" s="2123">
        <v>34.83</v>
      </c>
      <c r="GQ793" s="2123">
        <v>27.93</v>
      </c>
      <c r="GR793" s="2123">
        <v>27.93</v>
      </c>
      <c r="GS793" s="2123">
        <v>27.93</v>
      </c>
      <c r="GT793" s="2123">
        <v>26.86</v>
      </c>
      <c r="GU793" s="2123">
        <v>26.86</v>
      </c>
      <c r="GV793" s="2123">
        <v>27.41</v>
      </c>
      <c r="GW793" s="2123">
        <v>160.08000000000001</v>
      </c>
      <c r="GX793" s="2123">
        <v>160.08000000000001</v>
      </c>
      <c r="HA793" s="2123">
        <v>24.28</v>
      </c>
      <c r="HB793" s="2123">
        <v>24.28</v>
      </c>
      <c r="HC793" s="2123">
        <v>16.25</v>
      </c>
      <c r="HD793" s="2123">
        <v>16.25</v>
      </c>
      <c r="HE793" s="2123">
        <v>17.2</v>
      </c>
      <c r="HF793" s="2123">
        <v>17.2</v>
      </c>
      <c r="HG793" s="2123">
        <v>17.2</v>
      </c>
      <c r="HH793" s="2123">
        <v>17.2</v>
      </c>
      <c r="HI793" s="2123">
        <v>17.2</v>
      </c>
      <c r="HJ793" s="2123">
        <v>17.2</v>
      </c>
      <c r="HK793" s="2123">
        <v>17.239999999999998</v>
      </c>
      <c r="HL793" s="2123">
        <v>17.649999999999999</v>
      </c>
      <c r="HM793" s="2123">
        <v>34.03</v>
      </c>
      <c r="HN793" s="2123">
        <v>34.03</v>
      </c>
      <c r="HO793" s="2123">
        <v>23.19</v>
      </c>
      <c r="HP793" s="2123">
        <v>23.19</v>
      </c>
      <c r="HQ793" s="2123">
        <v>24.57</v>
      </c>
      <c r="HR793" s="2123">
        <v>24.57</v>
      </c>
      <c r="HS793" s="2123">
        <v>24.57</v>
      </c>
      <c r="HT793" s="2123">
        <v>24.57</v>
      </c>
      <c r="HU793" s="2123">
        <v>24.57</v>
      </c>
      <c r="HV793" s="2123">
        <v>24.57</v>
      </c>
      <c r="HW793" s="2123">
        <v>24.54</v>
      </c>
      <c r="HX793" s="2050">
        <v>24.54</v>
      </c>
    </row>
    <row r="794" spans="1:232" s="2123" customFormat="1" ht="14" hidden="1" x14ac:dyDescent="0.3">
      <c r="A794" s="2040"/>
      <c r="B794" s="2127">
        <v>45</v>
      </c>
      <c r="C794" s="2128">
        <v>38.82</v>
      </c>
      <c r="D794" s="2128">
        <v>38.82</v>
      </c>
      <c r="E794" s="2128">
        <v>39.24</v>
      </c>
      <c r="F794" s="2128">
        <v>39.24</v>
      </c>
      <c r="G794" s="2128">
        <v>145.02000000000001</v>
      </c>
      <c r="H794" s="2128">
        <v>145.02000000000001</v>
      </c>
      <c r="I794" s="2128">
        <v>134.99</v>
      </c>
      <c r="J794" s="2128">
        <v>134.99</v>
      </c>
      <c r="K794" s="2128">
        <v>143.99</v>
      </c>
      <c r="L794" s="2128">
        <v>143.99</v>
      </c>
      <c r="M794" s="2128"/>
      <c r="N794" s="2128"/>
      <c r="O794" s="2128">
        <v>121.41</v>
      </c>
      <c r="P794" s="2128">
        <v>121.41</v>
      </c>
      <c r="Q794" s="2128">
        <v>121.6</v>
      </c>
      <c r="R794" s="2128">
        <v>121.42</v>
      </c>
      <c r="S794" s="2128">
        <v>208.8</v>
      </c>
      <c r="T794" s="2128">
        <v>208.8</v>
      </c>
      <c r="U794" s="2128">
        <v>201.54</v>
      </c>
      <c r="V794" s="2128">
        <v>201.54</v>
      </c>
      <c r="W794" s="2128">
        <v>208.8</v>
      </c>
      <c r="X794" s="2128">
        <v>208.8</v>
      </c>
      <c r="Y794" s="2128">
        <v>201.54</v>
      </c>
      <c r="Z794" s="2128">
        <v>208.8</v>
      </c>
      <c r="AA794" s="2128">
        <v>208.8</v>
      </c>
      <c r="AB794" s="2128">
        <v>208.8</v>
      </c>
      <c r="AC794" s="2128">
        <v>201.54</v>
      </c>
      <c r="AD794" s="2128">
        <v>201.54</v>
      </c>
      <c r="AE794" s="2128">
        <v>226.41</v>
      </c>
      <c r="AF794" s="2128">
        <v>219.95</v>
      </c>
      <c r="AG794" s="2128">
        <v>226.41</v>
      </c>
      <c r="AH794" s="2128">
        <v>226.41</v>
      </c>
      <c r="AI794" s="2128">
        <v>219.95</v>
      </c>
      <c r="AJ794" s="2128">
        <v>219.95</v>
      </c>
      <c r="AK794" s="2128">
        <v>220.97</v>
      </c>
      <c r="AL794" s="2128">
        <v>220.97</v>
      </c>
      <c r="AM794" s="2128">
        <v>64.239999999999995</v>
      </c>
      <c r="AN794" s="2128">
        <v>61.89</v>
      </c>
      <c r="AO794" s="2128">
        <v>61.89</v>
      </c>
      <c r="AP794" s="2128">
        <v>61.89</v>
      </c>
      <c r="AQ794" s="2128">
        <v>62.68</v>
      </c>
      <c r="AR794" s="2128">
        <v>62.68</v>
      </c>
      <c r="AS794" s="2128">
        <v>177.78</v>
      </c>
      <c r="AT794" s="2128">
        <v>177.78</v>
      </c>
      <c r="AU794" s="2128">
        <v>177.78</v>
      </c>
      <c r="AV794" s="2128">
        <v>182.28</v>
      </c>
      <c r="AW794" s="2128">
        <v>178</v>
      </c>
      <c r="AX794" s="2128">
        <v>178</v>
      </c>
      <c r="AY794" s="2128">
        <v>178.16</v>
      </c>
      <c r="AZ794" s="2128">
        <v>178.16</v>
      </c>
      <c r="BA794" s="2123">
        <v>76.89</v>
      </c>
      <c r="BB794" s="2123">
        <v>76.89</v>
      </c>
      <c r="BC794" s="2123">
        <v>18.690000000000001</v>
      </c>
      <c r="BD794" s="2123">
        <v>19.079999999999998</v>
      </c>
      <c r="BE794" s="2123">
        <v>22.93</v>
      </c>
      <c r="BF794" s="2123">
        <v>22.93</v>
      </c>
      <c r="BG794" s="2123">
        <v>18.739999999999998</v>
      </c>
      <c r="BH794" s="2123">
        <v>18.739999999999998</v>
      </c>
      <c r="BI794" s="2123">
        <v>18.59</v>
      </c>
      <c r="BJ794" s="2123">
        <v>18.59</v>
      </c>
      <c r="BK794" s="2123">
        <v>18.59</v>
      </c>
      <c r="BL794" s="2123">
        <v>18.59</v>
      </c>
      <c r="BM794" s="2123">
        <v>46.96</v>
      </c>
      <c r="BN794" s="2123">
        <v>46.96</v>
      </c>
      <c r="BO794" s="2123">
        <v>143.46</v>
      </c>
      <c r="BP794" s="2123">
        <v>143.46</v>
      </c>
      <c r="BQ794" s="2123">
        <v>143.46</v>
      </c>
      <c r="BR794" s="2123">
        <v>143.46</v>
      </c>
      <c r="BS794" s="2123">
        <v>178.38</v>
      </c>
      <c r="BT794" s="2123">
        <v>178.38</v>
      </c>
      <c r="BU794" s="2123">
        <v>178.38</v>
      </c>
      <c r="BV794" s="2123">
        <v>178.38</v>
      </c>
      <c r="BW794" s="2123">
        <v>178.38</v>
      </c>
      <c r="BX794" s="2123">
        <v>178.38</v>
      </c>
      <c r="BY794" s="2123">
        <v>42.66</v>
      </c>
      <c r="BZ794" s="2123">
        <v>42.66</v>
      </c>
      <c r="CA794" s="2123">
        <v>136.87</v>
      </c>
      <c r="CB794" s="2123">
        <v>136.87</v>
      </c>
      <c r="CC794" s="2123">
        <v>138.47</v>
      </c>
      <c r="CD794" s="2123">
        <v>138.47</v>
      </c>
      <c r="CE794" s="2123">
        <v>175.2</v>
      </c>
      <c r="CF794" s="2123">
        <v>175.2</v>
      </c>
      <c r="CK794" s="2123">
        <v>107.9</v>
      </c>
      <c r="CL794" s="2123">
        <v>107.9</v>
      </c>
      <c r="CM794" s="2123">
        <v>221.16</v>
      </c>
      <c r="CN794" s="2123">
        <v>221.16</v>
      </c>
      <c r="CO794" s="2123">
        <v>274.05</v>
      </c>
      <c r="CP794" s="2123">
        <v>274.05</v>
      </c>
      <c r="CQ794" s="2123">
        <v>274.05</v>
      </c>
      <c r="CR794" s="2123">
        <v>274.05</v>
      </c>
      <c r="CW794" s="2123">
        <v>99.01</v>
      </c>
      <c r="CX794" s="2123">
        <v>99.01</v>
      </c>
      <c r="CY794" s="2123">
        <v>211.92</v>
      </c>
      <c r="CZ794" s="2123">
        <v>211.92</v>
      </c>
      <c r="DA794" s="2123">
        <v>211.92</v>
      </c>
      <c r="DB794" s="2123">
        <v>211.92</v>
      </c>
      <c r="DC794" s="2123">
        <v>262.75</v>
      </c>
      <c r="DD794" s="2123">
        <v>262.75</v>
      </c>
      <c r="DE794" s="2123">
        <v>262.75</v>
      </c>
      <c r="DF794" s="2123">
        <v>262.75</v>
      </c>
      <c r="DI794" s="2123">
        <v>26.16</v>
      </c>
      <c r="DJ794" s="2123">
        <v>26.16</v>
      </c>
      <c r="DK794" s="2123">
        <v>26.16</v>
      </c>
      <c r="DL794" s="2123">
        <v>26.16</v>
      </c>
      <c r="DM794" s="2123">
        <v>26.16</v>
      </c>
      <c r="DN794" s="2123">
        <v>26.16</v>
      </c>
      <c r="DU794" s="2123">
        <v>11.69</v>
      </c>
      <c r="DV794" s="2123">
        <v>11.69</v>
      </c>
      <c r="DW794" s="2123">
        <v>10.77</v>
      </c>
      <c r="DX794" s="2123">
        <v>10.77</v>
      </c>
      <c r="DY794" s="2123">
        <v>10.77</v>
      </c>
      <c r="DZ794" s="2123">
        <v>10.77</v>
      </c>
      <c r="EG794" s="2123">
        <v>12.55</v>
      </c>
      <c r="EH794" s="2123">
        <v>12.78</v>
      </c>
      <c r="EI794" s="2123">
        <v>9.11</v>
      </c>
      <c r="EJ794" s="2123">
        <v>9.11</v>
      </c>
      <c r="EK794" s="2123">
        <v>9.08</v>
      </c>
      <c r="EL794" s="2123">
        <v>9.08</v>
      </c>
      <c r="EM794" s="2123">
        <v>9.83</v>
      </c>
      <c r="EN794" s="2123">
        <v>9.83</v>
      </c>
      <c r="EO794" s="2123">
        <v>9.2200000000000006</v>
      </c>
      <c r="EP794" s="2123">
        <v>9.2200000000000006</v>
      </c>
      <c r="EQ794" s="2123">
        <v>9.49</v>
      </c>
      <c r="ER794" s="2123">
        <v>9.5</v>
      </c>
      <c r="ES794" s="2123">
        <v>47.85</v>
      </c>
      <c r="ET794" s="2123">
        <v>47.85</v>
      </c>
      <c r="EU794" s="2123">
        <v>194.73</v>
      </c>
      <c r="EV794" s="2123">
        <v>194.73</v>
      </c>
      <c r="EW794" s="2123">
        <v>189.92</v>
      </c>
      <c r="EX794" s="2123">
        <v>189.92</v>
      </c>
      <c r="EY794" s="2129">
        <f t="shared" si="50"/>
        <v>192.32499999999999</v>
      </c>
      <c r="EZ794" s="2129">
        <f t="shared" si="50"/>
        <v>192.32499999999999</v>
      </c>
      <c r="FA794" s="2123">
        <v>194.75</v>
      </c>
      <c r="FB794" s="2123">
        <v>194.75</v>
      </c>
      <c r="FE794" s="2123">
        <v>41.09</v>
      </c>
      <c r="FF794" s="2123">
        <v>41.09</v>
      </c>
      <c r="FG794" s="2123">
        <v>163.33000000000001</v>
      </c>
      <c r="FH794" s="2123">
        <v>163.33000000000001</v>
      </c>
      <c r="FI794" s="2123">
        <v>163.33000000000001</v>
      </c>
      <c r="FJ794" s="2123">
        <v>166.44</v>
      </c>
      <c r="FK794" s="2123">
        <v>162.52000000000001</v>
      </c>
      <c r="FL794" s="2123">
        <v>162.52000000000001</v>
      </c>
      <c r="FM794" s="2123">
        <v>163.87</v>
      </c>
      <c r="FN794" s="2123">
        <v>163.87</v>
      </c>
      <c r="FQ794" s="2123">
        <v>92.74</v>
      </c>
      <c r="FR794" s="2123">
        <v>92.74</v>
      </c>
      <c r="FS794" s="2123">
        <v>181.22</v>
      </c>
      <c r="FT794" s="2123">
        <v>181.22</v>
      </c>
      <c r="FU794" s="2123">
        <v>181.22</v>
      </c>
      <c r="FV794" s="2123">
        <v>181.22</v>
      </c>
      <c r="FW794" s="2123">
        <v>182.08</v>
      </c>
      <c r="FX794" s="2123">
        <v>182.08</v>
      </c>
      <c r="GC794" s="2123">
        <v>65.69</v>
      </c>
      <c r="GD794" s="2123">
        <v>65.69</v>
      </c>
      <c r="GE794" s="2123">
        <v>149.85</v>
      </c>
      <c r="GF794" s="2123">
        <v>149.85</v>
      </c>
      <c r="GG794" s="2123">
        <v>149.85</v>
      </c>
      <c r="GH794" s="2123">
        <v>149.85</v>
      </c>
      <c r="GI794" s="2123">
        <v>140.08000000000001</v>
      </c>
      <c r="GJ794" s="2123">
        <v>140.08000000000001</v>
      </c>
      <c r="GK794" s="2123">
        <v>172.62</v>
      </c>
      <c r="GL794" s="2123">
        <v>172.62</v>
      </c>
      <c r="GO794" s="2123">
        <v>35.159999999999997</v>
      </c>
      <c r="GP794" s="2123">
        <v>35.159999999999997</v>
      </c>
      <c r="GQ794" s="2123">
        <v>28.32</v>
      </c>
      <c r="GR794" s="2123">
        <v>28.32</v>
      </c>
      <c r="GS794" s="2123">
        <v>28.32</v>
      </c>
      <c r="GT794" s="2123">
        <v>27.23</v>
      </c>
      <c r="GU794" s="2123">
        <v>27.23</v>
      </c>
      <c r="GV794" s="2123">
        <v>27.77</v>
      </c>
      <c r="GW794" s="2123">
        <v>162.19</v>
      </c>
      <c r="GX794" s="2123">
        <v>162.19</v>
      </c>
      <c r="HA794" s="2123">
        <v>24.51</v>
      </c>
      <c r="HB794" s="2123">
        <v>24.51</v>
      </c>
      <c r="HC794" s="2123">
        <v>16.52</v>
      </c>
      <c r="HD794" s="2123">
        <v>16.52</v>
      </c>
      <c r="HE794" s="2123">
        <v>17.47</v>
      </c>
      <c r="HF794" s="2123">
        <v>17.47</v>
      </c>
      <c r="HG794" s="2123">
        <v>17.47</v>
      </c>
      <c r="HH794" s="2123">
        <v>17.47</v>
      </c>
      <c r="HI794" s="2123">
        <v>17.47</v>
      </c>
      <c r="HJ794" s="2123">
        <v>17.47</v>
      </c>
      <c r="HK794" s="2123">
        <v>17.510000000000002</v>
      </c>
      <c r="HL794" s="2123">
        <v>17.899999999999999</v>
      </c>
      <c r="HM794" s="2123">
        <v>34.35</v>
      </c>
      <c r="HN794" s="2123">
        <v>34.35</v>
      </c>
      <c r="HO794" s="2123">
        <v>23.58</v>
      </c>
      <c r="HP794" s="2123">
        <v>23.58</v>
      </c>
      <c r="HQ794" s="2123">
        <v>24.95</v>
      </c>
      <c r="HR794" s="2123">
        <v>24.95</v>
      </c>
      <c r="HS794" s="2123">
        <v>24.95</v>
      </c>
      <c r="HT794" s="2123">
        <v>24.95</v>
      </c>
      <c r="HU794" s="2123">
        <v>24.95</v>
      </c>
      <c r="HV794" s="2123">
        <v>24.95</v>
      </c>
      <c r="HW794" s="2123">
        <v>24.92</v>
      </c>
      <c r="HX794" s="2050">
        <v>24.92</v>
      </c>
    </row>
    <row r="795" spans="1:232" s="2123" customFormat="1" ht="14" hidden="1" x14ac:dyDescent="0.3">
      <c r="A795" s="2040"/>
      <c r="B795" s="2127">
        <v>46</v>
      </c>
      <c r="C795" s="2128">
        <v>39.17</v>
      </c>
      <c r="D795" s="2128">
        <v>39.17</v>
      </c>
      <c r="E795" s="2128">
        <v>39.57</v>
      </c>
      <c r="F795" s="2128">
        <v>39.57</v>
      </c>
      <c r="G795" s="2128">
        <v>146.6</v>
      </c>
      <c r="H795" s="2128">
        <v>146.6</v>
      </c>
      <c r="I795" s="2128">
        <v>136.59</v>
      </c>
      <c r="J795" s="2128">
        <v>136.59</v>
      </c>
      <c r="K795" s="2128">
        <v>145.38999999999999</v>
      </c>
      <c r="L795" s="2128">
        <v>145.38999999999999</v>
      </c>
      <c r="M795" s="2128"/>
      <c r="N795" s="2128"/>
      <c r="O795" s="2128">
        <v>122.5</v>
      </c>
      <c r="P795" s="2128">
        <v>122.5</v>
      </c>
      <c r="Q795" s="2128">
        <v>122.66</v>
      </c>
      <c r="R795" s="2128">
        <v>122.51</v>
      </c>
      <c r="S795" s="2128">
        <v>211.48</v>
      </c>
      <c r="T795" s="2128">
        <v>211.48</v>
      </c>
      <c r="U795" s="2128">
        <v>204.13</v>
      </c>
      <c r="V795" s="2128">
        <v>204.13</v>
      </c>
      <c r="W795" s="2128">
        <v>211.48</v>
      </c>
      <c r="X795" s="2128">
        <v>211.48</v>
      </c>
      <c r="Y795" s="2128">
        <v>204.13</v>
      </c>
      <c r="Z795" s="2128">
        <v>211.48</v>
      </c>
      <c r="AA795" s="2128">
        <v>211.48</v>
      </c>
      <c r="AB795" s="2128">
        <v>211.48</v>
      </c>
      <c r="AC795" s="2128">
        <v>204.13</v>
      </c>
      <c r="AD795" s="2128">
        <v>204.13</v>
      </c>
      <c r="AE795" s="2128">
        <v>228.92</v>
      </c>
      <c r="AF795" s="2128">
        <v>222.38</v>
      </c>
      <c r="AG795" s="2128">
        <v>228.92</v>
      </c>
      <c r="AH795" s="2128">
        <v>228.92</v>
      </c>
      <c r="AI795" s="2128">
        <v>222.38</v>
      </c>
      <c r="AJ795" s="2128">
        <v>222.38</v>
      </c>
      <c r="AK795" s="2128">
        <v>223.38</v>
      </c>
      <c r="AL795" s="2128">
        <v>223.38</v>
      </c>
      <c r="AM795" s="2128">
        <v>64.819999999999993</v>
      </c>
      <c r="AN795" s="2128">
        <v>62.45</v>
      </c>
      <c r="AO795" s="2128">
        <v>62.45</v>
      </c>
      <c r="AP795" s="2128">
        <v>62.45</v>
      </c>
      <c r="AQ795" s="2128">
        <v>63.21</v>
      </c>
      <c r="AR795" s="2128">
        <v>63.21</v>
      </c>
      <c r="AS795" s="2128">
        <v>179.8</v>
      </c>
      <c r="AT795" s="2128">
        <v>179.8</v>
      </c>
      <c r="AU795" s="2128">
        <v>179.8</v>
      </c>
      <c r="AV795" s="2128">
        <v>184.32</v>
      </c>
      <c r="AW795" s="2128">
        <v>180.03</v>
      </c>
      <c r="AX795" s="2128">
        <v>180.03</v>
      </c>
      <c r="AY795" s="2128">
        <v>180.18</v>
      </c>
      <c r="AZ795" s="2128">
        <v>180.18</v>
      </c>
      <c r="BA795" s="2123">
        <v>77.8</v>
      </c>
      <c r="BB795" s="2123">
        <v>77.8</v>
      </c>
      <c r="BC795" s="2123">
        <v>18.95</v>
      </c>
      <c r="BD795" s="2123">
        <v>19.32</v>
      </c>
      <c r="BE795" s="2123">
        <v>23.14</v>
      </c>
      <c r="BF795" s="2123">
        <v>23.14</v>
      </c>
      <c r="BG795" s="2123">
        <v>19</v>
      </c>
      <c r="BH795" s="2123">
        <v>19</v>
      </c>
      <c r="BI795" s="2123">
        <v>18.850000000000001</v>
      </c>
      <c r="BJ795" s="2123">
        <v>18.850000000000001</v>
      </c>
      <c r="BK795" s="2123">
        <v>18.850000000000001</v>
      </c>
      <c r="BL795" s="2123">
        <v>18.850000000000001</v>
      </c>
      <c r="BM795" s="2123">
        <v>47.38</v>
      </c>
      <c r="BN795" s="2123">
        <v>47.38</v>
      </c>
      <c r="BO795" s="2123">
        <v>144.94</v>
      </c>
      <c r="BP795" s="2123">
        <v>144.94</v>
      </c>
      <c r="BQ795" s="2123">
        <v>144.94</v>
      </c>
      <c r="BR795" s="2123">
        <v>144.94</v>
      </c>
      <c r="BS795" s="2123">
        <v>180.58</v>
      </c>
      <c r="BT795" s="2123">
        <v>180.58</v>
      </c>
      <c r="BU795" s="2123">
        <v>180.58</v>
      </c>
      <c r="BV795" s="2123">
        <v>180.58</v>
      </c>
      <c r="BW795" s="2123">
        <v>180.58</v>
      </c>
      <c r="BX795" s="2123">
        <v>180.58</v>
      </c>
      <c r="BY795" s="2123">
        <v>43.04</v>
      </c>
      <c r="BZ795" s="2123">
        <v>43.04</v>
      </c>
      <c r="CA795" s="2123">
        <v>138.31</v>
      </c>
      <c r="CB795" s="2123">
        <v>138.31</v>
      </c>
      <c r="CC795" s="2123">
        <v>139.94999999999999</v>
      </c>
      <c r="CD795" s="2123">
        <v>139.94999999999999</v>
      </c>
      <c r="CE795" s="2123">
        <v>177.41</v>
      </c>
      <c r="CF795" s="2123">
        <v>177.41</v>
      </c>
      <c r="CK795" s="2123">
        <v>108.75</v>
      </c>
      <c r="CL795" s="2123">
        <v>108.75</v>
      </c>
      <c r="CM795" s="2123">
        <v>222.78</v>
      </c>
      <c r="CN795" s="2123">
        <v>222.78</v>
      </c>
      <c r="CO795" s="2123">
        <v>276.61</v>
      </c>
      <c r="CP795" s="2123">
        <v>276.61</v>
      </c>
      <c r="CQ795" s="2123">
        <v>276.61</v>
      </c>
      <c r="CR795" s="2123">
        <v>276.61</v>
      </c>
      <c r="CW795" s="2123">
        <v>99.9</v>
      </c>
      <c r="CX795" s="2123">
        <v>99.9</v>
      </c>
      <c r="CY795" s="2123">
        <v>213.55</v>
      </c>
      <c r="CZ795" s="2123">
        <v>213.55</v>
      </c>
      <c r="DA795" s="2123">
        <v>213.55</v>
      </c>
      <c r="DB795" s="2123">
        <v>213.55</v>
      </c>
      <c r="DC795" s="2123">
        <v>265.3</v>
      </c>
      <c r="DD795" s="2123">
        <v>265.3</v>
      </c>
      <c r="DE795" s="2123">
        <v>265.3</v>
      </c>
      <c r="DF795" s="2123">
        <v>265.3</v>
      </c>
      <c r="DI795" s="2123">
        <v>26.39</v>
      </c>
      <c r="DJ795" s="2123">
        <v>26.39</v>
      </c>
      <c r="DK795" s="2123">
        <v>26.39</v>
      </c>
      <c r="DL795" s="2123">
        <v>26.39</v>
      </c>
      <c r="DM795" s="2123">
        <v>26.39</v>
      </c>
      <c r="DN795" s="2123">
        <v>26.39</v>
      </c>
      <c r="DU795" s="2123">
        <v>11.79</v>
      </c>
      <c r="DV795" s="2123">
        <v>11.79</v>
      </c>
      <c r="DW795" s="2123">
        <v>10.89</v>
      </c>
      <c r="DX795" s="2123">
        <v>10.89</v>
      </c>
      <c r="DY795" s="2123">
        <v>10.89</v>
      </c>
      <c r="DZ795" s="2123">
        <v>10.89</v>
      </c>
      <c r="EG795" s="2123">
        <v>12.65</v>
      </c>
      <c r="EH795" s="2123">
        <v>12.89</v>
      </c>
      <c r="EI795" s="2123">
        <v>9.25</v>
      </c>
      <c r="EJ795" s="2123">
        <v>9.25</v>
      </c>
      <c r="EK795" s="2123">
        <v>9.2200000000000006</v>
      </c>
      <c r="EL795" s="2123">
        <v>9.2200000000000006</v>
      </c>
      <c r="EM795" s="2123">
        <v>9.9600000000000009</v>
      </c>
      <c r="EN795" s="2123">
        <v>9.9600000000000009</v>
      </c>
      <c r="EO795" s="2123">
        <v>9.35</v>
      </c>
      <c r="EP795" s="2123">
        <v>9.35</v>
      </c>
      <c r="EQ795" s="2123">
        <v>9.6199999999999992</v>
      </c>
      <c r="ER795" s="2123">
        <v>9.6199999999999992</v>
      </c>
      <c r="ES795" s="2123">
        <v>48.28</v>
      </c>
      <c r="ET795" s="2123">
        <v>48.28</v>
      </c>
      <c r="EU795" s="2123">
        <v>197.18</v>
      </c>
      <c r="EV795" s="2123">
        <v>197.18</v>
      </c>
      <c r="EW795" s="2123">
        <v>192.34</v>
      </c>
      <c r="EX795" s="2123">
        <v>192.34</v>
      </c>
      <c r="EY795" s="2129">
        <f t="shared" si="50"/>
        <v>194.76</v>
      </c>
      <c r="EZ795" s="2129">
        <f t="shared" si="50"/>
        <v>194.76</v>
      </c>
      <c r="FA795" s="2123">
        <v>197.12</v>
      </c>
      <c r="FB795" s="2123">
        <v>197.12</v>
      </c>
      <c r="FE795" s="2123">
        <v>41.46</v>
      </c>
      <c r="FF795" s="2123">
        <v>41.46</v>
      </c>
      <c r="FG795" s="2123">
        <v>165.42</v>
      </c>
      <c r="FH795" s="2123">
        <v>165.42</v>
      </c>
      <c r="FI795" s="2123">
        <v>165.42</v>
      </c>
      <c r="FJ795" s="2123">
        <v>168.44</v>
      </c>
      <c r="FK795" s="2123">
        <v>164.63</v>
      </c>
      <c r="FL795" s="2123">
        <v>164.63</v>
      </c>
      <c r="FM795" s="2123">
        <v>165.96</v>
      </c>
      <c r="FN795" s="2123">
        <v>165.96</v>
      </c>
      <c r="FQ795" s="2123">
        <v>93.58</v>
      </c>
      <c r="FR795" s="2123">
        <v>93.58</v>
      </c>
      <c r="FS795" s="2123">
        <v>183.12</v>
      </c>
      <c r="FT795" s="2123">
        <v>183.12</v>
      </c>
      <c r="FU795" s="2123">
        <v>183.12</v>
      </c>
      <c r="FV795" s="2123">
        <v>183.12</v>
      </c>
      <c r="FW795" s="2123">
        <v>183.96</v>
      </c>
      <c r="FX795" s="2123">
        <v>183.96</v>
      </c>
      <c r="GC795" s="2123">
        <v>66.28</v>
      </c>
      <c r="GD795" s="2123">
        <v>66.28</v>
      </c>
      <c r="GE795" s="2123">
        <v>151.07</v>
      </c>
      <c r="GF795" s="2123">
        <v>151.07</v>
      </c>
      <c r="GG795" s="2123">
        <v>151.07</v>
      </c>
      <c r="GH795" s="2123">
        <v>151.07</v>
      </c>
      <c r="GI795" s="2123">
        <v>142.41999999999999</v>
      </c>
      <c r="GJ795" s="2123">
        <v>142.41999999999999</v>
      </c>
      <c r="GK795" s="2123">
        <v>174.69</v>
      </c>
      <c r="GL795" s="2123">
        <v>174.69</v>
      </c>
      <c r="GO795" s="2123">
        <v>35.479999999999997</v>
      </c>
      <c r="GP795" s="2123">
        <v>35.479999999999997</v>
      </c>
      <c r="GQ795" s="2123">
        <v>28.69</v>
      </c>
      <c r="GR795" s="2123">
        <v>28.69</v>
      </c>
      <c r="GS795" s="2123">
        <v>28.69</v>
      </c>
      <c r="GT795" s="2123">
        <v>27.59</v>
      </c>
      <c r="GU795" s="2123">
        <v>27.59</v>
      </c>
      <c r="GV795" s="2123">
        <v>28.12</v>
      </c>
      <c r="GW795" s="2123">
        <v>164.25</v>
      </c>
      <c r="GX795" s="2123">
        <v>164.25</v>
      </c>
      <c r="HA795" s="2123">
        <v>24.73</v>
      </c>
      <c r="HB795" s="2123">
        <v>24.73</v>
      </c>
      <c r="HC795" s="2123">
        <v>16.79</v>
      </c>
      <c r="HD795" s="2123">
        <v>16.79</v>
      </c>
      <c r="HE795" s="2123">
        <v>17.73</v>
      </c>
      <c r="HF795" s="2123">
        <v>17.73</v>
      </c>
      <c r="HG795" s="2123">
        <v>17.73</v>
      </c>
      <c r="HH795" s="2123">
        <v>17.73</v>
      </c>
      <c r="HI795" s="2123">
        <v>17.73</v>
      </c>
      <c r="HJ795" s="2123">
        <v>17.73</v>
      </c>
      <c r="HK795" s="2123">
        <v>17.78</v>
      </c>
      <c r="HL795" s="2123">
        <v>18.16</v>
      </c>
      <c r="HM795" s="2123">
        <v>34.65</v>
      </c>
      <c r="HN795" s="2123">
        <v>34.65</v>
      </c>
      <c r="HO795" s="2123">
        <v>23.96</v>
      </c>
      <c r="HP795" s="2123">
        <v>23.96</v>
      </c>
      <c r="HQ795" s="2123">
        <v>25.31</v>
      </c>
      <c r="HR795" s="2123">
        <v>25.31</v>
      </c>
      <c r="HS795" s="2123">
        <v>25.31</v>
      </c>
      <c r="HT795" s="2123">
        <v>25.31</v>
      </c>
      <c r="HU795" s="2123">
        <v>25.31</v>
      </c>
      <c r="HV795" s="2123">
        <v>25.31</v>
      </c>
      <c r="HW795" s="2123">
        <v>25.29</v>
      </c>
      <c r="HX795" s="2050">
        <v>25.29</v>
      </c>
    </row>
    <row r="796" spans="1:232" s="2123" customFormat="1" ht="14" hidden="1" x14ac:dyDescent="0.3">
      <c r="A796" s="2040"/>
      <c r="B796" s="2127">
        <v>47</v>
      </c>
      <c r="C796" s="2128">
        <v>39.5</v>
      </c>
      <c r="D796" s="2128">
        <v>39.5</v>
      </c>
      <c r="E796" s="2128">
        <v>39.89</v>
      </c>
      <c r="F796" s="2128">
        <v>39.89</v>
      </c>
      <c r="G796" s="2128">
        <v>148.12</v>
      </c>
      <c r="H796" s="2128">
        <v>148.12</v>
      </c>
      <c r="I796" s="2128">
        <v>138.13</v>
      </c>
      <c r="J796" s="2128">
        <v>138.13</v>
      </c>
      <c r="K796" s="2128">
        <v>146.75</v>
      </c>
      <c r="L796" s="2128">
        <v>146.75</v>
      </c>
      <c r="M796" s="2128"/>
      <c r="N796" s="2128"/>
      <c r="O796" s="2128">
        <v>123.56</v>
      </c>
      <c r="P796" s="2128">
        <v>123.56</v>
      </c>
      <c r="Q796" s="2128">
        <v>123.68</v>
      </c>
      <c r="R796" s="2128">
        <v>123.57</v>
      </c>
      <c r="S796" s="2128">
        <v>214.09</v>
      </c>
      <c r="T796" s="2128">
        <v>214.09</v>
      </c>
      <c r="U796" s="2128">
        <v>206.65</v>
      </c>
      <c r="V796" s="2128">
        <v>206.65</v>
      </c>
      <c r="W796" s="2128">
        <v>214.09</v>
      </c>
      <c r="X796" s="2128">
        <v>214.09</v>
      </c>
      <c r="Y796" s="2128">
        <v>206.65</v>
      </c>
      <c r="Z796" s="2128">
        <v>214.09</v>
      </c>
      <c r="AA796" s="2128">
        <v>214.09</v>
      </c>
      <c r="AB796" s="2128">
        <v>214.09</v>
      </c>
      <c r="AC796" s="2128">
        <v>206.65</v>
      </c>
      <c r="AD796" s="2128">
        <v>206.65</v>
      </c>
      <c r="AE796" s="2128">
        <v>231.36</v>
      </c>
      <c r="AF796" s="2128">
        <v>224.75</v>
      </c>
      <c r="AG796" s="2128">
        <v>231.36</v>
      </c>
      <c r="AH796" s="2128">
        <v>231.36</v>
      </c>
      <c r="AI796" s="2128">
        <v>224.75</v>
      </c>
      <c r="AJ796" s="2128">
        <v>224.75</v>
      </c>
      <c r="AK796" s="2128">
        <v>225.71</v>
      </c>
      <c r="AL796" s="2128">
        <v>225.71</v>
      </c>
      <c r="AM796" s="2128">
        <v>65.37</v>
      </c>
      <c r="AN796" s="2128">
        <v>62.98</v>
      </c>
      <c r="AO796" s="2128">
        <v>62.98</v>
      </c>
      <c r="AP796" s="2128">
        <v>62.98</v>
      </c>
      <c r="AQ796" s="2128">
        <v>63.72</v>
      </c>
      <c r="AR796" s="2128">
        <v>63.72</v>
      </c>
      <c r="AS796" s="2128">
        <v>181.75</v>
      </c>
      <c r="AT796" s="2128">
        <v>181.75</v>
      </c>
      <c r="AU796" s="2128">
        <v>181.75</v>
      </c>
      <c r="AV796" s="2128">
        <v>186.29</v>
      </c>
      <c r="AW796" s="2128">
        <v>181.99</v>
      </c>
      <c r="AX796" s="2128">
        <v>181.99</v>
      </c>
      <c r="AY796" s="2128">
        <v>182.14</v>
      </c>
      <c r="AZ796" s="2128">
        <v>182.14</v>
      </c>
      <c r="BA796" s="2123">
        <v>78.67</v>
      </c>
      <c r="BB796" s="2123">
        <v>78.67</v>
      </c>
      <c r="BC796" s="2123">
        <v>19.2</v>
      </c>
      <c r="BD796" s="2123">
        <v>19.57</v>
      </c>
      <c r="BE796" s="2123">
        <v>23.35</v>
      </c>
      <c r="BF796" s="2123">
        <v>23.35</v>
      </c>
      <c r="BG796" s="2123">
        <v>19.25</v>
      </c>
      <c r="BH796" s="2123">
        <v>19.25</v>
      </c>
      <c r="BI796" s="2123">
        <v>19.100000000000001</v>
      </c>
      <c r="BJ796" s="2123">
        <v>19.100000000000001</v>
      </c>
      <c r="BK796" s="2123">
        <v>19.100000000000001</v>
      </c>
      <c r="BL796" s="2123">
        <v>19.100000000000001</v>
      </c>
      <c r="BM796" s="2123">
        <v>47.79</v>
      </c>
      <c r="BN796" s="2123">
        <v>47.79</v>
      </c>
      <c r="BO796" s="2123">
        <v>146.37</v>
      </c>
      <c r="BP796" s="2123">
        <v>146.37</v>
      </c>
      <c r="BQ796" s="2123">
        <v>146.37</v>
      </c>
      <c r="BR796" s="2123">
        <v>146.37</v>
      </c>
      <c r="BS796" s="2123">
        <v>182.72</v>
      </c>
      <c r="BT796" s="2123">
        <v>182.72</v>
      </c>
      <c r="BU796" s="2123">
        <v>182.72</v>
      </c>
      <c r="BV796" s="2123">
        <v>182.72</v>
      </c>
      <c r="BW796" s="2123">
        <v>182.72</v>
      </c>
      <c r="BX796" s="2123">
        <v>182.72</v>
      </c>
      <c r="BY796" s="2123">
        <v>43.41</v>
      </c>
      <c r="BZ796" s="2123">
        <v>43.41</v>
      </c>
      <c r="CA796" s="2123">
        <v>139.69999999999999</v>
      </c>
      <c r="CB796" s="2123">
        <v>139.69999999999999</v>
      </c>
      <c r="CC796" s="2123">
        <v>141.38999999999999</v>
      </c>
      <c r="CD796" s="2123">
        <v>141.38999999999999</v>
      </c>
      <c r="CE796" s="2123">
        <v>179.55</v>
      </c>
      <c r="CF796" s="2123">
        <v>179.55</v>
      </c>
      <c r="CK796" s="2123">
        <v>109.58</v>
      </c>
      <c r="CL796" s="2123">
        <v>109.58</v>
      </c>
      <c r="CM796" s="2123">
        <v>224.33</v>
      </c>
      <c r="CN796" s="2123">
        <v>224.33</v>
      </c>
      <c r="CO796" s="2123">
        <v>279.08</v>
      </c>
      <c r="CP796" s="2123">
        <v>279.08</v>
      </c>
      <c r="CQ796" s="2123">
        <v>279.08</v>
      </c>
      <c r="CR796" s="2123">
        <v>279.08</v>
      </c>
      <c r="CW796" s="2123">
        <v>100.76</v>
      </c>
      <c r="CX796" s="2123">
        <v>100.76</v>
      </c>
      <c r="CY796" s="2123">
        <v>215.12</v>
      </c>
      <c r="CZ796" s="2123">
        <v>215.12</v>
      </c>
      <c r="DA796" s="2123">
        <v>215.12</v>
      </c>
      <c r="DB796" s="2123">
        <v>215.12</v>
      </c>
      <c r="DC796" s="2123">
        <v>267.77</v>
      </c>
      <c r="DD796" s="2123">
        <v>267.77</v>
      </c>
      <c r="DE796" s="2123">
        <v>267.77</v>
      </c>
      <c r="DF796" s="2123">
        <v>267.77</v>
      </c>
      <c r="DI796" s="2123">
        <v>26.62</v>
      </c>
      <c r="DJ796" s="2123">
        <v>26.62</v>
      </c>
      <c r="DK796" s="2123">
        <v>26.62</v>
      </c>
      <c r="DL796" s="2123">
        <v>26.62</v>
      </c>
      <c r="DM796" s="2123">
        <v>26.62</v>
      </c>
      <c r="DN796" s="2123">
        <v>26.62</v>
      </c>
      <c r="DU796" s="2123">
        <v>11.89</v>
      </c>
      <c r="DV796" s="2123">
        <v>11.89</v>
      </c>
      <c r="DW796" s="2123">
        <v>11</v>
      </c>
      <c r="DX796" s="2123">
        <v>11</v>
      </c>
      <c r="DY796" s="2123">
        <v>11</v>
      </c>
      <c r="DZ796" s="2123">
        <v>11</v>
      </c>
      <c r="EG796" s="2123">
        <v>12.76</v>
      </c>
      <c r="EH796" s="2123">
        <v>12.99</v>
      </c>
      <c r="EI796" s="2123">
        <v>9.3800000000000008</v>
      </c>
      <c r="EJ796" s="2123">
        <v>9.3800000000000008</v>
      </c>
      <c r="EK796" s="2123">
        <v>9.35</v>
      </c>
      <c r="EL796" s="2123">
        <v>9.35</v>
      </c>
      <c r="EM796" s="2123">
        <v>10.09</v>
      </c>
      <c r="EN796" s="2123">
        <v>10.09</v>
      </c>
      <c r="EO796" s="2123">
        <v>9.4700000000000006</v>
      </c>
      <c r="EP796" s="2123">
        <v>9.4700000000000006</v>
      </c>
      <c r="EQ796" s="2123">
        <v>9.75</v>
      </c>
      <c r="ER796" s="2123">
        <v>9.75</v>
      </c>
      <c r="ES796" s="2123">
        <v>48.7</v>
      </c>
      <c r="ET796" s="2123">
        <v>48.7</v>
      </c>
      <c r="EU796" s="2123">
        <v>199.55</v>
      </c>
      <c r="EV796" s="2123">
        <v>199.55</v>
      </c>
      <c r="EW796" s="2123">
        <v>194.69</v>
      </c>
      <c r="EX796" s="2123">
        <v>194.69</v>
      </c>
      <c r="EY796" s="2129">
        <f t="shared" si="50"/>
        <v>197.12</v>
      </c>
      <c r="EZ796" s="2129">
        <f t="shared" si="50"/>
        <v>197.12</v>
      </c>
      <c r="FA796" s="2123">
        <v>199.41</v>
      </c>
      <c r="FB796" s="2123">
        <v>199.41</v>
      </c>
      <c r="FE796" s="2123">
        <v>41.82</v>
      </c>
      <c r="FF796" s="2123">
        <v>41.82</v>
      </c>
      <c r="FG796" s="2123">
        <v>167.45</v>
      </c>
      <c r="FH796" s="2123">
        <v>167.45</v>
      </c>
      <c r="FI796" s="2123">
        <v>167.45</v>
      </c>
      <c r="FJ796" s="2123">
        <v>170.39</v>
      </c>
      <c r="FK796" s="2123">
        <v>166.68</v>
      </c>
      <c r="FL796" s="2123">
        <v>166.68</v>
      </c>
      <c r="FM796" s="2123">
        <v>167.99</v>
      </c>
      <c r="FN796" s="2123">
        <v>167.99</v>
      </c>
      <c r="FQ796" s="2123">
        <v>94.4</v>
      </c>
      <c r="FR796" s="2123">
        <v>94.4</v>
      </c>
      <c r="FS796" s="2123">
        <v>184.96</v>
      </c>
      <c r="FT796" s="2123">
        <v>184.96</v>
      </c>
      <c r="FU796" s="2123">
        <v>184.96</v>
      </c>
      <c r="FV796" s="2123">
        <v>184.96</v>
      </c>
      <c r="FW796" s="2123">
        <v>185.78</v>
      </c>
      <c r="FX796" s="2123">
        <v>185.78</v>
      </c>
      <c r="GC796" s="2123">
        <v>66.849999999999994</v>
      </c>
      <c r="GD796" s="2123">
        <v>66.849999999999994</v>
      </c>
      <c r="GE796" s="2123">
        <v>152.25</v>
      </c>
      <c r="GF796" s="2123">
        <v>152.25</v>
      </c>
      <c r="GG796" s="2123">
        <v>152.25</v>
      </c>
      <c r="GH796" s="2123">
        <v>152.25</v>
      </c>
      <c r="GI796" s="2123">
        <v>144.69</v>
      </c>
      <c r="GJ796" s="2123">
        <v>144.69</v>
      </c>
      <c r="GK796" s="2123">
        <v>176.7</v>
      </c>
      <c r="GL796" s="2123">
        <v>176.7</v>
      </c>
      <c r="GO796" s="2123">
        <v>35.78</v>
      </c>
      <c r="GP796" s="2123">
        <v>35.78</v>
      </c>
      <c r="GQ796" s="2123">
        <v>29.05</v>
      </c>
      <c r="GR796" s="2123">
        <v>29.05</v>
      </c>
      <c r="GS796" s="2123">
        <v>29.05</v>
      </c>
      <c r="GT796" s="2123">
        <v>27.94</v>
      </c>
      <c r="GU796" s="2123">
        <v>27.94</v>
      </c>
      <c r="GV796" s="2123">
        <v>28.45</v>
      </c>
      <c r="GW796" s="2123">
        <v>166.24</v>
      </c>
      <c r="GX796" s="2123">
        <v>166.24</v>
      </c>
      <c r="HA796" s="2123">
        <v>24.94</v>
      </c>
      <c r="HB796" s="2123">
        <v>24.94</v>
      </c>
      <c r="HC796" s="2123">
        <v>17.05</v>
      </c>
      <c r="HD796" s="2123">
        <v>17.05</v>
      </c>
      <c r="HE796" s="2123">
        <v>17.98</v>
      </c>
      <c r="HF796" s="2123">
        <v>17.98</v>
      </c>
      <c r="HG796" s="2123">
        <v>17.98</v>
      </c>
      <c r="HH796" s="2123">
        <v>17.98</v>
      </c>
      <c r="HI796" s="2123">
        <v>17.98</v>
      </c>
      <c r="HJ796" s="2123">
        <v>17.98</v>
      </c>
      <c r="HK796" s="2123">
        <v>18.03</v>
      </c>
      <c r="HL796" s="2123">
        <v>18.399999999999999</v>
      </c>
      <c r="HM796" s="2123">
        <v>34.950000000000003</v>
      </c>
      <c r="HN796" s="2123">
        <v>34.950000000000003</v>
      </c>
      <c r="HO796" s="2123">
        <v>24.32</v>
      </c>
      <c r="HP796" s="2123">
        <v>24.32</v>
      </c>
      <c r="HQ796" s="2123">
        <v>25.66</v>
      </c>
      <c r="HR796" s="2123">
        <v>25.66</v>
      </c>
      <c r="HS796" s="2123">
        <v>25.66</v>
      </c>
      <c r="HT796" s="2123">
        <v>25.66</v>
      </c>
      <c r="HU796" s="2123">
        <v>25.66</v>
      </c>
      <c r="HV796" s="2123">
        <v>25.66</v>
      </c>
      <c r="HW796" s="2123">
        <v>25.64</v>
      </c>
      <c r="HX796" s="2050">
        <v>25.64</v>
      </c>
    </row>
    <row r="797" spans="1:232" s="2123" customFormat="1" ht="14" hidden="1" x14ac:dyDescent="0.3">
      <c r="A797" s="2040"/>
      <c r="B797" s="2127">
        <v>48</v>
      </c>
      <c r="C797" s="2128">
        <v>39.83</v>
      </c>
      <c r="D797" s="2128">
        <v>39.83</v>
      </c>
      <c r="E797" s="2128">
        <v>40.200000000000003</v>
      </c>
      <c r="F797" s="2128">
        <v>40.200000000000003</v>
      </c>
      <c r="G797" s="2128">
        <v>149.61000000000001</v>
      </c>
      <c r="H797" s="2128">
        <v>149.61000000000001</v>
      </c>
      <c r="I797" s="2128">
        <v>139.63999999999999</v>
      </c>
      <c r="J797" s="2128">
        <v>139.63999999999999</v>
      </c>
      <c r="K797" s="2128">
        <v>148.07</v>
      </c>
      <c r="L797" s="2128">
        <v>148.07</v>
      </c>
      <c r="M797" s="2128"/>
      <c r="N797" s="2128"/>
      <c r="O797" s="2128">
        <v>124.58</v>
      </c>
      <c r="P797" s="2128">
        <v>124.58</v>
      </c>
      <c r="Q797" s="2128">
        <v>124.67</v>
      </c>
      <c r="R797" s="2128">
        <v>124.59</v>
      </c>
      <c r="S797" s="2128">
        <v>216.62</v>
      </c>
      <c r="T797" s="2128">
        <v>216.62</v>
      </c>
      <c r="U797" s="2128">
        <v>209.09</v>
      </c>
      <c r="V797" s="2128">
        <v>209.09</v>
      </c>
      <c r="W797" s="2128">
        <v>216.62</v>
      </c>
      <c r="X797" s="2128">
        <v>216.62</v>
      </c>
      <c r="Y797" s="2128">
        <v>209.09</v>
      </c>
      <c r="Z797" s="2128">
        <v>216.62</v>
      </c>
      <c r="AA797" s="2128">
        <v>216.62</v>
      </c>
      <c r="AB797" s="2128">
        <v>216.62</v>
      </c>
      <c r="AC797" s="2128">
        <v>209.09</v>
      </c>
      <c r="AD797" s="2128">
        <v>209.09</v>
      </c>
      <c r="AE797" s="2128">
        <v>233.72</v>
      </c>
      <c r="AF797" s="2128">
        <v>227.03</v>
      </c>
      <c r="AG797" s="2128">
        <v>233.72</v>
      </c>
      <c r="AH797" s="2128">
        <v>233.72</v>
      </c>
      <c r="AI797" s="2128">
        <v>227.03</v>
      </c>
      <c r="AJ797" s="2128">
        <v>227.03</v>
      </c>
      <c r="AK797" s="2128">
        <v>227.96</v>
      </c>
      <c r="AL797" s="2128">
        <v>227.96</v>
      </c>
      <c r="AM797" s="2128">
        <v>65.91</v>
      </c>
      <c r="AN797" s="2128">
        <v>63.5</v>
      </c>
      <c r="AO797" s="2128">
        <v>63.5</v>
      </c>
      <c r="AP797" s="2128">
        <v>63.5</v>
      </c>
      <c r="AQ797" s="2128">
        <v>64.209999999999994</v>
      </c>
      <c r="AR797" s="2128">
        <v>64.209999999999994</v>
      </c>
      <c r="AS797" s="2128">
        <v>183.65</v>
      </c>
      <c r="AT797" s="2128">
        <v>183.65</v>
      </c>
      <c r="AU797" s="2128">
        <v>183.65</v>
      </c>
      <c r="AV797" s="2128">
        <v>188.2</v>
      </c>
      <c r="AW797" s="2128">
        <v>183.89</v>
      </c>
      <c r="AX797" s="2128">
        <v>183.89</v>
      </c>
      <c r="AY797" s="2128">
        <v>184.04</v>
      </c>
      <c r="AZ797" s="2128">
        <v>184.04</v>
      </c>
      <c r="BA797" s="2123">
        <v>79.52</v>
      </c>
      <c r="BB797" s="2123">
        <v>79.52</v>
      </c>
      <c r="BC797" s="2123">
        <v>19.45</v>
      </c>
      <c r="BD797" s="2123">
        <v>19.8</v>
      </c>
      <c r="BE797" s="2123">
        <v>23.55</v>
      </c>
      <c r="BF797" s="2123">
        <v>23.55</v>
      </c>
      <c r="BG797" s="2123">
        <v>19.5</v>
      </c>
      <c r="BH797" s="2123">
        <v>19.5</v>
      </c>
      <c r="BI797" s="2123">
        <v>19.34</v>
      </c>
      <c r="BJ797" s="2123">
        <v>19.34</v>
      </c>
      <c r="BK797" s="2123">
        <v>19.34</v>
      </c>
      <c r="BL797" s="2123">
        <v>19.34</v>
      </c>
      <c r="BM797" s="2123">
        <v>48.18</v>
      </c>
      <c r="BN797" s="2123">
        <v>48.18</v>
      </c>
      <c r="BO797" s="2123">
        <v>147.76</v>
      </c>
      <c r="BP797" s="2123">
        <v>147.76</v>
      </c>
      <c r="BQ797" s="2123">
        <v>147.76</v>
      </c>
      <c r="BR797" s="2123">
        <v>147.76</v>
      </c>
      <c r="BS797" s="2123">
        <v>184.8</v>
      </c>
      <c r="BT797" s="2123">
        <v>184.8</v>
      </c>
      <c r="BU797" s="2123">
        <v>184.8</v>
      </c>
      <c r="BV797" s="2123">
        <v>184.8</v>
      </c>
      <c r="BW797" s="2123">
        <v>184.8</v>
      </c>
      <c r="BX797" s="2123">
        <v>184.8</v>
      </c>
      <c r="BY797" s="2123">
        <v>43.77</v>
      </c>
      <c r="BZ797" s="2123">
        <v>43.77</v>
      </c>
      <c r="CA797" s="2123">
        <v>141.05000000000001</v>
      </c>
      <c r="CB797" s="2123">
        <v>141.05000000000001</v>
      </c>
      <c r="CC797" s="2123">
        <v>142.78</v>
      </c>
      <c r="CD797" s="2123">
        <v>142.78</v>
      </c>
      <c r="CE797" s="2123">
        <v>181.62</v>
      </c>
      <c r="CF797" s="2123">
        <v>181.62</v>
      </c>
      <c r="CK797" s="2123">
        <v>110.38</v>
      </c>
      <c r="CL797" s="2123">
        <v>110.38</v>
      </c>
      <c r="CM797" s="2123">
        <v>225.84</v>
      </c>
      <c r="CN797" s="2123">
        <v>225.84</v>
      </c>
      <c r="CO797" s="2123">
        <v>281.47000000000003</v>
      </c>
      <c r="CP797" s="2123">
        <v>281.47000000000003</v>
      </c>
      <c r="CQ797" s="2123">
        <v>281.47000000000003</v>
      </c>
      <c r="CR797" s="2123">
        <v>281.47000000000003</v>
      </c>
      <c r="CW797" s="2123">
        <v>101.59</v>
      </c>
      <c r="CX797" s="2123">
        <v>101.59</v>
      </c>
      <c r="CY797" s="2123">
        <v>216.64</v>
      </c>
      <c r="CZ797" s="2123">
        <v>216.64</v>
      </c>
      <c r="DA797" s="2123">
        <v>216.64</v>
      </c>
      <c r="DB797" s="2123">
        <v>216.64</v>
      </c>
      <c r="DC797" s="2123">
        <v>270.14999999999998</v>
      </c>
      <c r="DD797" s="2123">
        <v>270.14999999999998</v>
      </c>
      <c r="DE797" s="2123">
        <v>270.14999999999998</v>
      </c>
      <c r="DF797" s="2123">
        <v>270.14999999999998</v>
      </c>
      <c r="DI797" s="2123">
        <v>26.84</v>
      </c>
      <c r="DJ797" s="2123">
        <v>26.84</v>
      </c>
      <c r="DK797" s="2123">
        <v>26.84</v>
      </c>
      <c r="DL797" s="2123">
        <v>26.84</v>
      </c>
      <c r="DM797" s="2123">
        <v>26.84</v>
      </c>
      <c r="DN797" s="2123">
        <v>26.84</v>
      </c>
      <c r="DU797" s="2123">
        <v>11.99</v>
      </c>
      <c r="DV797" s="2123">
        <v>11.99</v>
      </c>
      <c r="DW797" s="2123">
        <v>11.12</v>
      </c>
      <c r="DX797" s="2123">
        <v>11.12</v>
      </c>
      <c r="DY797" s="2123">
        <v>11.12</v>
      </c>
      <c r="DZ797" s="2123">
        <v>11.12</v>
      </c>
      <c r="EG797" s="2123">
        <v>12.86</v>
      </c>
      <c r="EH797" s="2123">
        <v>13.09</v>
      </c>
      <c r="EI797" s="2123">
        <v>9.5</v>
      </c>
      <c r="EJ797" s="2123">
        <v>9.5</v>
      </c>
      <c r="EK797" s="2123">
        <v>9.48</v>
      </c>
      <c r="EL797" s="2123">
        <v>9.48</v>
      </c>
      <c r="EM797" s="2123">
        <v>10.210000000000001</v>
      </c>
      <c r="EN797" s="2123">
        <v>10.210000000000001</v>
      </c>
      <c r="EO797" s="2123">
        <v>9.59</v>
      </c>
      <c r="EP797" s="2123">
        <v>9.59</v>
      </c>
      <c r="EQ797" s="2123">
        <v>9.8699999999999992</v>
      </c>
      <c r="ER797" s="2123">
        <v>9.86</v>
      </c>
      <c r="ES797" s="2123">
        <v>49.1</v>
      </c>
      <c r="ET797" s="2123">
        <v>49.1</v>
      </c>
      <c r="EU797" s="2123">
        <v>201.86</v>
      </c>
      <c r="EV797" s="2123">
        <v>201.86</v>
      </c>
      <c r="EW797" s="2123">
        <v>196.98</v>
      </c>
      <c r="EX797" s="2123">
        <v>196.98</v>
      </c>
      <c r="EY797" s="2129">
        <f t="shared" si="50"/>
        <v>199.42000000000002</v>
      </c>
      <c r="EZ797" s="2129">
        <f t="shared" si="50"/>
        <v>199.42000000000002</v>
      </c>
      <c r="FA797" s="2123">
        <v>201.63</v>
      </c>
      <c r="FB797" s="2123">
        <v>201.63</v>
      </c>
      <c r="FE797" s="2123">
        <v>42.17</v>
      </c>
      <c r="FF797" s="2123">
        <v>42.17</v>
      </c>
      <c r="FG797" s="2123">
        <v>169.42</v>
      </c>
      <c r="FH797" s="2123">
        <v>169.42</v>
      </c>
      <c r="FI797" s="2123">
        <v>169.42</v>
      </c>
      <c r="FJ797" s="2123">
        <v>172.27</v>
      </c>
      <c r="FK797" s="2123">
        <v>168.67</v>
      </c>
      <c r="FL797" s="2123">
        <v>168.67</v>
      </c>
      <c r="FM797" s="2123">
        <v>169.95</v>
      </c>
      <c r="FN797" s="2123">
        <v>169.95</v>
      </c>
      <c r="FQ797" s="2123">
        <v>95.19</v>
      </c>
      <c r="FR797" s="2123">
        <v>95.19</v>
      </c>
      <c r="FS797" s="2123">
        <v>186.74</v>
      </c>
      <c r="FT797" s="2123">
        <v>186.74</v>
      </c>
      <c r="FU797" s="2123">
        <v>186.74</v>
      </c>
      <c r="FV797" s="2123">
        <v>186.74</v>
      </c>
      <c r="FW797" s="2123">
        <v>187.55</v>
      </c>
      <c r="FX797" s="2123">
        <v>187.55</v>
      </c>
      <c r="GC797" s="2123">
        <v>67.400000000000006</v>
      </c>
      <c r="GD797" s="2123">
        <v>67.400000000000006</v>
      </c>
      <c r="GE797" s="2123">
        <v>153.38999999999999</v>
      </c>
      <c r="GF797" s="2123">
        <v>153.38999999999999</v>
      </c>
      <c r="GG797" s="2123">
        <v>153.38999999999999</v>
      </c>
      <c r="GH797" s="2123">
        <v>153.38999999999999</v>
      </c>
      <c r="GI797" s="2123">
        <v>146.91</v>
      </c>
      <c r="GJ797" s="2123">
        <v>146.91</v>
      </c>
      <c r="GK797" s="2123">
        <v>178.65</v>
      </c>
      <c r="GL797" s="2123">
        <v>178.65</v>
      </c>
      <c r="GO797" s="2123">
        <v>36.08</v>
      </c>
      <c r="GP797" s="2123">
        <v>36.08</v>
      </c>
      <c r="GQ797" s="2123">
        <v>29.4</v>
      </c>
      <c r="GR797" s="2123">
        <v>29.4</v>
      </c>
      <c r="GS797" s="2123">
        <v>29.4</v>
      </c>
      <c r="GT797" s="2123">
        <v>28.29</v>
      </c>
      <c r="GU797" s="2123">
        <v>28.29</v>
      </c>
      <c r="GV797" s="2123">
        <v>28.78</v>
      </c>
      <c r="GW797" s="2123">
        <v>168.18</v>
      </c>
      <c r="GX797" s="2123">
        <v>168.18</v>
      </c>
      <c r="HA797" s="2123">
        <v>25.14</v>
      </c>
      <c r="HB797" s="2123">
        <v>25.14</v>
      </c>
      <c r="HC797" s="2123">
        <v>17.309999999999999</v>
      </c>
      <c r="HD797" s="2123">
        <v>17.309999999999999</v>
      </c>
      <c r="HE797" s="2123">
        <v>18.23</v>
      </c>
      <c r="HF797" s="2123">
        <v>18.23</v>
      </c>
      <c r="HG797" s="2123">
        <v>18.23</v>
      </c>
      <c r="HH797" s="2123">
        <v>18.23</v>
      </c>
      <c r="HI797" s="2123">
        <v>18.23</v>
      </c>
      <c r="HJ797" s="2123">
        <v>18.23</v>
      </c>
      <c r="HK797" s="2123">
        <v>18.28</v>
      </c>
      <c r="HL797" s="2123">
        <v>18.64</v>
      </c>
      <c r="HM797" s="2123">
        <v>35.24</v>
      </c>
      <c r="HN797" s="2123">
        <v>35.24</v>
      </c>
      <c r="HO797" s="2123">
        <v>24.68</v>
      </c>
      <c r="HP797" s="2123">
        <v>24.68</v>
      </c>
      <c r="HQ797" s="2123">
        <v>26</v>
      </c>
      <c r="HR797" s="2123">
        <v>26</v>
      </c>
      <c r="HS797" s="2123">
        <v>26</v>
      </c>
      <c r="HT797" s="2123">
        <v>26</v>
      </c>
      <c r="HU797" s="2123">
        <v>26</v>
      </c>
      <c r="HV797" s="2123">
        <v>26</v>
      </c>
      <c r="HW797" s="2123">
        <v>25.99</v>
      </c>
      <c r="HX797" s="2050">
        <v>25.99</v>
      </c>
    </row>
    <row r="798" spans="1:232" s="2123" customFormat="1" ht="14" hidden="1" x14ac:dyDescent="0.3">
      <c r="A798" s="2040"/>
      <c r="B798" s="2127">
        <v>49</v>
      </c>
      <c r="C798" s="2128">
        <v>40.14</v>
      </c>
      <c r="D798" s="2128">
        <v>40.14</v>
      </c>
      <c r="E798" s="2128">
        <v>40.49</v>
      </c>
      <c r="F798" s="2128">
        <v>40.49</v>
      </c>
      <c r="G798" s="2128">
        <v>151.04</v>
      </c>
      <c r="H798" s="2128">
        <v>151.04</v>
      </c>
      <c r="I798" s="2128">
        <v>141.1</v>
      </c>
      <c r="J798" s="2128">
        <v>141.1</v>
      </c>
      <c r="K798" s="2128">
        <v>149.34</v>
      </c>
      <c r="L798" s="2128">
        <v>149.34</v>
      </c>
      <c r="M798" s="2128"/>
      <c r="N798" s="2128"/>
      <c r="O798" s="2128">
        <v>125.57</v>
      </c>
      <c r="P798" s="2128">
        <v>125.57</v>
      </c>
      <c r="Q798" s="2128">
        <v>125.62</v>
      </c>
      <c r="R798" s="2128">
        <v>125.58</v>
      </c>
      <c r="S798" s="2128">
        <v>219.07</v>
      </c>
      <c r="T798" s="2128">
        <v>219.07</v>
      </c>
      <c r="U798" s="2128">
        <v>211.46</v>
      </c>
      <c r="V798" s="2128">
        <v>211.46</v>
      </c>
      <c r="W798" s="2128">
        <v>219.07</v>
      </c>
      <c r="X798" s="2128">
        <v>219.07</v>
      </c>
      <c r="Y798" s="2128">
        <v>211.46</v>
      </c>
      <c r="Z798" s="2128">
        <v>219.07</v>
      </c>
      <c r="AA798" s="2128">
        <v>219.07</v>
      </c>
      <c r="AB798" s="2128">
        <v>219.07</v>
      </c>
      <c r="AC798" s="2128">
        <v>211.46</v>
      </c>
      <c r="AD798" s="2128">
        <v>211.46</v>
      </c>
      <c r="AE798" s="2128">
        <v>236</v>
      </c>
      <c r="AF798" s="2128">
        <v>229.25</v>
      </c>
      <c r="AG798" s="2128">
        <v>236</v>
      </c>
      <c r="AH798" s="2128">
        <v>236</v>
      </c>
      <c r="AI798" s="2128">
        <v>229.25</v>
      </c>
      <c r="AJ798" s="2128">
        <v>229.25</v>
      </c>
      <c r="AK798" s="2128">
        <v>230.15</v>
      </c>
      <c r="AL798" s="2128">
        <v>230.15</v>
      </c>
      <c r="AM798" s="2128">
        <v>66.430000000000007</v>
      </c>
      <c r="AN798" s="2128">
        <v>64</v>
      </c>
      <c r="AO798" s="2128">
        <v>64</v>
      </c>
      <c r="AP798" s="2128">
        <v>64</v>
      </c>
      <c r="AQ798" s="2128">
        <v>64.69</v>
      </c>
      <c r="AR798" s="2128">
        <v>64.69</v>
      </c>
      <c r="AS798" s="2128">
        <v>185.49</v>
      </c>
      <c r="AT798" s="2128">
        <v>185.49</v>
      </c>
      <c r="AU798" s="2128">
        <v>185.49</v>
      </c>
      <c r="AV798" s="2128">
        <v>190.06</v>
      </c>
      <c r="AW798" s="2128">
        <v>185.74</v>
      </c>
      <c r="AX798" s="2128">
        <v>185.74</v>
      </c>
      <c r="AY798" s="2128">
        <v>185.88</v>
      </c>
      <c r="AZ798" s="2128">
        <v>185.88</v>
      </c>
      <c r="BA798" s="2123">
        <v>80.349999999999994</v>
      </c>
      <c r="BB798" s="2123">
        <v>80.349999999999994</v>
      </c>
      <c r="BC798" s="2123">
        <v>19.68</v>
      </c>
      <c r="BD798" s="2123">
        <v>20.03</v>
      </c>
      <c r="BE798" s="2123">
        <v>23.74</v>
      </c>
      <c r="BF798" s="2123">
        <v>23.74</v>
      </c>
      <c r="BG798" s="2123">
        <v>19.739999999999998</v>
      </c>
      <c r="BH798" s="2123">
        <v>19.739999999999998</v>
      </c>
      <c r="BI798" s="2123">
        <v>19.579999999999998</v>
      </c>
      <c r="BJ798" s="2123">
        <v>19.579999999999998</v>
      </c>
      <c r="BK798" s="2123">
        <v>19.579999999999998</v>
      </c>
      <c r="BL798" s="2123">
        <v>19.579999999999998</v>
      </c>
      <c r="BM798" s="2123">
        <v>48.56</v>
      </c>
      <c r="BN798" s="2123">
        <v>48.56</v>
      </c>
      <c r="BO798" s="2123">
        <v>149.1</v>
      </c>
      <c r="BP798" s="2123">
        <v>149.1</v>
      </c>
      <c r="BQ798" s="2123">
        <v>149.1</v>
      </c>
      <c r="BR798" s="2123">
        <v>149.1</v>
      </c>
      <c r="BS798" s="2123">
        <v>186.81</v>
      </c>
      <c r="BT798" s="2123">
        <v>186.81</v>
      </c>
      <c r="BU798" s="2123">
        <v>186.81</v>
      </c>
      <c r="BV798" s="2123">
        <v>186.81</v>
      </c>
      <c r="BW798" s="2123">
        <v>186.81</v>
      </c>
      <c r="BX798" s="2123">
        <v>186.81</v>
      </c>
      <c r="BY798" s="2123">
        <v>44.11</v>
      </c>
      <c r="BZ798" s="2123">
        <v>44.11</v>
      </c>
      <c r="CA798" s="2123">
        <v>142.35</v>
      </c>
      <c r="CB798" s="2123">
        <v>142.35</v>
      </c>
      <c r="CC798" s="2123">
        <v>144.13</v>
      </c>
      <c r="CD798" s="2123">
        <v>144.13</v>
      </c>
      <c r="CE798" s="2123">
        <v>183.63</v>
      </c>
      <c r="CF798" s="2123">
        <v>183.63</v>
      </c>
      <c r="CK798" s="2123">
        <v>111.16</v>
      </c>
      <c r="CL798" s="2123">
        <v>111.16</v>
      </c>
      <c r="CM798" s="2123">
        <v>227.29</v>
      </c>
      <c r="CN798" s="2123">
        <v>227.29</v>
      </c>
      <c r="CO798" s="2123">
        <v>283.77999999999997</v>
      </c>
      <c r="CP798" s="2123">
        <v>283.77999999999997</v>
      </c>
      <c r="CQ798" s="2123">
        <v>283.77999999999997</v>
      </c>
      <c r="CR798" s="2123">
        <v>283.77999999999997</v>
      </c>
      <c r="CW798" s="2123">
        <v>102.4</v>
      </c>
      <c r="CX798" s="2123">
        <v>102.4</v>
      </c>
      <c r="CY798" s="2123">
        <v>218.11</v>
      </c>
      <c r="CZ798" s="2123">
        <v>218.11</v>
      </c>
      <c r="DA798" s="2123">
        <v>218.11</v>
      </c>
      <c r="DB798" s="2123">
        <v>218.11</v>
      </c>
      <c r="DC798" s="2123">
        <v>272.47000000000003</v>
      </c>
      <c r="DD798" s="2123">
        <v>272.47000000000003</v>
      </c>
      <c r="DE798" s="2123">
        <v>272.47000000000003</v>
      </c>
      <c r="DF798" s="2123">
        <v>272.47000000000003</v>
      </c>
      <c r="DI798" s="2123">
        <v>27.05</v>
      </c>
      <c r="DJ798" s="2123">
        <v>27.05</v>
      </c>
      <c r="DK798" s="2123">
        <v>27.05</v>
      </c>
      <c r="DL798" s="2123">
        <v>27.05</v>
      </c>
      <c r="DM798" s="2123">
        <v>27.05</v>
      </c>
      <c r="DN798" s="2123">
        <v>27.05</v>
      </c>
      <c r="DU798" s="2123">
        <v>12.08</v>
      </c>
      <c r="DV798" s="2123">
        <v>12.08</v>
      </c>
      <c r="DW798" s="2123">
        <v>11.22</v>
      </c>
      <c r="DX798" s="2123">
        <v>11.22</v>
      </c>
      <c r="DY798" s="2123">
        <v>11.22</v>
      </c>
      <c r="DZ798" s="2123">
        <v>11.22</v>
      </c>
      <c r="EG798" s="2123">
        <v>12.96</v>
      </c>
      <c r="EH798" s="2123">
        <v>13.18</v>
      </c>
      <c r="EI798" s="2123">
        <v>9.6199999999999992</v>
      </c>
      <c r="EJ798" s="2123">
        <v>9.6199999999999992</v>
      </c>
      <c r="EK798" s="2123">
        <v>9.6</v>
      </c>
      <c r="EL798" s="2123">
        <v>9.6</v>
      </c>
      <c r="EM798" s="2123">
        <v>10.33</v>
      </c>
      <c r="EN798" s="2123">
        <v>10.33</v>
      </c>
      <c r="EO798" s="2123">
        <v>9.7100000000000009</v>
      </c>
      <c r="EP798" s="2123">
        <v>9.7100000000000009</v>
      </c>
      <c r="EQ798" s="2123">
        <v>9.99</v>
      </c>
      <c r="ER798" s="2123">
        <v>9.98</v>
      </c>
      <c r="ES798" s="2123">
        <v>49.48</v>
      </c>
      <c r="ET798" s="2123">
        <v>49.48</v>
      </c>
      <c r="EU798" s="2123">
        <v>204.1</v>
      </c>
      <c r="EV798" s="2123">
        <v>204.1</v>
      </c>
      <c r="EW798" s="2123">
        <v>199.19</v>
      </c>
      <c r="EX798" s="2123">
        <v>199.19</v>
      </c>
      <c r="EY798" s="2129">
        <f t="shared" si="50"/>
        <v>201.64499999999998</v>
      </c>
      <c r="EZ798" s="2129">
        <f t="shared" si="50"/>
        <v>201.64499999999998</v>
      </c>
      <c r="FA798" s="2123">
        <v>203.79</v>
      </c>
      <c r="FB798" s="2123">
        <v>203.79</v>
      </c>
      <c r="FE798" s="2123">
        <v>42.5</v>
      </c>
      <c r="FF798" s="2123">
        <v>42.5</v>
      </c>
      <c r="FG798" s="2123">
        <v>171.34</v>
      </c>
      <c r="FH798" s="2123">
        <v>171.34</v>
      </c>
      <c r="FI798" s="2123">
        <v>171.34</v>
      </c>
      <c r="FJ798" s="2123">
        <v>174.11</v>
      </c>
      <c r="FK798" s="2123">
        <v>170.6</v>
      </c>
      <c r="FL798" s="2123">
        <v>170.6</v>
      </c>
      <c r="FM798" s="2123">
        <v>171.86</v>
      </c>
      <c r="FN798" s="2123">
        <v>171.86</v>
      </c>
      <c r="FQ798" s="2123">
        <v>95.96</v>
      </c>
      <c r="FR798" s="2123">
        <v>95.96</v>
      </c>
      <c r="FS798" s="2123">
        <v>188.47</v>
      </c>
      <c r="FT798" s="2123">
        <v>188.47</v>
      </c>
      <c r="FU798" s="2123">
        <v>188.47</v>
      </c>
      <c r="FV798" s="2123">
        <v>188.47</v>
      </c>
      <c r="FW798" s="2123">
        <v>189.26</v>
      </c>
      <c r="FX798" s="2123">
        <v>189.26</v>
      </c>
      <c r="GC798" s="2123">
        <v>67.930000000000007</v>
      </c>
      <c r="GD798" s="2123">
        <v>67.930000000000007</v>
      </c>
      <c r="GE798" s="2123">
        <v>154.49</v>
      </c>
      <c r="GF798" s="2123">
        <v>154.49</v>
      </c>
      <c r="GG798" s="2123">
        <v>154.49</v>
      </c>
      <c r="GH798" s="2123">
        <v>154.49</v>
      </c>
      <c r="GI798" s="2123">
        <v>149.06</v>
      </c>
      <c r="GJ798" s="2123">
        <v>149.06</v>
      </c>
      <c r="GK798" s="2123">
        <v>180.54</v>
      </c>
      <c r="GL798" s="2123">
        <v>180.54</v>
      </c>
      <c r="GO798" s="2123">
        <v>36.36</v>
      </c>
      <c r="GP798" s="2123">
        <v>36.36</v>
      </c>
      <c r="GQ798" s="2123">
        <v>29.74</v>
      </c>
      <c r="GR798" s="2123">
        <v>29.74</v>
      </c>
      <c r="GS798" s="2123">
        <v>29.74</v>
      </c>
      <c r="GT798" s="2123">
        <v>28.62</v>
      </c>
      <c r="GU798" s="2123">
        <v>28.62</v>
      </c>
      <c r="GV798" s="2123">
        <v>29.1</v>
      </c>
      <c r="GW798" s="2123">
        <v>170.06</v>
      </c>
      <c r="GX798" s="2123">
        <v>170.06</v>
      </c>
      <c r="HA798" s="2123">
        <v>25.34</v>
      </c>
      <c r="HB798" s="2123">
        <v>25.34</v>
      </c>
      <c r="HC798" s="2123">
        <v>17.559999999999999</v>
      </c>
      <c r="HD798" s="2123">
        <v>17.559999999999999</v>
      </c>
      <c r="HE798" s="2123">
        <v>18.47</v>
      </c>
      <c r="HF798" s="2123">
        <v>18.47</v>
      </c>
      <c r="HG798" s="2123">
        <v>18.47</v>
      </c>
      <c r="HH798" s="2123">
        <v>18.47</v>
      </c>
      <c r="HI798" s="2123">
        <v>18.47</v>
      </c>
      <c r="HJ798" s="2123">
        <v>18.47</v>
      </c>
      <c r="HK798" s="2123">
        <v>18.52</v>
      </c>
      <c r="HL798" s="2123">
        <v>18.87</v>
      </c>
      <c r="HM798" s="2123">
        <v>35.51</v>
      </c>
      <c r="HN798" s="2123">
        <v>35.51</v>
      </c>
      <c r="HO798" s="2123">
        <v>25.02</v>
      </c>
      <c r="HP798" s="2123">
        <v>25.02</v>
      </c>
      <c r="HQ798" s="2123">
        <v>26.33</v>
      </c>
      <c r="HR798" s="2123">
        <v>26.33</v>
      </c>
      <c r="HS798" s="2123">
        <v>26.33</v>
      </c>
      <c r="HT798" s="2123">
        <v>26.33</v>
      </c>
      <c r="HU798" s="2123">
        <v>26.33</v>
      </c>
      <c r="HV798" s="2123">
        <v>26.33</v>
      </c>
      <c r="HW798" s="2123">
        <v>26.32</v>
      </c>
      <c r="HX798" s="2050">
        <v>26.32</v>
      </c>
    </row>
    <row r="799" spans="1:232" s="2123" customFormat="1" ht="14" hidden="1" x14ac:dyDescent="0.3">
      <c r="A799" s="2040"/>
      <c r="B799" s="2127">
        <v>50</v>
      </c>
      <c r="C799" s="2128">
        <v>40.450000000000003</v>
      </c>
      <c r="D799" s="2128">
        <v>40.450000000000003</v>
      </c>
      <c r="E799" s="2128">
        <v>40.78</v>
      </c>
      <c r="F799" s="2128">
        <v>40.78</v>
      </c>
      <c r="G799" s="2128">
        <v>152.44</v>
      </c>
      <c r="H799" s="2128">
        <v>152.44</v>
      </c>
      <c r="I799" s="2128">
        <v>142.51</v>
      </c>
      <c r="J799" s="2128">
        <v>142.51</v>
      </c>
      <c r="K799" s="2128">
        <v>150.58000000000001</v>
      </c>
      <c r="L799" s="2128">
        <v>150.58000000000001</v>
      </c>
      <c r="M799" s="2128"/>
      <c r="N799" s="2128"/>
      <c r="O799" s="2128">
        <v>126.52</v>
      </c>
      <c r="P799" s="2128">
        <v>126.52</v>
      </c>
      <c r="Q799" s="2128">
        <v>126.55</v>
      </c>
      <c r="R799" s="2128">
        <v>126.53</v>
      </c>
      <c r="S799" s="2128">
        <v>221.45</v>
      </c>
      <c r="T799" s="2128">
        <v>221.45</v>
      </c>
      <c r="U799" s="2128">
        <v>213.76</v>
      </c>
      <c r="V799" s="2128">
        <v>213.76</v>
      </c>
      <c r="W799" s="2128">
        <v>221.45</v>
      </c>
      <c r="X799" s="2128">
        <v>221.45</v>
      </c>
      <c r="Y799" s="2128">
        <v>213.76</v>
      </c>
      <c r="Z799" s="2128">
        <v>221.45</v>
      </c>
      <c r="AA799" s="2128">
        <v>221.45</v>
      </c>
      <c r="AB799" s="2128">
        <v>221.45</v>
      </c>
      <c r="AC799" s="2128">
        <v>213.76</v>
      </c>
      <c r="AD799" s="2128">
        <v>213.76</v>
      </c>
      <c r="AE799" s="2128">
        <v>238.21</v>
      </c>
      <c r="AF799" s="2128">
        <v>231.4</v>
      </c>
      <c r="AG799" s="2128">
        <v>238.21</v>
      </c>
      <c r="AH799" s="2128">
        <v>238.21</v>
      </c>
      <c r="AI799" s="2128">
        <v>231.4</v>
      </c>
      <c r="AJ799" s="2128">
        <v>231.4</v>
      </c>
      <c r="AK799" s="2128">
        <v>232.27</v>
      </c>
      <c r="AL799" s="2128">
        <v>232.27</v>
      </c>
      <c r="AM799" s="2128">
        <v>66.94</v>
      </c>
      <c r="AN799" s="2128">
        <v>64.489999999999995</v>
      </c>
      <c r="AO799" s="2128">
        <v>64.489999999999995</v>
      </c>
      <c r="AP799" s="2128">
        <v>64.489999999999995</v>
      </c>
      <c r="AQ799" s="2128">
        <v>65.150000000000006</v>
      </c>
      <c r="AR799" s="2128">
        <v>65.150000000000006</v>
      </c>
      <c r="AS799" s="2128">
        <v>187.27</v>
      </c>
      <c r="AT799" s="2128">
        <v>187.27</v>
      </c>
      <c r="AU799" s="2128">
        <v>187.27</v>
      </c>
      <c r="AV799" s="2128">
        <v>191.86</v>
      </c>
      <c r="AW799" s="2128">
        <v>187.52</v>
      </c>
      <c r="AX799" s="2128">
        <v>187.52</v>
      </c>
      <c r="AY799" s="2128">
        <v>187.67</v>
      </c>
      <c r="AZ799" s="2128">
        <v>187.67</v>
      </c>
      <c r="BA799" s="2123">
        <v>81.150000000000006</v>
      </c>
      <c r="BB799" s="2123">
        <v>81.150000000000006</v>
      </c>
      <c r="BC799" s="2123">
        <v>19.920000000000002</v>
      </c>
      <c r="BD799" s="2123">
        <v>20.25</v>
      </c>
      <c r="BE799" s="2123">
        <v>23.92</v>
      </c>
      <c r="BF799" s="2123">
        <v>23.92</v>
      </c>
      <c r="BG799" s="2123">
        <v>19.97</v>
      </c>
      <c r="BH799" s="2123">
        <v>19.97</v>
      </c>
      <c r="BI799" s="2123">
        <v>19.809999999999999</v>
      </c>
      <c r="BJ799" s="2123">
        <v>19.809999999999999</v>
      </c>
      <c r="BK799" s="2123">
        <v>19.809999999999999</v>
      </c>
      <c r="BL799" s="2123">
        <v>19.809999999999999</v>
      </c>
      <c r="BM799" s="2123">
        <v>48.93</v>
      </c>
      <c r="BN799" s="2123">
        <v>48.93</v>
      </c>
      <c r="BO799" s="2123">
        <v>150.4</v>
      </c>
      <c r="BP799" s="2123">
        <v>150.4</v>
      </c>
      <c r="BQ799" s="2123">
        <v>150.4</v>
      </c>
      <c r="BR799" s="2123">
        <v>150.4</v>
      </c>
      <c r="BS799" s="2123">
        <v>188.76</v>
      </c>
      <c r="BT799" s="2123">
        <v>188.76</v>
      </c>
      <c r="BU799" s="2123">
        <v>188.76</v>
      </c>
      <c r="BV799" s="2123">
        <v>188.76</v>
      </c>
      <c r="BW799" s="2123">
        <v>188.76</v>
      </c>
      <c r="BX799" s="2123">
        <v>188.76</v>
      </c>
      <c r="BY799" s="2123">
        <v>44.44</v>
      </c>
      <c r="BZ799" s="2123">
        <v>44.44</v>
      </c>
      <c r="CA799" s="2123">
        <v>143.62</v>
      </c>
      <c r="CB799" s="2123">
        <v>143.62</v>
      </c>
      <c r="CC799" s="2123">
        <v>145.44</v>
      </c>
      <c r="CD799" s="2123">
        <v>145.44</v>
      </c>
      <c r="CE799" s="2123">
        <v>185.59</v>
      </c>
      <c r="CF799" s="2123">
        <v>185.59</v>
      </c>
      <c r="CK799" s="2123">
        <v>111.81</v>
      </c>
      <c r="CL799" s="2123">
        <v>111.81</v>
      </c>
      <c r="CM799" s="2123">
        <v>228.7</v>
      </c>
      <c r="CN799" s="2123">
        <v>228.7</v>
      </c>
      <c r="CO799" s="2123">
        <v>286.02</v>
      </c>
      <c r="CP799" s="2123">
        <v>286.02</v>
      </c>
      <c r="CQ799" s="2123">
        <v>286.02</v>
      </c>
      <c r="CR799" s="2123">
        <v>286.02</v>
      </c>
      <c r="CW799" s="2123">
        <v>103.18</v>
      </c>
      <c r="CX799" s="2123">
        <v>103.18</v>
      </c>
      <c r="CY799" s="2123">
        <v>219.53</v>
      </c>
      <c r="CZ799" s="2123">
        <v>219.53</v>
      </c>
      <c r="DA799" s="2123">
        <v>219.53</v>
      </c>
      <c r="DB799" s="2123">
        <v>219.53</v>
      </c>
      <c r="DC799" s="2123">
        <v>274.70999999999998</v>
      </c>
      <c r="DD799" s="2123">
        <v>274.70999999999998</v>
      </c>
      <c r="DE799" s="2123">
        <v>274.70999999999998</v>
      </c>
      <c r="DF799" s="2123">
        <v>274.70999999999998</v>
      </c>
      <c r="DI799" s="2123">
        <v>27.25</v>
      </c>
      <c r="DJ799" s="2123">
        <v>27.25</v>
      </c>
      <c r="DK799" s="2123">
        <v>27.25</v>
      </c>
      <c r="DL799" s="2123">
        <v>27.25</v>
      </c>
      <c r="DM799" s="2123">
        <v>27.25</v>
      </c>
      <c r="DN799" s="2123">
        <v>27.25</v>
      </c>
      <c r="DU799" s="2123">
        <v>12.17</v>
      </c>
      <c r="DV799" s="2123">
        <v>12.17</v>
      </c>
      <c r="DW799" s="2123">
        <v>11.33</v>
      </c>
      <c r="DX799" s="2123">
        <v>11.33</v>
      </c>
      <c r="DY799" s="2123">
        <v>11.33</v>
      </c>
      <c r="DZ799" s="2123">
        <v>11.33</v>
      </c>
      <c r="EG799" s="2123">
        <v>13.06</v>
      </c>
      <c r="EH799" s="2123">
        <v>13.27</v>
      </c>
      <c r="EI799" s="2123">
        <v>9.74</v>
      </c>
      <c r="EJ799" s="2123">
        <v>9.74</v>
      </c>
      <c r="EK799" s="2123">
        <v>9.7200000000000006</v>
      </c>
      <c r="EL799" s="2123">
        <v>9.7200000000000006</v>
      </c>
      <c r="EM799" s="2123">
        <v>10.44</v>
      </c>
      <c r="EN799" s="2123">
        <v>10.44</v>
      </c>
      <c r="EO799" s="2123">
        <v>9.82</v>
      </c>
      <c r="EP799" s="2123">
        <v>9.82</v>
      </c>
      <c r="EQ799" s="2123">
        <v>10.11</v>
      </c>
      <c r="ER799" s="2123">
        <v>10.09</v>
      </c>
      <c r="ES799" s="2123">
        <v>49.86</v>
      </c>
      <c r="ET799" s="2123">
        <v>49.86</v>
      </c>
      <c r="EU799" s="2123">
        <v>206.27</v>
      </c>
      <c r="EV799" s="2123">
        <v>206.27</v>
      </c>
      <c r="EW799" s="2123">
        <v>201.34</v>
      </c>
      <c r="EX799" s="2123">
        <v>201.34</v>
      </c>
      <c r="EY799" s="2129">
        <f t="shared" si="50"/>
        <v>203.80500000000001</v>
      </c>
      <c r="EZ799" s="2129">
        <f t="shared" si="50"/>
        <v>203.80500000000001</v>
      </c>
      <c r="FA799" s="2123">
        <v>205.89</v>
      </c>
      <c r="FB799" s="2123">
        <v>205.89</v>
      </c>
      <c r="FE799" s="2123">
        <v>42.83</v>
      </c>
      <c r="FF799" s="2123">
        <v>42.83</v>
      </c>
      <c r="FG799" s="2123">
        <v>173.2</v>
      </c>
      <c r="FH799" s="2123">
        <v>173.2</v>
      </c>
      <c r="FI799" s="2123">
        <v>173.2</v>
      </c>
      <c r="FJ799" s="2123">
        <v>175.89</v>
      </c>
      <c r="FK799" s="2123">
        <v>172.48</v>
      </c>
      <c r="FL799" s="2123">
        <v>172.48</v>
      </c>
      <c r="FM799" s="2123">
        <v>173.71</v>
      </c>
      <c r="FN799" s="2123">
        <v>173.71</v>
      </c>
      <c r="FQ799" s="2123">
        <v>96.69</v>
      </c>
      <c r="FR799" s="2123">
        <v>96.69</v>
      </c>
      <c r="FS799" s="2123">
        <v>190.15</v>
      </c>
      <c r="FT799" s="2123">
        <v>190.15</v>
      </c>
      <c r="FU799" s="2123">
        <v>190.15</v>
      </c>
      <c r="FV799" s="2123">
        <v>190.15</v>
      </c>
      <c r="FW799" s="2123">
        <v>190.92</v>
      </c>
      <c r="FX799" s="2123">
        <v>190.92</v>
      </c>
      <c r="GC799" s="2123">
        <v>68.45</v>
      </c>
      <c r="GD799" s="2123">
        <v>68.45</v>
      </c>
      <c r="GE799" s="2123">
        <v>155.55000000000001</v>
      </c>
      <c r="GF799" s="2123">
        <v>155.55000000000001</v>
      </c>
      <c r="GG799" s="2123">
        <v>155.55000000000001</v>
      </c>
      <c r="GH799" s="2123">
        <v>155.55000000000001</v>
      </c>
      <c r="GI799" s="2123">
        <v>151.16999999999999</v>
      </c>
      <c r="GJ799" s="2123">
        <v>151.16999999999999</v>
      </c>
      <c r="GK799" s="2123">
        <v>182.37</v>
      </c>
      <c r="GL799" s="2123">
        <v>182.37</v>
      </c>
      <c r="GO799" s="2123">
        <v>36.64</v>
      </c>
      <c r="GP799" s="2123">
        <v>36.64</v>
      </c>
      <c r="GQ799" s="2123">
        <v>30.07</v>
      </c>
      <c r="GR799" s="2123">
        <v>30.07</v>
      </c>
      <c r="GS799" s="2123">
        <v>30.07</v>
      </c>
      <c r="GT799" s="2123">
        <v>28.94</v>
      </c>
      <c r="GU799" s="2123">
        <v>28.94</v>
      </c>
      <c r="GV799" s="2123">
        <v>29.4</v>
      </c>
      <c r="GW799" s="2123">
        <v>171.88</v>
      </c>
      <c r="GX799" s="2123">
        <v>171.88</v>
      </c>
      <c r="HA799" s="2123">
        <v>25.53</v>
      </c>
      <c r="HB799" s="2123">
        <v>25.53</v>
      </c>
      <c r="HC799" s="2123">
        <v>17.8</v>
      </c>
      <c r="HD799" s="2123">
        <v>17.8</v>
      </c>
      <c r="HE799" s="2123">
        <v>18.7</v>
      </c>
      <c r="HF799" s="2123">
        <v>18.7</v>
      </c>
      <c r="HG799" s="2123">
        <v>18.7</v>
      </c>
      <c r="HH799" s="2123">
        <v>18.7</v>
      </c>
      <c r="HI799" s="2123">
        <v>18.7</v>
      </c>
      <c r="HJ799" s="2123">
        <v>18.7</v>
      </c>
      <c r="HK799" s="2123">
        <v>18.760000000000002</v>
      </c>
      <c r="HL799" s="2123">
        <v>19.100000000000001</v>
      </c>
      <c r="HM799" s="2123">
        <v>35.78</v>
      </c>
      <c r="HN799" s="2123">
        <v>35.78</v>
      </c>
      <c r="HO799" s="2123">
        <v>25.36</v>
      </c>
      <c r="HP799" s="2123">
        <v>25.36</v>
      </c>
      <c r="HQ799" s="2123">
        <v>26.66</v>
      </c>
      <c r="HR799" s="2123">
        <v>26.66</v>
      </c>
      <c r="HS799" s="2123">
        <v>26.66</v>
      </c>
      <c r="HT799" s="2123">
        <v>26.66</v>
      </c>
      <c r="HU799" s="2123">
        <v>26.66</v>
      </c>
      <c r="HV799" s="2123">
        <v>26.66</v>
      </c>
      <c r="HW799" s="2123">
        <v>26.65</v>
      </c>
      <c r="HX799" s="2050">
        <v>26.65</v>
      </c>
    </row>
    <row r="800" spans="1:232" s="2123" customFormat="1" ht="14" hidden="1" x14ac:dyDescent="0.3">
      <c r="A800" s="2040"/>
      <c r="B800" s="2127">
        <v>51</v>
      </c>
      <c r="C800" s="2128">
        <v>40.74</v>
      </c>
      <c r="D800" s="2128">
        <v>40.74</v>
      </c>
      <c r="E800" s="2128">
        <v>41.06</v>
      </c>
      <c r="F800" s="2128">
        <v>41.06</v>
      </c>
      <c r="G800" s="2128">
        <v>153.79</v>
      </c>
      <c r="H800" s="2128">
        <v>153.79</v>
      </c>
      <c r="I800" s="2128">
        <v>143.88999999999999</v>
      </c>
      <c r="J800" s="2128">
        <v>143.88999999999999</v>
      </c>
      <c r="K800" s="2128">
        <v>151.79</v>
      </c>
      <c r="L800" s="2128">
        <v>151.79</v>
      </c>
      <c r="M800" s="2128"/>
      <c r="N800" s="2128"/>
      <c r="O800" s="2128">
        <v>127.45</v>
      </c>
      <c r="P800" s="2128">
        <v>127.45</v>
      </c>
      <c r="Q800" s="2128">
        <v>127.45</v>
      </c>
      <c r="R800" s="2128">
        <v>127.46</v>
      </c>
      <c r="S800" s="2128">
        <v>223.76999999999998</v>
      </c>
      <c r="T800" s="2128">
        <v>223.77</v>
      </c>
      <c r="U800" s="2128">
        <v>215.99</v>
      </c>
      <c r="V800" s="2128">
        <v>215.99</v>
      </c>
      <c r="W800" s="2128">
        <v>223.77</v>
      </c>
      <c r="X800" s="2128">
        <v>223.77</v>
      </c>
      <c r="Y800" s="2128">
        <v>215.99</v>
      </c>
      <c r="Z800" s="2128">
        <v>223.77</v>
      </c>
      <c r="AA800" s="2128">
        <v>223.77</v>
      </c>
      <c r="AB800" s="2128">
        <v>223.77</v>
      </c>
      <c r="AC800" s="2128">
        <v>215.99</v>
      </c>
      <c r="AD800" s="2128">
        <v>215.99</v>
      </c>
      <c r="AE800" s="2128">
        <v>240.36</v>
      </c>
      <c r="AF800" s="2128">
        <v>233.48</v>
      </c>
      <c r="AG800" s="2128">
        <v>240.36</v>
      </c>
      <c r="AH800" s="2128">
        <v>240.36</v>
      </c>
      <c r="AI800" s="2128">
        <v>233.48</v>
      </c>
      <c r="AJ800" s="2128">
        <v>233.48</v>
      </c>
      <c r="AK800" s="2128">
        <v>234.33</v>
      </c>
      <c r="AL800" s="2128">
        <v>234.33</v>
      </c>
      <c r="AM800" s="2128">
        <v>67.42</v>
      </c>
      <c r="AN800" s="2128">
        <v>64.959999999999994</v>
      </c>
      <c r="AO800" s="2128">
        <v>64.959999999999994</v>
      </c>
      <c r="AP800" s="2128">
        <v>64.959999999999994</v>
      </c>
      <c r="AQ800" s="2128">
        <v>65.599999999999994</v>
      </c>
      <c r="AR800" s="2128">
        <v>65.599999999999994</v>
      </c>
      <c r="AS800" s="2128">
        <v>189</v>
      </c>
      <c r="AT800" s="2128">
        <v>189</v>
      </c>
      <c r="AU800" s="2128">
        <v>189</v>
      </c>
      <c r="AV800" s="2128">
        <v>193.6</v>
      </c>
      <c r="AW800" s="2128">
        <v>189.26</v>
      </c>
      <c r="AX800" s="2128">
        <v>189.26</v>
      </c>
      <c r="AY800" s="2128">
        <v>189.4</v>
      </c>
      <c r="AZ800" s="2128">
        <v>189.4</v>
      </c>
      <c r="BA800" s="2123">
        <v>81.93</v>
      </c>
      <c r="BB800" s="2123">
        <v>81.93</v>
      </c>
      <c r="BC800" s="2123">
        <v>20.14</v>
      </c>
      <c r="BD800" s="2123">
        <v>20.47</v>
      </c>
      <c r="BE800" s="2123">
        <v>24.1</v>
      </c>
      <c r="BF800" s="2123">
        <v>24.1</v>
      </c>
      <c r="BG800" s="2123">
        <v>20.190000000000001</v>
      </c>
      <c r="BH800" s="2123">
        <v>20.190000000000001</v>
      </c>
      <c r="BI800" s="2123">
        <v>20.03</v>
      </c>
      <c r="BJ800" s="2123">
        <v>20.03</v>
      </c>
      <c r="BK800" s="2123">
        <v>20.03</v>
      </c>
      <c r="BL800" s="2123">
        <v>20.03</v>
      </c>
      <c r="BM800" s="2123">
        <v>49.28</v>
      </c>
      <c r="BN800" s="2123">
        <v>49.28</v>
      </c>
      <c r="BO800" s="2123">
        <v>151.66</v>
      </c>
      <c r="BP800" s="2123">
        <v>151.66</v>
      </c>
      <c r="BQ800" s="2123">
        <v>151.66</v>
      </c>
      <c r="BR800" s="2123">
        <v>151.66</v>
      </c>
      <c r="BS800" s="2123">
        <v>190.66</v>
      </c>
      <c r="BT800" s="2123">
        <v>190.66</v>
      </c>
      <c r="BU800" s="2123">
        <v>190.66</v>
      </c>
      <c r="BV800" s="2123">
        <v>190.66</v>
      </c>
      <c r="BW800" s="2123">
        <v>190.66</v>
      </c>
      <c r="BX800" s="2123">
        <v>190.66</v>
      </c>
      <c r="BY800" s="2123">
        <v>44.77</v>
      </c>
      <c r="BZ800" s="2123">
        <v>44.77</v>
      </c>
      <c r="CA800" s="2123">
        <v>144.85</v>
      </c>
      <c r="CB800" s="2123">
        <v>144.85</v>
      </c>
      <c r="CC800" s="2123">
        <v>146.69999999999999</v>
      </c>
      <c r="CD800" s="2123">
        <v>146.69999999999999</v>
      </c>
      <c r="CE800" s="2123">
        <v>187.49</v>
      </c>
      <c r="CF800" s="2123">
        <v>187.49</v>
      </c>
      <c r="CK800" s="2123">
        <v>112.48</v>
      </c>
      <c r="CL800" s="2123">
        <v>112.48</v>
      </c>
      <c r="CM800" s="2123">
        <v>230.06</v>
      </c>
      <c r="CN800" s="2123">
        <v>230.06</v>
      </c>
      <c r="CO800" s="2123">
        <v>288.19</v>
      </c>
      <c r="CP800" s="2123">
        <v>288.19</v>
      </c>
      <c r="CQ800" s="2123">
        <v>288.19</v>
      </c>
      <c r="CR800" s="2123">
        <v>288.19</v>
      </c>
      <c r="CW800" s="2123">
        <v>103.93</v>
      </c>
      <c r="CX800" s="2123">
        <v>103.93</v>
      </c>
      <c r="CY800" s="2123">
        <v>220.91</v>
      </c>
      <c r="CZ800" s="2123">
        <v>220.91</v>
      </c>
      <c r="DA800" s="2123">
        <v>220.91</v>
      </c>
      <c r="DB800" s="2123">
        <v>220.91</v>
      </c>
      <c r="DC800" s="2123">
        <v>276.89</v>
      </c>
      <c r="DD800" s="2123">
        <v>276.89</v>
      </c>
      <c r="DE800" s="2123">
        <v>276.89</v>
      </c>
      <c r="DF800" s="2123">
        <v>276.89</v>
      </c>
      <c r="DI800" s="2123">
        <v>27.45</v>
      </c>
      <c r="DJ800" s="2123">
        <v>27.45</v>
      </c>
      <c r="DK800" s="2123">
        <v>27.45</v>
      </c>
      <c r="DL800" s="2123">
        <v>27.45</v>
      </c>
      <c r="DM800" s="2123">
        <v>27.45</v>
      </c>
      <c r="DN800" s="2123">
        <v>27.45</v>
      </c>
      <c r="DU800" s="2123">
        <v>12.26</v>
      </c>
      <c r="DV800" s="2123">
        <v>12.26</v>
      </c>
      <c r="DW800" s="2123">
        <v>11.43</v>
      </c>
      <c r="DX800" s="2123">
        <v>11.43</v>
      </c>
      <c r="DY800" s="2123">
        <v>11.43</v>
      </c>
      <c r="DZ800" s="2123">
        <v>11.43</v>
      </c>
      <c r="EG800" s="2123">
        <v>13.15</v>
      </c>
      <c r="EH800" s="2123">
        <v>13.36</v>
      </c>
      <c r="EI800" s="2123">
        <v>9.86</v>
      </c>
      <c r="EJ800" s="2123">
        <v>9.86</v>
      </c>
      <c r="EK800" s="2123">
        <v>9.84</v>
      </c>
      <c r="EL800" s="2123">
        <v>9.84</v>
      </c>
      <c r="EM800" s="2123">
        <v>10.55</v>
      </c>
      <c r="EN800" s="2123">
        <v>10.55</v>
      </c>
      <c r="EO800" s="2123">
        <v>9.94</v>
      </c>
      <c r="EP800" s="2123">
        <v>9.94</v>
      </c>
      <c r="EQ800" s="2123">
        <v>10.220000000000001</v>
      </c>
      <c r="ER800" s="2123">
        <v>10.199999999999999</v>
      </c>
      <c r="ES800" s="2123">
        <v>50.22</v>
      </c>
      <c r="ET800" s="2123">
        <v>50.22</v>
      </c>
      <c r="EU800" s="2123">
        <v>208.38</v>
      </c>
      <c r="EV800" s="2123">
        <v>208.38</v>
      </c>
      <c r="EW800" s="2123">
        <v>203.44</v>
      </c>
      <c r="EX800" s="2123">
        <v>203.44</v>
      </c>
      <c r="EY800" s="2129">
        <f t="shared" si="50"/>
        <v>205.91</v>
      </c>
      <c r="EZ800" s="2129">
        <f t="shared" si="50"/>
        <v>205.91</v>
      </c>
      <c r="FA800" s="2123">
        <v>207.92</v>
      </c>
      <c r="FB800" s="2123">
        <v>207.92</v>
      </c>
      <c r="FE800" s="2123">
        <v>43.15</v>
      </c>
      <c r="FF800" s="2123">
        <v>43.15</v>
      </c>
      <c r="FG800" s="2123">
        <v>175.01</v>
      </c>
      <c r="FH800" s="2123">
        <v>175.01</v>
      </c>
      <c r="FI800" s="2123">
        <v>175.01</v>
      </c>
      <c r="FJ800" s="2123">
        <v>177.62</v>
      </c>
      <c r="FK800" s="2123">
        <v>174.3</v>
      </c>
      <c r="FL800" s="2123">
        <v>174.3</v>
      </c>
      <c r="FM800" s="2123">
        <v>175.51</v>
      </c>
      <c r="FN800" s="2123">
        <v>175.51</v>
      </c>
      <c r="FQ800" s="2123">
        <v>97.41</v>
      </c>
      <c r="FR800" s="2123">
        <v>97.41</v>
      </c>
      <c r="FS800" s="2123">
        <v>191.77</v>
      </c>
      <c r="FT800" s="2123">
        <v>191.77</v>
      </c>
      <c r="FU800" s="2123">
        <v>191.77</v>
      </c>
      <c r="FV800" s="2123">
        <v>191.77</v>
      </c>
      <c r="FW800" s="2123">
        <v>192.53</v>
      </c>
      <c r="FX800" s="2123">
        <v>192.53</v>
      </c>
      <c r="GC800" s="2123">
        <v>68.95</v>
      </c>
      <c r="GD800" s="2123">
        <v>68.95</v>
      </c>
      <c r="GE800" s="2123">
        <v>156.59</v>
      </c>
      <c r="GF800" s="2123">
        <v>156.59</v>
      </c>
      <c r="GG800" s="2123">
        <v>156.59</v>
      </c>
      <c r="GH800" s="2123">
        <v>156.59</v>
      </c>
      <c r="GI800" s="2123">
        <v>153.22</v>
      </c>
      <c r="GJ800" s="2123">
        <v>153.22</v>
      </c>
      <c r="GK800" s="2123">
        <v>184.15</v>
      </c>
      <c r="GL800" s="2123">
        <v>184.15</v>
      </c>
      <c r="GO800" s="2123">
        <v>36.909999999999997</v>
      </c>
      <c r="GP800" s="2123">
        <v>36.909999999999997</v>
      </c>
      <c r="GQ800" s="2123">
        <v>30.39</v>
      </c>
      <c r="GR800" s="2123">
        <v>30.39</v>
      </c>
      <c r="GS800" s="2123">
        <v>30.39</v>
      </c>
      <c r="GT800" s="2123">
        <v>29.25</v>
      </c>
      <c r="GU800" s="2123">
        <v>29.25</v>
      </c>
      <c r="GV800" s="2123">
        <v>29.7</v>
      </c>
      <c r="GW800" s="2123">
        <v>173.66</v>
      </c>
      <c r="GX800" s="2123">
        <v>173.66</v>
      </c>
      <c r="HA800" s="2123">
        <v>25.71</v>
      </c>
      <c r="HB800" s="2123">
        <v>25.71</v>
      </c>
      <c r="HC800" s="2123">
        <v>18.04</v>
      </c>
      <c r="HD800" s="2123">
        <v>18.04</v>
      </c>
      <c r="HE800" s="2123">
        <v>18.93</v>
      </c>
      <c r="HF800" s="2123">
        <v>18.93</v>
      </c>
      <c r="HG800" s="2123">
        <v>18.93</v>
      </c>
      <c r="HH800" s="2123">
        <v>18.93</v>
      </c>
      <c r="HI800" s="2123">
        <v>18.93</v>
      </c>
      <c r="HJ800" s="2123">
        <v>18.93</v>
      </c>
      <c r="HK800" s="2123">
        <v>18.98</v>
      </c>
      <c r="HL800" s="2123">
        <v>19.32</v>
      </c>
      <c r="HM800" s="2123">
        <v>36.04</v>
      </c>
      <c r="HN800" s="2123">
        <v>36.04</v>
      </c>
      <c r="HO800" s="2123">
        <v>25.69</v>
      </c>
      <c r="HP800" s="2123">
        <v>25.69</v>
      </c>
      <c r="HQ800" s="2123">
        <v>26.97</v>
      </c>
      <c r="HR800" s="2123">
        <v>26.97</v>
      </c>
      <c r="HS800" s="2123">
        <v>26.97</v>
      </c>
      <c r="HT800" s="2123">
        <v>26.97</v>
      </c>
      <c r="HU800" s="2123">
        <v>26.97</v>
      </c>
      <c r="HV800" s="2123">
        <v>26.97</v>
      </c>
      <c r="HW800" s="2123">
        <v>26.97</v>
      </c>
      <c r="HX800" s="2050">
        <v>26.97</v>
      </c>
    </row>
    <row r="801" spans="1:232" s="2123" customFormat="1" ht="14" hidden="1" x14ac:dyDescent="0.3">
      <c r="A801" s="2040"/>
      <c r="B801" s="2127">
        <v>52</v>
      </c>
      <c r="C801" s="2128">
        <v>41.02</v>
      </c>
      <c r="D801" s="2128">
        <v>41.02</v>
      </c>
      <c r="E801" s="2128">
        <v>41.34</v>
      </c>
      <c r="F801" s="2128">
        <v>41.34</v>
      </c>
      <c r="G801" s="2128">
        <v>155.07</v>
      </c>
      <c r="H801" s="2128">
        <v>155.07</v>
      </c>
      <c r="I801" s="2128">
        <v>145.22999999999999</v>
      </c>
      <c r="J801" s="2128">
        <v>145.22999999999999</v>
      </c>
      <c r="K801" s="2128">
        <v>152.96</v>
      </c>
      <c r="L801" s="2128">
        <v>152.96</v>
      </c>
      <c r="M801" s="2128"/>
      <c r="N801" s="2128"/>
      <c r="O801" s="2128">
        <v>128.35</v>
      </c>
      <c r="P801" s="2128">
        <v>128.35</v>
      </c>
      <c r="Q801" s="2128">
        <v>128.32</v>
      </c>
      <c r="R801" s="2128">
        <v>128.35</v>
      </c>
      <c r="S801" s="2128">
        <v>226.01999999999998</v>
      </c>
      <c r="T801" s="2128">
        <v>226.02</v>
      </c>
      <c r="U801" s="2128">
        <v>218.17</v>
      </c>
      <c r="V801" s="2128">
        <v>218.17</v>
      </c>
      <c r="W801" s="2128">
        <v>226.02</v>
      </c>
      <c r="X801" s="2128">
        <v>226.02</v>
      </c>
      <c r="Y801" s="2128">
        <v>218.17</v>
      </c>
      <c r="Z801" s="2128">
        <v>226.02</v>
      </c>
      <c r="AA801" s="2128">
        <v>226.02</v>
      </c>
      <c r="AB801" s="2128">
        <v>226.02</v>
      </c>
      <c r="AC801" s="2128">
        <v>218.17</v>
      </c>
      <c r="AD801" s="2128">
        <v>218.17</v>
      </c>
      <c r="AE801" s="2128">
        <v>242.45</v>
      </c>
      <c r="AF801" s="2128">
        <v>235.51</v>
      </c>
      <c r="AG801" s="2128">
        <v>242.45</v>
      </c>
      <c r="AH801" s="2128">
        <v>242.45</v>
      </c>
      <c r="AI801" s="2128">
        <v>235.51</v>
      </c>
      <c r="AJ801" s="2128">
        <v>235.51</v>
      </c>
      <c r="AK801" s="2128">
        <v>236.32</v>
      </c>
      <c r="AL801" s="2128">
        <v>236.32</v>
      </c>
      <c r="AM801" s="2128">
        <v>67.900000000000006</v>
      </c>
      <c r="AN801" s="2128">
        <v>65.42</v>
      </c>
      <c r="AO801" s="2128">
        <v>65.42</v>
      </c>
      <c r="AP801" s="2128">
        <v>65.42</v>
      </c>
      <c r="AQ801" s="2128">
        <v>66.040000000000006</v>
      </c>
      <c r="AR801" s="2128">
        <v>66.040000000000006</v>
      </c>
      <c r="AS801" s="2128">
        <v>190.68</v>
      </c>
      <c r="AT801" s="2128">
        <v>190.68</v>
      </c>
      <c r="AU801" s="2128">
        <v>190.68</v>
      </c>
      <c r="AV801" s="2128">
        <v>195.3</v>
      </c>
      <c r="AW801" s="2128">
        <v>190.94</v>
      </c>
      <c r="AX801" s="2128">
        <v>190.94</v>
      </c>
      <c r="AY801" s="2128">
        <v>191.08</v>
      </c>
      <c r="AZ801" s="2128">
        <v>191.08</v>
      </c>
      <c r="BA801" s="2123">
        <v>82.68</v>
      </c>
      <c r="BB801" s="2123">
        <v>82.68</v>
      </c>
      <c r="BC801" s="2123">
        <v>20.36</v>
      </c>
      <c r="BD801" s="2123">
        <v>20.68</v>
      </c>
      <c r="BE801" s="2123">
        <v>24.28</v>
      </c>
      <c r="BF801" s="2123">
        <v>24.28</v>
      </c>
      <c r="BG801" s="2123">
        <v>20.41</v>
      </c>
      <c r="BH801" s="2123">
        <v>20.41</v>
      </c>
      <c r="BI801" s="2123">
        <v>20.25</v>
      </c>
      <c r="BJ801" s="2123">
        <v>20.25</v>
      </c>
      <c r="BK801" s="2123">
        <v>20.25</v>
      </c>
      <c r="BL801" s="2123">
        <v>20.25</v>
      </c>
      <c r="BM801" s="2123">
        <v>49.63</v>
      </c>
      <c r="BN801" s="2123">
        <v>49.63</v>
      </c>
      <c r="BO801" s="2123">
        <v>152.88999999999999</v>
      </c>
      <c r="BP801" s="2123">
        <v>152.88999999999999</v>
      </c>
      <c r="BQ801" s="2123">
        <v>152.88999999999999</v>
      </c>
      <c r="BR801" s="2123">
        <v>152.88999999999999</v>
      </c>
      <c r="BS801" s="2123">
        <v>192.51</v>
      </c>
      <c r="BT801" s="2123">
        <v>192.51</v>
      </c>
      <c r="BU801" s="2123">
        <v>192.51</v>
      </c>
      <c r="BV801" s="2123">
        <v>192.51</v>
      </c>
      <c r="BW801" s="2123">
        <v>192.51</v>
      </c>
      <c r="BX801" s="2123">
        <v>192.51</v>
      </c>
      <c r="BY801" s="2123">
        <v>45.08</v>
      </c>
      <c r="BZ801" s="2123">
        <v>45.08</v>
      </c>
      <c r="CA801" s="2123">
        <v>146.05000000000001</v>
      </c>
      <c r="CB801" s="2123">
        <v>146.05000000000001</v>
      </c>
      <c r="CC801" s="2123">
        <v>147.93</v>
      </c>
      <c r="CD801" s="2123">
        <v>147.93</v>
      </c>
      <c r="CE801" s="2123">
        <v>189.34</v>
      </c>
      <c r="CF801" s="2123">
        <v>189.34</v>
      </c>
      <c r="CK801" s="2123">
        <v>113.1</v>
      </c>
      <c r="CL801" s="2123">
        <v>113.1</v>
      </c>
      <c r="CM801" s="2123">
        <v>231.38</v>
      </c>
      <c r="CN801" s="2123">
        <v>231.38</v>
      </c>
      <c r="CO801" s="2123">
        <v>290.3</v>
      </c>
      <c r="CP801" s="2123">
        <v>290.3</v>
      </c>
      <c r="CQ801" s="2123">
        <v>290.3</v>
      </c>
      <c r="CR801" s="2123">
        <v>290.3</v>
      </c>
      <c r="CW801" s="2123">
        <v>104.66</v>
      </c>
      <c r="CX801" s="2123">
        <v>104.66</v>
      </c>
      <c r="CY801" s="2123">
        <v>222.24</v>
      </c>
      <c r="CZ801" s="2123">
        <v>222.24</v>
      </c>
      <c r="DA801" s="2123">
        <v>222.24</v>
      </c>
      <c r="DB801" s="2123">
        <v>222.24</v>
      </c>
      <c r="DC801" s="2123">
        <v>278.99</v>
      </c>
      <c r="DD801" s="2123">
        <v>278.99</v>
      </c>
      <c r="DE801" s="2123">
        <v>278.99</v>
      </c>
      <c r="DF801" s="2123">
        <v>278.99</v>
      </c>
      <c r="DI801" s="2123">
        <v>27.64</v>
      </c>
      <c r="DJ801" s="2123">
        <v>27.64</v>
      </c>
      <c r="DK801" s="2123">
        <v>27.64</v>
      </c>
      <c r="DL801" s="2123">
        <v>27.64</v>
      </c>
      <c r="DM801" s="2123">
        <v>27.64</v>
      </c>
      <c r="DN801" s="2123">
        <v>27.64</v>
      </c>
      <c r="DU801" s="2123">
        <v>12.34</v>
      </c>
      <c r="DV801" s="2123">
        <v>12.34</v>
      </c>
      <c r="DW801" s="2123">
        <v>11.53</v>
      </c>
      <c r="DX801" s="2123">
        <v>11.53</v>
      </c>
      <c r="DY801" s="2123">
        <v>11.53</v>
      </c>
      <c r="DZ801" s="2123">
        <v>11.53</v>
      </c>
      <c r="EG801" s="2123">
        <v>13.24</v>
      </c>
      <c r="EH801" s="2123">
        <v>13.45</v>
      </c>
      <c r="EI801" s="2123">
        <v>9.9700000000000006</v>
      </c>
      <c r="EJ801" s="2123">
        <v>9.9700000000000006</v>
      </c>
      <c r="EK801" s="2123">
        <v>9.9499999999999993</v>
      </c>
      <c r="EL801" s="2123">
        <v>9.9499999999999993</v>
      </c>
      <c r="EM801" s="2123">
        <v>10.66</v>
      </c>
      <c r="EN801" s="2123">
        <v>10.66</v>
      </c>
      <c r="EO801" s="2123">
        <v>10.039999999999999</v>
      </c>
      <c r="EP801" s="2123">
        <v>10.039999999999999</v>
      </c>
      <c r="EQ801" s="2123">
        <v>10.33</v>
      </c>
      <c r="ER801" s="2123">
        <v>10.3</v>
      </c>
      <c r="ES801" s="2123">
        <v>50.58</v>
      </c>
      <c r="ET801" s="2123">
        <v>50.58</v>
      </c>
      <c r="EU801" s="2123">
        <v>210.44</v>
      </c>
      <c r="EV801" s="2123">
        <v>210.44</v>
      </c>
      <c r="EW801" s="2123">
        <v>205.47</v>
      </c>
      <c r="EX801" s="2123">
        <v>205.47</v>
      </c>
      <c r="EY801" s="2129">
        <f t="shared" si="50"/>
        <v>207.95499999999998</v>
      </c>
      <c r="EZ801" s="2129">
        <f t="shared" si="50"/>
        <v>207.95499999999998</v>
      </c>
      <c r="FA801" s="2123">
        <v>209.9</v>
      </c>
      <c r="FB801" s="2123">
        <v>209.9</v>
      </c>
      <c r="FE801" s="2123">
        <v>43.45</v>
      </c>
      <c r="FF801" s="2123">
        <v>43.45</v>
      </c>
      <c r="FG801" s="2123">
        <v>176.77</v>
      </c>
      <c r="FH801" s="2123">
        <v>176.77</v>
      </c>
      <c r="FI801" s="2123">
        <v>176.77</v>
      </c>
      <c r="FJ801" s="2123">
        <v>179.31</v>
      </c>
      <c r="FK801" s="2123">
        <v>176.07</v>
      </c>
      <c r="FL801" s="2123">
        <v>176.07</v>
      </c>
      <c r="FM801" s="2123">
        <v>177.25</v>
      </c>
      <c r="FN801" s="2123">
        <v>177.25</v>
      </c>
      <c r="FQ801" s="2123">
        <v>98.1</v>
      </c>
      <c r="FR801" s="2123">
        <v>98.1</v>
      </c>
      <c r="FS801" s="2123">
        <v>193.35</v>
      </c>
      <c r="FT801" s="2123">
        <v>193.35</v>
      </c>
      <c r="FU801" s="2123">
        <v>193.35</v>
      </c>
      <c r="FV801" s="2123">
        <v>193.35</v>
      </c>
      <c r="FW801" s="2123">
        <v>194.09</v>
      </c>
      <c r="FX801" s="2123">
        <v>194.09</v>
      </c>
      <c r="GC801" s="2123">
        <v>69.430000000000007</v>
      </c>
      <c r="GD801" s="2123">
        <v>69.430000000000007</v>
      </c>
      <c r="GE801" s="2123">
        <v>157.59</v>
      </c>
      <c r="GF801" s="2123">
        <v>157.59</v>
      </c>
      <c r="GG801" s="2123">
        <v>157.59</v>
      </c>
      <c r="GH801" s="2123">
        <v>157.59</v>
      </c>
      <c r="GI801" s="2123">
        <v>155.21</v>
      </c>
      <c r="GJ801" s="2123">
        <v>155.21</v>
      </c>
      <c r="GK801" s="2123">
        <v>185.88</v>
      </c>
      <c r="GL801" s="2123">
        <v>185.88</v>
      </c>
      <c r="GO801" s="2123">
        <v>37.17</v>
      </c>
      <c r="GP801" s="2123">
        <v>37.17</v>
      </c>
      <c r="GQ801" s="2123">
        <v>30.7</v>
      </c>
      <c r="GR801" s="2123">
        <v>30.7</v>
      </c>
      <c r="GS801" s="2123">
        <v>30.7</v>
      </c>
      <c r="GT801" s="2123">
        <v>29.56</v>
      </c>
      <c r="GU801" s="2123">
        <v>29.56</v>
      </c>
      <c r="GV801" s="2123">
        <v>30</v>
      </c>
      <c r="GW801" s="2123">
        <v>175.38</v>
      </c>
      <c r="GX801" s="2123">
        <v>175.38</v>
      </c>
      <c r="HA801" s="2123">
        <v>25.89</v>
      </c>
      <c r="HB801" s="2123">
        <v>25.89</v>
      </c>
      <c r="HC801" s="2123">
        <v>18.27</v>
      </c>
      <c r="HD801" s="2123">
        <v>18.27</v>
      </c>
      <c r="HE801" s="2123">
        <v>19.09</v>
      </c>
      <c r="HF801" s="2123">
        <v>19.09</v>
      </c>
      <c r="HG801" s="2123">
        <v>19.09</v>
      </c>
      <c r="HH801" s="2123">
        <v>19.09</v>
      </c>
      <c r="HI801" s="2123">
        <v>19.09</v>
      </c>
      <c r="HJ801" s="2123">
        <v>19.09</v>
      </c>
      <c r="HK801" s="2123">
        <v>19.21</v>
      </c>
      <c r="HL801" s="2123">
        <v>19.53</v>
      </c>
      <c r="HM801" s="2123">
        <v>36.29</v>
      </c>
      <c r="HN801" s="2123">
        <v>36.29</v>
      </c>
      <c r="HO801" s="2123">
        <v>26.01</v>
      </c>
      <c r="HP801" s="2123">
        <v>26.01</v>
      </c>
      <c r="HQ801" s="2123">
        <v>27.25</v>
      </c>
      <c r="HR801" s="2123">
        <v>27.25</v>
      </c>
      <c r="HS801" s="2123">
        <v>27.25</v>
      </c>
      <c r="HT801" s="2123">
        <v>27.25</v>
      </c>
      <c r="HU801" s="2123">
        <v>27.25</v>
      </c>
      <c r="HV801" s="2123">
        <v>27.25</v>
      </c>
      <c r="HW801" s="2123">
        <v>27.28</v>
      </c>
      <c r="HX801" s="2050">
        <v>27.28</v>
      </c>
    </row>
    <row r="802" spans="1:232" s="2123" customFormat="1" ht="14" hidden="1" x14ac:dyDescent="0.3">
      <c r="A802" s="2040"/>
      <c r="B802" s="2127">
        <v>53</v>
      </c>
      <c r="C802" s="2128">
        <v>41.29</v>
      </c>
      <c r="D802" s="2128">
        <v>41.29</v>
      </c>
      <c r="E802" s="2128">
        <v>41.59</v>
      </c>
      <c r="F802" s="2128">
        <v>41.59</v>
      </c>
      <c r="G802" s="2128">
        <v>156.84</v>
      </c>
      <c r="H802" s="2128">
        <v>156.84</v>
      </c>
      <c r="I802" s="2128">
        <v>146.5</v>
      </c>
      <c r="J802" s="2128">
        <v>146.5</v>
      </c>
      <c r="K802" s="2128">
        <v>154.07</v>
      </c>
      <c r="L802" s="2128">
        <v>154.07</v>
      </c>
      <c r="M802" s="2128"/>
      <c r="N802" s="2128"/>
      <c r="O802" s="2128">
        <v>129.19999999999999</v>
      </c>
      <c r="P802" s="2128">
        <v>129.19999999999999</v>
      </c>
      <c r="Q802" s="2128">
        <v>129.15</v>
      </c>
      <c r="R802" s="2128">
        <v>129.21</v>
      </c>
      <c r="S802" s="2128">
        <v>228.17</v>
      </c>
      <c r="T802" s="2128">
        <v>228.21</v>
      </c>
      <c r="U802" s="2128">
        <v>220.28</v>
      </c>
      <c r="V802" s="2128">
        <v>220.28</v>
      </c>
      <c r="W802" s="2128">
        <v>228.21</v>
      </c>
      <c r="X802" s="2128">
        <v>228.21</v>
      </c>
      <c r="Y802" s="2128">
        <v>220.28</v>
      </c>
      <c r="Z802" s="2128">
        <v>228.21</v>
      </c>
      <c r="AA802" s="2128">
        <v>228.21</v>
      </c>
      <c r="AB802" s="2128">
        <v>228.21</v>
      </c>
      <c r="AC802" s="2128">
        <v>220.28</v>
      </c>
      <c r="AD802" s="2128">
        <v>220.28</v>
      </c>
      <c r="AE802" s="2128">
        <v>244.47</v>
      </c>
      <c r="AF802" s="2128">
        <v>237.47</v>
      </c>
      <c r="AG802" s="2128">
        <v>244.47</v>
      </c>
      <c r="AH802" s="2128">
        <v>244.47</v>
      </c>
      <c r="AI802" s="2128">
        <v>237.47</v>
      </c>
      <c r="AJ802" s="2128">
        <v>237.47</v>
      </c>
      <c r="AK802" s="2128">
        <v>238.26</v>
      </c>
      <c r="AL802" s="2128">
        <v>238.26</v>
      </c>
      <c r="AM802" s="2128">
        <v>68.349999999999994</v>
      </c>
      <c r="AN802" s="2128">
        <v>65.86</v>
      </c>
      <c r="AO802" s="2128">
        <v>65.86</v>
      </c>
      <c r="AP802" s="2128">
        <v>65.91</v>
      </c>
      <c r="AQ802" s="2128">
        <v>66.510000000000005</v>
      </c>
      <c r="AR802" s="2128">
        <v>66.510000000000005</v>
      </c>
      <c r="AS802" s="2128">
        <v>192.5</v>
      </c>
      <c r="AT802" s="2128">
        <v>192.5</v>
      </c>
      <c r="AU802" s="2128">
        <v>192.5</v>
      </c>
      <c r="AV802" s="2128">
        <v>197.14</v>
      </c>
      <c r="AW802" s="2128">
        <v>192.77</v>
      </c>
      <c r="AX802" s="2128">
        <v>192.77</v>
      </c>
      <c r="AY802" s="2128">
        <v>192.91</v>
      </c>
      <c r="AZ802" s="2128">
        <v>192.91</v>
      </c>
      <c r="BA802" s="2123">
        <v>83.58</v>
      </c>
      <c r="BB802" s="2123">
        <v>83.58</v>
      </c>
      <c r="BC802" s="2123">
        <v>20.57</v>
      </c>
      <c r="BD802" s="2123">
        <v>20.88</v>
      </c>
      <c r="BE802" s="2123">
        <v>24.49</v>
      </c>
      <c r="BF802" s="2123">
        <v>24.49</v>
      </c>
      <c r="BG802" s="2123">
        <v>20.67</v>
      </c>
      <c r="BH802" s="2123">
        <v>20.67</v>
      </c>
      <c r="BI802" s="2123">
        <v>20.51</v>
      </c>
      <c r="BJ802" s="2123">
        <v>20.51</v>
      </c>
      <c r="BK802" s="2123">
        <v>20.51</v>
      </c>
      <c r="BL802" s="2123">
        <v>20.51</v>
      </c>
      <c r="BM802" s="2123">
        <v>49.98</v>
      </c>
      <c r="BN802" s="2123">
        <v>49.98</v>
      </c>
      <c r="BO802" s="2123">
        <v>154.15</v>
      </c>
      <c r="BP802" s="2123">
        <v>154.15</v>
      </c>
      <c r="BQ802" s="2123">
        <v>154.15</v>
      </c>
      <c r="BR802" s="2123">
        <v>154.15</v>
      </c>
      <c r="BS802" s="2123">
        <v>194.41</v>
      </c>
      <c r="BT802" s="2123">
        <v>194.41</v>
      </c>
      <c r="BU802" s="2123">
        <v>194.41</v>
      </c>
      <c r="BV802" s="2123">
        <v>194.41</v>
      </c>
      <c r="BW802" s="2123">
        <v>194.41</v>
      </c>
      <c r="BX802" s="2123">
        <v>194.41</v>
      </c>
      <c r="BY802" s="2123">
        <v>45.38</v>
      </c>
      <c r="BZ802" s="2123">
        <v>45.38</v>
      </c>
      <c r="CA802" s="2123">
        <v>147.21</v>
      </c>
      <c r="CB802" s="2123">
        <v>147.21</v>
      </c>
      <c r="CC802" s="2123">
        <v>149.13</v>
      </c>
      <c r="CD802" s="2123">
        <v>149.13</v>
      </c>
      <c r="CE802" s="2123">
        <v>191.14</v>
      </c>
      <c r="CF802" s="2123">
        <v>191.14</v>
      </c>
      <c r="CK802" s="2123">
        <v>113.77</v>
      </c>
      <c r="CL802" s="2123">
        <v>113.77</v>
      </c>
      <c r="CM802" s="2123">
        <v>232.48</v>
      </c>
      <c r="CN802" s="2123">
        <v>232.48</v>
      </c>
      <c r="CO802" s="2123">
        <v>292.05</v>
      </c>
      <c r="CP802" s="2123">
        <v>292.05</v>
      </c>
      <c r="CQ802" s="2123">
        <v>292.05</v>
      </c>
      <c r="CR802" s="2123">
        <v>292.05</v>
      </c>
      <c r="CW802" s="2123">
        <v>105.33</v>
      </c>
      <c r="CX802" s="2123">
        <v>105.33</v>
      </c>
      <c r="CY802" s="2123">
        <v>223.48</v>
      </c>
      <c r="CZ802" s="2123">
        <v>223.48</v>
      </c>
      <c r="DA802" s="2123">
        <v>223.48</v>
      </c>
      <c r="DB802" s="2123">
        <v>223.48</v>
      </c>
      <c r="DC802" s="2123">
        <v>280.95</v>
      </c>
      <c r="DD802" s="2123">
        <v>280.95</v>
      </c>
      <c r="DE802" s="2123">
        <v>280.95</v>
      </c>
      <c r="DF802" s="2123">
        <v>280.95</v>
      </c>
      <c r="DI802" s="2123">
        <v>27.85</v>
      </c>
      <c r="DJ802" s="2123">
        <v>27.85</v>
      </c>
      <c r="DK802" s="2123">
        <v>27.85</v>
      </c>
      <c r="DL802" s="2123">
        <v>27.85</v>
      </c>
      <c r="DM802" s="2123">
        <v>27.85</v>
      </c>
      <c r="DN802" s="2123">
        <v>27.85</v>
      </c>
      <c r="DU802" s="2123">
        <v>12.42</v>
      </c>
      <c r="DV802" s="2123">
        <v>12.42</v>
      </c>
      <c r="DW802" s="2123">
        <v>11.62</v>
      </c>
      <c r="DX802" s="2123">
        <v>11.62</v>
      </c>
      <c r="DY802" s="2123">
        <v>11.62</v>
      </c>
      <c r="DZ802" s="2123">
        <v>11.62</v>
      </c>
      <c r="EG802" s="2123">
        <v>13.33</v>
      </c>
      <c r="EH802" s="2123">
        <v>13.54</v>
      </c>
      <c r="EI802" s="2123">
        <v>10.08</v>
      </c>
      <c r="EJ802" s="2123">
        <v>10.08</v>
      </c>
      <c r="EK802" s="2123">
        <v>10.06</v>
      </c>
      <c r="EL802" s="2123">
        <v>10.06</v>
      </c>
      <c r="EM802" s="2123">
        <v>10.77</v>
      </c>
      <c r="EN802" s="2123">
        <v>10.77</v>
      </c>
      <c r="EO802" s="2123">
        <v>10.15</v>
      </c>
      <c r="EP802" s="2123">
        <v>10.15</v>
      </c>
      <c r="EQ802" s="2123">
        <v>10.44</v>
      </c>
      <c r="ER802" s="2123">
        <v>10.4</v>
      </c>
      <c r="ES802" s="2123">
        <v>50.92</v>
      </c>
      <c r="ET802" s="2123">
        <v>50.92</v>
      </c>
      <c r="EU802" s="2123">
        <v>212.43</v>
      </c>
      <c r="EV802" s="2123">
        <v>212.43</v>
      </c>
      <c r="EW802" s="2123">
        <v>207.44</v>
      </c>
      <c r="EX802" s="2123">
        <v>207.44</v>
      </c>
      <c r="EY802" s="2129">
        <f t="shared" si="50"/>
        <v>209.935</v>
      </c>
      <c r="EZ802" s="2129">
        <f t="shared" si="50"/>
        <v>209.935</v>
      </c>
      <c r="FA802" s="2123">
        <v>211.82</v>
      </c>
      <c r="FB802" s="2123">
        <v>211.82</v>
      </c>
      <c r="FE802" s="2123">
        <v>43.75</v>
      </c>
      <c r="FF802" s="2123">
        <v>43.75</v>
      </c>
      <c r="FG802" s="2123">
        <v>178.48</v>
      </c>
      <c r="FH802" s="2123">
        <v>178.48</v>
      </c>
      <c r="FI802" s="2123">
        <v>178.48</v>
      </c>
      <c r="FJ802" s="2123">
        <v>180.95</v>
      </c>
      <c r="FK802" s="2123">
        <v>177.8</v>
      </c>
      <c r="FL802" s="2123">
        <v>177.8</v>
      </c>
      <c r="FM802" s="2123">
        <v>178.95</v>
      </c>
      <c r="FN802" s="2123">
        <v>178.95</v>
      </c>
      <c r="FQ802" s="2123">
        <v>98.78</v>
      </c>
      <c r="FR802" s="2123">
        <v>98.78</v>
      </c>
      <c r="FS802" s="2123">
        <v>194.88</v>
      </c>
      <c r="FT802" s="2123">
        <v>194.88</v>
      </c>
      <c r="FU802" s="2123">
        <v>194.88</v>
      </c>
      <c r="FV802" s="2123">
        <v>194.88</v>
      </c>
      <c r="FW802" s="2123">
        <v>195.6</v>
      </c>
      <c r="FX802" s="2123">
        <v>195.6</v>
      </c>
      <c r="GC802" s="2123">
        <v>69.900000000000006</v>
      </c>
      <c r="GD802" s="2123">
        <v>69.900000000000006</v>
      </c>
      <c r="GE802" s="2123">
        <v>158.55000000000001</v>
      </c>
      <c r="GF802" s="2123">
        <v>158.55000000000001</v>
      </c>
      <c r="GG802" s="2123">
        <v>158.55000000000001</v>
      </c>
      <c r="GH802" s="2123">
        <v>158.55000000000001</v>
      </c>
      <c r="GI802" s="2123">
        <v>157.16</v>
      </c>
      <c r="GJ802" s="2123">
        <v>157.16</v>
      </c>
      <c r="GK802" s="2123">
        <v>187.57</v>
      </c>
      <c r="GL802" s="2123">
        <v>187.57</v>
      </c>
      <c r="GO802" s="2123">
        <v>37.42</v>
      </c>
      <c r="GP802" s="2123">
        <v>37.42</v>
      </c>
      <c r="GQ802" s="2123">
        <v>31.05</v>
      </c>
      <c r="GR802" s="2123">
        <v>31.05</v>
      </c>
      <c r="GS802" s="2123">
        <v>31.05</v>
      </c>
      <c r="GT802" s="2123">
        <v>29.89</v>
      </c>
      <c r="GU802" s="2123">
        <v>29.89</v>
      </c>
      <c r="GV802" s="2123">
        <v>30.31</v>
      </c>
      <c r="GW802" s="2123">
        <v>177.26</v>
      </c>
      <c r="GX802" s="2123">
        <v>177.26</v>
      </c>
      <c r="HA802" s="2123">
        <v>26.02</v>
      </c>
      <c r="HB802" s="2123">
        <v>26.02</v>
      </c>
      <c r="HC802" s="2123">
        <v>18.43</v>
      </c>
      <c r="HD802" s="2123">
        <v>18.43</v>
      </c>
      <c r="HE802" s="2123">
        <v>19.3</v>
      </c>
      <c r="HF802" s="2123">
        <v>19.3</v>
      </c>
      <c r="HG802" s="2123">
        <v>19.3</v>
      </c>
      <c r="HH802" s="2123">
        <v>19.3</v>
      </c>
      <c r="HI802" s="2123">
        <v>19.3</v>
      </c>
      <c r="HJ802" s="2123">
        <v>19.3</v>
      </c>
      <c r="HK802" s="2123">
        <v>19.37</v>
      </c>
      <c r="HL802" s="2123">
        <v>19.68</v>
      </c>
      <c r="HM802" s="2123">
        <v>36.520000000000003</v>
      </c>
      <c r="HN802" s="2123">
        <v>36.520000000000003</v>
      </c>
      <c r="HO802" s="2123">
        <v>26.3</v>
      </c>
      <c r="HP802" s="2123">
        <v>26.3</v>
      </c>
      <c r="HQ802" s="2123">
        <v>27.61</v>
      </c>
      <c r="HR802" s="2123">
        <v>27.61</v>
      </c>
      <c r="HS802" s="2123">
        <v>27.61</v>
      </c>
      <c r="HT802" s="2123">
        <v>27.61</v>
      </c>
      <c r="HU802" s="2123">
        <v>27.61</v>
      </c>
      <c r="HV802" s="2123">
        <v>27.61</v>
      </c>
      <c r="HW802" s="2123">
        <v>27.56</v>
      </c>
      <c r="HX802" s="2050">
        <v>27.56</v>
      </c>
    </row>
    <row r="803" spans="1:232" s="2123" customFormat="1" ht="14" hidden="1" x14ac:dyDescent="0.3">
      <c r="A803" s="2040"/>
      <c r="B803" s="2127">
        <v>54</v>
      </c>
      <c r="C803" s="2128">
        <v>41.66</v>
      </c>
      <c r="D803" s="2128">
        <v>41.66</v>
      </c>
      <c r="E803" s="2128">
        <v>41.95</v>
      </c>
      <c r="F803" s="2128">
        <v>41.95</v>
      </c>
      <c r="G803" s="2128">
        <v>157.85</v>
      </c>
      <c r="H803" s="2128">
        <v>157.85</v>
      </c>
      <c r="I803" s="2128">
        <v>148.25</v>
      </c>
      <c r="J803" s="2128">
        <v>148.25</v>
      </c>
      <c r="K803" s="2128">
        <v>155.61000000000001</v>
      </c>
      <c r="L803" s="2128">
        <v>155.61000000000001</v>
      </c>
      <c r="M803" s="2128"/>
      <c r="N803" s="2128"/>
      <c r="O803" s="2128">
        <v>130.03</v>
      </c>
      <c r="P803" s="2128">
        <v>130.03</v>
      </c>
      <c r="Q803" s="2128">
        <v>129.94</v>
      </c>
      <c r="R803" s="2128">
        <v>130.03</v>
      </c>
      <c r="S803" s="2128">
        <v>230.25</v>
      </c>
      <c r="T803" s="2128">
        <v>230.34</v>
      </c>
      <c r="U803" s="2128">
        <v>222.34</v>
      </c>
      <c r="V803" s="2128">
        <v>222.34</v>
      </c>
      <c r="W803" s="2128">
        <v>230.34</v>
      </c>
      <c r="X803" s="2128">
        <v>230.34</v>
      </c>
      <c r="Y803" s="2128">
        <v>222.34</v>
      </c>
      <c r="Z803" s="2128">
        <v>230.34</v>
      </c>
      <c r="AA803" s="2128">
        <v>230.34</v>
      </c>
      <c r="AB803" s="2128">
        <v>230.34</v>
      </c>
      <c r="AC803" s="2128">
        <v>222.34</v>
      </c>
      <c r="AD803" s="2128">
        <v>222.34</v>
      </c>
      <c r="AE803" s="2128">
        <v>246.44</v>
      </c>
      <c r="AF803" s="2128">
        <v>239.38</v>
      </c>
      <c r="AG803" s="2128">
        <v>246.44</v>
      </c>
      <c r="AH803" s="2128">
        <v>246.44</v>
      </c>
      <c r="AI803" s="2128">
        <v>239.38</v>
      </c>
      <c r="AJ803" s="2128">
        <v>239.38</v>
      </c>
      <c r="AK803" s="2128">
        <v>240.15</v>
      </c>
      <c r="AL803" s="2128">
        <v>240.15</v>
      </c>
      <c r="AM803" s="2128">
        <v>68.8</v>
      </c>
      <c r="AN803" s="2128">
        <v>66.290000000000006</v>
      </c>
      <c r="AO803" s="2128">
        <v>66.290000000000006</v>
      </c>
      <c r="AP803" s="2128">
        <v>66.36</v>
      </c>
      <c r="AQ803" s="2128">
        <v>66.94</v>
      </c>
      <c r="AR803" s="2128">
        <v>66.94</v>
      </c>
      <c r="AS803" s="2128">
        <v>194.15</v>
      </c>
      <c r="AT803" s="2128">
        <v>194.15</v>
      </c>
      <c r="AU803" s="2128">
        <v>194.15</v>
      </c>
      <c r="AV803" s="2128">
        <v>198.81</v>
      </c>
      <c r="AW803" s="2128">
        <v>194.42</v>
      </c>
      <c r="AX803" s="2128">
        <v>194.42</v>
      </c>
      <c r="AY803" s="2128">
        <v>194.56</v>
      </c>
      <c r="AZ803" s="2128">
        <v>194.56</v>
      </c>
      <c r="BA803" s="2123">
        <v>84.24</v>
      </c>
      <c r="BB803" s="2123">
        <v>84.24</v>
      </c>
      <c r="BC803" s="2123">
        <v>20.78</v>
      </c>
      <c r="BD803" s="2123">
        <v>21.08</v>
      </c>
      <c r="BE803" s="2123">
        <v>24.64</v>
      </c>
      <c r="BF803" s="2123">
        <v>24.64</v>
      </c>
      <c r="BG803" s="2123">
        <v>20.87</v>
      </c>
      <c r="BH803" s="2123">
        <v>20.87</v>
      </c>
      <c r="BI803" s="2123">
        <v>20.7</v>
      </c>
      <c r="BJ803" s="2123">
        <v>20.7</v>
      </c>
      <c r="BK803" s="2123">
        <v>20.7</v>
      </c>
      <c r="BL803" s="2123">
        <v>20.7</v>
      </c>
      <c r="BM803" s="2123">
        <v>50.34</v>
      </c>
      <c r="BN803" s="2123">
        <v>50.34</v>
      </c>
      <c r="BO803" s="2123">
        <v>155.43</v>
      </c>
      <c r="BP803" s="2123">
        <v>155.43</v>
      </c>
      <c r="BQ803" s="2123">
        <v>155.43</v>
      </c>
      <c r="BR803" s="2123">
        <v>155.43</v>
      </c>
      <c r="BS803" s="2123">
        <v>196.34</v>
      </c>
      <c r="BT803" s="2123">
        <v>196.34</v>
      </c>
      <c r="BU803" s="2123">
        <v>196.34</v>
      </c>
      <c r="BV803" s="2123">
        <v>196.34</v>
      </c>
      <c r="BW803" s="2123">
        <v>196.34</v>
      </c>
      <c r="BX803" s="2123">
        <v>196.34</v>
      </c>
      <c r="BY803" s="2123">
        <v>45.71</v>
      </c>
      <c r="BZ803" s="2123">
        <v>45.71</v>
      </c>
      <c r="CA803" s="2123">
        <v>148.44</v>
      </c>
      <c r="CB803" s="2123">
        <v>148.44</v>
      </c>
      <c r="CC803" s="2123">
        <v>150.4</v>
      </c>
      <c r="CD803" s="2123">
        <v>150.4</v>
      </c>
      <c r="CE803" s="2123">
        <v>193.05</v>
      </c>
      <c r="CF803" s="2123">
        <v>193.05</v>
      </c>
      <c r="CK803" s="2123">
        <v>114.36</v>
      </c>
      <c r="CL803" s="2123">
        <v>114.36</v>
      </c>
      <c r="CM803" s="2123">
        <v>233.62</v>
      </c>
      <c r="CN803" s="2123">
        <v>233.62</v>
      </c>
      <c r="CO803" s="2123">
        <v>293.89</v>
      </c>
      <c r="CP803" s="2123">
        <v>293.89</v>
      </c>
      <c r="CQ803" s="2123">
        <v>293.89</v>
      </c>
      <c r="CR803" s="2123">
        <v>293.89</v>
      </c>
      <c r="CW803" s="2123">
        <v>106.13</v>
      </c>
      <c r="CX803" s="2123">
        <v>106.13</v>
      </c>
      <c r="CY803" s="2123">
        <v>224.92</v>
      </c>
      <c r="CZ803" s="2123">
        <v>224.92</v>
      </c>
      <c r="DA803" s="2123">
        <v>224.92</v>
      </c>
      <c r="DB803" s="2123">
        <v>224.92</v>
      </c>
      <c r="DC803" s="2123">
        <v>283.24</v>
      </c>
      <c r="DD803" s="2123">
        <v>283.24</v>
      </c>
      <c r="DE803" s="2123">
        <v>283.24</v>
      </c>
      <c r="DF803" s="2123">
        <v>283.24</v>
      </c>
      <c r="DI803" s="2123">
        <v>28.05</v>
      </c>
      <c r="DJ803" s="2123">
        <v>28.05</v>
      </c>
      <c r="DK803" s="2123">
        <v>28.05</v>
      </c>
      <c r="DL803" s="2123">
        <v>28.05</v>
      </c>
      <c r="DM803" s="2123">
        <v>28.05</v>
      </c>
      <c r="DN803" s="2123">
        <v>28.05</v>
      </c>
      <c r="DU803" s="2123">
        <v>12.49</v>
      </c>
      <c r="DV803" s="2123">
        <v>12.49</v>
      </c>
      <c r="DW803" s="2123">
        <v>11.72</v>
      </c>
      <c r="DX803" s="2123">
        <v>11.72</v>
      </c>
      <c r="DY803" s="2123">
        <v>11.72</v>
      </c>
      <c r="DZ803" s="2123">
        <v>11.72</v>
      </c>
      <c r="EG803" s="2123">
        <v>13.41</v>
      </c>
      <c r="EH803" s="2123">
        <v>13.62</v>
      </c>
      <c r="EI803" s="2123">
        <v>10.19</v>
      </c>
      <c r="EJ803" s="2123">
        <v>10.19</v>
      </c>
      <c r="EK803" s="2123">
        <v>10.17</v>
      </c>
      <c r="EL803" s="2123">
        <v>10.17</v>
      </c>
      <c r="EM803" s="2123">
        <v>10.87</v>
      </c>
      <c r="EN803" s="2123">
        <v>10.87</v>
      </c>
      <c r="EO803" s="2123">
        <v>10.25</v>
      </c>
      <c r="EP803" s="2123">
        <v>10.25</v>
      </c>
      <c r="EQ803" s="2123">
        <v>10.54</v>
      </c>
      <c r="ER803" s="2123">
        <v>10.5</v>
      </c>
      <c r="ES803" s="2123">
        <v>51.25</v>
      </c>
      <c r="ET803" s="2123">
        <v>51.25</v>
      </c>
      <c r="EU803" s="2123">
        <v>214.37</v>
      </c>
      <c r="EV803" s="2123">
        <v>214.37</v>
      </c>
      <c r="EW803" s="2123">
        <v>209.37</v>
      </c>
      <c r="EX803" s="2123">
        <v>209.37</v>
      </c>
      <c r="EY803" s="2129">
        <f t="shared" si="50"/>
        <v>211.87</v>
      </c>
      <c r="EZ803" s="2129">
        <f t="shared" si="50"/>
        <v>211.87</v>
      </c>
      <c r="FA803" s="2123">
        <v>213.68</v>
      </c>
      <c r="FB803" s="2123">
        <v>213.68</v>
      </c>
      <c r="FE803" s="2123">
        <v>44.04</v>
      </c>
      <c r="FF803" s="2123">
        <v>44.04</v>
      </c>
      <c r="FG803" s="2123">
        <v>180.14</v>
      </c>
      <c r="FH803" s="2123">
        <v>180.14</v>
      </c>
      <c r="FI803" s="2123">
        <v>180.14</v>
      </c>
      <c r="FJ803" s="2123">
        <v>182.55</v>
      </c>
      <c r="FK803" s="2123">
        <v>179.47</v>
      </c>
      <c r="FL803" s="2123">
        <v>179.47</v>
      </c>
      <c r="FM803" s="2123">
        <v>180.61</v>
      </c>
      <c r="FN803" s="2123">
        <v>180.61</v>
      </c>
      <c r="FQ803" s="2123">
        <v>99.43</v>
      </c>
      <c r="FR803" s="2123">
        <v>99.43</v>
      </c>
      <c r="FS803" s="2123">
        <v>196.37</v>
      </c>
      <c r="FT803" s="2123">
        <v>196.37</v>
      </c>
      <c r="FU803" s="2123">
        <v>196.37</v>
      </c>
      <c r="FV803" s="2123">
        <v>196.37</v>
      </c>
      <c r="FW803" s="2123">
        <v>197.07</v>
      </c>
      <c r="FX803" s="2123">
        <v>197.07</v>
      </c>
      <c r="GC803" s="2123">
        <v>70.349999999999994</v>
      </c>
      <c r="GD803" s="2123">
        <v>70.349999999999994</v>
      </c>
      <c r="GE803" s="2123">
        <v>159.49</v>
      </c>
      <c r="GF803" s="2123">
        <v>159.49</v>
      </c>
      <c r="GG803" s="2123">
        <v>159.49</v>
      </c>
      <c r="GH803" s="2123">
        <v>159.49</v>
      </c>
      <c r="GI803" s="2123">
        <v>159.06</v>
      </c>
      <c r="GJ803" s="2123">
        <v>159.06</v>
      </c>
      <c r="GK803" s="2123">
        <v>189.2</v>
      </c>
      <c r="GL803" s="2123">
        <v>189.2</v>
      </c>
      <c r="GO803" s="2123">
        <v>37.659999999999997</v>
      </c>
      <c r="GP803" s="2123">
        <v>37.659999999999997</v>
      </c>
      <c r="GQ803" s="2123">
        <v>31.39</v>
      </c>
      <c r="GR803" s="2123">
        <v>31.39</v>
      </c>
      <c r="GS803" s="2123">
        <v>31.39</v>
      </c>
      <c r="GT803" s="2123">
        <v>30.22</v>
      </c>
      <c r="GU803" s="2123">
        <v>30.22</v>
      </c>
      <c r="GV803" s="2123">
        <v>30.63</v>
      </c>
      <c r="GW803" s="2123">
        <v>179.14</v>
      </c>
      <c r="GX803" s="2123">
        <v>179.14</v>
      </c>
      <c r="HA803" s="2123">
        <v>26.18</v>
      </c>
      <c r="HB803" s="2123">
        <v>26.18</v>
      </c>
      <c r="HC803" s="2123">
        <v>18.64</v>
      </c>
      <c r="HD803" s="2123">
        <v>18.64</v>
      </c>
      <c r="HE803" s="2123">
        <v>19.47</v>
      </c>
      <c r="HF803" s="2123">
        <v>19.47</v>
      </c>
      <c r="HG803" s="2123">
        <v>19.47</v>
      </c>
      <c r="HH803" s="2123">
        <v>19.47</v>
      </c>
      <c r="HI803" s="2123">
        <v>19.47</v>
      </c>
      <c r="HJ803" s="2123">
        <v>19.47</v>
      </c>
      <c r="HK803" s="2123">
        <v>19.57</v>
      </c>
      <c r="HL803" s="2123">
        <v>19.88</v>
      </c>
      <c r="HM803" s="2123">
        <v>36.799999999999997</v>
      </c>
      <c r="HN803" s="2123">
        <v>36.799999999999997</v>
      </c>
      <c r="HO803" s="2123">
        <v>26.66</v>
      </c>
      <c r="HP803" s="2123">
        <v>26.66</v>
      </c>
      <c r="HQ803" s="2123">
        <v>27.92</v>
      </c>
      <c r="HR803" s="2123">
        <v>27.92</v>
      </c>
      <c r="HS803" s="2123">
        <v>27.92</v>
      </c>
      <c r="HT803" s="2123">
        <v>27.92</v>
      </c>
      <c r="HU803" s="2123">
        <v>27.92</v>
      </c>
      <c r="HV803" s="2123">
        <v>27.92</v>
      </c>
      <c r="HW803" s="2123">
        <v>27.91</v>
      </c>
      <c r="HX803" s="2050">
        <v>27.91</v>
      </c>
    </row>
    <row r="804" spans="1:232" s="2123" customFormat="1" ht="14" hidden="1" x14ac:dyDescent="0.3">
      <c r="A804" s="2040"/>
      <c r="B804" s="2127">
        <v>55</v>
      </c>
      <c r="C804" s="2128">
        <v>41.87</v>
      </c>
      <c r="D804" s="2128">
        <v>41.87</v>
      </c>
      <c r="E804" s="2128">
        <v>42.15</v>
      </c>
      <c r="F804" s="2128">
        <v>42.15</v>
      </c>
      <c r="G804" s="2128">
        <v>158.9</v>
      </c>
      <c r="H804" s="2128">
        <v>158.9</v>
      </c>
      <c r="I804" s="2128">
        <v>149.25</v>
      </c>
      <c r="J804" s="2128">
        <v>149.25</v>
      </c>
      <c r="K804" s="2128">
        <v>156.47999999999999</v>
      </c>
      <c r="L804" s="2128">
        <v>156.47999999999999</v>
      </c>
      <c r="M804" s="2128"/>
      <c r="N804" s="2128"/>
      <c r="O804" s="2128">
        <v>130.91</v>
      </c>
      <c r="P804" s="2128">
        <v>130.91</v>
      </c>
      <c r="Q804" s="2128">
        <v>130.80000000000001</v>
      </c>
      <c r="R804" s="2128">
        <v>130.91</v>
      </c>
      <c r="S804" s="2128">
        <v>232.48</v>
      </c>
      <c r="T804" s="2128">
        <v>232.41</v>
      </c>
      <c r="U804" s="2128">
        <v>224.33</v>
      </c>
      <c r="V804" s="2128">
        <v>224.33</v>
      </c>
      <c r="W804" s="2128">
        <v>232.41</v>
      </c>
      <c r="X804" s="2128">
        <v>232.41</v>
      </c>
      <c r="Y804" s="2128">
        <v>224.33</v>
      </c>
      <c r="Z804" s="2128">
        <v>232.41</v>
      </c>
      <c r="AA804" s="2128">
        <v>232.41</v>
      </c>
      <c r="AB804" s="2128">
        <v>232.41</v>
      </c>
      <c r="AC804" s="2128">
        <v>224.33</v>
      </c>
      <c r="AD804" s="2128">
        <v>224.33</v>
      </c>
      <c r="AE804" s="2128">
        <v>248.34</v>
      </c>
      <c r="AF804" s="2128">
        <v>241.23</v>
      </c>
      <c r="AG804" s="2128">
        <v>248.34</v>
      </c>
      <c r="AH804" s="2128">
        <v>248.34</v>
      </c>
      <c r="AI804" s="2128">
        <v>241.23</v>
      </c>
      <c r="AJ804" s="2128">
        <v>241.23</v>
      </c>
      <c r="AK804" s="2128">
        <v>241.97</v>
      </c>
      <c r="AL804" s="2128">
        <v>241.97</v>
      </c>
      <c r="AM804" s="2128">
        <v>69.23</v>
      </c>
      <c r="AN804" s="2128">
        <v>66.7</v>
      </c>
      <c r="AO804" s="2128">
        <v>66.7</v>
      </c>
      <c r="AP804" s="2128">
        <v>66.73</v>
      </c>
      <c r="AQ804" s="2128">
        <v>67.3</v>
      </c>
      <c r="AR804" s="2128">
        <v>67.3</v>
      </c>
      <c r="AS804" s="2128">
        <v>195.53</v>
      </c>
      <c r="AT804" s="2128">
        <v>195.53</v>
      </c>
      <c r="AU804" s="2128">
        <v>195.53</v>
      </c>
      <c r="AV804" s="2128">
        <v>200.21</v>
      </c>
      <c r="AW804" s="2128">
        <v>195.81</v>
      </c>
      <c r="AX804" s="2128">
        <v>195.81</v>
      </c>
      <c r="AY804" s="2128">
        <v>195.95</v>
      </c>
      <c r="AZ804" s="2128">
        <v>195.95</v>
      </c>
      <c r="BA804" s="2123">
        <v>84.74</v>
      </c>
      <c r="BB804" s="2123">
        <v>84.74</v>
      </c>
      <c r="BC804" s="2123">
        <v>20.99</v>
      </c>
      <c r="BD804" s="2123">
        <v>21.28</v>
      </c>
      <c r="BE804" s="2123">
        <v>24.75</v>
      </c>
      <c r="BF804" s="2123">
        <v>24.75</v>
      </c>
      <c r="BG804" s="2123">
        <v>21.01</v>
      </c>
      <c r="BH804" s="2123">
        <v>21.01</v>
      </c>
      <c r="BI804" s="2123">
        <v>20.85</v>
      </c>
      <c r="BJ804" s="2123">
        <v>20.85</v>
      </c>
      <c r="BK804" s="2123">
        <v>20.85</v>
      </c>
      <c r="BL804" s="2123">
        <v>20.85</v>
      </c>
      <c r="BM804" s="2123">
        <v>50.57</v>
      </c>
      <c r="BN804" s="2123">
        <v>50.57</v>
      </c>
      <c r="BO804" s="2123">
        <v>156.25</v>
      </c>
      <c r="BP804" s="2123">
        <v>156.25</v>
      </c>
      <c r="BQ804" s="2123">
        <v>156.25</v>
      </c>
      <c r="BR804" s="2123">
        <v>156.25</v>
      </c>
      <c r="BS804" s="2123">
        <v>197.58</v>
      </c>
      <c r="BT804" s="2123">
        <v>197.58</v>
      </c>
      <c r="BU804" s="2123">
        <v>197.58</v>
      </c>
      <c r="BV804" s="2123">
        <v>197.58</v>
      </c>
      <c r="BW804" s="2123">
        <v>197.58</v>
      </c>
      <c r="BX804" s="2123">
        <v>197.58</v>
      </c>
      <c r="BY804" s="2123">
        <v>45.91</v>
      </c>
      <c r="BZ804" s="2123">
        <v>45.91</v>
      </c>
      <c r="CA804" s="2123">
        <v>149.21</v>
      </c>
      <c r="CB804" s="2123">
        <v>149.21</v>
      </c>
      <c r="CC804" s="2123">
        <v>151.19</v>
      </c>
      <c r="CD804" s="2123">
        <v>151.19</v>
      </c>
      <c r="CE804" s="2123">
        <v>194.24</v>
      </c>
      <c r="CF804" s="2123">
        <v>194.24</v>
      </c>
      <c r="CK804" s="2123">
        <v>115</v>
      </c>
      <c r="CL804" s="2123">
        <v>115</v>
      </c>
      <c r="CM804" s="2123">
        <v>234.66</v>
      </c>
      <c r="CN804" s="2123">
        <v>234.66</v>
      </c>
      <c r="CO804" s="2123">
        <v>295.56</v>
      </c>
      <c r="CP804" s="2123">
        <v>295.56</v>
      </c>
      <c r="CQ804" s="2123">
        <v>295.56</v>
      </c>
      <c r="CR804" s="2123">
        <v>295.56</v>
      </c>
      <c r="CW804" s="2123">
        <v>106.68</v>
      </c>
      <c r="CX804" s="2123">
        <v>106.68</v>
      </c>
      <c r="CY804" s="2123">
        <v>225.93</v>
      </c>
      <c r="CZ804" s="2123">
        <v>225.93</v>
      </c>
      <c r="DA804" s="2123">
        <v>225.93</v>
      </c>
      <c r="DB804" s="2123">
        <v>225.93</v>
      </c>
      <c r="DC804" s="2123">
        <v>284.83999999999997</v>
      </c>
      <c r="DD804" s="2123">
        <v>284.83999999999997</v>
      </c>
      <c r="DE804" s="2123">
        <v>284.83999999999997</v>
      </c>
      <c r="DF804" s="2123">
        <v>284.83999999999997</v>
      </c>
      <c r="DI804" s="2123">
        <v>28.22</v>
      </c>
      <c r="DJ804" s="2123">
        <v>28.22</v>
      </c>
      <c r="DK804" s="2123">
        <v>28.22</v>
      </c>
      <c r="DL804" s="2123">
        <v>28.22</v>
      </c>
      <c r="DM804" s="2123">
        <v>28.22</v>
      </c>
      <c r="DN804" s="2123">
        <v>28.22</v>
      </c>
      <c r="DU804" s="2123">
        <v>12.54</v>
      </c>
      <c r="DV804" s="2123">
        <v>12.54</v>
      </c>
      <c r="DW804" s="2123">
        <v>11.81</v>
      </c>
      <c r="DX804" s="2123">
        <v>11.81</v>
      </c>
      <c r="DY804" s="2123">
        <v>11.81</v>
      </c>
      <c r="DZ804" s="2123">
        <v>11.81</v>
      </c>
      <c r="EG804" s="2123">
        <v>13.49</v>
      </c>
      <c r="EH804" s="2123">
        <v>13.7</v>
      </c>
      <c r="EI804" s="2123">
        <v>10.3</v>
      </c>
      <c r="EJ804" s="2123">
        <v>10.3</v>
      </c>
      <c r="EK804" s="2123">
        <v>10.28</v>
      </c>
      <c r="EL804" s="2123">
        <v>10.28</v>
      </c>
      <c r="EM804" s="2123">
        <v>10.97</v>
      </c>
      <c r="EN804" s="2123">
        <v>10.97</v>
      </c>
      <c r="EO804" s="2123">
        <v>10.35</v>
      </c>
      <c r="EP804" s="2123">
        <v>10.35</v>
      </c>
      <c r="EQ804" s="2123">
        <v>10.65</v>
      </c>
      <c r="ER804" s="2123">
        <v>10.6</v>
      </c>
      <c r="ES804" s="2123">
        <v>51.57</v>
      </c>
      <c r="ET804" s="2123">
        <v>51.57</v>
      </c>
      <c r="EU804" s="2123">
        <v>216.26</v>
      </c>
      <c r="EV804" s="2123">
        <v>216.26</v>
      </c>
      <c r="EW804" s="2123">
        <v>211.24</v>
      </c>
      <c r="EX804" s="2123">
        <v>211.24</v>
      </c>
      <c r="EY804" s="2129">
        <f t="shared" si="50"/>
        <v>213.75</v>
      </c>
      <c r="EZ804" s="2129">
        <f t="shared" si="50"/>
        <v>213.75</v>
      </c>
      <c r="FA804" s="2123">
        <v>215.5</v>
      </c>
      <c r="FB804" s="2123">
        <v>215.5</v>
      </c>
      <c r="FE804" s="2123">
        <v>44.31</v>
      </c>
      <c r="FF804" s="2123">
        <v>44.31</v>
      </c>
      <c r="FG804" s="2123">
        <v>181.76</v>
      </c>
      <c r="FH804" s="2123">
        <v>181.76</v>
      </c>
      <c r="FI804" s="2123">
        <v>181.76</v>
      </c>
      <c r="FJ804" s="2123">
        <v>184.1</v>
      </c>
      <c r="FK804" s="2123">
        <v>181.1</v>
      </c>
      <c r="FL804" s="2123">
        <v>181.1</v>
      </c>
      <c r="FM804" s="2123">
        <v>182.22</v>
      </c>
      <c r="FN804" s="2123">
        <v>182.22</v>
      </c>
      <c r="FQ804" s="2123">
        <v>100.06</v>
      </c>
      <c r="FR804" s="2123">
        <v>100.06</v>
      </c>
      <c r="FS804" s="2123">
        <v>197.81</v>
      </c>
      <c r="FT804" s="2123">
        <v>197.81</v>
      </c>
      <c r="FU804" s="2123">
        <v>197.81</v>
      </c>
      <c r="FV804" s="2123">
        <v>197.81</v>
      </c>
      <c r="FW804" s="2123">
        <v>198.5</v>
      </c>
      <c r="FX804" s="2123">
        <v>198.5</v>
      </c>
      <c r="GC804" s="2123">
        <v>70.8</v>
      </c>
      <c r="GD804" s="2123">
        <v>70.8</v>
      </c>
      <c r="GE804" s="2123">
        <v>160.41</v>
      </c>
      <c r="GF804" s="2123">
        <v>160.41</v>
      </c>
      <c r="GG804" s="2123">
        <v>160.41</v>
      </c>
      <c r="GH804" s="2123">
        <v>160.41</v>
      </c>
      <c r="GI804" s="2123">
        <v>160.91</v>
      </c>
      <c r="GJ804" s="2123">
        <v>160.91</v>
      </c>
      <c r="GK804" s="2123">
        <v>190.79</v>
      </c>
      <c r="GL804" s="2123">
        <v>190.79</v>
      </c>
      <c r="GO804" s="2123">
        <v>37.9</v>
      </c>
      <c r="GP804" s="2123">
        <v>37.9</v>
      </c>
      <c r="GQ804" s="2123">
        <v>31.65</v>
      </c>
      <c r="GR804" s="2123">
        <v>31.65</v>
      </c>
      <c r="GS804" s="2123">
        <v>31.65</v>
      </c>
      <c r="GT804" s="2123">
        <v>30.48</v>
      </c>
      <c r="GU804" s="2123">
        <v>30.48</v>
      </c>
      <c r="GV804" s="2123">
        <v>30.88</v>
      </c>
      <c r="GW804" s="2123">
        <v>180.58</v>
      </c>
      <c r="GX804" s="2123">
        <v>180.58</v>
      </c>
      <c r="HA804" s="2123">
        <v>26.32</v>
      </c>
      <c r="HB804" s="2123">
        <v>26.32</v>
      </c>
      <c r="HC804" s="2123">
        <v>18.82</v>
      </c>
      <c r="HD804" s="2123">
        <v>18.82</v>
      </c>
      <c r="HE804" s="2123">
        <v>19.73</v>
      </c>
      <c r="HF804" s="2123">
        <v>19.73</v>
      </c>
      <c r="HG804" s="2123">
        <v>19.73</v>
      </c>
      <c r="HH804" s="2123">
        <v>19.73</v>
      </c>
      <c r="HI804" s="2123">
        <v>19.73</v>
      </c>
      <c r="HJ804" s="2123">
        <v>19.73</v>
      </c>
      <c r="HK804" s="2123">
        <v>19.75</v>
      </c>
      <c r="HL804" s="2123">
        <v>20.05</v>
      </c>
      <c r="HM804" s="2123">
        <v>37.04</v>
      </c>
      <c r="HN804" s="2123">
        <v>37.04</v>
      </c>
      <c r="HO804" s="2123">
        <v>26.97</v>
      </c>
      <c r="HP804" s="2123">
        <v>26.97</v>
      </c>
      <c r="HQ804" s="2123">
        <v>28.24</v>
      </c>
      <c r="HR804" s="2123">
        <v>28.24</v>
      </c>
      <c r="HS804" s="2123">
        <v>28.24</v>
      </c>
      <c r="HT804" s="2123">
        <v>28.24</v>
      </c>
      <c r="HU804" s="2123">
        <v>28.24</v>
      </c>
      <c r="HV804" s="2123">
        <v>28.24</v>
      </c>
      <c r="HW804" s="2123">
        <v>28.21</v>
      </c>
      <c r="HX804" s="2050">
        <v>28.21</v>
      </c>
    </row>
    <row r="805" spans="1:232" s="2123" customFormat="1" ht="14" hidden="1" x14ac:dyDescent="0.3">
      <c r="A805" s="2040"/>
      <c r="B805" s="2127">
        <v>56</v>
      </c>
      <c r="C805" s="2128">
        <v>42.09</v>
      </c>
      <c r="D805" s="2128">
        <v>42.09</v>
      </c>
      <c r="E805" s="2128">
        <v>42.36</v>
      </c>
      <c r="F805" s="2128">
        <v>42.36</v>
      </c>
      <c r="G805" s="2128">
        <v>159.97</v>
      </c>
      <c r="H805" s="2128">
        <v>159.97</v>
      </c>
      <c r="I805" s="2128">
        <v>150.29</v>
      </c>
      <c r="J805" s="2128">
        <v>150.29</v>
      </c>
      <c r="K805" s="2128">
        <v>157.38999999999999</v>
      </c>
      <c r="L805" s="2128">
        <v>157.38999999999999</v>
      </c>
      <c r="M805" s="2128"/>
      <c r="N805" s="2128"/>
      <c r="O805" s="2128">
        <v>131.79</v>
      </c>
      <c r="P805" s="2128">
        <v>131.79</v>
      </c>
      <c r="Q805" s="2128">
        <v>131.66</v>
      </c>
      <c r="R805" s="2128">
        <v>131.80000000000001</v>
      </c>
      <c r="S805" s="2128">
        <v>234.72</v>
      </c>
      <c r="T805" s="2128">
        <v>234.42</v>
      </c>
      <c r="U805" s="2128">
        <v>226.28</v>
      </c>
      <c r="V805" s="2128">
        <v>226.28</v>
      </c>
      <c r="W805" s="2128">
        <v>234.42</v>
      </c>
      <c r="X805" s="2128">
        <v>234.42</v>
      </c>
      <c r="Y805" s="2128">
        <v>226.28</v>
      </c>
      <c r="Z805" s="2128">
        <v>234.42</v>
      </c>
      <c r="AA805" s="2128">
        <v>234.42</v>
      </c>
      <c r="AB805" s="2128">
        <v>234.42</v>
      </c>
      <c r="AC805" s="2128">
        <v>226.28</v>
      </c>
      <c r="AD805" s="2128">
        <v>226.28</v>
      </c>
      <c r="AE805" s="2128">
        <v>250.2</v>
      </c>
      <c r="AF805" s="2128">
        <v>243.03</v>
      </c>
      <c r="AG805" s="2128">
        <v>250.2</v>
      </c>
      <c r="AH805" s="2128">
        <v>250.2</v>
      </c>
      <c r="AI805" s="2128">
        <v>243.03</v>
      </c>
      <c r="AJ805" s="2128">
        <v>243.03</v>
      </c>
      <c r="AK805" s="2128">
        <v>243.75</v>
      </c>
      <c r="AL805" s="2128">
        <v>243.75</v>
      </c>
      <c r="AM805" s="2128">
        <v>69.650000000000006</v>
      </c>
      <c r="AN805" s="2128">
        <v>67.11</v>
      </c>
      <c r="AO805" s="2128">
        <v>67.11</v>
      </c>
      <c r="AP805" s="2128">
        <v>67.17</v>
      </c>
      <c r="AQ805" s="2128">
        <v>67.709999999999994</v>
      </c>
      <c r="AR805" s="2128">
        <v>67.709999999999994</v>
      </c>
      <c r="AS805" s="2128">
        <v>197.14</v>
      </c>
      <c r="AT805" s="2128">
        <v>197.14</v>
      </c>
      <c r="AU805" s="2128">
        <v>197.14</v>
      </c>
      <c r="AV805" s="2128">
        <v>201.83</v>
      </c>
      <c r="AW805" s="2128">
        <v>197.42</v>
      </c>
      <c r="AX805" s="2128">
        <v>197.42</v>
      </c>
      <c r="AY805" s="2128">
        <v>197.55</v>
      </c>
      <c r="AZ805" s="2128">
        <v>197.55</v>
      </c>
      <c r="BA805" s="2123">
        <v>85.67</v>
      </c>
      <c r="BB805" s="2123">
        <v>85.67</v>
      </c>
      <c r="BC805" s="2123">
        <v>21.18</v>
      </c>
      <c r="BD805" s="2123">
        <v>21.47</v>
      </c>
      <c r="BE805" s="2123">
        <v>24.97</v>
      </c>
      <c r="BF805" s="2123">
        <v>24.97</v>
      </c>
      <c r="BG805" s="2123">
        <v>21.29</v>
      </c>
      <c r="BH805" s="2123">
        <v>21.29</v>
      </c>
      <c r="BI805" s="2123">
        <v>21.12</v>
      </c>
      <c r="BJ805" s="2123">
        <v>21.12</v>
      </c>
      <c r="BK805" s="2123">
        <v>21.12</v>
      </c>
      <c r="BL805" s="2123">
        <v>21.12</v>
      </c>
      <c r="BM805" s="2123">
        <v>50.9</v>
      </c>
      <c r="BN805" s="2123">
        <v>50.9</v>
      </c>
      <c r="BO805" s="2123">
        <v>157.44</v>
      </c>
      <c r="BP805" s="2123">
        <v>157.44</v>
      </c>
      <c r="BQ805" s="2123">
        <v>157.44</v>
      </c>
      <c r="BR805" s="2123">
        <v>157.44</v>
      </c>
      <c r="BS805" s="2123">
        <v>199.37</v>
      </c>
      <c r="BT805" s="2123">
        <v>199.37</v>
      </c>
      <c r="BU805" s="2123">
        <v>199.37</v>
      </c>
      <c r="BV805" s="2123">
        <v>199.37</v>
      </c>
      <c r="BW805" s="2123">
        <v>199.37</v>
      </c>
      <c r="BX805" s="2123">
        <v>199.37</v>
      </c>
      <c r="BY805" s="2123">
        <v>46.21</v>
      </c>
      <c r="BZ805" s="2123">
        <v>46.21</v>
      </c>
      <c r="CA805" s="2123">
        <v>150.35</v>
      </c>
      <c r="CB805" s="2123">
        <v>150.35</v>
      </c>
      <c r="CC805" s="2123">
        <v>152.37</v>
      </c>
      <c r="CD805" s="2123">
        <v>152.37</v>
      </c>
      <c r="CE805" s="2123">
        <v>196.02</v>
      </c>
      <c r="CF805" s="2123">
        <v>196.02</v>
      </c>
      <c r="CK805" s="2123">
        <v>115.52</v>
      </c>
      <c r="CL805" s="2123">
        <v>115.52</v>
      </c>
      <c r="CM805" s="2123">
        <v>235.79</v>
      </c>
      <c r="CN805" s="2123">
        <v>235.79</v>
      </c>
      <c r="CO805" s="2123">
        <v>297.38</v>
      </c>
      <c r="CP805" s="2123">
        <v>297.38</v>
      </c>
      <c r="CQ805" s="2123">
        <v>297.38</v>
      </c>
      <c r="CR805" s="2123">
        <v>297.38</v>
      </c>
      <c r="CW805" s="2123">
        <v>107.48</v>
      </c>
      <c r="CX805" s="2123">
        <v>107.48</v>
      </c>
      <c r="CY805" s="2123">
        <v>227.39</v>
      </c>
      <c r="CZ805" s="2123">
        <v>227.39</v>
      </c>
      <c r="DA805" s="2123">
        <v>227.39</v>
      </c>
      <c r="DB805" s="2123">
        <v>227.39</v>
      </c>
      <c r="DC805" s="2123">
        <v>287.16000000000003</v>
      </c>
      <c r="DD805" s="2123">
        <v>287.16000000000003</v>
      </c>
      <c r="DE805" s="2123">
        <v>287.16000000000003</v>
      </c>
      <c r="DF805" s="2123">
        <v>287.16000000000003</v>
      </c>
      <c r="DI805" s="2123">
        <v>28.4</v>
      </c>
      <c r="DJ805" s="2123">
        <v>28.4</v>
      </c>
      <c r="DK805" s="2123">
        <v>28.4</v>
      </c>
      <c r="DL805" s="2123">
        <v>28.4</v>
      </c>
      <c r="DM805" s="2123">
        <v>28.4</v>
      </c>
      <c r="DN805" s="2123">
        <v>28.4</v>
      </c>
      <c r="DU805" s="2123">
        <v>12.66</v>
      </c>
      <c r="DV805" s="2123">
        <v>12.66</v>
      </c>
      <c r="DW805" s="2123">
        <v>11.9</v>
      </c>
      <c r="DX805" s="2123">
        <v>11.9</v>
      </c>
      <c r="DY805" s="2123">
        <v>11.9</v>
      </c>
      <c r="DZ805" s="2123">
        <v>11.9</v>
      </c>
      <c r="EG805" s="2123">
        <v>13.57</v>
      </c>
      <c r="EH805" s="2123">
        <v>13.77</v>
      </c>
      <c r="EI805" s="2123">
        <v>10.4</v>
      </c>
      <c r="EJ805" s="2123">
        <v>10.4</v>
      </c>
      <c r="EK805" s="2123">
        <v>10.38</v>
      </c>
      <c r="EL805" s="2123">
        <v>10.38</v>
      </c>
      <c r="EM805" s="2123">
        <v>11.07</v>
      </c>
      <c r="EN805" s="2123">
        <v>11.07</v>
      </c>
      <c r="EO805" s="2123">
        <v>10.45</v>
      </c>
      <c r="EP805" s="2123">
        <v>10.45</v>
      </c>
      <c r="EQ805" s="2123">
        <v>10.75</v>
      </c>
      <c r="ER805" s="2123">
        <v>10.69</v>
      </c>
      <c r="ES805" s="2123">
        <v>51.89</v>
      </c>
      <c r="ET805" s="2123">
        <v>51.89</v>
      </c>
      <c r="EU805" s="2123">
        <v>218.1</v>
      </c>
      <c r="EV805" s="2123">
        <v>218.1</v>
      </c>
      <c r="EW805" s="2123">
        <v>213.06</v>
      </c>
      <c r="EX805" s="2123">
        <v>213.06</v>
      </c>
      <c r="EY805" s="2129">
        <f t="shared" si="50"/>
        <v>215.57999999999998</v>
      </c>
      <c r="EZ805" s="2129">
        <f t="shared" si="50"/>
        <v>215.57999999999998</v>
      </c>
      <c r="FA805" s="2123">
        <v>217.27</v>
      </c>
      <c r="FB805" s="2123">
        <v>217.27</v>
      </c>
      <c r="FE805" s="2123">
        <v>44.59</v>
      </c>
      <c r="FF805" s="2123">
        <v>44.59</v>
      </c>
      <c r="FG805" s="2123">
        <v>183.33</v>
      </c>
      <c r="FH805" s="2123">
        <v>183.33</v>
      </c>
      <c r="FI805" s="2123">
        <v>183.33</v>
      </c>
      <c r="FJ805" s="2123">
        <v>185.61</v>
      </c>
      <c r="FK805" s="2123">
        <v>182.69</v>
      </c>
      <c r="FL805" s="2123">
        <v>182.69</v>
      </c>
      <c r="FM805" s="2123">
        <v>183.78</v>
      </c>
      <c r="FN805" s="2123">
        <v>183.78</v>
      </c>
      <c r="FQ805" s="2123">
        <v>100.68</v>
      </c>
      <c r="FR805" s="2123">
        <v>100.68</v>
      </c>
      <c r="FS805" s="2123">
        <v>199.22</v>
      </c>
      <c r="FT805" s="2123">
        <v>199.22</v>
      </c>
      <c r="FU805" s="2123">
        <v>199.22</v>
      </c>
      <c r="FV805" s="2123">
        <v>199.22</v>
      </c>
      <c r="FW805" s="2123">
        <v>199.89</v>
      </c>
      <c r="FX805" s="2123">
        <v>199.89</v>
      </c>
      <c r="GC805" s="2123">
        <v>71.22</v>
      </c>
      <c r="GD805" s="2123">
        <v>71.22</v>
      </c>
      <c r="GE805" s="2123">
        <v>161.29</v>
      </c>
      <c r="GF805" s="2123">
        <v>161.29</v>
      </c>
      <c r="GG805" s="2123">
        <v>161.29</v>
      </c>
      <c r="GH805" s="2123">
        <v>161.29</v>
      </c>
      <c r="GI805" s="2123">
        <v>162.72</v>
      </c>
      <c r="GJ805" s="2123">
        <v>162.72</v>
      </c>
      <c r="GK805" s="2123">
        <v>192.34</v>
      </c>
      <c r="GL805" s="2123">
        <v>192.34</v>
      </c>
      <c r="GO805" s="2123">
        <v>38.130000000000003</v>
      </c>
      <c r="GP805" s="2123">
        <v>38.130000000000003</v>
      </c>
      <c r="GQ805" s="2123">
        <v>31.99</v>
      </c>
      <c r="GR805" s="2123">
        <v>31.99</v>
      </c>
      <c r="GS805" s="2123">
        <v>31.99</v>
      </c>
      <c r="GT805" s="2123">
        <v>30.8</v>
      </c>
      <c r="GU805" s="2123">
        <v>30.8</v>
      </c>
      <c r="GV805" s="2123">
        <v>31.19</v>
      </c>
      <c r="GW805" s="2123">
        <v>182.44</v>
      </c>
      <c r="GX805" s="2123">
        <v>182.44</v>
      </c>
      <c r="HA805" s="2123">
        <v>26.53</v>
      </c>
      <c r="HB805" s="2123">
        <v>26.53</v>
      </c>
      <c r="HC805" s="2123">
        <v>19.09</v>
      </c>
      <c r="HD805" s="2123">
        <v>19.09</v>
      </c>
      <c r="HE805" s="2123">
        <v>20</v>
      </c>
      <c r="HF805" s="2123">
        <v>20</v>
      </c>
      <c r="HG805" s="2123">
        <v>20</v>
      </c>
      <c r="HH805" s="2123">
        <v>20</v>
      </c>
      <c r="HI805" s="2123">
        <v>20</v>
      </c>
      <c r="HJ805" s="2123">
        <v>20</v>
      </c>
      <c r="HK805" s="2123">
        <v>20</v>
      </c>
      <c r="HL805" s="2123">
        <v>20.29</v>
      </c>
      <c r="HM805" s="2123">
        <v>37.299999999999997</v>
      </c>
      <c r="HN805" s="2123">
        <v>37.299999999999997</v>
      </c>
      <c r="HO805" s="2123">
        <v>27.3</v>
      </c>
      <c r="HP805" s="2123">
        <v>27.3</v>
      </c>
      <c r="HQ805" s="2123">
        <v>28.54</v>
      </c>
      <c r="HR805" s="2123">
        <v>28.54</v>
      </c>
      <c r="HS805" s="2123">
        <v>28.54</v>
      </c>
      <c r="HT805" s="2123">
        <v>28.54</v>
      </c>
      <c r="HU805" s="2123">
        <v>28.54</v>
      </c>
      <c r="HV805" s="2123">
        <v>28.54</v>
      </c>
      <c r="HW805" s="2123">
        <v>28.53</v>
      </c>
      <c r="HX805" s="2050">
        <v>28.53</v>
      </c>
    </row>
    <row r="806" spans="1:232" s="2123" customFormat="1" ht="14" hidden="1" x14ac:dyDescent="0.3">
      <c r="A806" s="2040"/>
      <c r="B806" s="2127">
        <v>57</v>
      </c>
      <c r="C806" s="2128">
        <v>42.32</v>
      </c>
      <c r="D806" s="2128">
        <v>42.32</v>
      </c>
      <c r="E806" s="2128">
        <v>42.57</v>
      </c>
      <c r="F806" s="2128">
        <v>42.57</v>
      </c>
      <c r="G806" s="2128">
        <v>161.05000000000001</v>
      </c>
      <c r="H806" s="2128">
        <v>161.05000000000001</v>
      </c>
      <c r="I806" s="2128">
        <v>151.36000000000001</v>
      </c>
      <c r="J806" s="2128">
        <v>151.36000000000001</v>
      </c>
      <c r="K806" s="2128">
        <v>158.33000000000001</v>
      </c>
      <c r="L806" s="2128">
        <v>158.33000000000001</v>
      </c>
      <c r="M806" s="2128"/>
      <c r="N806" s="2128"/>
      <c r="O806" s="2128">
        <v>132.62</v>
      </c>
      <c r="P806" s="2128">
        <v>132.62</v>
      </c>
      <c r="Q806" s="2128">
        <v>132.46</v>
      </c>
      <c r="R806" s="2128">
        <v>132.63</v>
      </c>
      <c r="S806" s="2128">
        <v>236.83</v>
      </c>
      <c r="T806" s="2128">
        <v>236.38</v>
      </c>
      <c r="U806" s="2128">
        <v>228.17</v>
      </c>
      <c r="V806" s="2128">
        <v>228.17</v>
      </c>
      <c r="W806" s="2128">
        <v>236.38</v>
      </c>
      <c r="X806" s="2128">
        <v>236.38</v>
      </c>
      <c r="Y806" s="2128">
        <v>228.17</v>
      </c>
      <c r="Z806" s="2128">
        <v>236.38</v>
      </c>
      <c r="AA806" s="2128">
        <v>236.38</v>
      </c>
      <c r="AB806" s="2128">
        <v>236.38</v>
      </c>
      <c r="AC806" s="2128">
        <v>228.17</v>
      </c>
      <c r="AD806" s="2128">
        <v>228.17</v>
      </c>
      <c r="AE806" s="2128">
        <v>252</v>
      </c>
      <c r="AF806" s="2128">
        <v>244.78</v>
      </c>
      <c r="AG806" s="2128">
        <v>252</v>
      </c>
      <c r="AH806" s="2128">
        <v>252</v>
      </c>
      <c r="AI806" s="2128">
        <v>244.78</v>
      </c>
      <c r="AJ806" s="2128">
        <v>244.78</v>
      </c>
      <c r="AK806" s="2128">
        <v>245.48</v>
      </c>
      <c r="AL806" s="2128">
        <v>245.48</v>
      </c>
      <c r="AM806" s="2128">
        <v>70.06</v>
      </c>
      <c r="AN806" s="2128">
        <v>67.5</v>
      </c>
      <c r="AO806" s="2128">
        <v>67.5</v>
      </c>
      <c r="AP806" s="2128">
        <v>67.599999999999994</v>
      </c>
      <c r="AQ806" s="2128">
        <v>68.12</v>
      </c>
      <c r="AR806" s="2128">
        <v>68.12</v>
      </c>
      <c r="AS806" s="2128">
        <v>198.74</v>
      </c>
      <c r="AT806" s="2128">
        <v>198.74</v>
      </c>
      <c r="AU806" s="2128">
        <v>198.74</v>
      </c>
      <c r="AV806" s="2128">
        <v>203.44</v>
      </c>
      <c r="AW806" s="2128">
        <v>199.01</v>
      </c>
      <c r="AX806" s="2128">
        <v>199.01</v>
      </c>
      <c r="AY806" s="2128">
        <v>199.15</v>
      </c>
      <c r="AZ806" s="2128">
        <v>199.15</v>
      </c>
      <c r="BA806" s="2123">
        <v>86.54</v>
      </c>
      <c r="BB806" s="2123">
        <v>86.54</v>
      </c>
      <c r="BC806" s="2123">
        <v>21.37</v>
      </c>
      <c r="BD806" s="2123">
        <v>21.65</v>
      </c>
      <c r="BE806" s="2123">
        <v>25.17</v>
      </c>
      <c r="BF806" s="2123">
        <v>25.17</v>
      </c>
      <c r="BG806" s="2123">
        <v>21.54</v>
      </c>
      <c r="BH806" s="2123">
        <v>21.54</v>
      </c>
      <c r="BI806" s="2123">
        <v>21.37</v>
      </c>
      <c r="BJ806" s="2123">
        <v>21.37</v>
      </c>
      <c r="BK806" s="2123">
        <v>21.37</v>
      </c>
      <c r="BL806" s="2123">
        <v>21.37</v>
      </c>
      <c r="BM806" s="2123">
        <v>51.19</v>
      </c>
      <c r="BN806" s="2123">
        <v>51.19</v>
      </c>
      <c r="BO806" s="2123">
        <v>158.46</v>
      </c>
      <c r="BP806" s="2123">
        <v>158.46</v>
      </c>
      <c r="BQ806" s="2123">
        <v>158.46</v>
      </c>
      <c r="BR806" s="2123">
        <v>158.46</v>
      </c>
      <c r="BS806" s="2123">
        <v>200.92</v>
      </c>
      <c r="BT806" s="2123">
        <v>200.92</v>
      </c>
      <c r="BU806" s="2123">
        <v>200.92</v>
      </c>
      <c r="BV806" s="2123">
        <v>200.92</v>
      </c>
      <c r="BW806" s="2123">
        <v>200.92</v>
      </c>
      <c r="BX806" s="2123">
        <v>200.92</v>
      </c>
      <c r="BY806" s="2123">
        <v>46.47</v>
      </c>
      <c r="BZ806" s="2123">
        <v>46.47</v>
      </c>
      <c r="CA806" s="2123">
        <v>151.38</v>
      </c>
      <c r="CB806" s="2123">
        <v>151.38</v>
      </c>
      <c r="CC806" s="2123">
        <v>153.41999999999999</v>
      </c>
      <c r="CD806" s="2123">
        <v>153.41999999999999</v>
      </c>
      <c r="CE806" s="2123">
        <v>197.61</v>
      </c>
      <c r="CF806" s="2123">
        <v>197.61</v>
      </c>
      <c r="CK806" s="2123">
        <v>116.08</v>
      </c>
      <c r="CL806" s="2123">
        <v>116.08</v>
      </c>
      <c r="CM806" s="2123">
        <v>236.79</v>
      </c>
      <c r="CN806" s="2123">
        <v>236.79</v>
      </c>
      <c r="CO806" s="2123">
        <v>298.98</v>
      </c>
      <c r="CP806" s="2123">
        <v>298.98</v>
      </c>
      <c r="CQ806" s="2123">
        <v>298.98</v>
      </c>
      <c r="CR806" s="2123">
        <v>298.98</v>
      </c>
      <c r="CW806" s="2123">
        <v>108.13</v>
      </c>
      <c r="CX806" s="2123">
        <v>108.13</v>
      </c>
      <c r="CY806" s="2123">
        <v>228.57</v>
      </c>
      <c r="CZ806" s="2123">
        <v>228.57</v>
      </c>
      <c r="DA806" s="2123">
        <v>228.57</v>
      </c>
      <c r="DB806" s="2123">
        <v>228.57</v>
      </c>
      <c r="DC806" s="2123">
        <v>289.04000000000002</v>
      </c>
      <c r="DD806" s="2123">
        <v>289.04000000000002</v>
      </c>
      <c r="DE806" s="2123">
        <v>289.04000000000002</v>
      </c>
      <c r="DF806" s="2123">
        <v>289.04000000000002</v>
      </c>
      <c r="DI806" s="2123">
        <v>28.6</v>
      </c>
      <c r="DJ806" s="2123">
        <v>28.6</v>
      </c>
      <c r="DK806" s="2123">
        <v>28.6</v>
      </c>
      <c r="DL806" s="2123">
        <v>28.6</v>
      </c>
      <c r="DM806" s="2123">
        <v>28.6</v>
      </c>
      <c r="DN806" s="2123">
        <v>28.6</v>
      </c>
      <c r="DU806" s="2123">
        <v>12.78</v>
      </c>
      <c r="DV806" s="2123">
        <v>12.78</v>
      </c>
      <c r="DW806" s="2123">
        <v>11.98</v>
      </c>
      <c r="DX806" s="2123">
        <v>11.98</v>
      </c>
      <c r="DY806" s="2123">
        <v>11.98</v>
      </c>
      <c r="DZ806" s="2123">
        <v>11.98</v>
      </c>
      <c r="EG806" s="2123">
        <v>13.65</v>
      </c>
      <c r="EH806" s="2123">
        <v>13.85</v>
      </c>
      <c r="EI806" s="2123">
        <v>10.5</v>
      </c>
      <c r="EJ806" s="2123">
        <v>10.5</v>
      </c>
      <c r="EK806" s="2123">
        <v>10.48</v>
      </c>
      <c r="EL806" s="2123">
        <v>10.48</v>
      </c>
      <c r="EM806" s="2123">
        <v>11.16</v>
      </c>
      <c r="EN806" s="2123">
        <v>11.16</v>
      </c>
      <c r="EO806" s="2123">
        <v>10.54</v>
      </c>
      <c r="EP806" s="2123">
        <v>10.54</v>
      </c>
      <c r="EQ806" s="2123">
        <v>10.84</v>
      </c>
      <c r="ER806" s="2123">
        <v>10.79</v>
      </c>
      <c r="ES806" s="2123">
        <v>52.19</v>
      </c>
      <c r="ET806" s="2123">
        <v>52.19</v>
      </c>
      <c r="EU806" s="2123">
        <v>219.89</v>
      </c>
      <c r="EV806" s="2123">
        <v>219.89</v>
      </c>
      <c r="EW806" s="2123">
        <v>214.83</v>
      </c>
      <c r="EX806" s="2123">
        <v>214.83</v>
      </c>
      <c r="EY806" s="2129">
        <f t="shared" si="50"/>
        <v>217.36</v>
      </c>
      <c r="EZ806" s="2129">
        <f t="shared" si="50"/>
        <v>217.36</v>
      </c>
      <c r="FA806" s="2123">
        <v>218.99</v>
      </c>
      <c r="FB806" s="2123">
        <v>218.99</v>
      </c>
      <c r="FE806" s="2123">
        <v>44.85</v>
      </c>
      <c r="FF806" s="2123">
        <v>44.85</v>
      </c>
      <c r="FG806" s="2123">
        <v>184.86</v>
      </c>
      <c r="FH806" s="2123">
        <v>184.86</v>
      </c>
      <c r="FI806" s="2123">
        <v>184.86</v>
      </c>
      <c r="FJ806" s="2123">
        <v>187.09</v>
      </c>
      <c r="FK806" s="2123">
        <v>184.24</v>
      </c>
      <c r="FL806" s="2123">
        <v>184.24</v>
      </c>
      <c r="FM806" s="2123">
        <v>185.31</v>
      </c>
      <c r="FN806" s="2123">
        <v>185.31</v>
      </c>
      <c r="FQ806" s="2123">
        <v>101.27</v>
      </c>
      <c r="FR806" s="2123">
        <v>101.27</v>
      </c>
      <c r="FS806" s="2123">
        <v>200.58</v>
      </c>
      <c r="FT806" s="2123">
        <v>200.58</v>
      </c>
      <c r="FU806" s="2123">
        <v>200.58</v>
      </c>
      <c r="FV806" s="2123">
        <v>200.58</v>
      </c>
      <c r="FW806" s="2123">
        <v>201.24</v>
      </c>
      <c r="FX806" s="2123">
        <v>201.24</v>
      </c>
      <c r="GC806" s="2123">
        <v>71.64</v>
      </c>
      <c r="GD806" s="2123">
        <v>71.64</v>
      </c>
      <c r="GE806" s="2123">
        <v>162.15</v>
      </c>
      <c r="GF806" s="2123">
        <v>162.15</v>
      </c>
      <c r="GG806" s="2123">
        <v>162.15</v>
      </c>
      <c r="GH806" s="2123">
        <v>162.15</v>
      </c>
      <c r="GI806" s="2123">
        <v>164.48</v>
      </c>
      <c r="GJ806" s="2123">
        <v>164.48</v>
      </c>
      <c r="GK806" s="2123">
        <v>193.85</v>
      </c>
      <c r="GL806" s="2123">
        <v>193.85</v>
      </c>
      <c r="GO806" s="2123">
        <v>38.35</v>
      </c>
      <c r="GP806" s="2123">
        <v>38.35</v>
      </c>
      <c r="GQ806" s="2123">
        <v>32.25</v>
      </c>
      <c r="GR806" s="2123">
        <v>32.25</v>
      </c>
      <c r="GS806" s="2123">
        <v>32.25</v>
      </c>
      <c r="GT806" s="2123">
        <v>31.06</v>
      </c>
      <c r="GU806" s="2123">
        <v>31.06</v>
      </c>
      <c r="GV806" s="2123">
        <v>31.44</v>
      </c>
      <c r="GW806" s="2123">
        <v>183.88</v>
      </c>
      <c r="GX806" s="2123">
        <v>183.88</v>
      </c>
      <c r="HA806" s="2123">
        <v>26.73</v>
      </c>
      <c r="HB806" s="2123">
        <v>26.73</v>
      </c>
      <c r="HC806" s="2123">
        <v>19.36</v>
      </c>
      <c r="HD806" s="2123">
        <v>19.36</v>
      </c>
      <c r="HE806" s="2123">
        <v>20.239999999999998</v>
      </c>
      <c r="HF806" s="2123">
        <v>20.239999999999998</v>
      </c>
      <c r="HG806" s="2123">
        <v>20.239999999999998</v>
      </c>
      <c r="HH806" s="2123">
        <v>20.239999999999998</v>
      </c>
      <c r="HI806" s="2123">
        <v>20.239999999999998</v>
      </c>
      <c r="HJ806" s="2123">
        <v>20.239999999999998</v>
      </c>
      <c r="HK806" s="2123">
        <v>20.260000000000002</v>
      </c>
      <c r="HL806" s="2123">
        <v>20.54</v>
      </c>
      <c r="HM806" s="2123">
        <v>37.53</v>
      </c>
      <c r="HN806" s="2123">
        <v>37.53</v>
      </c>
      <c r="HO806" s="2123">
        <v>27.61</v>
      </c>
      <c r="HP806" s="2123">
        <v>27.61</v>
      </c>
      <c r="HQ806" s="2123">
        <v>28.83</v>
      </c>
      <c r="HR806" s="2123">
        <v>28.83</v>
      </c>
      <c r="HS806" s="2123">
        <v>28.83</v>
      </c>
      <c r="HT806" s="2123">
        <v>28.83</v>
      </c>
      <c r="HU806" s="2123">
        <v>28.83</v>
      </c>
      <c r="HV806" s="2123">
        <v>28.83</v>
      </c>
      <c r="HW806" s="2123">
        <v>28.82</v>
      </c>
      <c r="HX806" s="2050">
        <v>28.82</v>
      </c>
    </row>
    <row r="807" spans="1:232" s="2123" customFormat="1" ht="14" hidden="1" x14ac:dyDescent="0.3">
      <c r="A807" s="2040"/>
      <c r="B807" s="2127">
        <v>58</v>
      </c>
      <c r="C807" s="2128">
        <v>42.54</v>
      </c>
      <c r="D807" s="2128">
        <v>42.54</v>
      </c>
      <c r="E807" s="2128">
        <v>42.79</v>
      </c>
      <c r="F807" s="2128">
        <v>42.79</v>
      </c>
      <c r="G807" s="2128">
        <v>162.41</v>
      </c>
      <c r="H807" s="2128">
        <v>162.41</v>
      </c>
      <c r="I807" s="2128">
        <v>152.44</v>
      </c>
      <c r="J807" s="2128">
        <v>152.44</v>
      </c>
      <c r="K807" s="2128">
        <v>159.27000000000001</v>
      </c>
      <c r="L807" s="2128">
        <v>159.27000000000001</v>
      </c>
      <c r="M807" s="2128"/>
      <c r="N807" s="2128"/>
      <c r="O807" s="2128">
        <v>133.44999999999999</v>
      </c>
      <c r="P807" s="2128">
        <v>133.44999999999999</v>
      </c>
      <c r="Q807" s="2128">
        <v>133.27000000000001</v>
      </c>
      <c r="R807" s="2128">
        <v>133.46</v>
      </c>
      <c r="S807" s="2128">
        <v>238.95000000000002</v>
      </c>
      <c r="T807" s="2128">
        <v>238.3</v>
      </c>
      <c r="U807" s="2128">
        <v>230.02</v>
      </c>
      <c r="V807" s="2128">
        <v>230.02</v>
      </c>
      <c r="W807" s="2128">
        <v>238.3</v>
      </c>
      <c r="X807" s="2128">
        <v>238.3</v>
      </c>
      <c r="Y807" s="2128">
        <v>230.02</v>
      </c>
      <c r="Z807" s="2128">
        <v>238.3</v>
      </c>
      <c r="AA807" s="2128">
        <v>238.3</v>
      </c>
      <c r="AB807" s="2128">
        <v>238.3</v>
      </c>
      <c r="AC807" s="2128">
        <v>230.02</v>
      </c>
      <c r="AD807" s="2128">
        <v>230.02</v>
      </c>
      <c r="AE807" s="2128">
        <v>253.76</v>
      </c>
      <c r="AF807" s="2128">
        <v>246.48</v>
      </c>
      <c r="AG807" s="2128">
        <v>253.76</v>
      </c>
      <c r="AH807" s="2128">
        <v>253.76</v>
      </c>
      <c r="AI807" s="2128">
        <v>246.48</v>
      </c>
      <c r="AJ807" s="2128">
        <v>246.48</v>
      </c>
      <c r="AK807" s="2128">
        <v>247.16</v>
      </c>
      <c r="AL807" s="2128">
        <v>247.16</v>
      </c>
      <c r="AM807" s="2128">
        <v>70.45</v>
      </c>
      <c r="AN807" s="2128">
        <v>67.88</v>
      </c>
      <c r="AO807" s="2128">
        <v>67.88</v>
      </c>
      <c r="AP807" s="2128">
        <v>67.98</v>
      </c>
      <c r="AQ807" s="2128">
        <v>68.5</v>
      </c>
      <c r="AR807" s="2128">
        <v>68.5</v>
      </c>
      <c r="AS807" s="2128">
        <v>200.18</v>
      </c>
      <c r="AT807" s="2128">
        <v>200.18</v>
      </c>
      <c r="AU807" s="2128">
        <v>200.18</v>
      </c>
      <c r="AV807" s="2128">
        <v>204.9</v>
      </c>
      <c r="AW807" s="2128">
        <v>200.45</v>
      </c>
      <c r="AX807" s="2128">
        <v>200.45</v>
      </c>
      <c r="AY807" s="2128">
        <v>200.59</v>
      </c>
      <c r="AZ807" s="2128">
        <v>200.59</v>
      </c>
      <c r="BA807" s="2123">
        <v>87.31</v>
      </c>
      <c r="BB807" s="2123">
        <v>87.31</v>
      </c>
      <c r="BC807" s="2123">
        <v>21.56</v>
      </c>
      <c r="BD807" s="2123">
        <v>21.83</v>
      </c>
      <c r="BE807" s="2123">
        <v>25.34</v>
      </c>
      <c r="BF807" s="2123">
        <v>25.34</v>
      </c>
      <c r="BG807" s="2123">
        <v>21.77</v>
      </c>
      <c r="BH807" s="2123">
        <v>21.77</v>
      </c>
      <c r="BI807" s="2123">
        <v>21.6</v>
      </c>
      <c r="BJ807" s="2123">
        <v>21.6</v>
      </c>
      <c r="BK807" s="2123">
        <v>21.6</v>
      </c>
      <c r="BL807" s="2123">
        <v>21.6</v>
      </c>
      <c r="BM807" s="2123">
        <v>51.5</v>
      </c>
      <c r="BN807" s="2123">
        <v>51.5</v>
      </c>
      <c r="BO807" s="2123">
        <v>159.57</v>
      </c>
      <c r="BP807" s="2123">
        <v>159.57</v>
      </c>
      <c r="BQ807" s="2123">
        <v>159.57</v>
      </c>
      <c r="BR807" s="2123">
        <v>159.57</v>
      </c>
      <c r="BS807" s="2123">
        <v>202.61</v>
      </c>
      <c r="BT807" s="2123">
        <v>202.61</v>
      </c>
      <c r="BU807" s="2123">
        <v>202.61</v>
      </c>
      <c r="BV807" s="2123">
        <v>202.61</v>
      </c>
      <c r="BW807" s="2123">
        <v>202.61</v>
      </c>
      <c r="BX807" s="2123">
        <v>202.61</v>
      </c>
      <c r="BY807" s="2123">
        <v>46.7</v>
      </c>
      <c r="BZ807" s="2123">
        <v>46.7</v>
      </c>
      <c r="CA807" s="2123">
        <v>152.27000000000001</v>
      </c>
      <c r="CB807" s="2123">
        <v>152.27000000000001</v>
      </c>
      <c r="CC807" s="2123">
        <v>154.34</v>
      </c>
      <c r="CD807" s="2123">
        <v>154.34</v>
      </c>
      <c r="CE807" s="2123">
        <v>199</v>
      </c>
      <c r="CF807" s="2123">
        <v>199</v>
      </c>
      <c r="CK807" s="2123">
        <v>116.63</v>
      </c>
      <c r="CL807" s="2123">
        <v>116.63</v>
      </c>
      <c r="CM807" s="2123">
        <v>237.88</v>
      </c>
      <c r="CN807" s="2123">
        <v>237.88</v>
      </c>
      <c r="CO807" s="2123">
        <v>300.73</v>
      </c>
      <c r="CP807" s="2123">
        <v>300.73</v>
      </c>
      <c r="CQ807" s="2123">
        <v>300.73</v>
      </c>
      <c r="CR807" s="2123">
        <v>300.73</v>
      </c>
      <c r="CW807" s="2123">
        <v>108.76</v>
      </c>
      <c r="CX807" s="2123">
        <v>108.76</v>
      </c>
      <c r="CY807" s="2123">
        <v>229.71</v>
      </c>
      <c r="CZ807" s="2123">
        <v>229.71</v>
      </c>
      <c r="DA807" s="2123">
        <v>229.71</v>
      </c>
      <c r="DB807" s="2123">
        <v>229.71</v>
      </c>
      <c r="DC807" s="2123">
        <v>290.86</v>
      </c>
      <c r="DD807" s="2123">
        <v>290.86</v>
      </c>
      <c r="DE807" s="2123">
        <v>290.86</v>
      </c>
      <c r="DF807" s="2123">
        <v>290.86</v>
      </c>
      <c r="DI807" s="2123">
        <v>28.78</v>
      </c>
      <c r="DJ807" s="2123">
        <v>28.78</v>
      </c>
      <c r="DK807" s="2123">
        <v>28.78</v>
      </c>
      <c r="DL807" s="2123">
        <v>28.78</v>
      </c>
      <c r="DM807" s="2123">
        <v>28.78</v>
      </c>
      <c r="DN807" s="2123">
        <v>28.78</v>
      </c>
      <c r="DU807" s="2123">
        <v>12.85</v>
      </c>
      <c r="DV807" s="2123">
        <v>12.85</v>
      </c>
      <c r="DW807" s="2123">
        <v>12.06</v>
      </c>
      <c r="DX807" s="2123">
        <v>12.06</v>
      </c>
      <c r="DY807" s="2123">
        <v>12.06</v>
      </c>
      <c r="DZ807" s="2123">
        <v>12.06</v>
      </c>
      <c r="EG807" s="2123">
        <v>13.72</v>
      </c>
      <c r="EH807" s="2123">
        <v>13.92</v>
      </c>
      <c r="EI807" s="2123">
        <v>10.6</v>
      </c>
      <c r="EJ807" s="2123">
        <v>10.6</v>
      </c>
      <c r="EK807" s="2123">
        <v>10.58</v>
      </c>
      <c r="EL807" s="2123">
        <v>10.58</v>
      </c>
      <c r="EM807" s="2123">
        <v>11.26</v>
      </c>
      <c r="EN807" s="2123">
        <v>11.26</v>
      </c>
      <c r="EO807" s="2123">
        <v>10.63</v>
      </c>
      <c r="EP807" s="2123">
        <v>10.63</v>
      </c>
      <c r="EQ807" s="2123">
        <v>10.94</v>
      </c>
      <c r="ER807" s="2123">
        <v>10.88</v>
      </c>
      <c r="ES807" s="2123">
        <v>52.48</v>
      </c>
      <c r="ET807" s="2123">
        <v>52.48</v>
      </c>
      <c r="EU807" s="2123">
        <v>221.63</v>
      </c>
      <c r="EV807" s="2123">
        <v>221.63</v>
      </c>
      <c r="EW807" s="2123">
        <v>216.55</v>
      </c>
      <c r="EX807" s="2123">
        <v>216.55</v>
      </c>
      <c r="EY807" s="2129">
        <f t="shared" si="50"/>
        <v>219.09</v>
      </c>
      <c r="EZ807" s="2129">
        <f t="shared" si="50"/>
        <v>219.09</v>
      </c>
      <c r="FA807" s="2123">
        <v>220.66</v>
      </c>
      <c r="FB807" s="2123">
        <v>220.66</v>
      </c>
      <c r="FE807" s="2123">
        <v>45.1</v>
      </c>
      <c r="FF807" s="2123">
        <v>45.1</v>
      </c>
      <c r="FG807" s="2123">
        <v>186.36</v>
      </c>
      <c r="FH807" s="2123">
        <v>186.36</v>
      </c>
      <c r="FI807" s="2123">
        <v>186.36</v>
      </c>
      <c r="FJ807" s="2123">
        <v>188.53</v>
      </c>
      <c r="FK807" s="2123">
        <v>185.74</v>
      </c>
      <c r="FL807" s="2123">
        <v>185.74</v>
      </c>
      <c r="FM807" s="2123">
        <v>186.79</v>
      </c>
      <c r="FN807" s="2123">
        <v>186.79</v>
      </c>
      <c r="FQ807" s="2123">
        <v>101.85</v>
      </c>
      <c r="FR807" s="2123">
        <v>101.85</v>
      </c>
      <c r="FS807" s="2123">
        <v>201.91</v>
      </c>
      <c r="FT807" s="2123">
        <v>201.91</v>
      </c>
      <c r="FU807" s="2123">
        <v>201.91</v>
      </c>
      <c r="FV807" s="2123">
        <v>201.91</v>
      </c>
      <c r="FW807" s="2123">
        <v>202.55</v>
      </c>
      <c r="FX807" s="2123">
        <v>202.55</v>
      </c>
      <c r="GC807" s="2123">
        <v>72.040000000000006</v>
      </c>
      <c r="GD807" s="2123">
        <v>72.040000000000006</v>
      </c>
      <c r="GE807" s="2123">
        <v>162.97999999999999</v>
      </c>
      <c r="GF807" s="2123">
        <v>162.97999999999999</v>
      </c>
      <c r="GG807" s="2123">
        <v>162.97999999999999</v>
      </c>
      <c r="GH807" s="2123">
        <v>162.97999999999999</v>
      </c>
      <c r="GI807" s="2123">
        <v>166.21</v>
      </c>
      <c r="GJ807" s="2123">
        <v>166.21</v>
      </c>
      <c r="GK807" s="2123">
        <v>195.31</v>
      </c>
      <c r="GL807" s="2123">
        <v>195.31</v>
      </c>
      <c r="GO807" s="2123">
        <v>38.57</v>
      </c>
      <c r="GP807" s="2123">
        <v>38.57</v>
      </c>
      <c r="GQ807" s="2123">
        <v>32.590000000000003</v>
      </c>
      <c r="GR807" s="2123">
        <v>32.590000000000003</v>
      </c>
      <c r="GS807" s="2123">
        <v>32.590000000000003</v>
      </c>
      <c r="GT807" s="2123">
        <v>31.39</v>
      </c>
      <c r="GU807" s="2123">
        <v>31.39</v>
      </c>
      <c r="GV807" s="2123">
        <v>31.76</v>
      </c>
      <c r="GW807" s="2123">
        <v>185.74</v>
      </c>
      <c r="GX807" s="2123">
        <v>185.74</v>
      </c>
      <c r="HA807" s="2123">
        <v>26.92</v>
      </c>
      <c r="HB807" s="2123">
        <v>26.92</v>
      </c>
      <c r="HC807" s="2123">
        <v>19.61</v>
      </c>
      <c r="HD807" s="2123">
        <v>19.61</v>
      </c>
      <c r="HE807" s="2123">
        <v>20.45</v>
      </c>
      <c r="HF807" s="2123">
        <v>20.45</v>
      </c>
      <c r="HG807" s="2123">
        <v>20.45</v>
      </c>
      <c r="HH807" s="2123">
        <v>20.45</v>
      </c>
      <c r="HI807" s="2123">
        <v>20.45</v>
      </c>
      <c r="HJ807" s="2123">
        <v>20.45</v>
      </c>
      <c r="HK807" s="2123">
        <v>20.5</v>
      </c>
      <c r="HL807" s="2123">
        <v>20.78</v>
      </c>
      <c r="HM807" s="2123">
        <v>37.76</v>
      </c>
      <c r="HN807" s="2123">
        <v>37.76</v>
      </c>
      <c r="HO807" s="2123">
        <v>27.91</v>
      </c>
      <c r="HP807" s="2123">
        <v>27.91</v>
      </c>
      <c r="HQ807" s="2123">
        <v>29.09</v>
      </c>
      <c r="HR807" s="2123">
        <v>29.09</v>
      </c>
      <c r="HS807" s="2123">
        <v>29.09</v>
      </c>
      <c r="HT807" s="2123">
        <v>29.09</v>
      </c>
      <c r="HU807" s="2123">
        <v>29.09</v>
      </c>
      <c r="HV807" s="2123">
        <v>29.09</v>
      </c>
      <c r="HW807" s="2123">
        <v>29.11</v>
      </c>
      <c r="HX807" s="2050">
        <v>29.11</v>
      </c>
    </row>
    <row r="808" spans="1:232" s="2123" customFormat="1" ht="14" hidden="1" x14ac:dyDescent="0.3">
      <c r="A808" s="2040"/>
      <c r="B808" s="2127">
        <v>59</v>
      </c>
      <c r="C808" s="2128">
        <v>42.83</v>
      </c>
      <c r="D808" s="2128">
        <v>42.83</v>
      </c>
      <c r="E808" s="2128">
        <v>43.06</v>
      </c>
      <c r="F808" s="2128">
        <v>43.06</v>
      </c>
      <c r="G808" s="2128">
        <v>163.33000000000001</v>
      </c>
      <c r="H808" s="2128">
        <v>163.33000000000001</v>
      </c>
      <c r="I808" s="2128">
        <v>153.79</v>
      </c>
      <c r="J808" s="2128">
        <v>153.79</v>
      </c>
      <c r="K808" s="2128">
        <v>160.44999999999999</v>
      </c>
      <c r="L808" s="2128">
        <v>160.44999999999999</v>
      </c>
      <c r="M808" s="2128"/>
      <c r="N808" s="2128"/>
      <c r="O808" s="2128">
        <v>134.24</v>
      </c>
      <c r="P808" s="2128">
        <v>134.24</v>
      </c>
      <c r="Q808" s="2128">
        <v>134.03</v>
      </c>
      <c r="R808" s="2128">
        <v>134.24</v>
      </c>
      <c r="S808" s="2128">
        <v>240.95000000000002</v>
      </c>
      <c r="T808" s="2128">
        <v>240.16</v>
      </c>
      <c r="U808" s="2128">
        <v>231.82</v>
      </c>
      <c r="V808" s="2128">
        <v>231.82</v>
      </c>
      <c r="W808" s="2128">
        <v>240.16</v>
      </c>
      <c r="X808" s="2128">
        <v>240.16</v>
      </c>
      <c r="Y808" s="2128">
        <v>231.82</v>
      </c>
      <c r="Z808" s="2128">
        <v>240.16</v>
      </c>
      <c r="AA808" s="2128">
        <v>240.16</v>
      </c>
      <c r="AB808" s="2128">
        <v>240.16</v>
      </c>
      <c r="AC808" s="2128">
        <v>231.82</v>
      </c>
      <c r="AD808" s="2128">
        <v>231.82</v>
      </c>
      <c r="AE808" s="2128">
        <v>255.46</v>
      </c>
      <c r="AF808" s="2128">
        <v>248.14</v>
      </c>
      <c r="AG808" s="2128">
        <v>255.46</v>
      </c>
      <c r="AH808" s="2128">
        <v>255.46</v>
      </c>
      <c r="AI808" s="2128">
        <v>248.14</v>
      </c>
      <c r="AJ808" s="2128">
        <v>248.14</v>
      </c>
      <c r="AK808" s="2128">
        <v>248.8</v>
      </c>
      <c r="AL808" s="2128">
        <v>248.8</v>
      </c>
      <c r="AM808" s="2128">
        <v>70.83</v>
      </c>
      <c r="AN808" s="2128">
        <v>68.25</v>
      </c>
      <c r="AO808" s="2128">
        <v>68.25</v>
      </c>
      <c r="AP808" s="2128">
        <v>68.41</v>
      </c>
      <c r="AQ808" s="2128">
        <v>68.900000000000006</v>
      </c>
      <c r="AR808" s="2128">
        <v>68.900000000000006</v>
      </c>
      <c r="AS808" s="2128">
        <v>201.75</v>
      </c>
      <c r="AT808" s="2128">
        <v>201.75</v>
      </c>
      <c r="AU808" s="2128">
        <v>201.75</v>
      </c>
      <c r="AV808" s="2128">
        <v>206.49</v>
      </c>
      <c r="AW808" s="2128">
        <v>202.03</v>
      </c>
      <c r="AX808" s="2128">
        <v>202.03</v>
      </c>
      <c r="AY808" s="2128">
        <v>202.16</v>
      </c>
      <c r="AZ808" s="2128">
        <v>202.16</v>
      </c>
      <c r="BA808" s="2123">
        <v>87.81</v>
      </c>
      <c r="BB808" s="2123">
        <v>87.81</v>
      </c>
      <c r="BC808" s="2123">
        <v>21.74</v>
      </c>
      <c r="BD808" s="2123">
        <v>22.01</v>
      </c>
      <c r="BE808" s="2123">
        <v>25.46</v>
      </c>
      <c r="BF808" s="2123">
        <v>25.46</v>
      </c>
      <c r="BG808" s="2123">
        <v>21.91</v>
      </c>
      <c r="BH808" s="2123">
        <v>21.91</v>
      </c>
      <c r="BI808" s="2123">
        <v>21.74</v>
      </c>
      <c r="BJ808" s="2123">
        <v>21.74</v>
      </c>
      <c r="BK808" s="2123">
        <v>21.74</v>
      </c>
      <c r="BL808" s="2123">
        <v>21.74</v>
      </c>
      <c r="BM808" s="2123">
        <v>51.81</v>
      </c>
      <c r="BN808" s="2123">
        <v>51.81</v>
      </c>
      <c r="BO808" s="2123">
        <v>160.69999999999999</v>
      </c>
      <c r="BP808" s="2123">
        <v>160.69999999999999</v>
      </c>
      <c r="BQ808" s="2123">
        <v>160.69999999999999</v>
      </c>
      <c r="BR808" s="2123">
        <v>160.69999999999999</v>
      </c>
      <c r="BS808" s="2123">
        <v>204.32</v>
      </c>
      <c r="BT808" s="2123">
        <v>204.32</v>
      </c>
      <c r="BU808" s="2123">
        <v>204.32</v>
      </c>
      <c r="BV808" s="2123">
        <v>204.32</v>
      </c>
      <c r="BW808" s="2123">
        <v>204.32</v>
      </c>
      <c r="BX808" s="2123">
        <v>204.32</v>
      </c>
      <c r="BY808" s="2123">
        <v>46.97</v>
      </c>
      <c r="BZ808" s="2123">
        <v>46.97</v>
      </c>
      <c r="CA808" s="2123">
        <v>153.28</v>
      </c>
      <c r="CB808" s="2123">
        <v>153.28</v>
      </c>
      <c r="CC808" s="2123">
        <v>155.38999999999999</v>
      </c>
      <c r="CD808" s="2123">
        <v>155.38999999999999</v>
      </c>
      <c r="CE808" s="2123">
        <v>200.59</v>
      </c>
      <c r="CF808" s="2123">
        <v>200.59</v>
      </c>
      <c r="CK808" s="2123">
        <v>117.2</v>
      </c>
      <c r="CL808" s="2123">
        <v>117.2</v>
      </c>
      <c r="CM808" s="2123">
        <v>238.76</v>
      </c>
      <c r="CN808" s="2123">
        <v>238.76</v>
      </c>
      <c r="CO808" s="2123">
        <v>302.14999999999998</v>
      </c>
      <c r="CP808" s="2123">
        <v>302.14999999999998</v>
      </c>
      <c r="CQ808" s="2123">
        <v>302.14999999999998</v>
      </c>
      <c r="CR808" s="2123">
        <v>302.14999999999998</v>
      </c>
      <c r="CW808" s="2123">
        <v>109.38</v>
      </c>
      <c r="CX808" s="2123">
        <v>109.38</v>
      </c>
      <c r="CY808" s="2123">
        <v>230.84</v>
      </c>
      <c r="CZ808" s="2123">
        <v>230.84</v>
      </c>
      <c r="DA808" s="2123">
        <v>230.84</v>
      </c>
      <c r="DB808" s="2123">
        <v>230.84</v>
      </c>
      <c r="DC808" s="2123">
        <v>292.66000000000003</v>
      </c>
      <c r="DD808" s="2123">
        <v>292.66000000000003</v>
      </c>
      <c r="DE808" s="2123">
        <v>292.66000000000003</v>
      </c>
      <c r="DF808" s="2123">
        <v>292.66000000000003</v>
      </c>
      <c r="DI808" s="2123">
        <v>28.94</v>
      </c>
      <c r="DJ808" s="2123">
        <v>28.94</v>
      </c>
      <c r="DK808" s="2123">
        <v>28.94</v>
      </c>
      <c r="DL808" s="2123">
        <v>28.94</v>
      </c>
      <c r="DM808" s="2123">
        <v>28.94</v>
      </c>
      <c r="DN808" s="2123">
        <v>28.94</v>
      </c>
      <c r="DU808" s="2123">
        <v>12.9</v>
      </c>
      <c r="DV808" s="2123">
        <v>12.9</v>
      </c>
      <c r="DW808" s="2123">
        <v>12.14</v>
      </c>
      <c r="DX808" s="2123">
        <v>12.14</v>
      </c>
      <c r="DY808" s="2123">
        <v>12.14</v>
      </c>
      <c r="DZ808" s="2123">
        <v>12.14</v>
      </c>
      <c r="EG808" s="2123">
        <v>13.8</v>
      </c>
      <c r="EH808" s="2123">
        <v>13.99</v>
      </c>
      <c r="EI808" s="2123">
        <v>10.69</v>
      </c>
      <c r="EJ808" s="2123">
        <v>10.69</v>
      </c>
      <c r="EK808" s="2123">
        <v>10.68</v>
      </c>
      <c r="EL808" s="2123">
        <v>10.68</v>
      </c>
      <c r="EM808" s="2123">
        <v>11.35</v>
      </c>
      <c r="EN808" s="2123">
        <v>11.35</v>
      </c>
      <c r="EO808" s="2123">
        <v>10.72</v>
      </c>
      <c r="EP808" s="2123">
        <v>10.72</v>
      </c>
      <c r="EQ808" s="2123">
        <v>11.03</v>
      </c>
      <c r="ER808" s="2123">
        <v>10.96</v>
      </c>
      <c r="ES808" s="2123">
        <v>52.77</v>
      </c>
      <c r="ET808" s="2123">
        <v>52.77</v>
      </c>
      <c r="EU808" s="2123">
        <v>223.33</v>
      </c>
      <c r="EV808" s="2123">
        <v>223.33</v>
      </c>
      <c r="EW808" s="2123">
        <v>218.23</v>
      </c>
      <c r="EX808" s="2123">
        <v>218.23</v>
      </c>
      <c r="EY808" s="2129">
        <f t="shared" si="50"/>
        <v>220.78</v>
      </c>
      <c r="EZ808" s="2129">
        <f t="shared" si="50"/>
        <v>220.78</v>
      </c>
      <c r="FA808" s="2123">
        <v>222.29</v>
      </c>
      <c r="FB808" s="2123">
        <v>222.29</v>
      </c>
      <c r="FE808" s="2123">
        <v>45.35</v>
      </c>
      <c r="FF808" s="2123">
        <v>45.35</v>
      </c>
      <c r="FG808" s="2123">
        <v>187.81</v>
      </c>
      <c r="FH808" s="2123">
        <v>187.81</v>
      </c>
      <c r="FI808" s="2123">
        <v>187.81</v>
      </c>
      <c r="FJ808" s="2123">
        <v>189.93</v>
      </c>
      <c r="FK808" s="2123">
        <v>187.21</v>
      </c>
      <c r="FL808" s="2123">
        <v>187.21</v>
      </c>
      <c r="FM808" s="2123">
        <v>188.24</v>
      </c>
      <c r="FN808" s="2123">
        <v>188.24</v>
      </c>
      <c r="FQ808" s="2123">
        <v>102.42</v>
      </c>
      <c r="FR808" s="2123">
        <v>102.42</v>
      </c>
      <c r="FS808" s="2123">
        <v>203.2</v>
      </c>
      <c r="FT808" s="2123">
        <v>203.2</v>
      </c>
      <c r="FU808" s="2123">
        <v>203.2</v>
      </c>
      <c r="FV808" s="2123">
        <v>203.2</v>
      </c>
      <c r="FW808" s="2123">
        <v>203.83</v>
      </c>
      <c r="FX808" s="2123">
        <v>203.83</v>
      </c>
      <c r="GC808" s="2123">
        <v>72.44</v>
      </c>
      <c r="GD808" s="2123">
        <v>72.44</v>
      </c>
      <c r="GE808" s="2123">
        <v>163.79</v>
      </c>
      <c r="GF808" s="2123">
        <v>163.79</v>
      </c>
      <c r="GG808" s="2123">
        <v>163.79</v>
      </c>
      <c r="GH808" s="2123">
        <v>163.79</v>
      </c>
      <c r="GI808" s="2123">
        <v>167.89</v>
      </c>
      <c r="GJ808" s="2123">
        <v>167.89</v>
      </c>
      <c r="GK808" s="2123">
        <v>196.74</v>
      </c>
      <c r="GL808" s="2123">
        <v>196.74</v>
      </c>
      <c r="GO808" s="2123">
        <v>38.78</v>
      </c>
      <c r="GP808" s="2123">
        <v>38.78</v>
      </c>
      <c r="GQ808" s="2123">
        <v>32.85</v>
      </c>
      <c r="GR808" s="2123">
        <v>32.85</v>
      </c>
      <c r="GS808" s="2123">
        <v>32.85</v>
      </c>
      <c r="GT808" s="2123">
        <v>31.65</v>
      </c>
      <c r="GU808" s="2123">
        <v>31.65</v>
      </c>
      <c r="GV808" s="2123">
        <v>32.01</v>
      </c>
      <c r="GW808" s="2123">
        <v>187.21</v>
      </c>
      <c r="GX808" s="2123">
        <v>187.21</v>
      </c>
      <c r="HA808" s="2123">
        <v>27.08</v>
      </c>
      <c r="HB808" s="2123">
        <v>27.08</v>
      </c>
      <c r="HC808" s="2123">
        <v>19.82</v>
      </c>
      <c r="HD808" s="2123">
        <v>19.82</v>
      </c>
      <c r="HE808" s="2123">
        <v>20.64</v>
      </c>
      <c r="HF808" s="2123">
        <v>20.64</v>
      </c>
      <c r="HG808" s="2123">
        <v>20.64</v>
      </c>
      <c r="HH808" s="2123">
        <v>20.64</v>
      </c>
      <c r="HI808" s="2123">
        <v>20.64</v>
      </c>
      <c r="HJ808" s="2123">
        <v>20.64</v>
      </c>
      <c r="HK808" s="2123">
        <v>20.71</v>
      </c>
      <c r="HL808" s="2123">
        <v>20.97</v>
      </c>
      <c r="HM808" s="2123">
        <v>37.96</v>
      </c>
      <c r="HN808" s="2123">
        <v>37.96</v>
      </c>
      <c r="HO808" s="2123">
        <v>28.17</v>
      </c>
      <c r="HP808" s="2123">
        <v>28.17</v>
      </c>
      <c r="HQ808" s="2123">
        <v>29.3</v>
      </c>
      <c r="HR808" s="2123">
        <v>29.3</v>
      </c>
      <c r="HS808" s="2123">
        <v>29.3</v>
      </c>
      <c r="HT808" s="2123">
        <v>29.3</v>
      </c>
      <c r="HU808" s="2123">
        <v>29.3</v>
      </c>
      <c r="HV808" s="2123">
        <v>29.3</v>
      </c>
      <c r="HW808" s="2123">
        <v>29.36</v>
      </c>
      <c r="HX808" s="2050">
        <v>29.36</v>
      </c>
    </row>
    <row r="809" spans="1:232" s="2123" customFormat="1" ht="14" hidden="1" x14ac:dyDescent="0.3">
      <c r="A809" s="2040"/>
      <c r="B809" s="2127">
        <v>60</v>
      </c>
      <c r="C809" s="2128">
        <v>43.02</v>
      </c>
      <c r="D809" s="2128">
        <v>43.02</v>
      </c>
      <c r="E809" s="2128">
        <v>43.24</v>
      </c>
      <c r="F809" s="2128">
        <v>43.24</v>
      </c>
      <c r="G809" s="2128">
        <v>164.27</v>
      </c>
      <c r="H809" s="2128">
        <v>164.27</v>
      </c>
      <c r="I809" s="2128">
        <v>154.71</v>
      </c>
      <c r="J809" s="2128">
        <v>154.71</v>
      </c>
      <c r="K809" s="2128">
        <v>161.26</v>
      </c>
      <c r="L809" s="2128">
        <v>161.26</v>
      </c>
      <c r="M809" s="2128"/>
      <c r="N809" s="2128"/>
      <c r="O809" s="2128">
        <v>134.93</v>
      </c>
      <c r="P809" s="2128">
        <v>134.93</v>
      </c>
      <c r="Q809" s="2128">
        <v>134.69999999999999</v>
      </c>
      <c r="R809" s="2128">
        <v>134.93</v>
      </c>
      <c r="S809" s="2128">
        <v>242.72000000000003</v>
      </c>
      <c r="T809" s="2128">
        <v>241.97</v>
      </c>
      <c r="U809" s="2128">
        <v>233.57</v>
      </c>
      <c r="V809" s="2128">
        <v>233.57</v>
      </c>
      <c r="W809" s="2128">
        <v>241.97</v>
      </c>
      <c r="X809" s="2128">
        <v>241.97</v>
      </c>
      <c r="Y809" s="2128">
        <v>233.57</v>
      </c>
      <c r="Z809" s="2128">
        <v>241.97</v>
      </c>
      <c r="AA809" s="2128">
        <v>241.97</v>
      </c>
      <c r="AB809" s="2128">
        <v>241.97</v>
      </c>
      <c r="AC809" s="2128">
        <v>233.57</v>
      </c>
      <c r="AD809" s="2128">
        <v>233.57</v>
      </c>
      <c r="AE809" s="2128">
        <v>257.13</v>
      </c>
      <c r="AF809" s="2128">
        <v>249.75</v>
      </c>
      <c r="AG809" s="2128">
        <v>257.13</v>
      </c>
      <c r="AH809" s="2128">
        <v>257.13</v>
      </c>
      <c r="AI809" s="2128">
        <v>249.75</v>
      </c>
      <c r="AJ809" s="2128">
        <v>249.75</v>
      </c>
      <c r="AK809" s="2128">
        <v>250.39</v>
      </c>
      <c r="AL809" s="2128">
        <v>250.39</v>
      </c>
      <c r="AM809" s="2128">
        <v>71.209999999999994</v>
      </c>
      <c r="AN809" s="2128">
        <v>68.61</v>
      </c>
      <c r="AO809" s="2128">
        <v>68.61</v>
      </c>
      <c r="AP809" s="2128">
        <v>68.650000000000006</v>
      </c>
      <c r="AQ809" s="2128">
        <v>69.13</v>
      </c>
      <c r="AR809" s="2128">
        <v>69.13</v>
      </c>
      <c r="AS809" s="2128">
        <v>202.66</v>
      </c>
      <c r="AT809" s="2128">
        <v>202.66</v>
      </c>
      <c r="AU809" s="2128">
        <v>202.66</v>
      </c>
      <c r="AV809" s="2128">
        <v>207.4</v>
      </c>
      <c r="AW809" s="2128">
        <v>202.93</v>
      </c>
      <c r="AX809" s="2128">
        <v>202.93</v>
      </c>
      <c r="AY809" s="2128">
        <v>203.06</v>
      </c>
      <c r="AZ809" s="2128">
        <v>203.06</v>
      </c>
      <c r="BA809" s="2123">
        <v>88.21</v>
      </c>
      <c r="BB809" s="2123">
        <v>88.21</v>
      </c>
      <c r="BC809" s="2123">
        <v>21.92</v>
      </c>
      <c r="BD809" s="2123">
        <v>22.18</v>
      </c>
      <c r="BE809" s="2123">
        <v>25.55</v>
      </c>
      <c r="BF809" s="2123">
        <v>25.55</v>
      </c>
      <c r="BG809" s="2123">
        <v>22.03</v>
      </c>
      <c r="BH809" s="2123">
        <v>22.03</v>
      </c>
      <c r="BI809" s="2123">
        <v>21.86</v>
      </c>
      <c r="BJ809" s="2123">
        <v>21.86</v>
      </c>
      <c r="BK809" s="2123">
        <v>21.86</v>
      </c>
      <c r="BL809" s="2123">
        <v>21.86</v>
      </c>
      <c r="BM809" s="2123">
        <v>52.06</v>
      </c>
      <c r="BN809" s="2123">
        <v>52.06</v>
      </c>
      <c r="BO809" s="2123">
        <v>161.59</v>
      </c>
      <c r="BP809" s="2123">
        <v>161.59</v>
      </c>
      <c r="BQ809" s="2123">
        <v>161.59</v>
      </c>
      <c r="BR809" s="2123">
        <v>161.59</v>
      </c>
      <c r="BS809" s="2123">
        <v>205.68</v>
      </c>
      <c r="BT809" s="2123">
        <v>205.68</v>
      </c>
      <c r="BU809" s="2123">
        <v>205.68</v>
      </c>
      <c r="BV809" s="2123">
        <v>205.68</v>
      </c>
      <c r="BW809" s="2123">
        <v>205.68</v>
      </c>
      <c r="BX809" s="2123">
        <v>205.68</v>
      </c>
      <c r="BY809" s="2123">
        <v>47.18</v>
      </c>
      <c r="BZ809" s="2123">
        <v>47.18</v>
      </c>
      <c r="CA809" s="2123">
        <v>154.11000000000001</v>
      </c>
      <c r="CB809" s="2123">
        <v>154.11000000000001</v>
      </c>
      <c r="CC809" s="2123">
        <v>156.24</v>
      </c>
      <c r="CD809" s="2123">
        <v>156.24</v>
      </c>
      <c r="CE809" s="2123">
        <v>201.88</v>
      </c>
      <c r="CF809" s="2123">
        <v>201.88</v>
      </c>
      <c r="CK809" s="2123">
        <v>117.77</v>
      </c>
      <c r="CL809" s="2123">
        <v>117.77</v>
      </c>
      <c r="CM809" s="2123">
        <v>239.7</v>
      </c>
      <c r="CN809" s="2123">
        <v>239.7</v>
      </c>
      <c r="CO809" s="2123">
        <v>303.67</v>
      </c>
      <c r="CP809" s="2123">
        <v>303.67</v>
      </c>
      <c r="CQ809" s="2123">
        <v>303.67</v>
      </c>
      <c r="CR809" s="2123">
        <v>303.67</v>
      </c>
      <c r="CW809" s="2123">
        <v>109.89</v>
      </c>
      <c r="CX809" s="2123">
        <v>109.89</v>
      </c>
      <c r="CY809" s="2123">
        <v>231.77</v>
      </c>
      <c r="CZ809" s="2123">
        <v>231.77</v>
      </c>
      <c r="DA809" s="2123">
        <v>231.77</v>
      </c>
      <c r="DB809" s="2123">
        <v>231.77</v>
      </c>
      <c r="DC809" s="2123">
        <v>294.14999999999998</v>
      </c>
      <c r="DD809" s="2123">
        <v>294.14999999999998</v>
      </c>
      <c r="DE809" s="2123">
        <v>294.14999999999998</v>
      </c>
      <c r="DF809" s="2123">
        <v>294.14999999999998</v>
      </c>
      <c r="DI809" s="2123">
        <v>29.07</v>
      </c>
      <c r="DJ809" s="2123">
        <v>29.07</v>
      </c>
      <c r="DK809" s="2123">
        <v>29.07</v>
      </c>
      <c r="DL809" s="2123">
        <v>29.07</v>
      </c>
      <c r="DM809" s="2123">
        <v>29.07</v>
      </c>
      <c r="DN809" s="2123">
        <v>29.07</v>
      </c>
      <c r="DU809" s="2123">
        <v>12.96</v>
      </c>
      <c r="DV809" s="2123">
        <v>12.96</v>
      </c>
      <c r="DW809" s="2123">
        <v>12.22</v>
      </c>
      <c r="DX809" s="2123">
        <v>12.22</v>
      </c>
      <c r="DY809" s="2123">
        <v>12.22</v>
      </c>
      <c r="DZ809" s="2123">
        <v>12.22</v>
      </c>
      <c r="EG809" s="2123">
        <v>13.87</v>
      </c>
      <c r="EH809" s="2123">
        <v>14.06</v>
      </c>
      <c r="EI809" s="2123">
        <v>10.78</v>
      </c>
      <c r="EJ809" s="2123">
        <v>10.78</v>
      </c>
      <c r="EK809" s="2123">
        <v>10.77</v>
      </c>
      <c r="EL809" s="2123">
        <v>10.77</v>
      </c>
      <c r="EM809" s="2123">
        <v>11.43</v>
      </c>
      <c r="EN809" s="2123">
        <v>11.43</v>
      </c>
      <c r="EO809" s="2123">
        <v>10.81</v>
      </c>
      <c r="EP809" s="2123">
        <v>10.81</v>
      </c>
      <c r="EQ809" s="2123">
        <v>11.12</v>
      </c>
      <c r="ER809" s="2123">
        <v>11.05</v>
      </c>
      <c r="ES809" s="2123">
        <v>53.05</v>
      </c>
      <c r="ET809" s="2123">
        <v>53.05</v>
      </c>
      <c r="EU809" s="2123">
        <v>224.99</v>
      </c>
      <c r="EV809" s="2123">
        <v>224.99</v>
      </c>
      <c r="EW809" s="2123">
        <v>219.87</v>
      </c>
      <c r="EX809" s="2123">
        <v>219.87</v>
      </c>
      <c r="EY809" s="2129">
        <f t="shared" si="50"/>
        <v>222.43</v>
      </c>
      <c r="EZ809" s="2129">
        <f t="shared" si="50"/>
        <v>222.43</v>
      </c>
      <c r="FA809" s="2123">
        <v>223.88</v>
      </c>
      <c r="FB809" s="2123">
        <v>223.88</v>
      </c>
      <c r="FE809" s="2123">
        <v>45.59</v>
      </c>
      <c r="FF809" s="2123">
        <v>45.59</v>
      </c>
      <c r="FG809" s="2123">
        <v>189.23</v>
      </c>
      <c r="FH809" s="2123">
        <v>189.23</v>
      </c>
      <c r="FI809" s="2123">
        <v>189.23</v>
      </c>
      <c r="FJ809" s="2123">
        <v>191.29</v>
      </c>
      <c r="FK809" s="2123">
        <v>188.64</v>
      </c>
      <c r="FL809" s="2123">
        <v>188.64</v>
      </c>
      <c r="FM809" s="2123">
        <v>189.64</v>
      </c>
      <c r="FN809" s="2123">
        <v>189.64</v>
      </c>
      <c r="FQ809" s="2123">
        <v>102.97</v>
      </c>
      <c r="FR809" s="2123">
        <v>102.97</v>
      </c>
      <c r="FS809" s="2123">
        <v>204.46</v>
      </c>
      <c r="FT809" s="2123">
        <v>204.46</v>
      </c>
      <c r="FU809" s="2123">
        <v>204.46</v>
      </c>
      <c r="FV809" s="2123">
        <v>204.46</v>
      </c>
      <c r="FW809" s="2123">
        <v>205.07</v>
      </c>
      <c r="FX809" s="2123">
        <v>205.07</v>
      </c>
      <c r="GC809" s="2123">
        <v>72.819999999999993</v>
      </c>
      <c r="GD809" s="2123">
        <v>72.819999999999993</v>
      </c>
      <c r="GE809" s="2123">
        <v>164.58</v>
      </c>
      <c r="GF809" s="2123">
        <v>164.58</v>
      </c>
      <c r="GG809" s="2123">
        <v>164.58</v>
      </c>
      <c r="GH809" s="2123">
        <v>164.58</v>
      </c>
      <c r="GI809" s="2123">
        <v>169.53</v>
      </c>
      <c r="GJ809" s="2123">
        <v>169.53</v>
      </c>
      <c r="GK809" s="2123">
        <v>198.13</v>
      </c>
      <c r="GL809" s="2123">
        <v>198.13</v>
      </c>
      <c r="GO809" s="2123">
        <v>38.979999999999997</v>
      </c>
      <c r="GP809" s="2123">
        <v>38.979999999999997</v>
      </c>
      <c r="GQ809" s="2123">
        <v>33.08</v>
      </c>
      <c r="GR809" s="2123">
        <v>33.08</v>
      </c>
      <c r="GS809" s="2123">
        <v>33.08</v>
      </c>
      <c r="GT809" s="2123">
        <v>31.86</v>
      </c>
      <c r="GU809" s="2123">
        <v>31.86</v>
      </c>
      <c r="GV809" s="2123">
        <v>32.22</v>
      </c>
      <c r="GW809" s="2123">
        <v>188.43</v>
      </c>
      <c r="GX809" s="2123">
        <v>188.43</v>
      </c>
      <c r="HA809" s="2123">
        <v>27.22</v>
      </c>
      <c r="HB809" s="2123">
        <v>27.22</v>
      </c>
      <c r="HC809" s="2123">
        <v>20.010000000000002</v>
      </c>
      <c r="HD809" s="2123">
        <v>20.010000000000002</v>
      </c>
      <c r="HE809" s="2123">
        <v>20.88</v>
      </c>
      <c r="HF809" s="2123">
        <v>20.88</v>
      </c>
      <c r="HG809" s="2123">
        <v>20.88</v>
      </c>
      <c r="HH809" s="2123">
        <v>20.88</v>
      </c>
      <c r="HI809" s="2123">
        <v>20.88</v>
      </c>
      <c r="HJ809" s="2123">
        <v>20.88</v>
      </c>
      <c r="HK809" s="2123">
        <v>20.89</v>
      </c>
      <c r="HL809" s="2123">
        <v>21.15</v>
      </c>
      <c r="HM809" s="2123">
        <v>38.130000000000003</v>
      </c>
      <c r="HN809" s="2123">
        <v>38.130000000000003</v>
      </c>
      <c r="HO809" s="2123">
        <v>28.39</v>
      </c>
      <c r="HP809" s="2123">
        <v>28.39</v>
      </c>
      <c r="HQ809" s="2123">
        <v>29.6</v>
      </c>
      <c r="HR809" s="2123">
        <v>29.6</v>
      </c>
      <c r="HS809" s="2123">
        <v>29.6</v>
      </c>
      <c r="HT809" s="2123">
        <v>29.6</v>
      </c>
      <c r="HU809" s="2123">
        <v>29.6</v>
      </c>
      <c r="HV809" s="2123">
        <v>29.6</v>
      </c>
      <c r="HW809" s="2123">
        <v>29.58</v>
      </c>
      <c r="HX809" s="2050">
        <v>29.58</v>
      </c>
    </row>
    <row r="810" spans="1:232" s="2123" customFormat="1" ht="14" hidden="1" x14ac:dyDescent="0.3">
      <c r="A810" s="2040"/>
      <c r="B810" s="2127">
        <v>61</v>
      </c>
      <c r="C810" s="2128">
        <v>43.21</v>
      </c>
      <c r="D810" s="2128">
        <v>43.21</v>
      </c>
      <c r="E810" s="2128">
        <v>43.43</v>
      </c>
      <c r="F810" s="2128">
        <v>43.43</v>
      </c>
      <c r="G810" s="2128">
        <v>165.48</v>
      </c>
      <c r="H810" s="2128">
        <v>165.48</v>
      </c>
      <c r="I810" s="2128">
        <v>155.65</v>
      </c>
      <c r="J810" s="2128">
        <v>155.65</v>
      </c>
      <c r="K810" s="2128">
        <v>162.08000000000001</v>
      </c>
      <c r="L810" s="2128">
        <v>162.08000000000001</v>
      </c>
      <c r="M810" s="2128"/>
      <c r="N810" s="2128"/>
      <c r="O810" s="2128">
        <v>135.6</v>
      </c>
      <c r="P810" s="2128">
        <v>135.6</v>
      </c>
      <c r="Q810" s="2128">
        <v>135.36000000000001</v>
      </c>
      <c r="R810" s="2128">
        <v>135.6</v>
      </c>
      <c r="S810" s="2128">
        <v>244.44000000000003</v>
      </c>
      <c r="T810" s="2128">
        <v>243.74</v>
      </c>
      <c r="U810" s="2128">
        <v>235.27</v>
      </c>
      <c r="V810" s="2128">
        <v>235.27</v>
      </c>
      <c r="W810" s="2128">
        <v>243.74</v>
      </c>
      <c r="X810" s="2128">
        <v>243.74</v>
      </c>
      <c r="Y810" s="2128">
        <v>235.27</v>
      </c>
      <c r="Z810" s="2128">
        <v>243.74</v>
      </c>
      <c r="AA810" s="2128">
        <v>243.74</v>
      </c>
      <c r="AB810" s="2128">
        <v>243.74</v>
      </c>
      <c r="AC810" s="2128">
        <v>235.27</v>
      </c>
      <c r="AD810" s="2128">
        <v>235.27</v>
      </c>
      <c r="AE810" s="2128">
        <v>258.74</v>
      </c>
      <c r="AF810" s="2128">
        <v>251.32</v>
      </c>
      <c r="AG810" s="2128">
        <v>258.74</v>
      </c>
      <c r="AH810" s="2128">
        <v>258.74</v>
      </c>
      <c r="AI810" s="2128">
        <v>251.32</v>
      </c>
      <c r="AJ810" s="2128">
        <v>251.32</v>
      </c>
      <c r="AK810" s="2128">
        <v>251.95</v>
      </c>
      <c r="AL810" s="2128">
        <v>251.95</v>
      </c>
      <c r="AM810" s="2128">
        <v>71.569999999999993</v>
      </c>
      <c r="AN810" s="2128">
        <v>68.959999999999994</v>
      </c>
      <c r="AO810" s="2128">
        <v>68.959999999999994</v>
      </c>
      <c r="AP810" s="2128">
        <v>69</v>
      </c>
      <c r="AQ810" s="2128">
        <v>69.47</v>
      </c>
      <c r="AR810" s="2128">
        <v>69.47</v>
      </c>
      <c r="AS810" s="2128">
        <v>203.97</v>
      </c>
      <c r="AT810" s="2128">
        <v>203.97</v>
      </c>
      <c r="AU810" s="2128">
        <v>203.97</v>
      </c>
      <c r="AV810" s="2128">
        <v>208.72</v>
      </c>
      <c r="AW810" s="2128">
        <v>204.24</v>
      </c>
      <c r="AX810" s="2128">
        <v>204.24</v>
      </c>
      <c r="AY810" s="2128">
        <v>204.37</v>
      </c>
      <c r="AZ810" s="2128">
        <v>204.37</v>
      </c>
      <c r="BA810" s="2123">
        <v>88.94</v>
      </c>
      <c r="BB810" s="2123">
        <v>88.94</v>
      </c>
      <c r="BC810" s="2123">
        <v>22.1</v>
      </c>
      <c r="BD810" s="2123">
        <v>22.35</v>
      </c>
      <c r="BE810" s="2123">
        <v>25.71</v>
      </c>
      <c r="BF810" s="2123">
        <v>25.71</v>
      </c>
      <c r="BG810" s="2123">
        <v>22.25</v>
      </c>
      <c r="BH810" s="2123">
        <v>22.25</v>
      </c>
      <c r="BI810" s="2123">
        <v>22.07</v>
      </c>
      <c r="BJ810" s="2123">
        <v>22.07</v>
      </c>
      <c r="BK810" s="2123">
        <v>22.07</v>
      </c>
      <c r="BL810" s="2123">
        <v>22.07</v>
      </c>
      <c r="BM810" s="2123">
        <v>52.35</v>
      </c>
      <c r="BN810" s="2123">
        <v>52.35</v>
      </c>
      <c r="BO810" s="2123">
        <v>162.61000000000001</v>
      </c>
      <c r="BP810" s="2123">
        <v>162.61000000000001</v>
      </c>
      <c r="BQ810" s="2123">
        <v>162.61000000000001</v>
      </c>
      <c r="BR810" s="2123">
        <v>162.61000000000001</v>
      </c>
      <c r="BS810" s="2123">
        <v>207.22</v>
      </c>
      <c r="BT810" s="2123">
        <v>207.22</v>
      </c>
      <c r="BU810" s="2123">
        <v>207.22</v>
      </c>
      <c r="BV810" s="2123">
        <v>207.22</v>
      </c>
      <c r="BW810" s="2123">
        <v>207.22</v>
      </c>
      <c r="BX810" s="2123">
        <v>207.22</v>
      </c>
      <c r="BY810" s="2123">
        <v>47.46</v>
      </c>
      <c r="BZ810" s="2123">
        <v>47.46</v>
      </c>
      <c r="CA810" s="2123">
        <v>155.18</v>
      </c>
      <c r="CB810" s="2123">
        <v>155.18</v>
      </c>
      <c r="CC810" s="2123">
        <v>157.33000000000001</v>
      </c>
      <c r="CD810" s="2123">
        <v>157.33000000000001</v>
      </c>
      <c r="CE810" s="2123">
        <v>203.55</v>
      </c>
      <c r="CF810" s="2123">
        <v>203.55</v>
      </c>
      <c r="CK810" s="2123">
        <v>118.28</v>
      </c>
      <c r="CL810" s="2123">
        <v>118.28</v>
      </c>
      <c r="CM810" s="2123">
        <v>240.64</v>
      </c>
      <c r="CN810" s="2123">
        <v>240.64</v>
      </c>
      <c r="CO810" s="2123">
        <v>305.18</v>
      </c>
      <c r="CP810" s="2123">
        <v>305.18</v>
      </c>
      <c r="CQ810" s="2123">
        <v>305.18</v>
      </c>
      <c r="CR810" s="2123">
        <v>305.18</v>
      </c>
      <c r="CW810" s="2123">
        <v>110.48</v>
      </c>
      <c r="CX810" s="2123">
        <v>110.48</v>
      </c>
      <c r="CY810" s="2123">
        <v>232.85</v>
      </c>
      <c r="CZ810" s="2123">
        <v>232.85</v>
      </c>
      <c r="DA810" s="2123">
        <v>232.85</v>
      </c>
      <c r="DB810" s="2123">
        <v>232.85</v>
      </c>
      <c r="DC810" s="2123">
        <v>295.87</v>
      </c>
      <c r="DD810" s="2123">
        <v>295.87</v>
      </c>
      <c r="DE810" s="2123">
        <v>295.87</v>
      </c>
      <c r="DF810" s="2123">
        <v>295.87</v>
      </c>
      <c r="DI810" s="2123">
        <v>29.2</v>
      </c>
      <c r="DJ810" s="2123">
        <v>29.2</v>
      </c>
      <c r="DK810" s="2123">
        <v>29.2</v>
      </c>
      <c r="DL810" s="2123">
        <v>29.2</v>
      </c>
      <c r="DM810" s="2123">
        <v>29.2</v>
      </c>
      <c r="DN810" s="2123">
        <v>29.2</v>
      </c>
      <c r="DU810" s="2123">
        <v>13.01</v>
      </c>
      <c r="DV810" s="2123">
        <v>13.01</v>
      </c>
      <c r="DW810" s="2123">
        <v>12.29</v>
      </c>
      <c r="DX810" s="2123">
        <v>12.29</v>
      </c>
      <c r="DY810" s="2123">
        <v>12.29</v>
      </c>
      <c r="DZ810" s="2123">
        <v>12.29</v>
      </c>
      <c r="EG810" s="2123">
        <v>13.94</v>
      </c>
      <c r="EH810" s="2123">
        <v>14.13</v>
      </c>
      <c r="EI810" s="2123">
        <v>10.87</v>
      </c>
      <c r="EJ810" s="2123">
        <v>10.87</v>
      </c>
      <c r="EK810" s="2123">
        <v>10.86</v>
      </c>
      <c r="EL810" s="2123">
        <v>10.86</v>
      </c>
      <c r="EM810" s="2123">
        <v>11.52</v>
      </c>
      <c r="EN810" s="2123">
        <v>11.52</v>
      </c>
      <c r="EO810" s="2123">
        <v>10.89</v>
      </c>
      <c r="EP810" s="2123">
        <v>10.89</v>
      </c>
      <c r="EQ810" s="2123">
        <v>11.21</v>
      </c>
      <c r="ER810" s="2123">
        <v>11.13</v>
      </c>
      <c r="ES810" s="2123">
        <v>53.32</v>
      </c>
      <c r="ET810" s="2123">
        <v>53.32</v>
      </c>
      <c r="EU810" s="2123">
        <v>226.6</v>
      </c>
      <c r="EV810" s="2123">
        <v>226.6</v>
      </c>
      <c r="EW810" s="2123">
        <v>221.47</v>
      </c>
      <c r="EX810" s="2123">
        <v>221.47</v>
      </c>
      <c r="EY810" s="2129">
        <f t="shared" si="50"/>
        <v>224.035</v>
      </c>
      <c r="EZ810" s="2129">
        <f t="shared" si="50"/>
        <v>224.035</v>
      </c>
      <c r="FA810" s="2123">
        <v>225.43</v>
      </c>
      <c r="FB810" s="2123">
        <v>225.43</v>
      </c>
      <c r="FE810" s="2123">
        <v>45.83</v>
      </c>
      <c r="FF810" s="2123">
        <v>45.83</v>
      </c>
      <c r="FG810" s="2123">
        <v>190.62</v>
      </c>
      <c r="FH810" s="2123">
        <v>190.62</v>
      </c>
      <c r="FI810" s="2123">
        <v>190.62</v>
      </c>
      <c r="FJ810" s="2123">
        <v>192.62</v>
      </c>
      <c r="FK810" s="2123">
        <v>190.04</v>
      </c>
      <c r="FL810" s="2123">
        <v>190.04</v>
      </c>
      <c r="FM810" s="2123">
        <v>191.02</v>
      </c>
      <c r="FN810" s="2123">
        <v>191.02</v>
      </c>
      <c r="FQ810" s="2123">
        <v>103.5</v>
      </c>
      <c r="FR810" s="2123">
        <v>103.5</v>
      </c>
      <c r="FS810" s="2123">
        <v>205.69</v>
      </c>
      <c r="FT810" s="2123">
        <v>205.69</v>
      </c>
      <c r="FU810" s="2123">
        <v>205.69</v>
      </c>
      <c r="FV810" s="2123">
        <v>205.69</v>
      </c>
      <c r="FW810" s="2123">
        <v>206.28</v>
      </c>
      <c r="FX810" s="2123">
        <v>206.28</v>
      </c>
      <c r="GC810" s="2123">
        <v>73.19</v>
      </c>
      <c r="GD810" s="2123">
        <v>73.19</v>
      </c>
      <c r="GE810" s="2123">
        <v>165.35</v>
      </c>
      <c r="GF810" s="2123">
        <v>165.35</v>
      </c>
      <c r="GG810" s="2123">
        <v>165.35</v>
      </c>
      <c r="GH810" s="2123">
        <v>165.35</v>
      </c>
      <c r="GI810" s="2123">
        <v>171.13</v>
      </c>
      <c r="GJ810" s="2123">
        <v>171.13</v>
      </c>
      <c r="GK810" s="2123">
        <v>199.49</v>
      </c>
      <c r="GL810" s="2123">
        <v>199.49</v>
      </c>
      <c r="GO810" s="2123">
        <v>39.18</v>
      </c>
      <c r="GP810" s="2123">
        <v>39.18</v>
      </c>
      <c r="GQ810" s="2123">
        <v>33.33</v>
      </c>
      <c r="GR810" s="2123">
        <v>33.33</v>
      </c>
      <c r="GS810" s="2123">
        <v>33.33</v>
      </c>
      <c r="GT810" s="2123">
        <v>32.11</v>
      </c>
      <c r="GU810" s="2123">
        <v>32.11</v>
      </c>
      <c r="GV810" s="2123">
        <v>32.450000000000003</v>
      </c>
      <c r="GW810" s="2123">
        <v>189.81</v>
      </c>
      <c r="GX810" s="2123">
        <v>189.81</v>
      </c>
      <c r="HA810" s="2123">
        <v>27.41</v>
      </c>
      <c r="HB810" s="2123">
        <v>27.41</v>
      </c>
      <c r="HC810" s="2123">
        <v>20.260000000000002</v>
      </c>
      <c r="HD810" s="2123">
        <v>20.260000000000002</v>
      </c>
      <c r="HE810" s="2123">
        <v>21.01</v>
      </c>
      <c r="HF810" s="2123">
        <v>21.01</v>
      </c>
      <c r="HG810" s="2123">
        <v>21.01</v>
      </c>
      <c r="HH810" s="2123">
        <v>21.01</v>
      </c>
      <c r="HI810" s="2123">
        <v>21.01</v>
      </c>
      <c r="HJ810" s="2123">
        <v>21.01</v>
      </c>
      <c r="HK810" s="2123">
        <v>21.13</v>
      </c>
      <c r="HL810" s="2123">
        <v>21.38</v>
      </c>
      <c r="HM810" s="2123">
        <v>38.36</v>
      </c>
      <c r="HN810" s="2123">
        <v>38.36</v>
      </c>
      <c r="HO810" s="2123">
        <v>28.69</v>
      </c>
      <c r="HP810" s="2123">
        <v>28.69</v>
      </c>
      <c r="HQ810" s="2123">
        <v>29.83</v>
      </c>
      <c r="HR810" s="2123">
        <v>29.83</v>
      </c>
      <c r="HS810" s="2123">
        <v>29.83</v>
      </c>
      <c r="HT810" s="2123">
        <v>29.83</v>
      </c>
      <c r="HU810" s="2123">
        <v>29.83</v>
      </c>
      <c r="HV810" s="2123">
        <v>29.83</v>
      </c>
      <c r="HW810" s="2123">
        <v>29.87</v>
      </c>
      <c r="HX810" s="2050">
        <v>29.87</v>
      </c>
    </row>
    <row r="811" spans="1:232" s="2123" customFormat="1" ht="14" hidden="1" x14ac:dyDescent="0.3">
      <c r="A811" s="2040"/>
      <c r="B811" s="2127">
        <v>62</v>
      </c>
      <c r="C811" s="2128">
        <v>43.46</v>
      </c>
      <c r="D811" s="2128">
        <v>43.46</v>
      </c>
      <c r="E811" s="2128">
        <v>43.67</v>
      </c>
      <c r="F811" s="2128">
        <v>43.67</v>
      </c>
      <c r="G811" s="2128">
        <v>166.44</v>
      </c>
      <c r="H811" s="2128">
        <v>166.44</v>
      </c>
      <c r="I811" s="2128">
        <v>156.86000000000001</v>
      </c>
      <c r="J811" s="2128">
        <v>156.86000000000001</v>
      </c>
      <c r="K811" s="2128">
        <v>163.13999999999999</v>
      </c>
      <c r="L811" s="2128">
        <v>163.13999999999999</v>
      </c>
      <c r="M811" s="2128"/>
      <c r="N811" s="2128"/>
      <c r="O811" s="2128">
        <v>136.26</v>
      </c>
      <c r="P811" s="2128">
        <v>136.26</v>
      </c>
      <c r="Q811" s="2128">
        <v>136</v>
      </c>
      <c r="R811" s="2128">
        <v>136.26</v>
      </c>
      <c r="S811" s="2128">
        <v>246.14000000000001</v>
      </c>
      <c r="T811" s="2128">
        <v>245.46</v>
      </c>
      <c r="U811" s="2128">
        <v>236.94</v>
      </c>
      <c r="V811" s="2128">
        <v>236.94</v>
      </c>
      <c r="W811" s="2128">
        <v>245.46</v>
      </c>
      <c r="X811" s="2128">
        <v>245.46</v>
      </c>
      <c r="Y811" s="2128">
        <v>236.94</v>
      </c>
      <c r="Z811" s="2128">
        <v>245.46</v>
      </c>
      <c r="AA811" s="2128">
        <v>245.46</v>
      </c>
      <c r="AB811" s="2128">
        <v>245.46</v>
      </c>
      <c r="AC811" s="2128">
        <v>236.94</v>
      </c>
      <c r="AD811" s="2128">
        <v>236.94</v>
      </c>
      <c r="AE811" s="2128">
        <v>260.32</v>
      </c>
      <c r="AF811" s="2128">
        <v>252.85</v>
      </c>
      <c r="AG811" s="2128">
        <v>260.32</v>
      </c>
      <c r="AH811" s="2128">
        <v>260.32</v>
      </c>
      <c r="AI811" s="2128">
        <v>252.85</v>
      </c>
      <c r="AJ811" s="2128">
        <v>252.85</v>
      </c>
      <c r="AK811" s="2128">
        <v>253.46</v>
      </c>
      <c r="AL811" s="2128">
        <v>253.46</v>
      </c>
      <c r="AM811" s="2128">
        <v>71.92</v>
      </c>
      <c r="AN811" s="2128">
        <v>69.3</v>
      </c>
      <c r="AO811" s="2128">
        <v>69.3</v>
      </c>
      <c r="AP811" s="2128">
        <v>69.180000000000007</v>
      </c>
      <c r="AQ811" s="2128">
        <v>69.650000000000006</v>
      </c>
      <c r="AR811" s="2128">
        <v>69.650000000000006</v>
      </c>
      <c r="AS811" s="2128">
        <v>204.66</v>
      </c>
      <c r="AT811" s="2128">
        <v>204.66</v>
      </c>
      <c r="AU811" s="2128">
        <v>204.66</v>
      </c>
      <c r="AV811" s="2128">
        <v>209.42</v>
      </c>
      <c r="AW811" s="2128">
        <v>204.93</v>
      </c>
      <c r="AX811" s="2128">
        <v>204.93</v>
      </c>
      <c r="AY811" s="2128">
        <v>205.06</v>
      </c>
      <c r="AZ811" s="2128">
        <v>205.06</v>
      </c>
      <c r="BA811" s="2123">
        <v>89.37</v>
      </c>
      <c r="BB811" s="2123">
        <v>89.37</v>
      </c>
      <c r="BC811" s="2123">
        <v>22.27</v>
      </c>
      <c r="BD811" s="2123">
        <v>22.51</v>
      </c>
      <c r="BE811" s="2123">
        <v>25.81</v>
      </c>
      <c r="BF811" s="2123">
        <v>25.81</v>
      </c>
      <c r="BG811" s="2123">
        <v>22.37</v>
      </c>
      <c r="BH811" s="2123">
        <v>22.37</v>
      </c>
      <c r="BI811" s="2123">
        <v>22.2</v>
      </c>
      <c r="BJ811" s="2123">
        <v>22.2</v>
      </c>
      <c r="BK811" s="2123">
        <v>22.2</v>
      </c>
      <c r="BL811" s="2123">
        <v>22.2</v>
      </c>
      <c r="BM811" s="2123">
        <v>52.61</v>
      </c>
      <c r="BN811" s="2123">
        <v>52.61</v>
      </c>
      <c r="BO811" s="2123">
        <v>163.57</v>
      </c>
      <c r="BP811" s="2123">
        <v>163.57</v>
      </c>
      <c r="BQ811" s="2123">
        <v>163.57</v>
      </c>
      <c r="BR811" s="2123">
        <v>163.57</v>
      </c>
      <c r="BS811" s="2123">
        <v>208.69</v>
      </c>
      <c r="BT811" s="2123">
        <v>208.69</v>
      </c>
      <c r="BU811" s="2123">
        <v>208.69</v>
      </c>
      <c r="BV811" s="2123">
        <v>208.69</v>
      </c>
      <c r="BW811" s="2123">
        <v>208.69</v>
      </c>
      <c r="BX811" s="2123">
        <v>208.69</v>
      </c>
      <c r="BY811" s="2123">
        <v>47.66</v>
      </c>
      <c r="BZ811" s="2123">
        <v>47.66</v>
      </c>
      <c r="CA811" s="2123">
        <v>155.96</v>
      </c>
      <c r="CB811" s="2123">
        <v>155.96</v>
      </c>
      <c r="CC811" s="2123">
        <v>158.13999999999999</v>
      </c>
      <c r="CD811" s="2123">
        <v>158.13999999999999</v>
      </c>
      <c r="CE811" s="2123">
        <v>204.77</v>
      </c>
      <c r="CF811" s="2123">
        <v>204.77</v>
      </c>
      <c r="CK811" s="2123">
        <v>118.75</v>
      </c>
      <c r="CL811" s="2123">
        <v>118.75</v>
      </c>
      <c r="CM811" s="2123">
        <v>241.59</v>
      </c>
      <c r="CN811" s="2123">
        <v>241.59</v>
      </c>
      <c r="CO811" s="2123">
        <v>306.73</v>
      </c>
      <c r="CP811" s="2123">
        <v>306.73</v>
      </c>
      <c r="CQ811" s="2123">
        <v>306.73</v>
      </c>
      <c r="CR811" s="2123">
        <v>306.73</v>
      </c>
      <c r="CW811" s="2123">
        <v>111.1</v>
      </c>
      <c r="CX811" s="2123">
        <v>111.1</v>
      </c>
      <c r="CY811" s="2123">
        <v>233.98</v>
      </c>
      <c r="CZ811" s="2123">
        <v>233.98</v>
      </c>
      <c r="DA811" s="2123">
        <v>233.98</v>
      </c>
      <c r="DB811" s="2123">
        <v>233.98</v>
      </c>
      <c r="DC811" s="2123">
        <v>297.69</v>
      </c>
      <c r="DD811" s="2123">
        <v>297.69</v>
      </c>
      <c r="DE811" s="2123">
        <v>297.69</v>
      </c>
      <c r="DF811" s="2123">
        <v>297.69</v>
      </c>
      <c r="DI811" s="2123">
        <v>29.36</v>
      </c>
      <c r="DJ811" s="2123">
        <v>29.36</v>
      </c>
      <c r="DK811" s="2123">
        <v>29.36</v>
      </c>
      <c r="DL811" s="2123">
        <v>29.36</v>
      </c>
      <c r="DM811" s="2123">
        <v>29.36</v>
      </c>
      <c r="DN811" s="2123">
        <v>29.36</v>
      </c>
      <c r="DU811" s="2123">
        <v>13.09</v>
      </c>
      <c r="DV811" s="2123">
        <v>13.09</v>
      </c>
      <c r="DW811" s="2123">
        <v>12.36</v>
      </c>
      <c r="DX811" s="2123">
        <v>12.36</v>
      </c>
      <c r="DY811" s="2123">
        <v>12.36</v>
      </c>
      <c r="DZ811" s="2123">
        <v>12.36</v>
      </c>
      <c r="EG811" s="2123">
        <v>14</v>
      </c>
      <c r="EH811" s="2123">
        <v>14.19</v>
      </c>
      <c r="EI811" s="2123">
        <v>10.96</v>
      </c>
      <c r="EJ811" s="2123">
        <v>10.96</v>
      </c>
      <c r="EK811" s="2123">
        <v>10.95</v>
      </c>
      <c r="EL811" s="2123">
        <v>10.95</v>
      </c>
      <c r="EM811" s="2123">
        <v>11.6</v>
      </c>
      <c r="EN811" s="2123">
        <v>11.6</v>
      </c>
      <c r="EO811" s="2123">
        <v>10.98</v>
      </c>
      <c r="EP811" s="2123">
        <v>10.98</v>
      </c>
      <c r="EQ811" s="2123">
        <v>11.29</v>
      </c>
      <c r="ER811" s="2123">
        <v>11.21</v>
      </c>
      <c r="ES811" s="2123">
        <v>53.58</v>
      </c>
      <c r="ET811" s="2123">
        <v>53.58</v>
      </c>
      <c r="EU811" s="2123">
        <v>228.17</v>
      </c>
      <c r="EV811" s="2123">
        <v>228.17</v>
      </c>
      <c r="EW811" s="2123">
        <v>223.03</v>
      </c>
      <c r="EX811" s="2123">
        <v>223.03</v>
      </c>
      <c r="EY811" s="2129">
        <f t="shared" si="50"/>
        <v>225.6</v>
      </c>
      <c r="EZ811" s="2129">
        <f t="shared" si="50"/>
        <v>225.6</v>
      </c>
      <c r="FA811" s="2123">
        <v>226.94</v>
      </c>
      <c r="FB811" s="2123">
        <v>226.94</v>
      </c>
      <c r="FE811" s="2123">
        <v>46.06</v>
      </c>
      <c r="FF811" s="2123">
        <v>46.06</v>
      </c>
      <c r="FG811" s="2123">
        <v>191.96</v>
      </c>
      <c r="FH811" s="2123">
        <v>191.96</v>
      </c>
      <c r="FI811" s="2123">
        <v>191.96</v>
      </c>
      <c r="FJ811" s="2123">
        <v>193.92</v>
      </c>
      <c r="FK811" s="2123">
        <v>191.4</v>
      </c>
      <c r="FL811" s="2123">
        <v>191.4</v>
      </c>
      <c r="FM811" s="2123">
        <v>192.36</v>
      </c>
      <c r="FN811" s="2123">
        <v>192.36</v>
      </c>
      <c r="FQ811" s="2123">
        <v>104.02</v>
      </c>
      <c r="FR811" s="2123">
        <v>104.02</v>
      </c>
      <c r="FS811" s="2123">
        <v>206.88</v>
      </c>
      <c r="FT811" s="2123">
        <v>206.88</v>
      </c>
      <c r="FU811" s="2123">
        <v>206.88</v>
      </c>
      <c r="FV811" s="2123">
        <v>206.88</v>
      </c>
      <c r="FW811" s="2123">
        <v>207.46</v>
      </c>
      <c r="FX811" s="2123">
        <v>207.46</v>
      </c>
      <c r="GC811" s="2123">
        <v>73.55</v>
      </c>
      <c r="GD811" s="2123">
        <v>73.55</v>
      </c>
      <c r="GE811" s="2123">
        <v>166.1</v>
      </c>
      <c r="GF811" s="2123">
        <v>166.1</v>
      </c>
      <c r="GG811" s="2123">
        <v>166.1</v>
      </c>
      <c r="GH811" s="2123">
        <v>166.1</v>
      </c>
      <c r="GI811" s="2123">
        <v>172.7</v>
      </c>
      <c r="GJ811" s="2123">
        <v>172.7</v>
      </c>
      <c r="GK811" s="2123">
        <v>200.81</v>
      </c>
      <c r="GL811" s="2123">
        <v>200.81</v>
      </c>
      <c r="GO811" s="2123">
        <v>39.380000000000003</v>
      </c>
      <c r="GP811" s="2123">
        <v>39.380000000000003</v>
      </c>
      <c r="GQ811" s="2123">
        <v>33.58</v>
      </c>
      <c r="GR811" s="2123">
        <v>33.58</v>
      </c>
      <c r="GS811" s="2123">
        <v>33.58</v>
      </c>
      <c r="GT811" s="2123">
        <v>32.35</v>
      </c>
      <c r="GU811" s="2123">
        <v>32.35</v>
      </c>
      <c r="GV811" s="2123">
        <v>32.69</v>
      </c>
      <c r="GW811" s="2123">
        <v>191.17</v>
      </c>
      <c r="GX811" s="2123">
        <v>191.17</v>
      </c>
      <c r="HA811" s="2123">
        <v>27.51</v>
      </c>
      <c r="HB811" s="2123">
        <v>27.51</v>
      </c>
      <c r="HC811" s="2123">
        <v>20.399999999999999</v>
      </c>
      <c r="HD811" s="2123">
        <v>20.399999999999999</v>
      </c>
      <c r="HE811" s="2123">
        <v>21.17</v>
      </c>
      <c r="HF811" s="2123">
        <v>21.17</v>
      </c>
      <c r="HG811" s="2123">
        <v>21.17</v>
      </c>
      <c r="HH811" s="2123">
        <v>21.17</v>
      </c>
      <c r="HI811" s="2123">
        <v>21.17</v>
      </c>
      <c r="HJ811" s="2123">
        <v>21.17</v>
      </c>
      <c r="HK811" s="2123">
        <v>21.26</v>
      </c>
      <c r="HL811" s="2123">
        <v>21.51</v>
      </c>
      <c r="HM811" s="2123">
        <v>38.53</v>
      </c>
      <c r="HN811" s="2123">
        <v>38.53</v>
      </c>
      <c r="HO811" s="2123">
        <v>28.93</v>
      </c>
      <c r="HP811" s="2123">
        <v>28.93</v>
      </c>
      <c r="HQ811" s="2123">
        <v>30.02</v>
      </c>
      <c r="HR811" s="2123">
        <v>30.02</v>
      </c>
      <c r="HS811" s="2123">
        <v>30.02</v>
      </c>
      <c r="HT811" s="2123">
        <v>30.02</v>
      </c>
      <c r="HU811" s="2123">
        <v>30.02</v>
      </c>
      <c r="HV811" s="2123">
        <v>30.02</v>
      </c>
      <c r="HW811" s="2123">
        <v>30.09</v>
      </c>
      <c r="HX811" s="2050">
        <v>30.09</v>
      </c>
    </row>
    <row r="812" spans="1:232" s="2123" customFormat="1" ht="14" hidden="1" x14ac:dyDescent="0.3">
      <c r="A812" s="2040"/>
      <c r="B812" s="2127">
        <v>63</v>
      </c>
      <c r="C812" s="2128">
        <v>43.66</v>
      </c>
      <c r="D812" s="2128">
        <v>43.66</v>
      </c>
      <c r="E812" s="2128">
        <v>43.86</v>
      </c>
      <c r="F812" s="2128">
        <v>43.86</v>
      </c>
      <c r="G812" s="2128">
        <v>167.38</v>
      </c>
      <c r="H812" s="2128">
        <v>167.38</v>
      </c>
      <c r="I812" s="2128">
        <v>157.82</v>
      </c>
      <c r="J812" s="2128">
        <v>157.82</v>
      </c>
      <c r="K812" s="2128">
        <v>163.98</v>
      </c>
      <c r="L812" s="2128">
        <v>163.98</v>
      </c>
      <c r="M812" s="2128"/>
      <c r="N812" s="2128"/>
      <c r="O812" s="2128">
        <v>136.84</v>
      </c>
      <c r="P812" s="2128">
        <v>136.84</v>
      </c>
      <c r="Q812" s="2128">
        <v>136.57</v>
      </c>
      <c r="R812" s="2128">
        <v>136.85</v>
      </c>
      <c r="S812" s="2128">
        <v>247.66000000000003</v>
      </c>
      <c r="T812" s="2128">
        <v>247.15</v>
      </c>
      <c r="U812" s="2128">
        <v>238.56</v>
      </c>
      <c r="V812" s="2128">
        <v>238.56</v>
      </c>
      <c r="W812" s="2128">
        <v>247.15</v>
      </c>
      <c r="X812" s="2128">
        <v>247.15</v>
      </c>
      <c r="Y812" s="2128">
        <v>238.56</v>
      </c>
      <c r="Z812" s="2128">
        <v>247.15</v>
      </c>
      <c r="AA812" s="2128">
        <v>247.15</v>
      </c>
      <c r="AB812" s="2128">
        <v>247.15</v>
      </c>
      <c r="AC812" s="2128">
        <v>238.56</v>
      </c>
      <c r="AD812" s="2128">
        <v>238.56</v>
      </c>
      <c r="AE812" s="2128">
        <v>261.85000000000002</v>
      </c>
      <c r="AF812" s="2128">
        <v>254.34</v>
      </c>
      <c r="AG812" s="2128">
        <v>261.85000000000002</v>
      </c>
      <c r="AH812" s="2128">
        <v>261.85000000000002</v>
      </c>
      <c r="AI812" s="2128">
        <v>254.34</v>
      </c>
      <c r="AJ812" s="2128">
        <v>254.34</v>
      </c>
      <c r="AK812" s="2128">
        <v>254.93</v>
      </c>
      <c r="AL812" s="2128">
        <v>254.93</v>
      </c>
      <c r="AM812" s="2128">
        <v>72.27</v>
      </c>
      <c r="AN812" s="2128">
        <v>69.64</v>
      </c>
      <c r="AO812" s="2128">
        <v>69.64</v>
      </c>
      <c r="AP812" s="2128">
        <v>69.459999999999994</v>
      </c>
      <c r="AQ812" s="2128">
        <v>69.91</v>
      </c>
      <c r="AR812" s="2128">
        <v>69.91</v>
      </c>
      <c r="AS812" s="2128">
        <v>205.69</v>
      </c>
      <c r="AT812" s="2128">
        <v>205.69</v>
      </c>
      <c r="AU812" s="2128">
        <v>205.69</v>
      </c>
      <c r="AV812" s="2128">
        <v>210.46</v>
      </c>
      <c r="AW812" s="2128">
        <v>205.96</v>
      </c>
      <c r="AX812" s="2128">
        <v>205.96</v>
      </c>
      <c r="AY812" s="2128">
        <v>206.09</v>
      </c>
      <c r="AZ812" s="2128">
        <v>206.09</v>
      </c>
      <c r="BA812" s="2123">
        <v>89.84</v>
      </c>
      <c r="BB812" s="2123">
        <v>89.84</v>
      </c>
      <c r="BC812" s="2123">
        <v>22.43</v>
      </c>
      <c r="BD812" s="2123">
        <v>22.67</v>
      </c>
      <c r="BE812" s="2123">
        <v>25.92</v>
      </c>
      <c r="BF812" s="2123">
        <v>25.92</v>
      </c>
      <c r="BG812" s="2123">
        <v>22.51</v>
      </c>
      <c r="BH812" s="2123">
        <v>22.51</v>
      </c>
      <c r="BI812" s="2123">
        <v>22.34</v>
      </c>
      <c r="BJ812" s="2123">
        <v>22.34</v>
      </c>
      <c r="BK812" s="2123">
        <v>22.34</v>
      </c>
      <c r="BL812" s="2123">
        <v>22.34</v>
      </c>
      <c r="BM812" s="2123">
        <v>52.87</v>
      </c>
      <c r="BN812" s="2123">
        <v>52.87</v>
      </c>
      <c r="BO812" s="2123">
        <v>164.49</v>
      </c>
      <c r="BP812" s="2123">
        <v>164.49</v>
      </c>
      <c r="BQ812" s="2123">
        <v>164.49</v>
      </c>
      <c r="BR812" s="2123">
        <v>164.49</v>
      </c>
      <c r="BS812" s="2123">
        <v>210.09</v>
      </c>
      <c r="BT812" s="2123">
        <v>210.09</v>
      </c>
      <c r="BU812" s="2123">
        <v>210.09</v>
      </c>
      <c r="BV812" s="2123">
        <v>210.09</v>
      </c>
      <c r="BW812" s="2123">
        <v>210.09</v>
      </c>
      <c r="BX812" s="2123">
        <v>210.09</v>
      </c>
      <c r="BY812" s="2123">
        <v>47.9</v>
      </c>
      <c r="BZ812" s="2123">
        <v>47.9</v>
      </c>
      <c r="CA812" s="2123">
        <v>156.9</v>
      </c>
      <c r="CB812" s="2123">
        <v>156.9</v>
      </c>
      <c r="CC812" s="2123">
        <v>159.1</v>
      </c>
      <c r="CD812" s="2123">
        <v>159.1</v>
      </c>
      <c r="CE812" s="2123">
        <v>206.24</v>
      </c>
      <c r="CF812" s="2123">
        <v>206.24</v>
      </c>
      <c r="CK812" s="2123">
        <v>119.24</v>
      </c>
      <c r="CL812" s="2123">
        <v>119.24</v>
      </c>
      <c r="CM812" s="2123">
        <v>242.55</v>
      </c>
      <c r="CN812" s="2123">
        <v>242.55</v>
      </c>
      <c r="CO812" s="2123">
        <v>308.27999999999997</v>
      </c>
      <c r="CP812" s="2123">
        <v>308.27999999999997</v>
      </c>
      <c r="CQ812" s="2123">
        <v>308.27999999999997</v>
      </c>
      <c r="CR812" s="2123">
        <v>308.27999999999997</v>
      </c>
      <c r="CW812" s="2123">
        <v>111.55</v>
      </c>
      <c r="CX812" s="2123">
        <v>111.55</v>
      </c>
      <c r="CY812" s="2123">
        <v>234.8</v>
      </c>
      <c r="CZ812" s="2123">
        <v>234.8</v>
      </c>
      <c r="DA812" s="2123">
        <v>234.8</v>
      </c>
      <c r="DB812" s="2123">
        <v>234.8</v>
      </c>
      <c r="DC812" s="2123">
        <v>298.99</v>
      </c>
      <c r="DD812" s="2123">
        <v>298.99</v>
      </c>
      <c r="DE812" s="2123">
        <v>298.99</v>
      </c>
      <c r="DF812" s="2123">
        <v>298.99</v>
      </c>
      <c r="DI812" s="2123">
        <v>29.49</v>
      </c>
      <c r="DJ812" s="2123">
        <v>29.49</v>
      </c>
      <c r="DK812" s="2123">
        <v>29.49</v>
      </c>
      <c r="DL812" s="2123">
        <v>29.49</v>
      </c>
      <c r="DM812" s="2123">
        <v>29.49</v>
      </c>
      <c r="DN812" s="2123">
        <v>29.49</v>
      </c>
      <c r="DU812" s="2123">
        <v>13.15</v>
      </c>
      <c r="DV812" s="2123">
        <v>13.15</v>
      </c>
      <c r="DW812" s="2123">
        <v>12.41</v>
      </c>
      <c r="DX812" s="2123">
        <v>12.41</v>
      </c>
      <c r="DY812" s="2123">
        <v>12.41</v>
      </c>
      <c r="DZ812" s="2123">
        <v>12.41</v>
      </c>
      <c r="EG812" s="2123">
        <v>14.07</v>
      </c>
      <c r="EH812" s="2123">
        <v>14.26</v>
      </c>
      <c r="EI812" s="2123">
        <v>11.05</v>
      </c>
      <c r="EJ812" s="2123">
        <v>11.05</v>
      </c>
      <c r="EK812" s="2123">
        <v>11.03</v>
      </c>
      <c r="EL812" s="2123">
        <v>11.03</v>
      </c>
      <c r="EM812" s="2123">
        <v>11.69</v>
      </c>
      <c r="EN812" s="2123">
        <v>11.69</v>
      </c>
      <c r="EO812" s="2123">
        <v>11.06</v>
      </c>
      <c r="EP812" s="2123">
        <v>11.06</v>
      </c>
      <c r="EQ812" s="2123">
        <v>11.38</v>
      </c>
      <c r="ER812" s="2123">
        <v>11.29</v>
      </c>
      <c r="ES812" s="2123">
        <v>53.84</v>
      </c>
      <c r="ET812" s="2123">
        <v>53.84</v>
      </c>
      <c r="EU812" s="2123">
        <v>229.71</v>
      </c>
      <c r="EV812" s="2123">
        <v>229.71</v>
      </c>
      <c r="EW812" s="2123">
        <v>224.55</v>
      </c>
      <c r="EX812" s="2123">
        <v>224.55</v>
      </c>
      <c r="EY812" s="2129">
        <f t="shared" si="50"/>
        <v>227.13</v>
      </c>
      <c r="EZ812" s="2129">
        <f t="shared" si="50"/>
        <v>227.13</v>
      </c>
      <c r="FA812" s="2123">
        <v>228.41</v>
      </c>
      <c r="FB812" s="2123">
        <v>228.41</v>
      </c>
      <c r="FE812" s="2123">
        <v>46.28</v>
      </c>
      <c r="FF812" s="2123">
        <v>46.28</v>
      </c>
      <c r="FG812" s="2123">
        <v>193.28</v>
      </c>
      <c r="FH812" s="2123">
        <v>193.28</v>
      </c>
      <c r="FI812" s="2123">
        <v>193.28</v>
      </c>
      <c r="FJ812" s="2123">
        <v>195.19</v>
      </c>
      <c r="FK812" s="2123">
        <v>192.72</v>
      </c>
      <c r="FL812" s="2123">
        <v>192.72</v>
      </c>
      <c r="FM812" s="2123">
        <v>193.66</v>
      </c>
      <c r="FN812" s="2123">
        <v>193.66</v>
      </c>
      <c r="FQ812" s="2123">
        <v>104.52</v>
      </c>
      <c r="FR812" s="2123">
        <v>104.52</v>
      </c>
      <c r="FS812" s="2123">
        <v>208.04</v>
      </c>
      <c r="FT812" s="2123">
        <v>208.04</v>
      </c>
      <c r="FU812" s="2123">
        <v>208.04</v>
      </c>
      <c r="FV812" s="2123">
        <v>208.04</v>
      </c>
      <c r="FW812" s="2123">
        <v>208.61</v>
      </c>
      <c r="FX812" s="2123">
        <v>208.61</v>
      </c>
      <c r="GC812" s="2123">
        <v>73.900000000000006</v>
      </c>
      <c r="GD812" s="2123">
        <v>73.900000000000006</v>
      </c>
      <c r="GE812" s="2123">
        <v>166.82</v>
      </c>
      <c r="GF812" s="2123">
        <v>166.82</v>
      </c>
      <c r="GG812" s="2123">
        <v>166.82</v>
      </c>
      <c r="GH812" s="2123">
        <v>166.82</v>
      </c>
      <c r="GI812" s="2123">
        <v>174.23</v>
      </c>
      <c r="GJ812" s="2123">
        <v>174.23</v>
      </c>
      <c r="GK812" s="2123">
        <v>202.1</v>
      </c>
      <c r="GL812" s="2123">
        <v>202.1</v>
      </c>
      <c r="GO812" s="2123">
        <v>39.57</v>
      </c>
      <c r="GP812" s="2123">
        <v>39.57</v>
      </c>
      <c r="GQ812" s="2123">
        <v>33.79</v>
      </c>
      <c r="GR812" s="2123">
        <v>33.79</v>
      </c>
      <c r="GS812" s="2123">
        <v>33.79</v>
      </c>
      <c r="GT812" s="2123">
        <v>32.56</v>
      </c>
      <c r="GU812" s="2123">
        <v>32.56</v>
      </c>
      <c r="GV812" s="2123">
        <v>32.89</v>
      </c>
      <c r="GW812" s="2123">
        <v>192.36</v>
      </c>
      <c r="GX812" s="2123">
        <v>192.36</v>
      </c>
      <c r="HA812" s="2123">
        <v>27.62</v>
      </c>
      <c r="HB812" s="2123">
        <v>27.62</v>
      </c>
      <c r="HC812" s="2123">
        <v>20.55</v>
      </c>
      <c r="HD812" s="2123">
        <v>20.55</v>
      </c>
      <c r="HE812" s="2123">
        <v>21.37</v>
      </c>
      <c r="HF812" s="2123">
        <v>21.37</v>
      </c>
      <c r="HG812" s="2123">
        <v>21.37</v>
      </c>
      <c r="HH812" s="2123">
        <v>21.37</v>
      </c>
      <c r="HI812" s="2123">
        <v>21.37</v>
      </c>
      <c r="HJ812" s="2123">
        <v>21.37</v>
      </c>
      <c r="HK812" s="2123">
        <v>21.41</v>
      </c>
      <c r="HL812" s="2123">
        <v>21.65</v>
      </c>
      <c r="HM812" s="2123">
        <v>38.68</v>
      </c>
      <c r="HN812" s="2123">
        <v>38.68</v>
      </c>
      <c r="HO812" s="2123">
        <v>29.13</v>
      </c>
      <c r="HP812" s="2123">
        <v>29.13</v>
      </c>
      <c r="HQ812" s="2123">
        <v>30.25</v>
      </c>
      <c r="HR812" s="2123">
        <v>30.25</v>
      </c>
      <c r="HS812" s="2123">
        <v>30.25</v>
      </c>
      <c r="HT812" s="2123">
        <v>30.25</v>
      </c>
      <c r="HU812" s="2123">
        <v>30.25</v>
      </c>
      <c r="HV812" s="2123">
        <v>30.25</v>
      </c>
      <c r="HW812" s="2123">
        <v>30.28</v>
      </c>
      <c r="HX812" s="2050">
        <v>30.28</v>
      </c>
    </row>
    <row r="813" spans="1:232" s="2123" customFormat="1" ht="14" hidden="1" x14ac:dyDescent="0.3">
      <c r="A813" s="2040"/>
      <c r="B813" s="2127">
        <v>64</v>
      </c>
      <c r="C813" s="2128">
        <v>43.86</v>
      </c>
      <c r="D813" s="2128">
        <v>43.86</v>
      </c>
      <c r="E813" s="2128">
        <v>44.05</v>
      </c>
      <c r="F813" s="2128">
        <v>44.05</v>
      </c>
      <c r="G813" s="2128">
        <v>168.27</v>
      </c>
      <c r="H813" s="2128">
        <v>168.27</v>
      </c>
      <c r="I813" s="2128">
        <v>158.77000000000001</v>
      </c>
      <c r="J813" s="2128">
        <v>158.77000000000001</v>
      </c>
      <c r="K813" s="2128">
        <v>164.81</v>
      </c>
      <c r="L813" s="2128">
        <v>164.81</v>
      </c>
      <c r="M813" s="2128"/>
      <c r="N813" s="2128"/>
      <c r="O813" s="2128">
        <v>137.46</v>
      </c>
      <c r="P813" s="2128">
        <v>137.46</v>
      </c>
      <c r="Q813" s="2128">
        <v>137.18</v>
      </c>
      <c r="R813" s="2128">
        <v>137.47</v>
      </c>
      <c r="S813" s="2128">
        <v>249.26000000000002</v>
      </c>
      <c r="T813" s="2128">
        <v>248.79</v>
      </c>
      <c r="U813" s="2128">
        <v>240.15</v>
      </c>
      <c r="V813" s="2128">
        <v>240.15</v>
      </c>
      <c r="W813" s="2128">
        <v>248.79</v>
      </c>
      <c r="X813" s="2128">
        <v>248.79</v>
      </c>
      <c r="Y813" s="2128">
        <v>240.15</v>
      </c>
      <c r="Z813" s="2128">
        <v>248.79</v>
      </c>
      <c r="AA813" s="2128">
        <v>248.79</v>
      </c>
      <c r="AB813" s="2128">
        <v>248.79</v>
      </c>
      <c r="AC813" s="2128">
        <v>240.15</v>
      </c>
      <c r="AD813" s="2128">
        <v>240.15</v>
      </c>
      <c r="AE813" s="2128">
        <v>263.35000000000002</v>
      </c>
      <c r="AF813" s="2128">
        <v>255.79</v>
      </c>
      <c r="AG813" s="2128">
        <v>263.35000000000002</v>
      </c>
      <c r="AH813" s="2128">
        <v>263.35000000000002</v>
      </c>
      <c r="AI813" s="2128">
        <v>255.79</v>
      </c>
      <c r="AJ813" s="2128">
        <v>255.79</v>
      </c>
      <c r="AK813" s="2128">
        <v>256.36</v>
      </c>
      <c r="AL813" s="2128">
        <v>256.36</v>
      </c>
      <c r="AM813" s="2128">
        <v>72.599999999999994</v>
      </c>
      <c r="AN813" s="2128">
        <v>69.959999999999994</v>
      </c>
      <c r="AO813" s="2128">
        <v>69.959999999999994</v>
      </c>
      <c r="AP813" s="2128">
        <v>69.790000000000006</v>
      </c>
      <c r="AQ813" s="2128">
        <v>70.23</v>
      </c>
      <c r="AR813" s="2128">
        <v>70.23</v>
      </c>
      <c r="AS813" s="2128">
        <v>206.93</v>
      </c>
      <c r="AT813" s="2128">
        <v>206.93</v>
      </c>
      <c r="AU813" s="2128">
        <v>206.93</v>
      </c>
      <c r="AV813" s="2128">
        <v>211.72</v>
      </c>
      <c r="AW813" s="2128">
        <v>207.2</v>
      </c>
      <c r="AX813" s="2128">
        <v>207.2</v>
      </c>
      <c r="AY813" s="2128">
        <v>207.33</v>
      </c>
      <c r="AZ813" s="2128">
        <v>207.33</v>
      </c>
      <c r="BA813" s="2123">
        <v>90.22</v>
      </c>
      <c r="BB813" s="2123">
        <v>90.22</v>
      </c>
      <c r="BC813" s="2123">
        <v>22.59</v>
      </c>
      <c r="BD813" s="2123">
        <v>22.83</v>
      </c>
      <c r="BE813" s="2123">
        <v>26</v>
      </c>
      <c r="BF813" s="2123">
        <v>26</v>
      </c>
      <c r="BG813" s="2123">
        <v>22.62</v>
      </c>
      <c r="BH813" s="2123">
        <v>22.62</v>
      </c>
      <c r="BI813" s="2123">
        <v>22.45</v>
      </c>
      <c r="BJ813" s="2123">
        <v>22.45</v>
      </c>
      <c r="BK813" s="2123">
        <v>22.45</v>
      </c>
      <c r="BL813" s="2123">
        <v>22.45</v>
      </c>
      <c r="BM813" s="2123">
        <v>53.09</v>
      </c>
      <c r="BN813" s="2123">
        <v>53.09</v>
      </c>
      <c r="BO813" s="2123">
        <v>165.3</v>
      </c>
      <c r="BP813" s="2123">
        <v>165.3</v>
      </c>
      <c r="BQ813" s="2123">
        <v>165.3</v>
      </c>
      <c r="BR813" s="2123">
        <v>165.3</v>
      </c>
      <c r="BS813" s="2123">
        <v>211.33</v>
      </c>
      <c r="BT813" s="2123">
        <v>211.33</v>
      </c>
      <c r="BU813" s="2123">
        <v>211.33</v>
      </c>
      <c r="BV813" s="2123">
        <v>211.33</v>
      </c>
      <c r="BW813" s="2123">
        <v>211.33</v>
      </c>
      <c r="BX813" s="2123">
        <v>211.33</v>
      </c>
      <c r="BY813" s="2123">
        <v>48.12</v>
      </c>
      <c r="BZ813" s="2123">
        <v>48.12</v>
      </c>
      <c r="CA813" s="2123">
        <v>157.72999999999999</v>
      </c>
      <c r="CB813" s="2123">
        <v>157.72999999999999</v>
      </c>
      <c r="CC813" s="2123">
        <v>159.96</v>
      </c>
      <c r="CD813" s="2123">
        <v>159.96</v>
      </c>
      <c r="CE813" s="2123">
        <v>207.55</v>
      </c>
      <c r="CF813" s="2123">
        <v>207.55</v>
      </c>
      <c r="CK813" s="2123">
        <v>119.71</v>
      </c>
      <c r="CL813" s="2123">
        <v>119.71</v>
      </c>
      <c r="CM813" s="2123">
        <v>243.42</v>
      </c>
      <c r="CN813" s="2123">
        <v>243.42</v>
      </c>
      <c r="CO813" s="2123">
        <v>309.69</v>
      </c>
      <c r="CP813" s="2123">
        <v>309.69</v>
      </c>
      <c r="CQ813" s="2123">
        <v>309.69</v>
      </c>
      <c r="CR813" s="2123">
        <v>309.69</v>
      </c>
      <c r="CW813" s="2123">
        <v>111.99</v>
      </c>
      <c r="CX813" s="2123">
        <v>111.99</v>
      </c>
      <c r="CY813" s="2123">
        <v>235.6</v>
      </c>
      <c r="CZ813" s="2123">
        <v>235.6</v>
      </c>
      <c r="DA813" s="2123">
        <v>235.6</v>
      </c>
      <c r="DB813" s="2123">
        <v>235.6</v>
      </c>
      <c r="DC813" s="2123">
        <v>300.27</v>
      </c>
      <c r="DD813" s="2123">
        <v>300.27</v>
      </c>
      <c r="DE813" s="2123">
        <v>300.27</v>
      </c>
      <c r="DF813" s="2123">
        <v>300.27</v>
      </c>
      <c r="DI813" s="2123">
        <v>29.64</v>
      </c>
      <c r="DJ813" s="2123">
        <v>29.64</v>
      </c>
      <c r="DK813" s="2123">
        <v>29.64</v>
      </c>
      <c r="DL813" s="2123">
        <v>29.64</v>
      </c>
      <c r="DM813" s="2123">
        <v>29.64</v>
      </c>
      <c r="DN813" s="2123">
        <v>29.64</v>
      </c>
      <c r="DU813" s="2123">
        <v>13.2</v>
      </c>
      <c r="DV813" s="2123">
        <v>13.2</v>
      </c>
      <c r="DW813" s="2123">
        <v>12.52</v>
      </c>
      <c r="DX813" s="2123">
        <v>12.52</v>
      </c>
      <c r="DY813" s="2123">
        <v>12.52</v>
      </c>
      <c r="DZ813" s="2123">
        <v>12.52</v>
      </c>
      <c r="EG813" s="2123">
        <v>14.13</v>
      </c>
      <c r="EH813" s="2123">
        <v>14.32</v>
      </c>
      <c r="EI813" s="2123">
        <v>11.13</v>
      </c>
      <c r="EJ813" s="2123">
        <v>11.13</v>
      </c>
      <c r="EK813" s="2123">
        <v>11.12</v>
      </c>
      <c r="EL813" s="2123">
        <v>11.12</v>
      </c>
      <c r="EM813" s="2123">
        <v>11.77</v>
      </c>
      <c r="EN813" s="2123">
        <v>11.77</v>
      </c>
      <c r="EO813" s="2123">
        <v>11.14</v>
      </c>
      <c r="EP813" s="2123">
        <v>11.14</v>
      </c>
      <c r="EQ813" s="2123">
        <v>11.46</v>
      </c>
      <c r="ER813" s="2123">
        <v>11.37</v>
      </c>
      <c r="ES813" s="2123">
        <v>54.09</v>
      </c>
      <c r="ET813" s="2123">
        <v>54.09</v>
      </c>
      <c r="EU813" s="2123">
        <v>231.21</v>
      </c>
      <c r="EV813" s="2123">
        <v>231.21</v>
      </c>
      <c r="EW813" s="2123">
        <v>226.03</v>
      </c>
      <c r="EX813" s="2123">
        <v>226.03</v>
      </c>
      <c r="EY813" s="2129">
        <f t="shared" si="50"/>
        <v>228.62</v>
      </c>
      <c r="EZ813" s="2129">
        <f t="shared" si="50"/>
        <v>228.62</v>
      </c>
      <c r="FA813" s="2123">
        <v>229.84</v>
      </c>
      <c r="FB813" s="2123">
        <v>229.84</v>
      </c>
      <c r="FE813" s="2123">
        <v>46.5</v>
      </c>
      <c r="FF813" s="2123">
        <v>46.5</v>
      </c>
      <c r="FG813" s="2123">
        <v>194.56</v>
      </c>
      <c r="FH813" s="2123">
        <v>194.56</v>
      </c>
      <c r="FI813" s="2123">
        <v>194.56</v>
      </c>
      <c r="FJ813" s="2123">
        <v>196.43</v>
      </c>
      <c r="FK813" s="2123">
        <v>194.02</v>
      </c>
      <c r="FL813" s="2123">
        <v>194.02</v>
      </c>
      <c r="FM813" s="2123">
        <v>194.94</v>
      </c>
      <c r="FN813" s="2123">
        <v>194.94</v>
      </c>
      <c r="FQ813" s="2123">
        <v>105.01</v>
      </c>
      <c r="FR813" s="2123">
        <v>105.01</v>
      </c>
      <c r="FS813" s="2123">
        <v>209.17</v>
      </c>
      <c r="FT813" s="2123">
        <v>209.17</v>
      </c>
      <c r="FU813" s="2123">
        <v>209.17</v>
      </c>
      <c r="FV813" s="2123">
        <v>209.17</v>
      </c>
      <c r="FW813" s="2123">
        <v>209.73</v>
      </c>
      <c r="FX813" s="2123">
        <v>209.73</v>
      </c>
      <c r="GC813" s="2123">
        <v>74.239999999999995</v>
      </c>
      <c r="GD813" s="2123">
        <v>74.239999999999995</v>
      </c>
      <c r="GE813" s="2123">
        <v>167.53</v>
      </c>
      <c r="GF813" s="2123">
        <v>167.53</v>
      </c>
      <c r="GG813" s="2123">
        <v>167.53</v>
      </c>
      <c r="GH813" s="2123">
        <v>167.53</v>
      </c>
      <c r="GI813" s="2123">
        <v>175.73</v>
      </c>
      <c r="GJ813" s="2123">
        <v>175.73</v>
      </c>
      <c r="GK813" s="2123">
        <v>203.36</v>
      </c>
      <c r="GL813" s="2123">
        <v>203.36</v>
      </c>
      <c r="GO813" s="2123">
        <v>39.75</v>
      </c>
      <c r="GP813" s="2123">
        <v>39.75</v>
      </c>
      <c r="GQ813" s="2123">
        <v>33.99</v>
      </c>
      <c r="GR813" s="2123">
        <v>33.99</v>
      </c>
      <c r="GS813" s="2123">
        <v>33.99</v>
      </c>
      <c r="GT813" s="2123">
        <v>32.75</v>
      </c>
      <c r="GU813" s="2123">
        <v>32.75</v>
      </c>
      <c r="GV813" s="2123">
        <v>33.07</v>
      </c>
      <c r="GW813" s="2123">
        <v>193.43</v>
      </c>
      <c r="GX813" s="2123">
        <v>193.43</v>
      </c>
      <c r="HA813" s="2123">
        <v>27.78</v>
      </c>
      <c r="HB813" s="2123">
        <v>27.78</v>
      </c>
      <c r="HC813" s="2123">
        <v>20.77</v>
      </c>
      <c r="HD813" s="2123">
        <v>20.77</v>
      </c>
      <c r="HE813" s="2123">
        <v>21.47</v>
      </c>
      <c r="HF813" s="2123">
        <v>21.47</v>
      </c>
      <c r="HG813" s="2123">
        <v>21.47</v>
      </c>
      <c r="HH813" s="2123">
        <v>21.47</v>
      </c>
      <c r="HI813" s="2123">
        <v>21.47</v>
      </c>
      <c r="HJ813" s="2123">
        <v>21.47</v>
      </c>
      <c r="HK813" s="2123">
        <v>21.61</v>
      </c>
      <c r="HL813" s="2123">
        <v>21.85</v>
      </c>
      <c r="HM813" s="2123">
        <v>38.86</v>
      </c>
      <c r="HN813" s="2123">
        <v>38.86</v>
      </c>
      <c r="HO813" s="2123">
        <v>29.36</v>
      </c>
      <c r="HP813" s="2123">
        <v>29.36</v>
      </c>
      <c r="HQ813" s="2123">
        <v>30.45</v>
      </c>
      <c r="HR813" s="2123">
        <v>30.45</v>
      </c>
      <c r="HS813" s="2123">
        <v>30.45</v>
      </c>
      <c r="HT813" s="2123">
        <v>30.45</v>
      </c>
      <c r="HU813" s="2123">
        <v>30.45</v>
      </c>
      <c r="HV813" s="2123">
        <v>30.45</v>
      </c>
      <c r="HW813" s="2123">
        <v>30.51</v>
      </c>
      <c r="HX813" s="2050">
        <v>30.51</v>
      </c>
    </row>
    <row r="814" spans="1:232" s="2123" customFormat="1" ht="14" hidden="1" x14ac:dyDescent="0.3">
      <c r="A814" s="2040"/>
      <c r="B814" s="2127">
        <v>65</v>
      </c>
      <c r="C814" s="2128">
        <v>44.04</v>
      </c>
      <c r="D814" s="2128">
        <v>44.04</v>
      </c>
      <c r="E814" s="2128">
        <v>44.23</v>
      </c>
      <c r="F814" s="2128">
        <v>44.23</v>
      </c>
      <c r="G814" s="2128">
        <v>169.18</v>
      </c>
      <c r="H814" s="2128">
        <v>169.18</v>
      </c>
      <c r="I814" s="2128">
        <v>159.66</v>
      </c>
      <c r="J814" s="2128">
        <v>159.66</v>
      </c>
      <c r="K814" s="2128">
        <v>165.59</v>
      </c>
      <c r="L814" s="2128">
        <v>165.59</v>
      </c>
      <c r="M814" s="2128"/>
      <c r="N814" s="2128"/>
      <c r="O814" s="2128">
        <v>138.06</v>
      </c>
      <c r="P814" s="2128">
        <v>138.06</v>
      </c>
      <c r="Q814" s="2128">
        <v>137.76</v>
      </c>
      <c r="R814" s="2128">
        <v>138.07</v>
      </c>
      <c r="S814" s="2128">
        <v>250.81000000000003</v>
      </c>
      <c r="T814" s="2128">
        <v>250.39</v>
      </c>
      <c r="U814" s="2128">
        <v>241.69</v>
      </c>
      <c r="V814" s="2128">
        <v>241.69</v>
      </c>
      <c r="W814" s="2128">
        <v>250.39</v>
      </c>
      <c r="X814" s="2128">
        <v>250.39</v>
      </c>
      <c r="Y814" s="2128">
        <v>241.69</v>
      </c>
      <c r="Z814" s="2128">
        <v>250.39</v>
      </c>
      <c r="AA814" s="2128">
        <v>250.39</v>
      </c>
      <c r="AB814" s="2128">
        <v>250.39</v>
      </c>
      <c r="AC814" s="2128">
        <v>241.69</v>
      </c>
      <c r="AD814" s="2128">
        <v>241.69</v>
      </c>
      <c r="AE814" s="2128">
        <v>264.81</v>
      </c>
      <c r="AF814" s="2128">
        <v>257.2</v>
      </c>
      <c r="AG814" s="2128">
        <v>264.81</v>
      </c>
      <c r="AH814" s="2128">
        <v>264.81</v>
      </c>
      <c r="AI814" s="2128">
        <v>257.2</v>
      </c>
      <c r="AJ814" s="2128">
        <v>257.2</v>
      </c>
      <c r="AK814" s="2128">
        <v>257.76</v>
      </c>
      <c r="AL814" s="2128">
        <v>257.76</v>
      </c>
      <c r="AM814" s="2128">
        <v>72.930000000000007</v>
      </c>
      <c r="AN814" s="2128">
        <v>70.27</v>
      </c>
      <c r="AO814" s="2128">
        <v>70.27</v>
      </c>
      <c r="AP814" s="2128">
        <v>69.97</v>
      </c>
      <c r="AQ814" s="2128">
        <v>70.400000000000006</v>
      </c>
      <c r="AR814" s="2128">
        <v>70.400000000000006</v>
      </c>
      <c r="AS814" s="2128">
        <v>207.6</v>
      </c>
      <c r="AT814" s="2128">
        <v>207.6</v>
      </c>
      <c r="AU814" s="2128">
        <v>207.6</v>
      </c>
      <c r="AV814" s="2128">
        <v>212.39</v>
      </c>
      <c r="AW814" s="2128">
        <v>207.87</v>
      </c>
      <c r="AX814" s="2128">
        <v>207.87</v>
      </c>
      <c r="AY814" s="2128">
        <v>208</v>
      </c>
      <c r="AZ814" s="2128">
        <v>208</v>
      </c>
      <c r="BA814" s="2123">
        <v>90.53</v>
      </c>
      <c r="BB814" s="2123">
        <v>90.53</v>
      </c>
      <c r="BC814" s="2123">
        <v>22.75</v>
      </c>
      <c r="BD814" s="2123">
        <v>22.98</v>
      </c>
      <c r="BE814" s="2123">
        <v>26.08</v>
      </c>
      <c r="BF814" s="2123">
        <v>26.08</v>
      </c>
      <c r="BG814" s="2123">
        <v>22.71</v>
      </c>
      <c r="BH814" s="2123">
        <v>22.71</v>
      </c>
      <c r="BI814" s="2123">
        <v>22.54</v>
      </c>
      <c r="BJ814" s="2123">
        <v>22.54</v>
      </c>
      <c r="BK814" s="2123">
        <v>22.54</v>
      </c>
      <c r="BL814" s="2123">
        <v>22.54</v>
      </c>
      <c r="BM814" s="2123">
        <v>53.3</v>
      </c>
      <c r="BN814" s="2123">
        <v>53.3</v>
      </c>
      <c r="BO814" s="2123">
        <v>166.03</v>
      </c>
      <c r="BP814" s="2123">
        <v>166.03</v>
      </c>
      <c r="BQ814" s="2123">
        <v>166.03</v>
      </c>
      <c r="BR814" s="2123">
        <v>166.03</v>
      </c>
      <c r="BS814" s="2123">
        <v>212.46</v>
      </c>
      <c r="BT814" s="2123">
        <v>212.46</v>
      </c>
      <c r="BU814" s="2123">
        <v>212.46</v>
      </c>
      <c r="BV814" s="2123">
        <v>212.46</v>
      </c>
      <c r="BW814" s="2123">
        <v>212.46</v>
      </c>
      <c r="BX814" s="2123">
        <v>212.46</v>
      </c>
      <c r="BY814" s="2123">
        <v>48.29</v>
      </c>
      <c r="BZ814" s="2123">
        <v>48.29</v>
      </c>
      <c r="CA814" s="2123">
        <v>158.38</v>
      </c>
      <c r="CB814" s="2123">
        <v>158.38</v>
      </c>
      <c r="CC814" s="2123">
        <v>160.63</v>
      </c>
      <c r="CD814" s="2123">
        <v>160.63</v>
      </c>
      <c r="CE814" s="2123">
        <v>208.57</v>
      </c>
      <c r="CF814" s="2123">
        <v>208.57</v>
      </c>
      <c r="CK814" s="2123">
        <v>120.22</v>
      </c>
      <c r="CL814" s="2123">
        <v>120.22</v>
      </c>
      <c r="CM814" s="2123">
        <v>244.2</v>
      </c>
      <c r="CN814" s="2123">
        <v>244.2</v>
      </c>
      <c r="CO814" s="2123">
        <v>310.95999999999998</v>
      </c>
      <c r="CP814" s="2123">
        <v>310.95999999999998</v>
      </c>
      <c r="CQ814" s="2123">
        <v>310.95999999999998</v>
      </c>
      <c r="CR814" s="2123">
        <v>310.95999999999998</v>
      </c>
      <c r="CW814" s="2123">
        <v>112.42</v>
      </c>
      <c r="CX814" s="2123">
        <v>112.42</v>
      </c>
      <c r="CY814" s="2123">
        <v>236.38</v>
      </c>
      <c r="CZ814" s="2123">
        <v>236.38</v>
      </c>
      <c r="DA814" s="2123">
        <v>236.38</v>
      </c>
      <c r="DB814" s="2123">
        <v>236.38</v>
      </c>
      <c r="DC814" s="2123">
        <v>301.52999999999997</v>
      </c>
      <c r="DD814" s="2123">
        <v>301.52999999999997</v>
      </c>
      <c r="DE814" s="2123">
        <v>301.52999999999997</v>
      </c>
      <c r="DF814" s="2123">
        <v>301.52999999999997</v>
      </c>
      <c r="DI814" s="2123">
        <v>29.73</v>
      </c>
      <c r="DJ814" s="2123">
        <v>29.73</v>
      </c>
      <c r="DK814" s="2123">
        <v>29.73</v>
      </c>
      <c r="DL814" s="2123">
        <v>29.73</v>
      </c>
      <c r="DM814" s="2123">
        <v>29.73</v>
      </c>
      <c r="DN814" s="2123">
        <v>29.73</v>
      </c>
      <c r="DU814" s="2123">
        <v>13.23</v>
      </c>
      <c r="DV814" s="2123">
        <v>13.23</v>
      </c>
      <c r="DW814" s="2123">
        <v>12.64</v>
      </c>
      <c r="DX814" s="2123">
        <v>12.64</v>
      </c>
      <c r="DY814" s="2123">
        <v>12.64</v>
      </c>
      <c r="DZ814" s="2123">
        <v>12.64</v>
      </c>
      <c r="EG814" s="2123">
        <v>14.2</v>
      </c>
      <c r="EH814" s="2123">
        <v>14.38</v>
      </c>
      <c r="EI814" s="2123">
        <v>11.21</v>
      </c>
      <c r="EJ814" s="2123">
        <v>11.21</v>
      </c>
      <c r="EK814" s="2123">
        <v>11.2</v>
      </c>
      <c r="EL814" s="2123">
        <v>11.2</v>
      </c>
      <c r="EM814" s="2123">
        <v>11.84</v>
      </c>
      <c r="EN814" s="2123">
        <v>11.84</v>
      </c>
      <c r="EO814" s="2123">
        <v>11.21</v>
      </c>
      <c r="EP814" s="2123">
        <v>11.21</v>
      </c>
      <c r="EQ814" s="2123">
        <v>11.54</v>
      </c>
      <c r="ER814" s="2123">
        <v>11.44</v>
      </c>
      <c r="ES814" s="2123">
        <v>54.33</v>
      </c>
      <c r="ET814" s="2123">
        <v>54.33</v>
      </c>
      <c r="EU814" s="2123">
        <v>232.67</v>
      </c>
      <c r="EV814" s="2123">
        <v>232.67</v>
      </c>
      <c r="EW814" s="2123">
        <v>227.48</v>
      </c>
      <c r="EX814" s="2123">
        <v>227.48</v>
      </c>
      <c r="EY814" s="2129">
        <f t="shared" si="50"/>
        <v>230.07499999999999</v>
      </c>
      <c r="EZ814" s="2129">
        <f t="shared" si="50"/>
        <v>230.07499999999999</v>
      </c>
      <c r="FA814" s="2123">
        <v>231.24</v>
      </c>
      <c r="FB814" s="2123">
        <v>231.24</v>
      </c>
      <c r="FE814" s="2123">
        <v>46.71</v>
      </c>
      <c r="FF814" s="2123">
        <v>46.71</v>
      </c>
      <c r="FG814" s="2123">
        <v>195.82</v>
      </c>
      <c r="FH814" s="2123">
        <v>195.82</v>
      </c>
      <c r="FI814" s="2123">
        <v>195.82</v>
      </c>
      <c r="FJ814" s="2123">
        <v>197.64</v>
      </c>
      <c r="FK814" s="2123">
        <v>195.28</v>
      </c>
      <c r="FL814" s="2123">
        <v>195.28</v>
      </c>
      <c r="FM814" s="2123">
        <v>196.18</v>
      </c>
      <c r="FN814" s="2123">
        <v>196.18</v>
      </c>
      <c r="FQ814" s="2123">
        <v>105.49</v>
      </c>
      <c r="FR814" s="2123">
        <v>105.49</v>
      </c>
      <c r="FS814" s="2123">
        <v>210.28</v>
      </c>
      <c r="FT814" s="2123">
        <v>210.28</v>
      </c>
      <c r="FU814" s="2123">
        <v>210.28</v>
      </c>
      <c r="FV814" s="2123">
        <v>210.28</v>
      </c>
      <c r="FW814" s="2123">
        <v>210.82</v>
      </c>
      <c r="FX814" s="2123">
        <v>210.82</v>
      </c>
      <c r="GC814" s="2123">
        <v>74.58</v>
      </c>
      <c r="GD814" s="2123">
        <v>74.58</v>
      </c>
      <c r="GE814" s="2123">
        <v>168.22</v>
      </c>
      <c r="GF814" s="2123">
        <v>168.22</v>
      </c>
      <c r="GG814" s="2123">
        <v>168.22</v>
      </c>
      <c r="GH814" s="2123">
        <v>168.22</v>
      </c>
      <c r="GI814" s="2123">
        <v>177.19</v>
      </c>
      <c r="GJ814" s="2123">
        <v>177.19</v>
      </c>
      <c r="GK814" s="2123">
        <v>204.58</v>
      </c>
      <c r="GL814" s="2123">
        <v>204.58</v>
      </c>
      <c r="GO814" s="2123">
        <v>39.93</v>
      </c>
      <c r="GP814" s="2123">
        <v>39.93</v>
      </c>
      <c r="GQ814" s="2123">
        <v>34.130000000000003</v>
      </c>
      <c r="GR814" s="2123">
        <v>34.130000000000003</v>
      </c>
      <c r="GS814" s="2123">
        <v>34.130000000000003</v>
      </c>
      <c r="GT814" s="2123">
        <v>32.89</v>
      </c>
      <c r="GU814" s="2123">
        <v>32.89</v>
      </c>
      <c r="GV814" s="2123">
        <v>33.200000000000003</v>
      </c>
      <c r="GW814" s="2123">
        <v>194.19</v>
      </c>
      <c r="GX814" s="2123">
        <v>194.19</v>
      </c>
      <c r="HA814" s="2123">
        <v>27.85</v>
      </c>
      <c r="HB814" s="2123">
        <v>27.85</v>
      </c>
      <c r="HC814" s="2123">
        <v>20.86</v>
      </c>
      <c r="HD814" s="2123">
        <v>20.86</v>
      </c>
      <c r="HE814" s="2123">
        <v>21.67</v>
      </c>
      <c r="HF814" s="2123">
        <v>21.67</v>
      </c>
      <c r="HG814" s="2123">
        <v>21.67</v>
      </c>
      <c r="HH814" s="2123">
        <v>21.67</v>
      </c>
      <c r="HI814" s="2123">
        <v>21.67</v>
      </c>
      <c r="HJ814" s="2123">
        <v>21.67</v>
      </c>
      <c r="HK814" s="2123">
        <v>21.71</v>
      </c>
      <c r="HL814" s="2123">
        <v>21.94</v>
      </c>
      <c r="HM814" s="2123">
        <v>39.01</v>
      </c>
      <c r="HN814" s="2123">
        <v>39.01</v>
      </c>
      <c r="HO814" s="2123">
        <v>29.57</v>
      </c>
      <c r="HP814" s="2123">
        <v>29.57</v>
      </c>
      <c r="HQ814" s="2123">
        <v>30.74</v>
      </c>
      <c r="HR814" s="2123">
        <v>30.74</v>
      </c>
      <c r="HS814" s="2123">
        <v>30.74</v>
      </c>
      <c r="HT814" s="2123">
        <v>30.74</v>
      </c>
      <c r="HU814" s="2123">
        <v>30.74</v>
      </c>
      <c r="HV814" s="2123">
        <v>30.74</v>
      </c>
      <c r="HW814" s="2123">
        <v>30.71</v>
      </c>
      <c r="HX814" s="2050">
        <v>30.71</v>
      </c>
    </row>
    <row r="815" spans="1:232" s="2123" customFormat="1" ht="14" hidden="1" x14ac:dyDescent="0.3">
      <c r="A815" s="2040"/>
      <c r="B815" s="2127">
        <v>66</v>
      </c>
      <c r="C815" s="2128">
        <v>44.23</v>
      </c>
      <c r="D815" s="2128">
        <v>44.23</v>
      </c>
      <c r="E815" s="2128">
        <v>44.41</v>
      </c>
      <c r="F815" s="2128">
        <v>44.41</v>
      </c>
      <c r="G815" s="2128">
        <v>170.19</v>
      </c>
      <c r="H815" s="2128">
        <v>170.19</v>
      </c>
      <c r="I815" s="2128">
        <v>160.58000000000001</v>
      </c>
      <c r="J815" s="2128">
        <v>160.58000000000001</v>
      </c>
      <c r="K815" s="2128">
        <v>166.39</v>
      </c>
      <c r="L815" s="2128">
        <v>166.39</v>
      </c>
      <c r="M815" s="2128"/>
      <c r="N815" s="2128"/>
      <c r="O815" s="2128">
        <v>138.72</v>
      </c>
      <c r="P815" s="2128">
        <v>138.72</v>
      </c>
      <c r="Q815" s="2128">
        <v>138.4</v>
      </c>
      <c r="R815" s="2128">
        <v>138.72999999999999</v>
      </c>
      <c r="S815" s="2128">
        <v>252.51000000000002</v>
      </c>
      <c r="T815" s="2128">
        <v>251.95</v>
      </c>
      <c r="U815" s="2128">
        <v>243.2</v>
      </c>
      <c r="V815" s="2128">
        <v>243.2</v>
      </c>
      <c r="W815" s="2128">
        <v>251.95</v>
      </c>
      <c r="X815" s="2128">
        <v>251.95</v>
      </c>
      <c r="Y815" s="2128">
        <v>243.2</v>
      </c>
      <c r="Z815" s="2128">
        <v>251.95</v>
      </c>
      <c r="AA815" s="2128">
        <v>251.95</v>
      </c>
      <c r="AB815" s="2128">
        <v>251.95</v>
      </c>
      <c r="AC815" s="2128">
        <v>243.2</v>
      </c>
      <c r="AD815" s="2128">
        <v>243.2</v>
      </c>
      <c r="AE815" s="2128">
        <v>266.23</v>
      </c>
      <c r="AF815" s="2128">
        <v>258.58</v>
      </c>
      <c r="AG815" s="2128">
        <v>266.23</v>
      </c>
      <c r="AH815" s="2128">
        <v>266.23</v>
      </c>
      <c r="AI815" s="2128">
        <v>258.58</v>
      </c>
      <c r="AJ815" s="2128">
        <v>258.58</v>
      </c>
      <c r="AK815" s="2128">
        <v>259.13</v>
      </c>
      <c r="AL815" s="2128">
        <v>259.13</v>
      </c>
      <c r="AM815" s="2128">
        <v>73.239999999999995</v>
      </c>
      <c r="AN815" s="2128">
        <v>70.58</v>
      </c>
      <c r="AO815" s="2128">
        <v>70.58</v>
      </c>
      <c r="AP815" s="2128">
        <v>70.27</v>
      </c>
      <c r="AQ815" s="2128">
        <v>70.69</v>
      </c>
      <c r="AR815" s="2128">
        <v>70.69</v>
      </c>
      <c r="AS815" s="2128">
        <v>208.73</v>
      </c>
      <c r="AT815" s="2128">
        <v>208.73</v>
      </c>
      <c r="AU815" s="2128">
        <v>208.73</v>
      </c>
      <c r="AV815" s="2128">
        <v>213.54</v>
      </c>
      <c r="AW815" s="2128">
        <v>209</v>
      </c>
      <c r="AX815" s="2128">
        <v>209</v>
      </c>
      <c r="AY815" s="2128">
        <v>209.13</v>
      </c>
      <c r="AZ815" s="2128">
        <v>209.13</v>
      </c>
      <c r="BA815" s="2123">
        <v>91.16</v>
      </c>
      <c r="BB815" s="2123">
        <v>91.16</v>
      </c>
      <c r="BC815" s="2123">
        <v>22.9</v>
      </c>
      <c r="BD815" s="2123">
        <v>23.13</v>
      </c>
      <c r="BE815" s="2123">
        <v>26.22</v>
      </c>
      <c r="BF815" s="2123">
        <v>26.22</v>
      </c>
      <c r="BG815" s="2123">
        <v>22.9</v>
      </c>
      <c r="BH815" s="2123">
        <v>22.9</v>
      </c>
      <c r="BI815" s="2123">
        <v>22.72</v>
      </c>
      <c r="BJ815" s="2123">
        <v>22.72</v>
      </c>
      <c r="BK815" s="2123">
        <v>22.72</v>
      </c>
      <c r="BL815" s="2123">
        <v>22.72</v>
      </c>
      <c r="BM815" s="2123">
        <v>53.45</v>
      </c>
      <c r="BN815" s="2123">
        <v>53.45</v>
      </c>
      <c r="BO815" s="2123">
        <v>166.6</v>
      </c>
      <c r="BP815" s="2123">
        <v>166.6</v>
      </c>
      <c r="BQ815" s="2123">
        <v>166.6</v>
      </c>
      <c r="BR815" s="2123">
        <v>166.6</v>
      </c>
      <c r="BS815" s="2123">
        <v>213.31</v>
      </c>
      <c r="BT815" s="2123">
        <v>213.31</v>
      </c>
      <c r="BU815" s="2123">
        <v>213.31</v>
      </c>
      <c r="BV815" s="2123">
        <v>213.31</v>
      </c>
      <c r="BW815" s="2123">
        <v>213.31</v>
      </c>
      <c r="BX815" s="2123">
        <v>213.31</v>
      </c>
      <c r="BY815" s="2123">
        <v>48.48</v>
      </c>
      <c r="BZ815" s="2123">
        <v>48.48</v>
      </c>
      <c r="CA815" s="2123">
        <v>159.12</v>
      </c>
      <c r="CB815" s="2123">
        <v>159.12</v>
      </c>
      <c r="CC815" s="2123">
        <v>161.38999999999999</v>
      </c>
      <c r="CD815" s="2123">
        <v>161.38999999999999</v>
      </c>
      <c r="CE815" s="2123">
        <v>209.74</v>
      </c>
      <c r="CF815" s="2123">
        <v>209.74</v>
      </c>
      <c r="CK815" s="2123">
        <v>120.77</v>
      </c>
      <c r="CL815" s="2123">
        <v>120.77</v>
      </c>
      <c r="CM815" s="2123">
        <v>245.03</v>
      </c>
      <c r="CN815" s="2123">
        <v>245.03</v>
      </c>
      <c r="CO815" s="2123">
        <v>312.3</v>
      </c>
      <c r="CP815" s="2123">
        <v>312.3</v>
      </c>
      <c r="CQ815" s="2123">
        <v>312.3</v>
      </c>
      <c r="CR815" s="2123">
        <v>312.3</v>
      </c>
      <c r="CW815" s="2123">
        <v>112.79</v>
      </c>
      <c r="CX815" s="2123">
        <v>112.79</v>
      </c>
      <c r="CY815" s="2123">
        <v>237.05</v>
      </c>
      <c r="CZ815" s="2123">
        <v>237.05</v>
      </c>
      <c r="DA815" s="2123">
        <v>237.05</v>
      </c>
      <c r="DB815" s="2123">
        <v>237.05</v>
      </c>
      <c r="DC815" s="2123">
        <v>302.60000000000002</v>
      </c>
      <c r="DD815" s="2123">
        <v>302.60000000000002</v>
      </c>
      <c r="DE815" s="2123">
        <v>302.60000000000002</v>
      </c>
      <c r="DF815" s="2123">
        <v>302.60000000000002</v>
      </c>
      <c r="DI815" s="2123">
        <v>29.87</v>
      </c>
      <c r="DJ815" s="2123">
        <v>29.87</v>
      </c>
      <c r="DK815" s="2123">
        <v>29.87</v>
      </c>
      <c r="DL815" s="2123">
        <v>29.87</v>
      </c>
      <c r="DM815" s="2123">
        <v>29.87</v>
      </c>
      <c r="DN815" s="2123">
        <v>29.87</v>
      </c>
      <c r="DU815" s="2123">
        <v>13.3</v>
      </c>
      <c r="DV815" s="2123">
        <v>13.3</v>
      </c>
      <c r="DW815" s="2123">
        <v>12.71</v>
      </c>
      <c r="DX815" s="2123">
        <v>12.71</v>
      </c>
      <c r="DY815" s="2123">
        <v>12.71</v>
      </c>
      <c r="DZ815" s="2123">
        <v>12.71</v>
      </c>
      <c r="EG815" s="2123">
        <v>14.26</v>
      </c>
      <c r="EH815" s="2123">
        <v>14.44</v>
      </c>
      <c r="EI815" s="2123">
        <v>11.29</v>
      </c>
      <c r="EJ815" s="2123">
        <v>11.29</v>
      </c>
      <c r="EK815" s="2123">
        <v>11.28</v>
      </c>
      <c r="EL815" s="2123">
        <v>11.28</v>
      </c>
      <c r="EM815" s="2123">
        <v>11.92</v>
      </c>
      <c r="EN815" s="2123">
        <v>11.92</v>
      </c>
      <c r="EO815" s="2123">
        <v>11.29</v>
      </c>
      <c r="EP815" s="2123">
        <v>11.29</v>
      </c>
      <c r="EQ815" s="2123">
        <v>11.62</v>
      </c>
      <c r="ER815" s="2123">
        <v>11.51</v>
      </c>
      <c r="ES815" s="2123">
        <v>54.57</v>
      </c>
      <c r="ET815" s="2123">
        <v>54.57</v>
      </c>
      <c r="EU815" s="2123">
        <v>234.1</v>
      </c>
      <c r="EV815" s="2123">
        <v>234.1</v>
      </c>
      <c r="EW815" s="2123">
        <v>228.89</v>
      </c>
      <c r="EX815" s="2123">
        <v>228.89</v>
      </c>
      <c r="EY815" s="2129">
        <f t="shared" ref="EY815:EZ849" si="51">AVERAGE(EU815,EW815)</f>
        <v>231.495</v>
      </c>
      <c r="EZ815" s="2129">
        <f t="shared" si="51"/>
        <v>231.495</v>
      </c>
      <c r="FA815" s="2123">
        <v>232.61</v>
      </c>
      <c r="FB815" s="2123">
        <v>232.61</v>
      </c>
      <c r="FE815" s="2123">
        <v>46.91</v>
      </c>
      <c r="FF815" s="2123">
        <v>46.91</v>
      </c>
      <c r="FG815" s="2123">
        <v>197.04</v>
      </c>
      <c r="FH815" s="2123">
        <v>197.04</v>
      </c>
      <c r="FI815" s="2123">
        <v>197.04</v>
      </c>
      <c r="FJ815" s="2123">
        <v>198.82</v>
      </c>
      <c r="FK815" s="2123">
        <v>196.52</v>
      </c>
      <c r="FL815" s="2123">
        <v>196.52</v>
      </c>
      <c r="FM815" s="2123">
        <v>197.4</v>
      </c>
      <c r="FN815" s="2123">
        <v>197.4</v>
      </c>
      <c r="FQ815" s="2123">
        <v>105.96</v>
      </c>
      <c r="FR815" s="2123">
        <v>105.96</v>
      </c>
      <c r="FS815" s="2123">
        <v>211.36</v>
      </c>
      <c r="FT815" s="2123">
        <v>211.36</v>
      </c>
      <c r="FU815" s="2123">
        <v>211.36</v>
      </c>
      <c r="FV815" s="2123">
        <v>211.36</v>
      </c>
      <c r="FW815" s="2123">
        <v>211.89</v>
      </c>
      <c r="FX815" s="2123">
        <v>211.89</v>
      </c>
      <c r="GC815" s="2123">
        <v>74.900000000000006</v>
      </c>
      <c r="GD815" s="2123">
        <v>74.900000000000006</v>
      </c>
      <c r="GE815" s="2123">
        <v>168.89</v>
      </c>
      <c r="GF815" s="2123">
        <v>168.89</v>
      </c>
      <c r="GG815" s="2123">
        <v>168.89</v>
      </c>
      <c r="GH815" s="2123">
        <v>168.89</v>
      </c>
      <c r="GI815" s="2123">
        <v>178.63</v>
      </c>
      <c r="GJ815" s="2123">
        <v>178.63</v>
      </c>
      <c r="GK815" s="2123">
        <v>205.78</v>
      </c>
      <c r="GL815" s="2123">
        <v>205.78</v>
      </c>
      <c r="GO815" s="2123">
        <v>40.1</v>
      </c>
      <c r="GP815" s="2123">
        <v>40.1</v>
      </c>
      <c r="GQ815" s="2123">
        <v>34.369999999999997</v>
      </c>
      <c r="GR815" s="2123">
        <v>34.369999999999997</v>
      </c>
      <c r="GS815" s="2123">
        <v>34.369999999999997</v>
      </c>
      <c r="GT815" s="2123">
        <v>33.119999999999997</v>
      </c>
      <c r="GU815" s="2123">
        <v>33.119999999999997</v>
      </c>
      <c r="GV815" s="2123">
        <v>33.43</v>
      </c>
      <c r="GW815" s="2123">
        <v>195.52</v>
      </c>
      <c r="GX815" s="2123">
        <v>195.52</v>
      </c>
      <c r="HA815" s="2123">
        <v>28</v>
      </c>
      <c r="HB815" s="2123">
        <v>28</v>
      </c>
      <c r="HC815" s="2123">
        <v>21.07</v>
      </c>
      <c r="HD815" s="2123">
        <v>21.07</v>
      </c>
      <c r="HE815" s="2123">
        <v>21.84</v>
      </c>
      <c r="HF815" s="2123">
        <v>21.84</v>
      </c>
      <c r="HG815" s="2123">
        <v>21.84</v>
      </c>
      <c r="HH815" s="2123">
        <v>21.84</v>
      </c>
      <c r="HI815" s="2123">
        <v>21.84</v>
      </c>
      <c r="HJ815" s="2123">
        <v>21.84</v>
      </c>
      <c r="HK815" s="2123">
        <v>21.9</v>
      </c>
      <c r="HL815" s="2123">
        <v>22.13</v>
      </c>
      <c r="HM815" s="2123">
        <v>39.229999999999997</v>
      </c>
      <c r="HN815" s="2123">
        <v>39.229999999999997</v>
      </c>
      <c r="HO815" s="2123">
        <v>29.86</v>
      </c>
      <c r="HP815" s="2123">
        <v>29.86</v>
      </c>
      <c r="HQ815" s="2123">
        <v>31.01</v>
      </c>
      <c r="HR815" s="2123">
        <v>31.01</v>
      </c>
      <c r="HS815" s="2123">
        <v>31.01</v>
      </c>
      <c r="HT815" s="2123">
        <v>31.01</v>
      </c>
      <c r="HU815" s="2123">
        <v>31.01</v>
      </c>
      <c r="HV815" s="2123">
        <v>31.01</v>
      </c>
      <c r="HW815" s="2123">
        <v>30.99</v>
      </c>
      <c r="HX815" s="2050">
        <v>30.99</v>
      </c>
    </row>
    <row r="816" spans="1:232" s="2123" customFormat="1" ht="14" hidden="1" x14ac:dyDescent="0.3">
      <c r="A816" s="2040"/>
      <c r="B816" s="2127">
        <v>67</v>
      </c>
      <c r="C816" s="2128">
        <v>44.44</v>
      </c>
      <c r="D816" s="2128">
        <v>44.44</v>
      </c>
      <c r="E816" s="2128">
        <v>44.61</v>
      </c>
      <c r="F816" s="2128">
        <v>44.61</v>
      </c>
      <c r="G816" s="2128">
        <v>171.03</v>
      </c>
      <c r="H816" s="2128">
        <v>171.03</v>
      </c>
      <c r="I816" s="2128">
        <v>161.59</v>
      </c>
      <c r="J816" s="2128">
        <v>161.59</v>
      </c>
      <c r="K816" s="2128">
        <v>167.27</v>
      </c>
      <c r="L816" s="2128">
        <v>167.27</v>
      </c>
      <c r="M816" s="2128"/>
      <c r="N816" s="2128"/>
      <c r="O816" s="2128">
        <v>139.35</v>
      </c>
      <c r="P816" s="2128">
        <v>139.35</v>
      </c>
      <c r="Q816" s="2128">
        <v>139.01</v>
      </c>
      <c r="R816" s="2128">
        <v>139.35</v>
      </c>
      <c r="S816" s="2128">
        <v>254.14000000000001</v>
      </c>
      <c r="T816" s="2128">
        <v>253.48</v>
      </c>
      <c r="U816" s="2128">
        <v>244.68</v>
      </c>
      <c r="V816" s="2128">
        <v>244.68</v>
      </c>
      <c r="W816" s="2128">
        <v>253.48</v>
      </c>
      <c r="X816" s="2128">
        <v>253.48</v>
      </c>
      <c r="Y816" s="2128">
        <v>244.68</v>
      </c>
      <c r="Z816" s="2128">
        <v>253.48</v>
      </c>
      <c r="AA816" s="2128">
        <v>253.48</v>
      </c>
      <c r="AB816" s="2128">
        <v>253.48</v>
      </c>
      <c r="AC816" s="2128">
        <v>244.68</v>
      </c>
      <c r="AD816" s="2128">
        <v>244.68</v>
      </c>
      <c r="AE816" s="2128">
        <v>267.62</v>
      </c>
      <c r="AF816" s="2128">
        <v>259.93</v>
      </c>
      <c r="AG816" s="2128">
        <v>267.62</v>
      </c>
      <c r="AH816" s="2128">
        <v>267.62</v>
      </c>
      <c r="AI816" s="2128">
        <v>259.93</v>
      </c>
      <c r="AJ816" s="2128">
        <v>259.93</v>
      </c>
      <c r="AK816" s="2128">
        <v>260.45999999999998</v>
      </c>
      <c r="AL816" s="2128">
        <v>260.45999999999998</v>
      </c>
      <c r="AM816" s="2128">
        <v>73.55</v>
      </c>
      <c r="AN816" s="2128">
        <v>70.88</v>
      </c>
      <c r="AO816" s="2128">
        <v>70.88</v>
      </c>
      <c r="AP816" s="2128">
        <v>70.58</v>
      </c>
      <c r="AQ816" s="2128">
        <v>70.989999999999995</v>
      </c>
      <c r="AR816" s="2128">
        <v>70.989999999999995</v>
      </c>
      <c r="AS816" s="2128">
        <v>209.91</v>
      </c>
      <c r="AT816" s="2128">
        <v>209.91</v>
      </c>
      <c r="AU816" s="2128">
        <v>209.91</v>
      </c>
      <c r="AV816" s="2128">
        <v>214.73</v>
      </c>
      <c r="AW816" s="2128">
        <v>210.17</v>
      </c>
      <c r="AX816" s="2128">
        <v>210.17</v>
      </c>
      <c r="AY816" s="2128">
        <v>210.3</v>
      </c>
      <c r="AZ816" s="2128">
        <v>210.3</v>
      </c>
      <c r="BA816" s="2123">
        <v>91.66</v>
      </c>
      <c r="BB816" s="2123">
        <v>91.66</v>
      </c>
      <c r="BC816" s="2123">
        <v>23.05</v>
      </c>
      <c r="BD816" s="2123">
        <v>23.27</v>
      </c>
      <c r="BE816" s="2123">
        <v>26.33</v>
      </c>
      <c r="BF816" s="2123">
        <v>26.33</v>
      </c>
      <c r="BG816" s="2123">
        <v>23.05</v>
      </c>
      <c r="BH816" s="2123">
        <v>23.05</v>
      </c>
      <c r="BI816" s="2123">
        <v>22.87</v>
      </c>
      <c r="BJ816" s="2123">
        <v>22.87</v>
      </c>
      <c r="BK816" s="2123">
        <v>22.87</v>
      </c>
      <c r="BL816" s="2123">
        <v>22.87</v>
      </c>
      <c r="BM816" s="2123">
        <v>53.68</v>
      </c>
      <c r="BN816" s="2123">
        <v>53.68</v>
      </c>
      <c r="BO816" s="2123">
        <v>167.4</v>
      </c>
      <c r="BP816" s="2123">
        <v>167.4</v>
      </c>
      <c r="BQ816" s="2123">
        <v>167.4</v>
      </c>
      <c r="BR816" s="2123">
        <v>167.4</v>
      </c>
      <c r="BS816" s="2123">
        <v>214.55</v>
      </c>
      <c r="BT816" s="2123">
        <v>214.55</v>
      </c>
      <c r="BU816" s="2123">
        <v>214.55</v>
      </c>
      <c r="BV816" s="2123">
        <v>214.55</v>
      </c>
      <c r="BW816" s="2123">
        <v>214.55</v>
      </c>
      <c r="BX816" s="2123">
        <v>214.55</v>
      </c>
      <c r="BY816" s="2123">
        <v>48.67</v>
      </c>
      <c r="BZ816" s="2123">
        <v>48.67</v>
      </c>
      <c r="CA816" s="2123">
        <v>159.85</v>
      </c>
      <c r="CB816" s="2123">
        <v>159.85</v>
      </c>
      <c r="CC816" s="2123">
        <v>162.13999999999999</v>
      </c>
      <c r="CD816" s="2123">
        <v>162.13999999999999</v>
      </c>
      <c r="CE816" s="2123">
        <v>210.88</v>
      </c>
      <c r="CF816" s="2123">
        <v>210.88</v>
      </c>
      <c r="CK816" s="2123">
        <v>121.26</v>
      </c>
      <c r="CL816" s="2123">
        <v>121.26</v>
      </c>
      <c r="CM816" s="2123">
        <v>245.82</v>
      </c>
      <c r="CN816" s="2123">
        <v>245.82</v>
      </c>
      <c r="CO816" s="2123">
        <v>313.58</v>
      </c>
      <c r="CP816" s="2123">
        <v>313.58</v>
      </c>
      <c r="CQ816" s="2123">
        <v>313.58</v>
      </c>
      <c r="CR816" s="2123">
        <v>313.58</v>
      </c>
      <c r="CW816" s="2123">
        <v>113.27</v>
      </c>
      <c r="CX816" s="2123">
        <v>113.27</v>
      </c>
      <c r="CY816" s="2123">
        <v>237.92</v>
      </c>
      <c r="CZ816" s="2123">
        <v>237.92</v>
      </c>
      <c r="DA816" s="2123">
        <v>237.92</v>
      </c>
      <c r="DB816" s="2123">
        <v>237.92</v>
      </c>
      <c r="DC816" s="2123">
        <v>304.01</v>
      </c>
      <c r="DD816" s="2123">
        <v>304.01</v>
      </c>
      <c r="DE816" s="2123">
        <v>304.01</v>
      </c>
      <c r="DF816" s="2123">
        <v>304.01</v>
      </c>
      <c r="DI816" s="2123">
        <v>30</v>
      </c>
      <c r="DJ816" s="2123">
        <v>30</v>
      </c>
      <c r="DK816" s="2123">
        <v>30</v>
      </c>
      <c r="DL816" s="2123">
        <v>30</v>
      </c>
      <c r="DM816" s="2123">
        <v>30</v>
      </c>
      <c r="DN816" s="2123">
        <v>30</v>
      </c>
      <c r="DU816" s="2123">
        <v>13.33</v>
      </c>
      <c r="DV816" s="2123">
        <v>13.33</v>
      </c>
      <c r="DW816" s="2123">
        <v>12.75</v>
      </c>
      <c r="DX816" s="2123">
        <v>12.75</v>
      </c>
      <c r="DY816" s="2123">
        <v>12.75</v>
      </c>
      <c r="DZ816" s="2123">
        <v>12.75</v>
      </c>
      <c r="EG816" s="2123">
        <v>14.31</v>
      </c>
      <c r="EH816" s="2123">
        <v>14.5</v>
      </c>
      <c r="EI816" s="2123">
        <v>11.37</v>
      </c>
      <c r="EJ816" s="2123">
        <v>11.37</v>
      </c>
      <c r="EK816" s="2123">
        <v>11.36</v>
      </c>
      <c r="EL816" s="2123">
        <v>11.36</v>
      </c>
      <c r="EM816" s="2123">
        <v>11.99</v>
      </c>
      <c r="EN816" s="2123">
        <v>11.99</v>
      </c>
      <c r="EO816" s="2123">
        <v>11.36</v>
      </c>
      <c r="EP816" s="2123">
        <v>11.36</v>
      </c>
      <c r="EQ816" s="2123">
        <v>11.69</v>
      </c>
      <c r="ER816" s="2123">
        <v>11.59</v>
      </c>
      <c r="ES816" s="2123">
        <v>54.8</v>
      </c>
      <c r="ET816" s="2123">
        <v>54.8</v>
      </c>
      <c r="EU816" s="2123">
        <v>235.49</v>
      </c>
      <c r="EV816" s="2123">
        <v>235.49</v>
      </c>
      <c r="EW816" s="2123">
        <v>230.27</v>
      </c>
      <c r="EX816" s="2123">
        <v>230.27</v>
      </c>
      <c r="EY816" s="2129">
        <f t="shared" si="51"/>
        <v>232.88</v>
      </c>
      <c r="EZ816" s="2129">
        <f t="shared" si="51"/>
        <v>232.88</v>
      </c>
      <c r="FA816" s="2123">
        <v>233.94</v>
      </c>
      <c r="FB816" s="2123">
        <v>233.94</v>
      </c>
      <c r="FE816" s="2123">
        <v>47.11</v>
      </c>
      <c r="FF816" s="2123">
        <v>47.11</v>
      </c>
      <c r="FG816" s="2123">
        <v>198.24</v>
      </c>
      <c r="FH816" s="2123">
        <v>198.24</v>
      </c>
      <c r="FI816" s="2123">
        <v>198.24</v>
      </c>
      <c r="FJ816" s="2123">
        <v>199.98</v>
      </c>
      <c r="FK816" s="2123">
        <v>197.72</v>
      </c>
      <c r="FL816" s="2123">
        <v>197.72</v>
      </c>
      <c r="FM816" s="2123">
        <v>198.58</v>
      </c>
      <c r="FN816" s="2123">
        <v>198.58</v>
      </c>
      <c r="FQ816" s="2123">
        <v>106.41</v>
      </c>
      <c r="FR816" s="2123">
        <v>106.41</v>
      </c>
      <c r="FS816" s="2123">
        <v>212.41</v>
      </c>
      <c r="FT816" s="2123">
        <v>212.41</v>
      </c>
      <c r="FU816" s="2123">
        <v>212.41</v>
      </c>
      <c r="FV816" s="2123">
        <v>212.41</v>
      </c>
      <c r="FW816" s="2123">
        <v>212.92</v>
      </c>
      <c r="FX816" s="2123">
        <v>212.92</v>
      </c>
      <c r="GC816" s="2123">
        <v>75.22</v>
      </c>
      <c r="GD816" s="2123">
        <v>75.22</v>
      </c>
      <c r="GE816" s="2123">
        <v>169.54</v>
      </c>
      <c r="GF816" s="2123">
        <v>169.54</v>
      </c>
      <c r="GG816" s="2123">
        <v>169.54</v>
      </c>
      <c r="GH816" s="2123">
        <v>169.54</v>
      </c>
      <c r="GI816" s="2123">
        <v>180.03</v>
      </c>
      <c r="GJ816" s="2123">
        <v>180.03</v>
      </c>
      <c r="GK816" s="2123">
        <v>206.95</v>
      </c>
      <c r="GL816" s="2123">
        <v>206.95</v>
      </c>
      <c r="GO816" s="2123">
        <v>40.270000000000003</v>
      </c>
      <c r="GP816" s="2123">
        <v>40.270000000000003</v>
      </c>
      <c r="GQ816" s="2123">
        <v>34.6</v>
      </c>
      <c r="GR816" s="2123">
        <v>34.6</v>
      </c>
      <c r="GS816" s="2123">
        <v>34.6</v>
      </c>
      <c r="GT816" s="2123">
        <v>33.35</v>
      </c>
      <c r="GU816" s="2123">
        <v>33.35</v>
      </c>
      <c r="GV816" s="2123">
        <v>33.65</v>
      </c>
      <c r="GW816" s="2123">
        <v>196.78</v>
      </c>
      <c r="GX816" s="2123">
        <v>196.78</v>
      </c>
      <c r="HA816" s="2123">
        <v>28.13</v>
      </c>
      <c r="HB816" s="2123">
        <v>28.13</v>
      </c>
      <c r="HC816" s="2123">
        <v>21.25</v>
      </c>
      <c r="HD816" s="2123">
        <v>21.25</v>
      </c>
      <c r="HE816" s="2123">
        <v>22</v>
      </c>
      <c r="HF816" s="2123">
        <v>22</v>
      </c>
      <c r="HG816" s="2123">
        <v>22</v>
      </c>
      <c r="HH816" s="2123">
        <v>22</v>
      </c>
      <c r="HI816" s="2123">
        <v>22</v>
      </c>
      <c r="HJ816" s="2123">
        <v>22</v>
      </c>
      <c r="HK816" s="2123">
        <v>22.07</v>
      </c>
      <c r="HL816" s="2123">
        <v>22.29</v>
      </c>
      <c r="HM816" s="2123">
        <v>39.44</v>
      </c>
      <c r="HN816" s="2123">
        <v>39.44</v>
      </c>
      <c r="HO816" s="2123">
        <v>30.15</v>
      </c>
      <c r="HP816" s="2123">
        <v>30.15</v>
      </c>
      <c r="HQ816" s="2123">
        <v>31.19</v>
      </c>
      <c r="HR816" s="2123">
        <v>31.19</v>
      </c>
      <c r="HS816" s="2123">
        <v>31.19</v>
      </c>
      <c r="HT816" s="2123">
        <v>31.19</v>
      </c>
      <c r="HU816" s="2123">
        <v>31.19</v>
      </c>
      <c r="HV816" s="2123">
        <v>31.19</v>
      </c>
      <c r="HW816" s="2123">
        <v>31.26</v>
      </c>
      <c r="HX816" s="2050">
        <v>31.26</v>
      </c>
    </row>
    <row r="817" spans="1:232" s="2123" customFormat="1" ht="14" hidden="1" x14ac:dyDescent="0.3">
      <c r="A817" s="2040"/>
      <c r="B817" s="2127">
        <v>68</v>
      </c>
      <c r="C817" s="2128">
        <v>44.61</v>
      </c>
      <c r="D817" s="2128">
        <v>44.61</v>
      </c>
      <c r="E817" s="2128">
        <v>44.78</v>
      </c>
      <c r="F817" s="2128">
        <v>44.78</v>
      </c>
      <c r="G817" s="2128">
        <v>171.91</v>
      </c>
      <c r="H817" s="2128">
        <v>171.91</v>
      </c>
      <c r="I817" s="2128">
        <v>162.44</v>
      </c>
      <c r="J817" s="2128">
        <v>162.44</v>
      </c>
      <c r="K817" s="2128">
        <v>168.02</v>
      </c>
      <c r="L817" s="2128">
        <v>168.02</v>
      </c>
      <c r="M817" s="2128"/>
      <c r="N817" s="2128"/>
      <c r="O817" s="2128">
        <v>139.93</v>
      </c>
      <c r="P817" s="2128">
        <v>139.93</v>
      </c>
      <c r="Q817" s="2128">
        <v>139.58000000000001</v>
      </c>
      <c r="R817" s="2128">
        <v>139.94</v>
      </c>
      <c r="S817" s="2128">
        <v>255.66000000000003</v>
      </c>
      <c r="T817" s="2128">
        <v>254.97</v>
      </c>
      <c r="U817" s="2128">
        <v>246.12</v>
      </c>
      <c r="V817" s="2128">
        <v>246.12</v>
      </c>
      <c r="W817" s="2128">
        <v>254.97</v>
      </c>
      <c r="X817" s="2128">
        <v>254.97</v>
      </c>
      <c r="Y817" s="2128">
        <v>246.12</v>
      </c>
      <c r="Z817" s="2128">
        <v>254.97</v>
      </c>
      <c r="AA817" s="2128">
        <v>254.97</v>
      </c>
      <c r="AB817" s="2128">
        <v>254.97</v>
      </c>
      <c r="AC817" s="2128">
        <v>246.12</v>
      </c>
      <c r="AD817" s="2128">
        <v>246.12</v>
      </c>
      <c r="AE817" s="2128">
        <v>268.97000000000003</v>
      </c>
      <c r="AF817" s="2128">
        <v>261.24</v>
      </c>
      <c r="AG817" s="2128">
        <v>268.97000000000003</v>
      </c>
      <c r="AH817" s="2128">
        <v>268.97000000000003</v>
      </c>
      <c r="AI817" s="2128">
        <v>261.24</v>
      </c>
      <c r="AJ817" s="2128">
        <v>261.24</v>
      </c>
      <c r="AK817" s="2128">
        <v>261.76</v>
      </c>
      <c r="AL817" s="2128">
        <v>261.76</v>
      </c>
      <c r="AM817" s="2128">
        <v>73.86</v>
      </c>
      <c r="AN817" s="2128">
        <v>71.17</v>
      </c>
      <c r="AO817" s="2128">
        <v>71.17</v>
      </c>
      <c r="AP817" s="2128">
        <v>70.87</v>
      </c>
      <c r="AQ817" s="2128">
        <v>71.27</v>
      </c>
      <c r="AR817" s="2128">
        <v>71.27</v>
      </c>
      <c r="AS817" s="2128">
        <v>211.01</v>
      </c>
      <c r="AT817" s="2128">
        <v>211.01</v>
      </c>
      <c r="AU817" s="2128">
        <v>211.01</v>
      </c>
      <c r="AV817" s="2128">
        <v>215.83</v>
      </c>
      <c r="AW817" s="2128">
        <v>211.27</v>
      </c>
      <c r="AX817" s="2128">
        <v>211.27</v>
      </c>
      <c r="AY817" s="2128">
        <v>211.39</v>
      </c>
      <c r="AZ817" s="2128">
        <v>211.39</v>
      </c>
      <c r="BA817" s="2123">
        <v>92.24</v>
      </c>
      <c r="BB817" s="2123">
        <v>92.24</v>
      </c>
      <c r="BC817" s="2123">
        <v>23.2</v>
      </c>
      <c r="BD817" s="2123">
        <v>23.42</v>
      </c>
      <c r="BE817" s="2123">
        <v>26.46</v>
      </c>
      <c r="BF817" s="2123">
        <v>26.46</v>
      </c>
      <c r="BG817" s="2123">
        <v>23.22</v>
      </c>
      <c r="BH817" s="2123">
        <v>23.22</v>
      </c>
      <c r="BI817" s="2123">
        <v>23.04</v>
      </c>
      <c r="BJ817" s="2123">
        <v>23.04</v>
      </c>
      <c r="BK817" s="2123">
        <v>23.04</v>
      </c>
      <c r="BL817" s="2123">
        <v>23.04</v>
      </c>
      <c r="BM817" s="2123">
        <v>53.94</v>
      </c>
      <c r="BN817" s="2123">
        <v>53.94</v>
      </c>
      <c r="BO817" s="2123">
        <v>168.34</v>
      </c>
      <c r="BP817" s="2123">
        <v>168.34</v>
      </c>
      <c r="BQ817" s="2123">
        <v>168.34</v>
      </c>
      <c r="BR817" s="2123">
        <v>168.34</v>
      </c>
      <c r="BS817" s="2123">
        <v>215.99</v>
      </c>
      <c r="BT817" s="2123">
        <v>215.99</v>
      </c>
      <c r="BU817" s="2123">
        <v>215.99</v>
      </c>
      <c r="BV817" s="2123">
        <v>215.99</v>
      </c>
      <c r="BW817" s="2123">
        <v>215.99</v>
      </c>
      <c r="BX817" s="2123">
        <v>215.99</v>
      </c>
      <c r="BY817" s="2123">
        <v>48.89</v>
      </c>
      <c r="BZ817" s="2123">
        <v>48.89</v>
      </c>
      <c r="CA817" s="2123">
        <v>160.71</v>
      </c>
      <c r="CB817" s="2123">
        <v>160.71</v>
      </c>
      <c r="CC817" s="2123">
        <v>163.03</v>
      </c>
      <c r="CD817" s="2123">
        <v>163.03</v>
      </c>
      <c r="CE817" s="2123">
        <v>212.24</v>
      </c>
      <c r="CF817" s="2123">
        <v>212.24</v>
      </c>
      <c r="CK817" s="2123">
        <v>121.77</v>
      </c>
      <c r="CL817" s="2123">
        <v>121.77</v>
      </c>
      <c r="CM817" s="2123">
        <v>246.68</v>
      </c>
      <c r="CN817" s="2123">
        <v>246.68</v>
      </c>
      <c r="CO817" s="2123">
        <v>314.98</v>
      </c>
      <c r="CP817" s="2123">
        <v>314.98</v>
      </c>
      <c r="CQ817" s="2123">
        <v>314.98</v>
      </c>
      <c r="CR817" s="2123">
        <v>314.98</v>
      </c>
      <c r="CW817" s="2123">
        <v>113.71</v>
      </c>
      <c r="CX817" s="2123">
        <v>113.71</v>
      </c>
      <c r="CY817" s="2123">
        <v>238.71</v>
      </c>
      <c r="CZ817" s="2123">
        <v>238.71</v>
      </c>
      <c r="DA817" s="2123">
        <v>238.71</v>
      </c>
      <c r="DB817" s="2123">
        <v>238.71</v>
      </c>
      <c r="DC817" s="2123">
        <v>305.27999999999997</v>
      </c>
      <c r="DD817" s="2123">
        <v>305.27999999999997</v>
      </c>
      <c r="DE817" s="2123">
        <v>305.27999999999997</v>
      </c>
      <c r="DF817" s="2123">
        <v>305.27999999999997</v>
      </c>
      <c r="DI817" s="2123">
        <v>30.13</v>
      </c>
      <c r="DJ817" s="2123">
        <v>30.13</v>
      </c>
      <c r="DK817" s="2123">
        <v>30.13</v>
      </c>
      <c r="DL817" s="2123">
        <v>30.13</v>
      </c>
      <c r="DM817" s="2123">
        <v>30.13</v>
      </c>
      <c r="DN817" s="2123">
        <v>30.13</v>
      </c>
      <c r="DU817" s="2123">
        <v>13.38</v>
      </c>
      <c r="DV817" s="2123">
        <v>13.38</v>
      </c>
      <c r="DW817" s="2123">
        <v>12.8</v>
      </c>
      <c r="DX817" s="2123">
        <v>12.8</v>
      </c>
      <c r="DY817" s="2123">
        <v>12.8</v>
      </c>
      <c r="DZ817" s="2123">
        <v>12.8</v>
      </c>
      <c r="EG817" s="2123">
        <v>14.37</v>
      </c>
      <c r="EH817" s="2123">
        <v>14.55</v>
      </c>
      <c r="EI817" s="2123">
        <v>11.45</v>
      </c>
      <c r="EJ817" s="2123">
        <v>11.45</v>
      </c>
      <c r="EK817" s="2123">
        <v>11.44</v>
      </c>
      <c r="EL817" s="2123">
        <v>11.44</v>
      </c>
      <c r="EM817" s="2123">
        <v>12.07</v>
      </c>
      <c r="EN817" s="2123">
        <v>12.07</v>
      </c>
      <c r="EO817" s="2123">
        <v>11.44</v>
      </c>
      <c r="EP817" s="2123">
        <v>11.44</v>
      </c>
      <c r="EQ817" s="2123">
        <v>11.77</v>
      </c>
      <c r="ER817" s="2123">
        <v>11.66</v>
      </c>
      <c r="ES817" s="2123">
        <v>55.03</v>
      </c>
      <c r="ET817" s="2123">
        <v>55.03</v>
      </c>
      <c r="EU817" s="2123">
        <v>236.85</v>
      </c>
      <c r="EV817" s="2123">
        <v>236.85</v>
      </c>
      <c r="EW817" s="2123">
        <v>231.61</v>
      </c>
      <c r="EX817" s="2123">
        <v>231.61</v>
      </c>
      <c r="EY817" s="2129">
        <f t="shared" si="51"/>
        <v>234.23000000000002</v>
      </c>
      <c r="EZ817" s="2129">
        <f t="shared" si="51"/>
        <v>234.23000000000002</v>
      </c>
      <c r="FA817" s="2123">
        <v>235.24</v>
      </c>
      <c r="FB817" s="2123">
        <v>235.24</v>
      </c>
      <c r="FE817" s="2123">
        <v>47.31</v>
      </c>
      <c r="FF817" s="2123">
        <v>47.31</v>
      </c>
      <c r="FG817" s="2123">
        <v>199.4</v>
      </c>
      <c r="FH817" s="2123">
        <v>199.4</v>
      </c>
      <c r="FI817" s="2123">
        <v>199.4</v>
      </c>
      <c r="FJ817" s="2123">
        <v>201.1</v>
      </c>
      <c r="FK817" s="2123">
        <v>198.9</v>
      </c>
      <c r="FL817" s="2123">
        <v>198.9</v>
      </c>
      <c r="FM817" s="2123">
        <v>199.74</v>
      </c>
      <c r="FN817" s="2123">
        <v>199.74</v>
      </c>
      <c r="FQ817" s="2123">
        <v>106.85</v>
      </c>
      <c r="FR817" s="2123">
        <v>106.85</v>
      </c>
      <c r="FS817" s="2123">
        <v>213.43</v>
      </c>
      <c r="FT817" s="2123">
        <v>213.43</v>
      </c>
      <c r="FU817" s="2123">
        <v>213.43</v>
      </c>
      <c r="FV817" s="2123">
        <v>213.43</v>
      </c>
      <c r="FW817" s="2123">
        <v>213.94</v>
      </c>
      <c r="FX817" s="2123">
        <v>213.94</v>
      </c>
      <c r="GC817" s="2123">
        <v>75.53</v>
      </c>
      <c r="GD817" s="2123">
        <v>75.53</v>
      </c>
      <c r="GE817" s="2123">
        <v>170.18</v>
      </c>
      <c r="GF817" s="2123">
        <v>170.18</v>
      </c>
      <c r="GG817" s="2123">
        <v>170.18</v>
      </c>
      <c r="GH817" s="2123">
        <v>170.18</v>
      </c>
      <c r="GI817" s="2123">
        <v>181.4</v>
      </c>
      <c r="GJ817" s="2123">
        <v>181.4</v>
      </c>
      <c r="GK817" s="2123">
        <v>208.09</v>
      </c>
      <c r="GL817" s="2123">
        <v>208.09</v>
      </c>
      <c r="GO817" s="2123">
        <v>40.44</v>
      </c>
      <c r="GP817" s="2123">
        <v>40.44</v>
      </c>
      <c r="GQ817" s="2123">
        <v>34.82</v>
      </c>
      <c r="GR817" s="2123">
        <v>34.82</v>
      </c>
      <c r="GS817" s="2123">
        <v>34.82</v>
      </c>
      <c r="GT817" s="2123">
        <v>33.56</v>
      </c>
      <c r="GU817" s="2123">
        <v>33.56</v>
      </c>
      <c r="GV817" s="2123">
        <v>33.85</v>
      </c>
      <c r="GW817" s="2123">
        <v>197.97</v>
      </c>
      <c r="GX817" s="2123">
        <v>197.97</v>
      </c>
      <c r="HA817" s="2123">
        <v>28.25</v>
      </c>
      <c r="HB817" s="2123">
        <v>28.25</v>
      </c>
      <c r="HC817" s="2123">
        <v>21.41</v>
      </c>
      <c r="HD817" s="2123">
        <v>21.41</v>
      </c>
      <c r="HE817" s="2123">
        <v>22.14</v>
      </c>
      <c r="HF817" s="2123">
        <v>22.14</v>
      </c>
      <c r="HG817" s="2123">
        <v>22.14</v>
      </c>
      <c r="HH817" s="2123">
        <v>22.14</v>
      </c>
      <c r="HI817" s="2123">
        <v>22.14</v>
      </c>
      <c r="HJ817" s="2123">
        <v>22.14</v>
      </c>
      <c r="HK817" s="2123">
        <v>22.23</v>
      </c>
      <c r="HL817" s="2123">
        <v>22.44</v>
      </c>
      <c r="HM817" s="2123">
        <v>39.57</v>
      </c>
      <c r="HN817" s="2123">
        <v>39.57</v>
      </c>
      <c r="HO817" s="2123">
        <v>30.33</v>
      </c>
      <c r="HP817" s="2123">
        <v>30.33</v>
      </c>
      <c r="HQ817" s="2123">
        <v>31.34</v>
      </c>
      <c r="HR817" s="2123">
        <v>31.34</v>
      </c>
      <c r="HS817" s="2123">
        <v>31.34</v>
      </c>
      <c r="HT817" s="2123">
        <v>31.34</v>
      </c>
      <c r="HU817" s="2123">
        <v>31.34</v>
      </c>
      <c r="HV817" s="2123">
        <v>31.34</v>
      </c>
      <c r="HW817" s="2123">
        <v>31.43</v>
      </c>
      <c r="HX817" s="2050">
        <v>31.43</v>
      </c>
    </row>
    <row r="818" spans="1:232" s="2123" customFormat="1" ht="14" hidden="1" x14ac:dyDescent="0.3">
      <c r="A818" s="2040"/>
      <c r="B818" s="2127">
        <v>69</v>
      </c>
      <c r="C818" s="2128">
        <v>44.79</v>
      </c>
      <c r="D818" s="2128">
        <v>44.79</v>
      </c>
      <c r="E818" s="2128">
        <v>44.95</v>
      </c>
      <c r="F818" s="2128">
        <v>44.95</v>
      </c>
      <c r="G818" s="2128">
        <v>172.72</v>
      </c>
      <c r="H818" s="2128">
        <v>172.72</v>
      </c>
      <c r="I818" s="2128">
        <v>163.33000000000001</v>
      </c>
      <c r="J818" s="2128">
        <v>163.33000000000001</v>
      </c>
      <c r="K818" s="2128">
        <v>168.8</v>
      </c>
      <c r="L818" s="2128">
        <v>168.8</v>
      </c>
      <c r="M818" s="2128"/>
      <c r="N818" s="2128"/>
      <c r="O818" s="2128">
        <v>140.41</v>
      </c>
      <c r="P818" s="2128">
        <v>140.41</v>
      </c>
      <c r="Q818" s="2128">
        <v>140.05000000000001</v>
      </c>
      <c r="R818" s="2128">
        <v>140.41999999999999</v>
      </c>
      <c r="S818" s="2128">
        <v>256.92</v>
      </c>
      <c r="T818" s="2128">
        <v>256.43</v>
      </c>
      <c r="U818" s="2128">
        <v>247.52</v>
      </c>
      <c r="V818" s="2128">
        <v>247.52</v>
      </c>
      <c r="W818" s="2128">
        <v>256.43</v>
      </c>
      <c r="X818" s="2128">
        <v>256.43</v>
      </c>
      <c r="Y818" s="2128">
        <v>247.52</v>
      </c>
      <c r="Z818" s="2128">
        <v>256.43</v>
      </c>
      <c r="AA818" s="2128">
        <v>256.43</v>
      </c>
      <c r="AB818" s="2128">
        <v>256.43</v>
      </c>
      <c r="AC818" s="2128">
        <v>247.52</v>
      </c>
      <c r="AD818" s="2128">
        <v>247.52</v>
      </c>
      <c r="AE818" s="2128">
        <v>270.29000000000002</v>
      </c>
      <c r="AF818" s="2128">
        <v>262.52</v>
      </c>
      <c r="AG818" s="2128">
        <v>270.29000000000002</v>
      </c>
      <c r="AH818" s="2128">
        <v>270.29000000000002</v>
      </c>
      <c r="AI818" s="2128">
        <v>262.52</v>
      </c>
      <c r="AJ818" s="2128">
        <v>262.52</v>
      </c>
      <c r="AK818" s="2128">
        <v>263.02999999999997</v>
      </c>
      <c r="AL818" s="2128">
        <v>263.02999999999997</v>
      </c>
      <c r="AM818" s="2128">
        <v>74.150000000000006</v>
      </c>
      <c r="AN818" s="2128">
        <v>71.45</v>
      </c>
      <c r="AO818" s="2128">
        <v>71.45</v>
      </c>
      <c r="AP818" s="2128">
        <v>71.099999999999994</v>
      </c>
      <c r="AQ818" s="2128">
        <v>71.5</v>
      </c>
      <c r="AR818" s="2128">
        <v>71.5</v>
      </c>
      <c r="AS818" s="2128">
        <v>211.88</v>
      </c>
      <c r="AT818" s="2128">
        <v>211.88</v>
      </c>
      <c r="AU818" s="2128">
        <v>211.88</v>
      </c>
      <c r="AV818" s="2128">
        <v>216.71</v>
      </c>
      <c r="AW818" s="2128">
        <v>212.13</v>
      </c>
      <c r="AX818" s="2128">
        <v>212.13</v>
      </c>
      <c r="AY818" s="2128">
        <v>212.26</v>
      </c>
      <c r="AZ818" s="2128">
        <v>212.26</v>
      </c>
      <c r="BA818" s="2123">
        <v>92.69</v>
      </c>
      <c r="BB818" s="2123">
        <v>92.69</v>
      </c>
      <c r="BC818" s="2123">
        <v>23.34</v>
      </c>
      <c r="BD818" s="2123">
        <v>23.55</v>
      </c>
      <c r="BE818" s="2123">
        <v>26.56</v>
      </c>
      <c r="BF818" s="2123">
        <v>26.56</v>
      </c>
      <c r="BG818" s="2123">
        <v>23.35</v>
      </c>
      <c r="BH818" s="2123">
        <v>23.35</v>
      </c>
      <c r="BI818" s="2123">
        <v>23.17</v>
      </c>
      <c r="BJ818" s="2123">
        <v>23.17</v>
      </c>
      <c r="BK818" s="2123">
        <v>23.17</v>
      </c>
      <c r="BL818" s="2123">
        <v>23.17</v>
      </c>
      <c r="BM818" s="2123">
        <v>54.14</v>
      </c>
      <c r="BN818" s="2123">
        <v>54.14</v>
      </c>
      <c r="BO818" s="2123">
        <v>169.08</v>
      </c>
      <c r="BP818" s="2123">
        <v>169.08</v>
      </c>
      <c r="BQ818" s="2123">
        <v>169.08</v>
      </c>
      <c r="BR818" s="2123">
        <v>169.08</v>
      </c>
      <c r="BS818" s="2123">
        <v>217.11</v>
      </c>
      <c r="BT818" s="2123">
        <v>217.11</v>
      </c>
      <c r="BU818" s="2123">
        <v>217.11</v>
      </c>
      <c r="BV818" s="2123">
        <v>217.11</v>
      </c>
      <c r="BW818" s="2123">
        <v>217.11</v>
      </c>
      <c r="BX818" s="2123">
        <v>217.11</v>
      </c>
      <c r="BY818" s="2123">
        <v>49.08</v>
      </c>
      <c r="BZ818" s="2123">
        <v>49.08</v>
      </c>
      <c r="CA818" s="2123">
        <v>161.44999999999999</v>
      </c>
      <c r="CB818" s="2123">
        <v>161.44999999999999</v>
      </c>
      <c r="CC818" s="2123">
        <v>163.79</v>
      </c>
      <c r="CD818" s="2123">
        <v>163.79</v>
      </c>
      <c r="CE818" s="2123">
        <v>213.4</v>
      </c>
      <c r="CF818" s="2123">
        <v>213.4</v>
      </c>
      <c r="CK818" s="2123">
        <v>122.29</v>
      </c>
      <c r="CL818" s="2123">
        <v>122.29</v>
      </c>
      <c r="CM818" s="2123">
        <v>247.61</v>
      </c>
      <c r="CN818" s="2123">
        <v>247.61</v>
      </c>
      <c r="CO818" s="2123">
        <v>316.49</v>
      </c>
      <c r="CP818" s="2123">
        <v>316.49</v>
      </c>
      <c r="CQ818" s="2123">
        <v>316.49</v>
      </c>
      <c r="CR818" s="2123">
        <v>316.49</v>
      </c>
      <c r="CW818" s="2123">
        <v>114.19</v>
      </c>
      <c r="CX818" s="2123">
        <v>114.19</v>
      </c>
      <c r="CY818" s="2123">
        <v>239.6</v>
      </c>
      <c r="CZ818" s="2123">
        <v>239.6</v>
      </c>
      <c r="DA818" s="2123">
        <v>239.6</v>
      </c>
      <c r="DB818" s="2123">
        <v>239.6</v>
      </c>
      <c r="DC818" s="2123">
        <v>306.7</v>
      </c>
      <c r="DD818" s="2123">
        <v>306.7</v>
      </c>
      <c r="DE818" s="2123">
        <v>306.7</v>
      </c>
      <c r="DF818" s="2123">
        <v>306.7</v>
      </c>
      <c r="DI818" s="2123">
        <v>30.25</v>
      </c>
      <c r="DJ818" s="2123">
        <v>30.25</v>
      </c>
      <c r="DK818" s="2123">
        <v>30.25</v>
      </c>
      <c r="DL818" s="2123">
        <v>30.25</v>
      </c>
      <c r="DM818" s="2123">
        <v>30.25</v>
      </c>
      <c r="DN818" s="2123">
        <v>30.25</v>
      </c>
      <c r="DU818" s="2123">
        <v>13.44</v>
      </c>
      <c r="DV818" s="2123">
        <v>13.44</v>
      </c>
      <c r="DW818" s="2123">
        <v>12.86</v>
      </c>
      <c r="DX818" s="2123">
        <v>12.86</v>
      </c>
      <c r="DY818" s="2123">
        <v>12.86</v>
      </c>
      <c r="DZ818" s="2123">
        <v>12.86</v>
      </c>
      <c r="EG818" s="2123">
        <v>14.43</v>
      </c>
      <c r="EH818" s="2123">
        <v>14.61</v>
      </c>
      <c r="EI818" s="2123">
        <v>11.52</v>
      </c>
      <c r="EJ818" s="2123">
        <v>11.52</v>
      </c>
      <c r="EK818" s="2123">
        <v>11.51</v>
      </c>
      <c r="EL818" s="2123">
        <v>11.51</v>
      </c>
      <c r="EM818" s="2123">
        <v>12.14</v>
      </c>
      <c r="EN818" s="2123">
        <v>12.14</v>
      </c>
      <c r="EO818" s="2123">
        <v>11.51</v>
      </c>
      <c r="EP818" s="2123">
        <v>11.51</v>
      </c>
      <c r="EQ818" s="2123">
        <v>11.84</v>
      </c>
      <c r="ER818" s="2123">
        <v>11.73</v>
      </c>
      <c r="ES818" s="2123">
        <v>55.24</v>
      </c>
      <c r="ET818" s="2123">
        <v>55.24</v>
      </c>
      <c r="EU818" s="2123">
        <v>238.18</v>
      </c>
      <c r="EV818" s="2123">
        <v>238.18</v>
      </c>
      <c r="EW818" s="2123">
        <v>232.93</v>
      </c>
      <c r="EX818" s="2123">
        <v>232.93</v>
      </c>
      <c r="EY818" s="2129">
        <f t="shared" si="51"/>
        <v>235.55500000000001</v>
      </c>
      <c r="EZ818" s="2129">
        <f t="shared" si="51"/>
        <v>235.55500000000001</v>
      </c>
      <c r="FA818" s="2123">
        <v>236.52</v>
      </c>
      <c r="FB818" s="2123">
        <v>236.52</v>
      </c>
      <c r="FE818" s="2123">
        <v>47.5</v>
      </c>
      <c r="FF818" s="2123">
        <v>47.5</v>
      </c>
      <c r="FG818" s="2123">
        <v>200.54</v>
      </c>
      <c r="FH818" s="2123">
        <v>200.54</v>
      </c>
      <c r="FI818" s="2123">
        <v>200.54</v>
      </c>
      <c r="FJ818" s="2123">
        <v>202.2</v>
      </c>
      <c r="FK818" s="2123">
        <v>200.05</v>
      </c>
      <c r="FL818" s="2123">
        <v>200.05</v>
      </c>
      <c r="FM818" s="2123">
        <v>200.87</v>
      </c>
      <c r="FN818" s="2123">
        <v>200.87</v>
      </c>
      <c r="FQ818" s="2123">
        <v>107.29</v>
      </c>
      <c r="FR818" s="2123">
        <v>107.29</v>
      </c>
      <c r="FS818" s="2123">
        <v>214.43</v>
      </c>
      <c r="FT818" s="2123">
        <v>214.43</v>
      </c>
      <c r="FU818" s="2123">
        <v>214.43</v>
      </c>
      <c r="FV818" s="2123">
        <v>214.43</v>
      </c>
      <c r="FW818" s="2123">
        <v>214.93</v>
      </c>
      <c r="FX818" s="2123">
        <v>214.93</v>
      </c>
      <c r="GC818" s="2123">
        <v>75.83</v>
      </c>
      <c r="GD818" s="2123">
        <v>75.83</v>
      </c>
      <c r="GE818" s="2123">
        <v>170.8</v>
      </c>
      <c r="GF818" s="2123">
        <v>170.8</v>
      </c>
      <c r="GG818" s="2123">
        <v>170.8</v>
      </c>
      <c r="GH818" s="2123">
        <v>170.8</v>
      </c>
      <c r="GI818" s="2123">
        <v>182.74</v>
      </c>
      <c r="GJ818" s="2123">
        <v>182.74</v>
      </c>
      <c r="GK818" s="2123">
        <v>209.2</v>
      </c>
      <c r="GL818" s="2123">
        <v>209.2</v>
      </c>
      <c r="GO818" s="2123">
        <v>40.6</v>
      </c>
      <c r="GP818" s="2123">
        <v>40.6</v>
      </c>
      <c r="GQ818" s="2123">
        <v>35.020000000000003</v>
      </c>
      <c r="GR818" s="2123">
        <v>35.020000000000003</v>
      </c>
      <c r="GS818" s="2123">
        <v>35.020000000000003</v>
      </c>
      <c r="GT818" s="2123">
        <v>33.75</v>
      </c>
      <c r="GU818" s="2123">
        <v>33.75</v>
      </c>
      <c r="GV818" s="2123">
        <v>34.04</v>
      </c>
      <c r="GW818" s="2123">
        <v>199.07</v>
      </c>
      <c r="GX818" s="2123">
        <v>199.07</v>
      </c>
      <c r="HA818" s="2123">
        <v>28.36</v>
      </c>
      <c r="HB818" s="2123">
        <v>28.36</v>
      </c>
      <c r="HC818" s="2123">
        <v>21.56</v>
      </c>
      <c r="HD818" s="2123">
        <v>21.56</v>
      </c>
      <c r="HE818" s="2123">
        <v>22.29</v>
      </c>
      <c r="HF818" s="2123">
        <v>22.29</v>
      </c>
      <c r="HG818" s="2123">
        <v>22.29</v>
      </c>
      <c r="HH818" s="2123">
        <v>22.29</v>
      </c>
      <c r="HI818" s="2123">
        <v>22.29</v>
      </c>
      <c r="HJ818" s="2123">
        <v>22.29</v>
      </c>
      <c r="HK818" s="2123">
        <v>22.37</v>
      </c>
      <c r="HL818" s="2123">
        <v>22.58</v>
      </c>
      <c r="HM818" s="2123">
        <v>39.69</v>
      </c>
      <c r="HN818" s="2123">
        <v>39.69</v>
      </c>
      <c r="HO818" s="2123">
        <v>30.49</v>
      </c>
      <c r="HP818" s="2123">
        <v>30.49</v>
      </c>
      <c r="HQ818" s="2123">
        <v>31.51</v>
      </c>
      <c r="HR818" s="2123">
        <v>31.51</v>
      </c>
      <c r="HS818" s="2123">
        <v>31.51</v>
      </c>
      <c r="HT818" s="2123">
        <v>31.51</v>
      </c>
      <c r="HU818" s="2123">
        <v>31.51</v>
      </c>
      <c r="HV818" s="2123">
        <v>31.51</v>
      </c>
      <c r="HW818" s="2123">
        <v>31.59</v>
      </c>
      <c r="HX818" s="2050">
        <v>31.59</v>
      </c>
    </row>
    <row r="819" spans="1:232" s="2123" customFormat="1" ht="14" hidden="1" x14ac:dyDescent="0.3">
      <c r="A819" s="2040"/>
      <c r="B819" s="2127">
        <v>70</v>
      </c>
      <c r="C819" s="2128">
        <v>44.96</v>
      </c>
      <c r="D819" s="2128">
        <v>44.96</v>
      </c>
      <c r="E819" s="2128">
        <v>45.11</v>
      </c>
      <c r="F819" s="2128">
        <v>45.11</v>
      </c>
      <c r="G819" s="2128">
        <v>173.53</v>
      </c>
      <c r="H819" s="2128">
        <v>173.53</v>
      </c>
      <c r="I819" s="2128">
        <v>164.14</v>
      </c>
      <c r="J819" s="2128">
        <v>164.14</v>
      </c>
      <c r="K819" s="2128">
        <v>169.51</v>
      </c>
      <c r="L819" s="2128">
        <v>169.51</v>
      </c>
      <c r="M819" s="2128"/>
      <c r="N819" s="2128"/>
      <c r="O819" s="2128">
        <v>140.94</v>
      </c>
      <c r="P819" s="2128">
        <v>140.94</v>
      </c>
      <c r="Q819" s="2128">
        <v>140.57</v>
      </c>
      <c r="R819" s="2128">
        <v>140.94999999999999</v>
      </c>
      <c r="S819" s="2128">
        <v>258.3</v>
      </c>
      <c r="T819" s="2128">
        <v>257.85000000000002</v>
      </c>
      <c r="U819" s="2128">
        <v>248.9</v>
      </c>
      <c r="V819" s="2128">
        <v>248.9</v>
      </c>
      <c r="W819" s="2128">
        <v>257.85000000000002</v>
      </c>
      <c r="X819" s="2128">
        <v>257.85000000000002</v>
      </c>
      <c r="Y819" s="2128">
        <v>248.9</v>
      </c>
      <c r="Z819" s="2128">
        <v>257.85000000000002</v>
      </c>
      <c r="AA819" s="2128">
        <v>257.85000000000002</v>
      </c>
      <c r="AB819" s="2128">
        <v>257.85000000000002</v>
      </c>
      <c r="AC819" s="2128">
        <v>248.9</v>
      </c>
      <c r="AD819" s="2128">
        <v>248.9</v>
      </c>
      <c r="AE819" s="2128">
        <v>271.58</v>
      </c>
      <c r="AF819" s="2128">
        <v>263.77</v>
      </c>
      <c r="AG819" s="2128">
        <v>271.58</v>
      </c>
      <c r="AH819" s="2128">
        <v>271.58</v>
      </c>
      <c r="AI819" s="2128">
        <v>263.77</v>
      </c>
      <c r="AJ819" s="2128">
        <v>263.77</v>
      </c>
      <c r="AK819" s="2128">
        <v>264.27</v>
      </c>
      <c r="AL819" s="2128">
        <v>264.27</v>
      </c>
      <c r="AM819" s="2128">
        <v>74.44</v>
      </c>
      <c r="AN819" s="2128">
        <v>71.73</v>
      </c>
      <c r="AO819" s="2128">
        <v>71.73</v>
      </c>
      <c r="AP819" s="2128">
        <v>71.36</v>
      </c>
      <c r="AQ819" s="2128">
        <v>71.739999999999995</v>
      </c>
      <c r="AR819" s="2128">
        <v>71.739999999999995</v>
      </c>
      <c r="AS819" s="2128">
        <v>212.84</v>
      </c>
      <c r="AT819" s="2128">
        <v>212.84</v>
      </c>
      <c r="AU819" s="2128">
        <v>212.84</v>
      </c>
      <c r="AV819" s="2128">
        <v>217.69</v>
      </c>
      <c r="AW819" s="2128">
        <v>213.1</v>
      </c>
      <c r="AX819" s="2128">
        <v>213.1</v>
      </c>
      <c r="AY819" s="2128">
        <v>213.23</v>
      </c>
      <c r="AZ819" s="2128">
        <v>213.23</v>
      </c>
      <c r="BA819" s="2123">
        <v>93.07</v>
      </c>
      <c r="BB819" s="2123">
        <v>93.07</v>
      </c>
      <c r="BC819" s="2123">
        <v>23.49</v>
      </c>
      <c r="BD819" s="2123">
        <v>23.69</v>
      </c>
      <c r="BE819" s="2123">
        <v>26.65</v>
      </c>
      <c r="BF819" s="2123">
        <v>26.65</v>
      </c>
      <c r="BG819" s="2123">
        <v>23.47</v>
      </c>
      <c r="BH819" s="2123">
        <v>23.47</v>
      </c>
      <c r="BI819" s="2123">
        <v>23.28</v>
      </c>
      <c r="BJ819" s="2123">
        <v>23.28</v>
      </c>
      <c r="BK819" s="2123">
        <v>23.28</v>
      </c>
      <c r="BL819" s="2123">
        <v>23.28</v>
      </c>
      <c r="BM819" s="2123">
        <v>54.3</v>
      </c>
      <c r="BN819" s="2123">
        <v>54.3</v>
      </c>
      <c r="BO819" s="2123">
        <v>169.67</v>
      </c>
      <c r="BP819" s="2123">
        <v>169.67</v>
      </c>
      <c r="BQ819" s="2123">
        <v>169.67</v>
      </c>
      <c r="BR819" s="2123">
        <v>169.67</v>
      </c>
      <c r="BS819" s="2123">
        <v>218.03</v>
      </c>
      <c r="BT819" s="2123">
        <v>218.03</v>
      </c>
      <c r="BU819" s="2123">
        <v>218.03</v>
      </c>
      <c r="BV819" s="2123">
        <v>218.03</v>
      </c>
      <c r="BW819" s="2123">
        <v>218.03</v>
      </c>
      <c r="BX819" s="2123">
        <v>218.03</v>
      </c>
      <c r="BY819" s="2123">
        <v>49.24</v>
      </c>
      <c r="BZ819" s="2123">
        <v>49.24</v>
      </c>
      <c r="CA819" s="2123">
        <v>162.08000000000001</v>
      </c>
      <c r="CB819" s="2123">
        <v>162.08000000000001</v>
      </c>
      <c r="CC819" s="2123">
        <v>164.43</v>
      </c>
      <c r="CD819" s="2123">
        <v>164.43</v>
      </c>
      <c r="CE819" s="2123">
        <v>214.39</v>
      </c>
      <c r="CF819" s="2123">
        <v>214.39</v>
      </c>
      <c r="CK819" s="2123">
        <v>122.76</v>
      </c>
      <c r="CL819" s="2123">
        <v>122.76</v>
      </c>
      <c r="CM819" s="2123">
        <v>248.43</v>
      </c>
      <c r="CN819" s="2123">
        <v>248.43</v>
      </c>
      <c r="CO819" s="2123">
        <v>317.82</v>
      </c>
      <c r="CP819" s="2123">
        <v>317.82</v>
      </c>
      <c r="CQ819" s="2123">
        <v>317.82</v>
      </c>
      <c r="CR819" s="2123">
        <v>317.82</v>
      </c>
      <c r="CW819" s="2123">
        <v>114.62</v>
      </c>
      <c r="CX819" s="2123">
        <v>114.62</v>
      </c>
      <c r="CY819" s="2123">
        <v>240.36</v>
      </c>
      <c r="CZ819" s="2123">
        <v>240.36</v>
      </c>
      <c r="DA819" s="2123">
        <v>240.36</v>
      </c>
      <c r="DB819" s="2123">
        <v>240.36</v>
      </c>
      <c r="DC819" s="2123">
        <v>307.94</v>
      </c>
      <c r="DD819" s="2123">
        <v>307.94</v>
      </c>
      <c r="DE819" s="2123">
        <v>307.94</v>
      </c>
      <c r="DF819" s="2123">
        <v>307.94</v>
      </c>
      <c r="DI819" s="2123">
        <v>30.36</v>
      </c>
      <c r="DJ819" s="2123">
        <v>30.36</v>
      </c>
      <c r="DK819" s="2123">
        <v>30.36</v>
      </c>
      <c r="DL819" s="2123">
        <v>30.36</v>
      </c>
      <c r="DM819" s="2123">
        <v>30.36</v>
      </c>
      <c r="DN819" s="2123">
        <v>30.36</v>
      </c>
      <c r="DU819" s="2123">
        <v>13.5</v>
      </c>
      <c r="DV819" s="2123">
        <v>13.5</v>
      </c>
      <c r="DW819" s="2123">
        <v>12.93</v>
      </c>
      <c r="DX819" s="2123">
        <v>12.93</v>
      </c>
      <c r="DY819" s="2123">
        <v>12.93</v>
      </c>
      <c r="DZ819" s="2123">
        <v>12.93</v>
      </c>
      <c r="EG819" s="2123">
        <v>14.48</v>
      </c>
      <c r="EH819" s="2123">
        <v>14.66</v>
      </c>
      <c r="EI819" s="2123">
        <v>11.6</v>
      </c>
      <c r="EJ819" s="2123">
        <v>11.6</v>
      </c>
      <c r="EK819" s="2123">
        <v>11.59</v>
      </c>
      <c r="EL819" s="2123">
        <v>11.59</v>
      </c>
      <c r="EM819" s="2123">
        <v>12.21</v>
      </c>
      <c r="EN819" s="2123">
        <v>12.21</v>
      </c>
      <c r="EO819" s="2123">
        <v>11.58</v>
      </c>
      <c r="EP819" s="2123">
        <v>11.58</v>
      </c>
      <c r="EQ819" s="2123">
        <v>11.91</v>
      </c>
      <c r="ER819" s="2123">
        <v>11.79</v>
      </c>
      <c r="ES819" s="2123">
        <v>55.46</v>
      </c>
      <c r="ET819" s="2123">
        <v>55.46</v>
      </c>
      <c r="EU819" s="2123">
        <v>239.48</v>
      </c>
      <c r="EV819" s="2123">
        <v>239.48</v>
      </c>
      <c r="EW819" s="2123">
        <v>234.22</v>
      </c>
      <c r="EX819" s="2123">
        <v>234.22</v>
      </c>
      <c r="EY819" s="2129">
        <f t="shared" si="51"/>
        <v>236.85</v>
      </c>
      <c r="EZ819" s="2129">
        <f t="shared" si="51"/>
        <v>236.85</v>
      </c>
      <c r="FA819" s="2123">
        <v>237.76</v>
      </c>
      <c r="FB819" s="2123">
        <v>237.76</v>
      </c>
      <c r="FE819" s="2123">
        <v>47.69</v>
      </c>
      <c r="FF819" s="2123">
        <v>47.69</v>
      </c>
      <c r="FG819" s="2123">
        <v>201.66</v>
      </c>
      <c r="FH819" s="2123">
        <v>201.66</v>
      </c>
      <c r="FI819" s="2123">
        <v>201.66</v>
      </c>
      <c r="FJ819" s="2123">
        <v>203.28</v>
      </c>
      <c r="FK819" s="2123">
        <v>201.17</v>
      </c>
      <c r="FL819" s="2123">
        <v>201.17</v>
      </c>
      <c r="FM819" s="2123">
        <v>201.98</v>
      </c>
      <c r="FN819" s="2123">
        <v>201.98</v>
      </c>
      <c r="FQ819" s="2123">
        <v>107.71</v>
      </c>
      <c r="FR819" s="2123">
        <v>107.71</v>
      </c>
      <c r="FS819" s="2123">
        <v>215.41</v>
      </c>
      <c r="FT819" s="2123">
        <v>215.41</v>
      </c>
      <c r="FU819" s="2123">
        <v>215.41</v>
      </c>
      <c r="FV819" s="2123">
        <v>215.41</v>
      </c>
      <c r="FW819" s="2123">
        <v>215.89</v>
      </c>
      <c r="FX819" s="2123">
        <v>215.89</v>
      </c>
      <c r="GC819" s="2123">
        <v>76.12</v>
      </c>
      <c r="GD819" s="2123">
        <v>76.12</v>
      </c>
      <c r="GE819" s="2123">
        <v>171.41</v>
      </c>
      <c r="GF819" s="2123">
        <v>171.41</v>
      </c>
      <c r="GG819" s="2123">
        <v>171.41</v>
      </c>
      <c r="GH819" s="2123">
        <v>171.41</v>
      </c>
      <c r="GI819" s="2123">
        <v>184.05</v>
      </c>
      <c r="GJ819" s="2123">
        <v>184.05</v>
      </c>
      <c r="GK819" s="2123">
        <v>210.29</v>
      </c>
      <c r="GL819" s="2123">
        <v>210.29</v>
      </c>
      <c r="GO819" s="2123">
        <v>40.76</v>
      </c>
      <c r="GP819" s="2123">
        <v>40.76</v>
      </c>
      <c r="GQ819" s="2123">
        <v>35.200000000000003</v>
      </c>
      <c r="GR819" s="2123">
        <v>35.200000000000003</v>
      </c>
      <c r="GS819" s="2123">
        <v>35.200000000000003</v>
      </c>
      <c r="GT819" s="2123">
        <v>33.93</v>
      </c>
      <c r="GU819" s="2123">
        <v>33.93</v>
      </c>
      <c r="GV819" s="2123">
        <v>34.21</v>
      </c>
      <c r="GW819" s="2123">
        <v>200.08</v>
      </c>
      <c r="GX819" s="2123">
        <v>200.08</v>
      </c>
      <c r="HA819" s="2123">
        <v>28.47</v>
      </c>
      <c r="HB819" s="2123">
        <v>28.47</v>
      </c>
      <c r="HC819" s="2123">
        <v>21.71</v>
      </c>
      <c r="HD819" s="2123">
        <v>21.71</v>
      </c>
      <c r="HE819" s="2123">
        <v>22.47</v>
      </c>
      <c r="HF819" s="2123">
        <v>22.47</v>
      </c>
      <c r="HG819" s="2123">
        <v>22.47</v>
      </c>
      <c r="HH819" s="2123">
        <v>22.47</v>
      </c>
      <c r="HI819" s="2123">
        <v>22.47</v>
      </c>
      <c r="HJ819" s="2123">
        <v>22.47</v>
      </c>
      <c r="HK819" s="2123">
        <v>22.51</v>
      </c>
      <c r="HL819" s="2123">
        <v>22.72</v>
      </c>
      <c r="HM819" s="2123">
        <v>39.81</v>
      </c>
      <c r="HN819" s="2123">
        <v>39.81</v>
      </c>
      <c r="HO819" s="2123">
        <v>30.66</v>
      </c>
      <c r="HP819" s="2123">
        <v>30.66</v>
      </c>
      <c r="HQ819" s="2123">
        <v>31.77</v>
      </c>
      <c r="HR819" s="2123">
        <v>31.77</v>
      </c>
      <c r="HS819" s="2123">
        <v>31.77</v>
      </c>
      <c r="HT819" s="2123">
        <v>31.77</v>
      </c>
      <c r="HU819" s="2123">
        <v>31.77</v>
      </c>
      <c r="HV819" s="2123">
        <v>31.77</v>
      </c>
      <c r="HW819" s="2123">
        <v>31.75</v>
      </c>
      <c r="HX819" s="2050">
        <v>31.75</v>
      </c>
    </row>
    <row r="820" spans="1:232" s="2123" customFormat="1" ht="14" hidden="1" x14ac:dyDescent="0.3">
      <c r="A820" s="2040"/>
      <c r="B820" s="2127">
        <v>71</v>
      </c>
      <c r="C820" s="2128">
        <v>45.13</v>
      </c>
      <c r="D820" s="2128">
        <v>45.13</v>
      </c>
      <c r="E820" s="2128">
        <v>45.28</v>
      </c>
      <c r="F820" s="2128">
        <v>45.28</v>
      </c>
      <c r="G820" s="2128">
        <v>174.41</v>
      </c>
      <c r="H820" s="2128">
        <v>174.41</v>
      </c>
      <c r="I820" s="2128">
        <v>164.96</v>
      </c>
      <c r="J820" s="2128">
        <v>164.96</v>
      </c>
      <c r="K820" s="2128">
        <v>170.23</v>
      </c>
      <c r="L820" s="2128">
        <v>170.23</v>
      </c>
      <c r="M820" s="2128"/>
      <c r="N820" s="2128"/>
      <c r="O820" s="2128">
        <v>141.52000000000001</v>
      </c>
      <c r="P820" s="2128">
        <v>141.52000000000001</v>
      </c>
      <c r="Q820" s="2128">
        <v>141.13</v>
      </c>
      <c r="R820" s="2128">
        <v>141.53</v>
      </c>
      <c r="S820" s="2128">
        <v>259.81</v>
      </c>
      <c r="T820" s="2128">
        <v>259.24</v>
      </c>
      <c r="U820" s="2128">
        <v>250.24</v>
      </c>
      <c r="V820" s="2128">
        <v>250.24</v>
      </c>
      <c r="W820" s="2128">
        <v>259.24</v>
      </c>
      <c r="X820" s="2128">
        <v>259.24</v>
      </c>
      <c r="Y820" s="2128">
        <v>250.24</v>
      </c>
      <c r="Z820" s="2128">
        <v>259.24</v>
      </c>
      <c r="AA820" s="2128">
        <v>259.24</v>
      </c>
      <c r="AB820" s="2128">
        <v>259.24</v>
      </c>
      <c r="AC820" s="2128">
        <v>250.24</v>
      </c>
      <c r="AD820" s="2128">
        <v>250.24</v>
      </c>
      <c r="AE820" s="2128">
        <v>272.83999999999997</v>
      </c>
      <c r="AF820" s="2128">
        <v>265</v>
      </c>
      <c r="AG820" s="2128">
        <v>272.83999999999997</v>
      </c>
      <c r="AH820" s="2128">
        <v>272.83999999999997</v>
      </c>
      <c r="AI820" s="2128">
        <v>265</v>
      </c>
      <c r="AJ820" s="2128">
        <v>265</v>
      </c>
      <c r="AK820" s="2128">
        <v>265.48</v>
      </c>
      <c r="AL820" s="2128">
        <v>265.48</v>
      </c>
      <c r="AM820" s="2128">
        <v>74.72</v>
      </c>
      <c r="AN820" s="2128">
        <v>72</v>
      </c>
      <c r="AO820" s="2128">
        <v>72</v>
      </c>
      <c r="AP820" s="2128">
        <v>71.650000000000006</v>
      </c>
      <c r="AQ820" s="2128">
        <v>72.02</v>
      </c>
      <c r="AR820" s="2128">
        <v>72.02</v>
      </c>
      <c r="AS820" s="2128">
        <v>213.94</v>
      </c>
      <c r="AT820" s="2128">
        <v>213.94</v>
      </c>
      <c r="AU820" s="2128">
        <v>213.94</v>
      </c>
      <c r="AV820" s="2128">
        <v>218.8</v>
      </c>
      <c r="AW820" s="2128">
        <v>214.19</v>
      </c>
      <c r="AX820" s="2128">
        <v>214.19</v>
      </c>
      <c r="AY820" s="2128">
        <v>214.32</v>
      </c>
      <c r="AZ820" s="2128">
        <v>214.32</v>
      </c>
      <c r="BA820" s="2123">
        <v>93.48</v>
      </c>
      <c r="BB820" s="2123">
        <v>93.48</v>
      </c>
      <c r="BC820" s="2123">
        <v>23.62</v>
      </c>
      <c r="BD820" s="2123">
        <v>23.82</v>
      </c>
      <c r="BE820" s="2123">
        <v>26.74</v>
      </c>
      <c r="BF820" s="2123">
        <v>26.74</v>
      </c>
      <c r="BG820" s="2123">
        <v>23.59</v>
      </c>
      <c r="BH820" s="2123">
        <v>23.59</v>
      </c>
      <c r="BI820" s="2123">
        <v>23.4</v>
      </c>
      <c r="BJ820" s="2123">
        <v>23.4</v>
      </c>
      <c r="BK820" s="2123">
        <v>23.4</v>
      </c>
      <c r="BL820" s="2123">
        <v>23.4</v>
      </c>
      <c r="BM820" s="2123">
        <v>54.53</v>
      </c>
      <c r="BN820" s="2123">
        <v>54.53</v>
      </c>
      <c r="BO820" s="2123">
        <v>170.48</v>
      </c>
      <c r="BP820" s="2123">
        <v>170.48</v>
      </c>
      <c r="BQ820" s="2123">
        <v>170.48</v>
      </c>
      <c r="BR820" s="2123">
        <v>170.48</v>
      </c>
      <c r="BS820" s="2123">
        <v>219.27</v>
      </c>
      <c r="BT820" s="2123">
        <v>219.27</v>
      </c>
      <c r="BU820" s="2123">
        <v>219.27</v>
      </c>
      <c r="BV820" s="2123">
        <v>219.27</v>
      </c>
      <c r="BW820" s="2123">
        <v>219.27</v>
      </c>
      <c r="BX820" s="2123">
        <v>219.27</v>
      </c>
      <c r="BY820" s="2123">
        <v>49.48</v>
      </c>
      <c r="BZ820" s="2123">
        <v>49.48</v>
      </c>
      <c r="CA820" s="2123">
        <v>163.01</v>
      </c>
      <c r="CB820" s="2123">
        <v>163.01</v>
      </c>
      <c r="CC820" s="2123">
        <v>165.38</v>
      </c>
      <c r="CD820" s="2123">
        <v>165.38</v>
      </c>
      <c r="CE820" s="2123">
        <v>215.85</v>
      </c>
      <c r="CF820" s="2123">
        <v>215.85</v>
      </c>
      <c r="CK820" s="2123">
        <v>123.31</v>
      </c>
      <c r="CL820" s="2123">
        <v>123.31</v>
      </c>
      <c r="CM820" s="2123">
        <v>249.28</v>
      </c>
      <c r="CN820" s="2123">
        <v>249.28</v>
      </c>
      <c r="CO820" s="2123">
        <v>319.20999999999998</v>
      </c>
      <c r="CP820" s="2123">
        <v>319.20999999999998</v>
      </c>
      <c r="CQ820" s="2123">
        <v>319.20999999999998</v>
      </c>
      <c r="CR820" s="2123">
        <v>319.20999999999998</v>
      </c>
      <c r="CW820" s="2123">
        <v>115.06</v>
      </c>
      <c r="CX820" s="2123">
        <v>115.06</v>
      </c>
      <c r="CY820" s="2123">
        <v>241.17</v>
      </c>
      <c r="CZ820" s="2123">
        <v>241.17</v>
      </c>
      <c r="DA820" s="2123">
        <v>241.17</v>
      </c>
      <c r="DB820" s="2123">
        <v>241.17</v>
      </c>
      <c r="DC820" s="2123">
        <v>309.24</v>
      </c>
      <c r="DD820" s="2123">
        <v>309.24</v>
      </c>
      <c r="DE820" s="2123">
        <v>309.24</v>
      </c>
      <c r="DF820" s="2123">
        <v>309.24</v>
      </c>
      <c r="DI820" s="2123">
        <v>30.47</v>
      </c>
      <c r="DJ820" s="2123">
        <v>30.47</v>
      </c>
      <c r="DK820" s="2123">
        <v>30.47</v>
      </c>
      <c r="DL820" s="2123">
        <v>30.47</v>
      </c>
      <c r="DM820" s="2123">
        <v>30.47</v>
      </c>
      <c r="DN820" s="2123">
        <v>30.47</v>
      </c>
      <c r="DU820" s="2123">
        <v>13.56</v>
      </c>
      <c r="DV820" s="2123">
        <v>13.56</v>
      </c>
      <c r="DW820" s="2123">
        <v>12.99</v>
      </c>
      <c r="DX820" s="2123">
        <v>12.99</v>
      </c>
      <c r="DY820" s="2123">
        <v>12.99</v>
      </c>
      <c r="DZ820" s="2123">
        <v>12.99</v>
      </c>
      <c r="EG820" s="2123">
        <v>14.54</v>
      </c>
      <c r="EH820" s="2123">
        <v>14.71</v>
      </c>
      <c r="EI820" s="2123">
        <v>11.67</v>
      </c>
      <c r="EJ820" s="2123">
        <v>11.67</v>
      </c>
      <c r="EK820" s="2123">
        <v>11.66</v>
      </c>
      <c r="EL820" s="2123">
        <v>11.66</v>
      </c>
      <c r="EM820" s="2123">
        <v>12.27</v>
      </c>
      <c r="EN820" s="2123">
        <v>12.27</v>
      </c>
      <c r="EO820" s="2123">
        <v>11.64</v>
      </c>
      <c r="EP820" s="2123">
        <v>11.64</v>
      </c>
      <c r="EQ820" s="2123">
        <v>11.98</v>
      </c>
      <c r="ER820" s="2123">
        <v>11.86</v>
      </c>
      <c r="ES820" s="2123">
        <v>55.67</v>
      </c>
      <c r="ET820" s="2123">
        <v>55.67</v>
      </c>
      <c r="EU820" s="2123">
        <v>240.75</v>
      </c>
      <c r="EV820" s="2123">
        <v>240.75</v>
      </c>
      <c r="EW820" s="2123">
        <v>235.47</v>
      </c>
      <c r="EX820" s="2123">
        <v>235.47</v>
      </c>
      <c r="EY820" s="2129">
        <f t="shared" si="51"/>
        <v>238.11</v>
      </c>
      <c r="EZ820" s="2129">
        <f t="shared" si="51"/>
        <v>238.11</v>
      </c>
      <c r="FA820" s="2123">
        <v>238.97</v>
      </c>
      <c r="FB820" s="2123">
        <v>238.97</v>
      </c>
      <c r="FE820" s="2123">
        <v>47.87</v>
      </c>
      <c r="FF820" s="2123">
        <v>47.87</v>
      </c>
      <c r="FG820" s="2123">
        <v>202.75</v>
      </c>
      <c r="FH820" s="2123">
        <v>202.75</v>
      </c>
      <c r="FI820" s="2123">
        <v>202.75</v>
      </c>
      <c r="FJ820" s="2123">
        <v>204.34</v>
      </c>
      <c r="FK820" s="2123">
        <v>202.27</v>
      </c>
      <c r="FL820" s="2123">
        <v>202.27</v>
      </c>
      <c r="FM820" s="2123">
        <v>203.06</v>
      </c>
      <c r="FN820" s="2123">
        <v>203.06</v>
      </c>
      <c r="FQ820" s="2123">
        <v>108.12</v>
      </c>
      <c r="FR820" s="2123">
        <v>108.12</v>
      </c>
      <c r="FS820" s="2123">
        <v>216.37</v>
      </c>
      <c r="FT820" s="2123">
        <v>216.37</v>
      </c>
      <c r="FU820" s="2123">
        <v>216.37</v>
      </c>
      <c r="FV820" s="2123">
        <v>216.37</v>
      </c>
      <c r="FW820" s="2123">
        <v>216.83</v>
      </c>
      <c r="FX820" s="2123">
        <v>216.83</v>
      </c>
      <c r="GC820" s="2123">
        <v>76.41</v>
      </c>
      <c r="GD820" s="2123">
        <v>76.41</v>
      </c>
      <c r="GE820" s="2123">
        <v>172</v>
      </c>
      <c r="GF820" s="2123">
        <v>172</v>
      </c>
      <c r="GG820" s="2123">
        <v>172</v>
      </c>
      <c r="GH820" s="2123">
        <v>172</v>
      </c>
      <c r="GI820" s="2123">
        <v>185.34</v>
      </c>
      <c r="GJ820" s="2123">
        <v>185.34</v>
      </c>
      <c r="GK820" s="2123">
        <v>211.36</v>
      </c>
      <c r="GL820" s="2123">
        <v>211.36</v>
      </c>
      <c r="GO820" s="2123">
        <v>40.909999999999997</v>
      </c>
      <c r="GP820" s="2123">
        <v>40.909999999999997</v>
      </c>
      <c r="GQ820" s="2123">
        <v>35.39</v>
      </c>
      <c r="GR820" s="2123">
        <v>35.39</v>
      </c>
      <c r="GS820" s="2123">
        <v>35.39</v>
      </c>
      <c r="GT820" s="2123">
        <v>34.11</v>
      </c>
      <c r="GU820" s="2123">
        <v>34.11</v>
      </c>
      <c r="GV820" s="2123">
        <v>34.39</v>
      </c>
      <c r="GW820" s="2123">
        <v>201.08</v>
      </c>
      <c r="GX820" s="2123">
        <v>201.08</v>
      </c>
      <c r="HA820" s="2123">
        <v>28.6</v>
      </c>
      <c r="HB820" s="2123">
        <v>28.6</v>
      </c>
      <c r="HC820" s="2123">
        <v>21.89</v>
      </c>
      <c r="HD820" s="2123">
        <v>21.89</v>
      </c>
      <c r="HE820" s="2123">
        <v>22.66</v>
      </c>
      <c r="HF820" s="2123">
        <v>22.66</v>
      </c>
      <c r="HG820" s="2123">
        <v>22.66</v>
      </c>
      <c r="HH820" s="2123">
        <v>22.66</v>
      </c>
      <c r="HI820" s="2123">
        <v>22.66</v>
      </c>
      <c r="HJ820" s="2123">
        <v>22.66</v>
      </c>
      <c r="HK820" s="2123">
        <v>22.69</v>
      </c>
      <c r="HL820" s="2123">
        <v>22.89</v>
      </c>
      <c r="HM820" s="2123">
        <v>40.01</v>
      </c>
      <c r="HN820" s="2123">
        <v>40.01</v>
      </c>
      <c r="HO820" s="2123">
        <v>30.92</v>
      </c>
      <c r="HP820" s="2123">
        <v>30.92</v>
      </c>
      <c r="HQ820" s="2123">
        <v>32</v>
      </c>
      <c r="HR820" s="2123">
        <v>32</v>
      </c>
      <c r="HS820" s="2123">
        <v>32</v>
      </c>
      <c r="HT820" s="2123">
        <v>32</v>
      </c>
      <c r="HU820" s="2123">
        <v>32</v>
      </c>
      <c r="HV820" s="2123">
        <v>32</v>
      </c>
      <c r="HW820" s="2123">
        <v>32</v>
      </c>
      <c r="HX820" s="2050">
        <v>32</v>
      </c>
    </row>
    <row r="821" spans="1:232" s="2123" customFormat="1" ht="14" hidden="1" x14ac:dyDescent="0.3">
      <c r="A821" s="2040"/>
      <c r="B821" s="2127">
        <v>72</v>
      </c>
      <c r="C821" s="2128">
        <v>45.31</v>
      </c>
      <c r="D821" s="2128">
        <v>45.31</v>
      </c>
      <c r="E821" s="2128">
        <v>45.45</v>
      </c>
      <c r="F821" s="2128">
        <v>45.45</v>
      </c>
      <c r="G821" s="2128">
        <v>175.34</v>
      </c>
      <c r="H821" s="2128">
        <v>175.34</v>
      </c>
      <c r="I821" s="2128">
        <v>165.84</v>
      </c>
      <c r="J821" s="2128">
        <v>165.84</v>
      </c>
      <c r="K821" s="2128">
        <v>171</v>
      </c>
      <c r="L821" s="2128">
        <v>171</v>
      </c>
      <c r="M821" s="2128"/>
      <c r="N821" s="2128"/>
      <c r="O821" s="2128">
        <v>142.04</v>
      </c>
      <c r="P821" s="2128">
        <v>142.04</v>
      </c>
      <c r="Q821" s="2128">
        <v>141.63999999999999</v>
      </c>
      <c r="R821" s="2128">
        <v>142.05000000000001</v>
      </c>
      <c r="S821" s="2128">
        <v>261.18</v>
      </c>
      <c r="T821" s="2128">
        <v>260.60000000000002</v>
      </c>
      <c r="U821" s="2128">
        <v>251.55</v>
      </c>
      <c r="V821" s="2128">
        <v>251.55</v>
      </c>
      <c r="W821" s="2128">
        <v>260.60000000000002</v>
      </c>
      <c r="X821" s="2128">
        <v>260.60000000000002</v>
      </c>
      <c r="Y821" s="2128">
        <v>251.55</v>
      </c>
      <c r="Z821" s="2128">
        <v>260.60000000000002</v>
      </c>
      <c r="AA821" s="2128">
        <v>260.60000000000002</v>
      </c>
      <c r="AB821" s="2128">
        <v>260.60000000000002</v>
      </c>
      <c r="AC821" s="2128">
        <v>251.55</v>
      </c>
      <c r="AD821" s="2128">
        <v>251.55</v>
      </c>
      <c r="AE821" s="2128">
        <v>274.07</v>
      </c>
      <c r="AF821" s="2128">
        <v>266.19</v>
      </c>
      <c r="AG821" s="2128">
        <v>274.07</v>
      </c>
      <c r="AH821" s="2128">
        <v>274.07</v>
      </c>
      <c r="AI821" s="2128">
        <v>266.19</v>
      </c>
      <c r="AJ821" s="2128">
        <v>266.19</v>
      </c>
      <c r="AK821" s="2128">
        <v>266.66000000000003</v>
      </c>
      <c r="AL821" s="2128">
        <v>266.66000000000003</v>
      </c>
      <c r="AM821" s="2128">
        <v>74.989999999999995</v>
      </c>
      <c r="AN821" s="2128">
        <v>72.260000000000005</v>
      </c>
      <c r="AO821" s="2128">
        <v>72.260000000000005</v>
      </c>
      <c r="AP821" s="2128">
        <v>71.97</v>
      </c>
      <c r="AQ821" s="2128">
        <v>72.33</v>
      </c>
      <c r="AR821" s="2128">
        <v>72.33</v>
      </c>
      <c r="AS821" s="2128">
        <v>215.14</v>
      </c>
      <c r="AT821" s="2128">
        <v>215.14</v>
      </c>
      <c r="AU821" s="2128">
        <v>215.14</v>
      </c>
      <c r="AV821" s="2128">
        <v>220.01</v>
      </c>
      <c r="AW821" s="2128">
        <v>215.39</v>
      </c>
      <c r="AX821" s="2128">
        <v>215.39</v>
      </c>
      <c r="AY821" s="2128">
        <v>215.52</v>
      </c>
      <c r="AZ821" s="2128">
        <v>215.52</v>
      </c>
      <c r="BA821" s="2123">
        <v>93.95</v>
      </c>
      <c r="BB821" s="2123">
        <v>93.95</v>
      </c>
      <c r="BC821" s="2123">
        <v>23.76</v>
      </c>
      <c r="BD821" s="2123">
        <v>23.95</v>
      </c>
      <c r="BE821" s="2123">
        <v>26.85</v>
      </c>
      <c r="BF821" s="2123">
        <v>26.85</v>
      </c>
      <c r="BG821" s="2123">
        <v>23.73</v>
      </c>
      <c r="BH821" s="2123">
        <v>23.73</v>
      </c>
      <c r="BI821" s="2123">
        <v>23.54</v>
      </c>
      <c r="BJ821" s="2123">
        <v>23.54</v>
      </c>
      <c r="BK821" s="2123">
        <v>23.54</v>
      </c>
      <c r="BL821" s="2123">
        <v>23.54</v>
      </c>
      <c r="BM821" s="2123">
        <v>54.75</v>
      </c>
      <c r="BN821" s="2123">
        <v>54.75</v>
      </c>
      <c r="BO821" s="2123">
        <v>171.28</v>
      </c>
      <c r="BP821" s="2123">
        <v>171.28</v>
      </c>
      <c r="BQ821" s="2123">
        <v>171.28</v>
      </c>
      <c r="BR821" s="2123">
        <v>171.28</v>
      </c>
      <c r="BS821" s="2123">
        <v>220.5</v>
      </c>
      <c r="BT821" s="2123">
        <v>220.5</v>
      </c>
      <c r="BU821" s="2123">
        <v>220.5</v>
      </c>
      <c r="BV821" s="2123">
        <v>220.5</v>
      </c>
      <c r="BW821" s="2123">
        <v>220.5</v>
      </c>
      <c r="BX821" s="2123">
        <v>220.5</v>
      </c>
      <c r="BY821" s="2123">
        <v>49.7</v>
      </c>
      <c r="BZ821" s="2123">
        <v>49.7</v>
      </c>
      <c r="CA821" s="2123">
        <v>163.88</v>
      </c>
      <c r="CB821" s="2123">
        <v>163.88</v>
      </c>
      <c r="CC821" s="2123">
        <v>166.28</v>
      </c>
      <c r="CD821" s="2123">
        <v>166.28</v>
      </c>
      <c r="CE821" s="2123">
        <v>217.24</v>
      </c>
      <c r="CF821" s="2123">
        <v>217.24</v>
      </c>
      <c r="CK821" s="2123">
        <v>123.85</v>
      </c>
      <c r="CL821" s="2123">
        <v>123.85</v>
      </c>
      <c r="CM821" s="2123">
        <v>250.16</v>
      </c>
      <c r="CN821" s="2123">
        <v>250.16</v>
      </c>
      <c r="CO821" s="2123">
        <v>320.64</v>
      </c>
      <c r="CP821" s="2123">
        <v>320.64</v>
      </c>
      <c r="CQ821" s="2123">
        <v>320.64</v>
      </c>
      <c r="CR821" s="2123">
        <v>320.64</v>
      </c>
      <c r="CW821" s="2123">
        <v>115.5</v>
      </c>
      <c r="CX821" s="2123">
        <v>115.5</v>
      </c>
      <c r="CY821" s="2123">
        <v>241.96</v>
      </c>
      <c r="CZ821" s="2123">
        <v>241.96</v>
      </c>
      <c r="DA821" s="2123">
        <v>241.96</v>
      </c>
      <c r="DB821" s="2123">
        <v>241.96</v>
      </c>
      <c r="DC821" s="2123">
        <v>310.52999999999997</v>
      </c>
      <c r="DD821" s="2123">
        <v>310.52999999999997</v>
      </c>
      <c r="DE821" s="2123">
        <v>310.52999999999997</v>
      </c>
      <c r="DF821" s="2123">
        <v>310.52999999999997</v>
      </c>
      <c r="DI821" s="2123">
        <v>30.56</v>
      </c>
      <c r="DJ821" s="2123">
        <v>30.56</v>
      </c>
      <c r="DK821" s="2123">
        <v>30.56</v>
      </c>
      <c r="DL821" s="2123">
        <v>30.56</v>
      </c>
      <c r="DM821" s="2123">
        <v>30.56</v>
      </c>
      <c r="DN821" s="2123">
        <v>30.56</v>
      </c>
      <c r="DU821" s="2123">
        <v>13.6</v>
      </c>
      <c r="DV821" s="2123">
        <v>13.6</v>
      </c>
      <c r="DW821" s="2123">
        <v>13.05</v>
      </c>
      <c r="DX821" s="2123">
        <v>13.05</v>
      </c>
      <c r="DY821" s="2123">
        <v>13.05</v>
      </c>
      <c r="DZ821" s="2123">
        <v>13.05</v>
      </c>
      <c r="EG821" s="2123">
        <v>14.59</v>
      </c>
      <c r="EH821" s="2123">
        <v>14.76</v>
      </c>
      <c r="EI821" s="2123">
        <v>11.74</v>
      </c>
      <c r="EJ821" s="2123">
        <v>11.74</v>
      </c>
      <c r="EK821" s="2123">
        <v>11.73</v>
      </c>
      <c r="EL821" s="2123">
        <v>11.73</v>
      </c>
      <c r="EM821" s="2123">
        <v>12.34</v>
      </c>
      <c r="EN821" s="2123">
        <v>12.34</v>
      </c>
      <c r="EO821" s="2123">
        <v>11.71</v>
      </c>
      <c r="EP821" s="2123">
        <v>11.71</v>
      </c>
      <c r="EQ821" s="2123">
        <v>12.05</v>
      </c>
      <c r="ER821" s="2123">
        <v>11.92</v>
      </c>
      <c r="ES821" s="2123">
        <v>55.87</v>
      </c>
      <c r="ET821" s="2123">
        <v>55.87</v>
      </c>
      <c r="EU821" s="2123">
        <v>241.99</v>
      </c>
      <c r="EV821" s="2123">
        <v>241.99</v>
      </c>
      <c r="EW821" s="2123">
        <v>236.7</v>
      </c>
      <c r="EX821" s="2123">
        <v>236.7</v>
      </c>
      <c r="EY821" s="2129">
        <f t="shared" si="51"/>
        <v>239.345</v>
      </c>
      <c r="EZ821" s="2129">
        <f t="shared" si="51"/>
        <v>239.345</v>
      </c>
      <c r="FA821" s="2123">
        <v>240.16</v>
      </c>
      <c r="FB821" s="2123">
        <v>240.16</v>
      </c>
      <c r="FE821" s="2123">
        <v>48.04</v>
      </c>
      <c r="FF821" s="2123">
        <v>48.04</v>
      </c>
      <c r="FG821" s="2123">
        <v>203.81</v>
      </c>
      <c r="FH821" s="2123">
        <v>203.81</v>
      </c>
      <c r="FI821" s="2123">
        <v>203.81</v>
      </c>
      <c r="FJ821" s="2123">
        <v>205.37</v>
      </c>
      <c r="FK821" s="2123">
        <v>203.35</v>
      </c>
      <c r="FL821" s="2123">
        <v>203.35</v>
      </c>
      <c r="FM821" s="2123">
        <v>204.11</v>
      </c>
      <c r="FN821" s="2123">
        <v>204.11</v>
      </c>
      <c r="FQ821" s="2123">
        <v>108.52</v>
      </c>
      <c r="FR821" s="2123">
        <v>108.52</v>
      </c>
      <c r="FS821" s="2123">
        <v>217.3</v>
      </c>
      <c r="FT821" s="2123">
        <v>217.3</v>
      </c>
      <c r="FU821" s="2123">
        <v>217.3</v>
      </c>
      <c r="FV821" s="2123">
        <v>217.3</v>
      </c>
      <c r="FW821" s="2123">
        <v>217.75</v>
      </c>
      <c r="FX821" s="2123">
        <v>217.75</v>
      </c>
      <c r="GC821" s="2123">
        <v>76.69</v>
      </c>
      <c r="GD821" s="2123">
        <v>76.69</v>
      </c>
      <c r="GE821" s="2123">
        <v>172.58</v>
      </c>
      <c r="GF821" s="2123">
        <v>172.58</v>
      </c>
      <c r="GG821" s="2123">
        <v>172.58</v>
      </c>
      <c r="GH821" s="2123">
        <v>172.58</v>
      </c>
      <c r="GI821" s="2123">
        <v>186.59</v>
      </c>
      <c r="GJ821" s="2123">
        <v>186.59</v>
      </c>
      <c r="GK821" s="2123">
        <v>212.4</v>
      </c>
      <c r="GL821" s="2123">
        <v>212.4</v>
      </c>
      <c r="GO821" s="2123">
        <v>41.06</v>
      </c>
      <c r="GP821" s="2123">
        <v>41.06</v>
      </c>
      <c r="GQ821" s="2123">
        <v>35.549999999999997</v>
      </c>
      <c r="GR821" s="2123">
        <v>35.549999999999997</v>
      </c>
      <c r="GS821" s="2123">
        <v>35.549999999999997</v>
      </c>
      <c r="GT821" s="2123">
        <v>34.270000000000003</v>
      </c>
      <c r="GU821" s="2123">
        <v>34.270000000000003</v>
      </c>
      <c r="GV821" s="2123">
        <v>34.54</v>
      </c>
      <c r="GW821" s="2123">
        <v>201.98</v>
      </c>
      <c r="GX821" s="2123">
        <v>201.98</v>
      </c>
      <c r="HA821" s="2123">
        <v>28.74</v>
      </c>
      <c r="HB821" s="2123">
        <v>28.74</v>
      </c>
      <c r="HC821" s="2123">
        <v>22.09</v>
      </c>
      <c r="HD821" s="2123">
        <v>22.09</v>
      </c>
      <c r="HE821" s="2123">
        <v>22.81</v>
      </c>
      <c r="HF821" s="2123">
        <v>22.81</v>
      </c>
      <c r="HG821" s="2123">
        <v>22.81</v>
      </c>
      <c r="HH821" s="2123">
        <v>22.81</v>
      </c>
      <c r="HI821" s="2123">
        <v>22.81</v>
      </c>
      <c r="HJ821" s="2123">
        <v>22.81</v>
      </c>
      <c r="HK821" s="2123">
        <v>22.88</v>
      </c>
      <c r="HL821" s="2123">
        <v>23.08</v>
      </c>
      <c r="HM821" s="2123">
        <v>40.19</v>
      </c>
      <c r="HN821" s="2123">
        <v>40.19</v>
      </c>
      <c r="HO821" s="2123">
        <v>31.17</v>
      </c>
      <c r="HP821" s="2123">
        <v>31.17</v>
      </c>
      <c r="HQ821" s="2123">
        <v>32.200000000000003</v>
      </c>
      <c r="HR821" s="2123">
        <v>32.200000000000003</v>
      </c>
      <c r="HS821" s="2123">
        <v>32.200000000000003</v>
      </c>
      <c r="HT821" s="2123">
        <v>32.200000000000003</v>
      </c>
      <c r="HU821" s="2123">
        <v>32.200000000000003</v>
      </c>
      <c r="HV821" s="2123">
        <v>32.200000000000003</v>
      </c>
      <c r="HW821" s="2123">
        <v>32.24</v>
      </c>
      <c r="HX821" s="2050">
        <v>32.24</v>
      </c>
    </row>
    <row r="822" spans="1:232" s="2123" customFormat="1" ht="14" hidden="1" x14ac:dyDescent="0.3">
      <c r="A822" s="2040"/>
      <c r="B822" s="2127">
        <v>73</v>
      </c>
      <c r="C822" s="2128">
        <v>45.5</v>
      </c>
      <c r="D822" s="2128">
        <v>45.5</v>
      </c>
      <c r="E822" s="2128">
        <v>45.63</v>
      </c>
      <c r="F822" s="2128">
        <v>45.63</v>
      </c>
      <c r="G822" s="2128">
        <v>176.12</v>
      </c>
      <c r="H822" s="2128">
        <v>176.12</v>
      </c>
      <c r="I822" s="2128">
        <v>166.79</v>
      </c>
      <c r="J822" s="2128">
        <v>166.79</v>
      </c>
      <c r="K822" s="2128">
        <v>171.82</v>
      </c>
      <c r="L822" s="2128">
        <v>171.82</v>
      </c>
      <c r="M822" s="2128"/>
      <c r="N822" s="2128"/>
      <c r="O822" s="2128">
        <v>142.53</v>
      </c>
      <c r="P822" s="2128">
        <v>142.53</v>
      </c>
      <c r="Q822" s="2128">
        <v>142.11000000000001</v>
      </c>
      <c r="R822" s="2128">
        <v>142.53</v>
      </c>
      <c r="S822" s="2128">
        <v>262.45999999999998</v>
      </c>
      <c r="T822" s="2128">
        <v>261.93</v>
      </c>
      <c r="U822" s="2128">
        <v>252.84</v>
      </c>
      <c r="V822" s="2128">
        <v>252.84</v>
      </c>
      <c r="W822" s="2128">
        <v>261.93</v>
      </c>
      <c r="X822" s="2128">
        <v>261.93</v>
      </c>
      <c r="Y822" s="2128">
        <v>252.84</v>
      </c>
      <c r="Z822" s="2128">
        <v>261.93</v>
      </c>
      <c r="AA822" s="2128">
        <v>261.93</v>
      </c>
      <c r="AB822" s="2128">
        <v>261.93</v>
      </c>
      <c r="AC822" s="2128">
        <v>252.84</v>
      </c>
      <c r="AD822" s="2128">
        <v>252.84</v>
      </c>
      <c r="AE822" s="2128">
        <v>275.27</v>
      </c>
      <c r="AF822" s="2128">
        <v>267.36</v>
      </c>
      <c r="AG822" s="2128">
        <v>275.27</v>
      </c>
      <c r="AH822" s="2128">
        <v>275.27</v>
      </c>
      <c r="AI822" s="2128">
        <v>267.36</v>
      </c>
      <c r="AJ822" s="2128">
        <v>267.36</v>
      </c>
      <c r="AK822" s="2128">
        <v>267.81</v>
      </c>
      <c r="AL822" s="2128">
        <v>267.81</v>
      </c>
      <c r="AM822" s="2128">
        <v>75.260000000000005</v>
      </c>
      <c r="AN822" s="2128">
        <v>72.52</v>
      </c>
      <c r="AO822" s="2128">
        <v>72.52</v>
      </c>
      <c r="AP822" s="2128">
        <v>72.260000000000005</v>
      </c>
      <c r="AQ822" s="2128">
        <v>72.61</v>
      </c>
      <c r="AR822" s="2128">
        <v>72.61</v>
      </c>
      <c r="AS822" s="2128">
        <v>216.25</v>
      </c>
      <c r="AT822" s="2128">
        <v>216.25</v>
      </c>
      <c r="AU822" s="2128">
        <v>216.25</v>
      </c>
      <c r="AV822" s="2128">
        <v>221.13</v>
      </c>
      <c r="AW822" s="2128">
        <v>216.49</v>
      </c>
      <c r="AX822" s="2128">
        <v>216.49</v>
      </c>
      <c r="AY822" s="2128">
        <v>216.62</v>
      </c>
      <c r="AZ822" s="2128">
        <v>216.62</v>
      </c>
      <c r="BA822" s="2123">
        <v>94.4</v>
      </c>
      <c r="BB822" s="2123">
        <v>94.4</v>
      </c>
      <c r="BC822" s="2123">
        <v>23.89</v>
      </c>
      <c r="BD822" s="2123">
        <v>24.08</v>
      </c>
      <c r="BE822" s="2123">
        <v>26.95</v>
      </c>
      <c r="BF822" s="2123">
        <v>26.95</v>
      </c>
      <c r="BG822" s="2123">
        <v>23.86</v>
      </c>
      <c r="BH822" s="2123">
        <v>23.86</v>
      </c>
      <c r="BI822" s="2123">
        <v>23.68</v>
      </c>
      <c r="BJ822" s="2123">
        <v>23.68</v>
      </c>
      <c r="BK822" s="2123">
        <v>23.68</v>
      </c>
      <c r="BL822" s="2123">
        <v>23.68</v>
      </c>
      <c r="BM822" s="2123">
        <v>54.93</v>
      </c>
      <c r="BN822" s="2123">
        <v>54.93</v>
      </c>
      <c r="BO822" s="2123">
        <v>171.94</v>
      </c>
      <c r="BP822" s="2123">
        <v>171.94</v>
      </c>
      <c r="BQ822" s="2123">
        <v>171.94</v>
      </c>
      <c r="BR822" s="2123">
        <v>171.94</v>
      </c>
      <c r="BS822" s="2123">
        <v>221.52</v>
      </c>
      <c r="BT822" s="2123">
        <v>221.52</v>
      </c>
      <c r="BU822" s="2123">
        <v>221.52</v>
      </c>
      <c r="BV822" s="2123">
        <v>221.52</v>
      </c>
      <c r="BW822" s="2123">
        <v>221.52</v>
      </c>
      <c r="BX822" s="2123">
        <v>221.52</v>
      </c>
      <c r="BY822" s="2123">
        <v>49.88</v>
      </c>
      <c r="BZ822" s="2123">
        <v>49.88</v>
      </c>
      <c r="CA822" s="2123">
        <v>164.59</v>
      </c>
      <c r="CB822" s="2123">
        <v>164.59</v>
      </c>
      <c r="CC822" s="2123">
        <v>167.01</v>
      </c>
      <c r="CD822" s="2123">
        <v>167.01</v>
      </c>
      <c r="CE822" s="2123">
        <v>218.35</v>
      </c>
      <c r="CF822" s="2123">
        <v>218.35</v>
      </c>
      <c r="CK822" s="2123">
        <v>124.27</v>
      </c>
      <c r="CL822" s="2123">
        <v>124.27</v>
      </c>
      <c r="CM822" s="2123">
        <v>250.95</v>
      </c>
      <c r="CN822" s="2123">
        <v>250.95</v>
      </c>
      <c r="CO822" s="2123">
        <v>321.95</v>
      </c>
      <c r="CP822" s="2123">
        <v>321.95</v>
      </c>
      <c r="CQ822" s="2123">
        <v>321.95</v>
      </c>
      <c r="CR822" s="2123">
        <v>321.95</v>
      </c>
      <c r="CW822" s="2123">
        <v>115.93</v>
      </c>
      <c r="CX822" s="2123">
        <v>115.93</v>
      </c>
      <c r="CY822" s="2123">
        <v>242.74</v>
      </c>
      <c r="CZ822" s="2123">
        <v>242.74</v>
      </c>
      <c r="DA822" s="2123">
        <v>242.74</v>
      </c>
      <c r="DB822" s="2123">
        <v>242.74</v>
      </c>
      <c r="DC822" s="2123">
        <v>311.77999999999997</v>
      </c>
      <c r="DD822" s="2123">
        <v>311.77999999999997</v>
      </c>
      <c r="DE822" s="2123">
        <v>311.77999999999997</v>
      </c>
      <c r="DF822" s="2123">
        <v>311.77999999999997</v>
      </c>
      <c r="DI822" s="2123">
        <v>30.64</v>
      </c>
      <c r="DJ822" s="2123">
        <v>30.64</v>
      </c>
      <c r="DK822" s="2123">
        <v>30.64</v>
      </c>
      <c r="DL822" s="2123">
        <v>30.64</v>
      </c>
      <c r="DM822" s="2123">
        <v>30.64</v>
      </c>
      <c r="DN822" s="2123">
        <v>30.64</v>
      </c>
      <c r="DU822" s="2123">
        <v>13.64</v>
      </c>
      <c r="DV822" s="2123">
        <v>13.64</v>
      </c>
      <c r="DW822" s="2123">
        <v>13.07</v>
      </c>
      <c r="DX822" s="2123">
        <v>13.07</v>
      </c>
      <c r="DY822" s="2123">
        <v>13.07</v>
      </c>
      <c r="DZ822" s="2123">
        <v>13.07</v>
      </c>
      <c r="EG822" s="2123">
        <v>14.64</v>
      </c>
      <c r="EH822" s="2123">
        <v>14.81</v>
      </c>
      <c r="EI822" s="2123">
        <v>11.81</v>
      </c>
      <c r="EJ822" s="2123">
        <v>11.81</v>
      </c>
      <c r="EK822" s="2123">
        <v>11.8</v>
      </c>
      <c r="EL822" s="2123">
        <v>11.8</v>
      </c>
      <c r="EM822" s="2123">
        <v>12.4</v>
      </c>
      <c r="EN822" s="2123">
        <v>12.4</v>
      </c>
      <c r="EO822" s="2123">
        <v>11.77</v>
      </c>
      <c r="EP822" s="2123">
        <v>11.77</v>
      </c>
      <c r="EQ822" s="2123">
        <v>12.11</v>
      </c>
      <c r="ER822" s="2123">
        <v>11.98</v>
      </c>
      <c r="ES822" s="2123">
        <v>56.07</v>
      </c>
      <c r="ET822" s="2123">
        <v>56.07</v>
      </c>
      <c r="EU822" s="2123">
        <v>243.2</v>
      </c>
      <c r="EV822" s="2123">
        <v>243.2</v>
      </c>
      <c r="EW822" s="2123">
        <v>237.91</v>
      </c>
      <c r="EX822" s="2123">
        <v>237.91</v>
      </c>
      <c r="EY822" s="2129">
        <f t="shared" si="51"/>
        <v>240.55500000000001</v>
      </c>
      <c r="EZ822" s="2129">
        <f t="shared" si="51"/>
        <v>240.55500000000001</v>
      </c>
      <c r="FA822" s="2123">
        <v>241.32</v>
      </c>
      <c r="FB822" s="2123">
        <v>241.32</v>
      </c>
      <c r="FE822" s="2123">
        <v>48.22</v>
      </c>
      <c r="FF822" s="2123">
        <v>48.22</v>
      </c>
      <c r="FG822" s="2123">
        <v>204.86</v>
      </c>
      <c r="FH822" s="2123">
        <v>204.86</v>
      </c>
      <c r="FI822" s="2123">
        <v>204.86</v>
      </c>
      <c r="FJ822" s="2123">
        <v>206.38</v>
      </c>
      <c r="FK822" s="2123">
        <v>204.4</v>
      </c>
      <c r="FL822" s="2123">
        <v>204.4</v>
      </c>
      <c r="FM822" s="2123">
        <v>205.15</v>
      </c>
      <c r="FN822" s="2123">
        <v>205.15</v>
      </c>
      <c r="FQ822" s="2123">
        <v>108.91</v>
      </c>
      <c r="FR822" s="2123">
        <v>108.91</v>
      </c>
      <c r="FS822" s="2123">
        <v>218.21</v>
      </c>
      <c r="FT822" s="2123">
        <v>218.21</v>
      </c>
      <c r="FU822" s="2123">
        <v>218.21</v>
      </c>
      <c r="FV822" s="2123">
        <v>218.21</v>
      </c>
      <c r="FW822" s="2123">
        <v>218.65</v>
      </c>
      <c r="FX822" s="2123">
        <v>218.65</v>
      </c>
      <c r="GC822" s="2123">
        <v>76.959999999999994</v>
      </c>
      <c r="GD822" s="2123">
        <v>76.959999999999994</v>
      </c>
      <c r="GE822" s="2123">
        <v>173.14</v>
      </c>
      <c r="GF822" s="2123">
        <v>173.14</v>
      </c>
      <c r="GG822" s="2123">
        <v>173.14</v>
      </c>
      <c r="GH822" s="2123">
        <v>173.14</v>
      </c>
      <c r="GI822" s="2123">
        <v>187.83</v>
      </c>
      <c r="GJ822" s="2123">
        <v>187.83</v>
      </c>
      <c r="GK822" s="2123">
        <v>213.41</v>
      </c>
      <c r="GL822" s="2123">
        <v>213.41</v>
      </c>
      <c r="GO822" s="2123">
        <v>41.21</v>
      </c>
      <c r="GP822" s="2123">
        <v>41.21</v>
      </c>
      <c r="GQ822" s="2123">
        <v>35.74</v>
      </c>
      <c r="GR822" s="2123">
        <v>35.74</v>
      </c>
      <c r="GS822" s="2123">
        <v>35.74</v>
      </c>
      <c r="GT822" s="2123">
        <v>34.46</v>
      </c>
      <c r="GU822" s="2123">
        <v>34.46</v>
      </c>
      <c r="GV822" s="2123">
        <v>34.72</v>
      </c>
      <c r="GW822" s="2123">
        <v>203.03</v>
      </c>
      <c r="GX822" s="2123">
        <v>203.03</v>
      </c>
      <c r="HA822" s="2123">
        <v>28.85</v>
      </c>
      <c r="HB822" s="2123">
        <v>28.85</v>
      </c>
      <c r="HC822" s="2123">
        <v>22.24</v>
      </c>
      <c r="HD822" s="2123">
        <v>22.24</v>
      </c>
      <c r="HE822" s="2123">
        <v>22.95</v>
      </c>
      <c r="HF822" s="2123">
        <v>22.95</v>
      </c>
      <c r="HG822" s="2123">
        <v>22.95</v>
      </c>
      <c r="HH822" s="2123">
        <v>22.95</v>
      </c>
      <c r="HI822" s="2123">
        <v>22.95</v>
      </c>
      <c r="HJ822" s="2123">
        <v>22.95</v>
      </c>
      <c r="HK822" s="2123">
        <v>23.02</v>
      </c>
      <c r="HL822" s="2123">
        <v>23.21</v>
      </c>
      <c r="HM822" s="2123">
        <v>40.33</v>
      </c>
      <c r="HN822" s="2123">
        <v>40.33</v>
      </c>
      <c r="HO822" s="2123">
        <v>31.37</v>
      </c>
      <c r="HP822" s="2123">
        <v>31.37</v>
      </c>
      <c r="HQ822" s="2123">
        <v>32.35</v>
      </c>
      <c r="HR822" s="2123">
        <v>32.35</v>
      </c>
      <c r="HS822" s="2123">
        <v>32.35</v>
      </c>
      <c r="HT822" s="2123">
        <v>32.35</v>
      </c>
      <c r="HU822" s="2123">
        <v>32.35</v>
      </c>
      <c r="HV822" s="2123">
        <v>32.35</v>
      </c>
      <c r="HW822" s="2123">
        <v>32.43</v>
      </c>
      <c r="HX822" s="2050">
        <v>32.43</v>
      </c>
    </row>
    <row r="823" spans="1:232" s="2123" customFormat="1" ht="14" hidden="1" x14ac:dyDescent="0.3">
      <c r="A823" s="2040"/>
      <c r="B823" s="2127">
        <v>74</v>
      </c>
      <c r="C823" s="2128">
        <v>45.66</v>
      </c>
      <c r="D823" s="2128">
        <v>45.66</v>
      </c>
      <c r="E823" s="2128">
        <v>45.79</v>
      </c>
      <c r="F823" s="2128">
        <v>45.79</v>
      </c>
      <c r="G823" s="2128">
        <v>176.98</v>
      </c>
      <c r="H823" s="2128">
        <v>176.98</v>
      </c>
      <c r="I823" s="2128">
        <v>167.58</v>
      </c>
      <c r="J823" s="2128">
        <v>167.58</v>
      </c>
      <c r="K823" s="2128">
        <v>172.52</v>
      </c>
      <c r="L823" s="2128">
        <v>172.52</v>
      </c>
      <c r="M823" s="2128"/>
      <c r="N823" s="2128"/>
      <c r="O823" s="2128">
        <v>142.99</v>
      </c>
      <c r="P823" s="2128">
        <v>142.99</v>
      </c>
      <c r="Q823" s="2128">
        <v>142.56</v>
      </c>
      <c r="R823" s="2128">
        <v>142.99</v>
      </c>
      <c r="S823" s="2128">
        <v>263.66999999999996</v>
      </c>
      <c r="T823" s="2128">
        <v>263.23</v>
      </c>
      <c r="U823" s="2128">
        <v>254.09</v>
      </c>
      <c r="V823" s="2128">
        <v>254.09</v>
      </c>
      <c r="W823" s="2128">
        <v>263.23</v>
      </c>
      <c r="X823" s="2128">
        <v>263.23</v>
      </c>
      <c r="Y823" s="2128">
        <v>254.09</v>
      </c>
      <c r="Z823" s="2128">
        <v>263.23</v>
      </c>
      <c r="AA823" s="2128">
        <v>263.23</v>
      </c>
      <c r="AB823" s="2128">
        <v>263.23</v>
      </c>
      <c r="AC823" s="2128">
        <v>254.09</v>
      </c>
      <c r="AD823" s="2128">
        <v>254.09</v>
      </c>
      <c r="AE823" s="2128">
        <v>276.45</v>
      </c>
      <c r="AF823" s="2128">
        <v>268.5</v>
      </c>
      <c r="AG823" s="2128">
        <v>276.45</v>
      </c>
      <c r="AH823" s="2128">
        <v>276.45</v>
      </c>
      <c r="AI823" s="2128">
        <v>268.5</v>
      </c>
      <c r="AJ823" s="2128">
        <v>268.5</v>
      </c>
      <c r="AK823" s="2128">
        <v>268.94</v>
      </c>
      <c r="AL823" s="2128">
        <v>268.94</v>
      </c>
      <c r="AM823" s="2128">
        <v>75.52</v>
      </c>
      <c r="AN823" s="2128">
        <v>72.77</v>
      </c>
      <c r="AO823" s="2128">
        <v>72.77</v>
      </c>
      <c r="AP823" s="2128">
        <v>72.52</v>
      </c>
      <c r="AQ823" s="2128">
        <v>72.86</v>
      </c>
      <c r="AR823" s="2128">
        <v>72.86</v>
      </c>
      <c r="AS823" s="2128">
        <v>217.22</v>
      </c>
      <c r="AT823" s="2128">
        <v>217.22</v>
      </c>
      <c r="AU823" s="2128">
        <v>217.22</v>
      </c>
      <c r="AV823" s="2128">
        <v>222.11</v>
      </c>
      <c r="AW823" s="2128">
        <v>217.46</v>
      </c>
      <c r="AX823" s="2128">
        <v>217.46</v>
      </c>
      <c r="AY823" s="2128">
        <v>217.59</v>
      </c>
      <c r="AZ823" s="2128">
        <v>217.59</v>
      </c>
      <c r="BA823" s="2123">
        <v>94.71</v>
      </c>
      <c r="BB823" s="2123">
        <v>94.71</v>
      </c>
      <c r="BC823" s="2123">
        <v>24.02</v>
      </c>
      <c r="BD823" s="2123">
        <v>24.21</v>
      </c>
      <c r="BE823" s="2123">
        <v>27.02</v>
      </c>
      <c r="BF823" s="2123">
        <v>27.02</v>
      </c>
      <c r="BG823" s="2123">
        <v>23.96</v>
      </c>
      <c r="BH823" s="2123">
        <v>23.96</v>
      </c>
      <c r="BI823" s="2123">
        <v>23.76</v>
      </c>
      <c r="BJ823" s="2123">
        <v>23.76</v>
      </c>
      <c r="BK823" s="2123">
        <v>23.76</v>
      </c>
      <c r="BL823" s="2123">
        <v>23.76</v>
      </c>
      <c r="BM823" s="2123">
        <v>55.17</v>
      </c>
      <c r="BN823" s="2123">
        <v>55.17</v>
      </c>
      <c r="BO823" s="2123">
        <v>172.8</v>
      </c>
      <c r="BP823" s="2123">
        <v>172.8</v>
      </c>
      <c r="BQ823" s="2123">
        <v>172.8</v>
      </c>
      <c r="BR823" s="2123">
        <v>172.8</v>
      </c>
      <c r="BS823" s="2123">
        <v>222.84</v>
      </c>
      <c r="BT823" s="2123">
        <v>222.84</v>
      </c>
      <c r="BU823" s="2123">
        <v>222.84</v>
      </c>
      <c r="BV823" s="2123">
        <v>222.84</v>
      </c>
      <c r="BW823" s="2123">
        <v>222.84</v>
      </c>
      <c r="BX823" s="2123">
        <v>222.84</v>
      </c>
      <c r="BY823" s="2123">
        <v>50.04</v>
      </c>
      <c r="BZ823" s="2123">
        <v>50.04</v>
      </c>
      <c r="CA823" s="2123">
        <v>165.21</v>
      </c>
      <c r="CB823" s="2123">
        <v>165.21</v>
      </c>
      <c r="CC823" s="2123">
        <v>167.65</v>
      </c>
      <c r="CD823" s="2123">
        <v>167.65</v>
      </c>
      <c r="CE823" s="2123">
        <v>219.34</v>
      </c>
      <c r="CF823" s="2123">
        <v>219.34</v>
      </c>
      <c r="CK823" s="2123">
        <v>124.66</v>
      </c>
      <c r="CL823" s="2123">
        <v>124.66</v>
      </c>
      <c r="CM823" s="2123">
        <v>251.87</v>
      </c>
      <c r="CN823" s="2123">
        <v>251.87</v>
      </c>
      <c r="CO823" s="2123">
        <v>323.44</v>
      </c>
      <c r="CP823" s="2123">
        <v>323.44</v>
      </c>
      <c r="CQ823" s="2123">
        <v>323.44</v>
      </c>
      <c r="CR823" s="2123">
        <v>323.44</v>
      </c>
      <c r="CW823" s="2123">
        <v>116.36</v>
      </c>
      <c r="CX823" s="2123">
        <v>116.36</v>
      </c>
      <c r="CY823" s="2123">
        <v>243.53</v>
      </c>
      <c r="CZ823" s="2123">
        <v>243.53</v>
      </c>
      <c r="DA823" s="2123">
        <v>243.53</v>
      </c>
      <c r="DB823" s="2123">
        <v>243.53</v>
      </c>
      <c r="DC823" s="2123">
        <v>313.06</v>
      </c>
      <c r="DD823" s="2123">
        <v>313.06</v>
      </c>
      <c r="DE823" s="2123">
        <v>313.06</v>
      </c>
      <c r="DF823" s="2123">
        <v>313.06</v>
      </c>
      <c r="DI823" s="2123">
        <v>30.76</v>
      </c>
      <c r="DJ823" s="2123">
        <v>30.76</v>
      </c>
      <c r="DK823" s="2123">
        <v>30.76</v>
      </c>
      <c r="DL823" s="2123">
        <v>30.76</v>
      </c>
      <c r="DM823" s="2123">
        <v>30.76</v>
      </c>
      <c r="DN823" s="2123">
        <v>30.76</v>
      </c>
      <c r="DU823" s="2123">
        <v>13.68</v>
      </c>
      <c r="DV823" s="2123">
        <v>13.68</v>
      </c>
      <c r="DW823" s="2123">
        <v>13.14</v>
      </c>
      <c r="DX823" s="2123">
        <v>13.14</v>
      </c>
      <c r="DY823" s="2123">
        <v>13.14</v>
      </c>
      <c r="DZ823" s="2123">
        <v>13.14</v>
      </c>
      <c r="EG823" s="2123">
        <v>14.69</v>
      </c>
      <c r="EH823" s="2123">
        <v>14.86</v>
      </c>
      <c r="EI823" s="2123">
        <v>11.87</v>
      </c>
      <c r="EJ823" s="2123">
        <v>11.87</v>
      </c>
      <c r="EK823" s="2123">
        <v>11.87</v>
      </c>
      <c r="EL823" s="2123">
        <v>11.87</v>
      </c>
      <c r="EM823" s="2123">
        <v>12.47</v>
      </c>
      <c r="EN823" s="2123">
        <v>12.47</v>
      </c>
      <c r="EO823" s="2123">
        <v>11.84</v>
      </c>
      <c r="EP823" s="2123">
        <v>11.84</v>
      </c>
      <c r="EQ823" s="2123">
        <v>12.18</v>
      </c>
      <c r="ER823" s="2123">
        <v>12.05</v>
      </c>
      <c r="ES823" s="2123">
        <v>56.27</v>
      </c>
      <c r="ET823" s="2123">
        <v>56.27</v>
      </c>
      <c r="EU823" s="2123">
        <v>244.39</v>
      </c>
      <c r="EV823" s="2123">
        <v>244.39</v>
      </c>
      <c r="EW823" s="2123">
        <v>239.08</v>
      </c>
      <c r="EX823" s="2123">
        <v>239.08</v>
      </c>
      <c r="EY823" s="2129">
        <f t="shared" si="51"/>
        <v>241.73500000000001</v>
      </c>
      <c r="EZ823" s="2129">
        <f t="shared" si="51"/>
        <v>241.73500000000001</v>
      </c>
      <c r="FA823" s="2123">
        <v>242.46</v>
      </c>
      <c r="FB823" s="2123">
        <v>242.46</v>
      </c>
      <c r="FE823" s="2123">
        <v>48.38</v>
      </c>
      <c r="FF823" s="2123">
        <v>48.38</v>
      </c>
      <c r="FG823" s="2123">
        <v>205.88</v>
      </c>
      <c r="FH823" s="2123">
        <v>205.88</v>
      </c>
      <c r="FI823" s="2123">
        <v>205.88</v>
      </c>
      <c r="FJ823" s="2123">
        <v>207.36</v>
      </c>
      <c r="FK823" s="2123">
        <v>205.42</v>
      </c>
      <c r="FL823" s="2123">
        <v>205.42</v>
      </c>
      <c r="FM823" s="2123">
        <v>206.16</v>
      </c>
      <c r="FN823" s="2123">
        <v>206.16</v>
      </c>
      <c r="FQ823" s="2123">
        <v>109.3</v>
      </c>
      <c r="FR823" s="2123">
        <v>109.3</v>
      </c>
      <c r="FS823" s="2123">
        <v>219.1</v>
      </c>
      <c r="FT823" s="2123">
        <v>219.1</v>
      </c>
      <c r="FU823" s="2123">
        <v>219.1</v>
      </c>
      <c r="FV823" s="2123">
        <v>219.1</v>
      </c>
      <c r="FW823" s="2123">
        <v>219.53</v>
      </c>
      <c r="FX823" s="2123">
        <v>219.53</v>
      </c>
      <c r="GC823" s="2123">
        <v>77.23</v>
      </c>
      <c r="GD823" s="2123">
        <v>77.23</v>
      </c>
      <c r="GE823" s="2123">
        <v>173.69</v>
      </c>
      <c r="GF823" s="2123">
        <v>173.69</v>
      </c>
      <c r="GG823" s="2123">
        <v>173.69</v>
      </c>
      <c r="GH823" s="2123">
        <v>173.69</v>
      </c>
      <c r="GI823" s="2123">
        <v>189.03</v>
      </c>
      <c r="GJ823" s="2123">
        <v>189.03</v>
      </c>
      <c r="GK823" s="2123">
        <v>214.41</v>
      </c>
      <c r="GL823" s="2123">
        <v>214.41</v>
      </c>
      <c r="GO823" s="2123">
        <v>41.35</v>
      </c>
      <c r="GP823" s="2123">
        <v>41.35</v>
      </c>
      <c r="GQ823" s="2123">
        <v>35.93</v>
      </c>
      <c r="GR823" s="2123">
        <v>35.93</v>
      </c>
      <c r="GS823" s="2123">
        <v>35.93</v>
      </c>
      <c r="GT823" s="2123">
        <v>34.64</v>
      </c>
      <c r="GU823" s="2123">
        <v>34.64</v>
      </c>
      <c r="GV823" s="2123">
        <v>34.9</v>
      </c>
      <c r="GW823" s="2123">
        <v>204.04</v>
      </c>
      <c r="GX823" s="2123">
        <v>204.04</v>
      </c>
      <c r="HA823" s="2123">
        <v>28.95</v>
      </c>
      <c r="HB823" s="2123">
        <v>28.95</v>
      </c>
      <c r="HC823" s="2123">
        <v>22.39</v>
      </c>
      <c r="HD823" s="2123">
        <v>22.39</v>
      </c>
      <c r="HE823" s="2123">
        <v>23.04</v>
      </c>
      <c r="HF823" s="2123">
        <v>23.04</v>
      </c>
      <c r="HG823" s="2123">
        <v>23.04</v>
      </c>
      <c r="HH823" s="2123">
        <v>23.04</v>
      </c>
      <c r="HI823" s="2123">
        <v>23.04</v>
      </c>
      <c r="HJ823" s="2123">
        <v>23.04</v>
      </c>
      <c r="HK823" s="2123">
        <v>23.17</v>
      </c>
      <c r="HL823" s="2123">
        <v>23.35</v>
      </c>
      <c r="HM823" s="2123">
        <v>40.44</v>
      </c>
      <c r="HN823" s="2123">
        <v>40.44</v>
      </c>
      <c r="HO823" s="2123">
        <v>31.52</v>
      </c>
      <c r="HP823" s="2123">
        <v>31.52</v>
      </c>
      <c r="HQ823" s="2123">
        <v>32.49</v>
      </c>
      <c r="HR823" s="2123">
        <v>32.49</v>
      </c>
      <c r="HS823" s="2123">
        <v>32.49</v>
      </c>
      <c r="HT823" s="2123">
        <v>32.49</v>
      </c>
      <c r="HU823" s="2123">
        <v>32.49</v>
      </c>
      <c r="HV823" s="2123">
        <v>32.49</v>
      </c>
      <c r="HW823" s="2123">
        <v>32.58</v>
      </c>
      <c r="HX823" s="2050">
        <v>32.58</v>
      </c>
    </row>
    <row r="824" spans="1:232" s="2123" customFormat="1" ht="14" hidden="1" x14ac:dyDescent="0.3">
      <c r="A824" s="2040"/>
      <c r="B824" s="2127">
        <v>75</v>
      </c>
      <c r="C824" s="2128">
        <v>45.83</v>
      </c>
      <c r="D824" s="2128">
        <v>45.83</v>
      </c>
      <c r="E824" s="2128">
        <v>45.96</v>
      </c>
      <c r="F824" s="2128">
        <v>45.96</v>
      </c>
      <c r="G824" s="2128">
        <v>177.73</v>
      </c>
      <c r="H824" s="2128">
        <v>177.73</v>
      </c>
      <c r="I824" s="2128">
        <v>168.44</v>
      </c>
      <c r="J824" s="2128">
        <v>168.44</v>
      </c>
      <c r="K824" s="2128">
        <v>173.27</v>
      </c>
      <c r="L824" s="2128">
        <v>173.27</v>
      </c>
      <c r="M824" s="2128"/>
      <c r="N824" s="2128"/>
      <c r="O824" s="2128">
        <v>143.47</v>
      </c>
      <c r="P824" s="2128">
        <v>143.47</v>
      </c>
      <c r="Q824" s="2128">
        <v>143.03</v>
      </c>
      <c r="R824" s="2128">
        <v>143.47</v>
      </c>
      <c r="S824" s="2128">
        <v>264.92999999999995</v>
      </c>
      <c r="T824" s="2128">
        <v>264.5</v>
      </c>
      <c r="U824" s="2128">
        <v>255.32</v>
      </c>
      <c r="V824" s="2128">
        <v>255.32</v>
      </c>
      <c r="W824" s="2128">
        <v>264.5</v>
      </c>
      <c r="X824" s="2128">
        <v>264.5</v>
      </c>
      <c r="Y824" s="2128">
        <v>255.32</v>
      </c>
      <c r="Z824" s="2128">
        <v>264.5</v>
      </c>
      <c r="AA824" s="2128">
        <v>264.5</v>
      </c>
      <c r="AB824" s="2128">
        <v>264.5</v>
      </c>
      <c r="AC824" s="2128">
        <v>255.32</v>
      </c>
      <c r="AD824" s="2128">
        <v>255.32</v>
      </c>
      <c r="AE824" s="2128">
        <v>277.58999999999997</v>
      </c>
      <c r="AF824" s="2128">
        <v>269.61</v>
      </c>
      <c r="AG824" s="2128">
        <v>277.58999999999997</v>
      </c>
      <c r="AH824" s="2128">
        <v>277.58999999999997</v>
      </c>
      <c r="AI824" s="2128">
        <v>269.61</v>
      </c>
      <c r="AJ824" s="2128">
        <v>269.61</v>
      </c>
      <c r="AK824" s="2128">
        <v>270.05</v>
      </c>
      <c r="AL824" s="2128">
        <v>270.05</v>
      </c>
      <c r="AM824" s="2128">
        <v>75.77</v>
      </c>
      <c r="AN824" s="2128">
        <v>73.02</v>
      </c>
      <c r="AO824" s="2128">
        <v>73.02</v>
      </c>
      <c r="AP824" s="2128">
        <v>72.84</v>
      </c>
      <c r="AQ824" s="2128">
        <v>73.17</v>
      </c>
      <c r="AR824" s="2128">
        <v>73.17</v>
      </c>
      <c r="AS824" s="2128">
        <v>218.45</v>
      </c>
      <c r="AT824" s="2128">
        <v>218.45</v>
      </c>
      <c r="AU824" s="2128">
        <v>218.45</v>
      </c>
      <c r="AV824" s="2128">
        <v>223.35</v>
      </c>
      <c r="AW824" s="2128">
        <v>218.68</v>
      </c>
      <c r="AX824" s="2128">
        <v>218.68</v>
      </c>
      <c r="AY824" s="2128">
        <v>218.8</v>
      </c>
      <c r="AZ824" s="2128">
        <v>218.8</v>
      </c>
      <c r="BA824" s="2123">
        <v>95.36</v>
      </c>
      <c r="BB824" s="2123">
        <v>95.36</v>
      </c>
      <c r="BC824" s="2123">
        <v>24.14</v>
      </c>
      <c r="BD824" s="2123">
        <v>24.33</v>
      </c>
      <c r="BE824" s="2123">
        <v>27.17</v>
      </c>
      <c r="BF824" s="2123">
        <v>27.17</v>
      </c>
      <c r="BG824" s="2123">
        <v>24.15</v>
      </c>
      <c r="BH824" s="2123">
        <v>24.15</v>
      </c>
      <c r="BI824" s="2123">
        <v>23.96</v>
      </c>
      <c r="BJ824" s="2123">
        <v>23.96</v>
      </c>
      <c r="BK824" s="2123">
        <v>23.96</v>
      </c>
      <c r="BL824" s="2123">
        <v>23.96</v>
      </c>
      <c r="BM824" s="2123">
        <v>55.39</v>
      </c>
      <c r="BN824" s="2123">
        <v>55.39</v>
      </c>
      <c r="BO824" s="2123">
        <v>173.62</v>
      </c>
      <c r="BP824" s="2123">
        <v>173.62</v>
      </c>
      <c r="BQ824" s="2123">
        <v>173.62</v>
      </c>
      <c r="BR824" s="2123">
        <v>173.62</v>
      </c>
      <c r="BS824" s="2123">
        <v>224.1</v>
      </c>
      <c r="BT824" s="2123">
        <v>224.1</v>
      </c>
      <c r="BU824" s="2123">
        <v>224.1</v>
      </c>
      <c r="BV824" s="2123">
        <v>224.1</v>
      </c>
      <c r="BW824" s="2123">
        <v>224.1</v>
      </c>
      <c r="BX824" s="2123">
        <v>224.1</v>
      </c>
      <c r="BY824" s="2123">
        <v>50.25</v>
      </c>
      <c r="BZ824" s="2123">
        <v>50.25</v>
      </c>
      <c r="CA824" s="2123">
        <v>166.04</v>
      </c>
      <c r="CB824" s="2123">
        <v>166.04</v>
      </c>
      <c r="CC824" s="2123">
        <v>168.5</v>
      </c>
      <c r="CD824" s="2123">
        <v>168.5</v>
      </c>
      <c r="CE824" s="2123">
        <v>220.65</v>
      </c>
      <c r="CF824" s="2123">
        <v>220.65</v>
      </c>
      <c r="CK824" s="2123">
        <v>125.04</v>
      </c>
      <c r="CL824" s="2123">
        <v>125.04</v>
      </c>
      <c r="CM824" s="2123">
        <v>252.78</v>
      </c>
      <c r="CN824" s="2123">
        <v>252.78</v>
      </c>
      <c r="CO824" s="2123">
        <v>324.92</v>
      </c>
      <c r="CP824" s="2123">
        <v>324.92</v>
      </c>
      <c r="CQ824" s="2123">
        <v>324.92</v>
      </c>
      <c r="CR824" s="2123">
        <v>324.92</v>
      </c>
      <c r="CW824" s="2123">
        <v>116.82</v>
      </c>
      <c r="CX824" s="2123">
        <v>116.82</v>
      </c>
      <c r="CY824" s="2123">
        <v>244.36</v>
      </c>
      <c r="CZ824" s="2123">
        <v>244.36</v>
      </c>
      <c r="DA824" s="2123">
        <v>244.36</v>
      </c>
      <c r="DB824" s="2123">
        <v>244.36</v>
      </c>
      <c r="DC824" s="2123">
        <v>314.39</v>
      </c>
      <c r="DD824" s="2123">
        <v>314.39</v>
      </c>
      <c r="DE824" s="2123">
        <v>314.39</v>
      </c>
      <c r="DF824" s="2123">
        <v>314.39</v>
      </c>
      <c r="DI824" s="2123">
        <v>30.89</v>
      </c>
      <c r="DJ824" s="2123">
        <v>30.89</v>
      </c>
      <c r="DK824" s="2123">
        <v>30.89</v>
      </c>
      <c r="DL824" s="2123">
        <v>30.89</v>
      </c>
      <c r="DM824" s="2123">
        <v>30.89</v>
      </c>
      <c r="DN824" s="2123">
        <v>30.89</v>
      </c>
      <c r="DU824" s="2123">
        <v>13.75</v>
      </c>
      <c r="DV824" s="2123">
        <v>13.75</v>
      </c>
      <c r="DW824" s="2123">
        <v>13.17</v>
      </c>
      <c r="DX824" s="2123">
        <v>13.17</v>
      </c>
      <c r="DY824" s="2123">
        <v>13.17</v>
      </c>
      <c r="DZ824" s="2123">
        <v>13.17</v>
      </c>
      <c r="EG824" s="2123">
        <v>14.74</v>
      </c>
      <c r="EH824" s="2123">
        <v>14.91</v>
      </c>
      <c r="EI824" s="2123">
        <v>11.94</v>
      </c>
      <c r="EJ824" s="2123">
        <v>11.94</v>
      </c>
      <c r="EK824" s="2123">
        <v>11.94</v>
      </c>
      <c r="EL824" s="2123">
        <v>11.94</v>
      </c>
      <c r="EM824" s="2123">
        <v>12.53</v>
      </c>
      <c r="EN824" s="2123">
        <v>12.53</v>
      </c>
      <c r="EO824" s="2123">
        <v>11.9</v>
      </c>
      <c r="EP824" s="2123">
        <v>11.9</v>
      </c>
      <c r="EQ824" s="2123">
        <v>12.24</v>
      </c>
      <c r="ER824" s="2123">
        <v>12.1</v>
      </c>
      <c r="ES824" s="2123">
        <v>56.46</v>
      </c>
      <c r="ET824" s="2123">
        <v>56.46</v>
      </c>
      <c r="EU824" s="2123">
        <v>245.55</v>
      </c>
      <c r="EV824" s="2123">
        <v>245.55</v>
      </c>
      <c r="EW824" s="2123">
        <v>240.23</v>
      </c>
      <c r="EX824" s="2123">
        <v>240.23</v>
      </c>
      <c r="EY824" s="2129">
        <f t="shared" si="51"/>
        <v>242.89</v>
      </c>
      <c r="EZ824" s="2129">
        <f t="shared" si="51"/>
        <v>242.89</v>
      </c>
      <c r="FA824" s="2123">
        <v>243.57</v>
      </c>
      <c r="FB824" s="2123">
        <v>243.57</v>
      </c>
      <c r="FE824" s="2123">
        <v>48.55</v>
      </c>
      <c r="FF824" s="2123">
        <v>48.55</v>
      </c>
      <c r="FG824" s="2123">
        <v>206.87</v>
      </c>
      <c r="FH824" s="2123">
        <v>206.87</v>
      </c>
      <c r="FI824" s="2123">
        <v>206.87</v>
      </c>
      <c r="FJ824" s="2123">
        <v>208.33</v>
      </c>
      <c r="FK824" s="2123">
        <v>206.43</v>
      </c>
      <c r="FL824" s="2123">
        <v>206.43</v>
      </c>
      <c r="FM824" s="2123">
        <v>207.14</v>
      </c>
      <c r="FN824" s="2123">
        <v>207.14</v>
      </c>
      <c r="FQ824" s="2123">
        <v>109.67</v>
      </c>
      <c r="FR824" s="2123">
        <v>109.67</v>
      </c>
      <c r="FS824" s="2123">
        <v>219.97</v>
      </c>
      <c r="FT824" s="2123">
        <v>219.97</v>
      </c>
      <c r="FU824" s="2123">
        <v>219.97</v>
      </c>
      <c r="FV824" s="2123">
        <v>219.97</v>
      </c>
      <c r="FW824" s="2123">
        <v>220.39</v>
      </c>
      <c r="FX824" s="2123">
        <v>220.39</v>
      </c>
      <c r="GC824" s="2123">
        <v>77.489999999999995</v>
      </c>
      <c r="GD824" s="2123">
        <v>77.489999999999995</v>
      </c>
      <c r="GE824" s="2123">
        <v>174.23</v>
      </c>
      <c r="GF824" s="2123">
        <v>174.23</v>
      </c>
      <c r="GG824" s="2123">
        <v>174.23</v>
      </c>
      <c r="GH824" s="2123">
        <v>174.23</v>
      </c>
      <c r="GI824" s="2123">
        <v>190.22</v>
      </c>
      <c r="GJ824" s="2123">
        <v>190.22</v>
      </c>
      <c r="GK824" s="2123">
        <v>215.38</v>
      </c>
      <c r="GL824" s="2123">
        <v>215.38</v>
      </c>
      <c r="GO824" s="2123">
        <v>41.49</v>
      </c>
      <c r="GP824" s="2123">
        <v>41.49</v>
      </c>
      <c r="GQ824" s="2123">
        <v>36.15</v>
      </c>
      <c r="GR824" s="2123">
        <v>36.15</v>
      </c>
      <c r="GS824" s="2123">
        <v>36.15</v>
      </c>
      <c r="GT824" s="2123">
        <v>34.86</v>
      </c>
      <c r="GU824" s="2123">
        <v>34.86</v>
      </c>
      <c r="GV824" s="2123">
        <v>35.11</v>
      </c>
      <c r="GW824" s="2123">
        <v>205.27</v>
      </c>
      <c r="GX824" s="2123">
        <v>205.27</v>
      </c>
      <c r="HA824" s="2123">
        <v>29.02</v>
      </c>
      <c r="HB824" s="2123">
        <v>29.02</v>
      </c>
      <c r="HC824" s="2123">
        <v>22.48</v>
      </c>
      <c r="HD824" s="2123">
        <v>22.48</v>
      </c>
      <c r="HE824" s="2123">
        <v>23.13</v>
      </c>
      <c r="HF824" s="2123">
        <v>23.13</v>
      </c>
      <c r="HG824" s="2123">
        <v>23.13</v>
      </c>
      <c r="HH824" s="2123">
        <v>23.13</v>
      </c>
      <c r="HI824" s="2123">
        <v>23.13</v>
      </c>
      <c r="HJ824" s="2123">
        <v>23.13</v>
      </c>
      <c r="HK824" s="2123">
        <v>23.26</v>
      </c>
      <c r="HL824" s="2123">
        <v>23.44</v>
      </c>
      <c r="HM824" s="2123">
        <v>40.549999999999997</v>
      </c>
      <c r="HN824" s="2123">
        <v>40.549999999999997</v>
      </c>
      <c r="HO824" s="2123">
        <v>31.67</v>
      </c>
      <c r="HP824" s="2123">
        <v>31.67</v>
      </c>
      <c r="HQ824" s="2123">
        <v>32.659999999999997</v>
      </c>
      <c r="HR824" s="2123">
        <v>32.659999999999997</v>
      </c>
      <c r="HS824" s="2123">
        <v>32.659999999999997</v>
      </c>
      <c r="HT824" s="2123">
        <v>32.659999999999997</v>
      </c>
      <c r="HU824" s="2123">
        <v>32.659999999999997</v>
      </c>
      <c r="HV824" s="2123">
        <v>32.659999999999997</v>
      </c>
      <c r="HW824" s="2123">
        <v>32.72</v>
      </c>
      <c r="HX824" s="2050">
        <v>32.72</v>
      </c>
    </row>
    <row r="825" spans="1:232" s="2123" customFormat="1" ht="14" hidden="1" x14ac:dyDescent="0.3">
      <c r="A825" s="2040"/>
      <c r="B825" s="2127">
        <v>76</v>
      </c>
      <c r="C825" s="2128">
        <v>45.99</v>
      </c>
      <c r="D825" s="2128">
        <v>45.99</v>
      </c>
      <c r="E825" s="2128">
        <v>46.11</v>
      </c>
      <c r="F825" s="2128">
        <v>46.11</v>
      </c>
      <c r="G825" s="2128">
        <v>178.25</v>
      </c>
      <c r="H825" s="2128">
        <v>178.25</v>
      </c>
      <c r="I825" s="2128">
        <v>169.2</v>
      </c>
      <c r="J825" s="2128">
        <v>169.2</v>
      </c>
      <c r="K825" s="2128">
        <v>173.94</v>
      </c>
      <c r="L825" s="2128">
        <v>173.94</v>
      </c>
      <c r="M825" s="2128"/>
      <c r="N825" s="2128"/>
      <c r="O825" s="2128">
        <v>143.9</v>
      </c>
      <c r="P825" s="2128">
        <v>143.9</v>
      </c>
      <c r="Q825" s="2128">
        <v>143.44999999999999</v>
      </c>
      <c r="R825" s="2128">
        <v>143.91</v>
      </c>
      <c r="S825" s="2128">
        <v>266.06999999999994</v>
      </c>
      <c r="T825" s="2128">
        <v>265.75</v>
      </c>
      <c r="U825" s="2128">
        <v>256.52</v>
      </c>
      <c r="V825" s="2128">
        <v>256.52</v>
      </c>
      <c r="W825" s="2128">
        <v>265.75</v>
      </c>
      <c r="X825" s="2128">
        <v>265.75</v>
      </c>
      <c r="Y825" s="2128">
        <v>256.52</v>
      </c>
      <c r="Z825" s="2128">
        <v>265.75</v>
      </c>
      <c r="AA825" s="2128">
        <v>265.75</v>
      </c>
      <c r="AB825" s="2128">
        <v>265.75</v>
      </c>
      <c r="AC825" s="2128">
        <v>256.52</v>
      </c>
      <c r="AD825" s="2128">
        <v>256.52</v>
      </c>
      <c r="AE825" s="2128">
        <v>278.72000000000003</v>
      </c>
      <c r="AF825" s="2128">
        <v>270.7</v>
      </c>
      <c r="AG825" s="2128">
        <v>278.72000000000003</v>
      </c>
      <c r="AH825" s="2128">
        <v>278.72000000000003</v>
      </c>
      <c r="AI825" s="2128">
        <v>270.7</v>
      </c>
      <c r="AJ825" s="2128">
        <v>270.7</v>
      </c>
      <c r="AK825" s="2128">
        <v>271.12</v>
      </c>
      <c r="AL825" s="2128">
        <v>271.12</v>
      </c>
      <c r="AM825" s="2128">
        <v>76.02</v>
      </c>
      <c r="AN825" s="2128">
        <v>73.260000000000005</v>
      </c>
      <c r="AO825" s="2128">
        <v>73.260000000000005</v>
      </c>
      <c r="AP825" s="2128">
        <v>73.099999999999994</v>
      </c>
      <c r="AQ825" s="2128">
        <v>73.42</v>
      </c>
      <c r="AR825" s="2128">
        <v>73.42</v>
      </c>
      <c r="AS825" s="2128">
        <v>219.45</v>
      </c>
      <c r="AT825" s="2128">
        <v>219.45</v>
      </c>
      <c r="AU825" s="2128">
        <v>219.45</v>
      </c>
      <c r="AV825" s="2128">
        <v>224.36</v>
      </c>
      <c r="AW825" s="2128">
        <v>219.68</v>
      </c>
      <c r="AX825" s="2128">
        <v>219.68</v>
      </c>
      <c r="AY825" s="2128">
        <v>219.8</v>
      </c>
      <c r="AZ825" s="2128">
        <v>219.8</v>
      </c>
      <c r="BA825" s="2123">
        <v>95.9</v>
      </c>
      <c r="BB825" s="2123">
        <v>95.9</v>
      </c>
      <c r="BC825" s="2123">
        <v>24.27</v>
      </c>
      <c r="BD825" s="2123">
        <v>24.45</v>
      </c>
      <c r="BE825" s="2123">
        <v>27.29</v>
      </c>
      <c r="BF825" s="2123">
        <v>27.29</v>
      </c>
      <c r="BG825" s="2123">
        <v>24.31</v>
      </c>
      <c r="BH825" s="2123">
        <v>24.31</v>
      </c>
      <c r="BI825" s="2123">
        <v>24.12</v>
      </c>
      <c r="BJ825" s="2123">
        <v>24.12</v>
      </c>
      <c r="BK825" s="2123">
        <v>24.12</v>
      </c>
      <c r="BL825" s="2123">
        <v>24.12</v>
      </c>
      <c r="BM825" s="2123">
        <v>55.61</v>
      </c>
      <c r="BN825" s="2123">
        <v>55.61</v>
      </c>
      <c r="BO825" s="2123">
        <v>174.41</v>
      </c>
      <c r="BP825" s="2123">
        <v>174.41</v>
      </c>
      <c r="BQ825" s="2123">
        <v>174.41</v>
      </c>
      <c r="BR825" s="2123">
        <v>174.41</v>
      </c>
      <c r="BS825" s="2123">
        <v>225.32</v>
      </c>
      <c r="BT825" s="2123">
        <v>225.32</v>
      </c>
      <c r="BU825" s="2123">
        <v>225.32</v>
      </c>
      <c r="BV825" s="2123">
        <v>225.32</v>
      </c>
      <c r="BW825" s="2123">
        <v>225.32</v>
      </c>
      <c r="BX825" s="2123">
        <v>225.32</v>
      </c>
      <c r="BY825" s="2123">
        <v>50.45</v>
      </c>
      <c r="BZ825" s="2123">
        <v>50.45</v>
      </c>
      <c r="CA825" s="2123">
        <v>166.8</v>
      </c>
      <c r="CB825" s="2123">
        <v>166.8</v>
      </c>
      <c r="CC825" s="2123">
        <v>169.28</v>
      </c>
      <c r="CD825" s="2123">
        <v>169.28</v>
      </c>
      <c r="CE825" s="2123">
        <v>221.86</v>
      </c>
      <c r="CF825" s="2123">
        <v>221.86</v>
      </c>
      <c r="CK825" s="2123">
        <v>125.45</v>
      </c>
      <c r="CL825" s="2123">
        <v>125.45</v>
      </c>
      <c r="CM825" s="2123">
        <v>253.47</v>
      </c>
      <c r="CN825" s="2123">
        <v>253.47</v>
      </c>
      <c r="CO825" s="2123">
        <v>326.07</v>
      </c>
      <c r="CP825" s="2123">
        <v>326.07</v>
      </c>
      <c r="CQ825" s="2123">
        <v>326.07</v>
      </c>
      <c r="CR825" s="2123">
        <v>326.07</v>
      </c>
      <c r="CW825" s="2123">
        <v>117.27</v>
      </c>
      <c r="CX825" s="2123">
        <v>117.27</v>
      </c>
      <c r="CY825" s="2123">
        <v>245.17</v>
      </c>
      <c r="CZ825" s="2123">
        <v>245.17</v>
      </c>
      <c r="DA825" s="2123">
        <v>245.17</v>
      </c>
      <c r="DB825" s="2123">
        <v>245.17</v>
      </c>
      <c r="DC825" s="2123">
        <v>315.72000000000003</v>
      </c>
      <c r="DD825" s="2123">
        <v>315.72000000000003</v>
      </c>
      <c r="DE825" s="2123">
        <v>315.72000000000003</v>
      </c>
      <c r="DF825" s="2123">
        <v>315.72000000000003</v>
      </c>
      <c r="DI825" s="2123">
        <v>31.01</v>
      </c>
      <c r="DJ825" s="2123">
        <v>31.01</v>
      </c>
      <c r="DK825" s="2123">
        <v>31.01</v>
      </c>
      <c r="DL825" s="2123">
        <v>31.01</v>
      </c>
      <c r="DM825" s="2123">
        <v>31.01</v>
      </c>
      <c r="DN825" s="2123">
        <v>31.01</v>
      </c>
      <c r="DU825" s="2123">
        <v>13.8</v>
      </c>
      <c r="DV825" s="2123">
        <v>13.8</v>
      </c>
      <c r="DW825" s="2123">
        <v>13.22</v>
      </c>
      <c r="DX825" s="2123">
        <v>13.22</v>
      </c>
      <c r="DY825" s="2123">
        <v>13.22</v>
      </c>
      <c r="DZ825" s="2123">
        <v>13.22</v>
      </c>
      <c r="EG825" s="2123">
        <v>14.78</v>
      </c>
      <c r="EH825" s="2123">
        <v>14.95</v>
      </c>
      <c r="EI825" s="2123">
        <v>12</v>
      </c>
      <c r="EJ825" s="2123">
        <v>12</v>
      </c>
      <c r="EK825" s="2123">
        <v>12</v>
      </c>
      <c r="EL825" s="2123">
        <v>12</v>
      </c>
      <c r="EM825" s="2123">
        <v>12.59</v>
      </c>
      <c r="EN825" s="2123">
        <v>12.59</v>
      </c>
      <c r="EO825" s="2123">
        <v>11.96</v>
      </c>
      <c r="EP825" s="2123">
        <v>11.96</v>
      </c>
      <c r="EQ825" s="2123">
        <v>12.31</v>
      </c>
      <c r="ER825" s="2123">
        <v>12.16</v>
      </c>
      <c r="ES825" s="2123">
        <v>56.64</v>
      </c>
      <c r="ET825" s="2123">
        <v>56.64</v>
      </c>
      <c r="EU825" s="2123">
        <v>246.69</v>
      </c>
      <c r="EV825" s="2123">
        <v>246.69</v>
      </c>
      <c r="EW825" s="2123">
        <v>241.36</v>
      </c>
      <c r="EX825" s="2123">
        <v>241.36</v>
      </c>
      <c r="EY825" s="2129">
        <f t="shared" si="51"/>
        <v>244.02500000000001</v>
      </c>
      <c r="EZ825" s="2129">
        <f t="shared" si="51"/>
        <v>244.02500000000001</v>
      </c>
      <c r="FA825" s="2123">
        <v>244.65</v>
      </c>
      <c r="FB825" s="2123">
        <v>244.65</v>
      </c>
      <c r="FE825" s="2123">
        <v>48.71</v>
      </c>
      <c r="FF825" s="2123">
        <v>48.71</v>
      </c>
      <c r="FG825" s="2123">
        <v>207.85</v>
      </c>
      <c r="FH825" s="2123">
        <v>207.85</v>
      </c>
      <c r="FI825" s="2123">
        <v>207.85</v>
      </c>
      <c r="FJ825" s="2123">
        <v>209.27</v>
      </c>
      <c r="FK825" s="2123">
        <v>207.41</v>
      </c>
      <c r="FL825" s="2123">
        <v>207.41</v>
      </c>
      <c r="FM825" s="2123">
        <v>208.11</v>
      </c>
      <c r="FN825" s="2123">
        <v>208.11</v>
      </c>
      <c r="FQ825" s="2123">
        <v>110.03</v>
      </c>
      <c r="FR825" s="2123">
        <v>110.03</v>
      </c>
      <c r="FS825" s="2123">
        <v>220.82</v>
      </c>
      <c r="FT825" s="2123">
        <v>220.82</v>
      </c>
      <c r="FU825" s="2123">
        <v>220.82</v>
      </c>
      <c r="FV825" s="2123">
        <v>220.82</v>
      </c>
      <c r="FW825" s="2123">
        <v>221.23</v>
      </c>
      <c r="FX825" s="2123">
        <v>221.23</v>
      </c>
      <c r="GC825" s="2123">
        <v>77.739999999999995</v>
      </c>
      <c r="GD825" s="2123">
        <v>77.739999999999995</v>
      </c>
      <c r="GE825" s="2123">
        <v>174.76</v>
      </c>
      <c r="GF825" s="2123">
        <v>174.76</v>
      </c>
      <c r="GG825" s="2123">
        <v>174.76</v>
      </c>
      <c r="GH825" s="2123">
        <v>174.76</v>
      </c>
      <c r="GI825" s="2123">
        <v>191.38</v>
      </c>
      <c r="GJ825" s="2123">
        <v>191.38</v>
      </c>
      <c r="GK825" s="2123">
        <v>216.33</v>
      </c>
      <c r="GL825" s="2123">
        <v>216.33</v>
      </c>
      <c r="GO825" s="2123">
        <v>41.63</v>
      </c>
      <c r="GP825" s="2123">
        <v>41.63</v>
      </c>
      <c r="GQ825" s="2123">
        <v>36.340000000000003</v>
      </c>
      <c r="GR825" s="2123">
        <v>36.340000000000003</v>
      </c>
      <c r="GS825" s="2123">
        <v>36.340000000000003</v>
      </c>
      <c r="GT825" s="2123">
        <v>35.04</v>
      </c>
      <c r="GU825" s="2123">
        <v>35.04</v>
      </c>
      <c r="GV825" s="2123">
        <v>35.28</v>
      </c>
      <c r="GW825" s="2123">
        <v>206.28</v>
      </c>
      <c r="GX825" s="2123">
        <v>206.28</v>
      </c>
      <c r="HA825" s="2123">
        <v>29.08</v>
      </c>
      <c r="HB825" s="2123">
        <v>29.08</v>
      </c>
      <c r="HC825" s="2123">
        <v>22.57</v>
      </c>
      <c r="HD825" s="2123">
        <v>22.57</v>
      </c>
      <c r="HE825" s="2123">
        <v>23.22</v>
      </c>
      <c r="HF825" s="2123">
        <v>23.22</v>
      </c>
      <c r="HG825" s="2123">
        <v>23.22</v>
      </c>
      <c r="HH825" s="2123">
        <v>23.22</v>
      </c>
      <c r="HI825" s="2123">
        <v>23.22</v>
      </c>
      <c r="HJ825" s="2123">
        <v>23.22</v>
      </c>
      <c r="HK825" s="2123">
        <v>23.34</v>
      </c>
      <c r="HL825" s="2123">
        <v>23.52</v>
      </c>
      <c r="HM825" s="2123">
        <v>40.67</v>
      </c>
      <c r="HN825" s="2123">
        <v>40.67</v>
      </c>
      <c r="HO825" s="2123">
        <v>31.84</v>
      </c>
      <c r="HP825" s="2123">
        <v>31.84</v>
      </c>
      <c r="HQ825" s="2123">
        <v>32.799999999999997</v>
      </c>
      <c r="HR825" s="2123">
        <v>32.799999999999997</v>
      </c>
      <c r="HS825" s="2123">
        <v>32.799999999999997</v>
      </c>
      <c r="HT825" s="2123">
        <v>32.799999999999997</v>
      </c>
      <c r="HU825" s="2123">
        <v>32.799999999999997</v>
      </c>
      <c r="HV825" s="2123">
        <v>32.799999999999997</v>
      </c>
      <c r="HW825" s="2123">
        <v>32.880000000000003</v>
      </c>
      <c r="HX825" s="2050">
        <v>32.880000000000003</v>
      </c>
    </row>
    <row r="826" spans="1:232" s="2123" customFormat="1" ht="14" hidden="1" x14ac:dyDescent="0.3">
      <c r="A826" s="2040"/>
      <c r="B826" s="2127">
        <v>77</v>
      </c>
      <c r="C826" s="2128">
        <v>46.1</v>
      </c>
      <c r="D826" s="2128">
        <v>46.1</v>
      </c>
      <c r="E826" s="2128">
        <v>46.21</v>
      </c>
      <c r="F826" s="2128">
        <v>46.21</v>
      </c>
      <c r="G826" s="2128">
        <v>178.98</v>
      </c>
      <c r="H826" s="2128">
        <v>178.98</v>
      </c>
      <c r="I826" s="2128">
        <v>169.73</v>
      </c>
      <c r="J826" s="2128">
        <v>169.73</v>
      </c>
      <c r="K826" s="2128">
        <v>174.4</v>
      </c>
      <c r="L826" s="2128">
        <v>174.4</v>
      </c>
      <c r="M826" s="2128"/>
      <c r="N826" s="2128"/>
      <c r="O826" s="2128">
        <v>144.28</v>
      </c>
      <c r="P826" s="2128">
        <v>144.28</v>
      </c>
      <c r="Q826" s="2128">
        <v>143.82</v>
      </c>
      <c r="R826" s="2128">
        <v>144.28</v>
      </c>
      <c r="S826" s="2128">
        <v>267.05999999999995</v>
      </c>
      <c r="T826" s="2128">
        <v>266.97000000000003</v>
      </c>
      <c r="U826" s="2128">
        <v>257.7</v>
      </c>
      <c r="V826" s="2128">
        <v>257.7</v>
      </c>
      <c r="W826" s="2128">
        <v>266.97000000000003</v>
      </c>
      <c r="X826" s="2128">
        <v>266.97000000000003</v>
      </c>
      <c r="Y826" s="2128">
        <v>257.7</v>
      </c>
      <c r="Z826" s="2128">
        <v>266.97000000000003</v>
      </c>
      <c r="AA826" s="2128">
        <v>266.97000000000003</v>
      </c>
      <c r="AB826" s="2128">
        <v>266.97000000000003</v>
      </c>
      <c r="AC826" s="2128">
        <v>257.7</v>
      </c>
      <c r="AD826" s="2128">
        <v>257.7</v>
      </c>
      <c r="AE826" s="2128">
        <v>279.82</v>
      </c>
      <c r="AF826" s="2128">
        <v>271.77</v>
      </c>
      <c r="AG826" s="2128">
        <v>279.82</v>
      </c>
      <c r="AH826" s="2128">
        <v>279.82</v>
      </c>
      <c r="AI826" s="2128">
        <v>271.77</v>
      </c>
      <c r="AJ826" s="2128">
        <v>271.77</v>
      </c>
      <c r="AK826" s="2128">
        <v>272.18</v>
      </c>
      <c r="AL826" s="2128">
        <v>272.18</v>
      </c>
      <c r="AM826" s="2128">
        <v>76.27</v>
      </c>
      <c r="AN826" s="2128">
        <v>73.5</v>
      </c>
      <c r="AO826" s="2128">
        <v>73.5</v>
      </c>
      <c r="AP826" s="2128">
        <v>73.31</v>
      </c>
      <c r="AQ826" s="2128">
        <v>73.63</v>
      </c>
      <c r="AR826" s="2128">
        <v>73.63</v>
      </c>
      <c r="AS826" s="2128">
        <v>220.24</v>
      </c>
      <c r="AT826" s="2128">
        <v>220.24</v>
      </c>
      <c r="AU826" s="2128">
        <v>220.24</v>
      </c>
      <c r="AV826" s="2128">
        <v>225.17</v>
      </c>
      <c r="AW826" s="2128">
        <v>220.47</v>
      </c>
      <c r="AX826" s="2128">
        <v>220.47</v>
      </c>
      <c r="AY826" s="2128">
        <v>220.59</v>
      </c>
      <c r="AZ826" s="2128">
        <v>220.59</v>
      </c>
      <c r="BA826" s="2123">
        <v>96.23</v>
      </c>
      <c r="BB826" s="2123">
        <v>96.23</v>
      </c>
      <c r="BC826" s="2123">
        <v>24.39</v>
      </c>
      <c r="BD826" s="2123">
        <v>24.56</v>
      </c>
      <c r="BE826" s="2123">
        <v>27.36</v>
      </c>
      <c r="BF826" s="2123">
        <v>27.36</v>
      </c>
      <c r="BG826" s="2123">
        <v>24.41</v>
      </c>
      <c r="BH826" s="2123">
        <v>24.41</v>
      </c>
      <c r="BI826" s="2123">
        <v>24.21</v>
      </c>
      <c r="BJ826" s="2123">
        <v>24.21</v>
      </c>
      <c r="BK826" s="2123">
        <v>24.21</v>
      </c>
      <c r="BL826" s="2123">
        <v>24.21</v>
      </c>
      <c r="BM826" s="2123">
        <v>55.75</v>
      </c>
      <c r="BN826" s="2123">
        <v>55.75</v>
      </c>
      <c r="BO826" s="2123">
        <v>174.91</v>
      </c>
      <c r="BP826" s="2123">
        <v>174.91</v>
      </c>
      <c r="BQ826" s="2123">
        <v>174.91</v>
      </c>
      <c r="BR826" s="2123">
        <v>174.91</v>
      </c>
      <c r="BS826" s="2123">
        <v>226.09</v>
      </c>
      <c r="BT826" s="2123">
        <v>226.09</v>
      </c>
      <c r="BU826" s="2123">
        <v>226.09</v>
      </c>
      <c r="BV826" s="2123">
        <v>226.09</v>
      </c>
      <c r="BW826" s="2123">
        <v>226.09</v>
      </c>
      <c r="BX826" s="2123">
        <v>226.09</v>
      </c>
      <c r="BY826" s="2123">
        <v>50.59</v>
      </c>
      <c r="BZ826" s="2123">
        <v>50.59</v>
      </c>
      <c r="CA826" s="2123">
        <v>167.35</v>
      </c>
      <c r="CB826" s="2123">
        <v>167.35</v>
      </c>
      <c r="CC826" s="2123">
        <v>169.84</v>
      </c>
      <c r="CD826" s="2123">
        <v>169.84</v>
      </c>
      <c r="CE826" s="2123">
        <v>222.72</v>
      </c>
      <c r="CF826" s="2123">
        <v>222.72</v>
      </c>
      <c r="CK826" s="2123">
        <v>125.83</v>
      </c>
      <c r="CL826" s="2123">
        <v>125.83</v>
      </c>
      <c r="CM826" s="2123">
        <v>254.14</v>
      </c>
      <c r="CN826" s="2123">
        <v>254.14</v>
      </c>
      <c r="CO826" s="2123">
        <v>327.14999999999998</v>
      </c>
      <c r="CP826" s="2123">
        <v>327.14999999999998</v>
      </c>
      <c r="CQ826" s="2123">
        <v>327.14999999999998</v>
      </c>
      <c r="CR826" s="2123">
        <v>327.14999999999998</v>
      </c>
      <c r="CW826" s="2123">
        <v>117.66</v>
      </c>
      <c r="CX826" s="2123">
        <v>117.66</v>
      </c>
      <c r="CY826" s="2123">
        <v>245.87</v>
      </c>
      <c r="CZ826" s="2123">
        <v>245.87</v>
      </c>
      <c r="DA826" s="2123">
        <v>245.87</v>
      </c>
      <c r="DB826" s="2123">
        <v>245.87</v>
      </c>
      <c r="DC826" s="2123">
        <v>316.85000000000002</v>
      </c>
      <c r="DD826" s="2123">
        <v>316.85000000000002</v>
      </c>
      <c r="DE826" s="2123">
        <v>316.85000000000002</v>
      </c>
      <c r="DF826" s="2123">
        <v>316.85000000000002</v>
      </c>
      <c r="DI826" s="2123">
        <v>31.08</v>
      </c>
      <c r="DJ826" s="2123">
        <v>31.08</v>
      </c>
      <c r="DK826" s="2123">
        <v>31.08</v>
      </c>
      <c r="DL826" s="2123">
        <v>31.08</v>
      </c>
      <c r="DM826" s="2123">
        <v>31.08</v>
      </c>
      <c r="DN826" s="2123">
        <v>31.08</v>
      </c>
      <c r="DU826" s="2123">
        <v>13.82</v>
      </c>
      <c r="DV826" s="2123">
        <v>13.82</v>
      </c>
      <c r="DW826" s="2123">
        <v>13.28</v>
      </c>
      <c r="DX826" s="2123">
        <v>13.28</v>
      </c>
      <c r="DY826" s="2123">
        <v>13.28</v>
      </c>
      <c r="DZ826" s="2123">
        <v>13.28</v>
      </c>
      <c r="EG826" s="2123">
        <v>14.83</v>
      </c>
      <c r="EH826" s="2123">
        <v>15</v>
      </c>
      <c r="EI826" s="2123">
        <v>12.07</v>
      </c>
      <c r="EJ826" s="2123">
        <v>12.07</v>
      </c>
      <c r="EK826" s="2123">
        <v>12.06</v>
      </c>
      <c r="EL826" s="2123">
        <v>12.06</v>
      </c>
      <c r="EM826" s="2123">
        <v>12.65</v>
      </c>
      <c r="EN826" s="2123">
        <v>12.65</v>
      </c>
      <c r="EO826" s="2123">
        <v>12.02</v>
      </c>
      <c r="EP826" s="2123">
        <v>12.02</v>
      </c>
      <c r="EQ826" s="2123">
        <v>12.37</v>
      </c>
      <c r="ER826" s="2123">
        <v>12.22</v>
      </c>
      <c r="ES826" s="2123">
        <v>56.82</v>
      </c>
      <c r="ET826" s="2123">
        <v>56.82</v>
      </c>
      <c r="EU826" s="2123">
        <v>247.81</v>
      </c>
      <c r="EV826" s="2123">
        <v>247.81</v>
      </c>
      <c r="EW826" s="2123">
        <v>242.46</v>
      </c>
      <c r="EX826" s="2123">
        <v>242.46</v>
      </c>
      <c r="EY826" s="2129">
        <f t="shared" si="51"/>
        <v>245.13499999999999</v>
      </c>
      <c r="EZ826" s="2129">
        <f t="shared" si="51"/>
        <v>245.13499999999999</v>
      </c>
      <c r="FA826" s="2123">
        <v>245.72</v>
      </c>
      <c r="FB826" s="2123">
        <v>245.72</v>
      </c>
      <c r="FE826" s="2123">
        <v>48.87</v>
      </c>
      <c r="FF826" s="2123">
        <v>48.87</v>
      </c>
      <c r="FG826" s="2123">
        <v>208.81</v>
      </c>
      <c r="FH826" s="2123">
        <v>208.81</v>
      </c>
      <c r="FI826" s="2123">
        <v>208.81</v>
      </c>
      <c r="FJ826" s="2123">
        <v>210.2</v>
      </c>
      <c r="FK826" s="2123">
        <v>208.38</v>
      </c>
      <c r="FL826" s="2123">
        <v>208.38</v>
      </c>
      <c r="FM826" s="2123">
        <v>209.06</v>
      </c>
      <c r="FN826" s="2123">
        <v>209.06</v>
      </c>
      <c r="FQ826" s="2123">
        <v>110.39</v>
      </c>
      <c r="FR826" s="2123">
        <v>110.39</v>
      </c>
      <c r="FS826" s="2123">
        <v>221.66</v>
      </c>
      <c r="FT826" s="2123">
        <v>221.66</v>
      </c>
      <c r="FU826" s="2123">
        <v>221.66</v>
      </c>
      <c r="FV826" s="2123">
        <v>221.66</v>
      </c>
      <c r="FW826" s="2123">
        <v>222.05</v>
      </c>
      <c r="FX826" s="2123">
        <v>222.05</v>
      </c>
      <c r="GC826" s="2123">
        <v>77.989999999999995</v>
      </c>
      <c r="GD826" s="2123">
        <v>77.989999999999995</v>
      </c>
      <c r="GE826" s="2123">
        <v>175.27</v>
      </c>
      <c r="GF826" s="2123">
        <v>175.27</v>
      </c>
      <c r="GG826" s="2123">
        <v>175.27</v>
      </c>
      <c r="GH826" s="2123">
        <v>175.27</v>
      </c>
      <c r="GI826" s="2123">
        <v>192.51</v>
      </c>
      <c r="GJ826" s="2123">
        <v>192.51</v>
      </c>
      <c r="GK826" s="2123">
        <v>217.26</v>
      </c>
      <c r="GL826" s="2123">
        <v>217.26</v>
      </c>
      <c r="GO826" s="2123">
        <v>41.76</v>
      </c>
      <c r="GP826" s="2123">
        <v>41.76</v>
      </c>
      <c r="GQ826" s="2123">
        <v>36.47</v>
      </c>
      <c r="GR826" s="2123">
        <v>36.47</v>
      </c>
      <c r="GS826" s="2123">
        <v>36.47</v>
      </c>
      <c r="GT826" s="2123">
        <v>35.17</v>
      </c>
      <c r="GU826" s="2123">
        <v>35.17</v>
      </c>
      <c r="GV826" s="2123">
        <v>35.409999999999997</v>
      </c>
      <c r="GW826" s="2123">
        <v>207.01</v>
      </c>
      <c r="GX826" s="2123">
        <v>207.01</v>
      </c>
      <c r="HA826" s="2123">
        <v>29.15</v>
      </c>
      <c r="HB826" s="2123">
        <v>29.15</v>
      </c>
      <c r="HC826" s="2123">
        <v>22.67</v>
      </c>
      <c r="HD826" s="2123">
        <v>22.67</v>
      </c>
      <c r="HE826" s="2123">
        <v>23.32</v>
      </c>
      <c r="HF826" s="2123">
        <v>23.32</v>
      </c>
      <c r="HG826" s="2123">
        <v>23.32</v>
      </c>
      <c r="HH826" s="2123">
        <v>23.32</v>
      </c>
      <c r="HI826" s="2123">
        <v>23.32</v>
      </c>
      <c r="HJ826" s="2123">
        <v>23.32</v>
      </c>
      <c r="HK826" s="2123">
        <v>23.43</v>
      </c>
      <c r="HL826" s="2123">
        <v>23.61</v>
      </c>
      <c r="HM826" s="2123">
        <v>40.78</v>
      </c>
      <c r="HN826" s="2123">
        <v>40.78</v>
      </c>
      <c r="HO826" s="2123">
        <v>31.99</v>
      </c>
      <c r="HP826" s="2123">
        <v>31.99</v>
      </c>
      <c r="HQ826" s="2123">
        <v>32.99</v>
      </c>
      <c r="HR826" s="2123">
        <v>32.99</v>
      </c>
      <c r="HS826" s="2123">
        <v>32.99</v>
      </c>
      <c r="HT826" s="2123">
        <v>32.99</v>
      </c>
      <c r="HU826" s="2123">
        <v>32.99</v>
      </c>
      <c r="HV826" s="2123">
        <v>32.99</v>
      </c>
      <c r="HW826" s="2123">
        <v>33.03</v>
      </c>
      <c r="HX826" s="2050">
        <v>33.03</v>
      </c>
    </row>
    <row r="827" spans="1:232" s="2123" customFormat="1" ht="14" hidden="1" x14ac:dyDescent="0.3">
      <c r="A827" s="2040"/>
      <c r="B827" s="2127">
        <v>78</v>
      </c>
      <c r="C827" s="2128">
        <v>46.24</v>
      </c>
      <c r="D827" s="2128">
        <v>46.24</v>
      </c>
      <c r="E827" s="2128">
        <v>46.35</v>
      </c>
      <c r="F827" s="2128">
        <v>46.35</v>
      </c>
      <c r="G827" s="2128">
        <v>179.67</v>
      </c>
      <c r="H827" s="2128">
        <v>179.67</v>
      </c>
      <c r="I827" s="2128">
        <v>170.47</v>
      </c>
      <c r="J827" s="2128">
        <v>170.47</v>
      </c>
      <c r="K827" s="2128">
        <v>175.05</v>
      </c>
      <c r="L827" s="2128">
        <v>175.05</v>
      </c>
      <c r="M827" s="2128"/>
      <c r="N827" s="2128"/>
      <c r="O827" s="2128">
        <v>144.71</v>
      </c>
      <c r="P827" s="2128">
        <v>144.71</v>
      </c>
      <c r="Q827" s="2128">
        <v>144.25</v>
      </c>
      <c r="R827" s="2128">
        <v>144.72</v>
      </c>
      <c r="S827" s="2128">
        <v>268.21999999999997</v>
      </c>
      <c r="T827" s="2128">
        <v>268.16000000000003</v>
      </c>
      <c r="U827" s="2128">
        <v>258.85000000000002</v>
      </c>
      <c r="V827" s="2128">
        <v>258.85000000000002</v>
      </c>
      <c r="W827" s="2128">
        <v>268.16000000000003</v>
      </c>
      <c r="X827" s="2128">
        <v>268.16000000000003</v>
      </c>
      <c r="Y827" s="2128">
        <v>258.85000000000002</v>
      </c>
      <c r="Z827" s="2128">
        <v>268.16000000000003</v>
      </c>
      <c r="AA827" s="2128">
        <v>268.16000000000003</v>
      </c>
      <c r="AB827" s="2128">
        <v>268.16000000000003</v>
      </c>
      <c r="AC827" s="2128">
        <v>258.85000000000002</v>
      </c>
      <c r="AD827" s="2128">
        <v>258.85000000000002</v>
      </c>
      <c r="AE827" s="2128">
        <v>280.89</v>
      </c>
      <c r="AF827" s="2128">
        <v>272.81</v>
      </c>
      <c r="AG827" s="2128">
        <v>280.89</v>
      </c>
      <c r="AH827" s="2128">
        <v>280.89</v>
      </c>
      <c r="AI827" s="2128">
        <v>272.81</v>
      </c>
      <c r="AJ827" s="2128">
        <v>272.81</v>
      </c>
      <c r="AK827" s="2128">
        <v>273.20999999999998</v>
      </c>
      <c r="AL827" s="2128">
        <v>273.20999999999998</v>
      </c>
      <c r="AM827" s="2128">
        <v>76.5</v>
      </c>
      <c r="AN827" s="2128">
        <v>73.72</v>
      </c>
      <c r="AO827" s="2128">
        <v>73.72</v>
      </c>
      <c r="AP827" s="2128">
        <v>73.59</v>
      </c>
      <c r="AQ827" s="2128">
        <v>73.900000000000006</v>
      </c>
      <c r="AR827" s="2128">
        <v>73.900000000000006</v>
      </c>
      <c r="AS827" s="2128">
        <v>221.32</v>
      </c>
      <c r="AT827" s="2128">
        <v>221.32</v>
      </c>
      <c r="AU827" s="2128">
        <v>221.32</v>
      </c>
      <c r="AV827" s="2128">
        <v>226.25</v>
      </c>
      <c r="AW827" s="2128">
        <v>221.54</v>
      </c>
      <c r="AX827" s="2128">
        <v>221.54</v>
      </c>
      <c r="AY827" s="2128">
        <v>221.66</v>
      </c>
      <c r="AZ827" s="2128">
        <v>221.66</v>
      </c>
      <c r="BA827" s="2123">
        <v>96.66</v>
      </c>
      <c r="BB827" s="2123">
        <v>96.66</v>
      </c>
      <c r="BC827" s="2123">
        <v>24.51</v>
      </c>
      <c r="BD827" s="2123">
        <v>24.68</v>
      </c>
      <c r="BE827" s="2123">
        <v>27.46</v>
      </c>
      <c r="BF827" s="2123">
        <v>27.46</v>
      </c>
      <c r="BG827" s="2123">
        <v>24.54</v>
      </c>
      <c r="BH827" s="2123">
        <v>24.54</v>
      </c>
      <c r="BI827" s="2123">
        <v>24.34</v>
      </c>
      <c r="BJ827" s="2123">
        <v>24.34</v>
      </c>
      <c r="BK827" s="2123">
        <v>24.34</v>
      </c>
      <c r="BL827" s="2123">
        <v>24.34</v>
      </c>
      <c r="BM827" s="2123">
        <v>55.94</v>
      </c>
      <c r="BN827" s="2123">
        <v>55.94</v>
      </c>
      <c r="BO827" s="2123">
        <v>175.62</v>
      </c>
      <c r="BP827" s="2123">
        <v>175.62</v>
      </c>
      <c r="BQ827" s="2123">
        <v>175.62</v>
      </c>
      <c r="BR827" s="2123">
        <v>175.62</v>
      </c>
      <c r="BS827" s="2123">
        <v>227.18</v>
      </c>
      <c r="BT827" s="2123">
        <v>227.18</v>
      </c>
      <c r="BU827" s="2123">
        <v>227.18</v>
      </c>
      <c r="BV827" s="2123">
        <v>227.18</v>
      </c>
      <c r="BW827" s="2123">
        <v>227.18</v>
      </c>
      <c r="BX827" s="2123">
        <v>227.18</v>
      </c>
      <c r="BY827" s="2123">
        <v>50.74</v>
      </c>
      <c r="BZ827" s="2123">
        <v>50.74</v>
      </c>
      <c r="CA827" s="2123">
        <v>167.93</v>
      </c>
      <c r="CB827" s="2123">
        <v>167.93</v>
      </c>
      <c r="CC827" s="2123">
        <v>170.44</v>
      </c>
      <c r="CD827" s="2123">
        <v>170.44</v>
      </c>
      <c r="CE827" s="2123">
        <v>223.65</v>
      </c>
      <c r="CF827" s="2123">
        <v>223.65</v>
      </c>
      <c r="CK827" s="2123">
        <v>126.2</v>
      </c>
      <c r="CL827" s="2123">
        <v>126.2</v>
      </c>
      <c r="CM827" s="2123">
        <v>254.77</v>
      </c>
      <c r="CN827" s="2123">
        <v>254.77</v>
      </c>
      <c r="CO827" s="2123">
        <v>328.19</v>
      </c>
      <c r="CP827" s="2123">
        <v>328.19</v>
      </c>
      <c r="CQ827" s="2123">
        <v>328.19</v>
      </c>
      <c r="CR827" s="2123">
        <v>328.19</v>
      </c>
      <c r="CW827" s="2123">
        <v>118.02</v>
      </c>
      <c r="CX827" s="2123">
        <v>118.02</v>
      </c>
      <c r="CY827" s="2123">
        <v>246.54</v>
      </c>
      <c r="CZ827" s="2123">
        <v>246.54</v>
      </c>
      <c r="DA827" s="2123">
        <v>246.54</v>
      </c>
      <c r="DB827" s="2123">
        <v>246.54</v>
      </c>
      <c r="DC827" s="2123">
        <v>317.92</v>
      </c>
      <c r="DD827" s="2123">
        <v>317.92</v>
      </c>
      <c r="DE827" s="2123">
        <v>317.92</v>
      </c>
      <c r="DF827" s="2123">
        <v>317.92</v>
      </c>
      <c r="DI827" s="2123">
        <v>31.17</v>
      </c>
      <c r="DJ827" s="2123">
        <v>31.17</v>
      </c>
      <c r="DK827" s="2123">
        <v>31.17</v>
      </c>
      <c r="DL827" s="2123">
        <v>31.17</v>
      </c>
      <c r="DM827" s="2123">
        <v>31.17</v>
      </c>
      <c r="DN827" s="2123">
        <v>31.17</v>
      </c>
      <c r="DU827" s="2123">
        <v>13.87</v>
      </c>
      <c r="DV827" s="2123">
        <v>13.87</v>
      </c>
      <c r="DW827" s="2123">
        <v>13.33</v>
      </c>
      <c r="DX827" s="2123">
        <v>13.33</v>
      </c>
      <c r="DY827" s="2123">
        <v>13.33</v>
      </c>
      <c r="DZ827" s="2123">
        <v>13.33</v>
      </c>
      <c r="EG827" s="2123">
        <v>14.87</v>
      </c>
      <c r="EH827" s="2123">
        <v>15.04</v>
      </c>
      <c r="EI827" s="2123">
        <v>12.13</v>
      </c>
      <c r="EJ827" s="2123">
        <v>12.13</v>
      </c>
      <c r="EK827" s="2123">
        <v>12.13</v>
      </c>
      <c r="EL827" s="2123">
        <v>12.13</v>
      </c>
      <c r="EM827" s="2123">
        <v>12.71</v>
      </c>
      <c r="EN827" s="2123">
        <v>12.71</v>
      </c>
      <c r="EO827" s="2123">
        <v>12.08</v>
      </c>
      <c r="EP827" s="2123">
        <v>12.08</v>
      </c>
      <c r="EQ827" s="2123">
        <v>12.43</v>
      </c>
      <c r="ER827" s="2123">
        <v>12.28</v>
      </c>
      <c r="ES827" s="2123">
        <v>57</v>
      </c>
      <c r="ET827" s="2123">
        <v>57</v>
      </c>
      <c r="EU827" s="2123">
        <v>248.9</v>
      </c>
      <c r="EV827" s="2123">
        <v>248.9</v>
      </c>
      <c r="EW827" s="2123">
        <v>243.54</v>
      </c>
      <c r="EX827" s="2123">
        <v>243.54</v>
      </c>
      <c r="EY827" s="2129">
        <f t="shared" si="51"/>
        <v>246.22</v>
      </c>
      <c r="EZ827" s="2129">
        <f t="shared" si="51"/>
        <v>246.22</v>
      </c>
      <c r="FA827" s="2123">
        <v>246.76</v>
      </c>
      <c r="FB827" s="2123">
        <v>246.76</v>
      </c>
      <c r="FE827" s="2123">
        <v>49.02</v>
      </c>
      <c r="FF827" s="2123">
        <v>49.02</v>
      </c>
      <c r="FG827" s="2123">
        <v>209.74</v>
      </c>
      <c r="FH827" s="2123">
        <v>209.74</v>
      </c>
      <c r="FI827" s="2123">
        <v>209.74</v>
      </c>
      <c r="FJ827" s="2123">
        <v>211.11</v>
      </c>
      <c r="FK827" s="2123">
        <v>209.32</v>
      </c>
      <c r="FL827" s="2123">
        <v>209.32</v>
      </c>
      <c r="FM827" s="2123">
        <v>209.99</v>
      </c>
      <c r="FN827" s="2123">
        <v>209.99</v>
      </c>
      <c r="FQ827" s="2123">
        <v>110.74</v>
      </c>
      <c r="FR827" s="2123">
        <v>110.74</v>
      </c>
      <c r="FS827" s="2123">
        <v>222.47</v>
      </c>
      <c r="FT827" s="2123">
        <v>222.47</v>
      </c>
      <c r="FU827" s="2123">
        <v>222.47</v>
      </c>
      <c r="FV827" s="2123">
        <v>222.47</v>
      </c>
      <c r="FW827" s="2123">
        <v>222.86</v>
      </c>
      <c r="FX827" s="2123">
        <v>222.86</v>
      </c>
      <c r="GC827" s="2123">
        <v>78.239999999999995</v>
      </c>
      <c r="GD827" s="2123">
        <v>78.239999999999995</v>
      </c>
      <c r="GE827" s="2123">
        <v>175.77</v>
      </c>
      <c r="GF827" s="2123">
        <v>175.77</v>
      </c>
      <c r="GG827" s="2123">
        <v>175.77</v>
      </c>
      <c r="GH827" s="2123">
        <v>175.77</v>
      </c>
      <c r="GI827" s="2123">
        <v>193.63</v>
      </c>
      <c r="GJ827" s="2123">
        <v>193.63</v>
      </c>
      <c r="GK827" s="2123">
        <v>218.18</v>
      </c>
      <c r="GL827" s="2123">
        <v>218.18</v>
      </c>
      <c r="GO827" s="2123">
        <v>41.89</v>
      </c>
      <c r="GP827" s="2123">
        <v>41.89</v>
      </c>
      <c r="GQ827" s="2123">
        <v>36.630000000000003</v>
      </c>
      <c r="GR827" s="2123">
        <v>36.630000000000003</v>
      </c>
      <c r="GS827" s="2123">
        <v>36.630000000000003</v>
      </c>
      <c r="GT827" s="2123">
        <v>35.32</v>
      </c>
      <c r="GU827" s="2123">
        <v>35.32</v>
      </c>
      <c r="GV827" s="2123">
        <v>35.56</v>
      </c>
      <c r="GW827" s="2123">
        <v>207.87</v>
      </c>
      <c r="GX827" s="2123">
        <v>207.87</v>
      </c>
      <c r="HA827" s="2123">
        <v>29.23</v>
      </c>
      <c r="HB827" s="2123">
        <v>29.23</v>
      </c>
      <c r="HC827" s="2123">
        <v>22.77</v>
      </c>
      <c r="HD827" s="2123">
        <v>22.77</v>
      </c>
      <c r="HE827" s="2123">
        <v>23.45</v>
      </c>
      <c r="HF827" s="2123">
        <v>23.45</v>
      </c>
      <c r="HG827" s="2123">
        <v>23.45</v>
      </c>
      <c r="HH827" s="2123">
        <v>23.45</v>
      </c>
      <c r="HI827" s="2123">
        <v>23.45</v>
      </c>
      <c r="HJ827" s="2123">
        <v>23.45</v>
      </c>
      <c r="HK827" s="2123">
        <v>23.53</v>
      </c>
      <c r="HL827" s="2123">
        <v>23.71</v>
      </c>
      <c r="HM827" s="2123">
        <v>40.92</v>
      </c>
      <c r="HN827" s="2123">
        <v>40.92</v>
      </c>
      <c r="HO827" s="2123">
        <v>32.18</v>
      </c>
      <c r="HP827" s="2123">
        <v>32.18</v>
      </c>
      <c r="HQ827" s="2123">
        <v>33.18</v>
      </c>
      <c r="HR827" s="2123">
        <v>33.18</v>
      </c>
      <c r="HS827" s="2123">
        <v>33.18</v>
      </c>
      <c r="HT827" s="2123">
        <v>33.18</v>
      </c>
      <c r="HU827" s="2123">
        <v>33.18</v>
      </c>
      <c r="HV827" s="2123">
        <v>33.18</v>
      </c>
      <c r="HW827" s="2123">
        <v>33.21</v>
      </c>
      <c r="HX827" s="2050">
        <v>33.21</v>
      </c>
    </row>
    <row r="828" spans="1:232" s="2123" customFormat="1" ht="14" hidden="1" x14ac:dyDescent="0.3">
      <c r="A828" s="2040"/>
      <c r="B828" s="2127">
        <v>79</v>
      </c>
      <c r="C828" s="2128">
        <v>46.38</v>
      </c>
      <c r="D828" s="2128">
        <v>46.38</v>
      </c>
      <c r="E828" s="2128">
        <v>46.49</v>
      </c>
      <c r="F828" s="2128">
        <v>46.49</v>
      </c>
      <c r="G828" s="2128">
        <v>180.26</v>
      </c>
      <c r="H828" s="2128">
        <v>180.26</v>
      </c>
      <c r="I828" s="2128">
        <v>171.16</v>
      </c>
      <c r="J828" s="2128">
        <v>171.16</v>
      </c>
      <c r="K828" s="2128">
        <v>175.66</v>
      </c>
      <c r="L828" s="2128">
        <v>175.66</v>
      </c>
      <c r="M828" s="2128"/>
      <c r="N828" s="2128"/>
      <c r="O828" s="2128">
        <v>145.16999999999999</v>
      </c>
      <c r="P828" s="2128">
        <v>145.16999999999999</v>
      </c>
      <c r="Q828" s="2128">
        <v>144.69999999999999</v>
      </c>
      <c r="R828" s="2128">
        <v>145.16999999999999</v>
      </c>
      <c r="S828" s="2128">
        <v>269.41999999999996</v>
      </c>
      <c r="T828" s="2128">
        <v>269.33</v>
      </c>
      <c r="U828" s="2128">
        <v>259.98</v>
      </c>
      <c r="V828" s="2128">
        <v>259.98</v>
      </c>
      <c r="W828" s="2128">
        <v>269.33</v>
      </c>
      <c r="X828" s="2128">
        <v>269.33</v>
      </c>
      <c r="Y828" s="2128">
        <v>259.98</v>
      </c>
      <c r="Z828" s="2128">
        <v>269.33</v>
      </c>
      <c r="AA828" s="2128">
        <v>269.33</v>
      </c>
      <c r="AB828" s="2128">
        <v>269.33</v>
      </c>
      <c r="AC828" s="2128">
        <v>259.98</v>
      </c>
      <c r="AD828" s="2128">
        <v>259.98</v>
      </c>
      <c r="AE828" s="2128">
        <v>281.94</v>
      </c>
      <c r="AF828" s="2128">
        <v>273.83</v>
      </c>
      <c r="AG828" s="2128">
        <v>281.94</v>
      </c>
      <c r="AH828" s="2128">
        <v>281.94</v>
      </c>
      <c r="AI828" s="2128">
        <v>273.83</v>
      </c>
      <c r="AJ828" s="2128">
        <v>273.83</v>
      </c>
      <c r="AK828" s="2128">
        <v>274.22000000000003</v>
      </c>
      <c r="AL828" s="2128">
        <v>274.22000000000003</v>
      </c>
      <c r="AM828" s="2128">
        <v>76.739999999999995</v>
      </c>
      <c r="AN828" s="2128">
        <v>73.95</v>
      </c>
      <c r="AO828" s="2128">
        <v>73.95</v>
      </c>
      <c r="AP828" s="2128">
        <v>73.849999999999994</v>
      </c>
      <c r="AQ828" s="2128">
        <v>74.150000000000006</v>
      </c>
      <c r="AR828" s="2128">
        <v>74.150000000000006</v>
      </c>
      <c r="AS828" s="2128">
        <v>222.29</v>
      </c>
      <c r="AT828" s="2128">
        <v>222.29</v>
      </c>
      <c r="AU828" s="2128">
        <v>222.29</v>
      </c>
      <c r="AV828" s="2128">
        <v>227.23</v>
      </c>
      <c r="AW828" s="2128">
        <v>222.51</v>
      </c>
      <c r="AX828" s="2128">
        <v>222.51</v>
      </c>
      <c r="AY828" s="2128">
        <v>222.63</v>
      </c>
      <c r="AZ828" s="2128">
        <v>222.63</v>
      </c>
      <c r="BA828" s="2123">
        <v>97.12</v>
      </c>
      <c r="BB828" s="2123">
        <v>97.12</v>
      </c>
      <c r="BC828" s="2123">
        <v>24.62</v>
      </c>
      <c r="BD828" s="2123">
        <v>24.79</v>
      </c>
      <c r="BE828" s="2123">
        <v>27.56</v>
      </c>
      <c r="BF828" s="2123">
        <v>27.56</v>
      </c>
      <c r="BG828" s="2123">
        <v>24.68</v>
      </c>
      <c r="BH828" s="2123">
        <v>24.68</v>
      </c>
      <c r="BI828" s="2123">
        <v>24.48</v>
      </c>
      <c r="BJ828" s="2123">
        <v>24.48</v>
      </c>
      <c r="BK828" s="2123">
        <v>24.48</v>
      </c>
      <c r="BL828" s="2123">
        <v>24.48</v>
      </c>
      <c r="BM828" s="2123">
        <v>56.12</v>
      </c>
      <c r="BN828" s="2123">
        <v>56.12</v>
      </c>
      <c r="BO828" s="2123">
        <v>176.29</v>
      </c>
      <c r="BP828" s="2123">
        <v>176.29</v>
      </c>
      <c r="BQ828" s="2123">
        <v>176.29</v>
      </c>
      <c r="BR828" s="2123">
        <v>176.29</v>
      </c>
      <c r="BS828" s="2123">
        <v>228.22</v>
      </c>
      <c r="BT828" s="2123">
        <v>228.22</v>
      </c>
      <c r="BU828" s="2123">
        <v>228.22</v>
      </c>
      <c r="BV828" s="2123">
        <v>228.22</v>
      </c>
      <c r="BW828" s="2123">
        <v>228.22</v>
      </c>
      <c r="BX828" s="2123">
        <v>228.22</v>
      </c>
      <c r="BY828" s="2123">
        <v>50.94</v>
      </c>
      <c r="BZ828" s="2123">
        <v>50.94</v>
      </c>
      <c r="CA828" s="2123">
        <v>168.75</v>
      </c>
      <c r="CB828" s="2123">
        <v>168.75</v>
      </c>
      <c r="CC828" s="2123">
        <v>171.28</v>
      </c>
      <c r="CD828" s="2123">
        <v>171.28</v>
      </c>
      <c r="CE828" s="2123">
        <v>224.95</v>
      </c>
      <c r="CF828" s="2123">
        <v>224.95</v>
      </c>
      <c r="CK828" s="2123">
        <v>126.56</v>
      </c>
      <c r="CL828" s="2123">
        <v>126.56</v>
      </c>
      <c r="CM828" s="2123">
        <v>255.46</v>
      </c>
      <c r="CN828" s="2123">
        <v>255.46</v>
      </c>
      <c r="CO828" s="2123">
        <v>329.31</v>
      </c>
      <c r="CP828" s="2123">
        <v>329.31</v>
      </c>
      <c r="CQ828" s="2123">
        <v>329.31</v>
      </c>
      <c r="CR828" s="2123">
        <v>329.31</v>
      </c>
      <c r="CW828" s="2123">
        <v>118.45</v>
      </c>
      <c r="CX828" s="2123">
        <v>118.45</v>
      </c>
      <c r="CY828" s="2123">
        <v>247.31</v>
      </c>
      <c r="CZ828" s="2123">
        <v>247.31</v>
      </c>
      <c r="DA828" s="2123">
        <v>247.31</v>
      </c>
      <c r="DB828" s="2123">
        <v>247.31</v>
      </c>
      <c r="DC828" s="2123">
        <v>319.17</v>
      </c>
      <c r="DD828" s="2123">
        <v>319.17</v>
      </c>
      <c r="DE828" s="2123">
        <v>319.17</v>
      </c>
      <c r="DF828" s="2123">
        <v>319.17</v>
      </c>
      <c r="DI828" s="2123">
        <v>31.26</v>
      </c>
      <c r="DJ828" s="2123">
        <v>31.26</v>
      </c>
      <c r="DK828" s="2123">
        <v>31.26</v>
      </c>
      <c r="DL828" s="2123">
        <v>31.26</v>
      </c>
      <c r="DM828" s="2123">
        <v>31.26</v>
      </c>
      <c r="DN828" s="2123">
        <v>31.26</v>
      </c>
      <c r="DU828" s="2123">
        <v>13.92</v>
      </c>
      <c r="DV828" s="2123">
        <v>13.92</v>
      </c>
      <c r="DW828" s="2123">
        <v>13.39</v>
      </c>
      <c r="DX828" s="2123">
        <v>13.39</v>
      </c>
      <c r="DY828" s="2123">
        <v>13.39</v>
      </c>
      <c r="DZ828" s="2123">
        <v>13.39</v>
      </c>
      <c r="EG828" s="2123">
        <v>14.92</v>
      </c>
      <c r="EH828" s="2123">
        <v>15.09</v>
      </c>
      <c r="EI828" s="2123">
        <v>12.19</v>
      </c>
      <c r="EJ828" s="2123">
        <v>12.19</v>
      </c>
      <c r="EK828" s="2123">
        <v>12.19</v>
      </c>
      <c r="EL828" s="2123">
        <v>12.19</v>
      </c>
      <c r="EM828" s="2123">
        <v>12.77</v>
      </c>
      <c r="EN828" s="2123">
        <v>12.77</v>
      </c>
      <c r="EO828" s="2123">
        <v>12.13</v>
      </c>
      <c r="EP828" s="2123">
        <v>12.13</v>
      </c>
      <c r="EQ828" s="2123">
        <v>12.49</v>
      </c>
      <c r="ER828" s="2123">
        <v>12.33</v>
      </c>
      <c r="ES828" s="2123">
        <v>57.17</v>
      </c>
      <c r="ET828" s="2123">
        <v>57.17</v>
      </c>
      <c r="EU828" s="2123">
        <v>249.96</v>
      </c>
      <c r="EV828" s="2123">
        <v>249.96</v>
      </c>
      <c r="EW828" s="2123">
        <v>244.6</v>
      </c>
      <c r="EX828" s="2123">
        <v>244.6</v>
      </c>
      <c r="EY828" s="2129">
        <f t="shared" si="51"/>
        <v>247.28</v>
      </c>
      <c r="EZ828" s="2129">
        <f t="shared" si="51"/>
        <v>247.28</v>
      </c>
      <c r="FA828" s="2123">
        <v>247.78</v>
      </c>
      <c r="FB828" s="2123">
        <v>247.78</v>
      </c>
      <c r="FE828" s="2123">
        <v>49.17</v>
      </c>
      <c r="FF828" s="2123">
        <v>49.17</v>
      </c>
      <c r="FG828" s="2123">
        <v>210.66</v>
      </c>
      <c r="FH828" s="2123">
        <v>210.66</v>
      </c>
      <c r="FI828" s="2123">
        <v>210.66</v>
      </c>
      <c r="FJ828" s="2123">
        <v>212</v>
      </c>
      <c r="FK828" s="2123">
        <v>210.25</v>
      </c>
      <c r="FL828" s="2123">
        <v>210.25</v>
      </c>
      <c r="FM828" s="2123">
        <v>210.89</v>
      </c>
      <c r="FN828" s="2123">
        <v>210.89</v>
      </c>
      <c r="FQ828" s="2123">
        <v>111.08</v>
      </c>
      <c r="FR828" s="2123">
        <v>111.08</v>
      </c>
      <c r="FS828" s="2123">
        <v>223.27</v>
      </c>
      <c r="FT828" s="2123">
        <v>223.27</v>
      </c>
      <c r="FU828" s="2123">
        <v>223.27</v>
      </c>
      <c r="FV828" s="2123">
        <v>223.27</v>
      </c>
      <c r="FW828" s="2123">
        <v>223.64</v>
      </c>
      <c r="FX828" s="2123">
        <v>223.64</v>
      </c>
      <c r="GC828" s="2123">
        <v>78.48</v>
      </c>
      <c r="GD828" s="2123">
        <v>78.48</v>
      </c>
      <c r="GE828" s="2123">
        <v>176.26</v>
      </c>
      <c r="GF828" s="2123">
        <v>176.26</v>
      </c>
      <c r="GG828" s="2123">
        <v>176.26</v>
      </c>
      <c r="GH828" s="2123">
        <v>176.26</v>
      </c>
      <c r="GI828" s="2123">
        <v>194.72</v>
      </c>
      <c r="GJ828" s="2123">
        <v>194.72</v>
      </c>
      <c r="GK828" s="2123">
        <v>219.07</v>
      </c>
      <c r="GL828" s="2123">
        <v>219.07</v>
      </c>
      <c r="GO828" s="2123">
        <v>42.02</v>
      </c>
      <c r="GP828" s="2123">
        <v>42.02</v>
      </c>
      <c r="GQ828" s="2123">
        <v>36.799999999999997</v>
      </c>
      <c r="GR828" s="2123">
        <v>36.799999999999997</v>
      </c>
      <c r="GS828" s="2123">
        <v>36.799999999999997</v>
      </c>
      <c r="GT828" s="2123">
        <v>35.49</v>
      </c>
      <c r="GU828" s="2123">
        <v>35.49</v>
      </c>
      <c r="GV828" s="2123">
        <v>35.72</v>
      </c>
      <c r="GW828" s="2123">
        <v>208.81</v>
      </c>
      <c r="GX828" s="2123">
        <v>208.81</v>
      </c>
      <c r="HA828" s="2123">
        <v>29.32</v>
      </c>
      <c r="HB828" s="2123">
        <v>29.32</v>
      </c>
      <c r="HC828" s="2123">
        <v>22.9</v>
      </c>
      <c r="HD828" s="2123">
        <v>22.9</v>
      </c>
      <c r="HE828" s="2123">
        <v>23.55</v>
      </c>
      <c r="HF828" s="2123">
        <v>23.55</v>
      </c>
      <c r="HG828" s="2123">
        <v>23.55</v>
      </c>
      <c r="HH828" s="2123">
        <v>23.55</v>
      </c>
      <c r="HI828" s="2123">
        <v>23.55</v>
      </c>
      <c r="HJ828" s="2123">
        <v>23.55</v>
      </c>
      <c r="HK828" s="2123">
        <v>23.65</v>
      </c>
      <c r="HL828" s="2123">
        <v>23.82</v>
      </c>
      <c r="HM828" s="2123">
        <v>41.06</v>
      </c>
      <c r="HN828" s="2123">
        <v>41.06</v>
      </c>
      <c r="HO828" s="2123">
        <v>32.380000000000003</v>
      </c>
      <c r="HP828" s="2123">
        <v>32.380000000000003</v>
      </c>
      <c r="HQ828" s="2123">
        <v>33.32</v>
      </c>
      <c r="HR828" s="2123">
        <v>33.32</v>
      </c>
      <c r="HS828" s="2123">
        <v>33.32</v>
      </c>
      <c r="HT828" s="2123">
        <v>33.32</v>
      </c>
      <c r="HU828" s="2123">
        <v>33.32</v>
      </c>
      <c r="HV828" s="2123">
        <v>33.32</v>
      </c>
      <c r="HW828" s="2123">
        <v>33.4</v>
      </c>
      <c r="HX828" s="2050">
        <v>33.4</v>
      </c>
    </row>
    <row r="829" spans="1:232" s="2123" customFormat="1" ht="14" hidden="1" x14ac:dyDescent="0.3">
      <c r="A829" s="2040"/>
      <c r="B829" s="2127">
        <v>80</v>
      </c>
      <c r="C829" s="2128">
        <v>46.51</v>
      </c>
      <c r="D829" s="2128">
        <v>46.51</v>
      </c>
      <c r="E829" s="2128">
        <v>46.61</v>
      </c>
      <c r="F829" s="2128">
        <v>46.61</v>
      </c>
      <c r="G829" s="2128">
        <v>180.91</v>
      </c>
      <c r="H829" s="2128">
        <v>180.91</v>
      </c>
      <c r="I829" s="2128">
        <v>171.77</v>
      </c>
      <c r="J829" s="2128">
        <v>171.77</v>
      </c>
      <c r="K829" s="2128">
        <v>176.18</v>
      </c>
      <c r="L829" s="2128">
        <v>176.18</v>
      </c>
      <c r="M829" s="2128"/>
      <c r="N829" s="2128"/>
      <c r="O829" s="2128">
        <v>145.61000000000001</v>
      </c>
      <c r="P829" s="2128">
        <v>145.61000000000001</v>
      </c>
      <c r="Q829" s="2128">
        <v>145.13</v>
      </c>
      <c r="R829" s="2128">
        <v>145.62</v>
      </c>
      <c r="S829" s="2128">
        <v>270.60999999999996</v>
      </c>
      <c r="T829" s="2128">
        <v>270.48</v>
      </c>
      <c r="U829" s="2128">
        <v>261.08999999999997</v>
      </c>
      <c r="V829" s="2128">
        <v>261.08999999999997</v>
      </c>
      <c r="W829" s="2128">
        <v>270.48</v>
      </c>
      <c r="X829" s="2128">
        <v>270.48</v>
      </c>
      <c r="Y829" s="2128">
        <v>261.08999999999997</v>
      </c>
      <c r="Z829" s="2128">
        <v>270.48</v>
      </c>
      <c r="AA829" s="2128">
        <v>270.48</v>
      </c>
      <c r="AB829" s="2128">
        <v>270.48</v>
      </c>
      <c r="AC829" s="2128">
        <v>261.08999999999997</v>
      </c>
      <c r="AD829" s="2128">
        <v>261.08999999999997</v>
      </c>
      <c r="AE829" s="2128">
        <v>282.97000000000003</v>
      </c>
      <c r="AF829" s="2128">
        <v>274.83</v>
      </c>
      <c r="AG829" s="2128">
        <v>282.97000000000003</v>
      </c>
      <c r="AH829" s="2128">
        <v>282.97000000000003</v>
      </c>
      <c r="AI829" s="2128">
        <v>274.83</v>
      </c>
      <c r="AJ829" s="2128">
        <v>274.83</v>
      </c>
      <c r="AK829" s="2128">
        <v>275.20999999999998</v>
      </c>
      <c r="AL829" s="2128">
        <v>275.20999999999998</v>
      </c>
      <c r="AM829" s="2128">
        <v>76.959999999999994</v>
      </c>
      <c r="AN829" s="2128">
        <v>74.17</v>
      </c>
      <c r="AO829" s="2128">
        <v>74.17</v>
      </c>
      <c r="AP829" s="2128">
        <v>74.040000000000006</v>
      </c>
      <c r="AQ829" s="2128">
        <v>74.33</v>
      </c>
      <c r="AR829" s="2128">
        <v>74.33</v>
      </c>
      <c r="AS829" s="2128">
        <v>223.02</v>
      </c>
      <c r="AT829" s="2128">
        <v>223.02</v>
      </c>
      <c r="AU829" s="2128">
        <v>223.02</v>
      </c>
      <c r="AV829" s="2128">
        <v>227.97</v>
      </c>
      <c r="AW829" s="2128">
        <v>223.23</v>
      </c>
      <c r="AX829" s="2128">
        <v>223.23</v>
      </c>
      <c r="AY829" s="2128">
        <v>223.35</v>
      </c>
      <c r="AZ829" s="2128">
        <v>223.35</v>
      </c>
      <c r="BA829" s="2123">
        <v>97.43</v>
      </c>
      <c r="BB829" s="2123">
        <v>97.43</v>
      </c>
      <c r="BC829" s="2123">
        <v>24.74</v>
      </c>
      <c r="BD829" s="2123">
        <v>24.9</v>
      </c>
      <c r="BE829" s="2123">
        <v>27.63</v>
      </c>
      <c r="BF829" s="2123">
        <v>27.63</v>
      </c>
      <c r="BG829" s="2123">
        <v>24.77</v>
      </c>
      <c r="BH829" s="2123">
        <v>24.77</v>
      </c>
      <c r="BI829" s="2123">
        <v>24.57</v>
      </c>
      <c r="BJ829" s="2123">
        <v>24.57</v>
      </c>
      <c r="BK829" s="2123">
        <v>24.57</v>
      </c>
      <c r="BL829" s="2123">
        <v>24.57</v>
      </c>
      <c r="BM829" s="2123">
        <v>56.25</v>
      </c>
      <c r="BN829" s="2123">
        <v>56.25</v>
      </c>
      <c r="BO829" s="2123">
        <v>176.74</v>
      </c>
      <c r="BP829" s="2123">
        <v>176.74</v>
      </c>
      <c r="BQ829" s="2123">
        <v>176.74</v>
      </c>
      <c r="BR829" s="2123">
        <v>176.74</v>
      </c>
      <c r="BS829" s="2123">
        <v>228.91</v>
      </c>
      <c r="BT829" s="2123">
        <v>228.91</v>
      </c>
      <c r="BU829" s="2123">
        <v>228.91</v>
      </c>
      <c r="BV829" s="2123">
        <v>228.91</v>
      </c>
      <c r="BW829" s="2123">
        <v>228.91</v>
      </c>
      <c r="BX829" s="2123">
        <v>228.91</v>
      </c>
      <c r="BY829" s="2123">
        <v>51.06</v>
      </c>
      <c r="BZ829" s="2123">
        <v>51.06</v>
      </c>
      <c r="CA829" s="2123">
        <v>169.2</v>
      </c>
      <c r="CB829" s="2123">
        <v>169.2</v>
      </c>
      <c r="CC829" s="2123">
        <v>171.75</v>
      </c>
      <c r="CD829" s="2123">
        <v>171.75</v>
      </c>
      <c r="CE829" s="2123">
        <v>225.67</v>
      </c>
      <c r="CF829" s="2123">
        <v>225.67</v>
      </c>
      <c r="CK829" s="2123">
        <v>126.91</v>
      </c>
      <c r="CL829" s="2123">
        <v>126.91</v>
      </c>
      <c r="CM829" s="2123">
        <v>256.08999999999997</v>
      </c>
      <c r="CN829" s="2123">
        <v>256.08999999999997</v>
      </c>
      <c r="CO829" s="2123">
        <v>330.36</v>
      </c>
      <c r="CP829" s="2123">
        <v>330.36</v>
      </c>
      <c r="CQ829" s="2123">
        <v>330.36</v>
      </c>
      <c r="CR829" s="2123">
        <v>330.36</v>
      </c>
      <c r="CW829" s="2123">
        <v>118.77</v>
      </c>
      <c r="CX829" s="2123">
        <v>118.77</v>
      </c>
      <c r="CY829" s="2123">
        <v>247.89</v>
      </c>
      <c r="CZ829" s="2123">
        <v>247.89</v>
      </c>
      <c r="DA829" s="2123">
        <v>247.89</v>
      </c>
      <c r="DB829" s="2123">
        <v>247.89</v>
      </c>
      <c r="DC829" s="2123">
        <v>320.12</v>
      </c>
      <c r="DD829" s="2123">
        <v>320.12</v>
      </c>
      <c r="DE829" s="2123">
        <v>320.12</v>
      </c>
      <c r="DF829" s="2123">
        <v>320.12</v>
      </c>
      <c r="DI829" s="2123">
        <v>31.34</v>
      </c>
      <c r="DJ829" s="2123">
        <v>31.34</v>
      </c>
      <c r="DK829" s="2123">
        <v>31.34</v>
      </c>
      <c r="DL829" s="2123">
        <v>31.34</v>
      </c>
      <c r="DM829" s="2123">
        <v>31.34</v>
      </c>
      <c r="DN829" s="2123">
        <v>31.34</v>
      </c>
      <c r="DU829" s="2123">
        <v>13.96</v>
      </c>
      <c r="DV829" s="2123">
        <v>13.96</v>
      </c>
      <c r="DW829" s="2123">
        <v>13.43</v>
      </c>
      <c r="DX829" s="2123">
        <v>13.43</v>
      </c>
      <c r="DY829" s="2123">
        <v>13.43</v>
      </c>
      <c r="DZ829" s="2123">
        <v>13.43</v>
      </c>
      <c r="EG829" s="2123">
        <v>14.96</v>
      </c>
      <c r="EH829" s="2123">
        <v>15.13</v>
      </c>
      <c r="EI829" s="2123">
        <v>12.25</v>
      </c>
      <c r="EJ829" s="2123">
        <v>12.25</v>
      </c>
      <c r="EK829" s="2123">
        <v>12.25</v>
      </c>
      <c r="EL829" s="2123">
        <v>12.25</v>
      </c>
      <c r="EM829" s="2123">
        <v>12.82</v>
      </c>
      <c r="EN829" s="2123">
        <v>12.82</v>
      </c>
      <c r="EO829" s="2123">
        <v>12.19</v>
      </c>
      <c r="EP829" s="2123">
        <v>12.19</v>
      </c>
      <c r="EQ829" s="2123">
        <v>12.54</v>
      </c>
      <c r="ER829" s="2123">
        <v>12.39</v>
      </c>
      <c r="ES829" s="2123">
        <v>57.34</v>
      </c>
      <c r="ET829" s="2123">
        <v>57.34</v>
      </c>
      <c r="EU829" s="2123">
        <v>251.01</v>
      </c>
      <c r="EV829" s="2123">
        <v>251.01</v>
      </c>
      <c r="EW829" s="2123">
        <v>245.63</v>
      </c>
      <c r="EX829" s="2123">
        <v>245.63</v>
      </c>
      <c r="EY829" s="2129">
        <f t="shared" si="51"/>
        <v>248.32</v>
      </c>
      <c r="EZ829" s="2129">
        <f t="shared" si="51"/>
        <v>248.32</v>
      </c>
      <c r="FA829" s="2123">
        <v>248.78</v>
      </c>
      <c r="FB829" s="2123">
        <v>248.78</v>
      </c>
      <c r="FE829" s="2123">
        <v>49.32</v>
      </c>
      <c r="FF829" s="2123">
        <v>49.32</v>
      </c>
      <c r="FG829" s="2123">
        <v>211.56</v>
      </c>
      <c r="FH829" s="2123">
        <v>211.56</v>
      </c>
      <c r="FI829" s="2123">
        <v>211.56</v>
      </c>
      <c r="FJ829" s="2123">
        <v>212.87</v>
      </c>
      <c r="FK829" s="2123">
        <v>211.15</v>
      </c>
      <c r="FL829" s="2123">
        <v>211.15</v>
      </c>
      <c r="FM829" s="2123">
        <v>211.78</v>
      </c>
      <c r="FN829" s="2123">
        <v>211.78</v>
      </c>
      <c r="FQ829" s="2123">
        <v>111.42</v>
      </c>
      <c r="FR829" s="2123">
        <v>111.42</v>
      </c>
      <c r="FS829" s="2123">
        <v>224.05</v>
      </c>
      <c r="FT829" s="2123">
        <v>224.05</v>
      </c>
      <c r="FU829" s="2123">
        <v>224.05</v>
      </c>
      <c r="FV829" s="2123">
        <v>224.05</v>
      </c>
      <c r="FW829" s="2123">
        <v>224.42</v>
      </c>
      <c r="FX829" s="2123">
        <v>224.42</v>
      </c>
      <c r="GC829" s="2123">
        <v>78.709999999999994</v>
      </c>
      <c r="GD829" s="2123">
        <v>78.709999999999994</v>
      </c>
      <c r="GE829" s="2123">
        <v>176.74</v>
      </c>
      <c r="GF829" s="2123">
        <v>176.74</v>
      </c>
      <c r="GG829" s="2123">
        <v>176.74</v>
      </c>
      <c r="GH829" s="2123">
        <v>176.74</v>
      </c>
      <c r="GI829" s="2123">
        <v>195.79</v>
      </c>
      <c r="GJ829" s="2123">
        <v>195.79</v>
      </c>
      <c r="GK829" s="2123">
        <v>219.94</v>
      </c>
      <c r="GL829" s="2123">
        <v>219.94</v>
      </c>
      <c r="GO829" s="2123">
        <v>42.14</v>
      </c>
      <c r="GP829" s="2123">
        <v>42.14</v>
      </c>
      <c r="GQ829" s="2123">
        <v>36.93</v>
      </c>
      <c r="GR829" s="2123">
        <v>36.93</v>
      </c>
      <c r="GS829" s="2123">
        <v>36.93</v>
      </c>
      <c r="GT829" s="2123">
        <v>35.61</v>
      </c>
      <c r="GU829" s="2123">
        <v>35.61</v>
      </c>
      <c r="GV829" s="2123">
        <v>35.840000000000003</v>
      </c>
      <c r="GW829" s="2123">
        <v>209.5</v>
      </c>
      <c r="GX829" s="2123">
        <v>209.5</v>
      </c>
      <c r="HA829" s="2123">
        <v>29.4</v>
      </c>
      <c r="HB829" s="2123">
        <v>29.4</v>
      </c>
      <c r="HC829" s="2123">
        <v>23.01</v>
      </c>
      <c r="HD829" s="2123">
        <v>23.01</v>
      </c>
      <c r="HE829" s="2123">
        <v>23.71</v>
      </c>
      <c r="HF829" s="2123">
        <v>23.71</v>
      </c>
      <c r="HG829" s="2123">
        <v>23.71</v>
      </c>
      <c r="HH829" s="2123">
        <v>23.71</v>
      </c>
      <c r="HI829" s="2123">
        <v>23.71</v>
      </c>
      <c r="HJ829" s="2123">
        <v>23.71</v>
      </c>
      <c r="HK829" s="2123">
        <v>23.76</v>
      </c>
      <c r="HL829" s="2123">
        <v>23.93</v>
      </c>
      <c r="HM829" s="2123">
        <v>41.16</v>
      </c>
      <c r="HN829" s="2123">
        <v>41.16</v>
      </c>
      <c r="HO829" s="2123">
        <v>32.520000000000003</v>
      </c>
      <c r="HP829" s="2123">
        <v>32.520000000000003</v>
      </c>
      <c r="HQ829" s="2123">
        <v>33.520000000000003</v>
      </c>
      <c r="HR829" s="2123">
        <v>33.520000000000003</v>
      </c>
      <c r="HS829" s="2123">
        <v>33.520000000000003</v>
      </c>
      <c r="HT829" s="2123">
        <v>33.520000000000003</v>
      </c>
      <c r="HU829" s="2123">
        <v>33.520000000000003</v>
      </c>
      <c r="HV829" s="2123">
        <v>33.520000000000003</v>
      </c>
      <c r="HW829" s="2123">
        <v>33.53</v>
      </c>
      <c r="HX829" s="2050">
        <v>33.53</v>
      </c>
    </row>
    <row r="830" spans="1:232" s="2123" customFormat="1" ht="14" hidden="1" x14ac:dyDescent="0.3">
      <c r="A830" s="2040"/>
      <c r="B830" s="2127">
        <v>81</v>
      </c>
      <c r="C830" s="2128">
        <v>46.64</v>
      </c>
      <c r="D830" s="2128">
        <v>46.64</v>
      </c>
      <c r="E830" s="2128">
        <v>46.73</v>
      </c>
      <c r="F830" s="2128">
        <v>46.73</v>
      </c>
      <c r="G830" s="2128">
        <v>181.47</v>
      </c>
      <c r="H830" s="2128">
        <v>181.47</v>
      </c>
      <c r="I830" s="2128">
        <v>172.42</v>
      </c>
      <c r="J830" s="2128">
        <v>172.42</v>
      </c>
      <c r="K830" s="2128">
        <v>176.76</v>
      </c>
      <c r="L830" s="2128">
        <v>176.76</v>
      </c>
      <c r="M830" s="2128"/>
      <c r="N830" s="2128"/>
      <c r="O830" s="2128">
        <v>146.06</v>
      </c>
      <c r="P830" s="2128">
        <v>146.06</v>
      </c>
      <c r="Q830" s="2128">
        <v>145.57</v>
      </c>
      <c r="R830" s="2128">
        <v>146.06</v>
      </c>
      <c r="S830" s="2128">
        <v>271.77999999999997</v>
      </c>
      <c r="T830" s="2128">
        <v>271.60000000000002</v>
      </c>
      <c r="U830" s="2128">
        <v>262.17</v>
      </c>
      <c r="V830" s="2128">
        <v>262.17</v>
      </c>
      <c r="W830" s="2128">
        <v>271.60000000000002</v>
      </c>
      <c r="X830" s="2128">
        <v>271.60000000000002</v>
      </c>
      <c r="Y830" s="2128">
        <v>262.17</v>
      </c>
      <c r="Z830" s="2128">
        <v>271.60000000000002</v>
      </c>
      <c r="AA830" s="2128">
        <v>271.60000000000002</v>
      </c>
      <c r="AB830" s="2128">
        <v>271.60000000000002</v>
      </c>
      <c r="AC830" s="2128">
        <v>262.17</v>
      </c>
      <c r="AD830" s="2128">
        <v>262.17</v>
      </c>
      <c r="AE830" s="2128">
        <v>283.98</v>
      </c>
      <c r="AF830" s="2128">
        <v>275.81</v>
      </c>
      <c r="AG830" s="2128">
        <v>283.98</v>
      </c>
      <c r="AH830" s="2128">
        <v>283.98</v>
      </c>
      <c r="AI830" s="2128">
        <v>275.81</v>
      </c>
      <c r="AJ830" s="2128">
        <v>275.81</v>
      </c>
      <c r="AK830" s="2128">
        <v>276.18</v>
      </c>
      <c r="AL830" s="2128">
        <v>276.18</v>
      </c>
      <c r="AM830" s="2128">
        <v>77.19</v>
      </c>
      <c r="AN830" s="2128">
        <v>74.38</v>
      </c>
      <c r="AO830" s="2128">
        <v>74.38</v>
      </c>
      <c r="AP830" s="2128">
        <v>74.23</v>
      </c>
      <c r="AQ830" s="2128">
        <v>74.510000000000005</v>
      </c>
      <c r="AR830" s="2128">
        <v>74.510000000000005</v>
      </c>
      <c r="AS830" s="2128">
        <v>223.72</v>
      </c>
      <c r="AT830" s="2128">
        <v>223.72</v>
      </c>
      <c r="AU830" s="2128">
        <v>223.72</v>
      </c>
      <c r="AV830" s="2128">
        <v>228.68</v>
      </c>
      <c r="AW830" s="2128">
        <v>223.93</v>
      </c>
      <c r="AX830" s="2128">
        <v>223.93</v>
      </c>
      <c r="AY830" s="2128">
        <v>224.05</v>
      </c>
      <c r="AZ830" s="2128">
        <v>224.05</v>
      </c>
      <c r="BA830" s="2123">
        <v>97.84</v>
      </c>
      <c r="BB830" s="2123">
        <v>97.84</v>
      </c>
      <c r="BC830" s="2123">
        <v>24.85</v>
      </c>
      <c r="BD830" s="2123">
        <v>25.01</v>
      </c>
      <c r="BE830" s="2123">
        <v>27.72</v>
      </c>
      <c r="BF830" s="2123">
        <v>27.72</v>
      </c>
      <c r="BG830" s="2123">
        <v>24.89</v>
      </c>
      <c r="BH830" s="2123">
        <v>24.89</v>
      </c>
      <c r="BI830" s="2123">
        <v>24.69</v>
      </c>
      <c r="BJ830" s="2123">
        <v>24.69</v>
      </c>
      <c r="BK830" s="2123">
        <v>24.69</v>
      </c>
      <c r="BL830" s="2123">
        <v>24.69</v>
      </c>
      <c r="BM830" s="2123">
        <v>56.4</v>
      </c>
      <c r="BN830" s="2123">
        <v>56.4</v>
      </c>
      <c r="BO830" s="2123">
        <v>177.31</v>
      </c>
      <c r="BP830" s="2123">
        <v>177.31</v>
      </c>
      <c r="BQ830" s="2123">
        <v>177.31</v>
      </c>
      <c r="BR830" s="2123">
        <v>177.31</v>
      </c>
      <c r="BS830" s="2123">
        <v>229.8</v>
      </c>
      <c r="BT830" s="2123">
        <v>229.8</v>
      </c>
      <c r="BU830" s="2123">
        <v>229.8</v>
      </c>
      <c r="BV830" s="2123">
        <v>229.8</v>
      </c>
      <c r="BW830" s="2123">
        <v>229.8</v>
      </c>
      <c r="BX830" s="2123">
        <v>229.8</v>
      </c>
      <c r="BY830" s="2123">
        <v>51.2</v>
      </c>
      <c r="BZ830" s="2123">
        <v>51.2</v>
      </c>
      <c r="CA830" s="2123">
        <v>169.74</v>
      </c>
      <c r="CB830" s="2123">
        <v>169.74</v>
      </c>
      <c r="CC830" s="2123">
        <v>172.29</v>
      </c>
      <c r="CD830" s="2123">
        <v>172.29</v>
      </c>
      <c r="CE830" s="2123">
        <v>226.51</v>
      </c>
      <c r="CF830" s="2123">
        <v>226.51</v>
      </c>
      <c r="CK830" s="2123">
        <v>127.27</v>
      </c>
      <c r="CL830" s="2123">
        <v>127.27</v>
      </c>
      <c r="CM830" s="2123">
        <v>256.70999999999998</v>
      </c>
      <c r="CN830" s="2123">
        <v>256.70999999999998</v>
      </c>
      <c r="CO830" s="2123">
        <v>331.37</v>
      </c>
      <c r="CP830" s="2123">
        <v>331.37</v>
      </c>
      <c r="CQ830" s="2123">
        <v>331.37</v>
      </c>
      <c r="CR830" s="2123">
        <v>331.37</v>
      </c>
      <c r="CW830" s="2123">
        <v>119.1</v>
      </c>
      <c r="CX830" s="2123">
        <v>119.1</v>
      </c>
      <c r="CY830" s="2123">
        <v>248.5</v>
      </c>
      <c r="CZ830" s="2123">
        <v>248.5</v>
      </c>
      <c r="DA830" s="2123">
        <v>248.5</v>
      </c>
      <c r="DB830" s="2123">
        <v>248.5</v>
      </c>
      <c r="DC830" s="2123">
        <v>321.11</v>
      </c>
      <c r="DD830" s="2123">
        <v>321.11</v>
      </c>
      <c r="DE830" s="2123">
        <v>321.11</v>
      </c>
      <c r="DF830" s="2123">
        <v>321.11</v>
      </c>
      <c r="DI830" s="2123">
        <v>31.42</v>
      </c>
      <c r="DJ830" s="2123">
        <v>31.42</v>
      </c>
      <c r="DK830" s="2123">
        <v>31.42</v>
      </c>
      <c r="DL830" s="2123">
        <v>31.42</v>
      </c>
      <c r="DM830" s="2123">
        <v>31.42</v>
      </c>
      <c r="DN830" s="2123">
        <v>31.42</v>
      </c>
      <c r="DU830" s="2123">
        <v>14.01</v>
      </c>
      <c r="DV830" s="2123">
        <v>14.01</v>
      </c>
      <c r="DW830" s="2123">
        <v>13.48</v>
      </c>
      <c r="DX830" s="2123">
        <v>13.48</v>
      </c>
      <c r="DY830" s="2123">
        <v>13.48</v>
      </c>
      <c r="DZ830" s="2123">
        <v>13.48</v>
      </c>
      <c r="EG830" s="2123">
        <v>15</v>
      </c>
      <c r="EH830" s="2123">
        <v>15.17</v>
      </c>
      <c r="EI830" s="2123">
        <v>12.31</v>
      </c>
      <c r="EJ830" s="2123">
        <v>12.31</v>
      </c>
      <c r="EK830" s="2123">
        <v>12.31</v>
      </c>
      <c r="EL830" s="2123">
        <v>12.31</v>
      </c>
      <c r="EM830" s="2123">
        <v>12.88</v>
      </c>
      <c r="EN830" s="2123">
        <v>12.88</v>
      </c>
      <c r="EO830" s="2123">
        <v>12.24</v>
      </c>
      <c r="EP830" s="2123">
        <v>12.24</v>
      </c>
      <c r="EQ830" s="2123">
        <v>12.6</v>
      </c>
      <c r="ER830" s="2123">
        <v>12.44</v>
      </c>
      <c r="ES830" s="2123">
        <v>57.51</v>
      </c>
      <c r="ET830" s="2123">
        <v>57.51</v>
      </c>
      <c r="EU830" s="2123">
        <v>252.03</v>
      </c>
      <c r="EV830" s="2123">
        <v>252.03</v>
      </c>
      <c r="EW830" s="2123">
        <v>246.65</v>
      </c>
      <c r="EX830" s="2123">
        <v>246.65</v>
      </c>
      <c r="EY830" s="2129">
        <f t="shared" si="51"/>
        <v>249.34</v>
      </c>
      <c r="EZ830" s="2129">
        <f t="shared" si="51"/>
        <v>249.34</v>
      </c>
      <c r="FA830" s="2123">
        <v>249.75</v>
      </c>
      <c r="FB830" s="2123">
        <v>249.75</v>
      </c>
      <c r="FE830" s="2123">
        <v>49.46</v>
      </c>
      <c r="FF830" s="2123">
        <v>49.46</v>
      </c>
      <c r="FG830" s="2123">
        <v>212.44</v>
      </c>
      <c r="FH830" s="2123">
        <v>212.44</v>
      </c>
      <c r="FI830" s="2123">
        <v>212.44</v>
      </c>
      <c r="FJ830" s="2123">
        <v>213.72</v>
      </c>
      <c r="FK830" s="2123">
        <v>212.04</v>
      </c>
      <c r="FL830" s="2123">
        <v>212.04</v>
      </c>
      <c r="FM830" s="2123">
        <v>212.66</v>
      </c>
      <c r="FN830" s="2123">
        <v>212.66</v>
      </c>
      <c r="FQ830" s="2123">
        <v>111.74</v>
      </c>
      <c r="FR830" s="2123">
        <v>111.74</v>
      </c>
      <c r="FS830" s="2123">
        <v>224.81</v>
      </c>
      <c r="FT830" s="2123">
        <v>224.81</v>
      </c>
      <c r="FU830" s="2123">
        <v>224.81</v>
      </c>
      <c r="FV830" s="2123">
        <v>224.81</v>
      </c>
      <c r="FW830" s="2123">
        <v>225.17</v>
      </c>
      <c r="FX830" s="2123">
        <v>225.17</v>
      </c>
      <c r="GC830" s="2123">
        <v>78.94</v>
      </c>
      <c r="GD830" s="2123">
        <v>78.94</v>
      </c>
      <c r="GE830" s="2123">
        <v>177.21</v>
      </c>
      <c r="GF830" s="2123">
        <v>177.21</v>
      </c>
      <c r="GG830" s="2123">
        <v>177.21</v>
      </c>
      <c r="GH830" s="2123">
        <v>177.21</v>
      </c>
      <c r="GI830" s="2123">
        <v>196.84</v>
      </c>
      <c r="GJ830" s="2123">
        <v>196.84</v>
      </c>
      <c r="GK830" s="2123">
        <v>220.8</v>
      </c>
      <c r="GL830" s="2123">
        <v>220.8</v>
      </c>
      <c r="GO830" s="2123">
        <v>42.27</v>
      </c>
      <c r="GP830" s="2123">
        <v>42.27</v>
      </c>
      <c r="GQ830" s="2123">
        <v>37.06</v>
      </c>
      <c r="GR830" s="2123">
        <v>37.06</v>
      </c>
      <c r="GS830" s="2123">
        <v>37.06</v>
      </c>
      <c r="GT830" s="2123">
        <v>35.75</v>
      </c>
      <c r="GU830" s="2123">
        <v>35.75</v>
      </c>
      <c r="GV830" s="2123">
        <v>35.97</v>
      </c>
      <c r="GW830" s="2123">
        <v>210.25</v>
      </c>
      <c r="GX830" s="2123">
        <v>210.25</v>
      </c>
      <c r="HA830" s="2123">
        <v>29.51</v>
      </c>
      <c r="HB830" s="2123">
        <v>29.51</v>
      </c>
      <c r="HC830" s="2123">
        <v>23.17</v>
      </c>
      <c r="HD830" s="2123">
        <v>23.17</v>
      </c>
      <c r="HE830" s="2123">
        <v>23.8</v>
      </c>
      <c r="HF830" s="2123">
        <v>23.8</v>
      </c>
      <c r="HG830" s="2123">
        <v>23.8</v>
      </c>
      <c r="HH830" s="2123">
        <v>23.8</v>
      </c>
      <c r="HI830" s="2123">
        <v>23.8</v>
      </c>
      <c r="HJ830" s="2123">
        <v>23.8</v>
      </c>
      <c r="HK830" s="2123">
        <v>23.91</v>
      </c>
      <c r="HL830" s="2123">
        <v>24.08</v>
      </c>
      <c r="HM830" s="2123">
        <v>41.31</v>
      </c>
      <c r="HN830" s="2123">
        <v>41.31</v>
      </c>
      <c r="HO830" s="2123">
        <v>32.729999999999997</v>
      </c>
      <c r="HP830" s="2123">
        <v>32.729999999999997</v>
      </c>
      <c r="HQ830" s="2123">
        <v>33.700000000000003</v>
      </c>
      <c r="HR830" s="2123">
        <v>33.700000000000003</v>
      </c>
      <c r="HS830" s="2123">
        <v>33.700000000000003</v>
      </c>
      <c r="HT830" s="2123">
        <v>33.700000000000003</v>
      </c>
      <c r="HU830" s="2123">
        <v>33.700000000000003</v>
      </c>
      <c r="HV830" s="2123">
        <v>33.700000000000003</v>
      </c>
      <c r="HW830" s="2123">
        <v>33.729999999999997</v>
      </c>
      <c r="HX830" s="2050">
        <v>33.729999999999997</v>
      </c>
    </row>
    <row r="831" spans="1:232" s="2123" customFormat="1" ht="14" hidden="1" x14ac:dyDescent="0.3">
      <c r="A831" s="2040"/>
      <c r="B831" s="2127">
        <v>82</v>
      </c>
      <c r="C831" s="2128">
        <v>46.75</v>
      </c>
      <c r="D831" s="2128">
        <v>46.75</v>
      </c>
      <c r="E831" s="2128">
        <v>46.84</v>
      </c>
      <c r="F831" s="2128">
        <v>46.84</v>
      </c>
      <c r="G831" s="2128">
        <v>182.16</v>
      </c>
      <c r="H831" s="2128">
        <v>182.16</v>
      </c>
      <c r="I831" s="2128">
        <v>172.99</v>
      </c>
      <c r="J831" s="2128">
        <v>172.99</v>
      </c>
      <c r="K831" s="2128">
        <v>177.26</v>
      </c>
      <c r="L831" s="2128">
        <v>177.26</v>
      </c>
      <c r="M831" s="2128"/>
      <c r="N831" s="2128"/>
      <c r="O831" s="2128">
        <v>146.54</v>
      </c>
      <c r="P831" s="2128">
        <v>146.54</v>
      </c>
      <c r="Q831" s="2128">
        <v>146.04</v>
      </c>
      <c r="R831" s="2128">
        <v>146.55000000000001</v>
      </c>
      <c r="S831" s="2128">
        <v>273.08</v>
      </c>
      <c r="T831" s="2128">
        <v>272.7</v>
      </c>
      <c r="U831" s="2128">
        <v>263.23</v>
      </c>
      <c r="V831" s="2128">
        <v>263.23</v>
      </c>
      <c r="W831" s="2128">
        <v>272.7</v>
      </c>
      <c r="X831" s="2128">
        <v>272.7</v>
      </c>
      <c r="Y831" s="2128">
        <v>263.23</v>
      </c>
      <c r="Z831" s="2128">
        <v>272.7</v>
      </c>
      <c r="AA831" s="2128">
        <v>272.7</v>
      </c>
      <c r="AB831" s="2128">
        <v>272.7</v>
      </c>
      <c r="AC831" s="2128">
        <v>263.23</v>
      </c>
      <c r="AD831" s="2128">
        <v>263.23</v>
      </c>
      <c r="AE831" s="2128">
        <v>284.97000000000003</v>
      </c>
      <c r="AF831" s="2128">
        <v>276.76</v>
      </c>
      <c r="AG831" s="2128">
        <v>284.97000000000003</v>
      </c>
      <c r="AH831" s="2128">
        <v>284.97000000000003</v>
      </c>
      <c r="AI831" s="2128">
        <v>276.76</v>
      </c>
      <c r="AJ831" s="2128">
        <v>276.76</v>
      </c>
      <c r="AK831" s="2128">
        <v>277.13</v>
      </c>
      <c r="AL831" s="2128">
        <v>277.13</v>
      </c>
      <c r="AM831" s="2128">
        <v>77.400000000000006</v>
      </c>
      <c r="AN831" s="2128">
        <v>74.59</v>
      </c>
      <c r="AO831" s="2128">
        <v>74.59</v>
      </c>
      <c r="AP831" s="2128">
        <v>74.48</v>
      </c>
      <c r="AQ831" s="2128">
        <v>74.760000000000005</v>
      </c>
      <c r="AR831" s="2128">
        <v>74.760000000000005</v>
      </c>
      <c r="AS831" s="2128">
        <v>224.71</v>
      </c>
      <c r="AT831" s="2128">
        <v>224.71</v>
      </c>
      <c r="AU831" s="2128">
        <v>224.71</v>
      </c>
      <c r="AV831" s="2128">
        <v>229.68</v>
      </c>
      <c r="AW831" s="2128">
        <v>224.92</v>
      </c>
      <c r="AX831" s="2128">
        <v>224.92</v>
      </c>
      <c r="AY831" s="2128">
        <v>225.04</v>
      </c>
      <c r="AZ831" s="2128">
        <v>225.04</v>
      </c>
      <c r="BA831" s="2123">
        <v>98.32</v>
      </c>
      <c r="BB831" s="2123">
        <v>98.32</v>
      </c>
      <c r="BC831" s="2123">
        <v>24.96</v>
      </c>
      <c r="BD831" s="2123">
        <v>25.12</v>
      </c>
      <c r="BE831" s="2123">
        <v>27.83</v>
      </c>
      <c r="BF831" s="2123">
        <v>27.83</v>
      </c>
      <c r="BG831" s="2123">
        <v>25.04</v>
      </c>
      <c r="BH831" s="2123">
        <v>25.04</v>
      </c>
      <c r="BI831" s="2123">
        <v>24.83</v>
      </c>
      <c r="BJ831" s="2123">
        <v>24.83</v>
      </c>
      <c r="BK831" s="2123">
        <v>24.83</v>
      </c>
      <c r="BL831" s="2123">
        <v>24.83</v>
      </c>
      <c r="BM831" s="2123">
        <v>56.58</v>
      </c>
      <c r="BN831" s="2123">
        <v>56.58</v>
      </c>
      <c r="BO831" s="2123">
        <v>177.97</v>
      </c>
      <c r="BP831" s="2123">
        <v>177.97</v>
      </c>
      <c r="BQ831" s="2123">
        <v>177.97</v>
      </c>
      <c r="BR831" s="2123">
        <v>177.97</v>
      </c>
      <c r="BS831" s="2123">
        <v>230.82</v>
      </c>
      <c r="BT831" s="2123">
        <v>230.82</v>
      </c>
      <c r="BU831" s="2123">
        <v>230.82</v>
      </c>
      <c r="BV831" s="2123">
        <v>230.82</v>
      </c>
      <c r="BW831" s="2123">
        <v>230.82</v>
      </c>
      <c r="BX831" s="2123">
        <v>230.82</v>
      </c>
      <c r="BY831" s="2123">
        <v>51.38</v>
      </c>
      <c r="BZ831" s="2123">
        <v>51.38</v>
      </c>
      <c r="CA831" s="2123">
        <v>170.46</v>
      </c>
      <c r="CB831" s="2123">
        <v>170.46</v>
      </c>
      <c r="CC831" s="2123">
        <v>173.03</v>
      </c>
      <c r="CD831" s="2123">
        <v>173.03</v>
      </c>
      <c r="CE831" s="2123">
        <v>227.66</v>
      </c>
      <c r="CF831" s="2123">
        <v>227.66</v>
      </c>
      <c r="CK831" s="2123">
        <v>127.63</v>
      </c>
      <c r="CL831" s="2123">
        <v>127.63</v>
      </c>
      <c r="CM831" s="2123">
        <v>257.32</v>
      </c>
      <c r="CN831" s="2123">
        <v>257.32</v>
      </c>
      <c r="CO831" s="2123">
        <v>332.36</v>
      </c>
      <c r="CP831" s="2123">
        <v>332.36</v>
      </c>
      <c r="CQ831" s="2123">
        <v>332.36</v>
      </c>
      <c r="CR831" s="2123">
        <v>332.36</v>
      </c>
      <c r="CW831" s="2123">
        <v>119.44</v>
      </c>
      <c r="CX831" s="2123">
        <v>119.44</v>
      </c>
      <c r="CY831" s="2123">
        <v>249.1</v>
      </c>
      <c r="CZ831" s="2123">
        <v>249.1</v>
      </c>
      <c r="DA831" s="2123">
        <v>249.1</v>
      </c>
      <c r="DB831" s="2123">
        <v>249.1</v>
      </c>
      <c r="DC831" s="2123">
        <v>322.08999999999997</v>
      </c>
      <c r="DD831" s="2123">
        <v>322.08999999999997</v>
      </c>
      <c r="DE831" s="2123">
        <v>322.08999999999997</v>
      </c>
      <c r="DF831" s="2123">
        <v>322.08999999999997</v>
      </c>
      <c r="DI831" s="2123">
        <v>31.51</v>
      </c>
      <c r="DJ831" s="2123">
        <v>31.51</v>
      </c>
      <c r="DK831" s="2123">
        <v>31.51</v>
      </c>
      <c r="DL831" s="2123">
        <v>31.51</v>
      </c>
      <c r="DM831" s="2123">
        <v>31.51</v>
      </c>
      <c r="DN831" s="2123">
        <v>31.51</v>
      </c>
      <c r="DU831" s="2123">
        <v>14.05</v>
      </c>
      <c r="DV831" s="2123">
        <v>14.05</v>
      </c>
      <c r="DW831" s="2123">
        <v>13.52</v>
      </c>
      <c r="DX831" s="2123">
        <v>13.52</v>
      </c>
      <c r="DY831" s="2123">
        <v>13.52</v>
      </c>
      <c r="DZ831" s="2123">
        <v>13.52</v>
      </c>
      <c r="EG831" s="2123">
        <v>15.05</v>
      </c>
      <c r="EH831" s="2123">
        <v>15.21</v>
      </c>
      <c r="EI831" s="2123">
        <v>12.36</v>
      </c>
      <c r="EJ831" s="2123">
        <v>12.36</v>
      </c>
      <c r="EK831" s="2123">
        <v>12.36</v>
      </c>
      <c r="EL831" s="2123">
        <v>12.36</v>
      </c>
      <c r="EM831" s="2123">
        <v>12.93</v>
      </c>
      <c r="EN831" s="2123">
        <v>12.93</v>
      </c>
      <c r="EO831" s="2123">
        <v>12.3</v>
      </c>
      <c r="EP831" s="2123">
        <v>12.3</v>
      </c>
      <c r="EQ831" s="2123">
        <v>12.65</v>
      </c>
      <c r="ER831" s="2123">
        <v>12.49</v>
      </c>
      <c r="ES831" s="2123">
        <v>57.67</v>
      </c>
      <c r="ET831" s="2123">
        <v>57.67</v>
      </c>
      <c r="EU831" s="2123">
        <v>253.04</v>
      </c>
      <c r="EV831" s="2123">
        <v>253.04</v>
      </c>
      <c r="EW831" s="2123">
        <v>247.64</v>
      </c>
      <c r="EX831" s="2123">
        <v>247.64</v>
      </c>
      <c r="EY831" s="2129">
        <f t="shared" si="51"/>
        <v>250.33999999999997</v>
      </c>
      <c r="EZ831" s="2129">
        <f t="shared" si="51"/>
        <v>250.33999999999997</v>
      </c>
      <c r="FA831" s="2123">
        <v>250.71</v>
      </c>
      <c r="FB831" s="2123">
        <v>250.71</v>
      </c>
      <c r="FE831" s="2123">
        <v>49.61</v>
      </c>
      <c r="FF831" s="2123">
        <v>49.61</v>
      </c>
      <c r="FG831" s="2123">
        <v>213.3</v>
      </c>
      <c r="FH831" s="2123">
        <v>213.3</v>
      </c>
      <c r="FI831" s="2123">
        <v>213.3</v>
      </c>
      <c r="FJ831" s="2123">
        <v>214.56</v>
      </c>
      <c r="FK831" s="2123">
        <v>212.91</v>
      </c>
      <c r="FL831" s="2123">
        <v>212.91</v>
      </c>
      <c r="FM831" s="2123">
        <v>213.51</v>
      </c>
      <c r="FN831" s="2123">
        <v>213.51</v>
      </c>
      <c r="FQ831" s="2123">
        <v>112.06</v>
      </c>
      <c r="FR831" s="2123">
        <v>112.06</v>
      </c>
      <c r="FS831" s="2123">
        <v>225.56</v>
      </c>
      <c r="FT831" s="2123">
        <v>225.56</v>
      </c>
      <c r="FU831" s="2123">
        <v>225.56</v>
      </c>
      <c r="FV831" s="2123">
        <v>225.56</v>
      </c>
      <c r="FW831" s="2123">
        <v>225.91</v>
      </c>
      <c r="FX831" s="2123">
        <v>225.91</v>
      </c>
      <c r="GC831" s="2123">
        <v>79.16</v>
      </c>
      <c r="GD831" s="2123">
        <v>79.16</v>
      </c>
      <c r="GE831" s="2123">
        <v>177.67</v>
      </c>
      <c r="GF831" s="2123">
        <v>177.67</v>
      </c>
      <c r="GG831" s="2123">
        <v>177.67</v>
      </c>
      <c r="GH831" s="2123">
        <v>177.67</v>
      </c>
      <c r="GI831" s="2123">
        <v>197.87</v>
      </c>
      <c r="GJ831" s="2123">
        <v>197.87</v>
      </c>
      <c r="GK831" s="2123">
        <v>221.64</v>
      </c>
      <c r="GL831" s="2123">
        <v>221.64</v>
      </c>
      <c r="GO831" s="2123">
        <v>42.39</v>
      </c>
      <c r="GP831" s="2123">
        <v>42.39</v>
      </c>
      <c r="GQ831" s="2123">
        <v>37.24</v>
      </c>
      <c r="GR831" s="2123">
        <v>37.24</v>
      </c>
      <c r="GS831" s="2123">
        <v>37.24</v>
      </c>
      <c r="GT831" s="2123">
        <v>35.909999999999997</v>
      </c>
      <c r="GU831" s="2123">
        <v>35.909999999999997</v>
      </c>
      <c r="GV831" s="2123">
        <v>36.130000000000003</v>
      </c>
      <c r="GW831" s="2123">
        <v>211.2</v>
      </c>
      <c r="GX831" s="2123">
        <v>211.2</v>
      </c>
      <c r="HA831" s="2123">
        <v>29.57</v>
      </c>
      <c r="HB831" s="2123">
        <v>29.57</v>
      </c>
      <c r="HC831" s="2123">
        <v>23.26</v>
      </c>
      <c r="HD831" s="2123">
        <v>23.26</v>
      </c>
      <c r="HE831" s="2123">
        <v>23.96</v>
      </c>
      <c r="HF831" s="2123">
        <v>23.96</v>
      </c>
      <c r="HG831" s="2123">
        <v>23.96</v>
      </c>
      <c r="HH831" s="2123">
        <v>23.96</v>
      </c>
      <c r="HI831" s="2123">
        <v>23.96</v>
      </c>
      <c r="HJ831" s="2123">
        <v>23.96</v>
      </c>
      <c r="HK831" s="2123">
        <v>24</v>
      </c>
      <c r="HL831" s="2123">
        <v>24.16</v>
      </c>
      <c r="HM831" s="2123">
        <v>41.45</v>
      </c>
      <c r="HN831" s="2123">
        <v>41.45</v>
      </c>
      <c r="HO831" s="2123">
        <v>32.92</v>
      </c>
      <c r="HP831" s="2123">
        <v>32.92</v>
      </c>
      <c r="HQ831" s="2123">
        <v>33.83</v>
      </c>
      <c r="HR831" s="2123">
        <v>33.83</v>
      </c>
      <c r="HS831" s="2123">
        <v>33.83</v>
      </c>
      <c r="HT831" s="2123">
        <v>33.83</v>
      </c>
      <c r="HU831" s="2123">
        <v>33.83</v>
      </c>
      <c r="HV831" s="2123">
        <v>33.83</v>
      </c>
      <c r="HW831" s="2123">
        <v>33.909999999999997</v>
      </c>
      <c r="HX831" s="2050">
        <v>33.909999999999997</v>
      </c>
    </row>
    <row r="832" spans="1:232" s="2123" customFormat="1" ht="14" hidden="1" x14ac:dyDescent="0.3">
      <c r="A832" s="2040"/>
      <c r="B832" s="2127">
        <v>83</v>
      </c>
      <c r="C832" s="2128">
        <v>46.89</v>
      </c>
      <c r="D832" s="2128">
        <v>46.89</v>
      </c>
      <c r="E832" s="2128">
        <v>46.98</v>
      </c>
      <c r="F832" s="2128">
        <v>46.98</v>
      </c>
      <c r="G832" s="2128">
        <v>182.79</v>
      </c>
      <c r="H832" s="2128">
        <v>182.79</v>
      </c>
      <c r="I832" s="2128">
        <v>173.71</v>
      </c>
      <c r="J832" s="2128">
        <v>173.71</v>
      </c>
      <c r="K832" s="2128">
        <v>177.88</v>
      </c>
      <c r="L832" s="2128">
        <v>177.88</v>
      </c>
      <c r="M832" s="2128"/>
      <c r="N832" s="2128"/>
      <c r="O832" s="2128">
        <v>146.97</v>
      </c>
      <c r="P832" s="2128">
        <v>146.97</v>
      </c>
      <c r="Q832" s="2128">
        <v>146.46</v>
      </c>
      <c r="R832" s="2128">
        <v>146.97999999999999</v>
      </c>
      <c r="S832" s="2128">
        <v>274.21999999999997</v>
      </c>
      <c r="T832" s="2128">
        <v>273.77999999999997</v>
      </c>
      <c r="U832" s="2128">
        <v>264.27</v>
      </c>
      <c r="V832" s="2128">
        <v>264.27</v>
      </c>
      <c r="W832" s="2128">
        <v>273.77999999999997</v>
      </c>
      <c r="X832" s="2128">
        <v>273.77999999999997</v>
      </c>
      <c r="Y832" s="2128">
        <v>264.27</v>
      </c>
      <c r="Z832" s="2128">
        <v>273.77999999999997</v>
      </c>
      <c r="AA832" s="2128">
        <v>273.77999999999997</v>
      </c>
      <c r="AB832" s="2128">
        <v>273.77999999999997</v>
      </c>
      <c r="AC832" s="2128">
        <v>264.27</v>
      </c>
      <c r="AD832" s="2128">
        <v>264.27</v>
      </c>
      <c r="AE832" s="2128">
        <v>285.93</v>
      </c>
      <c r="AF832" s="2128">
        <v>277.7</v>
      </c>
      <c r="AG832" s="2128">
        <v>285.93</v>
      </c>
      <c r="AH832" s="2128">
        <v>285.93</v>
      </c>
      <c r="AI832" s="2128">
        <v>277.7</v>
      </c>
      <c r="AJ832" s="2128">
        <v>277.7</v>
      </c>
      <c r="AK832" s="2128">
        <v>278.06</v>
      </c>
      <c r="AL832" s="2128">
        <v>278.06</v>
      </c>
      <c r="AM832" s="2128">
        <v>77.62</v>
      </c>
      <c r="AN832" s="2128">
        <v>74.8</v>
      </c>
      <c r="AO832" s="2128">
        <v>74.8</v>
      </c>
      <c r="AP832" s="2128">
        <v>74.709999999999994</v>
      </c>
      <c r="AQ832" s="2128">
        <v>74.98</v>
      </c>
      <c r="AR832" s="2128">
        <v>74.98</v>
      </c>
      <c r="AS832" s="2128">
        <v>225.56</v>
      </c>
      <c r="AT832" s="2128">
        <v>225.56</v>
      </c>
      <c r="AU832" s="2128">
        <v>225.56</v>
      </c>
      <c r="AV832" s="2128">
        <v>230.53</v>
      </c>
      <c r="AW832" s="2128">
        <v>225.76</v>
      </c>
      <c r="AX832" s="2128">
        <v>225.76</v>
      </c>
      <c r="AY832" s="2128">
        <v>225.88</v>
      </c>
      <c r="AZ832" s="2128">
        <v>225.88</v>
      </c>
      <c r="BA832" s="2123">
        <v>98.71</v>
      </c>
      <c r="BB832" s="2123">
        <v>98.71</v>
      </c>
      <c r="BC832" s="2123">
        <v>25.06</v>
      </c>
      <c r="BD832" s="2123">
        <v>25.22</v>
      </c>
      <c r="BE832" s="2123">
        <v>27.91</v>
      </c>
      <c r="BF832" s="2123">
        <v>27.91</v>
      </c>
      <c r="BG832" s="2123">
        <v>25.15</v>
      </c>
      <c r="BH832" s="2123">
        <v>25.15</v>
      </c>
      <c r="BI832" s="2123">
        <v>24.95</v>
      </c>
      <c r="BJ832" s="2123">
        <v>24.95</v>
      </c>
      <c r="BK832" s="2123">
        <v>24.95</v>
      </c>
      <c r="BL832" s="2123">
        <v>24.95</v>
      </c>
      <c r="BM832" s="2123">
        <v>56.73</v>
      </c>
      <c r="BN832" s="2123">
        <v>56.73</v>
      </c>
      <c r="BO832" s="2123">
        <v>178.49</v>
      </c>
      <c r="BP832" s="2123">
        <v>178.49</v>
      </c>
      <c r="BQ832" s="2123">
        <v>178.49</v>
      </c>
      <c r="BR832" s="2123">
        <v>178.49</v>
      </c>
      <c r="BS832" s="2123">
        <v>231.61</v>
      </c>
      <c r="BT832" s="2123">
        <v>231.61</v>
      </c>
      <c r="BU832" s="2123">
        <v>231.61</v>
      </c>
      <c r="BV832" s="2123">
        <v>231.61</v>
      </c>
      <c r="BW832" s="2123">
        <v>231.61</v>
      </c>
      <c r="BX832" s="2123">
        <v>231.61</v>
      </c>
      <c r="BY832" s="2123">
        <v>51.51</v>
      </c>
      <c r="BZ832" s="2123">
        <v>51.51</v>
      </c>
      <c r="CA832" s="2123">
        <v>170.96</v>
      </c>
      <c r="CB832" s="2123">
        <v>170.96</v>
      </c>
      <c r="CC832" s="2123">
        <v>173.55</v>
      </c>
      <c r="CD832" s="2123">
        <v>173.55</v>
      </c>
      <c r="CE832" s="2123">
        <v>228.45</v>
      </c>
      <c r="CF832" s="2123">
        <v>228.45</v>
      </c>
      <c r="CK832" s="2123">
        <v>127.91</v>
      </c>
      <c r="CL832" s="2123">
        <v>127.91</v>
      </c>
      <c r="CM832" s="2123">
        <v>257.91000000000003</v>
      </c>
      <c r="CN832" s="2123">
        <v>257.91000000000003</v>
      </c>
      <c r="CO832" s="2123">
        <v>333.34</v>
      </c>
      <c r="CP832" s="2123">
        <v>333.34</v>
      </c>
      <c r="CQ832" s="2123">
        <v>333.34</v>
      </c>
      <c r="CR832" s="2123">
        <v>333.34</v>
      </c>
      <c r="CW832" s="2123">
        <v>119.74</v>
      </c>
      <c r="CX832" s="2123">
        <v>119.74</v>
      </c>
      <c r="CY832" s="2123">
        <v>249.66</v>
      </c>
      <c r="CZ832" s="2123">
        <v>249.66</v>
      </c>
      <c r="DA832" s="2123">
        <v>249.66</v>
      </c>
      <c r="DB832" s="2123">
        <v>249.66</v>
      </c>
      <c r="DC832" s="2123">
        <v>323</v>
      </c>
      <c r="DD832" s="2123">
        <v>323</v>
      </c>
      <c r="DE832" s="2123">
        <v>323</v>
      </c>
      <c r="DF832" s="2123">
        <v>323</v>
      </c>
      <c r="DI832" s="2123">
        <v>31.59</v>
      </c>
      <c r="DJ832" s="2123">
        <v>31.59</v>
      </c>
      <c r="DK832" s="2123">
        <v>31.59</v>
      </c>
      <c r="DL832" s="2123">
        <v>31.59</v>
      </c>
      <c r="DM832" s="2123">
        <v>31.59</v>
      </c>
      <c r="DN832" s="2123">
        <v>31.59</v>
      </c>
      <c r="DU832" s="2123">
        <v>14.09</v>
      </c>
      <c r="DV832" s="2123">
        <v>14.09</v>
      </c>
      <c r="DW832" s="2123">
        <v>13.58</v>
      </c>
      <c r="DX832" s="2123">
        <v>13.58</v>
      </c>
      <c r="DY832" s="2123">
        <v>13.58</v>
      </c>
      <c r="DZ832" s="2123">
        <v>13.58</v>
      </c>
      <c r="EG832" s="2123">
        <v>15.09</v>
      </c>
      <c r="EH832" s="2123">
        <v>15.25</v>
      </c>
      <c r="EI832" s="2123">
        <v>12.42</v>
      </c>
      <c r="EJ832" s="2123">
        <v>12.42</v>
      </c>
      <c r="EK832" s="2123">
        <v>12.42</v>
      </c>
      <c r="EL832" s="2123">
        <v>12.42</v>
      </c>
      <c r="EM832" s="2123">
        <v>12.98</v>
      </c>
      <c r="EN832" s="2123">
        <v>12.98</v>
      </c>
      <c r="EO832" s="2123">
        <v>12.35</v>
      </c>
      <c r="EP832" s="2123">
        <v>12.35</v>
      </c>
      <c r="EQ832" s="2123">
        <v>12.71</v>
      </c>
      <c r="ER832" s="2123">
        <v>12.54</v>
      </c>
      <c r="ES832" s="2123">
        <v>57.83</v>
      </c>
      <c r="ET832" s="2123">
        <v>57.83</v>
      </c>
      <c r="EU832" s="2123">
        <v>254.02</v>
      </c>
      <c r="EV832" s="2123">
        <v>254.02</v>
      </c>
      <c r="EW832" s="2123">
        <v>248.61</v>
      </c>
      <c r="EX832" s="2123">
        <v>248.61</v>
      </c>
      <c r="EY832" s="2129">
        <f t="shared" si="51"/>
        <v>251.315</v>
      </c>
      <c r="EZ832" s="2129">
        <f t="shared" si="51"/>
        <v>251.315</v>
      </c>
      <c r="FA832" s="2123">
        <v>251.65</v>
      </c>
      <c r="FB832" s="2123">
        <v>251.65</v>
      </c>
      <c r="FE832" s="2123">
        <v>49.74</v>
      </c>
      <c r="FF832" s="2123">
        <v>49.74</v>
      </c>
      <c r="FG832" s="2123">
        <v>214.14</v>
      </c>
      <c r="FH832" s="2123">
        <v>214.14</v>
      </c>
      <c r="FI832" s="2123">
        <v>214.14</v>
      </c>
      <c r="FJ832" s="2123">
        <v>215.38</v>
      </c>
      <c r="FK832" s="2123">
        <v>213.76</v>
      </c>
      <c r="FL832" s="2123">
        <v>213.76</v>
      </c>
      <c r="FM832" s="2123">
        <v>214.35</v>
      </c>
      <c r="FN832" s="2123">
        <v>214.35</v>
      </c>
      <c r="FQ832" s="2123">
        <v>112.38</v>
      </c>
      <c r="FR832" s="2123">
        <v>112.38</v>
      </c>
      <c r="FS832" s="2123">
        <v>226.29</v>
      </c>
      <c r="FT832" s="2123">
        <v>226.29</v>
      </c>
      <c r="FU832" s="2123">
        <v>226.29</v>
      </c>
      <c r="FV832" s="2123">
        <v>226.29</v>
      </c>
      <c r="FW832" s="2123">
        <v>226.63</v>
      </c>
      <c r="FX832" s="2123">
        <v>226.63</v>
      </c>
      <c r="GC832" s="2123">
        <v>79.38</v>
      </c>
      <c r="GD832" s="2123">
        <v>79.38</v>
      </c>
      <c r="GE832" s="2123">
        <v>178.12</v>
      </c>
      <c r="GF832" s="2123">
        <v>178.12</v>
      </c>
      <c r="GG832" s="2123">
        <v>178.12</v>
      </c>
      <c r="GH832" s="2123">
        <v>178.12</v>
      </c>
      <c r="GI832" s="2123">
        <v>198.88</v>
      </c>
      <c r="GJ832" s="2123">
        <v>198.88</v>
      </c>
      <c r="GK832" s="2123">
        <v>222.46</v>
      </c>
      <c r="GL832" s="2123">
        <v>222.46</v>
      </c>
      <c r="GO832" s="2123">
        <v>42.5</v>
      </c>
      <c r="GP832" s="2123">
        <v>42.5</v>
      </c>
      <c r="GQ832" s="2123">
        <v>37.380000000000003</v>
      </c>
      <c r="GR832" s="2123">
        <v>37.380000000000003</v>
      </c>
      <c r="GS832" s="2123">
        <v>37.380000000000003</v>
      </c>
      <c r="GT832" s="2123">
        <v>36.049999999999997</v>
      </c>
      <c r="GU832" s="2123">
        <v>36.049999999999997</v>
      </c>
      <c r="GV832" s="2123">
        <v>36.26</v>
      </c>
      <c r="GW832" s="2123">
        <v>211.95</v>
      </c>
      <c r="GX832" s="2123">
        <v>211.95</v>
      </c>
      <c r="HA832" s="2123">
        <v>29.69</v>
      </c>
      <c r="HB832" s="2123">
        <v>29.69</v>
      </c>
      <c r="HC832" s="2123">
        <v>23.43</v>
      </c>
      <c r="HD832" s="2123">
        <v>23.43</v>
      </c>
      <c r="HE832" s="2123">
        <v>24.04</v>
      </c>
      <c r="HF832" s="2123">
        <v>24.04</v>
      </c>
      <c r="HG832" s="2123">
        <v>24.04</v>
      </c>
      <c r="HH832" s="2123">
        <v>24.04</v>
      </c>
      <c r="HI832" s="2123">
        <v>24.04</v>
      </c>
      <c r="HJ832" s="2123">
        <v>24.04</v>
      </c>
      <c r="HK832" s="2123">
        <v>24.16</v>
      </c>
      <c r="HL832" s="2123">
        <v>24.32</v>
      </c>
      <c r="HM832" s="2123">
        <v>41.55</v>
      </c>
      <c r="HN832" s="2123">
        <v>41.55</v>
      </c>
      <c r="HO832" s="2123">
        <v>33.06</v>
      </c>
      <c r="HP832" s="2123">
        <v>33.06</v>
      </c>
      <c r="HQ832" s="2123">
        <v>33.97</v>
      </c>
      <c r="HR832" s="2123">
        <v>33.97</v>
      </c>
      <c r="HS832" s="2123">
        <v>33.97</v>
      </c>
      <c r="HT832" s="2123">
        <v>33.97</v>
      </c>
      <c r="HU832" s="2123">
        <v>33.97</v>
      </c>
      <c r="HV832" s="2123">
        <v>33.97</v>
      </c>
      <c r="HW832" s="2123">
        <v>34.049999999999997</v>
      </c>
      <c r="HX832" s="2050">
        <v>34.049999999999997</v>
      </c>
    </row>
    <row r="833" spans="1:232" s="2123" customFormat="1" ht="14" hidden="1" x14ac:dyDescent="0.3">
      <c r="A833" s="2040"/>
      <c r="B833" s="2127">
        <v>84</v>
      </c>
      <c r="C833" s="2128">
        <v>47.02</v>
      </c>
      <c r="D833" s="2128">
        <v>47.02</v>
      </c>
      <c r="E833" s="2128">
        <v>47.11</v>
      </c>
      <c r="F833" s="2128">
        <v>47.11</v>
      </c>
      <c r="G833" s="2128">
        <v>183.33</v>
      </c>
      <c r="H833" s="2128">
        <v>183.33</v>
      </c>
      <c r="I833" s="2128">
        <v>174.35</v>
      </c>
      <c r="J833" s="2128">
        <v>174.35</v>
      </c>
      <c r="K833" s="2128">
        <v>178.44</v>
      </c>
      <c r="L833" s="2128">
        <v>178.44</v>
      </c>
      <c r="M833" s="2128"/>
      <c r="N833" s="2128"/>
      <c r="O833" s="2128">
        <v>147.36000000000001</v>
      </c>
      <c r="P833" s="2128">
        <v>147.36000000000001</v>
      </c>
      <c r="Q833" s="2128">
        <v>146.85</v>
      </c>
      <c r="R833" s="2128">
        <v>147.37</v>
      </c>
      <c r="S833" s="2128">
        <v>275.26</v>
      </c>
      <c r="T833" s="2128">
        <v>274.83</v>
      </c>
      <c r="U833" s="2128">
        <v>265.29000000000002</v>
      </c>
      <c r="V833" s="2128">
        <v>265.29000000000002</v>
      </c>
      <c r="W833" s="2128">
        <v>274.83</v>
      </c>
      <c r="X833" s="2128">
        <v>274.83</v>
      </c>
      <c r="Y833" s="2128">
        <v>265.29000000000002</v>
      </c>
      <c r="Z833" s="2128">
        <v>274.83</v>
      </c>
      <c r="AA833" s="2128">
        <v>274.83</v>
      </c>
      <c r="AB833" s="2128">
        <v>274.83</v>
      </c>
      <c r="AC833" s="2128">
        <v>265.29000000000002</v>
      </c>
      <c r="AD833" s="2128">
        <v>265.29000000000002</v>
      </c>
      <c r="AE833" s="2128">
        <v>286.88</v>
      </c>
      <c r="AF833" s="2128">
        <v>278.62</v>
      </c>
      <c r="AG833" s="2128">
        <v>286.88</v>
      </c>
      <c r="AH833" s="2128">
        <v>286.88</v>
      </c>
      <c r="AI833" s="2128">
        <v>278.62</v>
      </c>
      <c r="AJ833" s="2128">
        <v>278.62</v>
      </c>
      <c r="AK833" s="2128">
        <v>278.97000000000003</v>
      </c>
      <c r="AL833" s="2128">
        <v>278.97000000000003</v>
      </c>
      <c r="AM833" s="2128">
        <v>77.83</v>
      </c>
      <c r="AN833" s="2128">
        <v>75</v>
      </c>
      <c r="AO833" s="2128">
        <v>75</v>
      </c>
      <c r="AP833" s="2128">
        <v>74.92</v>
      </c>
      <c r="AQ833" s="2128">
        <v>75.180000000000007</v>
      </c>
      <c r="AR833" s="2128">
        <v>75.180000000000007</v>
      </c>
      <c r="AS833" s="2128">
        <v>226.37</v>
      </c>
      <c r="AT833" s="2128">
        <v>226.37</v>
      </c>
      <c r="AU833" s="2128">
        <v>226.37</v>
      </c>
      <c r="AV833" s="2128">
        <v>231.35</v>
      </c>
      <c r="AW833" s="2128">
        <v>226.56</v>
      </c>
      <c r="AX833" s="2128">
        <v>226.56</v>
      </c>
      <c r="AY833" s="2128">
        <v>226.68</v>
      </c>
      <c r="AZ833" s="2128">
        <v>226.68</v>
      </c>
      <c r="BA833" s="2123">
        <v>99.05</v>
      </c>
      <c r="BB833" s="2123">
        <v>99.05</v>
      </c>
      <c r="BC833" s="2123">
        <v>25.17</v>
      </c>
      <c r="BD833" s="2123">
        <v>25.32</v>
      </c>
      <c r="BE833" s="2123">
        <v>27.99</v>
      </c>
      <c r="BF833" s="2123">
        <v>27.99</v>
      </c>
      <c r="BG833" s="2123">
        <v>25.26</v>
      </c>
      <c r="BH833" s="2123">
        <v>25.26</v>
      </c>
      <c r="BI833" s="2123">
        <v>25.05</v>
      </c>
      <c r="BJ833" s="2123">
        <v>25.05</v>
      </c>
      <c r="BK833" s="2123">
        <v>25.05</v>
      </c>
      <c r="BL833" s="2123">
        <v>25.05</v>
      </c>
      <c r="BM833" s="2123">
        <v>56.89</v>
      </c>
      <c r="BN833" s="2123">
        <v>56.89</v>
      </c>
      <c r="BO833" s="2123">
        <v>179.07</v>
      </c>
      <c r="BP833" s="2123">
        <v>179.07</v>
      </c>
      <c r="BQ833" s="2123">
        <v>179.07</v>
      </c>
      <c r="BR833" s="2123">
        <v>179.07</v>
      </c>
      <c r="BS833" s="2123">
        <v>232.52</v>
      </c>
      <c r="BT833" s="2123">
        <v>232.52</v>
      </c>
      <c r="BU833" s="2123">
        <v>232.52</v>
      </c>
      <c r="BV833" s="2123">
        <v>232.52</v>
      </c>
      <c r="BW833" s="2123">
        <v>232.52</v>
      </c>
      <c r="BX833" s="2123">
        <v>232.52</v>
      </c>
      <c r="BY833" s="2123">
        <v>51.65</v>
      </c>
      <c r="BZ833" s="2123">
        <v>51.65</v>
      </c>
      <c r="CA833" s="2123">
        <v>171.52</v>
      </c>
      <c r="CB833" s="2123">
        <v>171.52</v>
      </c>
      <c r="CC833" s="2123">
        <v>174.12</v>
      </c>
      <c r="CD833" s="2123">
        <v>174.12</v>
      </c>
      <c r="CE833" s="2123">
        <v>229.34</v>
      </c>
      <c r="CF833" s="2123">
        <v>229.34</v>
      </c>
      <c r="CK833" s="2123">
        <v>128.24</v>
      </c>
      <c r="CL833" s="2123">
        <v>128.24</v>
      </c>
      <c r="CM833" s="2123">
        <v>258.51</v>
      </c>
      <c r="CN833" s="2123">
        <v>258.51</v>
      </c>
      <c r="CO833" s="2123">
        <v>334.33</v>
      </c>
      <c r="CP833" s="2123">
        <v>334.33</v>
      </c>
      <c r="CQ833" s="2123">
        <v>334.33</v>
      </c>
      <c r="CR833" s="2123">
        <v>334.33</v>
      </c>
      <c r="CW833" s="2123">
        <v>120.09</v>
      </c>
      <c r="CX833" s="2123">
        <v>120.09</v>
      </c>
      <c r="CY833" s="2123">
        <v>250.29</v>
      </c>
      <c r="CZ833" s="2123">
        <v>250.29</v>
      </c>
      <c r="DA833" s="2123">
        <v>250.29</v>
      </c>
      <c r="DB833" s="2123">
        <v>250.29</v>
      </c>
      <c r="DC833" s="2123">
        <v>324.02999999999997</v>
      </c>
      <c r="DD833" s="2123">
        <v>324.02999999999997</v>
      </c>
      <c r="DE833" s="2123">
        <v>324.02999999999997</v>
      </c>
      <c r="DF833" s="2123">
        <v>324.02999999999997</v>
      </c>
      <c r="DI833" s="2123">
        <v>31.69</v>
      </c>
      <c r="DJ833" s="2123">
        <v>31.69</v>
      </c>
      <c r="DK833" s="2123">
        <v>31.69</v>
      </c>
      <c r="DL833" s="2123">
        <v>31.69</v>
      </c>
      <c r="DM833" s="2123">
        <v>31.69</v>
      </c>
      <c r="DN833" s="2123">
        <v>31.69</v>
      </c>
      <c r="DU833" s="2123">
        <v>14.13</v>
      </c>
      <c r="DV833" s="2123">
        <v>14.13</v>
      </c>
      <c r="DW833" s="2123">
        <v>13.64</v>
      </c>
      <c r="DX833" s="2123">
        <v>13.64</v>
      </c>
      <c r="DY833" s="2123">
        <v>13.64</v>
      </c>
      <c r="DZ833" s="2123">
        <v>13.64</v>
      </c>
      <c r="EG833" s="2123">
        <v>15.13</v>
      </c>
      <c r="EH833" s="2123">
        <v>15.29</v>
      </c>
      <c r="EI833" s="2123">
        <v>12.48</v>
      </c>
      <c r="EJ833" s="2123">
        <v>12.48</v>
      </c>
      <c r="EK833" s="2123">
        <v>12.48</v>
      </c>
      <c r="EL833" s="2123">
        <v>12.48</v>
      </c>
      <c r="EM833" s="2123">
        <v>13.03</v>
      </c>
      <c r="EN833" s="2123">
        <v>13.03</v>
      </c>
      <c r="EO833" s="2123">
        <v>12.4</v>
      </c>
      <c r="EP833" s="2123">
        <v>12.4</v>
      </c>
      <c r="EQ833" s="2123">
        <v>12.76</v>
      </c>
      <c r="ER833" s="2123">
        <v>12.59</v>
      </c>
      <c r="ES833" s="2123">
        <v>57.99</v>
      </c>
      <c r="ET833" s="2123">
        <v>57.99</v>
      </c>
      <c r="EU833" s="2123">
        <v>254.99</v>
      </c>
      <c r="EV833" s="2123">
        <v>254.99</v>
      </c>
      <c r="EW833" s="2123">
        <v>249.57</v>
      </c>
      <c r="EX833" s="2123">
        <v>249.57</v>
      </c>
      <c r="EY833" s="2129">
        <f t="shared" si="51"/>
        <v>252.28</v>
      </c>
      <c r="EZ833" s="2129">
        <f t="shared" si="51"/>
        <v>252.28</v>
      </c>
      <c r="FA833" s="2123">
        <v>252.57</v>
      </c>
      <c r="FB833" s="2123">
        <v>252.57</v>
      </c>
      <c r="FE833" s="2123">
        <v>49.88</v>
      </c>
      <c r="FF833" s="2123">
        <v>49.88</v>
      </c>
      <c r="FG833" s="2123">
        <v>214.97</v>
      </c>
      <c r="FH833" s="2123">
        <v>214.97</v>
      </c>
      <c r="FI833" s="2123">
        <v>214.97</v>
      </c>
      <c r="FJ833" s="2123">
        <v>216.18</v>
      </c>
      <c r="FK833" s="2123">
        <v>214.59</v>
      </c>
      <c r="FL833" s="2123">
        <v>214.59</v>
      </c>
      <c r="FM833" s="2123">
        <v>215.17</v>
      </c>
      <c r="FN833" s="2123">
        <v>215.17</v>
      </c>
      <c r="FQ833" s="2123">
        <v>112.68</v>
      </c>
      <c r="FR833" s="2123">
        <v>112.68</v>
      </c>
      <c r="FS833" s="2123">
        <v>227.01</v>
      </c>
      <c r="FT833" s="2123">
        <v>227.01</v>
      </c>
      <c r="FU833" s="2123">
        <v>227.01</v>
      </c>
      <c r="FV833" s="2123">
        <v>227.01</v>
      </c>
      <c r="FW833" s="2123">
        <v>227.34</v>
      </c>
      <c r="FX833" s="2123">
        <v>227.34</v>
      </c>
      <c r="GC833" s="2123">
        <v>79.59</v>
      </c>
      <c r="GD833" s="2123">
        <v>79.59</v>
      </c>
      <c r="GE833" s="2123">
        <v>178.56</v>
      </c>
      <c r="GF833" s="2123">
        <v>178.56</v>
      </c>
      <c r="GG833" s="2123">
        <v>178.56</v>
      </c>
      <c r="GH833" s="2123">
        <v>178.56</v>
      </c>
      <c r="GI833" s="2123">
        <v>199.87</v>
      </c>
      <c r="GJ833" s="2123">
        <v>199.87</v>
      </c>
      <c r="GK833" s="2123">
        <v>223.27</v>
      </c>
      <c r="GL833" s="2123">
        <v>223.27</v>
      </c>
      <c r="GO833" s="2123">
        <v>42.62</v>
      </c>
      <c r="GP833" s="2123">
        <v>42.62</v>
      </c>
      <c r="GQ833" s="2123">
        <v>37.56</v>
      </c>
      <c r="GR833" s="2123">
        <v>37.56</v>
      </c>
      <c r="GS833" s="2123">
        <v>37.56</v>
      </c>
      <c r="GT833" s="2123">
        <v>36.229999999999997</v>
      </c>
      <c r="GU833" s="2123">
        <v>36.229999999999997</v>
      </c>
      <c r="GV833" s="2123">
        <v>36.44</v>
      </c>
      <c r="GW833" s="2123">
        <v>212.97</v>
      </c>
      <c r="GX833" s="2123">
        <v>212.97</v>
      </c>
      <c r="HA833" s="2123">
        <v>29.75</v>
      </c>
      <c r="HB833" s="2123">
        <v>29.75</v>
      </c>
      <c r="HC833" s="2123">
        <v>23.51</v>
      </c>
      <c r="HD833" s="2123">
        <v>23.51</v>
      </c>
      <c r="HE833" s="2123">
        <v>24.11</v>
      </c>
      <c r="HF833" s="2123">
        <v>24.11</v>
      </c>
      <c r="HG833" s="2123">
        <v>24.11</v>
      </c>
      <c r="HH833" s="2123">
        <v>24.11</v>
      </c>
      <c r="HI833" s="2123">
        <v>24.11</v>
      </c>
      <c r="HJ833" s="2123">
        <v>24.11</v>
      </c>
      <c r="HK833" s="2123">
        <v>24.24</v>
      </c>
      <c r="HL833" s="2123">
        <v>24.39</v>
      </c>
      <c r="HM833" s="2123">
        <v>41.65</v>
      </c>
      <c r="HN833" s="2123">
        <v>41.65</v>
      </c>
      <c r="HO833" s="2123">
        <v>33.200000000000003</v>
      </c>
      <c r="HP833" s="2123">
        <v>33.200000000000003</v>
      </c>
      <c r="HQ833" s="2123">
        <v>34.090000000000003</v>
      </c>
      <c r="HR833" s="2123">
        <v>34.090000000000003</v>
      </c>
      <c r="HS833" s="2123">
        <v>34.090000000000003</v>
      </c>
      <c r="HT833" s="2123">
        <v>34.090000000000003</v>
      </c>
      <c r="HU833" s="2123">
        <v>34.090000000000003</v>
      </c>
      <c r="HV833" s="2123">
        <v>34.090000000000003</v>
      </c>
      <c r="HW833" s="2123">
        <v>34.18</v>
      </c>
      <c r="HX833" s="2050">
        <v>34.18</v>
      </c>
    </row>
    <row r="834" spans="1:232" s="2123" customFormat="1" ht="14" hidden="1" x14ac:dyDescent="0.3">
      <c r="A834" s="2040"/>
      <c r="B834" s="2127">
        <v>85</v>
      </c>
      <c r="C834" s="2128">
        <v>47.13</v>
      </c>
      <c r="D834" s="2128">
        <v>47.13</v>
      </c>
      <c r="E834" s="2128">
        <v>47.21</v>
      </c>
      <c r="F834" s="2128">
        <v>47.21</v>
      </c>
      <c r="G834" s="2128">
        <v>183.96</v>
      </c>
      <c r="H834" s="2128">
        <v>183.96</v>
      </c>
      <c r="I834" s="2128">
        <v>174.89</v>
      </c>
      <c r="J834" s="2128">
        <v>174.89</v>
      </c>
      <c r="K834" s="2128">
        <v>178.92</v>
      </c>
      <c r="L834" s="2128">
        <v>178.92</v>
      </c>
      <c r="M834" s="2128"/>
      <c r="N834" s="2128"/>
      <c r="O834" s="2128">
        <v>147.68</v>
      </c>
      <c r="P834" s="2128">
        <v>147.68</v>
      </c>
      <c r="Q834" s="2128">
        <v>147.15</v>
      </c>
      <c r="R834" s="2128">
        <v>147.68</v>
      </c>
      <c r="S834" s="2128">
        <v>276.09999999999997</v>
      </c>
      <c r="T834" s="2128">
        <v>275.87</v>
      </c>
      <c r="U834" s="2128">
        <v>266.29000000000002</v>
      </c>
      <c r="V834" s="2128">
        <v>266.29000000000002</v>
      </c>
      <c r="W834" s="2128">
        <v>275.87</v>
      </c>
      <c r="X834" s="2128">
        <v>275.87</v>
      </c>
      <c r="Y834" s="2128">
        <v>266.29000000000002</v>
      </c>
      <c r="Z834" s="2128">
        <v>275.87</v>
      </c>
      <c r="AA834" s="2128">
        <v>275.87</v>
      </c>
      <c r="AB834" s="2128">
        <v>275.87</v>
      </c>
      <c r="AC834" s="2128">
        <v>266.29000000000002</v>
      </c>
      <c r="AD834" s="2128">
        <v>266.29000000000002</v>
      </c>
      <c r="AE834" s="2128">
        <v>287.81</v>
      </c>
      <c r="AF834" s="2128">
        <v>279.52</v>
      </c>
      <c r="AG834" s="2128">
        <v>287.81</v>
      </c>
      <c r="AH834" s="2128">
        <v>287.81</v>
      </c>
      <c r="AI834" s="2128">
        <v>279.52</v>
      </c>
      <c r="AJ834" s="2128">
        <v>279.52</v>
      </c>
      <c r="AK834" s="2128">
        <v>279.86</v>
      </c>
      <c r="AL834" s="2128">
        <v>279.86</v>
      </c>
      <c r="AM834" s="2128">
        <v>78.03</v>
      </c>
      <c r="AN834" s="2128">
        <v>75.2</v>
      </c>
      <c r="AO834" s="2128">
        <v>75.2</v>
      </c>
      <c r="AP834" s="2128">
        <v>75.11</v>
      </c>
      <c r="AQ834" s="2128">
        <v>75.37</v>
      </c>
      <c r="AR834" s="2128">
        <v>75.37</v>
      </c>
      <c r="AS834" s="2128">
        <v>227.1</v>
      </c>
      <c r="AT834" s="2128">
        <v>227.1</v>
      </c>
      <c r="AU834" s="2128">
        <v>227.1</v>
      </c>
      <c r="AV834" s="2128">
        <v>232.09</v>
      </c>
      <c r="AW834" s="2128">
        <v>227.29</v>
      </c>
      <c r="AX834" s="2128">
        <v>227.29</v>
      </c>
      <c r="AY834" s="2128">
        <v>227.41</v>
      </c>
      <c r="AZ834" s="2128">
        <v>227.41</v>
      </c>
      <c r="BA834" s="2123">
        <v>99.32</v>
      </c>
      <c r="BB834" s="2123">
        <v>99.32</v>
      </c>
      <c r="BC834" s="2123">
        <v>25.27</v>
      </c>
      <c r="BD834" s="2123">
        <v>25.42</v>
      </c>
      <c r="BE834" s="2123">
        <v>28.05</v>
      </c>
      <c r="BF834" s="2123">
        <v>28.05</v>
      </c>
      <c r="BG834" s="2123">
        <v>25.34</v>
      </c>
      <c r="BH834" s="2123">
        <v>25.34</v>
      </c>
      <c r="BI834" s="2123">
        <v>25.13</v>
      </c>
      <c r="BJ834" s="2123">
        <v>25.13</v>
      </c>
      <c r="BK834" s="2123">
        <v>25.13</v>
      </c>
      <c r="BL834" s="2123">
        <v>25.13</v>
      </c>
      <c r="BM834" s="2123">
        <v>57.03</v>
      </c>
      <c r="BN834" s="2123">
        <v>57.03</v>
      </c>
      <c r="BO834" s="2123">
        <v>179.61</v>
      </c>
      <c r="BP834" s="2123">
        <v>179.61</v>
      </c>
      <c r="BQ834" s="2123">
        <v>179.61</v>
      </c>
      <c r="BR834" s="2123">
        <v>179.61</v>
      </c>
      <c r="BS834" s="2123">
        <v>233.36</v>
      </c>
      <c r="BT834" s="2123">
        <v>233.36</v>
      </c>
      <c r="BU834" s="2123">
        <v>233.36</v>
      </c>
      <c r="BV834" s="2123">
        <v>233.36</v>
      </c>
      <c r="BW834" s="2123">
        <v>233.36</v>
      </c>
      <c r="BX834" s="2123">
        <v>233.36</v>
      </c>
      <c r="BY834" s="2123">
        <v>51.79</v>
      </c>
      <c r="BZ834" s="2123">
        <v>51.79</v>
      </c>
      <c r="CA834" s="2123">
        <v>172.07</v>
      </c>
      <c r="CB834" s="2123">
        <v>172.07</v>
      </c>
      <c r="CC834" s="2123">
        <v>174.69</v>
      </c>
      <c r="CD834" s="2123">
        <v>174.69</v>
      </c>
      <c r="CE834" s="2123">
        <v>230.23</v>
      </c>
      <c r="CF834" s="2123">
        <v>230.23</v>
      </c>
      <c r="CK834" s="2123">
        <v>128.55000000000001</v>
      </c>
      <c r="CL834" s="2123">
        <v>128.55000000000001</v>
      </c>
      <c r="CM834" s="2123">
        <v>259.11</v>
      </c>
      <c r="CN834" s="2123">
        <v>259.11</v>
      </c>
      <c r="CO834" s="2123">
        <v>335.3</v>
      </c>
      <c r="CP834" s="2123">
        <v>335.3</v>
      </c>
      <c r="CQ834" s="2123">
        <v>335.3</v>
      </c>
      <c r="CR834" s="2123">
        <v>335.3</v>
      </c>
      <c r="CW834" s="2123">
        <v>120.35</v>
      </c>
      <c r="CX834" s="2123">
        <v>120.35</v>
      </c>
      <c r="CY834" s="2123">
        <v>250.76</v>
      </c>
      <c r="CZ834" s="2123">
        <v>250.76</v>
      </c>
      <c r="DA834" s="2123">
        <v>250.76</v>
      </c>
      <c r="DB834" s="2123">
        <v>250.76</v>
      </c>
      <c r="DC834" s="2123">
        <v>324.8</v>
      </c>
      <c r="DD834" s="2123">
        <v>324.8</v>
      </c>
      <c r="DE834" s="2123">
        <v>324.8</v>
      </c>
      <c r="DF834" s="2123">
        <v>324.8</v>
      </c>
      <c r="DI834" s="2123">
        <v>31.77</v>
      </c>
      <c r="DJ834" s="2123">
        <v>31.77</v>
      </c>
      <c r="DK834" s="2123">
        <v>31.77</v>
      </c>
      <c r="DL834" s="2123">
        <v>31.77</v>
      </c>
      <c r="DM834" s="2123">
        <v>31.77</v>
      </c>
      <c r="DN834" s="2123">
        <v>31.77</v>
      </c>
      <c r="DU834" s="2123">
        <v>14.15</v>
      </c>
      <c r="DV834" s="2123">
        <v>14.15</v>
      </c>
      <c r="DW834" s="2123">
        <v>13.66</v>
      </c>
      <c r="DX834" s="2123">
        <v>13.66</v>
      </c>
      <c r="DY834" s="2123">
        <v>13.66</v>
      </c>
      <c r="DZ834" s="2123">
        <v>13.66</v>
      </c>
      <c r="EG834" s="2123">
        <v>15.16</v>
      </c>
      <c r="EH834" s="2123">
        <v>15.33</v>
      </c>
      <c r="EI834" s="2123">
        <v>12.53</v>
      </c>
      <c r="EJ834" s="2123">
        <v>12.53</v>
      </c>
      <c r="EK834" s="2123">
        <v>12.53</v>
      </c>
      <c r="EL834" s="2123">
        <v>12.53</v>
      </c>
      <c r="EM834" s="2123">
        <v>13.09</v>
      </c>
      <c r="EN834" s="2123">
        <v>13.09</v>
      </c>
      <c r="EO834" s="2123">
        <v>12.45</v>
      </c>
      <c r="EP834" s="2123">
        <v>12.45</v>
      </c>
      <c r="EQ834" s="2123">
        <v>12.81</v>
      </c>
      <c r="ER834" s="2123">
        <v>12.64</v>
      </c>
      <c r="ES834" s="2123">
        <v>58.14</v>
      </c>
      <c r="ET834" s="2123">
        <v>58.14</v>
      </c>
      <c r="EU834" s="2123">
        <v>255.93</v>
      </c>
      <c r="EV834" s="2123">
        <v>255.93</v>
      </c>
      <c r="EW834" s="2123">
        <v>250.5</v>
      </c>
      <c r="EX834" s="2123">
        <v>250.5</v>
      </c>
      <c r="EY834" s="2129">
        <f t="shared" si="51"/>
        <v>253.215</v>
      </c>
      <c r="EZ834" s="2129">
        <f t="shared" si="51"/>
        <v>253.215</v>
      </c>
      <c r="FA834" s="2123">
        <v>253.47</v>
      </c>
      <c r="FB834" s="2123">
        <v>253.47</v>
      </c>
      <c r="FE834" s="2123">
        <v>50.01</v>
      </c>
      <c r="FF834" s="2123">
        <v>50.01</v>
      </c>
      <c r="FG834" s="2123">
        <v>215.78</v>
      </c>
      <c r="FH834" s="2123">
        <v>215.78</v>
      </c>
      <c r="FI834" s="2123">
        <v>215.78</v>
      </c>
      <c r="FJ834" s="2123">
        <v>216.97</v>
      </c>
      <c r="FK834" s="2123">
        <v>215.41</v>
      </c>
      <c r="FL834" s="2123">
        <v>215.41</v>
      </c>
      <c r="FM834" s="2123">
        <v>215.97</v>
      </c>
      <c r="FN834" s="2123">
        <v>215.97</v>
      </c>
      <c r="FQ834" s="2123">
        <v>112.98</v>
      </c>
      <c r="FR834" s="2123">
        <v>112.98</v>
      </c>
      <c r="FS834" s="2123">
        <v>227.72</v>
      </c>
      <c r="FT834" s="2123">
        <v>227.72</v>
      </c>
      <c r="FU834" s="2123">
        <v>227.72</v>
      </c>
      <c r="FV834" s="2123">
        <v>227.72</v>
      </c>
      <c r="FW834" s="2123">
        <v>228.03</v>
      </c>
      <c r="FX834" s="2123">
        <v>228.03</v>
      </c>
      <c r="GC834" s="2123">
        <v>79.8</v>
      </c>
      <c r="GD834" s="2123">
        <v>79.8</v>
      </c>
      <c r="GE834" s="2123">
        <v>179</v>
      </c>
      <c r="GF834" s="2123">
        <v>179</v>
      </c>
      <c r="GG834" s="2123">
        <v>179</v>
      </c>
      <c r="GH834" s="2123">
        <v>179</v>
      </c>
      <c r="GI834" s="2123">
        <v>200.85</v>
      </c>
      <c r="GJ834" s="2123">
        <v>200.85</v>
      </c>
      <c r="GK834" s="2123">
        <v>224.06</v>
      </c>
      <c r="GL834" s="2123">
        <v>224.06</v>
      </c>
      <c r="GO834" s="2123">
        <v>42.73</v>
      </c>
      <c r="GP834" s="2123">
        <v>42.73</v>
      </c>
      <c r="GQ834" s="2123">
        <v>37.71</v>
      </c>
      <c r="GR834" s="2123">
        <v>37.71</v>
      </c>
      <c r="GS834" s="2123">
        <v>37.71</v>
      </c>
      <c r="GT834" s="2123">
        <v>36.369999999999997</v>
      </c>
      <c r="GU834" s="2123">
        <v>36.369999999999997</v>
      </c>
      <c r="GV834" s="2123">
        <v>36.58</v>
      </c>
      <c r="GW834" s="2123">
        <v>213.75</v>
      </c>
      <c r="GX834" s="2123">
        <v>213.75</v>
      </c>
      <c r="HA834" s="2123">
        <v>29.79</v>
      </c>
      <c r="HB834" s="2123">
        <v>29.79</v>
      </c>
      <c r="HC834" s="2123">
        <v>23.58</v>
      </c>
      <c r="HD834" s="2123">
        <v>23.58</v>
      </c>
      <c r="HE834" s="2123">
        <v>24.19</v>
      </c>
      <c r="HF834" s="2123">
        <v>24.19</v>
      </c>
      <c r="HG834" s="2123">
        <v>24.19</v>
      </c>
      <c r="HH834" s="2123">
        <v>24.19</v>
      </c>
      <c r="HI834" s="2123">
        <v>24.19</v>
      </c>
      <c r="HJ834" s="2123">
        <v>24.19</v>
      </c>
      <c r="HK834" s="2123">
        <v>24.3</v>
      </c>
      <c r="HL834" s="2123">
        <v>24.45</v>
      </c>
      <c r="HM834" s="2123">
        <v>41.73</v>
      </c>
      <c r="HN834" s="2123">
        <v>41.73</v>
      </c>
      <c r="HO834" s="2123">
        <v>33.32</v>
      </c>
      <c r="HP834" s="2123">
        <v>33.32</v>
      </c>
      <c r="HQ834" s="2123">
        <v>34.229999999999997</v>
      </c>
      <c r="HR834" s="2123">
        <v>34.229999999999997</v>
      </c>
      <c r="HS834" s="2123">
        <v>34.229999999999997</v>
      </c>
      <c r="HT834" s="2123">
        <v>34.229999999999997</v>
      </c>
      <c r="HU834" s="2123">
        <v>34.229999999999997</v>
      </c>
      <c r="HV834" s="2123">
        <v>34.229999999999997</v>
      </c>
      <c r="HW834" s="2123">
        <v>34.299999999999997</v>
      </c>
      <c r="HX834" s="2050">
        <v>34.299999999999997</v>
      </c>
    </row>
    <row r="835" spans="1:232" s="2123" customFormat="1" ht="14" hidden="1" x14ac:dyDescent="0.3">
      <c r="A835" s="2040"/>
      <c r="B835" s="2127">
        <v>86</v>
      </c>
      <c r="C835" s="2128">
        <v>47.26</v>
      </c>
      <c r="D835" s="2128">
        <v>47.26</v>
      </c>
      <c r="E835" s="2128">
        <v>47.34</v>
      </c>
      <c r="F835" s="2128">
        <v>47.34</v>
      </c>
      <c r="G835" s="2128">
        <v>184.54</v>
      </c>
      <c r="H835" s="2128">
        <v>184.54</v>
      </c>
      <c r="I835" s="2128">
        <v>175.53</v>
      </c>
      <c r="J835" s="2128">
        <v>175.53</v>
      </c>
      <c r="K835" s="2128">
        <v>179.48</v>
      </c>
      <c r="L835" s="2128">
        <v>179.48</v>
      </c>
      <c r="M835" s="2128"/>
      <c r="N835" s="2128"/>
      <c r="O835" s="2128">
        <v>148.05000000000001</v>
      </c>
      <c r="P835" s="2128">
        <v>148.05000000000001</v>
      </c>
      <c r="Q835" s="2128">
        <v>147.52000000000001</v>
      </c>
      <c r="R835" s="2128">
        <v>148.06</v>
      </c>
      <c r="S835" s="2128">
        <v>277.09999999999997</v>
      </c>
      <c r="T835" s="2128">
        <v>276.88</v>
      </c>
      <c r="U835" s="2128">
        <v>267.27</v>
      </c>
      <c r="V835" s="2128">
        <v>267.27</v>
      </c>
      <c r="W835" s="2128">
        <v>276.88</v>
      </c>
      <c r="X835" s="2128">
        <v>276.88</v>
      </c>
      <c r="Y835" s="2128">
        <v>267.27</v>
      </c>
      <c r="Z835" s="2128">
        <v>276.88</v>
      </c>
      <c r="AA835" s="2128">
        <v>276.88</v>
      </c>
      <c r="AB835" s="2128">
        <v>276.88</v>
      </c>
      <c r="AC835" s="2128">
        <v>267.27</v>
      </c>
      <c r="AD835" s="2128">
        <v>267.27</v>
      </c>
      <c r="AE835" s="2128">
        <v>288.70999999999998</v>
      </c>
      <c r="AF835" s="2128">
        <v>280.39999999999998</v>
      </c>
      <c r="AG835" s="2128">
        <v>288.70999999999998</v>
      </c>
      <c r="AH835" s="2128">
        <v>288.70999999999998</v>
      </c>
      <c r="AI835" s="2128">
        <v>280.39999999999998</v>
      </c>
      <c r="AJ835" s="2128">
        <v>280.39999999999998</v>
      </c>
      <c r="AK835" s="2128">
        <v>280.74</v>
      </c>
      <c r="AL835" s="2128">
        <v>280.74</v>
      </c>
      <c r="AM835" s="2128">
        <v>78.23</v>
      </c>
      <c r="AN835" s="2128">
        <v>75.39</v>
      </c>
      <c r="AO835" s="2128">
        <v>75.39</v>
      </c>
      <c r="AP835" s="2128">
        <v>75.31</v>
      </c>
      <c r="AQ835" s="2128">
        <v>75.56</v>
      </c>
      <c r="AR835" s="2128">
        <v>75.56</v>
      </c>
      <c r="AS835" s="2128">
        <v>227.89</v>
      </c>
      <c r="AT835" s="2128">
        <v>227.89</v>
      </c>
      <c r="AU835" s="2128">
        <v>227.89</v>
      </c>
      <c r="AV835" s="2128">
        <v>232.89</v>
      </c>
      <c r="AW835" s="2128">
        <v>228.07</v>
      </c>
      <c r="AX835" s="2128">
        <v>228.07</v>
      </c>
      <c r="AY835" s="2128">
        <v>228.19</v>
      </c>
      <c r="AZ835" s="2128">
        <v>228.19</v>
      </c>
      <c r="BA835" s="2123">
        <v>99.6</v>
      </c>
      <c r="BB835" s="2123">
        <v>99.6</v>
      </c>
      <c r="BC835" s="2123">
        <v>25.37</v>
      </c>
      <c r="BD835" s="2123">
        <v>25.52</v>
      </c>
      <c r="BE835" s="2123">
        <v>28.11</v>
      </c>
      <c r="BF835" s="2123">
        <v>28.11</v>
      </c>
      <c r="BG835" s="2123">
        <v>25.42</v>
      </c>
      <c r="BH835" s="2123">
        <v>25.42</v>
      </c>
      <c r="BI835" s="2123">
        <v>25.21</v>
      </c>
      <c r="BJ835" s="2123">
        <v>25.21</v>
      </c>
      <c r="BK835" s="2123">
        <v>25.21</v>
      </c>
      <c r="BL835" s="2123">
        <v>25.21</v>
      </c>
      <c r="BM835" s="2123">
        <v>57.17</v>
      </c>
      <c r="BN835" s="2123">
        <v>57.17</v>
      </c>
      <c r="BO835" s="2123">
        <v>180.1</v>
      </c>
      <c r="BP835" s="2123">
        <v>180.1</v>
      </c>
      <c r="BQ835" s="2123">
        <v>180.1</v>
      </c>
      <c r="BR835" s="2123">
        <v>180.1</v>
      </c>
      <c r="BS835" s="2123">
        <v>234.12</v>
      </c>
      <c r="BT835" s="2123">
        <v>234.12</v>
      </c>
      <c r="BU835" s="2123">
        <v>234.12</v>
      </c>
      <c r="BV835" s="2123">
        <v>234.12</v>
      </c>
      <c r="BW835" s="2123">
        <v>234.12</v>
      </c>
      <c r="BX835" s="2123">
        <v>234.12</v>
      </c>
      <c r="BY835" s="2123">
        <v>51.89</v>
      </c>
      <c r="BZ835" s="2123">
        <v>51.89</v>
      </c>
      <c r="CA835" s="2123">
        <v>172.48</v>
      </c>
      <c r="CB835" s="2123">
        <v>172.48</v>
      </c>
      <c r="CC835" s="2123">
        <v>175.11</v>
      </c>
      <c r="CD835" s="2123">
        <v>175.11</v>
      </c>
      <c r="CE835" s="2123">
        <v>230.88</v>
      </c>
      <c r="CF835" s="2123">
        <v>230.88</v>
      </c>
      <c r="CK835" s="2123">
        <v>128.86000000000001</v>
      </c>
      <c r="CL835" s="2123">
        <v>128.86000000000001</v>
      </c>
      <c r="CM835" s="2123">
        <v>259.58</v>
      </c>
      <c r="CN835" s="2123">
        <v>259.58</v>
      </c>
      <c r="CO835" s="2123">
        <v>336.09</v>
      </c>
      <c r="CP835" s="2123">
        <v>336.09</v>
      </c>
      <c r="CQ835" s="2123">
        <v>336.09</v>
      </c>
      <c r="CR835" s="2123">
        <v>336.09</v>
      </c>
      <c r="CW835" s="2123">
        <v>120.64</v>
      </c>
      <c r="CX835" s="2123">
        <v>120.64</v>
      </c>
      <c r="CY835" s="2123">
        <v>251.29</v>
      </c>
      <c r="CZ835" s="2123">
        <v>251.29</v>
      </c>
      <c r="DA835" s="2123">
        <v>251.29</v>
      </c>
      <c r="DB835" s="2123">
        <v>251.29</v>
      </c>
      <c r="DC835" s="2123">
        <v>325.64</v>
      </c>
      <c r="DD835" s="2123">
        <v>325.64</v>
      </c>
      <c r="DE835" s="2123">
        <v>325.64</v>
      </c>
      <c r="DF835" s="2123">
        <v>325.64</v>
      </c>
      <c r="DI835" s="2123">
        <v>31.86</v>
      </c>
      <c r="DJ835" s="2123">
        <v>31.86</v>
      </c>
      <c r="DK835" s="2123">
        <v>31.86</v>
      </c>
      <c r="DL835" s="2123">
        <v>31.86</v>
      </c>
      <c r="DM835" s="2123">
        <v>31.86</v>
      </c>
      <c r="DN835" s="2123">
        <v>31.86</v>
      </c>
      <c r="DU835" s="2123">
        <v>14.19</v>
      </c>
      <c r="DV835" s="2123">
        <v>14.19</v>
      </c>
      <c r="DW835" s="2123">
        <v>13.71</v>
      </c>
      <c r="DX835" s="2123">
        <v>13.71</v>
      </c>
      <c r="DY835" s="2123">
        <v>13.71</v>
      </c>
      <c r="DZ835" s="2123">
        <v>13.71</v>
      </c>
      <c r="EG835" s="2123">
        <v>15.2</v>
      </c>
      <c r="EH835" s="2123">
        <v>15.37</v>
      </c>
      <c r="EI835" s="2123">
        <v>12.58</v>
      </c>
      <c r="EJ835" s="2123">
        <v>12.58</v>
      </c>
      <c r="EK835" s="2123">
        <v>12.58</v>
      </c>
      <c r="EL835" s="2123">
        <v>12.58</v>
      </c>
      <c r="EM835" s="2123">
        <v>13.13</v>
      </c>
      <c r="EN835" s="2123">
        <v>13.13</v>
      </c>
      <c r="EO835" s="2123">
        <v>12.5</v>
      </c>
      <c r="EP835" s="2123">
        <v>12.5</v>
      </c>
      <c r="EQ835" s="2123">
        <v>12.86</v>
      </c>
      <c r="ER835" s="2123">
        <v>12.69</v>
      </c>
      <c r="ES835" s="2123">
        <v>58.29</v>
      </c>
      <c r="ET835" s="2123">
        <v>58.29</v>
      </c>
      <c r="EU835" s="2123">
        <v>256.86</v>
      </c>
      <c r="EV835" s="2123">
        <v>256.86</v>
      </c>
      <c r="EW835" s="2123">
        <v>251.42</v>
      </c>
      <c r="EX835" s="2123">
        <v>251.42</v>
      </c>
      <c r="EY835" s="2129">
        <f t="shared" si="51"/>
        <v>254.14</v>
      </c>
      <c r="EZ835" s="2129">
        <f t="shared" si="51"/>
        <v>254.14</v>
      </c>
      <c r="FA835" s="2123">
        <v>254.36</v>
      </c>
      <c r="FB835" s="2123">
        <v>254.36</v>
      </c>
      <c r="FE835" s="2123">
        <v>50.14</v>
      </c>
      <c r="FF835" s="2123">
        <v>50.14</v>
      </c>
      <c r="FG835" s="2123">
        <v>216.58</v>
      </c>
      <c r="FH835" s="2123">
        <v>216.58</v>
      </c>
      <c r="FI835" s="2123">
        <v>216.58</v>
      </c>
      <c r="FJ835" s="2123">
        <v>217.74</v>
      </c>
      <c r="FK835" s="2123">
        <v>216.22</v>
      </c>
      <c r="FL835" s="2123">
        <v>216.22</v>
      </c>
      <c r="FM835" s="2123">
        <v>216.76</v>
      </c>
      <c r="FN835" s="2123">
        <v>216.76</v>
      </c>
      <c r="FQ835" s="2123">
        <v>113.28</v>
      </c>
      <c r="FR835" s="2123">
        <v>113.28</v>
      </c>
      <c r="FS835" s="2123">
        <v>228.4</v>
      </c>
      <c r="FT835" s="2123">
        <v>228.4</v>
      </c>
      <c r="FU835" s="2123">
        <v>228.4</v>
      </c>
      <c r="FV835" s="2123">
        <v>228.4</v>
      </c>
      <c r="FW835" s="2123">
        <v>228.71</v>
      </c>
      <c r="FX835" s="2123">
        <v>228.71</v>
      </c>
      <c r="GC835" s="2123">
        <v>80</v>
      </c>
      <c r="GD835" s="2123">
        <v>80</v>
      </c>
      <c r="GE835" s="2123">
        <v>179.42</v>
      </c>
      <c r="GF835" s="2123">
        <v>179.42</v>
      </c>
      <c r="GG835" s="2123">
        <v>179.42</v>
      </c>
      <c r="GH835" s="2123">
        <v>179.42</v>
      </c>
      <c r="GI835" s="2123">
        <v>201.8</v>
      </c>
      <c r="GJ835" s="2123">
        <v>201.8</v>
      </c>
      <c r="GK835" s="2123">
        <v>224.83</v>
      </c>
      <c r="GL835" s="2123">
        <v>224.83</v>
      </c>
      <c r="GO835" s="2123">
        <v>42.84</v>
      </c>
      <c r="GP835" s="2123">
        <v>42.84</v>
      </c>
      <c r="GQ835" s="2123">
        <v>37.85</v>
      </c>
      <c r="GR835" s="2123">
        <v>37.85</v>
      </c>
      <c r="GS835" s="2123">
        <v>37.85</v>
      </c>
      <c r="GT835" s="2123">
        <v>36.51</v>
      </c>
      <c r="GU835" s="2123">
        <v>36.51</v>
      </c>
      <c r="GV835" s="2123">
        <v>36.72</v>
      </c>
      <c r="GW835" s="2123">
        <v>214.56</v>
      </c>
      <c r="GX835" s="2123">
        <v>214.56</v>
      </c>
      <c r="HA835" s="2123">
        <v>29.85</v>
      </c>
      <c r="HB835" s="2123">
        <v>29.85</v>
      </c>
      <c r="HC835" s="2123">
        <v>23.67</v>
      </c>
      <c r="HD835" s="2123">
        <v>23.67</v>
      </c>
      <c r="HE835" s="2123">
        <v>24.29</v>
      </c>
      <c r="HF835" s="2123">
        <v>24.29</v>
      </c>
      <c r="HG835" s="2123">
        <v>24.29</v>
      </c>
      <c r="HH835" s="2123">
        <v>24.29</v>
      </c>
      <c r="HI835" s="2123">
        <v>24.29</v>
      </c>
      <c r="HJ835" s="2123">
        <v>24.29</v>
      </c>
      <c r="HK835" s="2123">
        <v>24.38</v>
      </c>
      <c r="HL835" s="2123">
        <v>24.53</v>
      </c>
      <c r="HM835" s="2123">
        <v>41.84</v>
      </c>
      <c r="HN835" s="2123">
        <v>41.84</v>
      </c>
      <c r="HO835" s="2123">
        <v>33.47</v>
      </c>
      <c r="HP835" s="2123">
        <v>33.47</v>
      </c>
      <c r="HQ835" s="2123">
        <v>34.369999999999997</v>
      </c>
      <c r="HR835" s="2123">
        <v>34.369999999999997</v>
      </c>
      <c r="HS835" s="2123">
        <v>34.369999999999997</v>
      </c>
      <c r="HT835" s="2123">
        <v>34.369999999999997</v>
      </c>
      <c r="HU835" s="2123">
        <v>34.369999999999997</v>
      </c>
      <c r="HV835" s="2123">
        <v>34.369999999999997</v>
      </c>
      <c r="HW835" s="2123">
        <v>34.44</v>
      </c>
      <c r="HX835" s="2050">
        <v>34.44</v>
      </c>
    </row>
    <row r="836" spans="1:232" s="2123" customFormat="1" ht="14" hidden="1" x14ac:dyDescent="0.3">
      <c r="A836" s="2040"/>
      <c r="B836" s="2127">
        <v>87</v>
      </c>
      <c r="C836" s="2128">
        <v>47.38</v>
      </c>
      <c r="D836" s="2128">
        <v>47.38</v>
      </c>
      <c r="E836" s="2128">
        <v>47.45</v>
      </c>
      <c r="F836" s="2128">
        <v>47.45</v>
      </c>
      <c r="G836" s="2128">
        <v>185.11</v>
      </c>
      <c r="H836" s="2128">
        <v>185.11</v>
      </c>
      <c r="I836" s="2128">
        <v>176.12</v>
      </c>
      <c r="J836" s="2128">
        <v>176.12</v>
      </c>
      <c r="K836" s="2128">
        <v>180</v>
      </c>
      <c r="L836" s="2128">
        <v>180</v>
      </c>
      <c r="M836" s="2128"/>
      <c r="N836" s="2128"/>
      <c r="O836" s="2128">
        <v>148.41999999999999</v>
      </c>
      <c r="P836" s="2128">
        <v>148.41999999999999</v>
      </c>
      <c r="Q836" s="2128">
        <v>147.88</v>
      </c>
      <c r="R836" s="2128">
        <v>148.43</v>
      </c>
      <c r="S836" s="2128">
        <v>278.08999999999997</v>
      </c>
      <c r="T836" s="2128">
        <v>277.88</v>
      </c>
      <c r="U836" s="2128">
        <v>268.23</v>
      </c>
      <c r="V836" s="2128">
        <v>268.23</v>
      </c>
      <c r="W836" s="2128">
        <v>277.88</v>
      </c>
      <c r="X836" s="2128">
        <v>277.88</v>
      </c>
      <c r="Y836" s="2128">
        <v>268.23</v>
      </c>
      <c r="Z836" s="2128">
        <v>277.88</v>
      </c>
      <c r="AA836" s="2128">
        <v>277.88</v>
      </c>
      <c r="AB836" s="2128">
        <v>277.88</v>
      </c>
      <c r="AC836" s="2128">
        <v>268.23</v>
      </c>
      <c r="AD836" s="2128">
        <v>268.23</v>
      </c>
      <c r="AE836" s="2128">
        <v>289.61</v>
      </c>
      <c r="AF836" s="2128">
        <v>281.26</v>
      </c>
      <c r="AG836" s="2128">
        <v>289.61</v>
      </c>
      <c r="AH836" s="2128">
        <v>289.61</v>
      </c>
      <c r="AI836" s="2128">
        <v>281.26</v>
      </c>
      <c r="AJ836" s="2128">
        <v>281.26</v>
      </c>
      <c r="AK836" s="2128">
        <v>281.58999999999997</v>
      </c>
      <c r="AL836" s="2128">
        <v>281.58999999999997</v>
      </c>
      <c r="AM836" s="2128">
        <v>78.430000000000007</v>
      </c>
      <c r="AN836" s="2128">
        <v>75.58</v>
      </c>
      <c r="AO836" s="2128">
        <v>75.58</v>
      </c>
      <c r="AP836" s="2128">
        <v>75.5</v>
      </c>
      <c r="AQ836" s="2128">
        <v>75.75</v>
      </c>
      <c r="AR836" s="2128">
        <v>75.75</v>
      </c>
      <c r="AS836" s="2128">
        <v>228.62</v>
      </c>
      <c r="AT836" s="2128">
        <v>228.62</v>
      </c>
      <c r="AU836" s="2128">
        <v>228.62</v>
      </c>
      <c r="AV836" s="2128">
        <v>233.62</v>
      </c>
      <c r="AW836" s="2128">
        <v>228.8</v>
      </c>
      <c r="AX836" s="2128">
        <v>228.8</v>
      </c>
      <c r="AY836" s="2128">
        <v>228.91</v>
      </c>
      <c r="AZ836" s="2128">
        <v>228.91</v>
      </c>
      <c r="BA836" s="2123">
        <v>99.93</v>
      </c>
      <c r="BB836" s="2123">
        <v>99.93</v>
      </c>
      <c r="BC836" s="2123">
        <v>25.47</v>
      </c>
      <c r="BD836" s="2123">
        <v>25.62</v>
      </c>
      <c r="BE836" s="2123">
        <v>28.19</v>
      </c>
      <c r="BF836" s="2123">
        <v>28.19</v>
      </c>
      <c r="BG836" s="2123">
        <v>25.52</v>
      </c>
      <c r="BH836" s="2123">
        <v>25.52</v>
      </c>
      <c r="BI836" s="2123">
        <v>25.31</v>
      </c>
      <c r="BJ836" s="2123">
        <v>25.31</v>
      </c>
      <c r="BK836" s="2123">
        <v>25.31</v>
      </c>
      <c r="BL836" s="2123">
        <v>25.31</v>
      </c>
      <c r="BM836" s="2123">
        <v>57.31</v>
      </c>
      <c r="BN836" s="2123">
        <v>57.31</v>
      </c>
      <c r="BO836" s="2123">
        <v>180.63</v>
      </c>
      <c r="BP836" s="2123">
        <v>180.63</v>
      </c>
      <c r="BQ836" s="2123">
        <v>180.63</v>
      </c>
      <c r="BR836" s="2123">
        <v>180.63</v>
      </c>
      <c r="BS836" s="2123">
        <v>234.94</v>
      </c>
      <c r="BT836" s="2123">
        <v>234.94</v>
      </c>
      <c r="BU836" s="2123">
        <v>234.94</v>
      </c>
      <c r="BV836" s="2123">
        <v>234.94</v>
      </c>
      <c r="BW836" s="2123">
        <v>234.94</v>
      </c>
      <c r="BX836" s="2123">
        <v>234.94</v>
      </c>
      <c r="BY836" s="2123">
        <v>52.02</v>
      </c>
      <c r="BZ836" s="2123">
        <v>52.02</v>
      </c>
      <c r="CA836" s="2123">
        <v>172.99</v>
      </c>
      <c r="CB836" s="2123">
        <v>172.99</v>
      </c>
      <c r="CC836" s="2123">
        <v>175.63</v>
      </c>
      <c r="CD836" s="2123">
        <v>175.63</v>
      </c>
      <c r="CE836" s="2123">
        <v>231.69</v>
      </c>
      <c r="CF836" s="2123">
        <v>231.69</v>
      </c>
      <c r="CK836" s="2123">
        <v>129.16999999999999</v>
      </c>
      <c r="CL836" s="2123">
        <v>129.16999999999999</v>
      </c>
      <c r="CM836" s="2123">
        <v>260.12</v>
      </c>
      <c r="CN836" s="2123">
        <v>260.12</v>
      </c>
      <c r="CO836" s="2123">
        <v>336.98</v>
      </c>
      <c r="CP836" s="2123">
        <v>336.98</v>
      </c>
      <c r="CQ836" s="2123">
        <v>336.98</v>
      </c>
      <c r="CR836" s="2123">
        <v>336.98</v>
      </c>
      <c r="CW836" s="2123">
        <v>120.95</v>
      </c>
      <c r="CX836" s="2123">
        <v>120.95</v>
      </c>
      <c r="CY836" s="2123">
        <v>251.83</v>
      </c>
      <c r="CZ836" s="2123">
        <v>251.83</v>
      </c>
      <c r="DA836" s="2123">
        <v>251.83</v>
      </c>
      <c r="DB836" s="2123">
        <v>251.83</v>
      </c>
      <c r="DC836" s="2123">
        <v>326.54000000000002</v>
      </c>
      <c r="DD836" s="2123">
        <v>326.54000000000002</v>
      </c>
      <c r="DE836" s="2123">
        <v>326.54000000000002</v>
      </c>
      <c r="DF836" s="2123">
        <v>326.54000000000002</v>
      </c>
      <c r="DI836" s="2123">
        <v>31.94</v>
      </c>
      <c r="DJ836" s="2123">
        <v>31.94</v>
      </c>
      <c r="DK836" s="2123">
        <v>31.94</v>
      </c>
      <c r="DL836" s="2123">
        <v>31.94</v>
      </c>
      <c r="DM836" s="2123">
        <v>31.94</v>
      </c>
      <c r="DN836" s="2123">
        <v>31.94</v>
      </c>
      <c r="DU836" s="2123">
        <v>14.22</v>
      </c>
      <c r="DV836" s="2123">
        <v>14.22</v>
      </c>
      <c r="DW836" s="2123">
        <v>13.75</v>
      </c>
      <c r="DX836" s="2123">
        <v>13.75</v>
      </c>
      <c r="DY836" s="2123">
        <v>13.75</v>
      </c>
      <c r="DZ836" s="2123">
        <v>13.75</v>
      </c>
      <c r="EG836" s="2123">
        <v>15.24</v>
      </c>
      <c r="EH836" s="2123">
        <v>15.4</v>
      </c>
      <c r="EI836" s="2123">
        <v>12.63</v>
      </c>
      <c r="EJ836" s="2123">
        <v>12.63</v>
      </c>
      <c r="EK836" s="2123">
        <v>12.64</v>
      </c>
      <c r="EL836" s="2123">
        <v>12.64</v>
      </c>
      <c r="EM836" s="2123">
        <v>13.18</v>
      </c>
      <c r="EN836" s="2123">
        <v>13.18</v>
      </c>
      <c r="EO836" s="2123">
        <v>12.55</v>
      </c>
      <c r="EP836" s="2123">
        <v>12.55</v>
      </c>
      <c r="EQ836" s="2123">
        <v>12.91</v>
      </c>
      <c r="ER836" s="2123">
        <v>12.74</v>
      </c>
      <c r="ES836" s="2123">
        <v>58.44</v>
      </c>
      <c r="ET836" s="2123">
        <v>58.44</v>
      </c>
      <c r="EU836" s="2123">
        <v>257.77</v>
      </c>
      <c r="EV836" s="2123">
        <v>257.77</v>
      </c>
      <c r="EW836" s="2123">
        <v>252.32</v>
      </c>
      <c r="EX836" s="2123">
        <v>252.32</v>
      </c>
      <c r="EY836" s="2129">
        <f t="shared" si="51"/>
        <v>255.04499999999999</v>
      </c>
      <c r="EZ836" s="2129">
        <f t="shared" si="51"/>
        <v>255.04499999999999</v>
      </c>
      <c r="FA836" s="2123">
        <v>255.22</v>
      </c>
      <c r="FB836" s="2123">
        <v>255.22</v>
      </c>
      <c r="FE836" s="2123">
        <v>50.27</v>
      </c>
      <c r="FF836" s="2123">
        <v>50.27</v>
      </c>
      <c r="FG836" s="2123">
        <v>217.36</v>
      </c>
      <c r="FH836" s="2123">
        <v>217.36</v>
      </c>
      <c r="FI836" s="2123">
        <v>217.36</v>
      </c>
      <c r="FJ836" s="2123">
        <v>218.5</v>
      </c>
      <c r="FK836" s="2123">
        <v>217</v>
      </c>
      <c r="FL836" s="2123">
        <v>217</v>
      </c>
      <c r="FM836" s="2123">
        <v>217.53</v>
      </c>
      <c r="FN836" s="2123">
        <v>217.53</v>
      </c>
      <c r="FQ836" s="2123">
        <v>113.57</v>
      </c>
      <c r="FR836" s="2123">
        <v>113.57</v>
      </c>
      <c r="FS836" s="2123">
        <v>229.08</v>
      </c>
      <c r="FT836" s="2123">
        <v>229.08</v>
      </c>
      <c r="FU836" s="2123">
        <v>229.08</v>
      </c>
      <c r="FV836" s="2123">
        <v>229.08</v>
      </c>
      <c r="FW836" s="2123">
        <v>229.38</v>
      </c>
      <c r="FX836" s="2123">
        <v>229.38</v>
      </c>
      <c r="GC836" s="2123">
        <v>80.209999999999994</v>
      </c>
      <c r="GD836" s="2123">
        <v>80.209999999999994</v>
      </c>
      <c r="GE836" s="2123">
        <v>179.83</v>
      </c>
      <c r="GF836" s="2123">
        <v>179.83</v>
      </c>
      <c r="GG836" s="2123">
        <v>179.83</v>
      </c>
      <c r="GH836" s="2123">
        <v>179.83</v>
      </c>
      <c r="GI836" s="2123">
        <v>202.74</v>
      </c>
      <c r="GJ836" s="2123">
        <v>202.74</v>
      </c>
      <c r="GK836" s="2123">
        <v>225.59</v>
      </c>
      <c r="GL836" s="2123">
        <v>225.59</v>
      </c>
      <c r="GO836" s="2123">
        <v>42.95</v>
      </c>
      <c r="GP836" s="2123">
        <v>42.95</v>
      </c>
      <c r="GQ836" s="2123">
        <v>37.99</v>
      </c>
      <c r="GR836" s="2123">
        <v>37.99</v>
      </c>
      <c r="GS836" s="2123">
        <v>37.99</v>
      </c>
      <c r="GT836" s="2123">
        <v>36.65</v>
      </c>
      <c r="GU836" s="2123">
        <v>36.65</v>
      </c>
      <c r="GV836" s="2123">
        <v>36.85</v>
      </c>
      <c r="GW836" s="2123">
        <v>215.32</v>
      </c>
      <c r="GX836" s="2123">
        <v>215.32</v>
      </c>
      <c r="HA836" s="2123">
        <v>29.93</v>
      </c>
      <c r="HB836" s="2123">
        <v>29.93</v>
      </c>
      <c r="HC836" s="2123">
        <v>23.77</v>
      </c>
      <c r="HD836" s="2123">
        <v>23.77</v>
      </c>
      <c r="HE836" s="2123">
        <v>24.39</v>
      </c>
      <c r="HF836" s="2123">
        <v>24.39</v>
      </c>
      <c r="HG836" s="2123">
        <v>24.39</v>
      </c>
      <c r="HH836" s="2123">
        <v>24.39</v>
      </c>
      <c r="HI836" s="2123">
        <v>24.39</v>
      </c>
      <c r="HJ836" s="2123">
        <v>24.39</v>
      </c>
      <c r="HK836" s="2123">
        <v>24.49</v>
      </c>
      <c r="HL836" s="2123">
        <v>24.63</v>
      </c>
      <c r="HM836" s="2123">
        <v>41.94</v>
      </c>
      <c r="HN836" s="2123">
        <v>41.94</v>
      </c>
      <c r="HO836" s="2123">
        <v>33.619999999999997</v>
      </c>
      <c r="HP836" s="2123">
        <v>33.619999999999997</v>
      </c>
      <c r="HQ836" s="2123">
        <v>34.51</v>
      </c>
      <c r="HR836" s="2123">
        <v>34.51</v>
      </c>
      <c r="HS836" s="2123">
        <v>34.51</v>
      </c>
      <c r="HT836" s="2123">
        <v>34.51</v>
      </c>
      <c r="HU836" s="2123">
        <v>34.51</v>
      </c>
      <c r="HV836" s="2123">
        <v>34.51</v>
      </c>
      <c r="HW836" s="2123">
        <v>34.58</v>
      </c>
      <c r="HX836" s="2050">
        <v>34.58</v>
      </c>
    </row>
    <row r="837" spans="1:232" s="2123" customFormat="1" ht="14" hidden="1" x14ac:dyDescent="0.3">
      <c r="A837" s="2040"/>
      <c r="B837" s="2127">
        <v>88</v>
      </c>
      <c r="C837" s="2128">
        <v>47.49</v>
      </c>
      <c r="D837" s="2128">
        <v>47.49</v>
      </c>
      <c r="E837" s="2128">
        <v>47.56</v>
      </c>
      <c r="F837" s="2128">
        <v>47.56</v>
      </c>
      <c r="G837" s="2128">
        <v>185.67</v>
      </c>
      <c r="H837" s="2128">
        <v>185.67</v>
      </c>
      <c r="I837" s="2128">
        <v>176.71</v>
      </c>
      <c r="J837" s="2128">
        <v>176.71</v>
      </c>
      <c r="K837" s="2128">
        <v>180.51</v>
      </c>
      <c r="L837" s="2128">
        <v>180.51</v>
      </c>
      <c r="M837" s="2128"/>
      <c r="N837" s="2128"/>
      <c r="O837" s="2128">
        <v>148.79</v>
      </c>
      <c r="P837" s="2128">
        <v>148.79</v>
      </c>
      <c r="Q837" s="2128">
        <v>148.24</v>
      </c>
      <c r="R837" s="2128">
        <v>148.80000000000001</v>
      </c>
      <c r="S837" s="2128">
        <v>279.07</v>
      </c>
      <c r="T837" s="2128">
        <v>278.86</v>
      </c>
      <c r="U837" s="2128">
        <v>269.18</v>
      </c>
      <c r="V837" s="2128">
        <v>269.18</v>
      </c>
      <c r="W837" s="2128">
        <v>278.86</v>
      </c>
      <c r="X837" s="2128">
        <v>278.86</v>
      </c>
      <c r="Y837" s="2128">
        <v>269.18</v>
      </c>
      <c r="Z837" s="2128">
        <v>278.86</v>
      </c>
      <c r="AA837" s="2128">
        <v>278.86</v>
      </c>
      <c r="AB837" s="2128">
        <v>278.86</v>
      </c>
      <c r="AC837" s="2128">
        <v>269.18</v>
      </c>
      <c r="AD837" s="2128">
        <v>269.18</v>
      </c>
      <c r="AE837" s="2128">
        <v>290.48</v>
      </c>
      <c r="AF837" s="2128">
        <v>282.11</v>
      </c>
      <c r="AG837" s="2128">
        <v>290.48</v>
      </c>
      <c r="AH837" s="2128">
        <v>290.48</v>
      </c>
      <c r="AI837" s="2128">
        <v>282.11</v>
      </c>
      <c r="AJ837" s="2128">
        <v>282.11</v>
      </c>
      <c r="AK837" s="2128">
        <v>282.43</v>
      </c>
      <c r="AL837" s="2128">
        <v>282.43</v>
      </c>
      <c r="AM837" s="2128">
        <v>78.62</v>
      </c>
      <c r="AN837" s="2128">
        <v>75.77</v>
      </c>
      <c r="AO837" s="2128">
        <v>75.77</v>
      </c>
      <c r="AP837" s="2128">
        <v>75.69</v>
      </c>
      <c r="AQ837" s="2128">
        <v>75.930000000000007</v>
      </c>
      <c r="AR837" s="2128">
        <v>75.930000000000007</v>
      </c>
      <c r="AS837" s="2128">
        <v>229.33</v>
      </c>
      <c r="AT837" s="2128">
        <v>229.33</v>
      </c>
      <c r="AU837" s="2128">
        <v>229.33</v>
      </c>
      <c r="AV837" s="2128">
        <v>234.34</v>
      </c>
      <c r="AW837" s="2128">
        <v>229.5</v>
      </c>
      <c r="AX837" s="2128">
        <v>229.5</v>
      </c>
      <c r="AY837" s="2128">
        <v>229.62</v>
      </c>
      <c r="AZ837" s="2128">
        <v>229.62</v>
      </c>
      <c r="BA837" s="2123">
        <v>100.25</v>
      </c>
      <c r="BB837" s="2123">
        <v>100.25</v>
      </c>
      <c r="BC837" s="2123">
        <v>25.57</v>
      </c>
      <c r="BD837" s="2123">
        <v>25.71</v>
      </c>
      <c r="BE837" s="2123">
        <v>28.26</v>
      </c>
      <c r="BF837" s="2123">
        <v>28.26</v>
      </c>
      <c r="BG837" s="2123">
        <v>25.62</v>
      </c>
      <c r="BH837" s="2123">
        <v>25.62</v>
      </c>
      <c r="BI837" s="2123">
        <v>25.4</v>
      </c>
      <c r="BJ837" s="2123">
        <v>25.4</v>
      </c>
      <c r="BK837" s="2123">
        <v>25.4</v>
      </c>
      <c r="BL837" s="2123">
        <v>25.4</v>
      </c>
      <c r="BM837" s="2123">
        <v>57.45</v>
      </c>
      <c r="BN837" s="2123">
        <v>57.45</v>
      </c>
      <c r="BO837" s="2123">
        <v>181.14</v>
      </c>
      <c r="BP837" s="2123">
        <v>181.14</v>
      </c>
      <c r="BQ837" s="2123">
        <v>181.14</v>
      </c>
      <c r="BR837" s="2123">
        <v>181.14</v>
      </c>
      <c r="BS837" s="2123">
        <v>235.74</v>
      </c>
      <c r="BT837" s="2123">
        <v>235.74</v>
      </c>
      <c r="BU837" s="2123">
        <v>235.74</v>
      </c>
      <c r="BV837" s="2123">
        <v>235.74</v>
      </c>
      <c r="BW837" s="2123">
        <v>235.74</v>
      </c>
      <c r="BX837" s="2123">
        <v>235.74</v>
      </c>
      <c r="BY837" s="2123">
        <v>52.15</v>
      </c>
      <c r="BZ837" s="2123">
        <v>52.15</v>
      </c>
      <c r="CA837" s="2123">
        <v>173.49</v>
      </c>
      <c r="CB837" s="2123">
        <v>173.49</v>
      </c>
      <c r="CC837" s="2123">
        <v>176.15</v>
      </c>
      <c r="CD837" s="2123">
        <v>176.15</v>
      </c>
      <c r="CE837" s="2123">
        <v>232.5</v>
      </c>
      <c r="CF837" s="2123">
        <v>232.5</v>
      </c>
      <c r="CK837" s="2123">
        <v>129.46</v>
      </c>
      <c r="CL837" s="2123">
        <v>129.46</v>
      </c>
      <c r="CM837" s="2123">
        <v>260.64999999999998</v>
      </c>
      <c r="CN837" s="2123">
        <v>260.64999999999998</v>
      </c>
      <c r="CO837" s="2123">
        <v>337.85</v>
      </c>
      <c r="CP837" s="2123">
        <v>337.85</v>
      </c>
      <c r="CQ837" s="2123">
        <v>337.85</v>
      </c>
      <c r="CR837" s="2123">
        <v>337.85</v>
      </c>
      <c r="CW837" s="2123">
        <v>121.24</v>
      </c>
      <c r="CX837" s="2123">
        <v>121.24</v>
      </c>
      <c r="CY837" s="2123">
        <v>252.37</v>
      </c>
      <c r="CZ837" s="2123">
        <v>252.37</v>
      </c>
      <c r="DA837" s="2123">
        <v>252.37</v>
      </c>
      <c r="DB837" s="2123">
        <v>252.37</v>
      </c>
      <c r="DC837" s="2123">
        <v>327.41000000000003</v>
      </c>
      <c r="DD837" s="2123">
        <v>327.41000000000003</v>
      </c>
      <c r="DE837" s="2123">
        <v>327.41000000000003</v>
      </c>
      <c r="DF837" s="2123">
        <v>327.41000000000003</v>
      </c>
      <c r="DI837" s="2123">
        <v>32.020000000000003</v>
      </c>
      <c r="DJ837" s="2123">
        <v>32.020000000000003</v>
      </c>
      <c r="DK837" s="2123">
        <v>32.020000000000003</v>
      </c>
      <c r="DL837" s="2123">
        <v>32.020000000000003</v>
      </c>
      <c r="DM837" s="2123">
        <v>32.020000000000003</v>
      </c>
      <c r="DN837" s="2123">
        <v>32.020000000000003</v>
      </c>
      <c r="DU837" s="2123">
        <v>14.26</v>
      </c>
      <c r="DV837" s="2123">
        <v>14.26</v>
      </c>
      <c r="DW837" s="2123">
        <v>13.8</v>
      </c>
      <c r="DX837" s="2123">
        <v>13.8</v>
      </c>
      <c r="DY837" s="2123">
        <v>13.8</v>
      </c>
      <c r="DZ837" s="2123">
        <v>13.8</v>
      </c>
      <c r="EG837" s="2123">
        <v>15.28</v>
      </c>
      <c r="EH837" s="2123">
        <v>15.44</v>
      </c>
      <c r="EI837" s="2123">
        <v>12.69</v>
      </c>
      <c r="EJ837" s="2123">
        <v>12.69</v>
      </c>
      <c r="EK837" s="2123">
        <v>12.69</v>
      </c>
      <c r="EL837" s="2123">
        <v>12.69</v>
      </c>
      <c r="EM837" s="2123">
        <v>13.23</v>
      </c>
      <c r="EN837" s="2123">
        <v>13.23</v>
      </c>
      <c r="EO837" s="2123">
        <v>12.6</v>
      </c>
      <c r="EP837" s="2123">
        <v>12.6</v>
      </c>
      <c r="EQ837" s="2123">
        <v>12.96</v>
      </c>
      <c r="ER837" s="2123">
        <v>12.78</v>
      </c>
      <c r="ES837" s="2123">
        <v>58.58</v>
      </c>
      <c r="ET837" s="2123">
        <v>58.58</v>
      </c>
      <c r="EU837" s="2123">
        <v>258.66000000000003</v>
      </c>
      <c r="EV837" s="2123">
        <v>258.66000000000003</v>
      </c>
      <c r="EW837" s="2123">
        <v>253.21</v>
      </c>
      <c r="EX837" s="2123">
        <v>253.21</v>
      </c>
      <c r="EY837" s="2129">
        <f t="shared" si="51"/>
        <v>255.935</v>
      </c>
      <c r="EZ837" s="2129">
        <f t="shared" si="51"/>
        <v>255.935</v>
      </c>
      <c r="FA837" s="2123">
        <v>256.07</v>
      </c>
      <c r="FB837" s="2123">
        <v>256.07</v>
      </c>
      <c r="FE837" s="2123">
        <v>50.39</v>
      </c>
      <c r="FF837" s="2123">
        <v>50.39</v>
      </c>
      <c r="FG837" s="2123">
        <v>218.13</v>
      </c>
      <c r="FH837" s="2123">
        <v>218.13</v>
      </c>
      <c r="FI837" s="2123">
        <v>218.13</v>
      </c>
      <c r="FJ837" s="2123">
        <v>219.25</v>
      </c>
      <c r="FK837" s="2123">
        <v>217.78</v>
      </c>
      <c r="FL837" s="2123">
        <v>217.78</v>
      </c>
      <c r="FM837" s="2123">
        <v>218.29</v>
      </c>
      <c r="FN837" s="2123">
        <v>218.29</v>
      </c>
      <c r="FQ837" s="2123">
        <v>113.85</v>
      </c>
      <c r="FR837" s="2123">
        <v>113.85</v>
      </c>
      <c r="FS837" s="2123">
        <v>229.74</v>
      </c>
      <c r="FT837" s="2123">
        <v>229.74</v>
      </c>
      <c r="FU837" s="2123">
        <v>229.74</v>
      </c>
      <c r="FV837" s="2123">
        <v>229.74</v>
      </c>
      <c r="FW837" s="2123">
        <v>230.03</v>
      </c>
      <c r="FX837" s="2123">
        <v>230.03</v>
      </c>
      <c r="GC837" s="2123">
        <v>80.400000000000006</v>
      </c>
      <c r="GD837" s="2123">
        <v>80.400000000000006</v>
      </c>
      <c r="GE837" s="2123">
        <v>180.24</v>
      </c>
      <c r="GF837" s="2123">
        <v>180.24</v>
      </c>
      <c r="GG837" s="2123">
        <v>180.24</v>
      </c>
      <c r="GH837" s="2123">
        <v>180.24</v>
      </c>
      <c r="GI837" s="2123">
        <v>203.67</v>
      </c>
      <c r="GJ837" s="2123">
        <v>203.67</v>
      </c>
      <c r="GK837" s="2123">
        <v>226.34</v>
      </c>
      <c r="GL837" s="2123">
        <v>226.34</v>
      </c>
      <c r="GO837" s="2123">
        <v>43.05</v>
      </c>
      <c r="GP837" s="2123">
        <v>43.05</v>
      </c>
      <c r="GQ837" s="2123">
        <v>38.130000000000003</v>
      </c>
      <c r="GR837" s="2123">
        <v>38.130000000000003</v>
      </c>
      <c r="GS837" s="2123">
        <v>38.130000000000003</v>
      </c>
      <c r="GT837" s="2123">
        <v>36.79</v>
      </c>
      <c r="GU837" s="2123">
        <v>36.79</v>
      </c>
      <c r="GV837" s="2123">
        <v>36.979999999999997</v>
      </c>
      <c r="GW837" s="2123">
        <v>216.07</v>
      </c>
      <c r="GX837" s="2123">
        <v>216.07</v>
      </c>
      <c r="HA837" s="2123">
        <v>30</v>
      </c>
      <c r="HB837" s="2123">
        <v>30</v>
      </c>
      <c r="HC837" s="2123">
        <v>23.88</v>
      </c>
      <c r="HD837" s="2123">
        <v>23.88</v>
      </c>
      <c r="HE837" s="2123">
        <v>24.49</v>
      </c>
      <c r="HF837" s="2123">
        <v>24.49</v>
      </c>
      <c r="HG837" s="2123">
        <v>24.49</v>
      </c>
      <c r="HH837" s="2123">
        <v>24.49</v>
      </c>
      <c r="HI837" s="2123">
        <v>24.49</v>
      </c>
      <c r="HJ837" s="2123">
        <v>24.49</v>
      </c>
      <c r="HK837" s="2123">
        <v>24.59</v>
      </c>
      <c r="HL837" s="2123">
        <v>24.73</v>
      </c>
      <c r="HM837" s="2123">
        <v>42.04</v>
      </c>
      <c r="HN837" s="2123">
        <v>42.04</v>
      </c>
      <c r="HO837" s="2123">
        <v>33.770000000000003</v>
      </c>
      <c r="HP837" s="2123">
        <v>33.770000000000003</v>
      </c>
      <c r="HQ837" s="2123">
        <v>34.65</v>
      </c>
      <c r="HR837" s="2123">
        <v>34.65</v>
      </c>
      <c r="HS837" s="2123">
        <v>34.65</v>
      </c>
      <c r="HT837" s="2123">
        <v>34.65</v>
      </c>
      <c r="HU837" s="2123">
        <v>34.65</v>
      </c>
      <c r="HV837" s="2123">
        <v>34.65</v>
      </c>
      <c r="HW837" s="2123">
        <v>34.72</v>
      </c>
      <c r="HX837" s="2050">
        <v>34.72</v>
      </c>
    </row>
    <row r="838" spans="1:232" s="2123" customFormat="1" ht="14" hidden="1" x14ac:dyDescent="0.3">
      <c r="A838" s="2040"/>
      <c r="B838" s="2127">
        <v>89</v>
      </c>
      <c r="C838" s="2128">
        <v>47.61</v>
      </c>
      <c r="D838" s="2128">
        <v>47.61</v>
      </c>
      <c r="E838" s="2128">
        <v>47.67</v>
      </c>
      <c r="F838" s="2128">
        <v>47.67</v>
      </c>
      <c r="G838" s="2128">
        <v>186.22</v>
      </c>
      <c r="H838" s="2128">
        <v>186.22</v>
      </c>
      <c r="I838" s="2128">
        <v>177.28</v>
      </c>
      <c r="J838" s="2128">
        <v>177.28</v>
      </c>
      <c r="K838" s="2128">
        <v>181.01</v>
      </c>
      <c r="L838" s="2128">
        <v>181.01</v>
      </c>
      <c r="M838" s="2128"/>
      <c r="N838" s="2128"/>
      <c r="O838" s="2128">
        <v>149.15</v>
      </c>
      <c r="P838" s="2128">
        <v>149.15</v>
      </c>
      <c r="Q838" s="2128">
        <v>148.59</v>
      </c>
      <c r="R838" s="2128">
        <v>149.15</v>
      </c>
      <c r="S838" s="2128">
        <v>280.02999999999997</v>
      </c>
      <c r="T838" s="2128">
        <v>279.81</v>
      </c>
      <c r="U838" s="2128">
        <v>270.10000000000002</v>
      </c>
      <c r="V838" s="2128">
        <v>270.10000000000002</v>
      </c>
      <c r="W838" s="2128">
        <v>279.81</v>
      </c>
      <c r="X838" s="2128">
        <v>279.81</v>
      </c>
      <c r="Y838" s="2128">
        <v>270.10000000000002</v>
      </c>
      <c r="Z838" s="2128">
        <v>279.81</v>
      </c>
      <c r="AA838" s="2128">
        <v>279.81</v>
      </c>
      <c r="AB838" s="2128">
        <v>279.81</v>
      </c>
      <c r="AC838" s="2128">
        <v>270.10000000000002</v>
      </c>
      <c r="AD838" s="2128">
        <v>270.10000000000002</v>
      </c>
      <c r="AE838" s="2128">
        <v>291.33999999999997</v>
      </c>
      <c r="AF838" s="2128">
        <v>282.94</v>
      </c>
      <c r="AG838" s="2128">
        <v>291.33999999999997</v>
      </c>
      <c r="AH838" s="2128">
        <v>291.33999999999997</v>
      </c>
      <c r="AI838" s="2128">
        <v>282.94</v>
      </c>
      <c r="AJ838" s="2128">
        <v>282.94</v>
      </c>
      <c r="AK838" s="2128">
        <v>283.26</v>
      </c>
      <c r="AL838" s="2128">
        <v>283.26</v>
      </c>
      <c r="AM838" s="2128">
        <v>78.81</v>
      </c>
      <c r="AN838" s="2128">
        <v>75.95</v>
      </c>
      <c r="AO838" s="2128">
        <v>75.95</v>
      </c>
      <c r="AP838" s="2128">
        <v>75.87</v>
      </c>
      <c r="AQ838" s="2128">
        <v>76.11</v>
      </c>
      <c r="AR838" s="2128">
        <v>76.11</v>
      </c>
      <c r="AS838" s="2128">
        <v>230.03</v>
      </c>
      <c r="AT838" s="2128">
        <v>230.03</v>
      </c>
      <c r="AU838" s="2128">
        <v>230.03</v>
      </c>
      <c r="AV838" s="2128">
        <v>235.04</v>
      </c>
      <c r="AW838" s="2128">
        <v>230.2</v>
      </c>
      <c r="AX838" s="2128">
        <v>230.2</v>
      </c>
      <c r="AY838" s="2128">
        <v>230.31</v>
      </c>
      <c r="AZ838" s="2128">
        <v>230.31</v>
      </c>
      <c r="BA838" s="2123">
        <v>100.56</v>
      </c>
      <c r="BB838" s="2123">
        <v>100.56</v>
      </c>
      <c r="BC838" s="2123">
        <v>25.66</v>
      </c>
      <c r="BD838" s="2123">
        <v>25.8</v>
      </c>
      <c r="BE838" s="2123">
        <v>28.33</v>
      </c>
      <c r="BF838" s="2123">
        <v>28.33</v>
      </c>
      <c r="BG838" s="2123">
        <v>25.71</v>
      </c>
      <c r="BH838" s="2123">
        <v>25.71</v>
      </c>
      <c r="BI838" s="2123">
        <v>25.5</v>
      </c>
      <c r="BJ838" s="2123">
        <v>25.5</v>
      </c>
      <c r="BK838" s="2123">
        <v>25.5</v>
      </c>
      <c r="BL838" s="2123">
        <v>25.5</v>
      </c>
      <c r="BM838" s="2123">
        <v>57.59</v>
      </c>
      <c r="BN838" s="2123">
        <v>57.59</v>
      </c>
      <c r="BO838" s="2123">
        <v>181.65</v>
      </c>
      <c r="BP838" s="2123">
        <v>181.65</v>
      </c>
      <c r="BQ838" s="2123">
        <v>181.65</v>
      </c>
      <c r="BR838" s="2123">
        <v>181.65</v>
      </c>
      <c r="BS838" s="2123">
        <v>236.52</v>
      </c>
      <c r="BT838" s="2123">
        <v>236.52</v>
      </c>
      <c r="BU838" s="2123">
        <v>236.52</v>
      </c>
      <c r="BV838" s="2123">
        <v>236.52</v>
      </c>
      <c r="BW838" s="2123">
        <v>236.52</v>
      </c>
      <c r="BX838" s="2123">
        <v>236.52</v>
      </c>
      <c r="BY838" s="2123">
        <v>52.27</v>
      </c>
      <c r="BZ838" s="2123">
        <v>52.27</v>
      </c>
      <c r="CA838" s="2123">
        <v>173.99</v>
      </c>
      <c r="CB838" s="2123">
        <v>173.99</v>
      </c>
      <c r="CC838" s="2123">
        <v>176.65</v>
      </c>
      <c r="CD838" s="2123">
        <v>176.65</v>
      </c>
      <c r="CE838" s="2123">
        <v>233.28</v>
      </c>
      <c r="CF838" s="2123">
        <v>233.28</v>
      </c>
      <c r="CK838" s="2123">
        <v>129.75</v>
      </c>
      <c r="CL838" s="2123">
        <v>129.75</v>
      </c>
      <c r="CM838" s="2123">
        <v>261.17</v>
      </c>
      <c r="CN838" s="2123">
        <v>261.17</v>
      </c>
      <c r="CO838" s="2123">
        <v>338.7</v>
      </c>
      <c r="CP838" s="2123">
        <v>338.7</v>
      </c>
      <c r="CQ838" s="2123">
        <v>338.7</v>
      </c>
      <c r="CR838" s="2123">
        <v>338.7</v>
      </c>
      <c r="CW838" s="2123">
        <v>121.53</v>
      </c>
      <c r="CX838" s="2123">
        <v>121.53</v>
      </c>
      <c r="CY838" s="2123">
        <v>252.9</v>
      </c>
      <c r="CZ838" s="2123">
        <v>252.9</v>
      </c>
      <c r="DA838" s="2123">
        <v>252.9</v>
      </c>
      <c r="DB838" s="2123">
        <v>252.9</v>
      </c>
      <c r="DC838" s="2123">
        <v>328.27</v>
      </c>
      <c r="DD838" s="2123">
        <v>328.27</v>
      </c>
      <c r="DE838" s="2123">
        <v>328.27</v>
      </c>
      <c r="DF838" s="2123">
        <v>328.27</v>
      </c>
      <c r="DI838" s="2123">
        <v>32.090000000000003</v>
      </c>
      <c r="DJ838" s="2123">
        <v>32.090000000000003</v>
      </c>
      <c r="DK838" s="2123">
        <v>32.090000000000003</v>
      </c>
      <c r="DL838" s="2123">
        <v>32.090000000000003</v>
      </c>
      <c r="DM838" s="2123">
        <v>32.090000000000003</v>
      </c>
      <c r="DN838" s="2123">
        <v>32.090000000000003</v>
      </c>
      <c r="DU838" s="2123">
        <v>14.29</v>
      </c>
      <c r="DV838" s="2123">
        <v>14.29</v>
      </c>
      <c r="DW838" s="2123">
        <v>13.84</v>
      </c>
      <c r="DX838" s="2123">
        <v>13.84</v>
      </c>
      <c r="DY838" s="2123">
        <v>13.84</v>
      </c>
      <c r="DZ838" s="2123">
        <v>13.84</v>
      </c>
      <c r="EG838" s="2123">
        <v>15.31</v>
      </c>
      <c r="EH838" s="2123">
        <v>15.47</v>
      </c>
      <c r="EI838" s="2123">
        <v>12.74</v>
      </c>
      <c r="EJ838" s="2123">
        <v>12.74</v>
      </c>
      <c r="EK838" s="2123">
        <v>12.74</v>
      </c>
      <c r="EL838" s="2123">
        <v>12.74</v>
      </c>
      <c r="EM838" s="2123">
        <v>13.28</v>
      </c>
      <c r="EN838" s="2123">
        <v>13.28</v>
      </c>
      <c r="EO838" s="2123">
        <v>12.64</v>
      </c>
      <c r="EP838" s="2123">
        <v>12.64</v>
      </c>
      <c r="EQ838" s="2123">
        <v>13.01</v>
      </c>
      <c r="ER838" s="2123">
        <v>12.83</v>
      </c>
      <c r="ES838" s="2123">
        <v>58.72</v>
      </c>
      <c r="ET838" s="2123">
        <v>58.72</v>
      </c>
      <c r="EU838" s="2123">
        <v>259.54000000000002</v>
      </c>
      <c r="EV838" s="2123">
        <v>259.54000000000002</v>
      </c>
      <c r="EW838" s="2123">
        <v>254.07</v>
      </c>
      <c r="EX838" s="2123">
        <v>254.07</v>
      </c>
      <c r="EY838" s="2129">
        <f t="shared" si="51"/>
        <v>256.80500000000001</v>
      </c>
      <c r="EZ838" s="2129">
        <f t="shared" si="51"/>
        <v>256.80500000000001</v>
      </c>
      <c r="FA838" s="2123">
        <v>256.91000000000003</v>
      </c>
      <c r="FB838" s="2123">
        <v>256.91000000000003</v>
      </c>
      <c r="FE838" s="2123">
        <v>50.51</v>
      </c>
      <c r="FF838" s="2123">
        <v>50.51</v>
      </c>
      <c r="FG838" s="2123">
        <v>218.88</v>
      </c>
      <c r="FH838" s="2123">
        <v>218.88</v>
      </c>
      <c r="FI838" s="2123">
        <v>218.88</v>
      </c>
      <c r="FJ838" s="2123">
        <v>219.98</v>
      </c>
      <c r="FK838" s="2123">
        <v>218.53</v>
      </c>
      <c r="FL838" s="2123">
        <v>218.53</v>
      </c>
      <c r="FM838" s="2123">
        <v>219.03</v>
      </c>
      <c r="FN838" s="2123">
        <v>219.03</v>
      </c>
      <c r="FQ838" s="2123">
        <v>114.12</v>
      </c>
      <c r="FR838" s="2123">
        <v>114.12</v>
      </c>
      <c r="FS838" s="2123">
        <v>230.39</v>
      </c>
      <c r="FT838" s="2123">
        <v>230.39</v>
      </c>
      <c r="FU838" s="2123">
        <v>230.39</v>
      </c>
      <c r="FV838" s="2123">
        <v>230.39</v>
      </c>
      <c r="FW838" s="2123">
        <v>230.67</v>
      </c>
      <c r="FX838" s="2123">
        <v>230.67</v>
      </c>
      <c r="GC838" s="2123">
        <v>80.59</v>
      </c>
      <c r="GD838" s="2123">
        <v>80.59</v>
      </c>
      <c r="GE838" s="2123">
        <v>180.64</v>
      </c>
      <c r="GF838" s="2123">
        <v>180.64</v>
      </c>
      <c r="GG838" s="2123">
        <v>180.64</v>
      </c>
      <c r="GH838" s="2123">
        <v>180.64</v>
      </c>
      <c r="GI838" s="2123">
        <v>204.57</v>
      </c>
      <c r="GJ838" s="2123">
        <v>204.57</v>
      </c>
      <c r="GK838" s="2123">
        <v>227.07</v>
      </c>
      <c r="GL838" s="2123">
        <v>227.07</v>
      </c>
      <c r="GO838" s="2123">
        <v>43.16</v>
      </c>
      <c r="GP838" s="2123">
        <v>43.16</v>
      </c>
      <c r="GQ838" s="2123">
        <v>38.270000000000003</v>
      </c>
      <c r="GR838" s="2123">
        <v>38.270000000000003</v>
      </c>
      <c r="GS838" s="2123">
        <v>38.270000000000003</v>
      </c>
      <c r="GT838" s="2123">
        <v>36.92</v>
      </c>
      <c r="GU838" s="2123">
        <v>36.92</v>
      </c>
      <c r="GV838" s="2123">
        <v>37.11</v>
      </c>
      <c r="GW838" s="2123">
        <v>216.81</v>
      </c>
      <c r="GX838" s="2123">
        <v>216.81</v>
      </c>
      <c r="HA838" s="2123">
        <v>30.07</v>
      </c>
      <c r="HB838" s="2123">
        <v>30.07</v>
      </c>
      <c r="HC838" s="2123">
        <v>23.98</v>
      </c>
      <c r="HD838" s="2123">
        <v>23.98</v>
      </c>
      <c r="HE838" s="2123">
        <v>24.59</v>
      </c>
      <c r="HF838" s="2123">
        <v>24.59</v>
      </c>
      <c r="HG838" s="2123">
        <v>24.59</v>
      </c>
      <c r="HH838" s="2123">
        <v>24.59</v>
      </c>
      <c r="HI838" s="2123">
        <v>24.59</v>
      </c>
      <c r="HJ838" s="2123">
        <v>24.59</v>
      </c>
      <c r="HK838" s="2123">
        <v>24.68</v>
      </c>
      <c r="HL838" s="2123">
        <v>24.83</v>
      </c>
      <c r="HM838" s="2123">
        <v>42.14</v>
      </c>
      <c r="HN838" s="2123">
        <v>42.14</v>
      </c>
      <c r="HO838" s="2123">
        <v>33.909999999999997</v>
      </c>
      <c r="HP838" s="2123">
        <v>33.909999999999997</v>
      </c>
      <c r="HQ838" s="2123">
        <v>34.79</v>
      </c>
      <c r="HR838" s="2123">
        <v>34.79</v>
      </c>
      <c r="HS838" s="2123">
        <v>34.79</v>
      </c>
      <c r="HT838" s="2123">
        <v>34.79</v>
      </c>
      <c r="HU838" s="2123">
        <v>34.79</v>
      </c>
      <c r="HV838" s="2123">
        <v>34.79</v>
      </c>
      <c r="HW838" s="2123">
        <v>34.85</v>
      </c>
      <c r="HX838" s="2050">
        <v>34.85</v>
      </c>
    </row>
    <row r="839" spans="1:232" s="2123" customFormat="1" ht="14" hidden="1" x14ac:dyDescent="0.3">
      <c r="A839" s="2040"/>
      <c r="B839" s="2127">
        <v>90</v>
      </c>
      <c r="C839" s="2128">
        <v>47.72</v>
      </c>
      <c r="D839" s="2128">
        <v>47.72</v>
      </c>
      <c r="E839" s="2128">
        <v>47.78</v>
      </c>
      <c r="F839" s="2128">
        <v>47.78</v>
      </c>
      <c r="G839" s="2128">
        <v>186.75</v>
      </c>
      <c r="H839" s="2128">
        <v>186.75</v>
      </c>
      <c r="I839" s="2128">
        <v>177.84</v>
      </c>
      <c r="J839" s="2128">
        <v>177.84</v>
      </c>
      <c r="K839" s="2128">
        <v>181.5</v>
      </c>
      <c r="L839" s="2128">
        <v>181.5</v>
      </c>
      <c r="M839" s="2128"/>
      <c r="N839" s="2128"/>
      <c r="O839" s="2128">
        <v>149.5</v>
      </c>
      <c r="P839" s="2128">
        <v>149.5</v>
      </c>
      <c r="Q839" s="2128">
        <v>148.94</v>
      </c>
      <c r="R839" s="2128">
        <v>149.5</v>
      </c>
      <c r="S839" s="2128">
        <v>280.96999999999997</v>
      </c>
      <c r="T839" s="2128">
        <v>280.75</v>
      </c>
      <c r="U839" s="2128">
        <v>271.01</v>
      </c>
      <c r="V839" s="2128">
        <v>271.01</v>
      </c>
      <c r="W839" s="2128">
        <v>280.75</v>
      </c>
      <c r="X839" s="2128">
        <v>280.75</v>
      </c>
      <c r="Y839" s="2128">
        <v>271.01</v>
      </c>
      <c r="Z839" s="2128">
        <v>280.75</v>
      </c>
      <c r="AA839" s="2128">
        <v>280.75</v>
      </c>
      <c r="AB839" s="2128">
        <v>280.75</v>
      </c>
      <c r="AC839" s="2128">
        <v>271.01</v>
      </c>
      <c r="AD839" s="2128">
        <v>271.01</v>
      </c>
      <c r="AE839" s="2128">
        <v>292.17</v>
      </c>
      <c r="AF839" s="2128">
        <v>283.76</v>
      </c>
      <c r="AG839" s="2128">
        <v>292.17</v>
      </c>
      <c r="AH839" s="2128">
        <v>292.17</v>
      </c>
      <c r="AI839" s="2128">
        <v>283.76</v>
      </c>
      <c r="AJ839" s="2128">
        <v>283.76</v>
      </c>
      <c r="AK839" s="2128">
        <v>284.07</v>
      </c>
      <c r="AL839" s="2128">
        <v>284.07</v>
      </c>
      <c r="AM839" s="2128">
        <v>78.989999999999995</v>
      </c>
      <c r="AN839" s="2128">
        <v>76.13</v>
      </c>
      <c r="AO839" s="2128">
        <v>76.13</v>
      </c>
      <c r="AP839" s="2128">
        <v>76.05</v>
      </c>
      <c r="AQ839" s="2128">
        <v>76.28</v>
      </c>
      <c r="AR839" s="2128">
        <v>76.28</v>
      </c>
      <c r="AS839" s="2128">
        <v>230.71</v>
      </c>
      <c r="AT839" s="2128">
        <v>230.71</v>
      </c>
      <c r="AU839" s="2128">
        <v>230.71</v>
      </c>
      <c r="AV839" s="2128">
        <v>235.74</v>
      </c>
      <c r="AW839" s="2128">
        <v>230.88</v>
      </c>
      <c r="AX839" s="2128">
        <v>230.88</v>
      </c>
      <c r="AY839" s="2128">
        <v>230.99</v>
      </c>
      <c r="AZ839" s="2128">
        <v>230.99</v>
      </c>
      <c r="BA839" s="2123">
        <v>100.87</v>
      </c>
      <c r="BB839" s="2123">
        <v>100.87</v>
      </c>
      <c r="BC839" s="2123">
        <v>25.76</v>
      </c>
      <c r="BD839" s="2123">
        <v>25.89</v>
      </c>
      <c r="BE839" s="2123">
        <v>28.4</v>
      </c>
      <c r="BF839" s="2123">
        <v>28.4</v>
      </c>
      <c r="BG839" s="2123">
        <v>25.81</v>
      </c>
      <c r="BH839" s="2123">
        <v>25.81</v>
      </c>
      <c r="BI839" s="2123">
        <v>25.59</v>
      </c>
      <c r="BJ839" s="2123">
        <v>25.59</v>
      </c>
      <c r="BK839" s="2123">
        <v>25.59</v>
      </c>
      <c r="BL839" s="2123">
        <v>25.59</v>
      </c>
      <c r="BM839" s="2123">
        <v>57.72</v>
      </c>
      <c r="BN839" s="2123">
        <v>57.72</v>
      </c>
      <c r="BO839" s="2123">
        <v>182.14</v>
      </c>
      <c r="BP839" s="2123">
        <v>182.14</v>
      </c>
      <c r="BQ839" s="2123">
        <v>182.14</v>
      </c>
      <c r="BR839" s="2123">
        <v>182.14</v>
      </c>
      <c r="BS839" s="2123">
        <v>237.29</v>
      </c>
      <c r="BT839" s="2123">
        <v>237.29</v>
      </c>
      <c r="BU839" s="2123">
        <v>237.29</v>
      </c>
      <c r="BV839" s="2123">
        <v>237.29</v>
      </c>
      <c r="BW839" s="2123">
        <v>237.29</v>
      </c>
      <c r="BX839" s="2123">
        <v>237.29</v>
      </c>
      <c r="BY839" s="2123">
        <v>52.4</v>
      </c>
      <c r="BZ839" s="2123">
        <v>52.4</v>
      </c>
      <c r="CA839" s="2123">
        <v>174.47</v>
      </c>
      <c r="CB839" s="2123">
        <v>174.47</v>
      </c>
      <c r="CC839" s="2123">
        <v>177.15</v>
      </c>
      <c r="CD839" s="2123">
        <v>177.15</v>
      </c>
      <c r="CE839" s="2123">
        <v>234.05</v>
      </c>
      <c r="CF839" s="2123">
        <v>234.05</v>
      </c>
      <c r="CK839" s="2123">
        <v>130.04</v>
      </c>
      <c r="CL839" s="2123">
        <v>130.04</v>
      </c>
      <c r="CM839" s="2123">
        <v>261.68</v>
      </c>
      <c r="CN839" s="2123">
        <v>261.68</v>
      </c>
      <c r="CO839" s="2123">
        <v>339.54</v>
      </c>
      <c r="CP839" s="2123">
        <v>339.54</v>
      </c>
      <c r="CQ839" s="2123">
        <v>339.54</v>
      </c>
      <c r="CR839" s="2123">
        <v>339.54</v>
      </c>
      <c r="CW839" s="2123">
        <v>121.82</v>
      </c>
      <c r="CX839" s="2123">
        <v>121.82</v>
      </c>
      <c r="CY839" s="2123">
        <v>253.41</v>
      </c>
      <c r="CZ839" s="2123">
        <v>253.41</v>
      </c>
      <c r="DA839" s="2123">
        <v>253.41</v>
      </c>
      <c r="DB839" s="2123">
        <v>253.41</v>
      </c>
      <c r="DC839" s="2123">
        <v>329.12</v>
      </c>
      <c r="DD839" s="2123">
        <v>329.12</v>
      </c>
      <c r="DE839" s="2123">
        <v>329.12</v>
      </c>
      <c r="DF839" s="2123">
        <v>329.12</v>
      </c>
      <c r="DI839" s="2123">
        <v>32.17</v>
      </c>
      <c r="DJ839" s="2123">
        <v>32.17</v>
      </c>
      <c r="DK839" s="2123">
        <v>32.17</v>
      </c>
      <c r="DL839" s="2123">
        <v>32.17</v>
      </c>
      <c r="DM839" s="2123">
        <v>32.17</v>
      </c>
      <c r="DN839" s="2123">
        <v>32.17</v>
      </c>
      <c r="DU839" s="2123">
        <v>14.32</v>
      </c>
      <c r="DV839" s="2123">
        <v>14.32</v>
      </c>
      <c r="DW839" s="2123">
        <v>13.89</v>
      </c>
      <c r="DX839" s="2123">
        <v>13.89</v>
      </c>
      <c r="DY839" s="2123">
        <v>13.89</v>
      </c>
      <c r="DZ839" s="2123">
        <v>13.89</v>
      </c>
      <c r="EG839" s="2123">
        <v>15.35</v>
      </c>
      <c r="EH839" s="2123">
        <v>15.51</v>
      </c>
      <c r="EI839" s="2123">
        <v>12.78</v>
      </c>
      <c r="EJ839" s="2123">
        <v>12.78</v>
      </c>
      <c r="EK839" s="2123">
        <v>12.79</v>
      </c>
      <c r="EL839" s="2123">
        <v>12.79</v>
      </c>
      <c r="EM839" s="2123">
        <v>13.32</v>
      </c>
      <c r="EN839" s="2123">
        <v>13.32</v>
      </c>
      <c r="EO839" s="2123">
        <v>12.69</v>
      </c>
      <c r="EP839" s="2123">
        <v>12.69</v>
      </c>
      <c r="EQ839" s="2123">
        <v>13.06</v>
      </c>
      <c r="ER839" s="2123">
        <v>12.87</v>
      </c>
      <c r="ES839" s="2123">
        <v>58.86</v>
      </c>
      <c r="ET839" s="2123">
        <v>58.86</v>
      </c>
      <c r="EU839" s="2123">
        <v>260.39</v>
      </c>
      <c r="EV839" s="2123">
        <v>260.39</v>
      </c>
      <c r="EW839" s="2123">
        <v>254.92</v>
      </c>
      <c r="EX839" s="2123">
        <v>254.92</v>
      </c>
      <c r="EY839" s="2129">
        <f t="shared" si="51"/>
        <v>257.65499999999997</v>
      </c>
      <c r="EZ839" s="2129">
        <f t="shared" si="51"/>
        <v>257.65499999999997</v>
      </c>
      <c r="FA839" s="2123">
        <v>257.72000000000003</v>
      </c>
      <c r="FB839" s="2123">
        <v>257.72000000000003</v>
      </c>
      <c r="FE839" s="2123">
        <v>50.63</v>
      </c>
      <c r="FF839" s="2123">
        <v>50.63</v>
      </c>
      <c r="FG839" s="2123">
        <v>219.62</v>
      </c>
      <c r="FH839" s="2123">
        <v>219.62</v>
      </c>
      <c r="FI839" s="2123">
        <v>219.62</v>
      </c>
      <c r="FJ839" s="2123">
        <v>220.7</v>
      </c>
      <c r="FK839" s="2123">
        <v>219.28</v>
      </c>
      <c r="FL839" s="2123">
        <v>219.28</v>
      </c>
      <c r="FM839" s="2123">
        <v>219.76</v>
      </c>
      <c r="FN839" s="2123">
        <v>219.76</v>
      </c>
      <c r="FQ839" s="2123">
        <v>114.4</v>
      </c>
      <c r="FR839" s="2123">
        <v>114.4</v>
      </c>
      <c r="FS839" s="2123">
        <v>231.03</v>
      </c>
      <c r="FT839" s="2123">
        <v>231.03</v>
      </c>
      <c r="FU839" s="2123">
        <v>231.03</v>
      </c>
      <c r="FV839" s="2123">
        <v>231.03</v>
      </c>
      <c r="FW839" s="2123">
        <v>231.3</v>
      </c>
      <c r="FX839" s="2123">
        <v>231.3</v>
      </c>
      <c r="GC839" s="2123">
        <v>80.78</v>
      </c>
      <c r="GD839" s="2123">
        <v>80.78</v>
      </c>
      <c r="GE839" s="2123">
        <v>181.03</v>
      </c>
      <c r="GF839" s="2123">
        <v>181.03</v>
      </c>
      <c r="GG839" s="2123">
        <v>181.03</v>
      </c>
      <c r="GH839" s="2123">
        <v>181.03</v>
      </c>
      <c r="GI839" s="2123">
        <v>205.46</v>
      </c>
      <c r="GJ839" s="2123">
        <v>205.46</v>
      </c>
      <c r="GK839" s="2123">
        <v>227.78</v>
      </c>
      <c r="GL839" s="2123">
        <v>227.78</v>
      </c>
      <c r="GO839" s="2123">
        <v>43.26</v>
      </c>
      <c r="GP839" s="2123">
        <v>43.26</v>
      </c>
      <c r="GQ839" s="2123">
        <v>38.4</v>
      </c>
      <c r="GR839" s="2123">
        <v>38.4</v>
      </c>
      <c r="GS839" s="2123">
        <v>38.4</v>
      </c>
      <c r="GT839" s="2123">
        <v>37.049999999999997</v>
      </c>
      <c r="GU839" s="2123">
        <v>37.049999999999997</v>
      </c>
      <c r="GV839" s="2123">
        <v>37.229999999999997</v>
      </c>
      <c r="GW839" s="2123">
        <v>217.53</v>
      </c>
      <c r="GX839" s="2123">
        <v>217.53</v>
      </c>
      <c r="HA839" s="2123">
        <v>30.14</v>
      </c>
      <c r="HB839" s="2123">
        <v>30.14</v>
      </c>
      <c r="HC839" s="2123">
        <v>24.09</v>
      </c>
      <c r="HD839" s="2123">
        <v>24.09</v>
      </c>
      <c r="HE839" s="2123">
        <v>24.69</v>
      </c>
      <c r="HF839" s="2123">
        <v>24.69</v>
      </c>
      <c r="HG839" s="2123">
        <v>24.69</v>
      </c>
      <c r="HH839" s="2123">
        <v>24.69</v>
      </c>
      <c r="HI839" s="2123">
        <v>24.69</v>
      </c>
      <c r="HJ839" s="2123">
        <v>24.69</v>
      </c>
      <c r="HK839" s="2123">
        <v>24.78</v>
      </c>
      <c r="HL839" s="2123">
        <v>24.92</v>
      </c>
      <c r="HM839" s="2123">
        <v>42.24</v>
      </c>
      <c r="HN839" s="2123">
        <v>42.24</v>
      </c>
      <c r="HO839" s="2123">
        <v>34.049999999999997</v>
      </c>
      <c r="HP839" s="2123">
        <v>34.049999999999997</v>
      </c>
      <c r="HQ839" s="2123">
        <v>34.92</v>
      </c>
      <c r="HR839" s="2123">
        <v>34.92</v>
      </c>
      <c r="HS839" s="2123">
        <v>34.92</v>
      </c>
      <c r="HT839" s="2123">
        <v>34.92</v>
      </c>
      <c r="HU839" s="2123">
        <v>34.92</v>
      </c>
      <c r="HV839" s="2123">
        <v>34.92</v>
      </c>
      <c r="HW839" s="2123">
        <v>34.99</v>
      </c>
      <c r="HX839" s="2050">
        <v>34.99</v>
      </c>
    </row>
    <row r="840" spans="1:232" s="2123" customFormat="1" ht="14" hidden="1" x14ac:dyDescent="0.3">
      <c r="A840" s="2040"/>
      <c r="B840" s="2127">
        <v>91</v>
      </c>
      <c r="C840" s="2128">
        <v>47.83</v>
      </c>
      <c r="D840" s="2128">
        <v>47.83</v>
      </c>
      <c r="E840" s="2128">
        <v>47.89</v>
      </c>
      <c r="F840" s="2128">
        <v>47.89</v>
      </c>
      <c r="G840" s="2128">
        <v>187.28</v>
      </c>
      <c r="H840" s="2128">
        <v>187.28</v>
      </c>
      <c r="I840" s="2128">
        <v>178.39</v>
      </c>
      <c r="J840" s="2128">
        <v>178.39</v>
      </c>
      <c r="K840" s="2128">
        <v>181.98</v>
      </c>
      <c r="L840" s="2128">
        <v>181.98</v>
      </c>
      <c r="M840" s="2128"/>
      <c r="N840" s="2128"/>
      <c r="O840" s="2128">
        <v>149.84</v>
      </c>
      <c r="P840" s="2128">
        <v>149.84</v>
      </c>
      <c r="Q840" s="2128">
        <v>149.27000000000001</v>
      </c>
      <c r="R840" s="2128">
        <v>149.85</v>
      </c>
      <c r="S840" s="2128">
        <v>281.89</v>
      </c>
      <c r="T840" s="2128">
        <v>281.68</v>
      </c>
      <c r="U840" s="2128">
        <v>271.89999999999998</v>
      </c>
      <c r="V840" s="2128">
        <v>271.89999999999998</v>
      </c>
      <c r="W840" s="2128">
        <v>281.68</v>
      </c>
      <c r="X840" s="2128">
        <v>281.68</v>
      </c>
      <c r="Y840" s="2128">
        <v>271.89999999999998</v>
      </c>
      <c r="Z840" s="2128">
        <v>281.68</v>
      </c>
      <c r="AA840" s="2128">
        <v>281.68</v>
      </c>
      <c r="AB840" s="2128">
        <v>281.68</v>
      </c>
      <c r="AC840" s="2128">
        <v>271.89999999999998</v>
      </c>
      <c r="AD840" s="2128">
        <v>271.89999999999998</v>
      </c>
      <c r="AE840" s="2128">
        <v>293</v>
      </c>
      <c r="AF840" s="2128">
        <v>284.56</v>
      </c>
      <c r="AG840" s="2128">
        <v>293</v>
      </c>
      <c r="AH840" s="2128">
        <v>293</v>
      </c>
      <c r="AI840" s="2128">
        <v>284.56</v>
      </c>
      <c r="AJ840" s="2128">
        <v>284.56</v>
      </c>
      <c r="AK840" s="2128">
        <v>284.86</v>
      </c>
      <c r="AL840" s="2128">
        <v>284.86</v>
      </c>
      <c r="AM840" s="2128">
        <v>79.17</v>
      </c>
      <c r="AN840" s="2128">
        <v>76.3</v>
      </c>
      <c r="AO840" s="2128">
        <v>76.3</v>
      </c>
      <c r="AP840" s="2128">
        <v>76.22</v>
      </c>
      <c r="AQ840" s="2128">
        <v>76.45</v>
      </c>
      <c r="AR840" s="2128">
        <v>76.45</v>
      </c>
      <c r="AS840" s="2128">
        <v>231.38</v>
      </c>
      <c r="AT840" s="2128">
        <v>231.38</v>
      </c>
      <c r="AU840" s="2128">
        <v>231.38</v>
      </c>
      <c r="AV840" s="2128">
        <v>236.42</v>
      </c>
      <c r="AW840" s="2128">
        <v>231.54</v>
      </c>
      <c r="AX840" s="2128">
        <v>231.54</v>
      </c>
      <c r="AY840" s="2128">
        <v>231.66</v>
      </c>
      <c r="AZ840" s="2128">
        <v>231.66</v>
      </c>
      <c r="BA840" s="2123">
        <v>101.18</v>
      </c>
      <c r="BB840" s="2123">
        <v>101.18</v>
      </c>
      <c r="BC840" s="2123">
        <v>25.85</v>
      </c>
      <c r="BD840" s="2123">
        <v>25.98</v>
      </c>
      <c r="BE840" s="2123">
        <v>28.46</v>
      </c>
      <c r="BF840" s="2123">
        <v>28.46</v>
      </c>
      <c r="BG840" s="2123">
        <v>25.9</v>
      </c>
      <c r="BH840" s="2123">
        <v>25.9</v>
      </c>
      <c r="BI840" s="2123">
        <v>25.68</v>
      </c>
      <c r="BJ840" s="2123">
        <v>25.68</v>
      </c>
      <c r="BK840" s="2123">
        <v>25.68</v>
      </c>
      <c r="BL840" s="2123">
        <v>25.68</v>
      </c>
      <c r="BM840" s="2123">
        <v>57.86</v>
      </c>
      <c r="BN840" s="2123">
        <v>57.86</v>
      </c>
      <c r="BO840" s="2123">
        <v>182.63</v>
      </c>
      <c r="BP840" s="2123">
        <v>182.63</v>
      </c>
      <c r="BQ840" s="2123">
        <v>182.63</v>
      </c>
      <c r="BR840" s="2123">
        <v>182.63</v>
      </c>
      <c r="BS840" s="2123">
        <v>238.04</v>
      </c>
      <c r="BT840" s="2123">
        <v>238.04</v>
      </c>
      <c r="BU840" s="2123">
        <v>238.04</v>
      </c>
      <c r="BV840" s="2123">
        <v>238.04</v>
      </c>
      <c r="BW840" s="2123">
        <v>238.04</v>
      </c>
      <c r="BX840" s="2123">
        <v>238.04</v>
      </c>
      <c r="BY840" s="2123">
        <v>52.52</v>
      </c>
      <c r="BZ840" s="2123">
        <v>52.52</v>
      </c>
      <c r="CA840" s="2123">
        <v>174.95</v>
      </c>
      <c r="CB840" s="2123">
        <v>174.95</v>
      </c>
      <c r="CC840" s="2123">
        <v>177.64</v>
      </c>
      <c r="CD840" s="2123">
        <v>177.64</v>
      </c>
      <c r="CE840" s="2123">
        <v>234.81</v>
      </c>
      <c r="CF840" s="2123">
        <v>234.81</v>
      </c>
      <c r="CK840" s="2123">
        <v>130.32</v>
      </c>
      <c r="CL840" s="2123">
        <v>130.32</v>
      </c>
      <c r="CM840" s="2123">
        <v>262.17</v>
      </c>
      <c r="CN840" s="2123">
        <v>262.17</v>
      </c>
      <c r="CO840" s="2123">
        <v>340.36</v>
      </c>
      <c r="CP840" s="2123">
        <v>340.36</v>
      </c>
      <c r="CQ840" s="2123">
        <v>340.36</v>
      </c>
      <c r="CR840" s="2123">
        <v>340.36</v>
      </c>
      <c r="CW840" s="2123">
        <v>122.1</v>
      </c>
      <c r="CX840" s="2123">
        <v>122.1</v>
      </c>
      <c r="CY840" s="2123">
        <v>253.92</v>
      </c>
      <c r="CZ840" s="2123">
        <v>253.92</v>
      </c>
      <c r="DA840" s="2123">
        <v>253.92</v>
      </c>
      <c r="DB840" s="2123">
        <v>253.92</v>
      </c>
      <c r="DC840" s="2123">
        <v>329.94</v>
      </c>
      <c r="DD840" s="2123">
        <v>329.94</v>
      </c>
      <c r="DE840" s="2123">
        <v>329.94</v>
      </c>
      <c r="DF840" s="2123">
        <v>329.94</v>
      </c>
      <c r="DI840" s="2123">
        <v>32.24</v>
      </c>
      <c r="DJ840" s="2123">
        <v>32.24</v>
      </c>
      <c r="DK840" s="2123">
        <v>32.24</v>
      </c>
      <c r="DL840" s="2123">
        <v>32.24</v>
      </c>
      <c r="DM840" s="2123">
        <v>32.24</v>
      </c>
      <c r="DN840" s="2123">
        <v>32.24</v>
      </c>
      <c r="DU840" s="2123">
        <v>14.36</v>
      </c>
      <c r="DV840" s="2123">
        <v>14.36</v>
      </c>
      <c r="DW840" s="2123">
        <v>13.94</v>
      </c>
      <c r="DX840" s="2123">
        <v>13.94</v>
      </c>
      <c r="DY840" s="2123">
        <v>13.94</v>
      </c>
      <c r="DZ840" s="2123">
        <v>13.94</v>
      </c>
      <c r="EG840" s="2123">
        <v>15.38</v>
      </c>
      <c r="EH840" s="2123">
        <v>15.54</v>
      </c>
      <c r="EI840" s="2123">
        <v>12.83</v>
      </c>
      <c r="EJ840" s="2123">
        <v>12.83</v>
      </c>
      <c r="EK840" s="2123">
        <v>12.84</v>
      </c>
      <c r="EL840" s="2123">
        <v>12.84</v>
      </c>
      <c r="EM840" s="2123">
        <v>13.37</v>
      </c>
      <c r="EN840" s="2123">
        <v>13.37</v>
      </c>
      <c r="EO840" s="2123">
        <v>12.73</v>
      </c>
      <c r="EP840" s="2123">
        <v>12.73</v>
      </c>
      <c r="EQ840" s="2123">
        <v>13.11</v>
      </c>
      <c r="ER840" s="2123">
        <v>12.91</v>
      </c>
      <c r="ES840" s="2123">
        <v>58.99</v>
      </c>
      <c r="ET840" s="2123">
        <v>58.99</v>
      </c>
      <c r="EU840" s="2123">
        <v>261.24</v>
      </c>
      <c r="EV840" s="2123">
        <v>261.24</v>
      </c>
      <c r="EW840" s="2123">
        <v>255.76</v>
      </c>
      <c r="EX840" s="2123">
        <v>255.76</v>
      </c>
      <c r="EY840" s="2129">
        <f t="shared" si="51"/>
        <v>258.5</v>
      </c>
      <c r="EZ840" s="2129">
        <f t="shared" si="51"/>
        <v>258.5</v>
      </c>
      <c r="FA840" s="2123">
        <v>258.52999999999997</v>
      </c>
      <c r="FB840" s="2123">
        <v>258.52999999999997</v>
      </c>
      <c r="FE840" s="2123">
        <v>50.75</v>
      </c>
      <c r="FF840" s="2123">
        <v>50.75</v>
      </c>
      <c r="FG840" s="2123">
        <v>220.34</v>
      </c>
      <c r="FH840" s="2123">
        <v>220.34</v>
      </c>
      <c r="FI840" s="2123">
        <v>220.34</v>
      </c>
      <c r="FJ840" s="2123">
        <v>221.4</v>
      </c>
      <c r="FK840" s="2123">
        <v>220.01</v>
      </c>
      <c r="FL840" s="2123">
        <v>220.01</v>
      </c>
      <c r="FM840" s="2123">
        <v>220.48</v>
      </c>
      <c r="FN840" s="2123">
        <v>220.48</v>
      </c>
      <c r="FQ840" s="2123">
        <v>114.66</v>
      </c>
      <c r="FR840" s="2123">
        <v>114.66</v>
      </c>
      <c r="FS840" s="2123">
        <v>231.66</v>
      </c>
      <c r="FT840" s="2123">
        <v>231.66</v>
      </c>
      <c r="FU840" s="2123">
        <v>231.66</v>
      </c>
      <c r="FV840" s="2123">
        <v>231.66</v>
      </c>
      <c r="FW840" s="2123">
        <v>231.92</v>
      </c>
      <c r="FX840" s="2123">
        <v>231.92</v>
      </c>
      <c r="GC840" s="2123">
        <v>80.97</v>
      </c>
      <c r="GD840" s="2123">
        <v>80.97</v>
      </c>
      <c r="GE840" s="2123">
        <v>181.41</v>
      </c>
      <c r="GF840" s="2123">
        <v>181.41</v>
      </c>
      <c r="GG840" s="2123">
        <v>181.41</v>
      </c>
      <c r="GH840" s="2123">
        <v>181.41</v>
      </c>
      <c r="GI840" s="2123">
        <v>206.33</v>
      </c>
      <c r="GJ840" s="2123">
        <v>206.33</v>
      </c>
      <c r="GK840" s="2123">
        <v>228.49</v>
      </c>
      <c r="GL840" s="2123">
        <v>228.49</v>
      </c>
      <c r="GO840" s="2123">
        <v>43.36</v>
      </c>
      <c r="GP840" s="2123">
        <v>43.36</v>
      </c>
      <c r="GQ840" s="2123">
        <v>38.53</v>
      </c>
      <c r="GR840" s="2123">
        <v>38.53</v>
      </c>
      <c r="GS840" s="2123">
        <v>38.53</v>
      </c>
      <c r="GT840" s="2123">
        <v>37.17</v>
      </c>
      <c r="GU840" s="2123">
        <v>37.17</v>
      </c>
      <c r="GV840" s="2123">
        <v>37.36</v>
      </c>
      <c r="GW840" s="2123">
        <v>218.24</v>
      </c>
      <c r="GX840" s="2123">
        <v>218.24</v>
      </c>
      <c r="HA840" s="2123">
        <v>30.21</v>
      </c>
      <c r="HB840" s="2123">
        <v>30.21</v>
      </c>
      <c r="HC840" s="2123">
        <v>24.19</v>
      </c>
      <c r="HD840" s="2123">
        <v>24.19</v>
      </c>
      <c r="HE840" s="2123">
        <v>24.78</v>
      </c>
      <c r="HF840" s="2123">
        <v>24.78</v>
      </c>
      <c r="HG840" s="2123">
        <v>24.78</v>
      </c>
      <c r="HH840" s="2123">
        <v>24.78</v>
      </c>
      <c r="HI840" s="2123">
        <v>24.78</v>
      </c>
      <c r="HJ840" s="2123">
        <v>24.78</v>
      </c>
      <c r="HK840" s="2123">
        <v>24.88</v>
      </c>
      <c r="HL840" s="2123">
        <v>25.01</v>
      </c>
      <c r="HM840" s="2123">
        <v>42.34</v>
      </c>
      <c r="HN840" s="2123">
        <v>42.34</v>
      </c>
      <c r="HO840" s="2123">
        <v>34.19</v>
      </c>
      <c r="HP840" s="2123">
        <v>34.19</v>
      </c>
      <c r="HQ840" s="2123">
        <v>35.049999999999997</v>
      </c>
      <c r="HR840" s="2123">
        <v>35.049999999999997</v>
      </c>
      <c r="HS840" s="2123">
        <v>35.049999999999997</v>
      </c>
      <c r="HT840" s="2123">
        <v>35.049999999999997</v>
      </c>
      <c r="HU840" s="2123">
        <v>35.049999999999997</v>
      </c>
      <c r="HV840" s="2123">
        <v>35.049999999999997</v>
      </c>
      <c r="HW840" s="2123">
        <v>35.119999999999997</v>
      </c>
      <c r="HX840" s="2050">
        <v>35.119999999999997</v>
      </c>
    </row>
    <row r="841" spans="1:232" s="2123" customFormat="1" ht="14" hidden="1" x14ac:dyDescent="0.3">
      <c r="A841" s="2040"/>
      <c r="B841" s="2127">
        <v>92</v>
      </c>
      <c r="C841" s="2128">
        <v>47.93</v>
      </c>
      <c r="D841" s="2128">
        <v>47.93</v>
      </c>
      <c r="E841" s="2128">
        <v>47.99</v>
      </c>
      <c r="F841" s="2128">
        <v>47.99</v>
      </c>
      <c r="G841" s="2128">
        <v>187.8</v>
      </c>
      <c r="H841" s="2128">
        <v>187.8</v>
      </c>
      <c r="I841" s="2128">
        <v>178.93</v>
      </c>
      <c r="J841" s="2128">
        <v>178.93</v>
      </c>
      <c r="K841" s="2128">
        <v>182.46</v>
      </c>
      <c r="L841" s="2128">
        <v>182.46</v>
      </c>
      <c r="M841" s="2128"/>
      <c r="N841" s="2128"/>
      <c r="O841" s="2128">
        <v>150.18</v>
      </c>
      <c r="P841" s="2128">
        <v>150.18</v>
      </c>
      <c r="Q841" s="2128">
        <v>149.6</v>
      </c>
      <c r="R841" s="2128">
        <v>150.19</v>
      </c>
      <c r="S841" s="2128">
        <v>282.8</v>
      </c>
      <c r="T841" s="2128">
        <v>282.58</v>
      </c>
      <c r="U841" s="2128">
        <v>272.77</v>
      </c>
      <c r="V841" s="2128">
        <v>272.77</v>
      </c>
      <c r="W841" s="2128">
        <v>282.58</v>
      </c>
      <c r="X841" s="2128">
        <v>282.58</v>
      </c>
      <c r="Y841" s="2128">
        <v>272.77</v>
      </c>
      <c r="Z841" s="2128">
        <v>282.58</v>
      </c>
      <c r="AA841" s="2128">
        <v>282.58</v>
      </c>
      <c r="AB841" s="2128">
        <v>282.58</v>
      </c>
      <c r="AC841" s="2128">
        <v>272.77</v>
      </c>
      <c r="AD841" s="2128">
        <v>272.77</v>
      </c>
      <c r="AE841" s="2128">
        <v>293.81</v>
      </c>
      <c r="AF841" s="2128">
        <v>285.33999999999997</v>
      </c>
      <c r="AG841" s="2128">
        <v>293.81</v>
      </c>
      <c r="AH841" s="2128">
        <v>293.81</v>
      </c>
      <c r="AI841" s="2128">
        <v>285.33999999999997</v>
      </c>
      <c r="AJ841" s="2128">
        <v>285.33999999999997</v>
      </c>
      <c r="AK841" s="2128">
        <v>285.64</v>
      </c>
      <c r="AL841" s="2128">
        <v>285.64</v>
      </c>
      <c r="AM841" s="2128">
        <v>79.349999999999994</v>
      </c>
      <c r="AN841" s="2128">
        <v>76.47</v>
      </c>
      <c r="AO841" s="2128">
        <v>76.47</v>
      </c>
      <c r="AP841" s="2128">
        <v>76.400000000000006</v>
      </c>
      <c r="AQ841" s="2128">
        <v>76.61</v>
      </c>
      <c r="AR841" s="2128">
        <v>76.61</v>
      </c>
      <c r="AS841" s="2128">
        <v>232.04</v>
      </c>
      <c r="AT841" s="2128">
        <v>232.04</v>
      </c>
      <c r="AU841" s="2128">
        <v>232.04</v>
      </c>
      <c r="AV841" s="2128">
        <v>237.08</v>
      </c>
      <c r="AW841" s="2128">
        <v>232.2</v>
      </c>
      <c r="AX841" s="2128">
        <v>232.2</v>
      </c>
      <c r="AY841" s="2128">
        <v>232.32</v>
      </c>
      <c r="AZ841" s="2128">
        <v>232.32</v>
      </c>
      <c r="BA841" s="2123">
        <v>101.48</v>
      </c>
      <c r="BB841" s="2123">
        <v>101.48</v>
      </c>
      <c r="BC841" s="2123">
        <v>25.94</v>
      </c>
      <c r="BD841" s="2123">
        <v>26.07</v>
      </c>
      <c r="BE841" s="2123">
        <v>28.53</v>
      </c>
      <c r="BF841" s="2123">
        <v>28.53</v>
      </c>
      <c r="BG841" s="2123">
        <v>25.99</v>
      </c>
      <c r="BH841" s="2123">
        <v>25.99</v>
      </c>
      <c r="BI841" s="2123">
        <v>25.77</v>
      </c>
      <c r="BJ841" s="2123">
        <v>25.77</v>
      </c>
      <c r="BK841" s="2123">
        <v>25.77</v>
      </c>
      <c r="BL841" s="2123">
        <v>25.77</v>
      </c>
      <c r="BM841" s="2123">
        <v>57.99</v>
      </c>
      <c r="BN841" s="2123">
        <v>57.99</v>
      </c>
      <c r="BO841" s="2123">
        <v>183.1</v>
      </c>
      <c r="BP841" s="2123">
        <v>183.1</v>
      </c>
      <c r="BQ841" s="2123">
        <v>183.1</v>
      </c>
      <c r="BR841" s="2123">
        <v>183.1</v>
      </c>
      <c r="BS841" s="2123">
        <v>238.78</v>
      </c>
      <c r="BT841" s="2123">
        <v>238.78</v>
      </c>
      <c r="BU841" s="2123">
        <v>238.78</v>
      </c>
      <c r="BV841" s="2123">
        <v>238.78</v>
      </c>
      <c r="BW841" s="2123">
        <v>238.78</v>
      </c>
      <c r="BX841" s="2123">
        <v>238.78</v>
      </c>
      <c r="BY841" s="2123">
        <v>52.63</v>
      </c>
      <c r="BZ841" s="2123">
        <v>52.63</v>
      </c>
      <c r="CA841" s="2123">
        <v>175.41</v>
      </c>
      <c r="CB841" s="2123">
        <v>175.41</v>
      </c>
      <c r="CC841" s="2123">
        <v>178.12</v>
      </c>
      <c r="CD841" s="2123">
        <v>178.12</v>
      </c>
      <c r="CE841" s="2123">
        <v>235.56</v>
      </c>
      <c r="CF841" s="2123">
        <v>235.56</v>
      </c>
      <c r="CK841" s="2123">
        <v>130.6</v>
      </c>
      <c r="CL841" s="2123">
        <v>130.6</v>
      </c>
      <c r="CM841" s="2123">
        <v>262.66000000000003</v>
      </c>
      <c r="CN841" s="2123">
        <v>262.66000000000003</v>
      </c>
      <c r="CO841" s="2123">
        <v>341.16</v>
      </c>
      <c r="CP841" s="2123">
        <v>341.16</v>
      </c>
      <c r="CQ841" s="2123">
        <v>341.16</v>
      </c>
      <c r="CR841" s="2123">
        <v>341.16</v>
      </c>
      <c r="CW841" s="2123">
        <v>122.37</v>
      </c>
      <c r="CX841" s="2123">
        <v>122.37</v>
      </c>
      <c r="CY841" s="2123">
        <v>254.42</v>
      </c>
      <c r="CZ841" s="2123">
        <v>254.42</v>
      </c>
      <c r="DA841" s="2123">
        <v>254.42</v>
      </c>
      <c r="DB841" s="2123">
        <v>254.42</v>
      </c>
      <c r="DC841" s="2123">
        <v>330.75</v>
      </c>
      <c r="DD841" s="2123">
        <v>330.75</v>
      </c>
      <c r="DE841" s="2123">
        <v>330.75</v>
      </c>
      <c r="DF841" s="2123">
        <v>330.75</v>
      </c>
      <c r="DI841" s="2123">
        <v>32.31</v>
      </c>
      <c r="DJ841" s="2123">
        <v>32.31</v>
      </c>
      <c r="DK841" s="2123">
        <v>32.31</v>
      </c>
      <c r="DL841" s="2123">
        <v>32.31</v>
      </c>
      <c r="DM841" s="2123">
        <v>32.31</v>
      </c>
      <c r="DN841" s="2123">
        <v>32.31</v>
      </c>
      <c r="DU841" s="2123">
        <v>14.39</v>
      </c>
      <c r="DV841" s="2123">
        <v>14.39</v>
      </c>
      <c r="DW841" s="2123">
        <v>13.97</v>
      </c>
      <c r="DX841" s="2123">
        <v>13.97</v>
      </c>
      <c r="DY841" s="2123">
        <v>13.97</v>
      </c>
      <c r="DZ841" s="2123">
        <v>13.97</v>
      </c>
      <c r="EG841" s="2123">
        <v>15.42</v>
      </c>
      <c r="EH841" s="2123">
        <v>15.57</v>
      </c>
      <c r="EI841" s="2123">
        <v>12.88</v>
      </c>
      <c r="EJ841" s="2123">
        <v>12.88</v>
      </c>
      <c r="EK841" s="2123">
        <v>12.88</v>
      </c>
      <c r="EL841" s="2123">
        <v>12.88</v>
      </c>
      <c r="EM841" s="2123">
        <v>13.41</v>
      </c>
      <c r="EN841" s="2123">
        <v>13.41</v>
      </c>
      <c r="EO841" s="2123">
        <v>12.78</v>
      </c>
      <c r="EP841" s="2123">
        <v>12.78</v>
      </c>
      <c r="EQ841" s="2123">
        <v>13.15</v>
      </c>
      <c r="ER841" s="2123">
        <v>12.96</v>
      </c>
      <c r="ES841" s="2123">
        <v>59.13</v>
      </c>
      <c r="ET841" s="2123">
        <v>59.13</v>
      </c>
      <c r="EU841" s="2123">
        <v>262.07</v>
      </c>
      <c r="EV841" s="2123">
        <v>262.07</v>
      </c>
      <c r="EW841" s="2123">
        <v>256.58</v>
      </c>
      <c r="EX841" s="2123">
        <v>256.58</v>
      </c>
      <c r="EY841" s="2129">
        <f t="shared" si="51"/>
        <v>259.32499999999999</v>
      </c>
      <c r="EZ841" s="2129">
        <f t="shared" si="51"/>
        <v>259.32499999999999</v>
      </c>
      <c r="FA841" s="2123">
        <v>259.32</v>
      </c>
      <c r="FB841" s="2123">
        <v>259.32</v>
      </c>
      <c r="FE841" s="2123">
        <v>50.87</v>
      </c>
      <c r="FF841" s="2123">
        <v>50.87</v>
      </c>
      <c r="FG841" s="2123">
        <v>221.05</v>
      </c>
      <c r="FH841" s="2123">
        <v>221.05</v>
      </c>
      <c r="FI841" s="2123">
        <v>221.05</v>
      </c>
      <c r="FJ841" s="2123">
        <v>222.09</v>
      </c>
      <c r="FK841" s="2123">
        <v>220.73</v>
      </c>
      <c r="FL841" s="2123">
        <v>220.73</v>
      </c>
      <c r="FM841" s="2123">
        <v>221.19</v>
      </c>
      <c r="FN841" s="2123">
        <v>221.19</v>
      </c>
      <c r="FQ841" s="2123">
        <v>114.92</v>
      </c>
      <c r="FR841" s="2123">
        <v>114.92</v>
      </c>
      <c r="FS841" s="2123">
        <v>232.27</v>
      </c>
      <c r="FT841" s="2123">
        <v>232.27</v>
      </c>
      <c r="FU841" s="2123">
        <v>232.27</v>
      </c>
      <c r="FV841" s="2123">
        <v>232.27</v>
      </c>
      <c r="FW841" s="2123">
        <v>232.52</v>
      </c>
      <c r="FX841" s="2123">
        <v>232.52</v>
      </c>
      <c r="GC841" s="2123">
        <v>81.150000000000006</v>
      </c>
      <c r="GD841" s="2123">
        <v>81.150000000000006</v>
      </c>
      <c r="GE841" s="2123">
        <v>181.78</v>
      </c>
      <c r="GF841" s="2123">
        <v>181.78</v>
      </c>
      <c r="GG841" s="2123">
        <v>181.78</v>
      </c>
      <c r="GH841" s="2123">
        <v>181.78</v>
      </c>
      <c r="GI841" s="2123">
        <v>207.19</v>
      </c>
      <c r="GJ841" s="2123">
        <v>207.19</v>
      </c>
      <c r="GK841" s="2123">
        <v>229.18</v>
      </c>
      <c r="GL841" s="2123">
        <v>229.18</v>
      </c>
      <c r="GO841" s="2123">
        <v>43.45</v>
      </c>
      <c r="GP841" s="2123">
        <v>43.45</v>
      </c>
      <c r="GQ841" s="2123">
        <v>38.659999999999997</v>
      </c>
      <c r="GR841" s="2123">
        <v>38.659999999999997</v>
      </c>
      <c r="GS841" s="2123">
        <v>38.659999999999997</v>
      </c>
      <c r="GT841" s="2123">
        <v>37.299999999999997</v>
      </c>
      <c r="GU841" s="2123">
        <v>37.299999999999997</v>
      </c>
      <c r="GV841" s="2123">
        <v>37.479999999999997</v>
      </c>
      <c r="GW841" s="2123">
        <v>218.94</v>
      </c>
      <c r="GX841" s="2123">
        <v>218.94</v>
      </c>
      <c r="HA841" s="2123">
        <v>30.28</v>
      </c>
      <c r="HB841" s="2123">
        <v>30.28</v>
      </c>
      <c r="HC841" s="2123">
        <v>24.28</v>
      </c>
      <c r="HD841" s="2123">
        <v>24.28</v>
      </c>
      <c r="HE841" s="2123">
        <v>24.87</v>
      </c>
      <c r="HF841" s="2123">
        <v>24.87</v>
      </c>
      <c r="HG841" s="2123">
        <v>24.87</v>
      </c>
      <c r="HH841" s="2123">
        <v>24.87</v>
      </c>
      <c r="HI841" s="2123">
        <v>24.87</v>
      </c>
      <c r="HJ841" s="2123">
        <v>24.87</v>
      </c>
      <c r="HK841" s="2123">
        <v>24.97</v>
      </c>
      <c r="HL841" s="2123">
        <v>25.1</v>
      </c>
      <c r="HM841" s="2123">
        <v>42.43</v>
      </c>
      <c r="HN841" s="2123">
        <v>42.43</v>
      </c>
      <c r="HO841" s="2123">
        <v>34.32</v>
      </c>
      <c r="HP841" s="2123">
        <v>34.32</v>
      </c>
      <c r="HQ841" s="2123">
        <v>35.18</v>
      </c>
      <c r="HR841" s="2123">
        <v>35.18</v>
      </c>
      <c r="HS841" s="2123">
        <v>35.18</v>
      </c>
      <c r="HT841" s="2123">
        <v>35.18</v>
      </c>
      <c r="HU841" s="2123">
        <v>35.18</v>
      </c>
      <c r="HV841" s="2123">
        <v>35.18</v>
      </c>
      <c r="HW841" s="2123">
        <v>35.25</v>
      </c>
      <c r="HX841" s="2050">
        <v>35.25</v>
      </c>
    </row>
    <row r="842" spans="1:232" s="2123" customFormat="1" ht="14" hidden="1" x14ac:dyDescent="0.3">
      <c r="A842" s="2040"/>
      <c r="B842" s="2127">
        <v>93</v>
      </c>
      <c r="C842" s="2128">
        <v>48.04</v>
      </c>
      <c r="D842" s="2128">
        <v>48.04</v>
      </c>
      <c r="E842" s="2128">
        <v>48.09</v>
      </c>
      <c r="F842" s="2128">
        <v>48.09</v>
      </c>
      <c r="G842" s="2128">
        <v>188.31</v>
      </c>
      <c r="H842" s="2128">
        <v>188.31</v>
      </c>
      <c r="I842" s="2128">
        <v>179.46</v>
      </c>
      <c r="J842" s="2128">
        <v>179.46</v>
      </c>
      <c r="K842" s="2128">
        <v>182.92</v>
      </c>
      <c r="L842" s="2128">
        <v>182.92</v>
      </c>
      <c r="M842" s="2128"/>
      <c r="N842" s="2128"/>
      <c r="O842" s="2128">
        <v>150.51</v>
      </c>
      <c r="P842" s="2128">
        <v>150.51</v>
      </c>
      <c r="Q842" s="2128">
        <v>149.93</v>
      </c>
      <c r="R842" s="2128">
        <v>150.52000000000001</v>
      </c>
      <c r="S842" s="2128">
        <v>283.69</v>
      </c>
      <c r="T842" s="2128">
        <v>283.47000000000003</v>
      </c>
      <c r="U842" s="2128">
        <v>273.63</v>
      </c>
      <c r="V842" s="2128">
        <v>273.63</v>
      </c>
      <c r="W842" s="2128">
        <v>283.47000000000003</v>
      </c>
      <c r="X842" s="2128">
        <v>283.47000000000003</v>
      </c>
      <c r="Y842" s="2128">
        <v>273.63</v>
      </c>
      <c r="Z842" s="2128">
        <v>283.47000000000003</v>
      </c>
      <c r="AA842" s="2128">
        <v>283.47000000000003</v>
      </c>
      <c r="AB842" s="2128">
        <v>283.47000000000003</v>
      </c>
      <c r="AC842" s="2128">
        <v>273.63</v>
      </c>
      <c r="AD842" s="2128">
        <v>273.63</v>
      </c>
      <c r="AE842" s="2128">
        <v>294.60000000000002</v>
      </c>
      <c r="AF842" s="2128">
        <v>286.11</v>
      </c>
      <c r="AG842" s="2128">
        <v>294.60000000000002</v>
      </c>
      <c r="AH842" s="2128">
        <v>294.60000000000002</v>
      </c>
      <c r="AI842" s="2128">
        <v>286.11</v>
      </c>
      <c r="AJ842" s="2128">
        <v>286.11</v>
      </c>
      <c r="AK842" s="2128">
        <v>286.39999999999998</v>
      </c>
      <c r="AL842" s="2128">
        <v>286.39999999999998</v>
      </c>
      <c r="AM842" s="2128">
        <v>79.53</v>
      </c>
      <c r="AN842" s="2128">
        <v>76.64</v>
      </c>
      <c r="AO842" s="2128">
        <v>76.64</v>
      </c>
      <c r="AP842" s="2128">
        <v>76.56</v>
      </c>
      <c r="AQ842" s="2128">
        <v>76.78</v>
      </c>
      <c r="AR842" s="2128">
        <v>76.78</v>
      </c>
      <c r="AS842" s="2128">
        <v>232.69</v>
      </c>
      <c r="AT842" s="2128">
        <v>232.69</v>
      </c>
      <c r="AU842" s="2128">
        <v>232.69</v>
      </c>
      <c r="AV842" s="2128">
        <v>237.74</v>
      </c>
      <c r="AW842" s="2128">
        <v>232.84</v>
      </c>
      <c r="AX842" s="2128">
        <v>232.84</v>
      </c>
      <c r="AY842" s="2128">
        <v>232.96</v>
      </c>
      <c r="AZ842" s="2128">
        <v>232.96</v>
      </c>
      <c r="BA842" s="2123">
        <v>101.77</v>
      </c>
      <c r="BB842" s="2123">
        <v>101.77</v>
      </c>
      <c r="BC842" s="2123">
        <v>26.03</v>
      </c>
      <c r="BD842" s="2123">
        <v>26.16</v>
      </c>
      <c r="BE842" s="2123">
        <v>28.6</v>
      </c>
      <c r="BF842" s="2123">
        <v>28.6</v>
      </c>
      <c r="BG842" s="2123">
        <v>26.08</v>
      </c>
      <c r="BH842" s="2123">
        <v>26.08</v>
      </c>
      <c r="BI842" s="2123">
        <v>25.86</v>
      </c>
      <c r="BJ842" s="2123">
        <v>25.86</v>
      </c>
      <c r="BK842" s="2123">
        <v>25.86</v>
      </c>
      <c r="BL842" s="2123">
        <v>25.86</v>
      </c>
      <c r="BM842" s="2123">
        <v>58.11</v>
      </c>
      <c r="BN842" s="2123">
        <v>58.11</v>
      </c>
      <c r="BO842" s="2123">
        <v>183.57</v>
      </c>
      <c r="BP842" s="2123">
        <v>183.57</v>
      </c>
      <c r="BQ842" s="2123">
        <v>183.57</v>
      </c>
      <c r="BR842" s="2123">
        <v>183.57</v>
      </c>
      <c r="BS842" s="2123">
        <v>239.51</v>
      </c>
      <c r="BT842" s="2123">
        <v>239.51</v>
      </c>
      <c r="BU842" s="2123">
        <v>239.51</v>
      </c>
      <c r="BV842" s="2123">
        <v>239.51</v>
      </c>
      <c r="BW842" s="2123">
        <v>239.51</v>
      </c>
      <c r="BX842" s="2123">
        <v>239.51</v>
      </c>
      <c r="BY842" s="2123">
        <v>52.75</v>
      </c>
      <c r="BZ842" s="2123">
        <v>52.75</v>
      </c>
      <c r="CA842" s="2123">
        <v>175.87</v>
      </c>
      <c r="CB842" s="2123">
        <v>175.87</v>
      </c>
      <c r="CC842" s="2123">
        <v>178.58</v>
      </c>
      <c r="CD842" s="2123">
        <v>178.58</v>
      </c>
      <c r="CE842" s="2123">
        <v>236.29</v>
      </c>
      <c r="CF842" s="2123">
        <v>236.29</v>
      </c>
      <c r="CK842" s="2123">
        <v>130.87</v>
      </c>
      <c r="CL842" s="2123">
        <v>130.87</v>
      </c>
      <c r="CM842" s="2123">
        <v>263.14</v>
      </c>
      <c r="CN842" s="2123">
        <v>263.14</v>
      </c>
      <c r="CO842" s="2123">
        <v>341.95</v>
      </c>
      <c r="CP842" s="2123">
        <v>341.95</v>
      </c>
      <c r="CQ842" s="2123">
        <v>341.95</v>
      </c>
      <c r="CR842" s="2123">
        <v>341.95</v>
      </c>
      <c r="CW842" s="2123">
        <v>122.64</v>
      </c>
      <c r="CX842" s="2123">
        <v>122.64</v>
      </c>
      <c r="CY842" s="2123">
        <v>254.9</v>
      </c>
      <c r="CZ842" s="2123">
        <v>254.9</v>
      </c>
      <c r="DA842" s="2123">
        <v>254.9</v>
      </c>
      <c r="DB842" s="2123">
        <v>254.9</v>
      </c>
      <c r="DC842" s="2123">
        <v>331.55</v>
      </c>
      <c r="DD842" s="2123">
        <v>331.55</v>
      </c>
      <c r="DE842" s="2123">
        <v>331.55</v>
      </c>
      <c r="DF842" s="2123">
        <v>331.55</v>
      </c>
      <c r="DI842" s="2123">
        <v>32.380000000000003</v>
      </c>
      <c r="DJ842" s="2123">
        <v>32.380000000000003</v>
      </c>
      <c r="DK842" s="2123">
        <v>32.380000000000003</v>
      </c>
      <c r="DL842" s="2123">
        <v>32.380000000000003</v>
      </c>
      <c r="DM842" s="2123">
        <v>32.380000000000003</v>
      </c>
      <c r="DN842" s="2123">
        <v>32.380000000000003</v>
      </c>
      <c r="DU842" s="2123">
        <v>14.42</v>
      </c>
      <c r="DV842" s="2123">
        <v>14.42</v>
      </c>
      <c r="DW842" s="2123">
        <v>13.99</v>
      </c>
      <c r="DX842" s="2123">
        <v>13.99</v>
      </c>
      <c r="DY842" s="2123">
        <v>13.99</v>
      </c>
      <c r="DZ842" s="2123">
        <v>13.99</v>
      </c>
      <c r="EG842" s="2123">
        <v>15.45</v>
      </c>
      <c r="EH842" s="2123">
        <v>15.61</v>
      </c>
      <c r="EI842" s="2123">
        <v>12.93</v>
      </c>
      <c r="EJ842" s="2123">
        <v>12.93</v>
      </c>
      <c r="EK842" s="2123">
        <v>12.93</v>
      </c>
      <c r="EL842" s="2123">
        <v>12.93</v>
      </c>
      <c r="EM842" s="2123">
        <v>13.46</v>
      </c>
      <c r="EN842" s="2123">
        <v>13.46</v>
      </c>
      <c r="EO842" s="2123">
        <v>12.82</v>
      </c>
      <c r="EP842" s="2123">
        <v>12.82</v>
      </c>
      <c r="EQ842" s="2123">
        <v>13.2</v>
      </c>
      <c r="ER842" s="2123">
        <v>13</v>
      </c>
      <c r="ES842" s="2123">
        <v>59.26</v>
      </c>
      <c r="ET842" s="2123">
        <v>59.26</v>
      </c>
      <c r="EU842" s="2123">
        <v>262.88</v>
      </c>
      <c r="EV842" s="2123">
        <v>262.88</v>
      </c>
      <c r="EW842" s="2123">
        <v>257.38</v>
      </c>
      <c r="EX842" s="2123">
        <v>257.38</v>
      </c>
      <c r="EY842" s="2129">
        <f t="shared" si="51"/>
        <v>260.13</v>
      </c>
      <c r="EZ842" s="2129">
        <f t="shared" si="51"/>
        <v>260.13</v>
      </c>
      <c r="FA842" s="2123">
        <v>260.08999999999997</v>
      </c>
      <c r="FB842" s="2123">
        <v>260.08999999999997</v>
      </c>
      <c r="FE842" s="2123">
        <v>50.98</v>
      </c>
      <c r="FF842" s="2123">
        <v>50.98</v>
      </c>
      <c r="FG842" s="2123">
        <v>221.75</v>
      </c>
      <c r="FH842" s="2123">
        <v>221.75</v>
      </c>
      <c r="FI842" s="2123">
        <v>221.75</v>
      </c>
      <c r="FJ842" s="2123">
        <v>222.77</v>
      </c>
      <c r="FK842" s="2123">
        <v>221.43</v>
      </c>
      <c r="FL842" s="2123">
        <v>221.43</v>
      </c>
      <c r="FM842" s="2123">
        <v>221.88</v>
      </c>
      <c r="FN842" s="2123">
        <v>221.88</v>
      </c>
      <c r="FQ842" s="2123">
        <v>115.18</v>
      </c>
      <c r="FR842" s="2123">
        <v>115.18</v>
      </c>
      <c r="FS842" s="2123">
        <v>232.87</v>
      </c>
      <c r="FT842" s="2123">
        <v>232.87</v>
      </c>
      <c r="FU842" s="2123">
        <v>232.87</v>
      </c>
      <c r="FV842" s="2123">
        <v>232.87</v>
      </c>
      <c r="FW842" s="2123">
        <v>233.12</v>
      </c>
      <c r="FX842" s="2123">
        <v>233.12</v>
      </c>
      <c r="GC842" s="2123">
        <v>81.33</v>
      </c>
      <c r="GD842" s="2123">
        <v>81.33</v>
      </c>
      <c r="GE842" s="2123">
        <v>182.15</v>
      </c>
      <c r="GF842" s="2123">
        <v>182.15</v>
      </c>
      <c r="GG842" s="2123">
        <v>182.15</v>
      </c>
      <c r="GH842" s="2123">
        <v>182.15</v>
      </c>
      <c r="GI842" s="2123">
        <v>208.04</v>
      </c>
      <c r="GJ842" s="2123">
        <v>208.04</v>
      </c>
      <c r="GK842" s="2123">
        <v>229.86</v>
      </c>
      <c r="GL842" s="2123">
        <v>229.86</v>
      </c>
      <c r="GO842" s="2123">
        <v>43.55</v>
      </c>
      <c r="GP842" s="2123">
        <v>43.55</v>
      </c>
      <c r="GQ842" s="2123">
        <v>38.78</v>
      </c>
      <c r="GR842" s="2123">
        <v>38.78</v>
      </c>
      <c r="GS842" s="2123">
        <v>38.78</v>
      </c>
      <c r="GT842" s="2123">
        <v>37.42</v>
      </c>
      <c r="GU842" s="2123">
        <v>37.42</v>
      </c>
      <c r="GV842" s="2123">
        <v>37.6</v>
      </c>
      <c r="GW842" s="2123">
        <v>219.62</v>
      </c>
      <c r="GX842" s="2123">
        <v>219.62</v>
      </c>
      <c r="HA842" s="2123">
        <v>30.34</v>
      </c>
      <c r="HB842" s="2123">
        <v>30.34</v>
      </c>
      <c r="HC842" s="2123">
        <v>24.38</v>
      </c>
      <c r="HD842" s="2123">
        <v>24.38</v>
      </c>
      <c r="HE842" s="2123">
        <v>24.96</v>
      </c>
      <c r="HF842" s="2123">
        <v>24.96</v>
      </c>
      <c r="HG842" s="2123">
        <v>24.96</v>
      </c>
      <c r="HH842" s="2123">
        <v>24.96</v>
      </c>
      <c r="HI842" s="2123">
        <v>24.96</v>
      </c>
      <c r="HJ842" s="2123">
        <v>24.96</v>
      </c>
      <c r="HK842" s="2123">
        <v>25.06</v>
      </c>
      <c r="HL842" s="2123">
        <v>25.19</v>
      </c>
      <c r="HM842" s="2123">
        <v>42.52</v>
      </c>
      <c r="HN842" s="2123">
        <v>42.52</v>
      </c>
      <c r="HO842" s="2123">
        <v>34.46</v>
      </c>
      <c r="HP842" s="2123">
        <v>34.46</v>
      </c>
      <c r="HQ842" s="2123">
        <v>35.299999999999997</v>
      </c>
      <c r="HR842" s="2123">
        <v>35.299999999999997</v>
      </c>
      <c r="HS842" s="2123">
        <v>35.299999999999997</v>
      </c>
      <c r="HT842" s="2123">
        <v>35.299999999999997</v>
      </c>
      <c r="HU842" s="2123">
        <v>35.299999999999997</v>
      </c>
      <c r="HV842" s="2123">
        <v>35.299999999999997</v>
      </c>
      <c r="HW842" s="2123">
        <v>35.369999999999997</v>
      </c>
      <c r="HX842" s="2050">
        <v>35.369999999999997</v>
      </c>
    </row>
    <row r="843" spans="1:232" s="2123" customFormat="1" ht="14" hidden="1" x14ac:dyDescent="0.3">
      <c r="A843" s="2040"/>
      <c r="B843" s="2127">
        <v>94</v>
      </c>
      <c r="C843" s="2128">
        <v>48.14</v>
      </c>
      <c r="D843" s="2128">
        <v>48.14</v>
      </c>
      <c r="E843" s="2128">
        <v>48.19</v>
      </c>
      <c r="F843" s="2128">
        <v>48.19</v>
      </c>
      <c r="G843" s="2128">
        <v>188.81</v>
      </c>
      <c r="H843" s="2128">
        <v>188.81</v>
      </c>
      <c r="I843" s="2128">
        <v>179.98</v>
      </c>
      <c r="J843" s="2128">
        <v>179.98</v>
      </c>
      <c r="K843" s="2128">
        <v>183.38</v>
      </c>
      <c r="L843" s="2128">
        <v>183.38</v>
      </c>
      <c r="M843" s="2128"/>
      <c r="N843" s="2128"/>
      <c r="O843" s="2128">
        <v>150.83000000000001</v>
      </c>
      <c r="P843" s="2128">
        <v>150.83000000000001</v>
      </c>
      <c r="Q843" s="2128">
        <v>150.25</v>
      </c>
      <c r="R843" s="2128">
        <v>150.84</v>
      </c>
      <c r="S843" s="2128">
        <v>284.56</v>
      </c>
      <c r="T843" s="2128">
        <v>284.35000000000002</v>
      </c>
      <c r="U843" s="2128">
        <v>274.48</v>
      </c>
      <c r="V843" s="2128">
        <v>274.48</v>
      </c>
      <c r="W843" s="2128">
        <v>284.35000000000002</v>
      </c>
      <c r="X843" s="2128">
        <v>284.35000000000002</v>
      </c>
      <c r="Y843" s="2128">
        <v>274.48</v>
      </c>
      <c r="Z843" s="2128">
        <v>284.35000000000002</v>
      </c>
      <c r="AA843" s="2128">
        <v>284.35000000000002</v>
      </c>
      <c r="AB843" s="2128">
        <v>284.35000000000002</v>
      </c>
      <c r="AC843" s="2128">
        <v>274.48</v>
      </c>
      <c r="AD843" s="2128">
        <v>274.48</v>
      </c>
      <c r="AE843" s="2128">
        <v>295.38</v>
      </c>
      <c r="AF843" s="2128">
        <v>286.87</v>
      </c>
      <c r="AG843" s="2128">
        <v>295.38</v>
      </c>
      <c r="AH843" s="2128">
        <v>295.38</v>
      </c>
      <c r="AI843" s="2128">
        <v>286.87</v>
      </c>
      <c r="AJ843" s="2128">
        <v>286.87</v>
      </c>
      <c r="AK843" s="2128">
        <v>287.14999999999998</v>
      </c>
      <c r="AL843" s="2128">
        <v>287.14999999999998</v>
      </c>
      <c r="AM843" s="2128">
        <v>79.7</v>
      </c>
      <c r="AN843" s="2128">
        <v>76.81</v>
      </c>
      <c r="AO843" s="2128">
        <v>76.81</v>
      </c>
      <c r="AP843" s="2128">
        <v>76.73</v>
      </c>
      <c r="AQ843" s="2128">
        <v>76.94</v>
      </c>
      <c r="AR843" s="2128">
        <v>76.94</v>
      </c>
      <c r="AS843" s="2128">
        <v>233.33</v>
      </c>
      <c r="AT843" s="2128">
        <v>233.33</v>
      </c>
      <c r="AU843" s="2128">
        <v>233.33</v>
      </c>
      <c r="AV843" s="2128">
        <v>238.38</v>
      </c>
      <c r="AW843" s="2128">
        <v>233.47</v>
      </c>
      <c r="AX843" s="2128">
        <v>233.47</v>
      </c>
      <c r="AY843" s="2128">
        <v>233.59</v>
      </c>
      <c r="AZ843" s="2128">
        <v>233.59</v>
      </c>
      <c r="BA843" s="2123">
        <v>102.06</v>
      </c>
      <c r="BB843" s="2123">
        <v>102.06</v>
      </c>
      <c r="BC843" s="2123">
        <v>26.11</v>
      </c>
      <c r="BD843" s="2123">
        <v>26.24</v>
      </c>
      <c r="BE843" s="2123">
        <v>28.66</v>
      </c>
      <c r="BF843" s="2123">
        <v>28.66</v>
      </c>
      <c r="BG843" s="2123">
        <v>26.16</v>
      </c>
      <c r="BH843" s="2123">
        <v>26.16</v>
      </c>
      <c r="BI843" s="2123">
        <v>25.94</v>
      </c>
      <c r="BJ843" s="2123">
        <v>25.94</v>
      </c>
      <c r="BK843" s="2123">
        <v>25.94</v>
      </c>
      <c r="BL843" s="2123">
        <v>25.94</v>
      </c>
      <c r="BM843" s="2123">
        <v>58.24</v>
      </c>
      <c r="BN843" s="2123">
        <v>58.24</v>
      </c>
      <c r="BO843" s="2123">
        <v>184.03</v>
      </c>
      <c r="BP843" s="2123">
        <v>184.03</v>
      </c>
      <c r="BQ843" s="2123">
        <v>184.03</v>
      </c>
      <c r="BR843" s="2123">
        <v>184.03</v>
      </c>
      <c r="BS843" s="2123">
        <v>240.22</v>
      </c>
      <c r="BT843" s="2123">
        <v>240.22</v>
      </c>
      <c r="BU843" s="2123">
        <v>240.22</v>
      </c>
      <c r="BV843" s="2123">
        <v>240.22</v>
      </c>
      <c r="BW843" s="2123">
        <v>240.22</v>
      </c>
      <c r="BX843" s="2123">
        <v>240.22</v>
      </c>
      <c r="BY843" s="2123">
        <v>52.86</v>
      </c>
      <c r="BZ843" s="2123">
        <v>52.86</v>
      </c>
      <c r="CA843" s="2123">
        <v>176.32</v>
      </c>
      <c r="CB843" s="2123">
        <v>176.32</v>
      </c>
      <c r="CC843" s="2123">
        <v>179.04</v>
      </c>
      <c r="CD843" s="2123">
        <v>179.04</v>
      </c>
      <c r="CE843" s="2123">
        <v>237</v>
      </c>
      <c r="CF843" s="2123">
        <v>237</v>
      </c>
      <c r="CK843" s="2123">
        <v>131.13</v>
      </c>
      <c r="CL843" s="2123">
        <v>131.13</v>
      </c>
      <c r="CM843" s="2123">
        <v>263.61</v>
      </c>
      <c r="CN843" s="2123">
        <v>263.61</v>
      </c>
      <c r="CO843" s="2123">
        <v>342.73</v>
      </c>
      <c r="CP843" s="2123">
        <v>342.73</v>
      </c>
      <c r="CQ843" s="2123">
        <v>342.73</v>
      </c>
      <c r="CR843" s="2123">
        <v>342.73</v>
      </c>
      <c r="CW843" s="2123">
        <v>122.91</v>
      </c>
      <c r="CX843" s="2123">
        <v>122.91</v>
      </c>
      <c r="CY843" s="2123">
        <v>255.38</v>
      </c>
      <c r="CZ843" s="2123">
        <v>255.38</v>
      </c>
      <c r="DA843" s="2123">
        <v>255.38</v>
      </c>
      <c r="DB843" s="2123">
        <v>255.38</v>
      </c>
      <c r="DC843" s="2123">
        <v>332.33</v>
      </c>
      <c r="DD843" s="2123">
        <v>332.33</v>
      </c>
      <c r="DE843" s="2123">
        <v>332.33</v>
      </c>
      <c r="DF843" s="2123">
        <v>332.33</v>
      </c>
      <c r="DI843" s="2123">
        <v>32.450000000000003</v>
      </c>
      <c r="DJ843" s="2123">
        <v>32.450000000000003</v>
      </c>
      <c r="DK843" s="2123">
        <v>32.450000000000003</v>
      </c>
      <c r="DL843" s="2123">
        <v>32.450000000000003</v>
      </c>
      <c r="DM843" s="2123">
        <v>32.450000000000003</v>
      </c>
      <c r="DN843" s="2123">
        <v>32.450000000000003</v>
      </c>
      <c r="DU843" s="2123">
        <v>14.45</v>
      </c>
      <c r="DV843" s="2123">
        <v>14.45</v>
      </c>
      <c r="DW843" s="2123">
        <v>14.03</v>
      </c>
      <c r="DX843" s="2123">
        <v>14.03</v>
      </c>
      <c r="DY843" s="2123">
        <v>14.03</v>
      </c>
      <c r="DZ843" s="2123">
        <v>14.03</v>
      </c>
      <c r="EG843" s="2123">
        <v>15.48</v>
      </c>
      <c r="EH843" s="2123">
        <v>15.64</v>
      </c>
      <c r="EI843" s="2123">
        <v>12.97</v>
      </c>
      <c r="EJ843" s="2123">
        <v>12.97</v>
      </c>
      <c r="EK843" s="2123">
        <v>12.98</v>
      </c>
      <c r="EL843" s="2123">
        <v>12.98</v>
      </c>
      <c r="EM843" s="2123">
        <v>13.5</v>
      </c>
      <c r="EN843" s="2123">
        <v>13.5</v>
      </c>
      <c r="EO843" s="2123">
        <v>12.87</v>
      </c>
      <c r="EP843" s="2123">
        <v>12.87</v>
      </c>
      <c r="EQ843" s="2123">
        <v>13.24</v>
      </c>
      <c r="ER843" s="2123">
        <v>13.04</v>
      </c>
      <c r="ES843" s="2123">
        <v>59.38</v>
      </c>
      <c r="ET843" s="2123">
        <v>59.38</v>
      </c>
      <c r="EU843" s="2123">
        <v>263.68</v>
      </c>
      <c r="EV843" s="2123">
        <v>263.68</v>
      </c>
      <c r="EW843" s="2123">
        <v>258.17</v>
      </c>
      <c r="EX843" s="2123">
        <v>258.17</v>
      </c>
      <c r="EY843" s="2129">
        <f t="shared" si="51"/>
        <v>260.92500000000001</v>
      </c>
      <c r="EZ843" s="2129">
        <f t="shared" si="51"/>
        <v>260.92500000000001</v>
      </c>
      <c r="FA843" s="2123">
        <v>260.85000000000002</v>
      </c>
      <c r="FB843" s="2123">
        <v>260.85000000000002</v>
      </c>
      <c r="FE843" s="2123">
        <v>51.09</v>
      </c>
      <c r="FF843" s="2123">
        <v>51.09</v>
      </c>
      <c r="FG843" s="2123">
        <v>222.44</v>
      </c>
      <c r="FH843" s="2123">
        <v>222.44</v>
      </c>
      <c r="FI843" s="2123">
        <v>222.44</v>
      </c>
      <c r="FJ843" s="2123">
        <v>223.44</v>
      </c>
      <c r="FK843" s="2123">
        <v>222.12</v>
      </c>
      <c r="FL843" s="2123">
        <v>222.12</v>
      </c>
      <c r="FM843" s="2123">
        <v>222.55</v>
      </c>
      <c r="FN843" s="2123">
        <v>222.55</v>
      </c>
      <c r="FQ843" s="2123">
        <v>115.43</v>
      </c>
      <c r="FR843" s="2123">
        <v>115.43</v>
      </c>
      <c r="FS843" s="2123">
        <v>233.46</v>
      </c>
      <c r="FT843" s="2123">
        <v>233.46</v>
      </c>
      <c r="FU843" s="2123">
        <v>233.46</v>
      </c>
      <c r="FV843" s="2123">
        <v>233.46</v>
      </c>
      <c r="FW843" s="2123">
        <v>233.7</v>
      </c>
      <c r="FX843" s="2123">
        <v>233.7</v>
      </c>
      <c r="GC843" s="2123">
        <v>81.5</v>
      </c>
      <c r="GD843" s="2123">
        <v>81.5</v>
      </c>
      <c r="GE843" s="2123">
        <v>182.51</v>
      </c>
      <c r="GF843" s="2123">
        <v>182.51</v>
      </c>
      <c r="GG843" s="2123">
        <v>182.51</v>
      </c>
      <c r="GH843" s="2123">
        <v>182.51</v>
      </c>
      <c r="GI843" s="2123">
        <v>208.87</v>
      </c>
      <c r="GJ843" s="2123">
        <v>208.87</v>
      </c>
      <c r="GK843" s="2123">
        <v>230.52</v>
      </c>
      <c r="GL843" s="2123">
        <v>230.52</v>
      </c>
      <c r="GO843" s="2123">
        <v>43.64</v>
      </c>
      <c r="GP843" s="2123">
        <v>43.64</v>
      </c>
      <c r="GQ843" s="2123">
        <v>38.909999999999997</v>
      </c>
      <c r="GR843" s="2123">
        <v>38.909999999999997</v>
      </c>
      <c r="GS843" s="2123">
        <v>38.909999999999997</v>
      </c>
      <c r="GT843" s="2123">
        <v>37.54</v>
      </c>
      <c r="GU843" s="2123">
        <v>37.54</v>
      </c>
      <c r="GV843" s="2123">
        <v>37.71</v>
      </c>
      <c r="GW843" s="2123">
        <v>220.29</v>
      </c>
      <c r="GX843" s="2123">
        <v>220.29</v>
      </c>
      <c r="HA843" s="2123">
        <v>30.41</v>
      </c>
      <c r="HB843" s="2123">
        <v>30.41</v>
      </c>
      <c r="HC843" s="2123">
        <v>24.47</v>
      </c>
      <c r="HD843" s="2123">
        <v>24.47</v>
      </c>
      <c r="HE843" s="2123">
        <v>25.05</v>
      </c>
      <c r="HF843" s="2123">
        <v>25.05</v>
      </c>
      <c r="HG843" s="2123">
        <v>25.05</v>
      </c>
      <c r="HH843" s="2123">
        <v>25.05</v>
      </c>
      <c r="HI843" s="2123">
        <v>25.05</v>
      </c>
      <c r="HJ843" s="2123">
        <v>25.05</v>
      </c>
      <c r="HK843" s="2123">
        <v>25.15</v>
      </c>
      <c r="HL843" s="2123">
        <v>25.28</v>
      </c>
      <c r="HM843" s="2123">
        <v>42.62</v>
      </c>
      <c r="HN843" s="2123">
        <v>42.62</v>
      </c>
      <c r="HO843" s="2123">
        <v>34.590000000000003</v>
      </c>
      <c r="HP843" s="2123">
        <v>34.590000000000003</v>
      </c>
      <c r="HQ843" s="2123">
        <v>35.43</v>
      </c>
      <c r="HR843" s="2123">
        <v>35.43</v>
      </c>
      <c r="HS843" s="2123">
        <v>35.43</v>
      </c>
      <c r="HT843" s="2123">
        <v>35.43</v>
      </c>
      <c r="HU843" s="2123">
        <v>35.43</v>
      </c>
      <c r="HV843" s="2123">
        <v>35.43</v>
      </c>
      <c r="HW843" s="2123">
        <v>35.5</v>
      </c>
      <c r="HX843" s="2050">
        <v>35.5</v>
      </c>
    </row>
    <row r="844" spans="1:232" s="2123" customFormat="1" ht="14" hidden="1" x14ac:dyDescent="0.3">
      <c r="A844" s="2040"/>
      <c r="B844" s="2127">
        <v>95</v>
      </c>
      <c r="C844" s="2128">
        <v>48.24</v>
      </c>
      <c r="D844" s="2128">
        <v>48.24</v>
      </c>
      <c r="E844" s="2128">
        <v>48.29</v>
      </c>
      <c r="F844" s="2128">
        <v>48.29</v>
      </c>
      <c r="G844" s="2128">
        <v>189.3</v>
      </c>
      <c r="H844" s="2128">
        <v>189.3</v>
      </c>
      <c r="I844" s="2128">
        <v>180.49</v>
      </c>
      <c r="J844" s="2128">
        <v>180.49</v>
      </c>
      <c r="K844" s="2128">
        <v>183.83</v>
      </c>
      <c r="L844" s="2128">
        <v>183.83</v>
      </c>
      <c r="M844" s="2128"/>
      <c r="N844" s="2128"/>
      <c r="O844" s="2128">
        <v>151.15</v>
      </c>
      <c r="P844" s="2128">
        <v>151.15</v>
      </c>
      <c r="Q844" s="2128">
        <v>150.56</v>
      </c>
      <c r="R844" s="2128">
        <v>151.16</v>
      </c>
      <c r="S844" s="2128">
        <v>285.42</v>
      </c>
      <c r="T844" s="2128">
        <v>285.2</v>
      </c>
      <c r="U844" s="2128">
        <v>275.31</v>
      </c>
      <c r="V844" s="2128">
        <v>275.31</v>
      </c>
      <c r="W844" s="2128">
        <v>285.2</v>
      </c>
      <c r="X844" s="2128">
        <v>285.2</v>
      </c>
      <c r="Y844" s="2128">
        <v>275.31</v>
      </c>
      <c r="Z844" s="2128">
        <v>285.2</v>
      </c>
      <c r="AA844" s="2128">
        <v>285.2</v>
      </c>
      <c r="AB844" s="2128">
        <v>285.2</v>
      </c>
      <c r="AC844" s="2128">
        <v>275.31</v>
      </c>
      <c r="AD844" s="2128">
        <v>275.31</v>
      </c>
      <c r="AE844" s="2128">
        <v>296.14</v>
      </c>
      <c r="AF844" s="2128">
        <v>287.61</v>
      </c>
      <c r="AG844" s="2128">
        <v>296.14</v>
      </c>
      <c r="AH844" s="2128">
        <v>296.14</v>
      </c>
      <c r="AI844" s="2128">
        <v>287.61</v>
      </c>
      <c r="AJ844" s="2128">
        <v>287.61</v>
      </c>
      <c r="AK844" s="2128">
        <v>287.88</v>
      </c>
      <c r="AL844" s="2128">
        <v>287.88</v>
      </c>
      <c r="AM844" s="2128">
        <v>79.86</v>
      </c>
      <c r="AN844" s="2128">
        <v>76.97</v>
      </c>
      <c r="AO844" s="2128">
        <v>76.97</v>
      </c>
      <c r="AP844" s="2128">
        <v>76.89</v>
      </c>
      <c r="AQ844" s="2128">
        <v>77.099999999999994</v>
      </c>
      <c r="AR844" s="2128">
        <v>77.099999999999994</v>
      </c>
      <c r="AS844" s="2128">
        <v>233.95</v>
      </c>
      <c r="AT844" s="2128">
        <v>233.95</v>
      </c>
      <c r="AU844" s="2128">
        <v>233.95</v>
      </c>
      <c r="AV844" s="2128">
        <v>239.01</v>
      </c>
      <c r="AW844" s="2128">
        <v>234.09</v>
      </c>
      <c r="AX844" s="2128">
        <v>234.09</v>
      </c>
      <c r="AY844" s="2128">
        <v>234.21</v>
      </c>
      <c r="AZ844" s="2128">
        <v>234.21</v>
      </c>
      <c r="BA844" s="2123">
        <v>102.34</v>
      </c>
      <c r="BB844" s="2123">
        <v>102.34</v>
      </c>
      <c r="BC844" s="2123">
        <v>26.2</v>
      </c>
      <c r="BD844" s="2123">
        <v>26.33</v>
      </c>
      <c r="BE844" s="2123">
        <v>28.72</v>
      </c>
      <c r="BF844" s="2123">
        <v>28.72</v>
      </c>
      <c r="BG844" s="2123">
        <v>26.25</v>
      </c>
      <c r="BH844" s="2123">
        <v>26.25</v>
      </c>
      <c r="BI844" s="2123">
        <v>26.03</v>
      </c>
      <c r="BJ844" s="2123">
        <v>26.03</v>
      </c>
      <c r="BK844" s="2123">
        <v>26.03</v>
      </c>
      <c r="BL844" s="2123">
        <v>26.03</v>
      </c>
      <c r="BM844" s="2123">
        <v>58.36</v>
      </c>
      <c r="BN844" s="2123">
        <v>58.36</v>
      </c>
      <c r="BO844" s="2123">
        <v>184.48</v>
      </c>
      <c r="BP844" s="2123">
        <v>184.48</v>
      </c>
      <c r="BQ844" s="2123">
        <v>184.48</v>
      </c>
      <c r="BR844" s="2123">
        <v>184.48</v>
      </c>
      <c r="BS844" s="2123">
        <v>240.92</v>
      </c>
      <c r="BT844" s="2123">
        <v>240.92</v>
      </c>
      <c r="BU844" s="2123">
        <v>240.92</v>
      </c>
      <c r="BV844" s="2123">
        <v>240.92</v>
      </c>
      <c r="BW844" s="2123">
        <v>240.92</v>
      </c>
      <c r="BX844" s="2123">
        <v>240.92</v>
      </c>
      <c r="BY844" s="2123">
        <v>52.97</v>
      </c>
      <c r="BZ844" s="2123">
        <v>52.97</v>
      </c>
      <c r="CA844" s="2123">
        <v>176.76</v>
      </c>
      <c r="CB844" s="2123">
        <v>176.76</v>
      </c>
      <c r="CC844" s="2123">
        <v>179.49</v>
      </c>
      <c r="CD844" s="2123">
        <v>179.49</v>
      </c>
      <c r="CE844" s="2123">
        <v>237.71</v>
      </c>
      <c r="CF844" s="2123">
        <v>237.71</v>
      </c>
      <c r="CK844" s="2123">
        <v>131.38999999999999</v>
      </c>
      <c r="CL844" s="2123">
        <v>131.38999999999999</v>
      </c>
      <c r="CM844" s="2123">
        <v>264.07</v>
      </c>
      <c r="CN844" s="2123">
        <v>264.07</v>
      </c>
      <c r="CO844" s="2123">
        <v>343.49</v>
      </c>
      <c r="CP844" s="2123">
        <v>343.49</v>
      </c>
      <c r="CQ844" s="2123">
        <v>343.49</v>
      </c>
      <c r="CR844" s="2123">
        <v>343.49</v>
      </c>
      <c r="CW844" s="2123">
        <v>123.17</v>
      </c>
      <c r="CX844" s="2123">
        <v>123.17</v>
      </c>
      <c r="CY844" s="2123">
        <v>255.85</v>
      </c>
      <c r="CZ844" s="2123">
        <v>255.85</v>
      </c>
      <c r="DA844" s="2123">
        <v>255.85</v>
      </c>
      <c r="DB844" s="2123">
        <v>255.85</v>
      </c>
      <c r="DC844" s="2123">
        <v>333.1</v>
      </c>
      <c r="DD844" s="2123">
        <v>333.1</v>
      </c>
      <c r="DE844" s="2123">
        <v>333.1</v>
      </c>
      <c r="DF844" s="2123">
        <v>333.1</v>
      </c>
      <c r="DI844" s="2123">
        <v>32.520000000000003</v>
      </c>
      <c r="DJ844" s="2123">
        <v>32.520000000000003</v>
      </c>
      <c r="DK844" s="2123">
        <v>32.520000000000003</v>
      </c>
      <c r="DL844" s="2123">
        <v>32.520000000000003</v>
      </c>
      <c r="DM844" s="2123">
        <v>32.520000000000003</v>
      </c>
      <c r="DN844" s="2123">
        <v>32.520000000000003</v>
      </c>
      <c r="DU844" s="2123">
        <v>14.48</v>
      </c>
      <c r="DV844" s="2123">
        <v>14.48</v>
      </c>
      <c r="DW844" s="2123">
        <v>14.07</v>
      </c>
      <c r="DX844" s="2123">
        <v>14.07</v>
      </c>
      <c r="DY844" s="2123">
        <v>14.07</v>
      </c>
      <c r="DZ844" s="2123">
        <v>14.07</v>
      </c>
      <c r="EG844" s="2123">
        <v>15.51</v>
      </c>
      <c r="EH844" s="2123">
        <v>15.67</v>
      </c>
      <c r="EI844" s="2123">
        <v>13.02</v>
      </c>
      <c r="EJ844" s="2123">
        <v>13.02</v>
      </c>
      <c r="EK844" s="2123">
        <v>13.02</v>
      </c>
      <c r="EL844" s="2123">
        <v>13.02</v>
      </c>
      <c r="EM844" s="2123">
        <v>13.54</v>
      </c>
      <c r="EN844" s="2123">
        <v>13.54</v>
      </c>
      <c r="EO844" s="2123">
        <v>12.91</v>
      </c>
      <c r="EP844" s="2123">
        <v>12.91</v>
      </c>
      <c r="EQ844" s="2123">
        <v>13.28</v>
      </c>
      <c r="ER844" s="2123">
        <v>13.08</v>
      </c>
      <c r="ES844" s="2123">
        <v>59.51</v>
      </c>
      <c r="ET844" s="2123">
        <v>59.51</v>
      </c>
      <c r="EU844" s="2123">
        <v>264.45999999999998</v>
      </c>
      <c r="EV844" s="2123">
        <v>264.45999999999998</v>
      </c>
      <c r="EW844" s="2123">
        <v>258.95</v>
      </c>
      <c r="EX844" s="2123">
        <v>258.95</v>
      </c>
      <c r="EY844" s="2129">
        <f t="shared" si="51"/>
        <v>261.70499999999998</v>
      </c>
      <c r="EZ844" s="2129">
        <f t="shared" si="51"/>
        <v>261.70499999999998</v>
      </c>
      <c r="FA844" s="2123">
        <v>261.60000000000002</v>
      </c>
      <c r="FB844" s="2123">
        <v>261.60000000000002</v>
      </c>
      <c r="FE844" s="2123">
        <v>51.2</v>
      </c>
      <c r="FF844" s="2123">
        <v>51.2</v>
      </c>
      <c r="FG844" s="2123">
        <v>223.11</v>
      </c>
      <c r="FH844" s="2123">
        <v>223.11</v>
      </c>
      <c r="FI844" s="2123">
        <v>223.11</v>
      </c>
      <c r="FJ844" s="2123">
        <v>224.1</v>
      </c>
      <c r="FK844" s="2123">
        <v>222.8</v>
      </c>
      <c r="FL844" s="2123">
        <v>222.8</v>
      </c>
      <c r="FM844" s="2123">
        <v>223.22</v>
      </c>
      <c r="FN844" s="2123">
        <v>223.22</v>
      </c>
      <c r="FQ844" s="2123">
        <v>115.67</v>
      </c>
      <c r="FR844" s="2123">
        <v>115.67</v>
      </c>
      <c r="FS844" s="2123">
        <v>234.04</v>
      </c>
      <c r="FT844" s="2123">
        <v>234.04</v>
      </c>
      <c r="FU844" s="2123">
        <v>234.04</v>
      </c>
      <c r="FV844" s="2123">
        <v>234.04</v>
      </c>
      <c r="FW844" s="2123">
        <v>234.27</v>
      </c>
      <c r="FX844" s="2123">
        <v>234.27</v>
      </c>
      <c r="GC844" s="2123">
        <v>81.680000000000007</v>
      </c>
      <c r="GD844" s="2123">
        <v>81.680000000000007</v>
      </c>
      <c r="GE844" s="2123">
        <v>182.87</v>
      </c>
      <c r="GF844" s="2123">
        <v>182.87</v>
      </c>
      <c r="GG844" s="2123">
        <v>182.87</v>
      </c>
      <c r="GH844" s="2123">
        <v>182.87</v>
      </c>
      <c r="GI844" s="2123">
        <v>209.68</v>
      </c>
      <c r="GJ844" s="2123">
        <v>209.68</v>
      </c>
      <c r="GK844" s="2123">
        <v>231.17</v>
      </c>
      <c r="GL844" s="2123">
        <v>231.17</v>
      </c>
      <c r="GO844" s="2123">
        <v>43.74</v>
      </c>
      <c r="GP844" s="2123">
        <v>43.74</v>
      </c>
      <c r="GQ844" s="2123">
        <v>39.03</v>
      </c>
      <c r="GR844" s="2123">
        <v>39.03</v>
      </c>
      <c r="GS844" s="2123">
        <v>39.03</v>
      </c>
      <c r="GT844" s="2123">
        <v>37.659999999999997</v>
      </c>
      <c r="GU844" s="2123">
        <v>37.659999999999997</v>
      </c>
      <c r="GV844" s="2123">
        <v>37.83</v>
      </c>
      <c r="GW844" s="2123">
        <v>220.95</v>
      </c>
      <c r="GX844" s="2123">
        <v>220.95</v>
      </c>
      <c r="HA844" s="2123">
        <v>30.47</v>
      </c>
      <c r="HB844" s="2123">
        <v>30.47</v>
      </c>
      <c r="HC844" s="2123">
        <v>24.57</v>
      </c>
      <c r="HD844" s="2123">
        <v>24.57</v>
      </c>
      <c r="HE844" s="2123">
        <v>25.14</v>
      </c>
      <c r="HF844" s="2123">
        <v>25.14</v>
      </c>
      <c r="HG844" s="2123">
        <v>25.14</v>
      </c>
      <c r="HH844" s="2123">
        <v>25.14</v>
      </c>
      <c r="HI844" s="2123">
        <v>25.14</v>
      </c>
      <c r="HJ844" s="2123">
        <v>25.14</v>
      </c>
      <c r="HK844" s="2123">
        <v>25.24</v>
      </c>
      <c r="HL844" s="2123">
        <v>25.37</v>
      </c>
      <c r="HM844" s="2123">
        <v>42.71</v>
      </c>
      <c r="HN844" s="2123">
        <v>42.71</v>
      </c>
      <c r="HO844" s="2123">
        <v>34.72</v>
      </c>
      <c r="HP844" s="2123">
        <v>34.72</v>
      </c>
      <c r="HQ844" s="2123">
        <v>35.549999999999997</v>
      </c>
      <c r="HR844" s="2123">
        <v>35.549999999999997</v>
      </c>
      <c r="HS844" s="2123">
        <v>35.549999999999997</v>
      </c>
      <c r="HT844" s="2123">
        <v>35.549999999999997</v>
      </c>
      <c r="HU844" s="2123">
        <v>35.549999999999997</v>
      </c>
      <c r="HV844" s="2123">
        <v>35.549999999999997</v>
      </c>
      <c r="HW844" s="2123">
        <v>35.619999999999997</v>
      </c>
      <c r="HX844" s="2050">
        <v>35.619999999999997</v>
      </c>
    </row>
    <row r="845" spans="1:232" s="2123" customFormat="1" ht="14" hidden="1" x14ac:dyDescent="0.3">
      <c r="A845" s="2040"/>
      <c r="B845" s="2127">
        <v>96</v>
      </c>
      <c r="C845" s="2128">
        <v>48.34</v>
      </c>
      <c r="D845" s="2128">
        <v>48.34</v>
      </c>
      <c r="E845" s="2128">
        <v>48.39</v>
      </c>
      <c r="F845" s="2128">
        <v>48.39</v>
      </c>
      <c r="G845" s="2128">
        <v>189.78</v>
      </c>
      <c r="H845" s="2128">
        <v>189.78</v>
      </c>
      <c r="I845" s="2128">
        <v>180.99</v>
      </c>
      <c r="J845" s="2128">
        <v>180.99</v>
      </c>
      <c r="K845" s="2128">
        <v>184.27</v>
      </c>
      <c r="L845" s="2128">
        <v>184.27</v>
      </c>
      <c r="M845" s="2128"/>
      <c r="N845" s="2128"/>
      <c r="O845" s="2128">
        <v>151.46</v>
      </c>
      <c r="P845" s="2128">
        <v>151.46</v>
      </c>
      <c r="Q845" s="2128">
        <v>150.87</v>
      </c>
      <c r="R845" s="2128">
        <v>151.47</v>
      </c>
      <c r="S845" s="2128">
        <v>286.26</v>
      </c>
      <c r="T845" s="2128">
        <v>286.05</v>
      </c>
      <c r="U845" s="2128">
        <v>276.12</v>
      </c>
      <c r="V845" s="2128">
        <v>276.12</v>
      </c>
      <c r="W845" s="2128">
        <v>286.05</v>
      </c>
      <c r="X845" s="2128">
        <v>286.05</v>
      </c>
      <c r="Y845" s="2128">
        <v>276.12</v>
      </c>
      <c r="Z845" s="2128">
        <v>286.05</v>
      </c>
      <c r="AA845" s="2128">
        <v>286.05</v>
      </c>
      <c r="AB845" s="2128">
        <v>286.05</v>
      </c>
      <c r="AC845" s="2128">
        <v>276.12</v>
      </c>
      <c r="AD845" s="2128">
        <v>276.12</v>
      </c>
      <c r="AE845" s="2128">
        <v>296.89</v>
      </c>
      <c r="AF845" s="2128">
        <v>288.33999999999997</v>
      </c>
      <c r="AG845" s="2128">
        <v>296.89</v>
      </c>
      <c r="AH845" s="2128">
        <v>296.89</v>
      </c>
      <c r="AI845" s="2128">
        <v>288.33999999999997</v>
      </c>
      <c r="AJ845" s="2128">
        <v>288.33999999999997</v>
      </c>
      <c r="AK845" s="2128">
        <v>288.61</v>
      </c>
      <c r="AL845" s="2128">
        <v>288.61</v>
      </c>
      <c r="AM845" s="2128">
        <v>80.03</v>
      </c>
      <c r="AN845" s="2128">
        <v>77.13</v>
      </c>
      <c r="AO845" s="2128">
        <v>77.13</v>
      </c>
      <c r="AP845" s="2128">
        <v>77.05</v>
      </c>
      <c r="AQ845" s="2128">
        <v>77.25</v>
      </c>
      <c r="AR845" s="2128">
        <v>77.25</v>
      </c>
      <c r="AS845" s="2128">
        <v>234.56</v>
      </c>
      <c r="AT845" s="2128">
        <v>234.56</v>
      </c>
      <c r="AU845" s="2128">
        <v>234.56</v>
      </c>
      <c r="AV845" s="2128">
        <v>239.63</v>
      </c>
      <c r="AW845" s="2128">
        <v>234.7</v>
      </c>
      <c r="AX845" s="2128">
        <v>234.7</v>
      </c>
      <c r="AY845" s="2128">
        <v>234.82</v>
      </c>
      <c r="AZ845" s="2128">
        <v>234.82</v>
      </c>
      <c r="BA845" s="2123">
        <v>102.62</v>
      </c>
      <c r="BB845" s="2123">
        <v>102.62</v>
      </c>
      <c r="BC845" s="2123">
        <v>26.28</v>
      </c>
      <c r="BD845" s="2123">
        <v>26.41</v>
      </c>
      <c r="BE845" s="2123">
        <v>28.78</v>
      </c>
      <c r="BF845" s="2123">
        <v>28.78</v>
      </c>
      <c r="BG845" s="2123">
        <v>26.33</v>
      </c>
      <c r="BH845" s="2123">
        <v>26.33</v>
      </c>
      <c r="BI845" s="2123">
        <v>26.11</v>
      </c>
      <c r="BJ845" s="2123">
        <v>26.11</v>
      </c>
      <c r="BK845" s="2123">
        <v>26.11</v>
      </c>
      <c r="BL845" s="2123">
        <v>26.11</v>
      </c>
      <c r="BM845" s="2123">
        <v>58.48</v>
      </c>
      <c r="BN845" s="2123">
        <v>58.48</v>
      </c>
      <c r="BO845" s="2123">
        <v>184.92</v>
      </c>
      <c r="BP845" s="2123">
        <v>184.92</v>
      </c>
      <c r="BQ845" s="2123">
        <v>184.92</v>
      </c>
      <c r="BR845" s="2123">
        <v>184.92</v>
      </c>
      <c r="BS845" s="2123">
        <v>241.61</v>
      </c>
      <c r="BT845" s="2123">
        <v>241.61</v>
      </c>
      <c r="BU845" s="2123">
        <v>241.61</v>
      </c>
      <c r="BV845" s="2123">
        <v>241.61</v>
      </c>
      <c r="BW845" s="2123">
        <v>241.61</v>
      </c>
      <c r="BX845" s="2123">
        <v>241.61</v>
      </c>
      <c r="BY845" s="2123">
        <v>53.08</v>
      </c>
      <c r="BZ845" s="2123">
        <v>53.08</v>
      </c>
      <c r="CA845" s="2123">
        <v>177.19</v>
      </c>
      <c r="CB845" s="2123">
        <v>177.19</v>
      </c>
      <c r="CC845" s="2123">
        <v>179.94</v>
      </c>
      <c r="CD845" s="2123">
        <v>179.94</v>
      </c>
      <c r="CE845" s="2123">
        <v>238.4</v>
      </c>
      <c r="CF845" s="2123">
        <v>238.4</v>
      </c>
      <c r="CK845" s="2123">
        <v>131.65</v>
      </c>
      <c r="CL845" s="2123">
        <v>131.65</v>
      </c>
      <c r="CM845" s="2123">
        <v>264.52</v>
      </c>
      <c r="CN845" s="2123">
        <v>264.52</v>
      </c>
      <c r="CO845" s="2123">
        <v>344.24</v>
      </c>
      <c r="CP845" s="2123">
        <v>344.24</v>
      </c>
      <c r="CQ845" s="2123">
        <v>344.24</v>
      </c>
      <c r="CR845" s="2123">
        <v>344.24</v>
      </c>
      <c r="CW845" s="2123">
        <v>123.42</v>
      </c>
      <c r="CX845" s="2123">
        <v>123.42</v>
      </c>
      <c r="CY845" s="2123">
        <v>256.31</v>
      </c>
      <c r="CZ845" s="2123">
        <v>256.31</v>
      </c>
      <c r="DA845" s="2123">
        <v>256.31</v>
      </c>
      <c r="DB845" s="2123">
        <v>256.31</v>
      </c>
      <c r="DC845" s="2123">
        <v>333.85</v>
      </c>
      <c r="DD845" s="2123">
        <v>333.85</v>
      </c>
      <c r="DE845" s="2123">
        <v>333.85</v>
      </c>
      <c r="DF845" s="2123">
        <v>333.85</v>
      </c>
      <c r="DI845" s="2123">
        <v>32.590000000000003</v>
      </c>
      <c r="DJ845" s="2123">
        <v>32.590000000000003</v>
      </c>
      <c r="DK845" s="2123">
        <v>32.590000000000003</v>
      </c>
      <c r="DL845" s="2123">
        <v>32.590000000000003</v>
      </c>
      <c r="DM845" s="2123">
        <v>32.590000000000003</v>
      </c>
      <c r="DN845" s="2123">
        <v>32.590000000000003</v>
      </c>
      <c r="DU845" s="2123">
        <v>14.51</v>
      </c>
      <c r="DV845" s="2123">
        <v>14.51</v>
      </c>
      <c r="DW845" s="2123">
        <v>14.1</v>
      </c>
      <c r="DX845" s="2123">
        <v>14.1</v>
      </c>
      <c r="DY845" s="2123">
        <v>14.1</v>
      </c>
      <c r="DZ845" s="2123">
        <v>14.1</v>
      </c>
      <c r="EG845" s="2123">
        <v>15.54</v>
      </c>
      <c r="EH845" s="2123">
        <v>15.7</v>
      </c>
      <c r="EI845" s="2123">
        <v>13.06</v>
      </c>
      <c r="EJ845" s="2123">
        <v>13.06</v>
      </c>
      <c r="EK845" s="2123">
        <v>13.07</v>
      </c>
      <c r="EL845" s="2123">
        <v>13.07</v>
      </c>
      <c r="EM845" s="2123">
        <v>13.58</v>
      </c>
      <c r="EN845" s="2123">
        <v>13.58</v>
      </c>
      <c r="EO845" s="2123">
        <v>12.95</v>
      </c>
      <c r="EP845" s="2123">
        <v>12.95</v>
      </c>
      <c r="EQ845" s="2123">
        <v>13.33</v>
      </c>
      <c r="ER845" s="2123">
        <v>13.12</v>
      </c>
      <c r="ES845" s="2123">
        <v>59.63</v>
      </c>
      <c r="ET845" s="2123">
        <v>59.63</v>
      </c>
      <c r="EU845" s="2123">
        <v>265.23</v>
      </c>
      <c r="EV845" s="2123">
        <v>265.23</v>
      </c>
      <c r="EW845" s="2123">
        <v>259.70999999999998</v>
      </c>
      <c r="EX845" s="2123">
        <v>259.70999999999998</v>
      </c>
      <c r="EY845" s="2129">
        <f t="shared" si="51"/>
        <v>262.47000000000003</v>
      </c>
      <c r="EZ845" s="2129">
        <f t="shared" si="51"/>
        <v>262.47000000000003</v>
      </c>
      <c r="FA845" s="2123">
        <v>262.33</v>
      </c>
      <c r="FB845" s="2123">
        <v>262.33</v>
      </c>
      <c r="FE845" s="2123">
        <v>51.3</v>
      </c>
      <c r="FF845" s="2123">
        <v>51.3</v>
      </c>
      <c r="FG845" s="2123">
        <v>223.77</v>
      </c>
      <c r="FH845" s="2123">
        <v>223.77</v>
      </c>
      <c r="FI845" s="2123">
        <v>223.77</v>
      </c>
      <c r="FJ845" s="2123">
        <v>224.74</v>
      </c>
      <c r="FK845" s="2123">
        <v>223.47</v>
      </c>
      <c r="FL845" s="2123">
        <v>223.47</v>
      </c>
      <c r="FM845" s="2123">
        <v>223.88</v>
      </c>
      <c r="FN845" s="2123">
        <v>223.88</v>
      </c>
      <c r="FQ845" s="2123">
        <v>115.92</v>
      </c>
      <c r="FR845" s="2123">
        <v>115.92</v>
      </c>
      <c r="FS845" s="2123">
        <v>234.61</v>
      </c>
      <c r="FT845" s="2123">
        <v>234.61</v>
      </c>
      <c r="FU845" s="2123">
        <v>234.61</v>
      </c>
      <c r="FV845" s="2123">
        <v>234.61</v>
      </c>
      <c r="FW845" s="2123">
        <v>234.83</v>
      </c>
      <c r="FX845" s="2123">
        <v>234.83</v>
      </c>
      <c r="GC845" s="2123">
        <v>81.84</v>
      </c>
      <c r="GD845" s="2123">
        <v>81.84</v>
      </c>
      <c r="GE845" s="2123">
        <v>183.21</v>
      </c>
      <c r="GF845" s="2123">
        <v>183.21</v>
      </c>
      <c r="GG845" s="2123">
        <v>183.21</v>
      </c>
      <c r="GH845" s="2123">
        <v>183.21</v>
      </c>
      <c r="GI845" s="2123">
        <v>210.48</v>
      </c>
      <c r="GJ845" s="2123">
        <v>210.48</v>
      </c>
      <c r="GK845" s="2123">
        <v>231.82</v>
      </c>
      <c r="GL845" s="2123">
        <v>231.82</v>
      </c>
      <c r="GO845" s="2123">
        <v>43.83</v>
      </c>
      <c r="GP845" s="2123">
        <v>43.83</v>
      </c>
      <c r="GQ845" s="2123">
        <v>39.15</v>
      </c>
      <c r="GR845" s="2123">
        <v>39.15</v>
      </c>
      <c r="GS845" s="2123">
        <v>39.15</v>
      </c>
      <c r="GT845" s="2123">
        <v>37.770000000000003</v>
      </c>
      <c r="GU845" s="2123">
        <v>37.770000000000003</v>
      </c>
      <c r="GV845" s="2123">
        <v>37.94</v>
      </c>
      <c r="GW845" s="2123">
        <v>221.59</v>
      </c>
      <c r="GX845" s="2123">
        <v>221.59</v>
      </c>
      <c r="HA845" s="2123">
        <v>30.53</v>
      </c>
      <c r="HB845" s="2123">
        <v>30.53</v>
      </c>
      <c r="HC845" s="2123">
        <v>24.66</v>
      </c>
      <c r="HD845" s="2123">
        <v>24.66</v>
      </c>
      <c r="HE845" s="2123">
        <v>25.23</v>
      </c>
      <c r="HF845" s="2123">
        <v>25.23</v>
      </c>
      <c r="HG845" s="2123">
        <v>25.23</v>
      </c>
      <c r="HH845" s="2123">
        <v>25.23</v>
      </c>
      <c r="HI845" s="2123">
        <v>25.23</v>
      </c>
      <c r="HJ845" s="2123">
        <v>25.23</v>
      </c>
      <c r="HK845" s="2123">
        <v>25.33</v>
      </c>
      <c r="HL845" s="2123">
        <v>25.45</v>
      </c>
      <c r="HM845" s="2123">
        <v>42.79</v>
      </c>
      <c r="HN845" s="2123">
        <v>42.79</v>
      </c>
      <c r="HO845" s="2123">
        <v>34.840000000000003</v>
      </c>
      <c r="HP845" s="2123">
        <v>34.840000000000003</v>
      </c>
      <c r="HQ845" s="2123">
        <v>35.67</v>
      </c>
      <c r="HR845" s="2123">
        <v>35.67</v>
      </c>
      <c r="HS845" s="2123">
        <v>35.67</v>
      </c>
      <c r="HT845" s="2123">
        <v>35.67</v>
      </c>
      <c r="HU845" s="2123">
        <v>35.67</v>
      </c>
      <c r="HV845" s="2123">
        <v>35.67</v>
      </c>
      <c r="HW845" s="2123">
        <v>35.74</v>
      </c>
      <c r="HX845" s="2050">
        <v>35.74</v>
      </c>
    </row>
    <row r="846" spans="1:232" s="2123" customFormat="1" ht="14" hidden="1" x14ac:dyDescent="0.3">
      <c r="A846" s="2040"/>
      <c r="B846" s="2127">
        <v>97</v>
      </c>
      <c r="C846" s="2128">
        <v>48.44</v>
      </c>
      <c r="D846" s="2128">
        <v>48.44</v>
      </c>
      <c r="E846" s="2128">
        <v>48.48</v>
      </c>
      <c r="F846" s="2128">
        <v>48.48</v>
      </c>
      <c r="G846" s="2128">
        <v>190.25</v>
      </c>
      <c r="H846" s="2128">
        <v>190.25</v>
      </c>
      <c r="I846" s="2128">
        <v>181.48</v>
      </c>
      <c r="J846" s="2128">
        <v>181.48</v>
      </c>
      <c r="K846" s="2128">
        <v>184.7</v>
      </c>
      <c r="L846" s="2128">
        <v>184.7</v>
      </c>
      <c r="M846" s="2128"/>
      <c r="N846" s="2128"/>
      <c r="O846" s="2128">
        <v>151.77000000000001</v>
      </c>
      <c r="P846" s="2128">
        <v>151.77000000000001</v>
      </c>
      <c r="Q846" s="2128">
        <v>151.16999999999999</v>
      </c>
      <c r="R846" s="2128">
        <v>151.78</v>
      </c>
      <c r="S846" s="2128">
        <v>287.08999999999997</v>
      </c>
      <c r="T846" s="2128">
        <v>286.87</v>
      </c>
      <c r="U846" s="2128">
        <v>276.92</v>
      </c>
      <c r="V846" s="2128">
        <v>276.92</v>
      </c>
      <c r="W846" s="2128">
        <v>286.87</v>
      </c>
      <c r="X846" s="2128">
        <v>286.87</v>
      </c>
      <c r="Y846" s="2128">
        <v>276.92</v>
      </c>
      <c r="Z846" s="2128">
        <v>286.87</v>
      </c>
      <c r="AA846" s="2128">
        <v>286.87</v>
      </c>
      <c r="AB846" s="2128">
        <v>286.87</v>
      </c>
      <c r="AC846" s="2128">
        <v>276.92</v>
      </c>
      <c r="AD846" s="2128">
        <v>276.92</v>
      </c>
      <c r="AE846" s="2128">
        <v>297.63</v>
      </c>
      <c r="AF846" s="2128">
        <v>289.05</v>
      </c>
      <c r="AG846" s="2128">
        <v>297.63</v>
      </c>
      <c r="AH846" s="2128">
        <v>297.63</v>
      </c>
      <c r="AI846" s="2128">
        <v>289.05</v>
      </c>
      <c r="AJ846" s="2128">
        <v>289.05</v>
      </c>
      <c r="AK846" s="2128">
        <v>289.32</v>
      </c>
      <c r="AL846" s="2128">
        <v>289.32</v>
      </c>
      <c r="AM846" s="2128">
        <v>80.19</v>
      </c>
      <c r="AN846" s="2128">
        <v>77.28</v>
      </c>
      <c r="AO846" s="2128">
        <v>77.28</v>
      </c>
      <c r="AP846" s="2128">
        <v>77.209999999999994</v>
      </c>
      <c r="AQ846" s="2128">
        <v>77.400000000000006</v>
      </c>
      <c r="AR846" s="2128">
        <v>77.400000000000006</v>
      </c>
      <c r="AS846" s="2128">
        <v>235.16</v>
      </c>
      <c r="AT846" s="2128">
        <v>235.16</v>
      </c>
      <c r="AU846" s="2128">
        <v>235.16</v>
      </c>
      <c r="AV846" s="2128">
        <v>240.24</v>
      </c>
      <c r="AW846" s="2128">
        <v>235.3</v>
      </c>
      <c r="AX846" s="2128">
        <v>235.3</v>
      </c>
      <c r="AY846" s="2128">
        <v>235.41</v>
      </c>
      <c r="AZ846" s="2128">
        <v>235.41</v>
      </c>
      <c r="BA846" s="2123">
        <v>102.89</v>
      </c>
      <c r="BB846" s="2123">
        <v>102.89</v>
      </c>
      <c r="BC846" s="2123">
        <v>26.37</v>
      </c>
      <c r="BD846" s="2123">
        <v>26.49</v>
      </c>
      <c r="BE846" s="2123">
        <v>28.84</v>
      </c>
      <c r="BF846" s="2123">
        <v>28.84</v>
      </c>
      <c r="BG846" s="2123">
        <v>26.42</v>
      </c>
      <c r="BH846" s="2123">
        <v>26.42</v>
      </c>
      <c r="BI846" s="2123">
        <v>26.19</v>
      </c>
      <c r="BJ846" s="2123">
        <v>26.19</v>
      </c>
      <c r="BK846" s="2123">
        <v>26.19</v>
      </c>
      <c r="BL846" s="2123">
        <v>26.19</v>
      </c>
      <c r="BM846" s="2123">
        <v>58.6</v>
      </c>
      <c r="BN846" s="2123">
        <v>58.6</v>
      </c>
      <c r="BO846" s="2123">
        <v>185.36</v>
      </c>
      <c r="BP846" s="2123">
        <v>185.36</v>
      </c>
      <c r="BQ846" s="2123">
        <v>185.36</v>
      </c>
      <c r="BR846" s="2123">
        <v>185.36</v>
      </c>
      <c r="BS846" s="2123">
        <v>242.29</v>
      </c>
      <c r="BT846" s="2123">
        <v>242.29</v>
      </c>
      <c r="BU846" s="2123">
        <v>242.29</v>
      </c>
      <c r="BV846" s="2123">
        <v>242.29</v>
      </c>
      <c r="BW846" s="2123">
        <v>242.29</v>
      </c>
      <c r="BX846" s="2123">
        <v>242.29</v>
      </c>
      <c r="BY846" s="2123">
        <v>53.19</v>
      </c>
      <c r="BZ846" s="2123">
        <v>53.19</v>
      </c>
      <c r="CA846" s="2123">
        <v>177.61</v>
      </c>
      <c r="CB846" s="2123">
        <v>177.61</v>
      </c>
      <c r="CC846" s="2123">
        <v>180.37</v>
      </c>
      <c r="CD846" s="2123">
        <v>180.37</v>
      </c>
      <c r="CE846" s="2123">
        <v>239.08</v>
      </c>
      <c r="CF846" s="2123">
        <v>239.08</v>
      </c>
      <c r="CK846" s="2123">
        <v>131.9</v>
      </c>
      <c r="CL846" s="2123">
        <v>131.9</v>
      </c>
      <c r="CM846" s="2123">
        <v>264.95999999999998</v>
      </c>
      <c r="CN846" s="2123">
        <v>264.95999999999998</v>
      </c>
      <c r="CO846" s="2123">
        <v>344.97</v>
      </c>
      <c r="CP846" s="2123">
        <v>344.97</v>
      </c>
      <c r="CQ846" s="2123">
        <v>344.97</v>
      </c>
      <c r="CR846" s="2123">
        <v>344.97</v>
      </c>
      <c r="CW846" s="2123">
        <v>123.67</v>
      </c>
      <c r="CX846" s="2123">
        <v>123.67</v>
      </c>
      <c r="CY846" s="2123">
        <v>256.76</v>
      </c>
      <c r="CZ846" s="2123">
        <v>256.76</v>
      </c>
      <c r="DA846" s="2123">
        <v>256.76</v>
      </c>
      <c r="DB846" s="2123">
        <v>256.76</v>
      </c>
      <c r="DC846" s="2123">
        <v>334.59</v>
      </c>
      <c r="DD846" s="2123">
        <v>334.59</v>
      </c>
      <c r="DE846" s="2123">
        <v>334.59</v>
      </c>
      <c r="DF846" s="2123">
        <v>334.59</v>
      </c>
      <c r="DI846" s="2123">
        <v>32.65</v>
      </c>
      <c r="DJ846" s="2123">
        <v>32.65</v>
      </c>
      <c r="DK846" s="2123">
        <v>32.65</v>
      </c>
      <c r="DL846" s="2123">
        <v>32.65</v>
      </c>
      <c r="DM846" s="2123">
        <v>32.65</v>
      </c>
      <c r="DN846" s="2123">
        <v>32.65</v>
      </c>
      <c r="DU846" s="2123">
        <v>14.54</v>
      </c>
      <c r="DV846" s="2123">
        <v>14.54</v>
      </c>
      <c r="DW846" s="2123">
        <v>14.14</v>
      </c>
      <c r="DX846" s="2123">
        <v>14.14</v>
      </c>
      <c r="DY846" s="2123">
        <v>14.14</v>
      </c>
      <c r="DZ846" s="2123">
        <v>14.14</v>
      </c>
      <c r="EG846" s="2123">
        <v>15.57</v>
      </c>
      <c r="EH846" s="2123">
        <v>15.73</v>
      </c>
      <c r="EI846" s="2123">
        <v>13.11</v>
      </c>
      <c r="EJ846" s="2123">
        <v>13.11</v>
      </c>
      <c r="EK846" s="2123">
        <v>13.11</v>
      </c>
      <c r="EL846" s="2123">
        <v>13.11</v>
      </c>
      <c r="EM846" s="2123">
        <v>13.62</v>
      </c>
      <c r="EN846" s="2123">
        <v>13.62</v>
      </c>
      <c r="EO846" s="2123">
        <v>12.99</v>
      </c>
      <c r="EP846" s="2123">
        <v>12.99</v>
      </c>
      <c r="EQ846" s="2123">
        <v>13.37</v>
      </c>
      <c r="ER846" s="2123">
        <v>13.16</v>
      </c>
      <c r="ES846" s="2123">
        <v>59.75</v>
      </c>
      <c r="ET846" s="2123">
        <v>59.75</v>
      </c>
      <c r="EU846" s="2123">
        <v>265.99</v>
      </c>
      <c r="EV846" s="2123">
        <v>265.99</v>
      </c>
      <c r="EW846" s="2123">
        <v>260.45999999999998</v>
      </c>
      <c r="EX846" s="2123">
        <v>260.45999999999998</v>
      </c>
      <c r="EY846" s="2129">
        <f t="shared" si="51"/>
        <v>263.22500000000002</v>
      </c>
      <c r="EZ846" s="2129">
        <f t="shared" si="51"/>
        <v>263.22500000000002</v>
      </c>
      <c r="FA846" s="2123">
        <v>263.05</v>
      </c>
      <c r="FB846" s="2123">
        <v>263.05</v>
      </c>
      <c r="FE846" s="2123">
        <v>51.41</v>
      </c>
      <c r="FF846" s="2123">
        <v>51.41</v>
      </c>
      <c r="FG846" s="2123">
        <v>224.42</v>
      </c>
      <c r="FH846" s="2123">
        <v>224.42</v>
      </c>
      <c r="FI846" s="2123">
        <v>224.42</v>
      </c>
      <c r="FJ846" s="2123">
        <v>225.37</v>
      </c>
      <c r="FK846" s="2123">
        <v>224.12</v>
      </c>
      <c r="FL846" s="2123">
        <v>224.12</v>
      </c>
      <c r="FM846" s="2123">
        <v>224.52</v>
      </c>
      <c r="FN846" s="2123">
        <v>224.52</v>
      </c>
      <c r="FQ846" s="2123">
        <v>116.15</v>
      </c>
      <c r="FR846" s="2123">
        <v>116.15</v>
      </c>
      <c r="FS846" s="2123">
        <v>235.17</v>
      </c>
      <c r="FT846" s="2123">
        <v>235.17</v>
      </c>
      <c r="FU846" s="2123">
        <v>235.17</v>
      </c>
      <c r="FV846" s="2123">
        <v>235.17</v>
      </c>
      <c r="FW846" s="2123">
        <v>235.38</v>
      </c>
      <c r="FX846" s="2123">
        <v>235.38</v>
      </c>
      <c r="GC846" s="2123">
        <v>82.01</v>
      </c>
      <c r="GD846" s="2123">
        <v>82.01</v>
      </c>
      <c r="GE846" s="2123">
        <v>183.56</v>
      </c>
      <c r="GF846" s="2123">
        <v>183.56</v>
      </c>
      <c r="GG846" s="2123">
        <v>183.56</v>
      </c>
      <c r="GH846" s="2123">
        <v>183.56</v>
      </c>
      <c r="GI846" s="2123">
        <v>211.27</v>
      </c>
      <c r="GJ846" s="2123">
        <v>211.27</v>
      </c>
      <c r="GK846" s="2123">
        <v>232.45</v>
      </c>
      <c r="GL846" s="2123">
        <v>232.45</v>
      </c>
      <c r="GO846" s="2123">
        <v>43.91</v>
      </c>
      <c r="GP846" s="2123">
        <v>43.91</v>
      </c>
      <c r="GQ846" s="2123">
        <v>39.26</v>
      </c>
      <c r="GR846" s="2123">
        <v>39.26</v>
      </c>
      <c r="GS846" s="2123">
        <v>39.26</v>
      </c>
      <c r="GT846" s="2123">
        <v>37.89</v>
      </c>
      <c r="GU846" s="2123">
        <v>37.89</v>
      </c>
      <c r="GV846" s="2123">
        <v>38.049999999999997</v>
      </c>
      <c r="GW846" s="2123">
        <v>222.23</v>
      </c>
      <c r="GX846" s="2123">
        <v>222.23</v>
      </c>
      <c r="HA846" s="2123">
        <v>30.6</v>
      </c>
      <c r="HB846" s="2123">
        <v>30.6</v>
      </c>
      <c r="HC846" s="2123">
        <v>24.75</v>
      </c>
      <c r="HD846" s="2123">
        <v>24.75</v>
      </c>
      <c r="HE846" s="2123">
        <v>25.31</v>
      </c>
      <c r="HF846" s="2123">
        <v>25.31</v>
      </c>
      <c r="HG846" s="2123">
        <v>25.31</v>
      </c>
      <c r="HH846" s="2123">
        <v>25.31</v>
      </c>
      <c r="HI846" s="2123">
        <v>25.31</v>
      </c>
      <c r="HJ846" s="2123">
        <v>25.31</v>
      </c>
      <c r="HK846" s="2123">
        <v>25.41</v>
      </c>
      <c r="HL846" s="2123">
        <v>25.53</v>
      </c>
      <c r="HM846" s="2123">
        <v>42.88</v>
      </c>
      <c r="HN846" s="2123">
        <v>42.88</v>
      </c>
      <c r="HO846" s="2123">
        <v>34.97</v>
      </c>
      <c r="HP846" s="2123">
        <v>34.97</v>
      </c>
      <c r="HQ846" s="2123">
        <v>35.78</v>
      </c>
      <c r="HR846" s="2123">
        <v>35.78</v>
      </c>
      <c r="HS846" s="2123">
        <v>35.78</v>
      </c>
      <c r="HT846" s="2123">
        <v>35.78</v>
      </c>
      <c r="HU846" s="2123">
        <v>35.78</v>
      </c>
      <c r="HV846" s="2123">
        <v>35.78</v>
      </c>
      <c r="HW846" s="2123">
        <v>35.86</v>
      </c>
      <c r="HX846" s="2050">
        <v>35.86</v>
      </c>
    </row>
    <row r="847" spans="1:232" s="2123" customFormat="1" ht="14" hidden="1" x14ac:dyDescent="0.3">
      <c r="A847" s="2040"/>
      <c r="B847" s="2127">
        <v>98</v>
      </c>
      <c r="C847" s="2128">
        <v>48.54</v>
      </c>
      <c r="D847" s="2128">
        <v>48.54</v>
      </c>
      <c r="E847" s="2128">
        <v>48.58</v>
      </c>
      <c r="F847" s="2128">
        <v>48.58</v>
      </c>
      <c r="G847" s="2128">
        <v>190.72</v>
      </c>
      <c r="H847" s="2128">
        <v>190.72</v>
      </c>
      <c r="I847" s="2128">
        <v>181.97</v>
      </c>
      <c r="J847" s="2128">
        <v>181.97</v>
      </c>
      <c r="K847" s="2128">
        <v>185.12</v>
      </c>
      <c r="L847" s="2128">
        <v>185.12</v>
      </c>
      <c r="M847" s="2128"/>
      <c r="N847" s="2128"/>
      <c r="O847" s="2128">
        <v>152.07</v>
      </c>
      <c r="P847" s="2128">
        <v>152.07</v>
      </c>
      <c r="Q847" s="2128">
        <v>151.46</v>
      </c>
      <c r="R847" s="2128">
        <v>152.08000000000001</v>
      </c>
      <c r="S847" s="2128">
        <v>287.89999999999998</v>
      </c>
      <c r="T847" s="2128">
        <v>287.69</v>
      </c>
      <c r="U847" s="2128">
        <v>277.7</v>
      </c>
      <c r="V847" s="2128">
        <v>277.7</v>
      </c>
      <c r="W847" s="2128">
        <v>287.69</v>
      </c>
      <c r="X847" s="2128">
        <v>287.69</v>
      </c>
      <c r="Y847" s="2128">
        <v>277.7</v>
      </c>
      <c r="Z847" s="2128">
        <v>287.69</v>
      </c>
      <c r="AA847" s="2128">
        <v>287.69</v>
      </c>
      <c r="AB847" s="2128">
        <v>287.69</v>
      </c>
      <c r="AC847" s="2128">
        <v>277.7</v>
      </c>
      <c r="AD847" s="2128">
        <v>277.7</v>
      </c>
      <c r="AE847" s="2128">
        <v>298.35000000000002</v>
      </c>
      <c r="AF847" s="2128">
        <v>289.75</v>
      </c>
      <c r="AG847" s="2128">
        <v>298.35000000000002</v>
      </c>
      <c r="AH847" s="2128">
        <v>298.35000000000002</v>
      </c>
      <c r="AI847" s="2128">
        <v>289.75</v>
      </c>
      <c r="AJ847" s="2128">
        <v>289.75</v>
      </c>
      <c r="AK847" s="2128">
        <v>290.01</v>
      </c>
      <c r="AL847" s="2128">
        <v>290.01</v>
      </c>
      <c r="AM847" s="2128">
        <v>80.349999999999994</v>
      </c>
      <c r="AN847" s="2128">
        <v>77.44</v>
      </c>
      <c r="AO847" s="2128">
        <v>77.44</v>
      </c>
      <c r="AP847" s="2128">
        <v>77.36</v>
      </c>
      <c r="AQ847" s="2128">
        <v>77.55</v>
      </c>
      <c r="AR847" s="2128">
        <v>77.55</v>
      </c>
      <c r="AS847" s="2128">
        <v>235.76</v>
      </c>
      <c r="AT847" s="2128">
        <v>235.76</v>
      </c>
      <c r="AU847" s="2128">
        <v>235.76</v>
      </c>
      <c r="AV847" s="2128">
        <v>240.83</v>
      </c>
      <c r="AW847" s="2128">
        <v>235.88</v>
      </c>
      <c r="AX847" s="2128">
        <v>235.88</v>
      </c>
      <c r="AY847" s="2128">
        <v>236</v>
      </c>
      <c r="AZ847" s="2128">
        <v>236</v>
      </c>
      <c r="BA847" s="2123">
        <v>103.16</v>
      </c>
      <c r="BB847" s="2123">
        <v>103.16</v>
      </c>
      <c r="BC847" s="2123">
        <v>26.45</v>
      </c>
      <c r="BD847" s="2123">
        <v>26.57</v>
      </c>
      <c r="BE847" s="2123">
        <v>28.9</v>
      </c>
      <c r="BF847" s="2123">
        <v>28.9</v>
      </c>
      <c r="BG847" s="2123">
        <v>26.5</v>
      </c>
      <c r="BH847" s="2123">
        <v>26.5</v>
      </c>
      <c r="BI847" s="2123">
        <v>26.27</v>
      </c>
      <c r="BJ847" s="2123">
        <v>26.27</v>
      </c>
      <c r="BK847" s="2123">
        <v>26.27</v>
      </c>
      <c r="BL847" s="2123">
        <v>26.27</v>
      </c>
      <c r="BM847" s="2123">
        <v>58.71</v>
      </c>
      <c r="BN847" s="2123">
        <v>58.71</v>
      </c>
      <c r="BO847" s="2123">
        <v>185.78</v>
      </c>
      <c r="BP847" s="2123">
        <v>185.78</v>
      </c>
      <c r="BQ847" s="2123">
        <v>185.78</v>
      </c>
      <c r="BR847" s="2123">
        <v>185.78</v>
      </c>
      <c r="BS847" s="2123">
        <v>242.95</v>
      </c>
      <c r="BT847" s="2123">
        <v>242.95</v>
      </c>
      <c r="BU847" s="2123">
        <v>242.95</v>
      </c>
      <c r="BV847" s="2123">
        <v>242.95</v>
      </c>
      <c r="BW847" s="2123">
        <v>242.95</v>
      </c>
      <c r="BX847" s="2123">
        <v>242.95</v>
      </c>
      <c r="BY847" s="2123">
        <v>53.29</v>
      </c>
      <c r="BZ847" s="2123">
        <v>53.29</v>
      </c>
      <c r="CA847" s="2123">
        <v>178.03</v>
      </c>
      <c r="CB847" s="2123">
        <v>178.03</v>
      </c>
      <c r="CC847" s="2123">
        <v>180.8</v>
      </c>
      <c r="CD847" s="2123">
        <v>180.8</v>
      </c>
      <c r="CE847" s="2123">
        <v>239.75</v>
      </c>
      <c r="CF847" s="2123">
        <v>239.75</v>
      </c>
      <c r="CK847" s="2123">
        <v>132.15</v>
      </c>
      <c r="CL847" s="2123">
        <v>132.15</v>
      </c>
      <c r="CM847" s="2123">
        <v>265.39999999999998</v>
      </c>
      <c r="CN847" s="2123">
        <v>265.39999999999998</v>
      </c>
      <c r="CO847" s="2123">
        <v>345.69</v>
      </c>
      <c r="CP847" s="2123">
        <v>345.69</v>
      </c>
      <c r="CQ847" s="2123">
        <v>345.69</v>
      </c>
      <c r="CR847" s="2123">
        <v>345.69</v>
      </c>
      <c r="CW847" s="2123">
        <v>123.92</v>
      </c>
      <c r="CX847" s="2123">
        <v>123.92</v>
      </c>
      <c r="CY847" s="2123">
        <v>257.2</v>
      </c>
      <c r="CZ847" s="2123">
        <v>257.2</v>
      </c>
      <c r="DA847" s="2123">
        <v>257.2</v>
      </c>
      <c r="DB847" s="2123">
        <v>257.2</v>
      </c>
      <c r="DC847" s="2123">
        <v>335.31</v>
      </c>
      <c r="DD847" s="2123">
        <v>335.31</v>
      </c>
      <c r="DE847" s="2123">
        <v>335.31</v>
      </c>
      <c r="DF847" s="2123">
        <v>335.31</v>
      </c>
      <c r="DI847" s="2123">
        <v>32.72</v>
      </c>
      <c r="DJ847" s="2123">
        <v>32.72</v>
      </c>
      <c r="DK847" s="2123">
        <v>32.72</v>
      </c>
      <c r="DL847" s="2123">
        <v>32.72</v>
      </c>
      <c r="DM847" s="2123">
        <v>32.72</v>
      </c>
      <c r="DN847" s="2123">
        <v>32.72</v>
      </c>
      <c r="DU847" s="2123">
        <v>14.57</v>
      </c>
      <c r="DV847" s="2123">
        <v>14.57</v>
      </c>
      <c r="DW847" s="2123">
        <v>14.17</v>
      </c>
      <c r="DX847" s="2123">
        <v>14.17</v>
      </c>
      <c r="DY847" s="2123">
        <v>14.17</v>
      </c>
      <c r="DZ847" s="2123">
        <v>14.17</v>
      </c>
      <c r="EG847" s="2123">
        <v>15.61</v>
      </c>
      <c r="EH847" s="2123">
        <v>15.76</v>
      </c>
      <c r="EI847" s="2123">
        <v>13.15</v>
      </c>
      <c r="EJ847" s="2123">
        <v>13.15</v>
      </c>
      <c r="EK847" s="2123">
        <v>13.15</v>
      </c>
      <c r="EL847" s="2123">
        <v>13.15</v>
      </c>
      <c r="EM847" s="2123">
        <v>13.66</v>
      </c>
      <c r="EN847" s="2123">
        <v>13.66</v>
      </c>
      <c r="EO847" s="2123">
        <v>13.03</v>
      </c>
      <c r="EP847" s="2123">
        <v>13.03</v>
      </c>
      <c r="EQ847" s="2123">
        <v>13.41</v>
      </c>
      <c r="ER847" s="2123">
        <v>13.2</v>
      </c>
      <c r="ES847" s="2123">
        <v>59.87</v>
      </c>
      <c r="ET847" s="2123">
        <v>59.87</v>
      </c>
      <c r="EU847" s="2123">
        <v>266.73</v>
      </c>
      <c r="EV847" s="2123">
        <v>266.73</v>
      </c>
      <c r="EW847" s="2123">
        <v>261.19</v>
      </c>
      <c r="EX847" s="2123">
        <v>261.19</v>
      </c>
      <c r="EY847" s="2129">
        <f t="shared" si="51"/>
        <v>263.96000000000004</v>
      </c>
      <c r="EZ847" s="2129">
        <f t="shared" si="51"/>
        <v>263.96000000000004</v>
      </c>
      <c r="FA847" s="2123">
        <v>263.76</v>
      </c>
      <c r="FB847" s="2123">
        <v>263.76</v>
      </c>
      <c r="FE847" s="2123">
        <v>51.51</v>
      </c>
      <c r="FF847" s="2123">
        <v>51.51</v>
      </c>
      <c r="FG847" s="2123">
        <v>225.06</v>
      </c>
      <c r="FH847" s="2123">
        <v>225.06</v>
      </c>
      <c r="FI847" s="2123">
        <v>225.06</v>
      </c>
      <c r="FJ847" s="2123">
        <v>226</v>
      </c>
      <c r="FK847" s="2123">
        <v>224.77</v>
      </c>
      <c r="FL847" s="2123">
        <v>224.77</v>
      </c>
      <c r="FM847" s="2123">
        <v>225.15</v>
      </c>
      <c r="FN847" s="2123">
        <v>225.15</v>
      </c>
      <c r="FQ847" s="2123">
        <v>116.39</v>
      </c>
      <c r="FR847" s="2123">
        <v>116.39</v>
      </c>
      <c r="FS847" s="2123">
        <v>235.72</v>
      </c>
      <c r="FT847" s="2123">
        <v>235.72</v>
      </c>
      <c r="FU847" s="2123">
        <v>235.72</v>
      </c>
      <c r="FV847" s="2123">
        <v>235.72</v>
      </c>
      <c r="FW847" s="2123">
        <v>235.93</v>
      </c>
      <c r="FX847" s="2123">
        <v>235.93</v>
      </c>
      <c r="GC847" s="2123">
        <v>82.17</v>
      </c>
      <c r="GD847" s="2123">
        <v>82.17</v>
      </c>
      <c r="GE847" s="2123">
        <v>183.89</v>
      </c>
      <c r="GF847" s="2123">
        <v>183.89</v>
      </c>
      <c r="GG847" s="2123">
        <v>183.89</v>
      </c>
      <c r="GH847" s="2123">
        <v>183.89</v>
      </c>
      <c r="GI847" s="2123">
        <v>212.05</v>
      </c>
      <c r="GJ847" s="2123">
        <v>212.05</v>
      </c>
      <c r="GK847" s="2123">
        <v>233.07</v>
      </c>
      <c r="GL847" s="2123">
        <v>233.07</v>
      </c>
      <c r="GO847" s="2123">
        <v>44</v>
      </c>
      <c r="GP847" s="2123">
        <v>44</v>
      </c>
      <c r="GQ847" s="2123">
        <v>39.380000000000003</v>
      </c>
      <c r="GR847" s="2123">
        <v>39.380000000000003</v>
      </c>
      <c r="GS847" s="2123">
        <v>39.380000000000003</v>
      </c>
      <c r="GT847" s="2123">
        <v>38</v>
      </c>
      <c r="GU847" s="2123">
        <v>38</v>
      </c>
      <c r="GV847" s="2123">
        <v>38.159999999999997</v>
      </c>
      <c r="GW847" s="2123">
        <v>222.85</v>
      </c>
      <c r="GX847" s="2123">
        <v>222.85</v>
      </c>
      <c r="HA847" s="2123">
        <v>30.66</v>
      </c>
      <c r="HB847" s="2123">
        <v>30.66</v>
      </c>
      <c r="HC847" s="2123">
        <v>24.84</v>
      </c>
      <c r="HD847" s="2123">
        <v>24.84</v>
      </c>
      <c r="HE847" s="2123">
        <v>25.4</v>
      </c>
      <c r="HF847" s="2123">
        <v>25.4</v>
      </c>
      <c r="HG847" s="2123">
        <v>25.4</v>
      </c>
      <c r="HH847" s="2123">
        <v>25.4</v>
      </c>
      <c r="HI847" s="2123">
        <v>25.4</v>
      </c>
      <c r="HJ847" s="2123">
        <v>25.4</v>
      </c>
      <c r="HK847" s="2123">
        <v>25.49</v>
      </c>
      <c r="HL847" s="2123">
        <v>25.62</v>
      </c>
      <c r="HM847" s="2123">
        <v>42.96</v>
      </c>
      <c r="HN847" s="2123">
        <v>42.96</v>
      </c>
      <c r="HO847" s="2123">
        <v>35.090000000000003</v>
      </c>
      <c r="HP847" s="2123">
        <v>35.090000000000003</v>
      </c>
      <c r="HQ847" s="2123">
        <v>35.9</v>
      </c>
      <c r="HR847" s="2123">
        <v>35.9</v>
      </c>
      <c r="HS847" s="2123">
        <v>35.9</v>
      </c>
      <c r="HT847" s="2123">
        <v>35.9</v>
      </c>
      <c r="HU847" s="2123">
        <v>35.9</v>
      </c>
      <c r="HV847" s="2123">
        <v>35.9</v>
      </c>
      <c r="HW847" s="2123">
        <v>35.97</v>
      </c>
      <c r="HX847" s="2050">
        <v>35.97</v>
      </c>
    </row>
    <row r="848" spans="1:232" s="2123" customFormat="1" ht="14" hidden="1" x14ac:dyDescent="0.3">
      <c r="A848" s="2040"/>
      <c r="B848" s="2127">
        <v>99</v>
      </c>
      <c r="C848" s="2128">
        <v>48.63</v>
      </c>
      <c r="D848" s="2128">
        <v>48.63</v>
      </c>
      <c r="E848" s="2128">
        <v>48.67</v>
      </c>
      <c r="F848" s="2128">
        <v>48.67</v>
      </c>
      <c r="G848" s="2128">
        <v>191.17</v>
      </c>
      <c r="H848" s="2128">
        <v>191.17</v>
      </c>
      <c r="I848" s="2128">
        <v>182.45</v>
      </c>
      <c r="J848" s="2128">
        <v>182.45</v>
      </c>
      <c r="K848" s="2128">
        <v>185.54</v>
      </c>
      <c r="L848" s="2128">
        <v>185.54</v>
      </c>
      <c r="M848" s="2128"/>
      <c r="N848" s="2128"/>
      <c r="O848" s="2128">
        <v>152.37</v>
      </c>
      <c r="P848" s="2128">
        <v>152.37</v>
      </c>
      <c r="Q848" s="2128">
        <v>151.75</v>
      </c>
      <c r="R848" s="2128">
        <v>152.37</v>
      </c>
      <c r="S848" s="2128">
        <v>288.7</v>
      </c>
      <c r="T848" s="2128">
        <v>288.49</v>
      </c>
      <c r="U848" s="2128">
        <v>278.48</v>
      </c>
      <c r="V848" s="2128">
        <v>278.48</v>
      </c>
      <c r="W848" s="2128">
        <v>288.49</v>
      </c>
      <c r="X848" s="2128">
        <v>288.49</v>
      </c>
      <c r="Y848" s="2128">
        <v>278.48</v>
      </c>
      <c r="Z848" s="2128">
        <v>288.49</v>
      </c>
      <c r="AA848" s="2128">
        <v>288.49</v>
      </c>
      <c r="AB848" s="2128">
        <v>288.49</v>
      </c>
      <c r="AC848" s="2128">
        <v>278.48</v>
      </c>
      <c r="AD848" s="2128">
        <v>278.48</v>
      </c>
      <c r="AE848" s="2128">
        <v>299.06</v>
      </c>
      <c r="AF848" s="2128">
        <v>290.44</v>
      </c>
      <c r="AG848" s="2128">
        <v>299.06</v>
      </c>
      <c r="AH848" s="2128">
        <v>299.06</v>
      </c>
      <c r="AI848" s="2128">
        <v>290.44</v>
      </c>
      <c r="AJ848" s="2128">
        <v>290.44</v>
      </c>
      <c r="AK848" s="2128">
        <v>290.7</v>
      </c>
      <c r="AL848" s="2128">
        <v>290.7</v>
      </c>
      <c r="AM848" s="2128">
        <v>80.510000000000005</v>
      </c>
      <c r="AN848" s="2128">
        <v>77.59</v>
      </c>
      <c r="AO848" s="2128">
        <v>77.59</v>
      </c>
      <c r="AP848" s="2128">
        <v>77.510000000000005</v>
      </c>
      <c r="AQ848" s="2128">
        <v>77.7</v>
      </c>
      <c r="AR848" s="2128">
        <v>77.7</v>
      </c>
      <c r="AS848" s="2128">
        <v>236.34</v>
      </c>
      <c r="AT848" s="2128">
        <v>236.34</v>
      </c>
      <c r="AU848" s="2128">
        <v>236.34</v>
      </c>
      <c r="AV848" s="2128">
        <v>241.42</v>
      </c>
      <c r="AW848" s="2128">
        <v>236.46</v>
      </c>
      <c r="AX848" s="2128">
        <v>236.46</v>
      </c>
      <c r="AY848" s="2128">
        <v>236.57</v>
      </c>
      <c r="AZ848" s="2128">
        <v>236.57</v>
      </c>
      <c r="BA848" s="2123">
        <v>103.42</v>
      </c>
      <c r="BB848" s="2123">
        <v>103.42</v>
      </c>
      <c r="BC848" s="2123">
        <v>26.53</v>
      </c>
      <c r="BD848" s="2123">
        <v>26.64</v>
      </c>
      <c r="BE848" s="2123">
        <v>28.96</v>
      </c>
      <c r="BF848" s="2123">
        <v>28.96</v>
      </c>
      <c r="BG848" s="2123">
        <v>26.58</v>
      </c>
      <c r="BH848" s="2123">
        <v>26.58</v>
      </c>
      <c r="BI848" s="2123">
        <v>26.35</v>
      </c>
      <c r="BJ848" s="2123">
        <v>26.35</v>
      </c>
      <c r="BK848" s="2123">
        <v>26.35</v>
      </c>
      <c r="BL848" s="2123">
        <v>26.35</v>
      </c>
      <c r="BM848" s="2123">
        <v>58.83</v>
      </c>
      <c r="BN848" s="2123">
        <v>58.83</v>
      </c>
      <c r="BO848" s="2123">
        <v>186.2</v>
      </c>
      <c r="BP848" s="2123">
        <v>186.2</v>
      </c>
      <c r="BQ848" s="2123">
        <v>186.2</v>
      </c>
      <c r="BR848" s="2123">
        <v>186.2</v>
      </c>
      <c r="BS848" s="2123">
        <v>243.61</v>
      </c>
      <c r="BT848" s="2123">
        <v>243.61</v>
      </c>
      <c r="BU848" s="2123">
        <v>243.61</v>
      </c>
      <c r="BV848" s="2123">
        <v>243.61</v>
      </c>
      <c r="BW848" s="2123">
        <v>243.61</v>
      </c>
      <c r="BX848" s="2123">
        <v>243.61</v>
      </c>
      <c r="BY848" s="2123">
        <v>53.4</v>
      </c>
      <c r="BZ848" s="2123">
        <v>53.4</v>
      </c>
      <c r="CA848" s="2123">
        <v>178.44</v>
      </c>
      <c r="CB848" s="2123">
        <v>178.44</v>
      </c>
      <c r="CC848" s="2123">
        <v>181.22</v>
      </c>
      <c r="CD848" s="2123">
        <v>181.22</v>
      </c>
      <c r="CE848" s="2123">
        <v>240.4</v>
      </c>
      <c r="CF848" s="2123">
        <v>240.4</v>
      </c>
      <c r="CK848" s="2123">
        <v>132.38999999999999</v>
      </c>
      <c r="CL848" s="2123">
        <v>132.38999999999999</v>
      </c>
      <c r="CM848" s="2123">
        <v>265.82</v>
      </c>
      <c r="CN848" s="2123">
        <v>265.82</v>
      </c>
      <c r="CO848" s="2123">
        <v>346.39</v>
      </c>
      <c r="CP848" s="2123">
        <v>346.39</v>
      </c>
      <c r="CQ848" s="2123">
        <v>346.39</v>
      </c>
      <c r="CR848" s="2123">
        <v>346.39</v>
      </c>
      <c r="CW848" s="2123">
        <v>124.16</v>
      </c>
      <c r="CX848" s="2123">
        <v>124.16</v>
      </c>
      <c r="CY848" s="2123">
        <v>257.64</v>
      </c>
      <c r="CZ848" s="2123">
        <v>257.64</v>
      </c>
      <c r="DA848" s="2123">
        <v>257.64</v>
      </c>
      <c r="DB848" s="2123">
        <v>257.64</v>
      </c>
      <c r="DC848" s="2123">
        <v>336.02</v>
      </c>
      <c r="DD848" s="2123">
        <v>336.02</v>
      </c>
      <c r="DE848" s="2123">
        <v>336.02</v>
      </c>
      <c r="DF848" s="2123">
        <v>336.02</v>
      </c>
      <c r="DI848" s="2123">
        <v>32.78</v>
      </c>
      <c r="DJ848" s="2123">
        <v>32.78</v>
      </c>
      <c r="DK848" s="2123">
        <v>32.78</v>
      </c>
      <c r="DL848" s="2123">
        <v>32.78</v>
      </c>
      <c r="DM848" s="2123">
        <v>32.78</v>
      </c>
      <c r="DN848" s="2123">
        <v>32.78</v>
      </c>
      <c r="DU848" s="2123">
        <v>14.59</v>
      </c>
      <c r="DV848" s="2123">
        <v>14.59</v>
      </c>
      <c r="DW848" s="2123">
        <v>14.21</v>
      </c>
      <c r="DX848" s="2123">
        <v>14.21</v>
      </c>
      <c r="DY848" s="2123">
        <v>14.21</v>
      </c>
      <c r="DZ848" s="2123">
        <v>14.21</v>
      </c>
      <c r="EG848" s="2123">
        <v>15.63</v>
      </c>
      <c r="EH848" s="2123">
        <v>15.79</v>
      </c>
      <c r="EI848" s="2123">
        <v>13.19</v>
      </c>
      <c r="EJ848" s="2123">
        <v>13.19</v>
      </c>
      <c r="EK848" s="2123">
        <v>13.2</v>
      </c>
      <c r="EL848" s="2123">
        <v>13.2</v>
      </c>
      <c r="EM848" s="2123">
        <v>13.7</v>
      </c>
      <c r="EN848" s="2123">
        <v>13.7</v>
      </c>
      <c r="EO848" s="2123">
        <v>13.07</v>
      </c>
      <c r="EP848" s="2123">
        <v>13.07</v>
      </c>
      <c r="EQ848" s="2123">
        <v>13.45</v>
      </c>
      <c r="ER848" s="2123">
        <v>13.24</v>
      </c>
      <c r="ES848" s="2123">
        <v>59.99</v>
      </c>
      <c r="ET848" s="2123">
        <v>59.99</v>
      </c>
      <c r="EU848" s="2123">
        <v>267.45999999999998</v>
      </c>
      <c r="EV848" s="2123">
        <v>267.45999999999998</v>
      </c>
      <c r="EW848" s="2123">
        <v>261.92</v>
      </c>
      <c r="EX848" s="2123">
        <v>261.92</v>
      </c>
      <c r="EY848" s="2129">
        <f t="shared" si="51"/>
        <v>264.69</v>
      </c>
      <c r="EZ848" s="2129">
        <f t="shared" si="51"/>
        <v>264.69</v>
      </c>
      <c r="FA848" s="2123">
        <v>264.45</v>
      </c>
      <c r="FB848" s="2123">
        <v>264.45</v>
      </c>
      <c r="FE848" s="2123">
        <v>51.61</v>
      </c>
      <c r="FF848" s="2123">
        <v>51.61</v>
      </c>
      <c r="FG848" s="2123">
        <v>225.69</v>
      </c>
      <c r="FH848" s="2123">
        <v>225.69</v>
      </c>
      <c r="FI848" s="2123">
        <v>225.69</v>
      </c>
      <c r="FJ848" s="2123">
        <v>226.61</v>
      </c>
      <c r="FK848" s="2123">
        <v>225.4</v>
      </c>
      <c r="FL848" s="2123">
        <v>225.4</v>
      </c>
      <c r="FM848" s="2123">
        <v>225.77</v>
      </c>
      <c r="FN848" s="2123">
        <v>225.77</v>
      </c>
      <c r="FQ848" s="2123">
        <v>116.62</v>
      </c>
      <c r="FR848" s="2123">
        <v>116.62</v>
      </c>
      <c r="FS848" s="2123">
        <v>236.26</v>
      </c>
      <c r="FT848" s="2123">
        <v>236.26</v>
      </c>
      <c r="FU848" s="2123">
        <v>236.26</v>
      </c>
      <c r="FV848" s="2123">
        <v>236.26</v>
      </c>
      <c r="FW848" s="2123">
        <v>236.46</v>
      </c>
      <c r="FX848" s="2123">
        <v>236.46</v>
      </c>
      <c r="GC848" s="2123">
        <v>82.33</v>
      </c>
      <c r="GD848" s="2123">
        <v>82.33</v>
      </c>
      <c r="GE848" s="2123">
        <v>184.22</v>
      </c>
      <c r="GF848" s="2123">
        <v>184.22</v>
      </c>
      <c r="GG848" s="2123">
        <v>184.22</v>
      </c>
      <c r="GH848" s="2123">
        <v>184.22</v>
      </c>
      <c r="GI848" s="2123">
        <v>212.81</v>
      </c>
      <c r="GJ848" s="2123">
        <v>212.81</v>
      </c>
      <c r="GK848" s="2123">
        <v>233.68</v>
      </c>
      <c r="GL848" s="2123">
        <v>233.68</v>
      </c>
      <c r="GO848" s="2123">
        <v>44.09</v>
      </c>
      <c r="GP848" s="2123">
        <v>44.09</v>
      </c>
      <c r="GQ848" s="2123">
        <v>39.49</v>
      </c>
      <c r="GR848" s="2123">
        <v>39.49</v>
      </c>
      <c r="GS848" s="2123">
        <v>39.49</v>
      </c>
      <c r="GT848" s="2123">
        <v>38.11</v>
      </c>
      <c r="GU848" s="2123">
        <v>38.11</v>
      </c>
      <c r="GV848" s="2123">
        <v>38.270000000000003</v>
      </c>
      <c r="GW848" s="2123">
        <v>223.47</v>
      </c>
      <c r="GX848" s="2123">
        <v>223.47</v>
      </c>
      <c r="HA848" s="2123">
        <v>30.71</v>
      </c>
      <c r="HB848" s="2123">
        <v>30.71</v>
      </c>
      <c r="HC848" s="2123">
        <v>24.92</v>
      </c>
      <c r="HD848" s="2123">
        <v>24.92</v>
      </c>
      <c r="HE848" s="2123">
        <v>25.48</v>
      </c>
      <c r="HF848" s="2123">
        <v>25.48</v>
      </c>
      <c r="HG848" s="2123">
        <v>25.48</v>
      </c>
      <c r="HH848" s="2123">
        <v>25.48</v>
      </c>
      <c r="HI848" s="2123">
        <v>25.48</v>
      </c>
      <c r="HJ848" s="2123">
        <v>25.48</v>
      </c>
      <c r="HK848" s="2123">
        <v>25.58</v>
      </c>
      <c r="HL848" s="2123">
        <v>25.7</v>
      </c>
      <c r="HM848" s="2123">
        <v>43.05</v>
      </c>
      <c r="HN848" s="2123">
        <v>43.05</v>
      </c>
      <c r="HO848" s="2123">
        <v>35.21</v>
      </c>
      <c r="HP848" s="2123">
        <v>35.21</v>
      </c>
      <c r="HQ848" s="2123">
        <v>36.01</v>
      </c>
      <c r="HR848" s="2123">
        <v>36.01</v>
      </c>
      <c r="HS848" s="2123">
        <v>36.01</v>
      </c>
      <c r="HT848" s="2123">
        <v>36.01</v>
      </c>
      <c r="HU848" s="2123">
        <v>36.01</v>
      </c>
      <c r="HV848" s="2123">
        <v>36.01</v>
      </c>
      <c r="HW848" s="2123">
        <v>36.090000000000003</v>
      </c>
      <c r="HX848" s="2050">
        <v>36.090000000000003</v>
      </c>
    </row>
    <row r="849" spans="1:232" s="2123" customFormat="1" ht="14" hidden="1" x14ac:dyDescent="0.3">
      <c r="A849" s="2040"/>
      <c r="B849" s="2130">
        <v>100</v>
      </c>
      <c r="C849" s="2131">
        <v>48.72</v>
      </c>
      <c r="D849" s="2131">
        <v>48.72</v>
      </c>
      <c r="E849" s="2131">
        <v>48.76</v>
      </c>
      <c r="F849" s="2131">
        <v>48.76</v>
      </c>
      <c r="G849" s="2131">
        <v>191.62</v>
      </c>
      <c r="H849" s="2131">
        <v>191.62</v>
      </c>
      <c r="I849" s="2131">
        <v>182.91</v>
      </c>
      <c r="J849" s="2131">
        <v>182.91</v>
      </c>
      <c r="K849" s="2131">
        <v>185.95</v>
      </c>
      <c r="L849" s="2131">
        <v>185.95</v>
      </c>
      <c r="M849" s="2131"/>
      <c r="N849" s="2131"/>
      <c r="O849" s="2131">
        <v>152.66</v>
      </c>
      <c r="P849" s="2131">
        <v>152.66</v>
      </c>
      <c r="Q849" s="2131">
        <v>152.04</v>
      </c>
      <c r="R849" s="2131">
        <v>152.66</v>
      </c>
      <c r="S849" s="2131">
        <v>289.49</v>
      </c>
      <c r="T849" s="2131">
        <v>289.27</v>
      </c>
      <c r="U849" s="2131">
        <v>279.23</v>
      </c>
      <c r="V849" s="2131">
        <v>279.23</v>
      </c>
      <c r="W849" s="2131">
        <v>289.27</v>
      </c>
      <c r="X849" s="2131">
        <v>289.27</v>
      </c>
      <c r="Y849" s="2131">
        <v>279.23</v>
      </c>
      <c r="Z849" s="2131">
        <v>289.27</v>
      </c>
      <c r="AA849" s="2131">
        <v>289.27</v>
      </c>
      <c r="AB849" s="2131">
        <v>289.27</v>
      </c>
      <c r="AC849" s="2131">
        <v>279.23</v>
      </c>
      <c r="AD849" s="2131">
        <v>279.23</v>
      </c>
      <c r="AE849" s="2131">
        <v>299.76</v>
      </c>
      <c r="AF849" s="2131">
        <v>291.12</v>
      </c>
      <c r="AG849" s="2131">
        <v>299.76</v>
      </c>
      <c r="AH849" s="2131">
        <v>299.76</v>
      </c>
      <c r="AI849" s="2131">
        <v>291.12</v>
      </c>
      <c r="AJ849" s="2131">
        <v>291.12</v>
      </c>
      <c r="AK849" s="2131">
        <v>291.37</v>
      </c>
      <c r="AL849" s="2131">
        <v>291.37</v>
      </c>
      <c r="AM849" s="2131">
        <v>80.66</v>
      </c>
      <c r="AN849" s="2131">
        <v>77.73</v>
      </c>
      <c r="AO849" s="2131">
        <v>77.73</v>
      </c>
      <c r="AP849" s="2131">
        <v>77.66</v>
      </c>
      <c r="AQ849" s="2131">
        <v>77.84</v>
      </c>
      <c r="AR849" s="2131">
        <v>77.84</v>
      </c>
      <c r="AS849" s="2131">
        <v>236.91</v>
      </c>
      <c r="AT849" s="2131">
        <v>236.91</v>
      </c>
      <c r="AU849" s="2131">
        <v>236.91</v>
      </c>
      <c r="AV849" s="2131">
        <v>242</v>
      </c>
      <c r="AW849" s="2131">
        <v>237.03</v>
      </c>
      <c r="AX849" s="2131">
        <v>237.03</v>
      </c>
      <c r="AY849" s="2131">
        <v>237.14</v>
      </c>
      <c r="AZ849" s="2131">
        <v>237.14</v>
      </c>
      <c r="BA849" s="2132">
        <v>103.68</v>
      </c>
      <c r="BB849" s="2132">
        <v>103.68</v>
      </c>
      <c r="BC849" s="2132">
        <v>26.61</v>
      </c>
      <c r="BD849" s="2132">
        <v>26.72</v>
      </c>
      <c r="BE849" s="2132">
        <v>29.02</v>
      </c>
      <c r="BF849" s="2132">
        <v>29.02</v>
      </c>
      <c r="BG849" s="2132">
        <v>26.66</v>
      </c>
      <c r="BH849" s="2132">
        <v>26.66</v>
      </c>
      <c r="BI849" s="2132">
        <v>26.43</v>
      </c>
      <c r="BJ849" s="2132">
        <v>26.43</v>
      </c>
      <c r="BK849" s="2132">
        <v>26.43</v>
      </c>
      <c r="BL849" s="2132">
        <v>26.43</v>
      </c>
      <c r="BM849" s="2132">
        <v>58.94</v>
      </c>
      <c r="BN849" s="2132">
        <v>58.94</v>
      </c>
      <c r="BO849" s="2132">
        <v>186.61</v>
      </c>
      <c r="BP849" s="2132">
        <v>186.61</v>
      </c>
      <c r="BQ849" s="2132">
        <v>186.61</v>
      </c>
      <c r="BR849" s="2132">
        <v>186.61</v>
      </c>
      <c r="BS849" s="2132">
        <v>244.25</v>
      </c>
      <c r="BT849" s="2132">
        <v>244.25</v>
      </c>
      <c r="BU849" s="2132">
        <v>244.25</v>
      </c>
      <c r="BV849" s="2132">
        <v>244.25</v>
      </c>
      <c r="BW849" s="2132">
        <v>244.25</v>
      </c>
      <c r="BX849" s="2132">
        <v>244.25</v>
      </c>
      <c r="BY849" s="2132">
        <v>53.5</v>
      </c>
      <c r="BZ849" s="2132">
        <v>53.5</v>
      </c>
      <c r="CA849" s="2132">
        <v>178.84</v>
      </c>
      <c r="CB849" s="2132">
        <v>178.84</v>
      </c>
      <c r="CC849" s="2132">
        <v>181.63</v>
      </c>
      <c r="CD849" s="2132">
        <v>181.63</v>
      </c>
      <c r="CE849" s="2132">
        <v>241.05</v>
      </c>
      <c r="CF849" s="2132">
        <v>241.05</v>
      </c>
      <c r="CG849" s="2132"/>
      <c r="CH849" s="2132"/>
      <c r="CI849" s="2132"/>
      <c r="CJ849" s="2132"/>
      <c r="CK849" s="2132">
        <v>132.63</v>
      </c>
      <c r="CL849" s="2132">
        <v>132.63</v>
      </c>
      <c r="CM849" s="2132">
        <v>266.24</v>
      </c>
      <c r="CN849" s="2132">
        <v>266.24</v>
      </c>
      <c r="CO849" s="2132">
        <v>347.09</v>
      </c>
      <c r="CP849" s="2132">
        <v>347.09</v>
      </c>
      <c r="CQ849" s="2132">
        <v>347.09</v>
      </c>
      <c r="CR849" s="2132">
        <v>347.09</v>
      </c>
      <c r="CS849" s="2132"/>
      <c r="CT849" s="2132"/>
      <c r="CU849" s="2132"/>
      <c r="CV849" s="2132"/>
      <c r="CW849" s="2132">
        <v>124.39</v>
      </c>
      <c r="CX849" s="2132">
        <v>124.39</v>
      </c>
      <c r="CY849" s="2132">
        <v>258.07</v>
      </c>
      <c r="CZ849" s="2132">
        <v>258.07</v>
      </c>
      <c r="DA849" s="2132">
        <v>258.07</v>
      </c>
      <c r="DB849" s="2132">
        <v>258.07</v>
      </c>
      <c r="DC849" s="2132">
        <v>336.72</v>
      </c>
      <c r="DD849" s="2132">
        <v>336.72</v>
      </c>
      <c r="DE849" s="2132">
        <v>336.72</v>
      </c>
      <c r="DF849" s="2132">
        <v>336.72</v>
      </c>
      <c r="DG849" s="2132"/>
      <c r="DH849" s="2132"/>
      <c r="DI849" s="2132">
        <v>32.840000000000003</v>
      </c>
      <c r="DJ849" s="2132">
        <v>32.840000000000003</v>
      </c>
      <c r="DK849" s="2132">
        <v>32.840000000000003</v>
      </c>
      <c r="DL849" s="2132">
        <v>32.840000000000003</v>
      </c>
      <c r="DM849" s="2132">
        <v>32.840000000000003</v>
      </c>
      <c r="DN849" s="2132">
        <v>32.840000000000003</v>
      </c>
      <c r="DO849" s="2132"/>
      <c r="DP849" s="2132"/>
      <c r="DQ849" s="2132"/>
      <c r="DR849" s="2132"/>
      <c r="DS849" s="2132"/>
      <c r="DT849" s="2132"/>
      <c r="DU849" s="2132">
        <v>14.62</v>
      </c>
      <c r="DV849" s="2132">
        <v>14.62</v>
      </c>
      <c r="DW849" s="2132">
        <v>14.24</v>
      </c>
      <c r="DX849" s="2132">
        <v>14.24</v>
      </c>
      <c r="DY849" s="2132">
        <v>14.24</v>
      </c>
      <c r="DZ849" s="2132">
        <v>14.24</v>
      </c>
      <c r="EA849" s="2132"/>
      <c r="EB849" s="2132"/>
      <c r="EC849" s="2132"/>
      <c r="ED849" s="2132"/>
      <c r="EE849" s="2132"/>
      <c r="EF849" s="2132"/>
      <c r="EG849" s="2132">
        <v>15.66</v>
      </c>
      <c r="EH849" s="2132">
        <v>15.82</v>
      </c>
      <c r="EI849" s="2132">
        <v>13.23</v>
      </c>
      <c r="EJ849" s="2132">
        <v>13.23</v>
      </c>
      <c r="EK849" s="2132">
        <v>13.24</v>
      </c>
      <c r="EL849" s="2132">
        <v>13.24</v>
      </c>
      <c r="EM849" s="2132">
        <v>13.74</v>
      </c>
      <c r="EN849" s="2132">
        <v>13.74</v>
      </c>
      <c r="EO849" s="2132">
        <v>13.11</v>
      </c>
      <c r="EP849" s="2132">
        <v>13.11</v>
      </c>
      <c r="EQ849" s="2132">
        <v>13.49</v>
      </c>
      <c r="ER849" s="2132">
        <v>13.27</v>
      </c>
      <c r="ES849" s="2132">
        <v>60.1</v>
      </c>
      <c r="ET849" s="2132">
        <v>60.1</v>
      </c>
      <c r="EU849" s="2132">
        <v>268.18</v>
      </c>
      <c r="EV849" s="2132">
        <v>268.18</v>
      </c>
      <c r="EW849" s="2132">
        <v>262.63</v>
      </c>
      <c r="EX849" s="2132">
        <v>262.63</v>
      </c>
      <c r="EY849" s="2133">
        <f t="shared" si="51"/>
        <v>265.40499999999997</v>
      </c>
      <c r="EZ849" s="2133">
        <f t="shared" si="51"/>
        <v>265.40499999999997</v>
      </c>
      <c r="FA849" s="2132">
        <v>265.13</v>
      </c>
      <c r="FB849" s="2132">
        <v>265.13</v>
      </c>
      <c r="FC849" s="2132"/>
      <c r="FD849" s="2132"/>
      <c r="FE849" s="2132">
        <v>51.71</v>
      </c>
      <c r="FF849" s="2132">
        <v>51.71</v>
      </c>
      <c r="FG849" s="2132">
        <v>226.31</v>
      </c>
      <c r="FH849" s="2132">
        <v>226.31</v>
      </c>
      <c r="FI849" s="2132">
        <v>226.31</v>
      </c>
      <c r="FJ849" s="2132">
        <v>227.21</v>
      </c>
      <c r="FK849" s="2132">
        <v>226.02</v>
      </c>
      <c r="FL849" s="2132">
        <v>226.02</v>
      </c>
      <c r="FM849" s="2132">
        <v>226.38</v>
      </c>
      <c r="FN849" s="2132">
        <v>226.38</v>
      </c>
      <c r="FO849" s="2132"/>
      <c r="FP849" s="2132"/>
      <c r="FQ849" s="2132">
        <v>116.84</v>
      </c>
      <c r="FR849" s="2132">
        <v>116.84</v>
      </c>
      <c r="FS849" s="2132">
        <v>236.79</v>
      </c>
      <c r="FT849" s="2132">
        <v>236.79</v>
      </c>
      <c r="FU849" s="2132">
        <v>236.79</v>
      </c>
      <c r="FV849" s="2132">
        <v>236.79</v>
      </c>
      <c r="FW849" s="2132">
        <v>236.98</v>
      </c>
      <c r="FX849" s="2132">
        <v>236.98</v>
      </c>
      <c r="FY849" s="2132"/>
      <c r="FZ849" s="2132"/>
      <c r="GA849" s="2132"/>
      <c r="GB849" s="2132"/>
      <c r="GC849" s="2132">
        <v>82.49</v>
      </c>
      <c r="GD849" s="2132">
        <v>82.49</v>
      </c>
      <c r="GE849" s="2132">
        <v>184.54</v>
      </c>
      <c r="GF849" s="2132">
        <v>184.54</v>
      </c>
      <c r="GG849" s="2132">
        <v>184.54</v>
      </c>
      <c r="GH849" s="2132">
        <v>184.54</v>
      </c>
      <c r="GI849" s="2132">
        <v>213.56</v>
      </c>
      <c r="GJ849" s="2132">
        <v>213.56</v>
      </c>
      <c r="GK849" s="2132">
        <v>234.27</v>
      </c>
      <c r="GL849" s="2132">
        <v>234.27</v>
      </c>
      <c r="GM849" s="2132"/>
      <c r="GN849" s="2132"/>
      <c r="GO849" s="2132">
        <v>44.17</v>
      </c>
      <c r="GP849" s="2132">
        <v>44.17</v>
      </c>
      <c r="GQ849" s="2132">
        <v>39.6</v>
      </c>
      <c r="GR849" s="2132">
        <v>39.6</v>
      </c>
      <c r="GS849" s="2132">
        <v>39.6</v>
      </c>
      <c r="GT849" s="2132">
        <v>38.22</v>
      </c>
      <c r="GU849" s="2132">
        <v>38.22</v>
      </c>
      <c r="GV849" s="2132">
        <v>38.369999999999997</v>
      </c>
      <c r="GW849" s="2132">
        <v>224.07</v>
      </c>
      <c r="GX849" s="2132">
        <v>224.07</v>
      </c>
      <c r="GY849" s="2132"/>
      <c r="GZ849" s="2132"/>
      <c r="HA849" s="2132">
        <v>30.77</v>
      </c>
      <c r="HB849" s="2132">
        <v>30.77</v>
      </c>
      <c r="HC849" s="2132">
        <v>25.01</v>
      </c>
      <c r="HD849" s="2132">
        <v>25.01</v>
      </c>
      <c r="HE849" s="2132">
        <v>25.56</v>
      </c>
      <c r="HF849" s="2132">
        <v>25.56</v>
      </c>
      <c r="HG849" s="2132">
        <v>25.56</v>
      </c>
      <c r="HH849" s="2132">
        <v>25.56</v>
      </c>
      <c r="HI849" s="2132">
        <v>25.56</v>
      </c>
      <c r="HJ849" s="2132">
        <v>25.56</v>
      </c>
      <c r="HK849" s="2132">
        <v>25.66</v>
      </c>
      <c r="HL849" s="2132">
        <v>25.77</v>
      </c>
      <c r="HM849" s="2132">
        <v>43.13</v>
      </c>
      <c r="HN849" s="2132">
        <v>43.13</v>
      </c>
      <c r="HO849" s="2132">
        <v>35.33</v>
      </c>
      <c r="HP849" s="2132">
        <v>35.33</v>
      </c>
      <c r="HQ849" s="2132">
        <v>36.119999999999997</v>
      </c>
      <c r="HR849" s="2132">
        <v>36.119999999999997</v>
      </c>
      <c r="HS849" s="2132">
        <v>36.119999999999997</v>
      </c>
      <c r="HT849" s="2132">
        <v>36.119999999999997</v>
      </c>
      <c r="HU849" s="2132">
        <v>36.119999999999997</v>
      </c>
      <c r="HV849" s="2132">
        <v>36.119999999999997</v>
      </c>
      <c r="HW849" s="2132">
        <v>36.200000000000003</v>
      </c>
      <c r="HX849" s="2134">
        <v>36.200000000000003</v>
      </c>
    </row>
    <row r="850" spans="1:232" s="2123" customFormat="1" ht="14" hidden="1" x14ac:dyDescent="0.3">
      <c r="A850" s="2040"/>
      <c r="B850" s="2040"/>
    </row>
    <row r="851" spans="1:232" s="892" customFormat="1" ht="14" hidden="1" x14ac:dyDescent="0.3"/>
    <row r="852" spans="1:232" s="892" customFormat="1" ht="14" hidden="1" x14ac:dyDescent="0.3"/>
    <row r="853" spans="1:232" s="892" customFormat="1" ht="14" hidden="1" x14ac:dyDescent="0.3"/>
    <row r="854" spans="1:232" s="892" customFormat="1" ht="14" hidden="1" x14ac:dyDescent="0.3"/>
    <row r="855" spans="1:232" s="892" customFormat="1" ht="14" hidden="1" x14ac:dyDescent="0.3"/>
    <row r="856" spans="1:232" s="892" customFormat="1" ht="14" hidden="1" x14ac:dyDescent="0.3"/>
    <row r="857" spans="1:232" s="892" customFormat="1" ht="14" hidden="1" x14ac:dyDescent="0.3"/>
    <row r="858" spans="1:232" s="892" customFormat="1" ht="14" hidden="1" x14ac:dyDescent="0.3"/>
    <row r="859" spans="1:232" s="892" customFormat="1" ht="14" hidden="1" x14ac:dyDescent="0.3"/>
    <row r="860" spans="1:232" s="892" customFormat="1" ht="14" hidden="1" x14ac:dyDescent="0.3"/>
    <row r="861" spans="1:232" s="892" customFormat="1" ht="14" hidden="1" x14ac:dyDescent="0.3"/>
    <row r="862" spans="1:232" s="892" customFormat="1" ht="14" hidden="1" x14ac:dyDescent="0.3"/>
    <row r="863" spans="1:232" s="892" customFormat="1" ht="14" hidden="1" x14ac:dyDescent="0.3"/>
    <row r="864" spans="1:232" s="892" customFormat="1" ht="14" hidden="1" x14ac:dyDescent="0.3"/>
    <row r="865" s="892" customFormat="1" ht="14" hidden="1" x14ac:dyDescent="0.3"/>
    <row r="866" s="892" customFormat="1" ht="14" hidden="1" x14ac:dyDescent="0.3"/>
    <row r="867" s="892" customFormat="1" ht="14" hidden="1" x14ac:dyDescent="0.3"/>
    <row r="868" s="892" customFormat="1" ht="14" hidden="1" x14ac:dyDescent="0.3"/>
    <row r="869" s="892" customFormat="1" ht="14" hidden="1" x14ac:dyDescent="0.3"/>
    <row r="870" s="892" customFormat="1" ht="14" hidden="1" x14ac:dyDescent="0.3"/>
    <row r="871" s="892" customFormat="1" ht="14" hidden="1" x14ac:dyDescent="0.3"/>
    <row r="872" s="892" customFormat="1" ht="14" hidden="1" x14ac:dyDescent="0.3"/>
    <row r="873" s="892" customFormat="1" ht="14" hidden="1" x14ac:dyDescent="0.3"/>
    <row r="874" s="892" customFormat="1" ht="14" hidden="1" x14ac:dyDescent="0.3"/>
    <row r="875" s="892" customFormat="1" ht="14" hidden="1" x14ac:dyDescent="0.3"/>
    <row r="876" s="892" customFormat="1" ht="14" hidden="1" x14ac:dyDescent="0.3"/>
    <row r="877" s="892" customFormat="1" ht="14" hidden="1" x14ac:dyDescent="0.3"/>
    <row r="878" s="892" customFormat="1" ht="14" hidden="1" x14ac:dyDescent="0.3"/>
    <row r="879" s="892" customFormat="1" ht="14" hidden="1" x14ac:dyDescent="0.3"/>
    <row r="880" s="892" customFormat="1" ht="14" hidden="1" x14ac:dyDescent="0.3"/>
    <row r="881" s="892" customFormat="1" ht="14" hidden="1" x14ac:dyDescent="0.3"/>
    <row r="882" s="892" customFormat="1" ht="14" hidden="1" x14ac:dyDescent="0.3"/>
    <row r="883" s="892" customFormat="1" ht="14" hidden="1" x14ac:dyDescent="0.3"/>
    <row r="884" s="892" customFormat="1" ht="14" hidden="1" x14ac:dyDescent="0.3"/>
    <row r="885" s="892" customFormat="1" ht="14" hidden="1" x14ac:dyDescent="0.3"/>
    <row r="886" s="892" customFormat="1" ht="14" hidden="1" x14ac:dyDescent="0.3"/>
    <row r="887" s="892" customFormat="1" ht="14" hidden="1" x14ac:dyDescent="0.3"/>
    <row r="888" s="892" customFormat="1" ht="14" hidden="1" x14ac:dyDescent="0.3"/>
    <row r="889" s="892" customFormat="1" ht="14" hidden="1" x14ac:dyDescent="0.3"/>
    <row r="890" s="892" customFormat="1" ht="14" hidden="1" x14ac:dyDescent="0.3"/>
    <row r="891" s="892" customFormat="1" ht="14" hidden="1" x14ac:dyDescent="0.3"/>
    <row r="892" s="892" customFormat="1" ht="14" hidden="1" x14ac:dyDescent="0.3"/>
    <row r="893" s="892" customFormat="1" ht="14" hidden="1" x14ac:dyDescent="0.3"/>
    <row r="894" s="892" customFormat="1" ht="14" hidden="1" x14ac:dyDescent="0.3"/>
    <row r="895" s="892" customFormat="1" ht="14" hidden="1" x14ac:dyDescent="0.3"/>
    <row r="896" s="892" customFormat="1" ht="14" hidden="1" x14ac:dyDescent="0.3"/>
    <row r="897" s="892" customFormat="1" ht="14" hidden="1" x14ac:dyDescent="0.3"/>
    <row r="898" s="892" customFormat="1" ht="14" hidden="1" x14ac:dyDescent="0.3"/>
    <row r="899" s="892" customFormat="1" ht="14" hidden="1" x14ac:dyDescent="0.3"/>
    <row r="900" s="892" customFormat="1" ht="14" hidden="1" x14ac:dyDescent="0.3"/>
    <row r="901" s="892" customFormat="1" ht="14" hidden="1" x14ac:dyDescent="0.3"/>
    <row r="902" s="892" customFormat="1" ht="14" hidden="1" x14ac:dyDescent="0.3"/>
    <row r="903" s="892" customFormat="1" ht="14" hidden="1" x14ac:dyDescent="0.3"/>
    <row r="904" s="892" customFormat="1" ht="14" hidden="1" x14ac:dyDescent="0.3"/>
    <row r="905" s="892" customFormat="1" ht="14" hidden="1" x14ac:dyDescent="0.3"/>
    <row r="906" s="892" customFormat="1" ht="14" hidden="1" x14ac:dyDescent="0.3"/>
    <row r="907" s="892" customFormat="1" ht="14" hidden="1" x14ac:dyDescent="0.3"/>
    <row r="908" s="892" customFormat="1" ht="14" hidden="1" x14ac:dyDescent="0.3"/>
    <row r="909" s="892" customFormat="1" ht="14" hidden="1" x14ac:dyDescent="0.3"/>
    <row r="910" s="892" customFormat="1" ht="14" hidden="1" x14ac:dyDescent="0.3"/>
    <row r="911" s="892" customFormat="1" ht="14" hidden="1" x14ac:dyDescent="0.3"/>
    <row r="912" s="892" customFormat="1" ht="14" hidden="1" x14ac:dyDescent="0.3"/>
    <row r="913" s="892" customFormat="1" ht="14" hidden="1" x14ac:dyDescent="0.3"/>
    <row r="914" s="892" customFormat="1" ht="14" hidden="1" x14ac:dyDescent="0.3"/>
    <row r="915" s="892" customFormat="1" ht="14" hidden="1" x14ac:dyDescent="0.3"/>
    <row r="916" s="892" customFormat="1" ht="14" hidden="1" x14ac:dyDescent="0.3"/>
    <row r="917" s="892" customFormat="1" ht="14" hidden="1" x14ac:dyDescent="0.3"/>
    <row r="918" s="892" customFormat="1" ht="14" hidden="1" x14ac:dyDescent="0.3"/>
    <row r="919" s="892" customFormat="1" ht="14" hidden="1" x14ac:dyDescent="0.3"/>
    <row r="920" s="892" customFormat="1" ht="14" hidden="1" x14ac:dyDescent="0.3"/>
    <row r="921" s="892" customFormat="1" ht="14" hidden="1" x14ac:dyDescent="0.3"/>
    <row r="922" s="892" customFormat="1" ht="14" hidden="1" x14ac:dyDescent="0.3"/>
    <row r="923" s="892" customFormat="1" ht="14" hidden="1" x14ac:dyDescent="0.3"/>
    <row r="924" s="892" customFormat="1" ht="14" hidden="1" x14ac:dyDescent="0.3"/>
    <row r="925" s="892" customFormat="1" ht="14" hidden="1" x14ac:dyDescent="0.3"/>
    <row r="926" s="892" customFormat="1" ht="14" hidden="1" x14ac:dyDescent="0.3"/>
    <row r="927" s="892" customFormat="1" ht="14" hidden="1" x14ac:dyDescent="0.3"/>
    <row r="928" s="892" customFormat="1" ht="14" hidden="1" x14ac:dyDescent="0.3"/>
    <row r="929" s="892" customFormat="1" ht="14" hidden="1" x14ac:dyDescent="0.3"/>
    <row r="930" s="892" customFormat="1" ht="14" hidden="1" x14ac:dyDescent="0.3"/>
    <row r="931" s="892" customFormat="1" ht="14" x14ac:dyDescent="0.3"/>
    <row r="932" s="892" customFormat="1" ht="14" x14ac:dyDescent="0.3"/>
    <row r="933" s="892" customFormat="1" ht="14" x14ac:dyDescent="0.3"/>
    <row r="934" s="892" customFormat="1" ht="14" x14ac:dyDescent="0.3"/>
    <row r="935" s="892" customFormat="1" ht="14" x14ac:dyDescent="0.3"/>
    <row r="936" s="892" customFormat="1" ht="14" x14ac:dyDescent="0.3"/>
    <row r="937" s="892" customFormat="1" ht="14" x14ac:dyDescent="0.3"/>
    <row r="938" s="892" customFormat="1" ht="14" x14ac:dyDescent="0.3"/>
    <row r="939" s="892" customFormat="1" ht="14" x14ac:dyDescent="0.3"/>
    <row r="940" s="892" customFormat="1" ht="14" x14ac:dyDescent="0.3"/>
    <row r="941" s="892" customFormat="1" ht="14" x14ac:dyDescent="0.3"/>
    <row r="942" s="892" customFormat="1" ht="14" x14ac:dyDescent="0.3"/>
    <row r="943" s="892" customFormat="1" ht="14" x14ac:dyDescent="0.3"/>
    <row r="944" s="892" customFormat="1" ht="14" x14ac:dyDescent="0.3"/>
    <row r="945" s="892" customFormat="1" ht="14" x14ac:dyDescent="0.3"/>
    <row r="946" s="892" customFormat="1" ht="14" x14ac:dyDescent="0.3"/>
    <row r="947" s="892" customFormat="1" ht="14" x14ac:dyDescent="0.3"/>
    <row r="948" s="892" customFormat="1" ht="14" x14ac:dyDescent="0.3"/>
  </sheetData>
  <sheetProtection algorithmName="SHA-512" hashValue="b1HdADivosi/m2ormwonq9ocwwCKjLenKnRJnu0KlvGlOcIrk2oAjMx5BvT7u6vwln6v/js6JKqFXBx9gKWgVA==" saltValue="mwHCcUfR+mJ948tGpwug8w==" spinCount="100000" sheet="1" objects="1" scenarios="1"/>
  <dataConsolidate/>
  <mergeCells count="106">
    <mergeCell ref="E63:F63"/>
    <mergeCell ref="G63:H63"/>
    <mergeCell ref="I62:J62"/>
    <mergeCell ref="I63:J63"/>
    <mergeCell ref="E62:F62"/>
    <mergeCell ref="G70:H70"/>
    <mergeCell ref="C77:D77"/>
    <mergeCell ref="C75:D75"/>
    <mergeCell ref="G68:H68"/>
    <mergeCell ref="G62:H62"/>
    <mergeCell ref="E66:F66"/>
    <mergeCell ref="G66:H66"/>
    <mergeCell ref="E68:F68"/>
    <mergeCell ref="B636:C636"/>
    <mergeCell ref="E636:G636"/>
    <mergeCell ref="L578:M578"/>
    <mergeCell ref="L579:M579"/>
    <mergeCell ref="D572:G572"/>
    <mergeCell ref="J572:M572"/>
    <mergeCell ref="B576:B577"/>
    <mergeCell ref="C576:C577"/>
    <mergeCell ref="D576:D577"/>
    <mergeCell ref="E576:H576"/>
    <mergeCell ref="I576:K576"/>
    <mergeCell ref="L576:M576"/>
    <mergeCell ref="F15:G15"/>
    <mergeCell ref="F38:G38"/>
    <mergeCell ref="H38:I38"/>
    <mergeCell ref="D39:E39"/>
    <mergeCell ref="F39:G39"/>
    <mergeCell ref="H39:I39"/>
    <mergeCell ref="H40:I40"/>
    <mergeCell ref="F41:G41"/>
    <mergeCell ref="H41:I41"/>
    <mergeCell ref="B2:I3"/>
    <mergeCell ref="B4:I4"/>
    <mergeCell ref="D11:F11"/>
    <mergeCell ref="D13:F13"/>
    <mergeCell ref="D37:E37"/>
    <mergeCell ref="F37:G37"/>
    <mergeCell ref="F47:F48"/>
    <mergeCell ref="G47:G48"/>
    <mergeCell ref="D41:E41"/>
    <mergeCell ref="H15:I15"/>
    <mergeCell ref="D38:E38"/>
    <mergeCell ref="B5:I5"/>
    <mergeCell ref="B6:I6"/>
    <mergeCell ref="B7:I7"/>
    <mergeCell ref="B8:I8"/>
    <mergeCell ref="F31:G31"/>
    <mergeCell ref="F33:G33"/>
    <mergeCell ref="F35:G35"/>
    <mergeCell ref="D31:E31"/>
    <mergeCell ref="H37:I37"/>
    <mergeCell ref="H43:I43"/>
    <mergeCell ref="H47:H48"/>
    <mergeCell ref="H44:I44"/>
    <mergeCell ref="D44:E44"/>
    <mergeCell ref="H111:H112"/>
    <mergeCell ref="J111:J112"/>
    <mergeCell ref="C82:E82"/>
    <mergeCell ref="H50:I51"/>
    <mergeCell ref="D40:E40"/>
    <mergeCell ref="F40:G40"/>
    <mergeCell ref="D43:E43"/>
    <mergeCell ref="F43:G43"/>
    <mergeCell ref="B43:B44"/>
    <mergeCell ref="E50:F50"/>
    <mergeCell ref="C49:D49"/>
    <mergeCell ref="G49:I49"/>
    <mergeCell ref="F44:G44"/>
    <mergeCell ref="D42:E42"/>
    <mergeCell ref="F42:G42"/>
    <mergeCell ref="H42:I42"/>
    <mergeCell ref="B83:B84"/>
    <mergeCell ref="B88:I90"/>
    <mergeCell ref="B111:C111"/>
    <mergeCell ref="E53:F53"/>
    <mergeCell ref="E54:F54"/>
    <mergeCell ref="E55:F55"/>
    <mergeCell ref="E58:F58"/>
    <mergeCell ref="E59:F59"/>
    <mergeCell ref="C184:F184"/>
    <mergeCell ref="C186:F186"/>
    <mergeCell ref="C188:F188"/>
    <mergeCell ref="C198:F198"/>
    <mergeCell ref="T253:U253"/>
    <mergeCell ref="F73:G73"/>
    <mergeCell ref="C192:F192"/>
    <mergeCell ref="C194:F194"/>
    <mergeCell ref="C196:F196"/>
    <mergeCell ref="C190:F190"/>
    <mergeCell ref="C179:F179"/>
    <mergeCell ref="C182:F182"/>
    <mergeCell ref="F102:G102"/>
    <mergeCell ref="F107:G107"/>
    <mergeCell ref="I111:I112"/>
    <mergeCell ref="C73:D73"/>
    <mergeCell ref="C79:D79"/>
    <mergeCell ref="F82:G82"/>
    <mergeCell ref="K111:K112"/>
    <mergeCell ref="L111:L112"/>
    <mergeCell ref="D111:D112"/>
    <mergeCell ref="E111:E112"/>
    <mergeCell ref="F111:F112"/>
    <mergeCell ref="G111:G112"/>
  </mergeCells>
  <conditionalFormatting sqref="K137">
    <cfRule type="cellIs" dxfId="116" priority="87" operator="lessThan">
      <formula>0</formula>
    </cfRule>
    <cfRule type="cellIs" dxfId="115" priority="88" operator="greaterThan">
      <formula>0</formula>
    </cfRule>
  </conditionalFormatting>
  <conditionalFormatting sqref="K143:K146">
    <cfRule type="cellIs" dxfId="114" priority="49" operator="greaterThan">
      <formula>0</formula>
    </cfRule>
    <cfRule type="cellIs" dxfId="113" priority="50" operator="lessThan">
      <formula>0</formula>
    </cfRule>
    <cfRule type="cellIs" priority="51" operator="lessThan">
      <formula>0</formula>
    </cfRule>
  </conditionalFormatting>
  <conditionalFormatting sqref="H73">
    <cfRule type="expression" dxfId="112" priority="44">
      <formula>$U$255=3</formula>
    </cfRule>
  </conditionalFormatting>
  <dataValidations count="19">
    <dataValidation type="list" allowBlank="1" showInputMessage="1" showErrorMessage="1" sqref="D15" xr:uid="{00000000-0002-0000-0900-000001000000}">
      <formula1>State</formula1>
    </dataValidation>
    <dataValidation type="list" allowBlank="1" showInputMessage="1" showErrorMessage="1" sqref="E50:F50" xr:uid="{00000000-0002-0000-0900-000002000000}">
      <formula1>Fertiliser</formula1>
    </dataValidation>
    <dataValidation type="list" allowBlank="1" showInputMessage="1" showErrorMessage="1" sqref="G62:H62" xr:uid="{00000000-0002-0000-0900-000003000000}">
      <formula1>$E$583:$E$584</formula1>
    </dataValidation>
    <dataValidation type="list" allowBlank="1" showInputMessage="1" showErrorMessage="1" sqref="F82:G82" xr:uid="{00000000-0002-0000-0900-000006000000}">
      <formula1>Waste.Management</formula1>
    </dataValidation>
    <dataValidation type="list" allowBlank="1" showInputMessage="1" showErrorMessage="1" sqref="F102" xr:uid="{00000000-0002-0000-0900-000007000000}">
      <formula1>Milkers_Feedpad_Waste</formula1>
    </dataValidation>
    <dataValidation type="list" allowBlank="1" showInputMessage="1" showErrorMessage="1" sqref="F107" xr:uid="{00000000-0002-0000-0900-000008000000}">
      <formula1>Heifers_Feedpad_Waste</formula1>
    </dataValidation>
    <dataValidation type="list" allowBlank="1" showInputMessage="1" showErrorMessage="1" sqref="C73:D73" xr:uid="{CCD84A5E-44A3-4EE2-A9C9-C1C6F8C7E4AD}">
      <formula1>Tree_Sequestration</formula1>
    </dataValidation>
    <dataValidation type="whole" allowBlank="1" showInputMessage="1" showErrorMessage="1" error="If the herd's average lactation length is greater than 365 days, you must put 365 here as the assessment is only for a 12 month period" sqref="D35" xr:uid="{00000000-0002-0000-0900-00000A000000}">
      <formula1>1</formula1>
      <formula2>365</formula2>
    </dataValidation>
    <dataValidation type="list" allowBlank="1" showInputMessage="1" showErrorMessage="1" sqref="D31:E31" xr:uid="{00000000-0002-0000-0900-00000B000000}">
      <formula1>Milk.production</formula1>
    </dataValidation>
    <dataValidation type="decimal" allowBlank="1" showInputMessage="1" showErrorMessage="1" sqref="D38:E43" xr:uid="{00000000-0002-0000-0900-00000C000000}">
      <formula1>0</formula1>
      <formula2>30</formula2>
    </dataValidation>
    <dataValidation type="decimal" allowBlank="1" showInputMessage="1" showErrorMessage="1" sqref="F37:G43" xr:uid="{00000000-0002-0000-0900-00000D000000}">
      <formula1>0</formula1>
      <formula2>95</formula2>
    </dataValidation>
    <dataValidation type="decimal" allowBlank="1" showInputMessage="1" showErrorMessage="1" sqref="H38:I43" xr:uid="{00000000-0002-0000-0900-00000E000000}">
      <formula1>0</formula1>
      <formula2>50</formula2>
    </dataValidation>
    <dataValidation type="list" allowBlank="1" showInputMessage="1" showErrorMessage="1" sqref="G98" xr:uid="{00000000-0002-0000-0900-00000F000000}">
      <formula1>Pre_treat</formula1>
    </dataValidation>
    <dataValidation type="list" allowBlank="1" showInputMessage="1" showErrorMessage="1" sqref="C75:D75" xr:uid="{52493F65-970B-4A9B-B410-F45CE3C870E9}">
      <formula1>INDIRECT(D15)</formula1>
    </dataValidation>
    <dataValidation type="whole" allowBlank="1" showInputMessage="1" showErrorMessage="1" sqref="I79" xr:uid="{8C4F5641-67F8-4A85-8DC2-2505D42C3A34}">
      <formula1>1</formula1>
      <formula2>100</formula2>
    </dataValidation>
    <dataValidation type="list" allowBlank="1" showInputMessage="1" showErrorMessage="1" sqref="C77:D77" xr:uid="{BA16EE76-E95F-4992-8D9B-36A0392F8E18}">
      <formula1>OFFSET($C$666,MATCH($C$638,$C$667:$C$684,0),5,COUNTIF($C$667:$C$684,$C$638),6)</formula1>
    </dataValidation>
    <dataValidation type="list" allowBlank="1" showInputMessage="1" showErrorMessage="1" sqref="C79:D79" xr:uid="{E4F67895-CCA7-4543-8F87-CE4EF7B36466}">
      <formula1>OFFSET($C$666,MATCH($C$638,$C$667:$C$684,0),2,COUNTIF($C$667:$C$684,$C$638),2)</formula1>
    </dataValidation>
    <dataValidation type="list" allowBlank="1" showInputMessage="1" showErrorMessage="1" sqref="H15:I15" xr:uid="{91A1636B-DEAE-4A4C-8211-9EDCACC98A02}">
      <formula1>$L$237:$L$253</formula1>
    </dataValidation>
    <dataValidation type="list" allowBlank="1" showInputMessage="1" showErrorMessage="1" sqref="K17" xr:uid="{2FF423E6-AAD3-4A28-9294-E10D9D3294EC}">
      <formula1>$L$256:$L$257</formula1>
    </dataValidation>
  </dataValidations>
  <hyperlinks>
    <hyperlink ref="B43:B44" location="'Feed quality table'!A1" display="Click here to go to the feed quality table" xr:uid="{00000000-0004-0000-0900-000000000000}"/>
    <hyperlink ref="H50:I51" location="'Fertiliser rates'!A1" display="Click here to work out fertiliser rates" xr:uid="{00000000-0004-0000-0900-000001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034" r:id="rId4" name="Spinner 122">
              <controlPr defaultSize="0" autoPict="0">
                <anchor moveWithCells="1" sizeWithCells="1">
                  <from>
                    <xdr:col>6</xdr:col>
                    <xdr:colOff>1327150</xdr:colOff>
                    <xdr:row>180</xdr:row>
                    <xdr:rowOff>31750</xdr:rowOff>
                  </from>
                  <to>
                    <xdr:col>6</xdr:col>
                    <xdr:colOff>1803400</xdr:colOff>
                    <xdr:row>182</xdr:row>
                    <xdr:rowOff>12700</xdr:rowOff>
                  </to>
                </anchor>
              </controlPr>
            </control>
          </mc:Choice>
        </mc:AlternateContent>
        <mc:AlternateContent xmlns:mc="http://schemas.openxmlformats.org/markup-compatibility/2006">
          <mc:Choice Requires="x14">
            <control shapeId="39035" r:id="rId5" name="Spinner 123">
              <controlPr defaultSize="0" autoPict="0">
                <anchor moveWithCells="1" sizeWithCells="1">
                  <from>
                    <xdr:col>6</xdr:col>
                    <xdr:colOff>1327150</xdr:colOff>
                    <xdr:row>183</xdr:row>
                    <xdr:rowOff>12700</xdr:rowOff>
                  </from>
                  <to>
                    <xdr:col>6</xdr:col>
                    <xdr:colOff>1803400</xdr:colOff>
                    <xdr:row>183</xdr:row>
                    <xdr:rowOff>279400</xdr:rowOff>
                  </to>
                </anchor>
              </controlPr>
            </control>
          </mc:Choice>
        </mc:AlternateContent>
        <mc:AlternateContent xmlns:mc="http://schemas.openxmlformats.org/markup-compatibility/2006">
          <mc:Choice Requires="x14">
            <control shapeId="39036" r:id="rId6" name="Spinner 124">
              <controlPr defaultSize="0" autoPict="0">
                <anchor moveWithCells="1" sizeWithCells="1">
                  <from>
                    <xdr:col>6</xdr:col>
                    <xdr:colOff>1327150</xdr:colOff>
                    <xdr:row>185</xdr:row>
                    <xdr:rowOff>12700</xdr:rowOff>
                  </from>
                  <to>
                    <xdr:col>6</xdr:col>
                    <xdr:colOff>1790700</xdr:colOff>
                    <xdr:row>185</xdr:row>
                    <xdr:rowOff>266700</xdr:rowOff>
                  </to>
                </anchor>
              </controlPr>
            </control>
          </mc:Choice>
        </mc:AlternateContent>
        <mc:AlternateContent xmlns:mc="http://schemas.openxmlformats.org/markup-compatibility/2006">
          <mc:Choice Requires="x14">
            <control shapeId="39037" r:id="rId7" name="Spinner 125">
              <controlPr defaultSize="0" autoPict="0">
                <anchor moveWithCells="1" sizeWithCells="1">
                  <from>
                    <xdr:col>6</xdr:col>
                    <xdr:colOff>1327150</xdr:colOff>
                    <xdr:row>187</xdr:row>
                    <xdr:rowOff>12700</xdr:rowOff>
                  </from>
                  <to>
                    <xdr:col>6</xdr:col>
                    <xdr:colOff>1790700</xdr:colOff>
                    <xdr:row>188</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234" operator="equal" id="{9C3C8F56-BC4E-45FF-B8F2-3B76A6C07880}">
            <xm:f>'Baseline farm'!D11</xm:f>
            <x14:dxf/>
          </x14:cfRule>
          <x14:cfRule type="cellIs" priority="241" operator="notEqual" id="{6EA94C1F-0FBC-4E43-A48B-464D5183A84F}">
            <xm:f>'Baseline farm'!D11</xm:f>
            <x14:dxf>
              <font>
                <b/>
                <i val="0"/>
                <color theme="0"/>
              </font>
              <fill>
                <patternFill>
                  <bgColor rgb="FFFF0000"/>
                </patternFill>
              </fill>
            </x14:dxf>
          </x14:cfRule>
          <xm:sqref>D11:F11 D13:F13 H13</xm:sqref>
        </x14:conditionalFormatting>
        <x14:conditionalFormatting xmlns:xm="http://schemas.microsoft.com/office/excel/2006/main">
          <x14:cfRule type="cellIs" priority="233" operator="equal" id="{89BEEF9F-D57D-44E3-8D5A-3995AADBB33E}">
            <xm:f>'Baseline farm'!H11</xm:f>
            <x14:dxf/>
          </x14:cfRule>
          <x14:cfRule type="cellIs" priority="237" operator="notEqual" id="{794D3117-1EF9-40D7-83BF-1B19ADCA0CD8}">
            <xm:f>'Baseline farm'!$H$11</xm:f>
            <x14:dxf>
              <font>
                <b/>
                <i val="0"/>
                <color rgb="FFFF0000"/>
              </font>
              <fill>
                <patternFill>
                  <bgColor theme="0" tint="-0.14996795556505021"/>
                </patternFill>
              </fill>
            </x14:dxf>
          </x14:cfRule>
          <xm:sqref>H11</xm:sqref>
        </x14:conditionalFormatting>
        <x14:conditionalFormatting xmlns:xm="http://schemas.microsoft.com/office/excel/2006/main">
          <x14:cfRule type="cellIs" priority="229" operator="notEqual" id="{94788983-D410-4905-A3CB-784F1F0FB0CA}">
            <xm:f>'Baseline farm'!$D$15</xm:f>
            <x14:dxf>
              <font>
                <b/>
                <i val="0"/>
                <color theme="0"/>
              </font>
              <fill>
                <patternFill>
                  <bgColor rgb="FFFF0000"/>
                </patternFill>
              </fill>
            </x14:dxf>
          </x14:cfRule>
          <x14:cfRule type="cellIs" priority="230" operator="equal" id="{7427BB03-F031-4139-977D-1902D6ACDBC7}">
            <xm:f>'Baseline farm'!$D$15</xm:f>
            <x14:dxf/>
          </x14:cfRule>
          <xm:sqref>D15</xm:sqref>
        </x14:conditionalFormatting>
        <x14:conditionalFormatting xmlns:xm="http://schemas.microsoft.com/office/excel/2006/main">
          <x14:cfRule type="cellIs" priority="117" operator="notEqual" id="{9239D202-6A65-41EF-BC9C-7824499B4EA7}">
            <xm:f>'Baseline farm'!$D$19</xm:f>
            <x14:dxf>
              <font>
                <b/>
                <i val="0"/>
                <color theme="0"/>
              </font>
              <fill>
                <patternFill>
                  <bgColor rgb="FFFF0000"/>
                </patternFill>
              </fill>
            </x14:dxf>
          </x14:cfRule>
          <x14:cfRule type="cellIs" priority="225" operator="notEqual" id="{990E7605-A803-41DC-AF5A-17E7AB420D4A}">
            <xm:f>'Baseline farm'!$D$19</xm:f>
            <x14:dxf>
              <font>
                <b/>
                <i val="0"/>
                <color theme="0"/>
              </font>
              <fill>
                <patternFill>
                  <bgColor rgb="FFFF0000"/>
                </patternFill>
              </fill>
            </x14:dxf>
          </x14:cfRule>
          <xm:sqref>D19</xm:sqref>
        </x14:conditionalFormatting>
        <x14:conditionalFormatting xmlns:xm="http://schemas.microsoft.com/office/excel/2006/main">
          <x14:cfRule type="cellIs" priority="114" operator="notEqual" id="{0C4BD277-F43D-4761-A688-5F64DBED2821}">
            <xm:f>'Baseline farm'!$G$19</xm:f>
            <x14:dxf>
              <font>
                <b/>
                <i val="0"/>
                <color theme="0"/>
              </font>
              <fill>
                <patternFill>
                  <bgColor rgb="FFFF0000"/>
                </patternFill>
              </fill>
            </x14:dxf>
          </x14:cfRule>
          <x14:cfRule type="cellIs" priority="215" operator="notEqual" id="{784596E2-324A-40B3-892B-1602493C2FAE}">
            <xm:f>'Baseline farm'!$G$19</xm:f>
            <x14:dxf>
              <font>
                <b/>
                <i val="0"/>
                <color theme="0"/>
              </font>
              <fill>
                <patternFill>
                  <bgColor rgb="FFFF0000"/>
                </patternFill>
              </fill>
            </x14:dxf>
          </x14:cfRule>
          <xm:sqref>G19</xm:sqref>
        </x14:conditionalFormatting>
        <x14:conditionalFormatting xmlns:xm="http://schemas.microsoft.com/office/excel/2006/main">
          <x14:cfRule type="cellIs" priority="111" operator="notEqual" id="{D81EA63D-D41A-4AC1-A1DD-BEE3655B4746}">
            <xm:f>'Baseline farm'!$D$21</xm:f>
            <x14:dxf>
              <font>
                <b/>
                <i val="0"/>
                <color theme="0"/>
              </font>
              <fill>
                <patternFill>
                  <bgColor rgb="FFFF0000"/>
                </patternFill>
              </fill>
            </x14:dxf>
          </x14:cfRule>
          <x14:cfRule type="cellIs" priority="211" operator="notEqual" id="{5BA0CC23-49DB-4FD8-BEE2-8B06142B6324}">
            <xm:f>'Baseline farm'!$D$21</xm:f>
            <x14:dxf>
              <font>
                <b/>
                <i val="0"/>
                <color theme="0"/>
              </font>
              <fill>
                <patternFill>
                  <bgColor rgb="FFFF0000"/>
                </patternFill>
              </fill>
            </x14:dxf>
          </x14:cfRule>
          <xm:sqref>D21</xm:sqref>
        </x14:conditionalFormatting>
        <x14:conditionalFormatting xmlns:xm="http://schemas.microsoft.com/office/excel/2006/main">
          <x14:cfRule type="cellIs" priority="110" operator="notEqual" id="{5449FF19-B78F-46F9-AAFC-2535C0387050}">
            <xm:f>'Baseline farm'!$E$21</xm:f>
            <x14:dxf>
              <font>
                <b/>
                <i val="0"/>
                <color theme="0"/>
              </font>
              <fill>
                <patternFill>
                  <bgColor rgb="FFFF0000"/>
                </patternFill>
              </fill>
            </x14:dxf>
          </x14:cfRule>
          <x14:cfRule type="cellIs" priority="209" operator="notEqual" id="{7D4D05DA-D426-4BED-849F-83AB17ACD33F}">
            <xm:f>'Baseline farm'!$E$21</xm:f>
            <x14:dxf>
              <font>
                <b/>
                <i val="0"/>
                <color theme="0"/>
              </font>
              <fill>
                <patternFill>
                  <bgColor rgb="FFFF0000"/>
                </patternFill>
              </fill>
            </x14:dxf>
          </x14:cfRule>
          <xm:sqref>E21</xm:sqref>
        </x14:conditionalFormatting>
        <x14:conditionalFormatting xmlns:xm="http://schemas.microsoft.com/office/excel/2006/main">
          <x14:cfRule type="cellIs" priority="109" operator="notEqual" id="{EFF888A6-CEDB-4E5A-9318-67A51887F617}">
            <xm:f>'Baseline farm'!$F$21</xm:f>
            <x14:dxf>
              <font>
                <b/>
                <i val="0"/>
                <color theme="0"/>
              </font>
              <fill>
                <patternFill>
                  <bgColor rgb="FFFF0000"/>
                </patternFill>
              </fill>
            </x14:dxf>
          </x14:cfRule>
          <x14:cfRule type="cellIs" priority="207" operator="notEqual" id="{DE5B0501-3BB1-418F-BFF4-84C15DC6C6D2}">
            <xm:f>'Baseline farm'!$F$21</xm:f>
            <x14:dxf>
              <font>
                <b/>
                <i val="0"/>
                <color theme="0"/>
              </font>
              <fill>
                <patternFill>
                  <bgColor rgb="FFFF0000"/>
                </patternFill>
              </fill>
            </x14:dxf>
          </x14:cfRule>
          <xm:sqref>F21</xm:sqref>
        </x14:conditionalFormatting>
        <x14:conditionalFormatting xmlns:xm="http://schemas.microsoft.com/office/excel/2006/main">
          <x14:cfRule type="cellIs" priority="108" operator="notEqual" id="{5AC3F546-1A92-48F4-ADCC-D9D03B0698C4}">
            <xm:f>'Baseline farm'!$G$21</xm:f>
            <x14:dxf>
              <font>
                <b/>
                <i val="0"/>
                <color theme="0"/>
              </font>
              <fill>
                <patternFill>
                  <bgColor rgb="FFFF0000"/>
                </patternFill>
              </fill>
            </x14:dxf>
          </x14:cfRule>
          <x14:cfRule type="cellIs" priority="206" operator="notEqual" id="{3F293713-F9D4-4B84-A041-4614B6FB757A}">
            <xm:f>'Baseline farm'!$G$21</xm:f>
            <x14:dxf>
              <font>
                <b/>
                <i val="0"/>
                <color theme="0"/>
              </font>
              <fill>
                <patternFill>
                  <bgColor rgb="FFFF0000"/>
                </patternFill>
              </fill>
            </x14:dxf>
          </x14:cfRule>
          <xm:sqref>G21</xm:sqref>
        </x14:conditionalFormatting>
        <x14:conditionalFormatting xmlns:xm="http://schemas.microsoft.com/office/excel/2006/main">
          <x14:cfRule type="cellIs" priority="107" operator="notEqual" id="{6D754F81-CCB3-4979-B452-9554FE8F3B20}">
            <xm:f>'Baseline farm'!$H$21</xm:f>
            <x14:dxf>
              <font>
                <b/>
                <i val="0"/>
                <color theme="0"/>
              </font>
              <fill>
                <patternFill>
                  <bgColor rgb="FFFF0000"/>
                </patternFill>
              </fill>
            </x14:dxf>
          </x14:cfRule>
          <x14:cfRule type="cellIs" priority="205" operator="notEqual" id="{D6F482FD-74AF-4C37-885D-5F1F853C9A8C}">
            <xm:f>'Baseline farm'!$H$21</xm:f>
            <x14:dxf>
              <font>
                <b/>
                <i val="0"/>
                <color theme="0"/>
              </font>
              <fill>
                <patternFill>
                  <bgColor rgb="FFFF0000"/>
                </patternFill>
              </fill>
            </x14:dxf>
          </x14:cfRule>
          <xm:sqref>H21</xm:sqref>
        </x14:conditionalFormatting>
        <x14:conditionalFormatting xmlns:xm="http://schemas.microsoft.com/office/excel/2006/main">
          <x14:cfRule type="cellIs" priority="106" operator="notEqual" id="{7AA72AE9-94F5-46A6-94E2-6590BF3FCCF7}">
            <xm:f>'Baseline farm'!$E$23</xm:f>
            <x14:dxf>
              <font>
                <b/>
                <i val="0"/>
                <color theme="0"/>
              </font>
              <fill>
                <patternFill>
                  <bgColor rgb="FFFF0000"/>
                </patternFill>
              </fill>
            </x14:dxf>
          </x14:cfRule>
          <x14:cfRule type="cellIs" priority="204" operator="notEqual" id="{C6C2B960-A3EC-4534-9165-316B1F194401}">
            <xm:f>'Baseline farm'!$E$23</xm:f>
            <x14:dxf>
              <font>
                <b/>
                <i val="0"/>
                <color theme="0"/>
              </font>
              <fill>
                <patternFill>
                  <bgColor rgb="FFFF0000"/>
                </patternFill>
              </fill>
            </x14:dxf>
          </x14:cfRule>
          <xm:sqref>E23</xm:sqref>
        </x14:conditionalFormatting>
        <x14:conditionalFormatting xmlns:xm="http://schemas.microsoft.com/office/excel/2006/main">
          <x14:cfRule type="cellIs" priority="105" operator="notEqual" id="{D69DBC54-851E-4816-B620-B6141F51AEA8}">
            <xm:f>'Baseline farm'!$F$23</xm:f>
            <x14:dxf>
              <font>
                <b/>
                <i val="0"/>
                <color theme="0"/>
              </font>
              <fill>
                <patternFill>
                  <bgColor rgb="FFFF0000"/>
                </patternFill>
              </fill>
            </x14:dxf>
          </x14:cfRule>
          <x14:cfRule type="cellIs" priority="203" operator="notEqual" id="{89C3A81F-6AFB-4AD1-BAA9-267E16E9F885}">
            <xm:f>'Baseline farm'!$F$23</xm:f>
            <x14:dxf>
              <font>
                <b/>
                <i val="0"/>
                <color theme="0"/>
              </font>
              <fill>
                <patternFill>
                  <bgColor rgb="FFFF0000"/>
                </patternFill>
              </fill>
            </x14:dxf>
          </x14:cfRule>
          <xm:sqref>F23</xm:sqref>
        </x14:conditionalFormatting>
        <x14:conditionalFormatting xmlns:xm="http://schemas.microsoft.com/office/excel/2006/main">
          <x14:cfRule type="cellIs" priority="104" operator="notEqual" id="{62F192B0-DA77-45CE-860B-2C5F1CA00493}">
            <xm:f>'Baseline farm'!$H$23</xm:f>
            <x14:dxf>
              <font>
                <b/>
                <i val="0"/>
                <color theme="0"/>
              </font>
              <fill>
                <patternFill>
                  <bgColor rgb="FFFF0000"/>
                </patternFill>
              </fill>
            </x14:dxf>
          </x14:cfRule>
          <x14:cfRule type="cellIs" priority="202" operator="notEqual" id="{52E2BAB7-F7A8-429A-95ED-93114226A138}">
            <xm:f>'Baseline farm'!$H$23</xm:f>
            <x14:dxf>
              <font>
                <b/>
                <i val="0"/>
                <color theme="0"/>
              </font>
              <fill>
                <patternFill>
                  <bgColor rgb="FFFF0000"/>
                </patternFill>
              </fill>
            </x14:dxf>
          </x14:cfRule>
          <xm:sqref>H23</xm:sqref>
        </x14:conditionalFormatting>
        <x14:conditionalFormatting xmlns:xm="http://schemas.microsoft.com/office/excel/2006/main">
          <x14:cfRule type="cellIs" priority="201" operator="notEqual" id="{39D65CA7-812E-4ED4-854C-465C11751033}">
            <xm:f>'Baseline farm'!$D$38</xm:f>
            <x14:dxf>
              <font>
                <b/>
                <i val="0"/>
                <color theme="0"/>
              </font>
              <fill>
                <patternFill>
                  <bgColor rgb="FFFF0000"/>
                </patternFill>
              </fill>
            </x14:dxf>
          </x14:cfRule>
          <xm:sqref>D38:E38</xm:sqref>
        </x14:conditionalFormatting>
        <x14:conditionalFormatting xmlns:xm="http://schemas.microsoft.com/office/excel/2006/main">
          <x14:cfRule type="cellIs" priority="200" operator="notEqual" id="{03A14A8B-8E44-486A-8FE7-0575AF5BA46A}">
            <xm:f>'Baseline farm'!$F$38</xm:f>
            <x14:dxf>
              <font>
                <b/>
                <i val="0"/>
                <color theme="0"/>
              </font>
              <fill>
                <patternFill>
                  <bgColor rgb="FFFF0000"/>
                </patternFill>
              </fill>
            </x14:dxf>
          </x14:cfRule>
          <xm:sqref>F38:G38</xm:sqref>
        </x14:conditionalFormatting>
        <x14:conditionalFormatting xmlns:xm="http://schemas.microsoft.com/office/excel/2006/main">
          <x14:cfRule type="cellIs" priority="199" operator="notEqual" id="{D7FC6227-4D3D-4D69-BED0-F8FB10E346FC}">
            <xm:f>'Baseline farm'!$H$38</xm:f>
            <x14:dxf>
              <font>
                <b/>
                <i val="0"/>
                <color theme="0"/>
              </font>
              <fill>
                <patternFill>
                  <bgColor rgb="FFFF0000"/>
                </patternFill>
              </fill>
            </x14:dxf>
          </x14:cfRule>
          <xm:sqref>H38</xm:sqref>
        </x14:conditionalFormatting>
        <x14:conditionalFormatting xmlns:xm="http://schemas.microsoft.com/office/excel/2006/main">
          <x14:cfRule type="cellIs" priority="198" operator="notEqual" id="{C850AA0A-7483-4F7A-A914-C318CC5D3DC5}">
            <xm:f>'Baseline farm'!$D$39</xm:f>
            <x14:dxf>
              <font>
                <b/>
                <i val="0"/>
                <color theme="0"/>
              </font>
              <fill>
                <patternFill>
                  <bgColor rgb="FFFF0000"/>
                </patternFill>
              </fill>
            </x14:dxf>
          </x14:cfRule>
          <xm:sqref>D39:E39</xm:sqref>
        </x14:conditionalFormatting>
        <x14:conditionalFormatting xmlns:xm="http://schemas.microsoft.com/office/excel/2006/main">
          <x14:cfRule type="cellIs" priority="197" operator="notEqual" id="{F2C4B553-7404-40B0-A780-C093CCCA3623}">
            <xm:f>'Baseline farm'!$F$39</xm:f>
            <x14:dxf>
              <font>
                <b/>
                <i val="0"/>
                <color theme="0"/>
              </font>
              <fill>
                <patternFill>
                  <bgColor rgb="FFFF0000"/>
                </patternFill>
              </fill>
            </x14:dxf>
          </x14:cfRule>
          <xm:sqref>F39:G39</xm:sqref>
        </x14:conditionalFormatting>
        <x14:conditionalFormatting xmlns:xm="http://schemas.microsoft.com/office/excel/2006/main">
          <x14:cfRule type="cellIs" priority="196" operator="notEqual" id="{884508F8-6E7F-4795-AF11-AA5FA4E043A0}">
            <xm:f>'Baseline farm'!$H$39</xm:f>
            <x14:dxf>
              <font>
                <b/>
                <i val="0"/>
                <color theme="0"/>
              </font>
              <fill>
                <patternFill>
                  <bgColor rgb="FFFF0000"/>
                </patternFill>
              </fill>
            </x14:dxf>
          </x14:cfRule>
          <xm:sqref>H39:I39</xm:sqref>
        </x14:conditionalFormatting>
        <x14:conditionalFormatting xmlns:xm="http://schemas.microsoft.com/office/excel/2006/main">
          <x14:cfRule type="cellIs" priority="195" operator="notEqual" id="{2411E8B9-A059-46CD-9352-E4D7842275C1}">
            <xm:f>'Baseline farm'!$D$40</xm:f>
            <x14:dxf>
              <font>
                <b/>
                <i val="0"/>
                <color theme="0"/>
              </font>
              <fill>
                <patternFill>
                  <bgColor rgb="FFFF0000"/>
                </patternFill>
              </fill>
            </x14:dxf>
          </x14:cfRule>
          <xm:sqref>D40:E40</xm:sqref>
        </x14:conditionalFormatting>
        <x14:conditionalFormatting xmlns:xm="http://schemas.microsoft.com/office/excel/2006/main">
          <x14:cfRule type="cellIs" priority="194" operator="notEqual" id="{58860ACB-6E73-4BA9-B169-0C1970F6A66E}">
            <xm:f>'Baseline farm'!$F$40</xm:f>
            <x14:dxf>
              <font>
                <b/>
                <i val="0"/>
                <color theme="0"/>
              </font>
              <fill>
                <patternFill>
                  <bgColor rgb="FFFF0000"/>
                </patternFill>
              </fill>
            </x14:dxf>
          </x14:cfRule>
          <xm:sqref>F40:G40</xm:sqref>
        </x14:conditionalFormatting>
        <x14:conditionalFormatting xmlns:xm="http://schemas.microsoft.com/office/excel/2006/main">
          <x14:cfRule type="cellIs" priority="193" operator="notEqual" id="{FC9806A9-2FE8-4629-A8FA-FA3F7DFE2C5A}">
            <xm:f>'Baseline farm'!$H$40</xm:f>
            <x14:dxf>
              <font>
                <b/>
                <i val="0"/>
                <color theme="0"/>
              </font>
              <fill>
                <patternFill>
                  <bgColor rgb="FFFF0000"/>
                </patternFill>
              </fill>
            </x14:dxf>
          </x14:cfRule>
          <xm:sqref>H40:I40</xm:sqref>
        </x14:conditionalFormatting>
        <x14:conditionalFormatting xmlns:xm="http://schemas.microsoft.com/office/excel/2006/main">
          <x14:cfRule type="cellIs" priority="192" operator="notEqual" id="{DA000741-B6ED-4787-A3AC-2F983EE4C0E1}">
            <xm:f>'Baseline farm'!$D$41</xm:f>
            <x14:dxf>
              <font>
                <b/>
                <i val="0"/>
                <color theme="0"/>
              </font>
              <fill>
                <patternFill>
                  <bgColor rgb="FFFF0000"/>
                </patternFill>
              </fill>
            </x14:dxf>
          </x14:cfRule>
          <xm:sqref>D41:E41</xm:sqref>
        </x14:conditionalFormatting>
        <x14:conditionalFormatting xmlns:xm="http://schemas.microsoft.com/office/excel/2006/main">
          <x14:cfRule type="cellIs" priority="191" operator="notEqual" id="{5A66475B-CD78-4AB4-BD3E-EA269C194A6F}">
            <xm:f>'Baseline farm'!$F$41</xm:f>
            <x14:dxf>
              <font>
                <b/>
                <i val="0"/>
                <color theme="0"/>
              </font>
              <fill>
                <patternFill>
                  <bgColor rgb="FFFF0000"/>
                </patternFill>
              </fill>
            </x14:dxf>
          </x14:cfRule>
          <xm:sqref>F41:G41</xm:sqref>
        </x14:conditionalFormatting>
        <x14:conditionalFormatting xmlns:xm="http://schemas.microsoft.com/office/excel/2006/main">
          <x14:cfRule type="cellIs" priority="190" operator="notEqual" id="{5A6B7627-2872-4DFA-88BC-FB0157EED20B}">
            <xm:f>'Baseline farm'!$H$41</xm:f>
            <x14:dxf>
              <font>
                <b/>
                <i val="0"/>
                <color theme="0"/>
              </font>
              <fill>
                <patternFill>
                  <bgColor rgb="FFFF0000"/>
                </patternFill>
              </fill>
            </x14:dxf>
          </x14:cfRule>
          <xm:sqref>H41:I41</xm:sqref>
        </x14:conditionalFormatting>
        <x14:conditionalFormatting xmlns:xm="http://schemas.microsoft.com/office/excel/2006/main">
          <x14:cfRule type="cellIs" priority="189" operator="notEqual" id="{578F8D8A-2CC2-4DEB-A8E8-70F155143622}">
            <xm:f>'Baseline farm'!$D$42</xm:f>
            <x14:dxf>
              <font>
                <b/>
                <i val="0"/>
                <color theme="0"/>
              </font>
              <fill>
                <patternFill>
                  <bgColor rgb="FFFF0000"/>
                </patternFill>
              </fill>
            </x14:dxf>
          </x14:cfRule>
          <xm:sqref>D42:E42</xm:sqref>
        </x14:conditionalFormatting>
        <x14:conditionalFormatting xmlns:xm="http://schemas.microsoft.com/office/excel/2006/main">
          <x14:cfRule type="cellIs" priority="188" operator="notEqual" id="{25D68A43-86B9-438F-A3E8-A3C0126E1ED5}">
            <xm:f>'Baseline farm'!$F$42</xm:f>
            <x14:dxf>
              <font>
                <b/>
                <i val="0"/>
                <color theme="0"/>
              </font>
              <fill>
                <patternFill>
                  <bgColor rgb="FFFF0000"/>
                </patternFill>
              </fill>
            </x14:dxf>
          </x14:cfRule>
          <xm:sqref>F42:G42</xm:sqref>
        </x14:conditionalFormatting>
        <x14:conditionalFormatting xmlns:xm="http://schemas.microsoft.com/office/excel/2006/main">
          <x14:cfRule type="cellIs" priority="187" operator="notEqual" id="{62A1D74D-6759-4EE0-BC84-A15311B81AB2}">
            <xm:f>'Baseline farm'!$H$42</xm:f>
            <x14:dxf>
              <font>
                <b/>
                <i val="0"/>
                <color theme="0"/>
              </font>
              <fill>
                <patternFill>
                  <bgColor rgb="FFFF0000"/>
                </patternFill>
              </fill>
            </x14:dxf>
          </x14:cfRule>
          <xm:sqref>H42:I42</xm:sqref>
        </x14:conditionalFormatting>
        <x14:conditionalFormatting xmlns:xm="http://schemas.microsoft.com/office/excel/2006/main">
          <x14:cfRule type="cellIs" priority="103" operator="notEqual" id="{123F937C-FF89-459D-ADCD-87CA02621568}">
            <xm:f>'Baseline farm'!$D$46</xm:f>
            <x14:dxf>
              <font>
                <b/>
                <i val="0"/>
                <color theme="0"/>
              </font>
              <fill>
                <patternFill>
                  <bgColor rgb="FFFF0000"/>
                </patternFill>
              </fill>
            </x14:dxf>
          </x14:cfRule>
          <x14:cfRule type="cellIs" priority="180" operator="notEqual" id="{88ED2836-21D6-409B-B4DE-20C791AD57F2}">
            <xm:f>'Baseline farm'!$D$46</xm:f>
            <x14:dxf>
              <font>
                <b/>
                <i val="0"/>
                <color theme="0"/>
              </font>
              <fill>
                <patternFill>
                  <bgColor rgb="FFFF0000"/>
                </patternFill>
              </fill>
            </x14:dxf>
          </x14:cfRule>
          <xm:sqref>D46</xm:sqref>
        </x14:conditionalFormatting>
        <x14:conditionalFormatting xmlns:xm="http://schemas.microsoft.com/office/excel/2006/main">
          <x14:cfRule type="cellIs" priority="102" operator="notEqual" id="{84FF14C5-CAB2-4EE8-BBAE-E6A99FE87C9E}">
            <xm:f>'Baseline farm'!$D$47</xm:f>
            <x14:dxf>
              <font>
                <b/>
                <i val="0"/>
                <color theme="0"/>
              </font>
              <fill>
                <patternFill>
                  <bgColor rgb="FFFF0000"/>
                </patternFill>
              </fill>
            </x14:dxf>
          </x14:cfRule>
          <x14:cfRule type="cellIs" priority="179" operator="notEqual" id="{58A274A0-44D8-4A62-AEFC-FBDE905A5243}">
            <xm:f>'Baseline farm'!$D$47</xm:f>
            <x14:dxf>
              <font>
                <b/>
                <i val="0"/>
                <color theme="0"/>
              </font>
              <fill>
                <patternFill>
                  <bgColor rgb="FFFF0000"/>
                </patternFill>
              </fill>
            </x14:dxf>
          </x14:cfRule>
          <xm:sqref>D47</xm:sqref>
        </x14:conditionalFormatting>
        <x14:conditionalFormatting xmlns:xm="http://schemas.microsoft.com/office/excel/2006/main">
          <x14:cfRule type="cellIs" priority="143" operator="notEqual" id="{DE16E047-AC8C-4416-B88B-19EFEC97E87A}">
            <xm:f>'Baseline farm'!C31</xm:f>
            <x14:dxf>
              <font>
                <b/>
                <i val="0"/>
                <color theme="0"/>
              </font>
              <fill>
                <patternFill>
                  <bgColor rgb="FFFF0000"/>
                </patternFill>
              </fill>
            </x14:dxf>
          </x14:cfRule>
          <xm:sqref>G95 G92:H92 G105:H105 G98 G100:H100 C66 C68 C70 G66:H66 G68:H68 G70:H70 G58:G59 C62:C63 C53:C54 C58:C59 D33 D35 H31 H33</xm:sqref>
        </x14:conditionalFormatting>
        <x14:conditionalFormatting xmlns:xm="http://schemas.microsoft.com/office/excel/2006/main">
          <x14:cfRule type="cellIs" priority="130" operator="notEqual" id="{68C960E8-EDD1-4D2F-B6E5-1A9CC392A1D8}">
            <xm:f>'Baseline farm'!$F$82</xm:f>
            <x14:dxf>
              <font>
                <b/>
                <i val="0"/>
                <color theme="0"/>
              </font>
              <fill>
                <patternFill>
                  <bgColor rgb="FFFF0000"/>
                </patternFill>
              </fill>
            </x14:dxf>
          </x14:cfRule>
          <xm:sqref>F82:G82</xm:sqref>
        </x14:conditionalFormatting>
        <x14:conditionalFormatting xmlns:xm="http://schemas.microsoft.com/office/excel/2006/main">
          <x14:cfRule type="cellIs" priority="116" operator="notEqual" id="{E519507D-030A-462B-BFE5-72CD7CA69281}">
            <xm:f>'Baseline farm'!$E$19</xm:f>
            <x14:dxf>
              <font>
                <b/>
                <i val="0"/>
                <color theme="0"/>
              </font>
              <fill>
                <patternFill>
                  <bgColor rgb="FFFF0000"/>
                </patternFill>
              </fill>
            </x14:dxf>
          </x14:cfRule>
          <x14:cfRule type="cellIs" priority="119" operator="notEqual" id="{4786BC17-EE38-4351-938C-0362742F776C}">
            <xm:f>'Baseline farm'!$E$19</xm:f>
            <x14:dxf>
              <font>
                <b/>
                <i val="0"/>
                <color theme="0"/>
              </font>
              <fill>
                <patternFill>
                  <bgColor rgb="FFFF0000"/>
                </patternFill>
              </fill>
            </x14:dxf>
          </x14:cfRule>
          <xm:sqref>E19</xm:sqref>
        </x14:conditionalFormatting>
        <x14:conditionalFormatting xmlns:xm="http://schemas.microsoft.com/office/excel/2006/main">
          <x14:cfRule type="cellIs" priority="115" operator="notEqual" id="{4B94D810-0556-4FCF-AD14-D66FBEFA02E6}">
            <xm:f>'Baseline farm'!$F$19</xm:f>
            <x14:dxf>
              <font>
                <b/>
                <i val="0"/>
                <color theme="0"/>
              </font>
              <fill>
                <patternFill>
                  <bgColor rgb="FFFF0000"/>
                </patternFill>
              </fill>
            </x14:dxf>
          </x14:cfRule>
          <x14:cfRule type="cellIs" priority="118" operator="notEqual" id="{A05A0D36-6F33-4209-99CC-A9E33243CEAC}">
            <xm:f>'Baseline farm'!$F$19</xm:f>
            <x14:dxf>
              <font>
                <b/>
                <i val="0"/>
                <color theme="0"/>
              </font>
              <fill>
                <patternFill>
                  <bgColor rgb="FFFF0000"/>
                </patternFill>
              </fill>
            </x14:dxf>
          </x14:cfRule>
          <xm:sqref>F19</xm:sqref>
        </x14:conditionalFormatting>
        <x14:conditionalFormatting xmlns:xm="http://schemas.microsoft.com/office/excel/2006/main">
          <x14:cfRule type="cellIs" priority="412" operator="notEqual" id="{A97AFA4F-8098-464E-995E-3A68D7E3FD52}">
            <xm:f>'Baseline farm'!$E$50</xm:f>
            <x14:dxf>
              <font>
                <b/>
                <i val="0"/>
                <color theme="0"/>
              </font>
              <fill>
                <patternFill>
                  <bgColor rgb="FFFF0000"/>
                </patternFill>
              </fill>
            </x14:dxf>
          </x14:cfRule>
          <xm:sqref>E50:F50</xm:sqref>
        </x14:conditionalFormatting>
        <x14:conditionalFormatting xmlns:xm="http://schemas.microsoft.com/office/excel/2006/main">
          <x14:cfRule type="cellIs" priority="99" operator="notEqual" id="{899226D0-4CEC-4CD8-BE05-54E84C0F6EE9}">
            <xm:f>'Baseline farm'!$C$53</xm:f>
            <x14:dxf>
              <font>
                <b/>
                <i val="0"/>
                <color theme="0"/>
              </font>
              <fill>
                <patternFill>
                  <bgColor rgb="FFFF0000"/>
                </patternFill>
              </fill>
            </x14:dxf>
          </x14:cfRule>
          <xm:sqref>C53</xm:sqref>
        </x14:conditionalFormatting>
        <x14:conditionalFormatting xmlns:xm="http://schemas.microsoft.com/office/excel/2006/main">
          <x14:cfRule type="cellIs" priority="98" operator="notEqual" id="{A6753946-33D2-45FC-B462-90AC1807F0A6}">
            <xm:f>'Baseline farm'!$G$53</xm:f>
            <x14:dxf>
              <font>
                <b/>
                <i val="0"/>
                <color theme="0"/>
              </font>
              <fill>
                <patternFill>
                  <bgColor rgb="FFFF0000"/>
                </patternFill>
              </fill>
            </x14:dxf>
          </x14:cfRule>
          <xm:sqref>G53</xm:sqref>
        </x14:conditionalFormatting>
        <x14:conditionalFormatting xmlns:xm="http://schemas.microsoft.com/office/excel/2006/main">
          <x14:cfRule type="cellIs" priority="463" operator="notEqual" id="{1FE45B6C-86EA-472E-A656-6CA8D916CDAC}">
            <xm:f>'Baseline farm'!$H$31</xm:f>
            <x14:dxf>
              <font>
                <b/>
                <i val="0"/>
                <color theme="0"/>
              </font>
              <fill>
                <patternFill>
                  <bgColor rgb="FFFF0000"/>
                </patternFill>
              </fill>
            </x14:dxf>
          </x14:cfRule>
          <xm:sqref>H31</xm:sqref>
        </x14:conditionalFormatting>
        <x14:conditionalFormatting xmlns:xm="http://schemas.microsoft.com/office/excel/2006/main">
          <x14:cfRule type="cellIs" priority="464" operator="notEqual" id="{259F9B1D-DA74-42AA-80C5-C4499CD13961}">
            <xm:f>'Baseline farm'!$D$31</xm:f>
            <x14:dxf>
              <font>
                <b/>
                <i val="0"/>
                <color theme="0"/>
              </font>
              <fill>
                <patternFill>
                  <bgColor rgb="FFFF0000"/>
                </patternFill>
              </fill>
            </x14:dxf>
          </x14:cfRule>
          <xm:sqref>D31:E31</xm:sqref>
        </x14:conditionalFormatting>
        <x14:conditionalFormatting xmlns:xm="http://schemas.microsoft.com/office/excel/2006/main">
          <x14:cfRule type="cellIs" priority="92" operator="notEqual" id="{43F8352B-AE8E-430E-91A7-1DF5125F27E9}">
            <xm:f>'Baseline farm'!$D$43</xm:f>
            <x14:dxf>
              <font>
                <b/>
                <i val="0"/>
                <color theme="0"/>
              </font>
              <fill>
                <patternFill>
                  <bgColor rgb="FFFF0000"/>
                </patternFill>
              </fill>
            </x14:dxf>
          </x14:cfRule>
          <xm:sqref>D43:E43</xm:sqref>
        </x14:conditionalFormatting>
        <x14:conditionalFormatting xmlns:xm="http://schemas.microsoft.com/office/excel/2006/main">
          <x14:cfRule type="cellIs" priority="91" operator="notEqual" id="{7DC8FE6F-4138-44E9-8A5E-C28EA855EABC}">
            <xm:f>'Baseline farm'!$F$43</xm:f>
            <x14:dxf>
              <font>
                <b/>
                <i val="0"/>
                <color theme="0"/>
              </font>
              <fill>
                <patternFill>
                  <bgColor rgb="FFFF0000"/>
                </patternFill>
              </fill>
            </x14:dxf>
          </x14:cfRule>
          <xm:sqref>F43:G43</xm:sqref>
        </x14:conditionalFormatting>
        <x14:conditionalFormatting xmlns:xm="http://schemas.microsoft.com/office/excel/2006/main">
          <x14:cfRule type="cellIs" priority="90" operator="notEqual" id="{BBD97B00-1F85-4332-9B7A-86BFBB27DF2D}">
            <xm:f>'Baseline farm'!$H$43</xm:f>
            <x14:dxf>
              <font>
                <b/>
                <i val="0"/>
                <color theme="0"/>
              </font>
              <fill>
                <patternFill>
                  <bgColor rgb="FFFF0000"/>
                </patternFill>
              </fill>
            </x14:dxf>
          </x14:cfRule>
          <xm:sqref>H43:I43</xm:sqref>
        </x14:conditionalFormatting>
        <x14:conditionalFormatting xmlns:xm="http://schemas.microsoft.com/office/excel/2006/main">
          <x14:cfRule type="cellIs" priority="519" operator="notEqual" id="{0513F504-6F22-4592-B1B2-388EFB0694BF}">
            <xm:f>'Baseline farm'!$F$102</xm:f>
            <x14:dxf>
              <font>
                <b/>
                <i val="0"/>
                <color theme="0"/>
              </font>
              <fill>
                <patternFill>
                  <bgColor rgb="FFFF0000"/>
                </patternFill>
              </fill>
            </x14:dxf>
          </x14:cfRule>
          <xm:sqref>F102</xm:sqref>
        </x14:conditionalFormatting>
        <x14:conditionalFormatting xmlns:xm="http://schemas.microsoft.com/office/excel/2006/main">
          <x14:cfRule type="cellIs" priority="82" operator="notEqual" id="{B7CB171C-04DF-49F6-90AD-D45354AB0287}">
            <xm:f>'Baseline farm'!$F$107</xm:f>
            <x14:dxf>
              <font>
                <b/>
                <i val="0"/>
                <color theme="0"/>
              </font>
              <fill>
                <patternFill>
                  <bgColor rgb="FFFF0000"/>
                </patternFill>
              </fill>
            </x14:dxf>
          </x14:cfRule>
          <x14:cfRule type="cellIs" priority="551" operator="notEqual" id="{34428AC7-96A8-4C9C-B93B-99B682DD3107}">
            <xm:f>'Baseline farm'!#REF!</xm:f>
            <x14:dxf>
              <font>
                <b/>
                <i val="0"/>
                <color theme="0"/>
              </font>
              <fill>
                <patternFill>
                  <bgColor rgb="FFFF0000"/>
                </patternFill>
              </fill>
            </x14:dxf>
          </x14:cfRule>
          <xm:sqref>F107</xm:sqref>
        </x14:conditionalFormatting>
        <x14:conditionalFormatting xmlns:xm="http://schemas.microsoft.com/office/excel/2006/main">
          <x14:cfRule type="cellIs" priority="84" operator="notEqual" id="{DE2577ED-97B8-4B47-AC99-4CCD38F0B340}">
            <xm:f>'Baseline farm'!$G$94</xm:f>
            <x14:dxf>
              <font>
                <b/>
                <i val="0"/>
                <color theme="0"/>
              </font>
              <fill>
                <patternFill>
                  <bgColor rgb="FFFF0000"/>
                </patternFill>
              </fill>
            </x14:dxf>
          </x14:cfRule>
          <xm:sqref>G94</xm:sqref>
        </x14:conditionalFormatting>
        <x14:conditionalFormatting xmlns:xm="http://schemas.microsoft.com/office/excel/2006/main">
          <x14:cfRule type="cellIs" priority="81" operator="notEqual" id="{4544A554-7507-4526-83B8-7844F9F05CE8}">
            <xm:f>'Baseline farm'!$G$98</xm:f>
            <x14:dxf>
              <font>
                <b/>
                <i val="0"/>
                <color theme="0"/>
              </font>
              <fill>
                <patternFill>
                  <bgColor rgb="FFFF0000"/>
                </patternFill>
              </fill>
            </x14:dxf>
          </x14:cfRule>
          <xm:sqref>G98</xm:sqref>
        </x14:conditionalFormatting>
        <x14:conditionalFormatting xmlns:xm="http://schemas.microsoft.com/office/excel/2006/main">
          <x14:cfRule type="cellIs" priority="79" operator="notEqual" id="{D3C0ED02-E4D7-446C-BB46-369C67C9111E}">
            <xm:f>'Baseline farm'!$H$19</xm:f>
            <x14:dxf>
              <font>
                <b/>
                <i val="0"/>
                <color theme="0"/>
              </font>
              <fill>
                <patternFill>
                  <bgColor rgb="FFFF0000"/>
                </patternFill>
              </fill>
            </x14:dxf>
          </x14:cfRule>
          <x14:cfRule type="cellIs" priority="80" operator="notEqual" id="{AEB7A747-8E06-40C8-AF0D-923BC5F9E15C}">
            <xm:f>'Baseline farm'!$H$19</xm:f>
            <x14:dxf>
              <font>
                <b/>
                <i val="0"/>
                <color theme="0"/>
              </font>
              <fill>
                <patternFill>
                  <bgColor rgb="FFFF0000"/>
                </patternFill>
              </fill>
            </x14:dxf>
          </x14:cfRule>
          <xm:sqref>H19</xm:sqref>
        </x14:conditionalFormatting>
        <x14:conditionalFormatting xmlns:xm="http://schemas.microsoft.com/office/excel/2006/main">
          <x14:cfRule type="cellIs" priority="78" operator="notEqual" id="{D0530056-F9B2-4ADA-BED8-B402600C76A7}">
            <xm:f>'Baseline farm'!$G$54</xm:f>
            <x14:dxf>
              <font>
                <b/>
                <i val="0"/>
                <color theme="0"/>
              </font>
              <fill>
                <patternFill>
                  <bgColor rgb="FFFF0000"/>
                </patternFill>
              </fill>
            </x14:dxf>
          </x14:cfRule>
          <xm:sqref>G54</xm:sqref>
        </x14:conditionalFormatting>
        <x14:conditionalFormatting xmlns:xm="http://schemas.microsoft.com/office/excel/2006/main">
          <x14:cfRule type="cellIs" priority="77" operator="notEqual" id="{C12FAE9F-66C8-4B89-8D4E-00109CC5F452}">
            <xm:f>'Baseline farm'!$G$55</xm:f>
            <x14:dxf>
              <font>
                <b/>
                <i val="0"/>
                <color theme="0"/>
              </font>
              <fill>
                <patternFill>
                  <bgColor rgb="FFFF0000"/>
                </patternFill>
              </fill>
            </x14:dxf>
          </x14:cfRule>
          <xm:sqref>G55</xm:sqref>
        </x14:conditionalFormatting>
        <x14:conditionalFormatting xmlns:xm="http://schemas.microsoft.com/office/excel/2006/main">
          <x14:cfRule type="cellIs" priority="58" operator="notEqual" id="{6CA10D33-09C8-46BC-B363-D5C6A001A6E9}">
            <xm:f>'Baseline farm'!$G$79</xm:f>
            <x14:dxf>
              <font>
                <b/>
                <i val="0"/>
                <strike val="0"/>
                <color theme="0"/>
              </font>
              <fill>
                <patternFill>
                  <bgColor rgb="FFFF0000"/>
                </patternFill>
              </fill>
            </x14:dxf>
          </x14:cfRule>
          <xm:sqref>G79</xm:sqref>
        </x14:conditionalFormatting>
        <x14:conditionalFormatting xmlns:xm="http://schemas.microsoft.com/office/excel/2006/main">
          <x14:cfRule type="cellIs" priority="57" operator="notEqual" id="{7469DA22-8759-4018-A721-43AED0D47BB8}">
            <xm:f>'Baseline farm'!$I$79</xm:f>
            <x14:dxf>
              <font>
                <b/>
                <i val="0"/>
                <strike val="0"/>
                <color theme="0"/>
              </font>
              <fill>
                <patternFill>
                  <bgColor rgb="FFFF0000"/>
                </patternFill>
              </fill>
            </x14:dxf>
          </x14:cfRule>
          <xm:sqref>I79</xm:sqref>
        </x14:conditionalFormatting>
        <x14:conditionalFormatting xmlns:xm="http://schemas.microsoft.com/office/excel/2006/main">
          <x14:cfRule type="cellIs" priority="40" operator="notEqual" id="{88D9C47A-D5BF-421A-85E5-7A33269EC1C6}">
            <xm:f>'Baseline farm'!$I$21</xm:f>
            <x14:dxf>
              <font>
                <b/>
                <i val="0"/>
                <color theme="0"/>
              </font>
              <fill>
                <patternFill>
                  <bgColor rgb="FFFF0000"/>
                </patternFill>
              </fill>
            </x14:dxf>
          </x14:cfRule>
          <x14:cfRule type="cellIs" priority="42" operator="notEqual" id="{D855A764-259C-4F20-B472-1F69378E49B3}">
            <xm:f>'Baseline farm'!$I$21</xm:f>
            <x14:dxf>
              <font>
                <b/>
                <i val="0"/>
                <color theme="0"/>
              </font>
              <fill>
                <patternFill>
                  <bgColor rgb="FFFF0000"/>
                </patternFill>
              </fill>
            </x14:dxf>
          </x14:cfRule>
          <xm:sqref>I21</xm:sqref>
        </x14:conditionalFormatting>
        <x14:conditionalFormatting xmlns:xm="http://schemas.microsoft.com/office/excel/2006/main">
          <x14:cfRule type="cellIs" priority="39" operator="notEqual" id="{C147AB69-3AB1-4E14-85EF-AA582E72B471}">
            <xm:f>'Baseline farm'!$I$23</xm:f>
            <x14:dxf>
              <font>
                <b/>
                <i val="0"/>
                <color theme="0"/>
              </font>
              <fill>
                <patternFill>
                  <bgColor rgb="FFFF0000"/>
                </patternFill>
              </fill>
            </x14:dxf>
          </x14:cfRule>
          <x14:cfRule type="cellIs" priority="41" operator="notEqual" id="{EE37A010-47D0-4236-9287-CEB1D41AFE8C}">
            <xm:f>'Baseline farm'!$I$23</xm:f>
            <x14:dxf>
              <font>
                <b/>
                <i val="0"/>
                <color theme="0"/>
              </font>
              <fill>
                <patternFill>
                  <bgColor rgb="FFFF0000"/>
                </patternFill>
              </fill>
            </x14:dxf>
          </x14:cfRule>
          <xm:sqref>I23</xm:sqref>
        </x14:conditionalFormatting>
        <x14:conditionalFormatting xmlns:xm="http://schemas.microsoft.com/office/excel/2006/main">
          <x14:cfRule type="cellIs" priority="37" operator="notEqual" id="{ED51FFBF-5FD6-4E0F-86E7-FCF09EF66DD5}">
            <xm:f>'Baseline farm'!$I$19</xm:f>
            <x14:dxf>
              <font>
                <b/>
                <i val="0"/>
                <color theme="0"/>
              </font>
              <fill>
                <patternFill>
                  <bgColor rgb="FFFF0000"/>
                </patternFill>
              </fill>
            </x14:dxf>
          </x14:cfRule>
          <x14:cfRule type="cellIs" priority="38" operator="notEqual" id="{EF0076B3-B767-42F5-ACFD-F6D5D91109B8}">
            <xm:f>'Baseline farm'!$I$19</xm:f>
            <x14:dxf>
              <font>
                <b/>
                <i val="0"/>
                <color theme="0"/>
              </font>
              <fill>
                <patternFill>
                  <bgColor rgb="FFFF0000"/>
                </patternFill>
              </fill>
            </x14:dxf>
          </x14:cfRule>
          <xm:sqref>I19</xm:sqref>
        </x14:conditionalFormatting>
        <x14:conditionalFormatting xmlns:xm="http://schemas.microsoft.com/office/excel/2006/main">
          <x14:cfRule type="cellIs" priority="36" operator="notEqual" id="{1BC8CECB-C779-4528-8551-F2E4BBA5192D}">
            <xm:f>'Baseline farm'!$D$25</xm:f>
            <x14:dxf>
              <font>
                <b/>
                <i val="0"/>
                <color theme="0"/>
              </font>
              <fill>
                <patternFill>
                  <bgColor rgb="FFFF0000"/>
                </patternFill>
              </fill>
            </x14:dxf>
          </x14:cfRule>
          <xm:sqref>D25</xm:sqref>
        </x14:conditionalFormatting>
        <x14:conditionalFormatting xmlns:xm="http://schemas.microsoft.com/office/excel/2006/main">
          <x14:cfRule type="cellIs" priority="35" operator="notEqual" id="{AEB72F69-4F68-483E-A42D-F10CC3B0194B}">
            <xm:f>'Baseline farm'!$E$25</xm:f>
            <x14:dxf>
              <font>
                <b/>
                <i val="0"/>
                <color theme="0"/>
              </font>
              <fill>
                <patternFill>
                  <bgColor rgb="FFFF0000"/>
                </patternFill>
              </fill>
            </x14:dxf>
          </x14:cfRule>
          <xm:sqref>E25</xm:sqref>
        </x14:conditionalFormatting>
        <x14:conditionalFormatting xmlns:xm="http://schemas.microsoft.com/office/excel/2006/main">
          <x14:cfRule type="cellIs" priority="34" operator="notEqual" id="{38C164B7-779C-4D35-9DAC-FF9C3D612E36}">
            <xm:f>'Baseline farm'!$F$25</xm:f>
            <x14:dxf>
              <font>
                <b/>
                <i val="0"/>
                <color theme="0"/>
              </font>
              <fill>
                <patternFill>
                  <bgColor rgb="FFFF0000"/>
                </patternFill>
              </fill>
            </x14:dxf>
          </x14:cfRule>
          <xm:sqref>F25</xm:sqref>
        </x14:conditionalFormatting>
        <x14:conditionalFormatting xmlns:xm="http://schemas.microsoft.com/office/excel/2006/main">
          <x14:cfRule type="cellIs" priority="33" operator="notEqual" id="{79190C6A-EE55-4250-86C3-6FEE20EFC242}">
            <xm:f>'Baseline farm'!$G$25</xm:f>
            <x14:dxf>
              <font>
                <b/>
                <i val="0"/>
                <color theme="0"/>
              </font>
              <fill>
                <patternFill>
                  <bgColor rgb="FFFF0000"/>
                </patternFill>
              </fill>
            </x14:dxf>
          </x14:cfRule>
          <xm:sqref>G25</xm:sqref>
        </x14:conditionalFormatting>
        <x14:conditionalFormatting xmlns:xm="http://schemas.microsoft.com/office/excel/2006/main">
          <x14:cfRule type="cellIs" priority="32" operator="notEqual" id="{CC34E54A-96F5-4438-B270-410636C8839F}">
            <xm:f>'Baseline farm'!$H$25</xm:f>
            <x14:dxf>
              <font>
                <b/>
                <i val="0"/>
                <color theme="0"/>
              </font>
              <fill>
                <patternFill>
                  <bgColor rgb="FFFF0000"/>
                </patternFill>
              </fill>
            </x14:dxf>
          </x14:cfRule>
          <xm:sqref>H25</xm:sqref>
        </x14:conditionalFormatting>
        <x14:conditionalFormatting xmlns:xm="http://schemas.microsoft.com/office/excel/2006/main">
          <x14:cfRule type="cellIs" priority="30" operator="notEqual" id="{74B6DB9D-57BB-40D2-A371-C9E0E2CFF11C}">
            <xm:f>'Baseline farm'!$D$27</xm:f>
            <x14:dxf>
              <font>
                <b/>
                <i val="0"/>
                <color theme="0"/>
              </font>
              <fill>
                <patternFill>
                  <bgColor rgb="FFFF0000"/>
                </patternFill>
              </fill>
            </x14:dxf>
          </x14:cfRule>
          <xm:sqref>D27</xm:sqref>
        </x14:conditionalFormatting>
        <x14:conditionalFormatting xmlns:xm="http://schemas.microsoft.com/office/excel/2006/main">
          <x14:cfRule type="cellIs" priority="29" operator="notEqual" id="{3DE73A3D-FE76-42E2-9752-B3E4D4CB76A4}">
            <xm:f>'Baseline farm'!$E$27</xm:f>
            <x14:dxf>
              <font>
                <b/>
                <i val="0"/>
                <color theme="0"/>
              </font>
              <fill>
                <patternFill>
                  <bgColor rgb="FFFF0000"/>
                </patternFill>
              </fill>
            </x14:dxf>
          </x14:cfRule>
          <xm:sqref>E27</xm:sqref>
        </x14:conditionalFormatting>
        <x14:conditionalFormatting xmlns:xm="http://schemas.microsoft.com/office/excel/2006/main">
          <x14:cfRule type="cellIs" priority="28" operator="notEqual" id="{A1D9D7F8-A73C-4AD6-AB43-85238A89863D}">
            <xm:f>'Baseline farm'!$F$27</xm:f>
            <x14:dxf>
              <font>
                <b/>
                <i val="0"/>
                <color theme="0"/>
              </font>
              <fill>
                <patternFill>
                  <bgColor rgb="FFFF0000"/>
                </patternFill>
              </fill>
            </x14:dxf>
          </x14:cfRule>
          <xm:sqref>F27</xm:sqref>
        </x14:conditionalFormatting>
        <x14:conditionalFormatting xmlns:xm="http://schemas.microsoft.com/office/excel/2006/main">
          <x14:cfRule type="cellIs" priority="27" operator="notEqual" id="{EC9A3B21-B8A7-4975-B511-ACFD8E07E1A4}">
            <xm:f>'Baseline farm'!$G$27</xm:f>
            <x14:dxf>
              <font>
                <b/>
                <i val="0"/>
                <color theme="0"/>
              </font>
              <fill>
                <patternFill>
                  <bgColor rgb="FFFF0000"/>
                </patternFill>
              </fill>
            </x14:dxf>
          </x14:cfRule>
          <xm:sqref>G27</xm:sqref>
        </x14:conditionalFormatting>
        <x14:conditionalFormatting xmlns:xm="http://schemas.microsoft.com/office/excel/2006/main">
          <x14:cfRule type="cellIs" priority="26" operator="notEqual" id="{1D6FB0E0-8CE4-4A60-BB0E-F6A5560FC8D2}">
            <xm:f>'Baseline farm'!$H$27</xm:f>
            <x14:dxf>
              <font>
                <b/>
                <i val="0"/>
                <color theme="0"/>
              </font>
              <fill>
                <patternFill>
                  <bgColor rgb="FFFF0000"/>
                </patternFill>
              </fill>
            </x14:dxf>
          </x14:cfRule>
          <xm:sqref>H27</xm:sqref>
        </x14:conditionalFormatting>
        <x14:conditionalFormatting xmlns:xm="http://schemas.microsoft.com/office/excel/2006/main">
          <x14:cfRule type="cellIs" priority="25" operator="notEqual" id="{AC922C11-EF27-4096-805C-6594ACD787A8}">
            <xm:f>'Baseline farm'!$I$27</xm:f>
            <x14:dxf>
              <font>
                <b/>
                <i val="0"/>
                <color theme="0"/>
              </font>
              <fill>
                <patternFill>
                  <bgColor rgb="FFFF0000"/>
                </patternFill>
              </fill>
            </x14:dxf>
          </x14:cfRule>
          <xm:sqref>I27</xm:sqref>
        </x14:conditionalFormatting>
        <x14:conditionalFormatting xmlns:xm="http://schemas.microsoft.com/office/excel/2006/main">
          <x14:cfRule type="cellIs" priority="24" operator="notEqual" id="{2609320D-87F1-4CAF-8A84-304EEA3AE2F3}">
            <xm:f>'Baseline farm'!$J$25</xm:f>
            <x14:dxf>
              <font>
                <b/>
                <i val="0"/>
                <color theme="0"/>
              </font>
              <fill>
                <patternFill>
                  <bgColor rgb="FFFF0000"/>
                </patternFill>
              </fill>
            </x14:dxf>
          </x14:cfRule>
          <xm:sqref>J25</xm:sqref>
        </x14:conditionalFormatting>
        <x14:conditionalFormatting xmlns:xm="http://schemas.microsoft.com/office/excel/2006/main">
          <x14:cfRule type="cellIs" priority="22" operator="notEqual" id="{35DBCEAB-7ABA-4A4B-9AEC-F5759CE51BDA}">
            <xm:f>'Baseline farm'!$H$58</xm:f>
            <x14:dxf>
              <font>
                <b/>
                <i val="0"/>
                <color theme="0"/>
              </font>
              <fill>
                <patternFill>
                  <bgColor rgb="FFFF0000"/>
                </patternFill>
              </fill>
            </x14:dxf>
          </x14:cfRule>
          <xm:sqref>H58</xm:sqref>
        </x14:conditionalFormatting>
        <x14:conditionalFormatting xmlns:xm="http://schemas.microsoft.com/office/excel/2006/main">
          <x14:cfRule type="cellIs" priority="21" operator="notEqual" id="{9D7E5EBB-5381-416D-B2C2-50F0ACD35520}">
            <xm:f>'Baseline farm'!$H$59</xm:f>
            <x14:dxf>
              <font>
                <b/>
                <i val="0"/>
                <color theme="0"/>
              </font>
              <fill>
                <patternFill>
                  <bgColor rgb="FFFF0000"/>
                </patternFill>
              </fill>
            </x14:dxf>
          </x14:cfRule>
          <xm:sqref>H59</xm:sqref>
        </x14:conditionalFormatting>
        <x14:conditionalFormatting xmlns:xm="http://schemas.microsoft.com/office/excel/2006/main">
          <x14:cfRule type="cellIs" priority="20" operator="notEqual" id="{B55FB497-A95A-4587-9986-E155A9D9ED53}">
            <xm:f>'Baseline farm'!$I$58</xm:f>
            <x14:dxf>
              <font>
                <b/>
                <i val="0"/>
                <color theme="0"/>
              </font>
              <fill>
                <patternFill>
                  <bgColor rgb="FFFF0000"/>
                </patternFill>
              </fill>
            </x14:dxf>
          </x14:cfRule>
          <xm:sqref>I58</xm:sqref>
        </x14:conditionalFormatting>
        <x14:conditionalFormatting xmlns:xm="http://schemas.microsoft.com/office/excel/2006/main">
          <x14:cfRule type="cellIs" priority="19" operator="notEqual" id="{23E482D5-BC32-4FDF-B884-B48FDB210B0C}">
            <xm:f>'Baseline farm'!$I$59</xm:f>
            <x14:dxf>
              <font>
                <b/>
                <i val="0"/>
                <color theme="0"/>
              </font>
              <fill>
                <patternFill>
                  <bgColor rgb="FFFF0000"/>
                </patternFill>
              </fill>
            </x14:dxf>
          </x14:cfRule>
          <xm:sqref>I59</xm:sqref>
        </x14:conditionalFormatting>
        <x14:conditionalFormatting xmlns:xm="http://schemas.microsoft.com/office/excel/2006/main">
          <x14:cfRule type="cellIs" priority="18" operator="notEqual" id="{8522A63B-3FB2-4B97-AF1B-AD36C8754F3C}">
            <xm:f>'Baseline farm'!$J$58</xm:f>
            <x14:dxf>
              <font>
                <b/>
                <i val="0"/>
                <color theme="0"/>
              </font>
              <fill>
                <patternFill>
                  <bgColor rgb="FFFF0000"/>
                </patternFill>
              </fill>
            </x14:dxf>
          </x14:cfRule>
          <xm:sqref>J58</xm:sqref>
        </x14:conditionalFormatting>
        <x14:conditionalFormatting xmlns:xm="http://schemas.microsoft.com/office/excel/2006/main">
          <x14:cfRule type="cellIs" priority="17" operator="notEqual" id="{B37CFDC5-CA60-4128-AD19-141D36D91BD5}">
            <xm:f>'Baseline farm'!$J$59</xm:f>
            <x14:dxf>
              <font>
                <b/>
                <i val="0"/>
                <color theme="0"/>
              </font>
              <fill>
                <patternFill>
                  <bgColor rgb="FFFF0000"/>
                </patternFill>
              </fill>
            </x14:dxf>
          </x14:cfRule>
          <xm:sqref>J59</xm:sqref>
        </x14:conditionalFormatting>
        <x14:conditionalFormatting xmlns:xm="http://schemas.microsoft.com/office/excel/2006/main">
          <x14:cfRule type="cellIs" priority="15" operator="notEqual" id="{6FC7FBC4-E31B-4053-AAF3-FFCAE3066758}">
            <xm:f>'Baseline farm'!$F$534</xm:f>
            <x14:dxf>
              <font>
                <b/>
                <i val="0"/>
                <color theme="0"/>
              </font>
              <fill>
                <patternFill>
                  <bgColor rgb="FFFF0000"/>
                </patternFill>
              </fill>
            </x14:dxf>
          </x14:cfRule>
          <xm:sqref>G62:H62</xm:sqref>
        </x14:conditionalFormatting>
        <x14:conditionalFormatting xmlns:xm="http://schemas.microsoft.com/office/excel/2006/main">
          <x14:cfRule type="cellIs" priority="13" operator="notEqual" id="{8B23924B-F2D4-4FDF-AE36-8D756ACCE1EE}">
            <xm:f>'Baseline farm'!$G$63</xm:f>
            <x14:dxf>
              <font>
                <b/>
                <i val="0"/>
                <color theme="0"/>
              </font>
              <fill>
                <patternFill>
                  <bgColor rgb="FFFF0000"/>
                </patternFill>
              </fill>
            </x14:dxf>
          </x14:cfRule>
          <xm:sqref>G63:H63</xm:sqref>
        </x14:conditionalFormatting>
        <x14:conditionalFormatting xmlns:xm="http://schemas.microsoft.com/office/excel/2006/main">
          <x14:cfRule type="cellIs" priority="12" operator="notEqual" id="{AC923565-1178-489C-B853-566D7E5C518D}">
            <xm:f>'Baseline farm'!$H$205</xm:f>
            <x14:dxf>
              <font>
                <b/>
                <i val="0"/>
                <color theme="0"/>
              </font>
              <fill>
                <patternFill>
                  <bgColor rgb="FFFF0000"/>
                </patternFill>
              </fill>
            </x14:dxf>
          </x14:cfRule>
          <xm:sqref>K17</xm:sqref>
        </x14:conditionalFormatting>
        <x14:conditionalFormatting xmlns:xm="http://schemas.microsoft.com/office/excel/2006/main">
          <x14:cfRule type="cellIs" priority="11" operator="notEqual" id="{7CCE9F63-B05B-4779-B25F-7814A06F2F5D}">
            <xm:f>'Baseline farm'!$J$27</xm:f>
            <x14:dxf>
              <font>
                <b/>
                <i val="0"/>
                <color theme="0"/>
              </font>
              <fill>
                <patternFill>
                  <bgColor rgb="FFFF0000"/>
                </patternFill>
              </fill>
            </x14:dxf>
          </x14:cfRule>
          <xm:sqref>J27</xm:sqref>
        </x14:conditionalFormatting>
        <x14:conditionalFormatting xmlns:xm="http://schemas.microsoft.com/office/excel/2006/main">
          <x14:cfRule type="cellIs" priority="860" operator="notEqual" id="{B4E7DA42-4D7A-425F-BF3B-313A45CCD11A}">
            <xm:f>'Baseline farm'!$K$218</xm:f>
            <x14:dxf>
              <font>
                <b/>
                <i val="0"/>
                <color theme="0"/>
              </font>
              <fill>
                <patternFill>
                  <bgColor rgb="FFFF0000"/>
                </patternFill>
              </fill>
            </x14:dxf>
          </x14:cfRule>
          <xm:sqref>H15:I15</xm:sqref>
        </x14:conditionalFormatting>
        <x14:conditionalFormatting xmlns:xm="http://schemas.microsoft.com/office/excel/2006/main">
          <x14:cfRule type="cellIs" priority="889" operator="notEqual" id="{412B857D-9179-4B3E-BEFB-8B497A049705}">
            <xm:f>'Baseline farm'!$C$73</xm:f>
            <x14:dxf>
              <font>
                <b/>
                <i val="0"/>
                <color theme="0"/>
              </font>
              <fill>
                <patternFill>
                  <bgColor rgb="FFFF0000"/>
                </patternFill>
              </fill>
            </x14:dxf>
          </x14:cfRule>
          <xm:sqref>C73:D73</xm:sqref>
        </x14:conditionalFormatting>
        <x14:conditionalFormatting xmlns:xm="http://schemas.microsoft.com/office/excel/2006/main">
          <x14:cfRule type="cellIs" priority="6" operator="notEqual" id="{FD48C209-A275-4763-998D-4FA40C72A25D}">
            <xm:f>'Baseline farm'!$C$75</xm:f>
            <x14:dxf>
              <font>
                <b/>
                <i val="0"/>
                <color theme="0"/>
              </font>
              <fill>
                <patternFill>
                  <bgColor rgb="FFFF0000"/>
                </patternFill>
              </fill>
            </x14:dxf>
          </x14:cfRule>
          <xm:sqref>C75:D75</xm:sqref>
        </x14:conditionalFormatting>
        <x14:conditionalFormatting xmlns:xm="http://schemas.microsoft.com/office/excel/2006/main">
          <x14:cfRule type="cellIs" priority="4" operator="notEqual" id="{F125901B-795F-4623-9545-09A6BA6E2660}">
            <xm:f>'Baseline farm'!$C$77</xm:f>
            <x14:dxf>
              <font>
                <b/>
                <i val="0"/>
                <color theme="0"/>
              </font>
              <fill>
                <patternFill>
                  <bgColor rgb="FFFF0000"/>
                </patternFill>
              </fill>
            </x14:dxf>
          </x14:cfRule>
          <xm:sqref>C77:D77</xm:sqref>
        </x14:conditionalFormatting>
        <x14:conditionalFormatting xmlns:xm="http://schemas.microsoft.com/office/excel/2006/main">
          <x14:cfRule type="cellIs" priority="2" operator="notEqual" id="{F190F594-26FB-48A3-8AA9-1F625492F7D2}">
            <xm:f>'Baseline farm'!$C$79</xm:f>
            <x14:dxf>
              <font>
                <b/>
                <i val="0"/>
                <color theme="0"/>
              </font>
              <fill>
                <patternFill>
                  <bgColor rgb="FFFF0000"/>
                </patternFill>
              </fill>
            </x14:dxf>
          </x14:cfRule>
          <xm:sqref>C79:D79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86</vt:i4>
      </vt:variant>
    </vt:vector>
  </HeadingPairs>
  <TitlesOfParts>
    <vt:vector size="106" baseType="lpstr">
      <vt:lpstr>Introduction</vt:lpstr>
      <vt:lpstr>Emission factors</vt:lpstr>
      <vt:lpstr>Baseline farm</vt:lpstr>
      <vt:lpstr>Data for graphs</vt:lpstr>
      <vt:lpstr>Example baseline farm</vt:lpstr>
      <vt:lpstr>Abatement Schematic</vt:lpstr>
      <vt:lpstr>1990 methodology comparison</vt:lpstr>
      <vt:lpstr>2015 methodology comparison </vt:lpstr>
      <vt:lpstr>Strategy farm</vt:lpstr>
      <vt:lpstr>Reduce CH4 breeding_management</vt:lpstr>
      <vt:lpstr>Extended lactation</vt:lpstr>
      <vt:lpstr>Extended longevity</vt:lpstr>
      <vt:lpstr>Replacing Sup with dietary fats</vt:lpstr>
      <vt:lpstr>Supplementing with dietary fats</vt:lpstr>
      <vt:lpstr>Improved diet DMD by management</vt:lpstr>
      <vt:lpstr>Improved diet DMD by Supplement</vt:lpstr>
      <vt:lpstr>N fertiliser inhibitor coated</vt:lpstr>
      <vt:lpstr> N inhibitor applied to feed</vt:lpstr>
      <vt:lpstr>Feed quality table</vt:lpstr>
      <vt:lpstr>Fertiliser rates</vt:lpstr>
      <vt:lpstr>'1990 methodology comparison'!Electricity</vt:lpstr>
      <vt:lpstr>'2015 methodology comparison '!Electricity</vt:lpstr>
      <vt:lpstr>'Example baseline farm'!Electricity</vt:lpstr>
      <vt:lpstr>'Strategy farm'!Electricity</vt:lpstr>
      <vt:lpstr>Electricity</vt:lpstr>
      <vt:lpstr>'1990 methodology comparison'!Fertiliser</vt:lpstr>
      <vt:lpstr>'2015 methodology comparison '!Fertiliser</vt:lpstr>
      <vt:lpstr>'Example baseline farm'!Fertiliser</vt:lpstr>
      <vt:lpstr>'Strategy farm'!Fertiliser</vt:lpstr>
      <vt:lpstr>Fertiliser</vt:lpstr>
      <vt:lpstr>'1990 methodology comparison'!Heifer_Feedpad_Waste</vt:lpstr>
      <vt:lpstr>'2015 methodology comparison '!Heifer_Feedpad_Waste</vt:lpstr>
      <vt:lpstr>'Example baseline farm'!Heifer_Feedpad_Waste</vt:lpstr>
      <vt:lpstr>Heifer_Feedpad_Waste</vt:lpstr>
      <vt:lpstr>'Strategy farm'!Heifers_Feedpad_Waste</vt:lpstr>
      <vt:lpstr>'1990 methodology comparison'!Milk.production</vt:lpstr>
      <vt:lpstr>'2015 methodology comparison '!Milk.production</vt:lpstr>
      <vt:lpstr>'Example baseline farm'!Milk.production</vt:lpstr>
      <vt:lpstr>Milk.production</vt:lpstr>
      <vt:lpstr>'1990 methodology comparison'!Milker_Feedpad_Waste</vt:lpstr>
      <vt:lpstr>'2015 methodology comparison '!Milker_Feedpad_Waste</vt:lpstr>
      <vt:lpstr>'Example baseline farm'!Milker_Feedpad_Waste</vt:lpstr>
      <vt:lpstr>Milker_Feedpad_Waste</vt:lpstr>
      <vt:lpstr>'Strategy farm'!Milkers_Feedpad_Waste</vt:lpstr>
      <vt:lpstr>'1990 methodology comparison'!New.South.Wales</vt:lpstr>
      <vt:lpstr>'2015 methodology comparison '!New.South.Wales</vt:lpstr>
      <vt:lpstr>'Example baseline farm'!New.South.Wales</vt:lpstr>
      <vt:lpstr>'Strategy farm'!New.South.Wales</vt:lpstr>
      <vt:lpstr>New.South.Wales</vt:lpstr>
      <vt:lpstr>'1990 methodology comparison'!Northern.Territory</vt:lpstr>
      <vt:lpstr>'2015 methodology comparison '!Northern.Territory</vt:lpstr>
      <vt:lpstr>'Example baseline farm'!Northern.Territory</vt:lpstr>
      <vt:lpstr>'Strategy farm'!Northern.Territory</vt:lpstr>
      <vt:lpstr>Northern.Territory</vt:lpstr>
      <vt:lpstr>'1990 methodology comparison'!Pre_treament</vt:lpstr>
      <vt:lpstr>'2015 methodology comparison '!Pre_treament</vt:lpstr>
      <vt:lpstr>'Example baseline farm'!Pre_treament</vt:lpstr>
      <vt:lpstr>Pre_treament</vt:lpstr>
      <vt:lpstr>'Strategy farm'!Pre_treat</vt:lpstr>
      <vt:lpstr>'1990 methodology comparison'!Queensland</vt:lpstr>
      <vt:lpstr>'2015 methodology comparison '!Queensland</vt:lpstr>
      <vt:lpstr>'Example baseline farm'!Queensland</vt:lpstr>
      <vt:lpstr>'Strategy farm'!Queensland</vt:lpstr>
      <vt:lpstr>Queensland</vt:lpstr>
      <vt:lpstr>'1990 methodology comparison'!Rainfall</vt:lpstr>
      <vt:lpstr>'2015 methodology comparison '!Rainfall</vt:lpstr>
      <vt:lpstr>Rainfall</vt:lpstr>
      <vt:lpstr>'1990 methodology comparison'!South.Australia</vt:lpstr>
      <vt:lpstr>'2015 methodology comparison '!South.Australia</vt:lpstr>
      <vt:lpstr>'Example baseline farm'!South.Australia</vt:lpstr>
      <vt:lpstr>'Strategy farm'!South.Australia</vt:lpstr>
      <vt:lpstr>South.Australia</vt:lpstr>
      <vt:lpstr>'1990 methodology comparison'!State</vt:lpstr>
      <vt:lpstr>'2015 methodology comparison '!State</vt:lpstr>
      <vt:lpstr>'Example baseline farm'!State</vt:lpstr>
      <vt:lpstr>'Strategy farm'!State</vt:lpstr>
      <vt:lpstr>State</vt:lpstr>
      <vt:lpstr>'1990 methodology comparison'!Tasmania</vt:lpstr>
      <vt:lpstr>'2015 methodology comparison '!Tasmania</vt:lpstr>
      <vt:lpstr>'Example baseline farm'!Tasmania</vt:lpstr>
      <vt:lpstr>'Strategy farm'!Tasmania</vt:lpstr>
      <vt:lpstr>Tasmania</vt:lpstr>
      <vt:lpstr>'1990 methodology comparison'!Tree_Sequestration</vt:lpstr>
      <vt:lpstr>'2015 methodology comparison '!Tree_Sequestration</vt:lpstr>
      <vt:lpstr>'Example baseline farm'!Tree_Sequestration</vt:lpstr>
      <vt:lpstr>'Strategy farm'!Tree_Sequestration</vt:lpstr>
      <vt:lpstr>Tree_Sequestration</vt:lpstr>
      <vt:lpstr>'1990 methodology comparison'!Trees</vt:lpstr>
      <vt:lpstr>'2015 methodology comparison '!Trees</vt:lpstr>
      <vt:lpstr>Trees</vt:lpstr>
      <vt:lpstr>'1990 methodology comparison'!Victoria</vt:lpstr>
      <vt:lpstr>'2015 methodology comparison '!Victoria</vt:lpstr>
      <vt:lpstr>'Example baseline farm'!Victoria</vt:lpstr>
      <vt:lpstr>'Strategy farm'!Victoria</vt:lpstr>
      <vt:lpstr>Victoria</vt:lpstr>
      <vt:lpstr>'1990 methodology comparison'!Waste.Management</vt:lpstr>
      <vt:lpstr>'2015 methodology comparison '!Waste.Management</vt:lpstr>
      <vt:lpstr>'Example baseline farm'!Waste.Management</vt:lpstr>
      <vt:lpstr>'Strategy farm'!Waste.Management</vt:lpstr>
      <vt:lpstr>Waste.Management</vt:lpstr>
      <vt:lpstr>'1990 methodology comparison'!Western.Australia</vt:lpstr>
      <vt:lpstr>'2015 methodology comparison '!Western.Australia</vt:lpstr>
      <vt:lpstr>'Example baseline farm'!Western.Australia</vt:lpstr>
      <vt:lpstr>'Strategy farm'!Western.Australia</vt:lpstr>
      <vt:lpstr>Western.Australia</vt:lpstr>
      <vt:lpstr>Western.Australia.trees</vt:lpstr>
    </vt:vector>
  </TitlesOfParts>
  <Company>ITS-UTAS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Christie</dc:creator>
  <cp:lastModifiedBy>Karen Christie</cp:lastModifiedBy>
  <cp:lastPrinted>2013-03-07T04:45:21Z</cp:lastPrinted>
  <dcterms:created xsi:type="dcterms:W3CDTF">2011-08-11T05:10:57Z</dcterms:created>
  <dcterms:modified xsi:type="dcterms:W3CDTF">2022-10-21T04:07:40Z</dcterms:modified>
</cp:coreProperties>
</file>